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<sst xmlns="http://schemas.openxmlformats.org/spreadsheetml/2006/main" count="19822" uniqueCount="19822">
  <si>
    <t>en</t>
  </si>
  <si>
    <t>mt</t>
  </si>
  <si>
    <t>What language is used in Chinese secondary schools in Malaysia?</t>
  </si>
  <si>
    <t>What does the average temperatures exceed in the summer?</t>
  </si>
  <si>
    <t>Who did Britain exploit in India?</t>
  </si>
  <si>
    <t>From the Eocene onwards, the ongoing Alpine orogeny caused a N–S rift system to develop in this zone. The main elements of this rift are the Upper Rhine Graben, in southwest Germany and eastern France and the Lower Rhine Embayment, in northwest Germany and the southeastern Netherlands. By the time of the Miocene, a river system had developed in the Upper Rhine Graben, that continued northward and is considered the first Rhine river. At that time, it did not yet carry discharge from the Alps; instead, the watersheds of the Rhone and Danube drained the northern flanks of the Alps.</t>
  </si>
  <si>
    <t>invaginations that form a lattice of tubes in their stroma</t>
  </si>
  <si>
    <t>Puente Hills Fault</t>
  </si>
  <si>
    <t>all possible algorithms</t>
  </si>
  <si>
    <t>sum of divisors</t>
  </si>
  <si>
    <t>Civil disobedience is usually defined as pertaining to a citizen's relation to the state and its laws, as distinguished from a constitutional impasse in which two public agencies, especially two equally sovereign branches of government, conflict. For instance, if the head of government of a country were to refuse to enforce a decision of that country's highest court, it would not be civil disobedience, since the head of government would be acting in her or his capacity as public official rather than private citizen.</t>
  </si>
  <si>
    <t>Hamburg merchants and traders</t>
  </si>
  <si>
    <t>What encouraged trade under the Yuan?</t>
  </si>
  <si>
    <t>Standard Industrial Classification</t>
  </si>
  <si>
    <t>356 ± 47 tonnes</t>
  </si>
  <si>
    <t>Norman mercenary</t>
  </si>
  <si>
    <t>Swabian League</t>
  </si>
  <si>
    <t>According to Luther what justifies us?</t>
  </si>
  <si>
    <t>Who elects the members of the European Parliament?</t>
  </si>
  <si>
    <t>What did President Kennedy do in response to the Soviet flight in regards of America's program?</t>
  </si>
  <si>
    <t>advances in 3D printing technology</t>
  </si>
  <si>
    <t>When did Operation Anvil open?</t>
  </si>
  <si>
    <t>Other than Downtown San Bernardino, and University Town, what is the name of another business district in the San Bernardino-Riverside area?</t>
  </si>
  <si>
    <t>What happens when a person's capabilities aer lowered, as it relates to their income?</t>
  </si>
  <si>
    <t>What did the number of legions in Roman times depend on?</t>
  </si>
  <si>
    <t>Southern California is home to many major business districts. Central business districts (CBD) include Downtown Los Angeles, Downtown San Diego, Downtown San Bernardino, Downtown Bakersfield, South Coast Metro and Downtown Riverside.</t>
  </si>
  <si>
    <t>The long tentacles on the pleurbrachia are protected by what?</t>
  </si>
  <si>
    <t>Some civil disobedients feel it is incumbent upon them to accept punishment because of their belief in the validity of the social contract, which is held to bind all to obey the laws that a government meeting certain standards of legitimacy has established, or else suffer the penalties set out in the law. Other civil disobedients who favor the existence of government still don't believe in the legitimacy of their particular government, or don't believe in the legitimacy of a particular law it has enacted. And still other civil disobedients, being anarchists, don't believe in the legitimacy of any government, and therefore see no need to accept punishment for a violation of criminal law that does not infringe the rights of others.</t>
  </si>
  <si>
    <t>late night openings</t>
  </si>
  <si>
    <t>Islamic rebellion</t>
  </si>
  <si>
    <t>Spain</t>
  </si>
  <si>
    <t>recant his writings</t>
  </si>
  <si>
    <t>Unsurprisingly, the mujahideen's victory against the Soviets in the 1980s failed to produce what?</t>
  </si>
  <si>
    <t>How much do estimations of the population during the plague vary?</t>
  </si>
  <si>
    <t>All India Muslim League</t>
  </si>
  <si>
    <t>What were the origins of the Raouliii family?</t>
  </si>
  <si>
    <t>Spearhead from Space</t>
  </si>
  <si>
    <t>What house was the site of a weaving school in Canterbury?</t>
  </si>
  <si>
    <t>$680 billion</t>
  </si>
  <si>
    <t>political innovations</t>
  </si>
  <si>
    <t>Hurricane Dora</t>
  </si>
  <si>
    <t>How many LEA-funded 11 to 18 schools are there in Newcastle?</t>
  </si>
  <si>
    <t>Other than its main central  business district, where are the majority of San Diego's business districts located?</t>
  </si>
  <si>
    <t>recurring</t>
  </si>
  <si>
    <t>However, in 1883–84 Germany began to build a colonial empire in Africa and the South Pacific, before losing interest in imperialism. Historians have debated exactly why Germany made this sudden and short-lived move.[verification needed] Bismarck was aware that public opinion had started to demand colonies for reasons of German prestige. He was influenced by Hamburg merchants and traders, his neighbors at Friedrichsruh. The establishment of the German colonial empire proceeded smoothly, starting with German New Guinea in 1884.</t>
  </si>
  <si>
    <t>prime number</t>
  </si>
  <si>
    <t>locations where water is costly</t>
  </si>
  <si>
    <t>WBAI's broadcasting Some of George Carlin's comedy eventually led to what?</t>
  </si>
  <si>
    <t>In what process is the uptake from oxygen necessary?</t>
  </si>
  <si>
    <t>World Methodist Council</t>
  </si>
  <si>
    <t>The principles of imperialism are often generalizable to the policies and practices of the British Empire "during the last generation, and proceeds rather by diagnosis than by historical description". British imperialism often used the concept of Terra nullius (Latin expression which stems from Roman law meaning 'empty land'). The country of Australia serves as a case study in relation to British settlement and colonial rule of the continent in the eighteenth century, as it was premised on terra nullius, and its settlers considered it unused by its sparse Aboriginal inhabitants.</t>
  </si>
  <si>
    <t>dealing with patients' prescriptions and patient safety issues</t>
  </si>
  <si>
    <t>What do some community pharmacies do?</t>
  </si>
  <si>
    <t>inform the jury and the public</t>
  </si>
  <si>
    <t>he could feel a sharp stinging pain</t>
  </si>
  <si>
    <t>What type of topological systems are found in numbers in Victoria?</t>
  </si>
  <si>
    <t>What type of compounds does oxygen most commonly form?</t>
  </si>
  <si>
    <t>avionics, telecommunications, and computers.</t>
  </si>
  <si>
    <t xml:space="preserve">What is the estimated death toll for Polish civilians? </t>
  </si>
  <si>
    <t>The United Methodist Church is the largest denomination within the wider Methodist movement, which has approximately 80 million adherents across the world. In the United States, the UMC ranks as the largest mainline Protestant denomination, the largest Protestant church after the Southern Baptist Convention, and the third largest Christian denomination. As of 2014, worldwide membership was about 12 million: 7.2 million in the United States, and 4.4 million in Africa, Asia and Europe. It is a member of the World Council of Churches, the World Methodist Council, and other religious associations. In 2015, Pew Research estimated that 3.6% of the U.S population, or 9 million adult adherents, self-identify with the United Methodist Church revealing a much larger number of adherents than registered membership.</t>
  </si>
  <si>
    <t>over a hundred</t>
  </si>
  <si>
    <t>What type of group is The Islamic State?</t>
  </si>
  <si>
    <t>asking for a round trip through all sites in Milan whose total length is at most 10 km</t>
  </si>
  <si>
    <t>former monastery</t>
  </si>
  <si>
    <t>Where do Ctenophora live?</t>
  </si>
  <si>
    <t>What is another way to state the condition that infinitely many primes can exist only if a and q are coprime?</t>
  </si>
  <si>
    <t>very badly disposed towards the French</t>
  </si>
  <si>
    <t>Jin dynasty.</t>
  </si>
  <si>
    <t>Why did Tesla want funds from Morgan?</t>
  </si>
  <si>
    <t>tolerant</t>
  </si>
  <si>
    <t>autoimmune diseases</t>
  </si>
  <si>
    <t>steam escapes,</t>
  </si>
  <si>
    <t>The Far Eastern collections include more than 70,000 works of art from the countries of East Asia: China, Japan and Korea. The T. T. Tsui Gallery of Chinese art opened in 1991, displaying a representative collection of the V&amp;As approximately 16,000 objects from China, dating from the 4th millennium BC to the present day. Though the majority of art works on display date from the Ming and Qing dynasties, there are exquisite examples of objects dating from the Tang dynasty and earlier periods. Notably, a metre-high bronze head of the Buddha dated to c.750 AD and one of the oldest items a 2,000-year-old jade horse head from a burial, other sculptures include life-size tomb guardians. Classic examples of Chinese manufacturing are displayed that include lacquer, silk, porcelain, jade and cloisonné enamel. Two large ancestor portraits of a husband and wife painted in watercolour on silk date from the 18th century. There is a unique Chinese lacquerware table, made in the imperial workshops during the reign of the Xuande Emperor in the Ming dynasty. Examples of clothing are also displayed. One of the largest objects is a bed from the mid-17th century. The work of contemporary Chinese designers is also displayed.</t>
  </si>
  <si>
    <t>How much revenue is private?</t>
  </si>
  <si>
    <t>Why is shine-dalgarno sequence recognition important?</t>
  </si>
  <si>
    <t>steeper tax progressivity applied to social spending</t>
  </si>
  <si>
    <t>that civil disobedience is only justified against governmental entities</t>
  </si>
  <si>
    <t>What was Norman Cantor's theory about the plague?</t>
  </si>
  <si>
    <t>This shift has already commenced in some countries; for instance, pharmacists in Australia receive remuneration from the Australian Government for conducting comprehensive Home Medicines Reviews. In Canada, pharmacists in certain provinces have limited prescribing rights (as in Alberta and British Columbia) or are remunerated by their provincial government for expanded services such as medications reviews (Medschecks in Ontario). In the United Kingdom, pharmacists who undertake additional training are obtaining prescribing rights and this is because of pharmacy education. They are also being paid for by the government for medicine use reviews. In Scotland the pharmacist can write prescriptions for Scottish registered patients of their regular medications, for the majority of drugs, except for controlled drugs, when the patient is unable to see their doctor, as could happen if they are away from home or the doctor is unavailable. In the United States, pharmaceutical care or clinical pharmacy has had an evolving influence on the practice of pharmacy. Moreover, the Doctor of Pharmacy (Pharm. D.) degree is now required before entering practice and some pharmacists now complete one or two years of residency or fellowship training following graduation. In addition, consultant pharmacists, who traditionally operated primarily in nursing homes are now expanding into direct consultation with patients, under the banner of "senior care pharmacy."</t>
  </si>
  <si>
    <t>Since all modern ctenophores except the beroids have cydippid-like larvae, it has widely been assumed that their last common ancestor also resembled cydippids, having an egg-shaped body and a pair of retractable tentacles. Richard Harbison's purely morphological analysis in 1985 concluded that the cydippids are not monophyletic, in other words do not contain all and only the descendants of a single common ancestor that was itself a cydippid. Instead he found that various cydippid families were more similar to members of other ctenophore orders than to other cydippids. He also suggested that the last common ancestor of modern ctenophores was either cydippid-like or beroid-like. A molecular phylogeny analysis in 2001, using 26 species, including 4 recently discovered ones, confirmed that the cydippids are not monophyletic and concluded that the last common ancestor of modern ctenophores was cydippid-like. It also found that the genetic differences between these species were very small – so small that the relationships between the Lobata, Cestida and Thalassocalycida remained uncertain. This suggests that the last common ancestor of modern ctenophores was relatively recent, and perhaps was lucky enough to survive the Cretaceous–Paleogene extinction event 65.5 million years ago while other lineages perished. When the analysis was broadened to include representatives of other phyla, it concluded that cnidarians are probably more closely related to bilaterians than either group is to ctenophores but that this diagnosis is uncertain.</t>
  </si>
  <si>
    <t>to be reborn</t>
  </si>
  <si>
    <t>The shortcomings of Aristotelian physics would not be fully corrected until the 17th century work of Galileo Galilei, who was influenced by the late Medieval idea that objects in forced motion carried an innate force of impetus. Galileo constructed an experiment in which stones and cannonballs were both rolled down an incline to disprove the Aristotelian theory of motion early in the 17th century. He showed that the bodies were accelerated by gravity to an extent that was independent of their mass and argued that objects retain their velocity unless acted on by a force, for example friction.</t>
  </si>
  <si>
    <t>Port of Los Angeles</t>
  </si>
  <si>
    <t>Where was Austrian Polytechnic located?</t>
  </si>
  <si>
    <t>LDS Church</t>
  </si>
  <si>
    <t>10 to 15 million people</t>
  </si>
  <si>
    <t>a photosynthetic cyanobacterium that was engulfed by an early eukaryotic cell</t>
  </si>
  <si>
    <t>What items comprise the John Jones Collection?</t>
  </si>
  <si>
    <t>What language were classes held in at Tesla's school?</t>
  </si>
  <si>
    <t>Some elements of the Brotherhood directed what action against the government?</t>
  </si>
  <si>
    <t>What school did both Hank Marvin and Bruce Welch attend?</t>
  </si>
  <si>
    <t>In May 2013, ABC launched "WATCH ABC", a revamp of its traditional multi-platform streaming services encompassing the network's existing streaming portal at ABC.com and a mobile app for smartphones and tablet computers; in addition to providing full-length episodes of ABC programs, the service allows live programming streams of local ABC affiliates in select markets (the first such offering by a U.S. broadcast network). Similar to sister network ESPN's WatchESPN service (which originated the "WATCH" brand used by the streaming services of Disney's television networks), live streams of ABC stations are only available to authenticated subscribers of participating pay television providers in certain markets. New York City O&amp;O WABC-TV and Philadelphia O&amp;O WPVI-TV were the first stations to offer streams of their programming on the service (with a free preview for non-subscribers through June 2013), with the six remaining ABC O&amp;Os offering streams by the start of the 2013–14 season. Hearst Television also reached a deal to offer streams of its ABC affiliates (including stations in Boston, Kansas City, Milwaukee and West Palm Beach) on the service.</t>
  </si>
  <si>
    <t>The central highlands</t>
  </si>
  <si>
    <t>belief in the validity of the social contract</t>
  </si>
  <si>
    <t>What do the words Kirinyaga, Kirenyaa, and Kiinyaa mean?</t>
  </si>
  <si>
    <t>Who voted against Jacksonville's annexation?</t>
  </si>
  <si>
    <t>feigned retreat</t>
  </si>
  <si>
    <t>Metro Light Rail system</t>
  </si>
  <si>
    <t>Who has loaned the Raphael Cartoons to the museum?</t>
  </si>
  <si>
    <t>success</t>
  </si>
  <si>
    <t>the square root of n.</t>
  </si>
  <si>
    <t>east-west</t>
  </si>
  <si>
    <t>Teachers face several occupational hazards in their line of work, including occupational stress, which can negatively impact teachers' mental and physical health, productivity, and students' performance. Stress can be caused by organizational change, relationships with students, fellow teachers, and administrative personnel, working environment, expectations to substitute, long hours with a heavy workload, and inspections. Teachers are also at high risk for occupational burnout.</t>
  </si>
  <si>
    <t>commercial</t>
  </si>
  <si>
    <t>union government</t>
  </si>
  <si>
    <t>the Tesla coil</t>
  </si>
  <si>
    <t>both houses of Congress.</t>
  </si>
  <si>
    <t>Which tribes did Genghis Khan unite?</t>
  </si>
  <si>
    <t>What language is spoken in Kenya?</t>
  </si>
  <si>
    <t>What was invented by Savery?</t>
  </si>
  <si>
    <t>in a glass case</t>
  </si>
  <si>
    <t>Which TFEU article states that states are exempt from infringing on rights of establishment when they exercise official authority?</t>
  </si>
  <si>
    <t xml:space="preserve">Who did the geographic scholars work for? </t>
  </si>
  <si>
    <t>because of their animosity toward each other</t>
  </si>
  <si>
    <t>blank spaces on contemporary maps</t>
  </si>
  <si>
    <t>What is the exact date of the V&amp;A's official opening?</t>
  </si>
  <si>
    <t>Where does the Amazon region rate among the entire earth for its amount of biodiversity?</t>
  </si>
  <si>
    <t>rely on osmotic pressure</t>
  </si>
  <si>
    <t>histocompatibility</t>
  </si>
  <si>
    <t>homologous recombination</t>
  </si>
  <si>
    <t>that allowed local area networks to be established ad hoc without the requirement for a centralized router or server</t>
  </si>
  <si>
    <t>According to Sheldon Ungar's comparison with global warming, the actors in the ozone depletion case had a better understanding of scientific ignorance and uncertainties. The ozone case communicated to lay persons "with easy-to-understand bridging metaphors derived from the popular culture" and related to "immediate risks with everyday relevance", while the public opinion on climate change sees no imminent danger. The stepwise mitigation of the ozone layer challenge was based as well on successfully reducing regional burden sharing conflicts. In case of the IPCC conclusions and the failure of the Kyoto Protocol, varying regional cost-benefit analysis and burden-sharing conflicts with regard to the distribution of emission reductions remain an unsolved problem. In the UK, a report for a House of Lords committee asked to urge the IPCC to involve better assessments of costs and benefits of climate change but the Stern Review ordered by the UK government made a stronger argument in favor to combat human-made climate change.</t>
  </si>
  <si>
    <t>Abercrombie was recalled and replaced</t>
  </si>
  <si>
    <t>Who is generally considered on the same level as physicians, lawyers, engineers, and accountants (Chartered or CPA)?</t>
  </si>
  <si>
    <t>education,</t>
  </si>
  <si>
    <t>What did Mote think the Yuan class system really represented?</t>
  </si>
  <si>
    <t>What non-Chinese empire did the Yuan dynasty succeed?</t>
  </si>
  <si>
    <t>for not having a residence permit</t>
  </si>
  <si>
    <t>high levels of inequality</t>
  </si>
  <si>
    <t>the Cretaceous–Paleogene extinction</t>
  </si>
  <si>
    <t>Who was the Karluk Kara-Khanid ruler ranked above?</t>
  </si>
  <si>
    <t>1⁄3</t>
  </si>
  <si>
    <t>guidance</t>
  </si>
  <si>
    <t>Where did Dinophysis get its chloroplasts from?</t>
  </si>
  <si>
    <t>number one</t>
  </si>
  <si>
    <t>a red algal derived chloroplast</t>
  </si>
  <si>
    <t>20–18,</t>
  </si>
  <si>
    <t>Oxygen is present in the atmosphere in trace quantities in the form of carbon dioxide (CO
2). The Earth's crustal rock is composed in large part of oxides of silicon (silica SiO
2, as found in granite and quartz), aluminium (aluminium oxide Al
2O
3, in bauxite and corundum), iron (iron(III) oxide Fe
2O
3, in hematite and rust), and calcium carbonate (in limestone). The rest of the Earth's crust is also made of oxygen compounds, in particular various complex silicates (in silicate minerals). The Earth's mantle, of much larger mass than the crust, is largely composed of silicates of magnesium and iron.</t>
  </si>
  <si>
    <t>a little</t>
  </si>
  <si>
    <t>Sufism</t>
  </si>
  <si>
    <t>Which people brought forward one of the earliest examples of Civil Disobedience?</t>
  </si>
  <si>
    <t>may have entered Europe in two waves</t>
  </si>
  <si>
    <t>What is name of the function used for the largest integer not greater than the number in question?</t>
  </si>
  <si>
    <t>a Standard Model</t>
  </si>
  <si>
    <t>regulations and directives</t>
  </si>
  <si>
    <t>'empty land'</t>
  </si>
  <si>
    <t>The two symbols most commonly associated with pharmacy in English-speaking countries are the mortar and pestle and the ℞ (recipere) character, which is often written as "Rx" in typed text. The show globe was also used until the early 20th century. Pharmacy organizations often use other symbols, such as the Bowl of Hygieia which is often used in the Netherlands, conical measures, and caduceuses in their logos. Other symbols are common in different countries: the green Greek cross in France, Argentina, the United Kingdom, Belgium, Ireland, Italy, Spain, and India, the increasingly rare Gaper in the Netherlands, and a red stylized letter A in Germany and Austria (from Apotheke, the German word for pharmacy, from the same Greek root as the English word 'apothecary').</t>
  </si>
  <si>
    <t>a majority in Parliament</t>
  </si>
  <si>
    <t>Downtown Santa Monica and Downtown Glendale are a part of which area?</t>
  </si>
  <si>
    <t>being drafted</t>
  </si>
  <si>
    <t>the Roman Empire</t>
  </si>
  <si>
    <t>governments</t>
  </si>
  <si>
    <t>The 2005 version of Doctor Who</t>
  </si>
  <si>
    <t>Harbor improvements since the late 19th century have made Jacksonville a major military and civilian deep-water port. Its riverine location facilitates two United States Navy bases and the Port of Jacksonville, Florida's third largest seaport. The two US Navy bases, Blount Island Command and the nearby Naval Submarine Base Kings Bay form the third largest military presence in the United States. Significant factors in the local economy include services such as banking, insurance, healthcare and logistics. As with much of Florida, tourism is also important to the Jacksonville area, particularly tourism related to golf. People from Jacksonville may be called "Jacksonvillians" or "Jaxsons" (also spelled "Jaxons").</t>
  </si>
  <si>
    <t>What was the concept of force an integral part of?</t>
  </si>
  <si>
    <t>1677–1683</t>
  </si>
  <si>
    <t>electric heating element</t>
  </si>
  <si>
    <t>How many granal thylakoids can be in each granum?</t>
  </si>
  <si>
    <t>metamorphic rock</t>
  </si>
  <si>
    <t>According to economists David Castells-Quintana and Vicente Royuela, increasing inequality harms economic growth. High and persistent unemployment, in which inequality increases, has a negative effect on subsequent long-run economic growth. Unemployment can harm growth not only because it is a waste of resources, but also because it generates redistributive pressures and subsequent distortions, drives people to poverty, constrains liquidity limiting labor mobility, and erodes self-esteem promoting social dislocation, unrest and conflict. Policies aiming at controlling unemployment and in particular at reducing its inequality-associated effects support economic growth.</t>
  </si>
  <si>
    <t>Prime numbers have influenced many artists and writers. The French composer Olivier Messiaen used prime numbers to create ametrical music through "natural phenomena". In works such as La Nativité du Seigneur (1935) and Quatre études de rythme (1949–50), he simultaneously employs motifs with lengths given by different prime numbers to create unpredictable rhythms: the primes 41, 43, 47 and 53 appear in the third étude, "Neumes rythmiques". According to Messiaen this way of composing was "inspired by the movements of nature, movements of free and unequal durations".</t>
  </si>
  <si>
    <t>What function does ozone perform for the planet?</t>
  </si>
  <si>
    <t>September 30, 1960</t>
  </si>
  <si>
    <t>£34m</t>
  </si>
  <si>
    <t>several of the central truths of Christianity</t>
  </si>
  <si>
    <t>Commentary on Genesis</t>
  </si>
  <si>
    <t>Tibetan Buddhism</t>
  </si>
  <si>
    <t>Under which Directive did the EU harmonize restrictions on restrictions on marketing and advertising?</t>
  </si>
  <si>
    <t>gathered in the streets</t>
  </si>
  <si>
    <t>After rejecting compulsory confession, what did Luther call for?</t>
  </si>
  <si>
    <t>Which festival is held in Newcastle's Gay Community in mid-July?</t>
  </si>
  <si>
    <t>What did Martin's father view his entering the cloister as a waste of?</t>
  </si>
  <si>
    <t>How is the judicial branch of the EU an important factor in the development of EU law?</t>
  </si>
  <si>
    <t>What devices have been credited as the moving force of the Industrial Revolution?</t>
  </si>
  <si>
    <t>render certain laws ineffective</t>
  </si>
  <si>
    <t>The provisional elder/deacon</t>
  </si>
  <si>
    <t>where is the Victoria and Albert Museum located?</t>
  </si>
  <si>
    <t>The Saxon Garden</t>
  </si>
  <si>
    <t>Who backed policies that have solutions that sound good but have poor prospects?</t>
  </si>
  <si>
    <t>modern context</t>
  </si>
  <si>
    <t>What kind of gradients does cpDNA have?</t>
  </si>
  <si>
    <t>At what pressure is water heated in the Rankine cycle?</t>
  </si>
  <si>
    <t>On what street was the Theatre Royal's replacement built?</t>
  </si>
  <si>
    <t>major part of the Internet backbone</t>
  </si>
  <si>
    <t>Henry Cole wing</t>
  </si>
  <si>
    <t>murder of Christ,</t>
  </si>
  <si>
    <t>limiting aggregate demand</t>
  </si>
  <si>
    <t>What does the world's first Museum of Posters have one of the largest collections of in the world?</t>
  </si>
  <si>
    <t>Charles Brenton Huggins and Janet Rowley</t>
  </si>
  <si>
    <t>What party is favored in Bedigo and Geelong?</t>
  </si>
  <si>
    <t>How is the prime number p in Bertrand's postulate expressed mathematically?</t>
  </si>
  <si>
    <t>Forster I, Forster II, and Forster III,</t>
  </si>
  <si>
    <t>Along with marine engines and industrial units, in what machines was compounding popular?</t>
  </si>
  <si>
    <t>colonization</t>
  </si>
  <si>
    <t>What river originally bounded the Duchy</t>
  </si>
  <si>
    <t>Under what condition is an element irreducible?</t>
  </si>
  <si>
    <t>system to power the city's streetcars</t>
  </si>
  <si>
    <t>plantar fasciitis</t>
  </si>
  <si>
    <t>The amount of land a country controls is its greatest what?</t>
  </si>
  <si>
    <t>Nikola Tesla Museum archive</t>
  </si>
  <si>
    <t>pathogen attack</t>
  </si>
  <si>
    <t>3 miles</t>
  </si>
  <si>
    <t>Pleistocene epoch</t>
  </si>
  <si>
    <t>compounds of oxygen with a high oxidative</t>
  </si>
  <si>
    <t>Southern California's distinctive regions are divided culturally, politically and what other trait?</t>
  </si>
  <si>
    <t>What does pumping water into the mesoglea do?</t>
  </si>
  <si>
    <t>FMCG manufacturing, metal processing, steel and electronic manufacturing and food processing</t>
  </si>
  <si>
    <t>What is the Bielany Forest the last remnant of?</t>
  </si>
  <si>
    <t>cleats</t>
  </si>
  <si>
    <t>different view</t>
  </si>
  <si>
    <t>Who notably improved the Savery water pump?</t>
  </si>
  <si>
    <t>model results, reports from government agencies and non-governmental organizations, and industry journals</t>
  </si>
  <si>
    <t>during one hunting excursion</t>
  </si>
  <si>
    <t>straight line</t>
  </si>
  <si>
    <t>High Rhine</t>
  </si>
  <si>
    <t>over-fishing and long-term environmental changes</t>
  </si>
  <si>
    <t>exposed to scrutiny</t>
  </si>
  <si>
    <t>Where does centripetal force go?</t>
  </si>
  <si>
    <t>How high are many of the buildings with turrets?</t>
  </si>
  <si>
    <t>What were Mohammedanism and the Turk?</t>
  </si>
  <si>
    <t>Soviet</t>
  </si>
  <si>
    <t>Ludwig Krapf recorded the name was what?</t>
  </si>
  <si>
    <t>In 1857 John Sheepshanks donated 233 paintings, mainly by contemporary British artists, and a similar number of drawings to the museum with the intention of forming a 'A National Gallery of British Art', a role since taken on by Tate Britain; artists represented are William Blake, James Barry, Henry Fuseli, Sir Edwin Henry Landseer, Sir David Wilkie, William Mulready, William Powell Frith, Millais and Hippolyte Delaroche. Although some of Constable's works came to the museum with the Sheepshanks bequest, the majority of the artist's works were donated by his daughter Isabel in 1888, including the large number of sketches in oil, the most significant being the 1821 full size oil sketch for The Hay Wain. Other artists with works in the collection include: Bernardino Fungai, Marcus Gheeraerts the Younger, Domenico di Pace Beccafumi, Fioravante Ferramola, Jan Brueghel the Elder, Anthony van Dyck, Ludovico Carracci, Antonio Verrio, Giovanni Battista Tiepolo, Domenico Tiepolo, Canaletto, Francis Hayman, Pompeo Batoni, Benjamin West, Paul Sandby, Richard Wilson, William Etty, Henry Fuseli, Sir Thomas Lawrence, James Barry, Francis Danby, Richard Parkes Bonington and Alphonse Legros.</t>
  </si>
  <si>
    <t>disturbances</t>
  </si>
  <si>
    <t>better</t>
  </si>
  <si>
    <t>What type of conservation include providing advice on the handling of items?</t>
  </si>
  <si>
    <t>Who may teachers focus on, in order to prioritize attention?</t>
  </si>
  <si>
    <t>Foreign Protestants Naturalization Act</t>
  </si>
  <si>
    <t>In a progressive tax, what increases as the taxable base amount increases?</t>
  </si>
  <si>
    <t>In addition to endowments and tuition, how do boarding schools cover their operating costs?</t>
  </si>
  <si>
    <t>progressive</t>
  </si>
  <si>
    <t>What type of Delta is the Rhine-Meuse?</t>
  </si>
  <si>
    <t>What does a Turing machine handle on a strip of tape?</t>
  </si>
  <si>
    <t>National Galleries of Scotland</t>
  </si>
  <si>
    <t>What is referred to as the Diamond Strip?</t>
  </si>
  <si>
    <t>Harvard's 209-acre (85 ha) main campus is centered on Harvard Yard in Cambridge, about 3 miles (5 km) west-northwest of the State House in downtown Boston, and extends into the surrounding Harvard Square neighborhood. Harvard Yard itself contains the central administrative offices and main libraries of the university, academic buildings including Sever Hall and University Hall, Memorial Church, and the majority of the freshman dormitories. Sophomore, junior, and senior undergraduates live in twelve residential Houses, nine of which are south of Harvard Yard along or near the Charles River. The other three are located in a residential neighborhood half a mile northwest of the Yard at the Quadrangle (commonly referred to as the Quad), which formerly housed Radcliffe College students until Radcliffe merged its residential system with Harvard. Each residential house contains rooms for undergraduates, House masters, and resident tutors, as well as a dining hall and library. The facilities were made possible by a gift from Yale University alumnus Edward Harkness.</t>
  </si>
  <si>
    <t>driving Israel out of the Gaza Strip</t>
  </si>
  <si>
    <t>Warsaw City Council</t>
  </si>
  <si>
    <t>What series was created by former Doctor Who producer Russell T. Davies?</t>
  </si>
  <si>
    <t>What types of preparation do pharmacists have?</t>
  </si>
  <si>
    <t>energy</t>
  </si>
  <si>
    <t>Tesla was asocial and prone to seclude himself with his work. However, when he did engage in a social life, many people spoke very positively and admiringly of Tesla. Robert Underwood Johnson described him as attaining a "distinguished sweetness, sincerity, modesty, refinement, generosity, and force." His loyal secretary, Dorothy Skerrit, wrote: "his genial smile and nobility of bearing always denoted the gentlemanly characteristics that were so ingrained in his soul." Tesla's friend, Julian Hawthorne, wrote, "seldom did one meet a scientist or engineer who was also a poet, a philosopher, an appreciator of fine music, a linguist, and a connoisseur of food and drink.":80</t>
  </si>
  <si>
    <t>greater inequality and potential economic instability</t>
  </si>
  <si>
    <t>Yam route systems</t>
  </si>
  <si>
    <t>In the virtual call system, the network guarantees sequenced delivery of data to the host</t>
  </si>
  <si>
    <t>Vice President Agnew describes Civil disobedience in what activities?</t>
  </si>
  <si>
    <t>John Wesley</t>
  </si>
  <si>
    <t>with common rules for coal and steel, and then atomic energy</t>
  </si>
  <si>
    <t>private universities</t>
  </si>
  <si>
    <t>quantized</t>
  </si>
  <si>
    <t>combustion</t>
  </si>
  <si>
    <t>separate spheres of knowledge</t>
  </si>
  <si>
    <t>What institute did the university announced to everyone in 2008?</t>
  </si>
  <si>
    <t>sleep deprivation</t>
  </si>
  <si>
    <t>where  is the mass of the object,  is the velocity of the object and  is the distance to the center of the circular path and  is the unit vector pointing in the radial direction outwards from the center. This means that the unbalanced centripetal force felt by any object is always directed toward the center of the curving path. Such forces act perpendicular to the velocity vector associated with the motion of an object, and therefore do not change the speed of the object (magnitude of the velocity), but only the direction of the velocity vector. The unbalanced force that accelerates an object can be resolved into a component that is perpendicular to the path, and one that is tangential to the path. This yields both the tangential force, which accelerates the object by either slowing it down or speeding it up, and the radial (centripetal) force, which changes its direction.</t>
  </si>
  <si>
    <t>There are various mechanisms by which teacher enthusiasm may facilitate higher levels of intrinsic motivation. Teacher enthusiasm may contribute to a classroom atmosphere full of energy and enthusiasm which feed student interest and excitement in learning the subject matter. Enthusiastic teachers may also lead to students becoming more self-determined in their own learning process. The concept of mere exposure indicates that the teacher's enthusiasm may contribute to the student's expectations about intrinsic motivation in the context of learning. Also, enthusiasm may act as a "motivational embellishment"; increasing a student's interest by the variety, novelty, and surprise of the enthusiastic teacher's presentation of the material. Finally, the concept of emotional contagion, may also apply. Students may become more intrinsically motivated by catching onto the enthusiasm and energy of the teacher.[citation needed]</t>
  </si>
  <si>
    <t>function of market price of skill</t>
  </si>
  <si>
    <t>the resultant (also called the net force)</t>
  </si>
  <si>
    <t>Which part of the museum received the first major post-war work?</t>
  </si>
  <si>
    <t>Allston Science Complex</t>
  </si>
  <si>
    <t>from 1562 to 1598</t>
  </si>
  <si>
    <t>Besides viniculture, what's a dominant economic sector of the Middle Rhine?</t>
  </si>
  <si>
    <t>During the compression stage of the Rankine cycle, what state is the working fluid in?</t>
  </si>
  <si>
    <t xml:space="preserve">Case complexity likelihoods provide variable probabilities of what general measure? </t>
  </si>
  <si>
    <t>What was an example of a type of warship that required high speed?</t>
  </si>
  <si>
    <t>9–18.</t>
  </si>
  <si>
    <t>turbine</t>
  </si>
  <si>
    <t>What did Martin Luther fear after a lightening bolt struck near him?</t>
  </si>
  <si>
    <t>soils, rivers, landscapes, and glaciers</t>
  </si>
  <si>
    <t>can produce both eggs and sperm</t>
  </si>
  <si>
    <t>Who killed Begter, Temüjin's half-brother?</t>
  </si>
  <si>
    <t>What was the ancestor of chloroplasts?</t>
  </si>
  <si>
    <t>applied mathematics to the construction of calendars</t>
  </si>
  <si>
    <t>Morocco and Ethiopia</t>
  </si>
  <si>
    <t>What chemical element was the cause of the Apollo 1 disastrous outcome?</t>
  </si>
  <si>
    <t>divinity of Jesus</t>
  </si>
  <si>
    <t>When was earthenware movable type invented?</t>
  </si>
  <si>
    <t>Why are chloroplasts of interest in GMO crops?</t>
  </si>
  <si>
    <t>Westernizing Muslims</t>
  </si>
  <si>
    <t>scalar quantities</t>
  </si>
  <si>
    <t>ruthless workings</t>
  </si>
  <si>
    <t>How many cases of malaria did Kenya report in 2006?</t>
  </si>
  <si>
    <t>architects</t>
  </si>
  <si>
    <t>Building construction is usually further divided into what categories?</t>
  </si>
  <si>
    <t>threatened "Old Briton" with severe consequences</t>
  </si>
  <si>
    <t>Concerns were raised over whether Levi's Stadium's field was of a high enough quality to host a Super Bowl; during the inaugural season, the field had to be re-sodded multiple times due to various issues, and during a week 6 game earlier in the 2015 season, a portion of the turf collapsed under Baltimore Ravens kicker Justin Tucker, causing him to slip and miss a field goal, although the field has not had any major issues since. As is customary for Super Bowl games played at natural grass stadiums, the NFL re-sodded the field with a new playing surface; a hybrid Bermuda 419 turf. NFL and Atlanta Braves field director Ed Mangan stated that the field was in "great shape" for gameday. However, the turf showed problem throughout the game, with a number of players needing to change their cleats during the game and player slipping during plays all throughout the game.</t>
  </si>
  <si>
    <t>Along with public schools, what type of school was recognized under the South African Schools Act?</t>
  </si>
  <si>
    <t>To whom did RCA mandate the sale of NBC blue to in 1941?</t>
  </si>
  <si>
    <t>How much money did a 1/2 minute commercial cost?</t>
  </si>
  <si>
    <t>a "boost" in performance</t>
  </si>
  <si>
    <t>How many piston strokes occur in an engine cycle?</t>
  </si>
  <si>
    <t>Thuringia</t>
  </si>
  <si>
    <t>rest</t>
  </si>
  <si>
    <t>What is the field of studying immunogenicity through bioinformatics known as?</t>
  </si>
  <si>
    <t>While competition between workers drives down wages for jobs with a high supply of worker, whose competition drives wages up for the inverse?</t>
  </si>
  <si>
    <t>Decision problems</t>
  </si>
  <si>
    <t>highly respected</t>
  </si>
  <si>
    <t xml:space="preserve">How many modern types of primality tests for general numbers n are there? </t>
  </si>
  <si>
    <t>The Five Doctors</t>
  </si>
  <si>
    <t>Robert Guiscard</t>
  </si>
  <si>
    <t>Judiciary</t>
  </si>
  <si>
    <t>Where did most chloroplasts come from?</t>
  </si>
  <si>
    <t>€25,000</t>
  </si>
  <si>
    <t>Longwood Medical and Academic Area</t>
  </si>
  <si>
    <t>ideological</t>
  </si>
  <si>
    <t>How much did Walt Disney want ABC to invest in Disneyland?</t>
  </si>
  <si>
    <t>30–60% of Europe's total population</t>
  </si>
  <si>
    <t>the Third and Eighth Doctors</t>
  </si>
  <si>
    <t>the Guanabara Confession of Faith</t>
  </si>
  <si>
    <t>What did the Ominde Commission do?</t>
  </si>
  <si>
    <t>What would a Probationer need to do to earn more money, after 6 years?</t>
  </si>
  <si>
    <t>How much did it cost to build Levi's Stadium?</t>
  </si>
  <si>
    <t>Edison Machine Works</t>
  </si>
  <si>
    <t>The Hoppings</t>
  </si>
  <si>
    <t>a thin film of oxide</t>
  </si>
  <si>
    <t>scourge sent to punish Christians</t>
  </si>
  <si>
    <t>When was the 8-4-4 system launched?</t>
  </si>
  <si>
    <t>exhibit a distinct chloroplast dimorphism</t>
  </si>
  <si>
    <t>galleries of continental art</t>
  </si>
  <si>
    <t>computer programs</t>
  </si>
  <si>
    <t>public-key cryptography</t>
  </si>
  <si>
    <t>As Jamukha and Temüjin drifted apart in their friendship, each began consolidating power, and soon became rivals. Jamukha supported the traditional Mongolian aristocracy, while Temüjin followed a meritocratic method, and attracted a broader, though lower class, range of followers. Due to his earlier defeat of the Merkits, and a proclamation by the shaman Kokochu that the Eternal Blue Sky had set aside the world for Temüjin, Temüjin began rising to power. In 1186, Temüjin was elected khan of the Mongols. However, Jamukha, threatened by Temüjin's rapid ascent, quickly moved to stop Temüjin's ambitions. In 1187, he launched an attack against his former friend with an army of thirty thousand troops. Temüjin hastily gathered together his followers to defend against the attack, but he was decisively beaten in the Battle of Dalan Balzhut. Jamukha horrified people greatly and harmed his image by boiling seventy young male captives alive in cauldrons, alienating many of his potential followers and eliciting sympathy for Temüjin. Toghrul, as Temüjin's patron, was exiled to the Qara Khitai. The life of Temüjin for the next ten years is very unclear, as historical records are mostly silent on that period.</t>
  </si>
  <si>
    <t>Second law of thermodynamics</t>
  </si>
  <si>
    <t>What profession are Cany Ash and Robert Sakula?</t>
  </si>
  <si>
    <t>Salafism posits that democracy is responsible for what type of horrible events of the 20th century?</t>
  </si>
  <si>
    <t>How are decisions made on behave of the EU made?</t>
  </si>
  <si>
    <t xml:space="preserve">When rock folds deep in the Earth it can fold one of two ways, when it buckles downwards it creates what? </t>
  </si>
  <si>
    <t>"one-stop shopping"</t>
  </si>
  <si>
    <t xml:space="preserve">What is considered the epitome of the Rhine romanticism? </t>
  </si>
  <si>
    <t>around 8–15</t>
  </si>
  <si>
    <t>When did BSkyB launch it's HDTV service?</t>
  </si>
  <si>
    <t>What responsibilities are pharmacists believed to be taking on more in the future?</t>
  </si>
  <si>
    <t>Where is corporal punishment practiced the most?</t>
  </si>
  <si>
    <t>What is the process by which the antigen/antibody complex is processed in to peptides?</t>
  </si>
  <si>
    <t>almost a month</t>
  </si>
  <si>
    <t>thanks</t>
  </si>
  <si>
    <t>in the early 11th century</t>
  </si>
  <si>
    <t>Christian Perfection</t>
  </si>
  <si>
    <t>become lighter</t>
  </si>
  <si>
    <t>The other major method of producing O
2 gas involves passing a stream of clean, dry air through one bed of a pair of identical zeolite molecular sieves, which absorbs the nitrogen and delivers a gas stream that is 90% to 93% O
2. Simultaneously, nitrogen gas is released from the other nitrogen-saturated zeolite bed, by reducing the chamber operating pressure and diverting part of the oxygen gas from the producer bed through it, in the reverse direction of flow. After a set cycle time the operation of the two beds is interchanged, thereby allowing for a continuous supply of gaseous oxygen to be pumped through a pipeline. This is known as pressure swing adsorption. Oxygen gas is increasingly obtained by these non-cryogenic technologies (see also the related vacuum swing adsorption).</t>
  </si>
  <si>
    <t>Sky Movies and Sky Box office also include what optional soundtracks?</t>
  </si>
  <si>
    <t>Blum complexity axioms</t>
  </si>
  <si>
    <t>What was Kublai Khan's relation to Ogedei Khan?</t>
  </si>
  <si>
    <t>heart</t>
  </si>
  <si>
    <t>How many types of movements do euplokamis tentilla have?</t>
  </si>
  <si>
    <t>The network began running into some trouble in the ratings by 2010. That year, the sixth and final season of Lost became the drama's lowest-rated season since its debut in 2004. Ratings for the once-instant hit Ugly Betty collapsed dramatically after it was moved to Fridays at the start of its fourth season in the fall of 2009; an attempt to boost ratings by moving the dramedy to Wednesdays failed, with its ultimate cancellation by the network eliciting negative reaction from the public, and particularly the show's fanbase. With the network's two former hit shows now out of the picture, the network's remaining top veteran shows Desperate Housewives and Grey's Anatomy, and another hit drama Brothers &amp; Sisters, all ended the 2009–10 season recorded their lowest ratings ever.</t>
  </si>
  <si>
    <t xml:space="preserve">How many members can voters choose to represent the constituency? </t>
  </si>
  <si>
    <t>a general architecture for a large-scale, distributed, survivable communications network</t>
  </si>
  <si>
    <t>eliminate the accusing law.</t>
  </si>
  <si>
    <t>Who purchased or commissioned the works of European artists included the British galleries of the V&amp;A?</t>
  </si>
  <si>
    <t>What is the process by which the immune system identifies tumors called?</t>
  </si>
  <si>
    <t>wanting it exposed to scrutiny.</t>
  </si>
  <si>
    <t>had promised</t>
  </si>
  <si>
    <t>What was Sadat seeking by releasing Islamists from prison?</t>
  </si>
  <si>
    <t>In what century did important classical music developments occur in Normandy?</t>
  </si>
  <si>
    <t>large-scale Jewish conversion to Christianity</t>
  </si>
  <si>
    <t>Which treaty provides that the European Union law be applied to metropolitan territories of member states?</t>
  </si>
  <si>
    <t>Following the Nice Treaty, there was an attempt to reform the constitutional law of the European Union and make it more transparent; this would have also produced a single constitutional document. However, as a result of the referendum in France and the referendum in the Netherlands, the 2004 Treaty establishing a Constitution for Europe never came into force. Instead, the Lisbon Treaty was enacted. Its substance was very similar to the proposed constitutional treaty, but it was formally an amending treaty, and – though it significantly altered the existing treaties – it did not completely replace them.</t>
  </si>
  <si>
    <t>Jewish conversion to Christianity</t>
  </si>
  <si>
    <t>Initially built with three layers, it later (1982) evolved into a seven-layer OSI-compliant networking protocol</t>
  </si>
  <si>
    <t>When do chloroplasts spread out flat?</t>
  </si>
  <si>
    <t>What movie awards show does ABC currently hold the rights to?</t>
  </si>
  <si>
    <t>In late 1886</t>
  </si>
  <si>
    <t>What forces should serve as a brake on wealth concentration?</t>
  </si>
  <si>
    <t>What makes day length constant on Earth?</t>
  </si>
  <si>
    <t>use the potential energy stored in an H+</t>
  </si>
  <si>
    <t>twenty-five widows who settled in Dover</t>
  </si>
  <si>
    <t>Who is the biggest and most advanced economy in east and central Africa?</t>
  </si>
  <si>
    <t>learn about Church and the Methodist-Christian theological tradition in order to profess their ultimate faith in Christ.</t>
  </si>
  <si>
    <t>Provided is a universal Ku band LNB (9.75/10.600 GHz) which is fitted at the end of the dish and pointed at the correct satellite constellation; most digital receivers will receive the free to air channels. Some broadcasts are free-to-air and unencrypted, some are encrypted but do not require a monthly subscription (known as free-to-view), some are encrypted and require a monthly subscription, and some are pay-per-view services. To view the encrypted content a VideoGuard UK equipped receiver (all of which are dedicated to the Sky service, and cannot be used to decrypt other services) needs to be used. Unofficial CAMs are now available to view the service, although use of them breaks the user's contract with Sky and invalidates the user's rights to use the card.</t>
  </si>
  <si>
    <t xml:space="preserve">What network was designed by the french </t>
  </si>
  <si>
    <t>How many teams can boast a 15–1 regular season record?</t>
  </si>
  <si>
    <t>the Mexico–United States border</t>
  </si>
  <si>
    <t>Several procedures</t>
  </si>
  <si>
    <t>In dioxygen how are the two oxygen atoms bonded together?</t>
  </si>
  <si>
    <t>storage conditions, compulsory texts, equipment</t>
  </si>
  <si>
    <t>Kenyans for Kenya</t>
  </si>
  <si>
    <t>sending an email</t>
  </si>
  <si>
    <t>Australian Government</t>
  </si>
  <si>
    <t>grounded</t>
  </si>
  <si>
    <t>What is the name of the country's longest continuously running student film society?</t>
  </si>
  <si>
    <t>easier credit to the lower and middle income earners</t>
  </si>
  <si>
    <t>the north</t>
  </si>
  <si>
    <t>large cilia</t>
  </si>
  <si>
    <t>What was a non-religious reason for the massacre?</t>
  </si>
  <si>
    <t>Why might a physician diagnose a large number of conditions?</t>
  </si>
  <si>
    <t>The next direct threat to Temüjin was the Naimans (Naiman Mongols), with whom Jamukha and his followers took refuge. The Naimans did not surrender, although enough sectors again voluntarily sided with Temüjin. In 1201, a khuruldai elected Jamukha as Gür Khan, "universal ruler", a title used by the rulers of the Qara Khitai. Jamukha's assumption of this title was the final breach with Temüjin, and Jamukha formed a coalition of tribes to oppose him. Before the conflict, however, several generals abandoned Jamukha, including Subutai, Jelme's well-known younger brother. After several battles, Jamukha was finally turned over to Temüjin by his own men in 1206.</t>
  </si>
  <si>
    <t>Above what horsepower are steam turbines usually more efficient than steam engines that use reciprocating pistons?</t>
  </si>
  <si>
    <t xml:space="preserve">UChicago claims to have what kind of learning experience compared to other universities? </t>
  </si>
  <si>
    <t>How old was Chopin when he moved to Warsaw with his family?</t>
  </si>
  <si>
    <t>anti-democratic Islamist movements inspired by Maududi and Sayyid Qutb</t>
  </si>
  <si>
    <t>central highlands</t>
  </si>
  <si>
    <t>What is it called when there is an active attempt to overthrow a government or belief system?</t>
  </si>
  <si>
    <t>constitute civil disobedience</t>
  </si>
  <si>
    <t>The Saxon Garden, covering the area of 15.5 ha, was formally a royal garden. There are over 100 different species of trees and the avenues are a place to sit and relax. At the east end of the park, the Tomb of the Unknown Soldier is situated. In the 19th century the Krasiński Palace Garden was remodelled by Franciszek Szanior. Within the central area of the park one can still find old trees dating from that period: maidenhair tree, black walnut, Turkish hazel and Caucasian wingnut trees. With its benches, flower carpets, a pond with ducks on and a playground for kids, the Krasiński Palace Garden is a popular strolling destination for the Varsovians. The Monument of the Warsaw Ghetto Uprising is also situated here. The Łazienki Park covers the area of 76 ha. The unique character and history of the park is reflected in its landscape architecture (pavilions, sculptures, bridges, cascades, ponds) and vegetation (domestic and foreign species of trees and bushes). What makes this park different from other green spaces in Warsaw is the presence of peacocks and pheasants, which can be seen here walking around freely, and royal carps in the pond. The Wilanów Palace Park, dates back to the second half of the 17th century. It covers the area of 43 ha. Its central French-styled area corresponds to the ancient, baroque forms of the palace. The eastern section of the park, closest to the Palace, is the two-level garden with a terrace facing the pond. The park around the Królikarnia Palace is situated on the old escarpment of the Vistula. The park has lanes running on a few levels deep into the ravines on both sides of the palace.</t>
  </si>
  <si>
    <t>screenings of all available classic episodes</t>
  </si>
  <si>
    <t>How long did Western Europe control Cyprus?</t>
  </si>
  <si>
    <t>older</t>
  </si>
  <si>
    <t>Advanced Steam movement</t>
  </si>
  <si>
    <t>December 3</t>
  </si>
  <si>
    <t>What did Martin Luther's marriage allow?</t>
  </si>
  <si>
    <t>What can be combined with geophysical data to produce a better view of the subsurface?</t>
  </si>
  <si>
    <t>Who did the Panthers play in their division championship game?</t>
  </si>
  <si>
    <t>transport</t>
  </si>
  <si>
    <t>The development of fundamental theories for forces proceeded along the lines of unification of disparate ideas. For example, Isaac Newton unified the force responsible for objects falling at the surface of the Earth with the force responsible for the orbits of celestial mechanics in his universal theory of gravitation. Michael Faraday and James Clerk Maxwell demonstrated that electric and magnetic forces were unified through one consistent theory of electromagnetism. In the 20th century, the development of quantum mechanics led to a modern understanding that the first three fundamental forces (all except gravity) are manifestations of matter (fermions) interacting by exchanging virtual particles called gauge bosons. This standard model of particle physics posits a similarity between the forces and led scientists to predict the unification of the weak and electromagnetic forces in electroweak theory subsequently confirmed by observation. The complete formulation of the standard model predicts an as yet unobserved Higgs mechanism, but observations such as neutrino oscillations indicate that the standard model is incomplete. A Grand Unified Theory allowing for the combination of the electroweak interaction with the strong force is held out as a possibility with candidate theories such as supersymmetry proposed to accommodate some of the outstanding unsolved problems in physics. Physicists are still attempting to develop self-consistent unification models that would combine all four fundamental interactions into a theory of everything. Einstein tried and failed at this endeavor, but currently the most popular approach to answering this question is string theory.:212–219</t>
  </si>
  <si>
    <t>people who give services "for remuneration"</t>
  </si>
  <si>
    <t>The history of the steam engine stretches back as far as the first century AD; the first recorded rudimentary steam engine being the aeolipile described by Greek mathematician Hero of Alexandria. In the following centuries, the few steam-powered "engines" known were, like the aeolipile, essentially experimental devices used by inventors to demonstrate the properties of steam. A rudimentary steam turbine device was described by Taqi al-Din in 1551 and by Giovanni Branca in 1629. Jerónimo de Ayanz y Beaumont received patents in 1606 for fifty steam powered inventions, including a water pump for draining inundated mines. Denis Papin, a Huguenot refugee, did some useful work on the steam digester in 1679, and first used a piston to raise weights in 1690.</t>
  </si>
  <si>
    <t>Which system comes after an organism's physical barriers?</t>
  </si>
  <si>
    <t>Name a luxury model that became popular in the mid-1970s.</t>
  </si>
  <si>
    <t>What does the pleurobrachia have on opposite sides of its body?</t>
  </si>
  <si>
    <t>steam turbine</t>
  </si>
  <si>
    <t>my poverty for the riches of Croesus.</t>
  </si>
  <si>
    <t>Who helped find sponsors and donors to help with the cost?</t>
  </si>
  <si>
    <t>How are eggs and sperm released?</t>
  </si>
  <si>
    <t>The election held in 1988 saw the advent of the mlolongo (queuing) system, where voters were supposed to line up behind their favoured candidates instead of a secret ballot. This was seen as the climax of a very undemocratic regime and it led to widespread agitation for constitutional reform. Several contentious clauses, including one that allowed for only one political party were changed in the following years. In democratic, multiparty elections in 1992 and 1997, Daniel arap Moi won re-election.</t>
  </si>
  <si>
    <t>Defense Secretary</t>
  </si>
  <si>
    <t>Name an extra that was added to the production of the compacts.</t>
  </si>
  <si>
    <t>the people</t>
  </si>
  <si>
    <t>The IPCC Fourth Assessment Report (AR4) published in 2007 featured a graph showing 12 proxy based temperature reconstructions, including the three highlighted in the 2001 Third Assessment Report (TAR); Mann, Bradley &amp; Hughes 1999 as before, Jones et al. 1998 and Briffa 2000 had both been calibrated by newer studies. In addition, analysis of the Medieval Warm Period cited reconstructions by Crowley &amp; Lowery 2000 (as cited in the TAR) and Osborn &amp; Briffa 2006. Ten of these 14 reconstructions covered 1,000 years or longer. Most reconstructions shared some data series, particularly tree ring data, but newer reconstructions used additional data and covered a wider area, using a variety of statistical methods. The section discussed the divergence problem affecting certain tree ring data.</t>
  </si>
  <si>
    <t>Internet Protocol</t>
  </si>
  <si>
    <t>9th</t>
  </si>
  <si>
    <t>What is one of the most dangerous occupations in the world?</t>
  </si>
  <si>
    <t>red-algal</t>
  </si>
  <si>
    <t>1950s through the 1970s</t>
  </si>
  <si>
    <t>April 1, 1963</t>
  </si>
  <si>
    <t>mantle</t>
  </si>
  <si>
    <t>The spin of what can produce a magnetic effect to oxygen molecules?</t>
  </si>
  <si>
    <t>The Skylab had what type of equipment onboard that was supposed to be used in a different mission?</t>
  </si>
  <si>
    <t>a monthly fee</t>
  </si>
  <si>
    <t>was not covered in any newspapers</t>
  </si>
  <si>
    <t>infrequent rain</t>
  </si>
  <si>
    <t>What is the hypersensitive response of a plant immune system?</t>
  </si>
  <si>
    <t>appear to become lighter</t>
  </si>
  <si>
    <t>In what time frame did Tesla weigh almost exactly the same amount?</t>
  </si>
  <si>
    <t>ascetic life of the medieval religious orders</t>
  </si>
  <si>
    <t>How do members vote when there is a division?</t>
  </si>
  <si>
    <t>Which amino acids contain sulfur?</t>
  </si>
  <si>
    <t>Epoxides</t>
  </si>
  <si>
    <t>increased flooding and sedimentation</t>
  </si>
  <si>
    <t>1964, until it achieved the first manned landing in July 1969,</t>
  </si>
  <si>
    <t>In 1999, another special, Doctor Who and the Curse of Fatal Death, was made for Comic Relief and later released on VHS. An affectionate parody of the television series, it was split into four segments, mimicking the traditional serial format, complete with cliffhangers, and running down the same corridor several times when being chased (the version released on video was split into only two episodes). In the story, the Doctor (Rowan Atkinson) encounters both the Master (Jonathan Pryce) and the Daleks. During the special the Doctor is forced to regenerate several times, with his subsequent incarnations played by, in order, Richard E. Grant, Jim Broadbent, Hugh Grant and Joanna Lumley. The script was written by Steven Moffat, later to be head writer and executive producer to the revived series.</t>
  </si>
  <si>
    <t xml:space="preserve">This type of system is known as </t>
  </si>
  <si>
    <t>What part the composition of the Earth's atmosphere is comprised of oxygen?</t>
  </si>
  <si>
    <t>Because oil was priced in dollars, oil producers' real income decreased</t>
  </si>
  <si>
    <t>16th and 17th centuries,</t>
  </si>
  <si>
    <t>civil disobedience</t>
  </si>
  <si>
    <t>Thailand</t>
  </si>
  <si>
    <t>if a complete list of primes up to  is known</t>
  </si>
  <si>
    <t>When did Luther enter into the senate of the Theology faculty of the University of Wittenberg?</t>
  </si>
  <si>
    <t>Who did Luther write about, but seldom met?</t>
  </si>
  <si>
    <t>When the FCC imposed its fin-syn rules in 1970, ABC proactively created two companies: Worldvision Enterprises as a syndication distributor, and ABC Circle Films as a production company. However, between the publication and implementation of these regulations, the separation of the network's catalog was made in 1973. The broadcast rights to pre-1973 productions were transferred to Worldvision, which became independent in the same year. The company has been sold several times since Paramount Television acquired it in 1999, and has most recently been absorbed into CBS Television Distribution, a unit of CBS Corporation. Nonetheless, Worldvision sold portions of its catalog, including the Ruby-Spears and Hanna-Barbera libraries, to Turner Broadcasting System in 1990. With Disney's 1996 purchase of ABC, ABC Circle Films was absorbed into Touchstone Television, a Disney subsidiary which in turn was renamed ABC Studios in 2007.</t>
  </si>
  <si>
    <t>Lead fusible plugs</t>
  </si>
  <si>
    <t>Which train company provides local and regional services?</t>
  </si>
  <si>
    <t>North America</t>
  </si>
  <si>
    <t>Students build stronger relationships with what type of teachers?</t>
  </si>
  <si>
    <t>In 1975, Season 11 of the series won a Writers' Guild of Great Britain award for Best Writing in a Children's Serial. In 1996, BBC television held the "Auntie Awards" as the culmination of their "TV60" series, celebrating 60 years of BBC television broadcasting, where Doctor Who was voted as the "Best Popular Drama" the corporation had ever produced, ahead of such ratings heavyweights as EastEnders and Casualty. In 2000, Doctor Who was ranked third in a list of the 100 Greatest British Television Programmes of the 20th century, produced by the British Film Institute and voted on by industry professionals. In 2005, the series came first in a survey by SFX magazine of "The Greatest UK Science Fiction and Fantasy Television Series Ever". Also, in the 100 Greatest Kids' TV shows (a Channel 4 countdown in 2001), the 1963–1989 run was placed at number eight.</t>
  </si>
  <si>
    <t>How is civil disobedience typically defined in connection of the citizen's?</t>
  </si>
  <si>
    <t>late 1970s</t>
  </si>
  <si>
    <t>Founded by the American Baptist Education Society with a donation from oil magnate and wealthiest man in history John D. Rockefeller, the University of Chicago was incorporated in 1890; William Rainey Harper became the university's first president in 1891, and the first classes were held in 1892. Both Harper and future president Robert Maynard Hutchins advocated for Chicago's curriculum to be based upon theoretical and perennial issues rather than on applied sciences and commercial utility. With Harper's vision in mind, the University of Chicago also became one of the 14 founding members of the Association of American Universities, an international organization of leading research universities, in 1900.</t>
  </si>
  <si>
    <t>the Egg of Columbus</t>
  </si>
  <si>
    <t>alcohol</t>
  </si>
  <si>
    <t>For whom was the Small Catechism meant?</t>
  </si>
  <si>
    <t>autoimmune disorders</t>
  </si>
  <si>
    <t>How is dioxygen most simply described?</t>
  </si>
  <si>
    <t>50% more</t>
  </si>
  <si>
    <t>Prime numbers give rise to two more general concepts that apply to elements of any commutative ring R, an algebraic structure where addition, subtraction and multiplication are defined: prime elements and irreducible elements. An element p of R is called prime element if it is neither zero nor a unit (i.e., does not have a multiplicative inverse) and satisfies the following requirement: given x and y in R such that p divides the product xy, then p divides x or y. An element is irreducible if it is not a unit and cannot be written as a product of two ring elements that are not units. In the ring Z of integers, the set of prime elements equals the set of irreducible elements, which is</t>
  </si>
  <si>
    <t>On what date was oxygen liquefied in a stable form?</t>
  </si>
  <si>
    <t>the Anglo-Saxons</t>
  </si>
  <si>
    <t>duty</t>
  </si>
  <si>
    <t>the BBC National Orchestra of Wales</t>
  </si>
  <si>
    <t>What did historians do in the absence of census figures?</t>
  </si>
  <si>
    <t>What is it called when the tax rate and base amount increase simultaneously?</t>
  </si>
  <si>
    <t>a closed system</t>
  </si>
  <si>
    <t>for Tesla to further develop and produce a new lighting system</t>
  </si>
  <si>
    <t>The largest objects in the V&amp;A ceramics and glass collection were produced during which time period?</t>
  </si>
  <si>
    <t>Salaries for primary teachers in Ireland depend mainly on seniority (i.e. holding the position of principal, deputy principal or assistant principal), experience and qualifications. Extra pay is also given for teaching through the Irish language, in a Gaeltacht area or on an island. The basic pay for a starting teacher is €27,814 p.a., rising incrementally to €53,423 for a teacher with 25 years service. A principal of a large school with many years experience and several qualifications (M.A., H.Dip., etc.) could earn over €90,000.</t>
  </si>
  <si>
    <t>elect and appoint bishops</t>
  </si>
  <si>
    <t>How long is one term for an elected president of the CJEU?</t>
  </si>
  <si>
    <t>major car brands</t>
  </si>
  <si>
    <t>theatres.</t>
  </si>
  <si>
    <t>German-language publications</t>
  </si>
  <si>
    <t>dispatched six regiments to New France under the command of Baron Dieskau in 1755</t>
  </si>
  <si>
    <t>What set is a seat added to after being allocated?</t>
  </si>
  <si>
    <t>he may have intercepted Marconi's European experiments</t>
  </si>
  <si>
    <t>What government agency supervised Buddhist monks?</t>
  </si>
  <si>
    <t>Who opened the new Parliament building on October 9, 2004?</t>
  </si>
  <si>
    <t>Schrödinger</t>
  </si>
  <si>
    <t>When did the Warsaw area enlargement take place?</t>
  </si>
  <si>
    <t>The largest share of Kenya's electricity supply comes from hydroelectric stations at dams along the upper Tana River, as well as the Turkwel Gorge Dam in the west. A petroleum-fired plant on the coast, geothermal facilities at Olkaria (near Nairobi), and electricity imported from Uganda make up the rest of the supply. Kenya's installed capacity stood at 1,142 megawatts between 2001 and 2003. The state-owned Kenya Electricity Generating Company (KenGen), established in 1997 under the name of Kenya Power Company, handles the generation of electricity, while Kenya Power handles the electricity transmission and distribution system in the country. Shortfalls of electricity occur periodically, when drought reduces water flow. To become energy sufficient, Kenya aims to build a nuclear power plant by 2017.</t>
  </si>
  <si>
    <t>What rules does the IPCC have to follow?</t>
  </si>
  <si>
    <t>a ribosome</t>
  </si>
  <si>
    <t>their original peridinin chloroplast</t>
  </si>
  <si>
    <t>Who did the Carolina Panthers beat in the 2015 NFC Championship game?</t>
  </si>
  <si>
    <t>Why did Warsaw gain the title of the "Phoenix City"?</t>
  </si>
  <si>
    <t>to avoid being targeted by the boycott</t>
  </si>
  <si>
    <t>What was the idealized value of imperialism?</t>
  </si>
  <si>
    <t>On what date was the record low temperature in Fresno?</t>
  </si>
  <si>
    <t>Israelis</t>
  </si>
  <si>
    <t>The Port of Long Beach belongs to which region of California?</t>
  </si>
  <si>
    <t>small-business proprietors</t>
  </si>
  <si>
    <t>What practical role does defining the complexity of problems play in everyday computing?</t>
  </si>
  <si>
    <t>acquittal and avoid imprisonment</t>
  </si>
  <si>
    <t>Newborn infants have no prior exposure to microbes and are particularly vulnerable to infection. Several layers of passive protection are provided by the mother. During pregnancy, a particular type of antibody, called IgG, is transported from mother to baby directly across the placenta, so human babies have high levels of antibodies even at birth, with the same range of antigen specificities as their mother. Breast milk or colostrum also contains antibodies that are transferred to the gut of the infant and protect against bacterial infections until the newborn can synthesize its own antibodies. This is passive immunity because the fetus does not actually make any memory cells or antibodies—it only borrows them. This passive immunity is usually short-term, lasting from a few days up to several months. In medicine, protective passive immunity can also be transferred artificially from one individual to another via antibody-rich serum.</t>
  </si>
  <si>
    <t>Each deacon in full connection is a member of what?</t>
  </si>
  <si>
    <t>non-political Islam</t>
  </si>
  <si>
    <t>How much land do farms use in Victoria?</t>
  </si>
  <si>
    <t>letters</t>
  </si>
  <si>
    <t>Juvenile platyctenids act like what?</t>
  </si>
  <si>
    <t>What color pants did the Broncos wear in Super Bowl 50?</t>
  </si>
  <si>
    <t>workforce consultation in businesses</t>
  </si>
  <si>
    <t>What is key to getting the skills needed for high demand jobs?</t>
  </si>
  <si>
    <t>the Data Distribution Centre and the National Greenhouse Gas Inventories Programme</t>
  </si>
  <si>
    <t>In what became known as the St. Bartholomew's Day Massacre of 24 August – 3 October 1572, Catholics killed thousands of Huguenots in Paris. Similar massacres took place in other towns in the weeks following. The main provincial towns and cities experiencing the Massacre were Aix, Bordeaux, Bourges, Lyons, Meaux, Orleans, Rouen, Toulouse, and Troyes. Nearly 3,000 Protestants were slaughtered in Toulouse alone. The exact number of fatalities throughout the country is not known. On 23–24 August, between about 2,000 and 3,000 Protestants were killed in Paris and between 3,000 and 7,000 more in the French provinces. By 17 September, almost 25,000 Protestants had been massacred in Paris alone. Beyond Paris, the killings continued until 3 October. An amnesty granted in 1573 pardoned the perpetrators.[citation needed]</t>
  </si>
  <si>
    <t>possibility of the transmission</t>
  </si>
  <si>
    <t>"simple people</t>
  </si>
  <si>
    <t>The effect of Luther's intervention was immediate. After the sixth sermon, the Wittenberg jurist Jerome Schurf wrote to the elector: "Oh, what joy has Dr. Martin's return spread among us! His words, through divine mercy, are bringing back every day misguided people into the way of the truth."</t>
  </si>
  <si>
    <t>The Pilgrim Street building was refurbished between November 2006 and May 2008; during the refurbishment works, the cinema relocated to the Old Town Hall, Gateshead. In May 2008 the Tyneside Cinema reopened in the restored and refurbished original building. The site currently houses three cinemas, including the restored Classic —the United Kingdom's last surviving news cinema still in full-time operation—alongside two new screens, a roof extension containing the Tyneside Bar, and dedicated education and teaching suites.</t>
  </si>
  <si>
    <t>Over the next five days, private conferences were held to determine Luther's fate. The Emperor presented the final draft of the Edict of Worms on 25 May 1521, declaring Luther an outlaw, banning his literature, and requiring his arrest: "We want him to be apprehended and punished as a notorious heretic." It also made it a crime for anyone in Germany to give Luther food or shelter. It permitted anyone to kill Luther without legal consequence.</t>
  </si>
  <si>
    <t>Who is the president of TUMAS?</t>
  </si>
  <si>
    <t>What would a teacher do for someone who is timid?</t>
  </si>
  <si>
    <t>inherited</t>
  </si>
  <si>
    <t>to emphasize academics over athletics</t>
  </si>
  <si>
    <t>47°39′N 9°19′E﻿ / ﻿47.650°N 9.317°E﻿ / 47.650; 9.317.</t>
  </si>
  <si>
    <t>higher rates</t>
  </si>
  <si>
    <t>How do some scholars view the Nazi use of Luther's work?</t>
  </si>
  <si>
    <t>adenosine triphosphate</t>
  </si>
  <si>
    <t>Many complexity classes are defined using the concept of a reduction. A reduction is a transformation of one problem into another problem. It captures the informal notion of a problem being at least as difficult as another problem. For instance, if a problem X can be solved using an algorithm for Y, X is no more difficult than Y, and we say that X reduces to Y. There are many different types of reductions, based on the method of reduction, such as Cook reductions, Karp reductions and Levin reductions, and the bound on the complexity of reductions, such as polynomial-time reductions or log-space reductions.</t>
  </si>
  <si>
    <t>NFL Experience</t>
  </si>
  <si>
    <t>In contrast to product requirements or other laws that hinder market access, the Court of Justice developed a presumption that "selling arrangements" would be presumed to not fall into TFEU article 34, if they applied equally to all sellers, and affected them in the same manner in fact. In Keck and Mithouard two importers claimed that their prosecution under a French competition law, which prevented them selling Picon beer under wholesale price, was unlawful. The aim of the law was to prevent cut throat competition, not to hinder trade. The Court of Justice held, as "in law and in fact" it was an equally applicable "selling arrangement" (not something that alters a product's content) it was outside the scope of article 34, and so did not need to be justified. Selling arrangements can be held to have an unequal effect "in fact" particularly where traders from another member state are seeking to break into the market, but there are restrictions on advertising and marketing. In Konsumentombudsmannen v De Agostini the Court of Justice reviewed Swedish bans on advertising to children under age 12, and misleading commercials for skin care products. While the bans have remained (justifiable under article 36 or as a mandatory requirement) the Court emphasised that complete marketing bans could be disproportionate if advertising were "the only effective form of promotion enabling [a trader] to penetrate" the market. In Konsumentombudsmannen v Gourmet AB the Court suggested that a total ban for advertising alcohol on the radio, TV and in magazines could fall within article 34 where advertising was the only way for sellers to overcome consumers' "traditional social practices and to local habits and customs" to buy their products, but again the national courts would decide whether it was justified under article 36 to protect public health. Under the Unfair Commercial Practices Directive, the EU harmonised restrictions on restrictions on marketing and advertising, to forbid conduct that distorts average consumer behaviour, is misleading or aggressive, and sets out a list of examples that count as unfair. Increasingly, states have to give mutual recognition to each other's standards of regulation, while the EU has attempted to harmonise minimum ideals of best practice. The attempt to raise standards is hoped to avoid a regulatory "race to the bottom", while allowing consumers access to goods from around the continent.</t>
  </si>
  <si>
    <t>pre-Heian Imperial court</t>
  </si>
  <si>
    <t>National Type</t>
  </si>
  <si>
    <t>NE1fm launched on 8 June 2007, the first full-time community radio station in the area. Newcastle Student Radio is run by students from both of the city's universities, broadcasting from Newcastle University's student's union building during term time. Radio Tyneside has been the voluntary hospital radio service for most hospitals across Newcastle and Gateshead since 1951, broadcasting on Hospedia  and online. The city also has a Radio Lollipop station based at the Great North Children's Hospital in the Newcastle Royal Victoria Infirmary.</t>
  </si>
  <si>
    <t>What do C4 plants need?</t>
  </si>
  <si>
    <t>How are the total numbers of seats allocated to parties?</t>
  </si>
  <si>
    <t>What did Kublai do to prevent famines?</t>
  </si>
  <si>
    <t>At the outbreak of World War I in August 1914, the governors of British East Africa (as the Protectorate was generally known) and German East Africa agreed a truce in an attempt to keep the young colonies out of direct hostilities. Lt Col Paul von Lettow-Vorbeck took command of the German military forces, determined to tie down as many British resources as possible. Completely cut off from Germany, von Lettow conducted an effective guerrilla warfare campaign, living off the land, capturing British supplies, and remaining undefeated. He eventually surrendered in Northern Rhodesia (today Zambia) fourteen days after the Armistice was signed in 1918.</t>
  </si>
  <si>
    <t>According to Ellen Churchill Semple what type of climate was necessary for humans to become fully human?</t>
  </si>
  <si>
    <t>center of mass</t>
  </si>
  <si>
    <t>Does the new deal include Video on demand and High Definition?</t>
  </si>
  <si>
    <t>compounds of oxygen with a high oxidative potential</t>
  </si>
  <si>
    <t>in action-reaction pairs</t>
  </si>
  <si>
    <t>whether he stood by their contents.</t>
  </si>
  <si>
    <t>What dictionary contains a non- violent definition?</t>
  </si>
  <si>
    <t>Even though some proofs of complexity-theoretic theorems regularly assume some concrete choice of input encoding, one tries to keep the discussion abstract enough to be independent of the choice of encoding. This can be achieved by ensuring that different representations can be transformed into each other efficiently.</t>
  </si>
  <si>
    <t>Saturday Night Football</t>
  </si>
  <si>
    <t>What is an Islamic revival movement?</t>
  </si>
  <si>
    <t>Where did this pro-reform leader teach?</t>
  </si>
  <si>
    <t>How were British able to cut supplies to Louisbourg?</t>
  </si>
  <si>
    <t>Luther's Commentary on Genesis contains a passage which concludes that "the soul does not sleep (anima non sic dormit), but wakes (sed vigilat) and experiences visions". Francis Blackburne in 1765 argued that John Jortin misread this and other passages from Luther, while Gottfried Fritschel pointed out in 1867 that it actually refers to the soul of a man "in this life" (homo enim in hac vita) tired from his daily labour (defatigus diurno labore) who at night enters his bedchamber (sub noctem intrat in cubiculum suum) and whose sleep is interrupted by dreams.</t>
  </si>
  <si>
    <t>the Yellow River</t>
  </si>
  <si>
    <t>time and storage</t>
  </si>
  <si>
    <t>What folks are likely to use words like "howay" and "hadaway"?</t>
  </si>
  <si>
    <t>41 °C</t>
  </si>
  <si>
    <t>Article 101(1)</t>
  </si>
  <si>
    <t>Later in life, Tesla made claims concerning a "teleforce" weapon after studying the Van de Graaff generator. The press variably referred to it as a "peace ray" or death ray. Tesla described the weapon as capable of being used against ground-based infantry or for anti-aircraft purposes.</t>
  </si>
  <si>
    <t>reasonably well</t>
  </si>
  <si>
    <t>on the road back to Samarkand</t>
  </si>
  <si>
    <t>When did the Sarah Jane series begin?</t>
  </si>
  <si>
    <t>What is one factor that increases the importance of the pharmacy performing at a high level?</t>
  </si>
  <si>
    <t>square root of n</t>
  </si>
  <si>
    <t>inspiring</t>
  </si>
  <si>
    <t>end of the 19th century</t>
  </si>
  <si>
    <t xml:space="preserve">Why was the Rhine measurement changed? </t>
  </si>
  <si>
    <t>international law</t>
  </si>
  <si>
    <t>There are also many places commemorating the heroic history of Warsaw. Pawiak, an infamous German Gestapo prison now occupied by a Mausoleum of Memory of Martyrdom and the museum, is only the beginning of a walk in the traces of Heroic City. The Warsaw Citadel, an impressive 19th-century fortification built after the defeat of the November Uprising, was a place of martyr for the Poles. Another important monument, the statue of Little Insurgent located at the ramparts of the Old Town, commemorates the children who served as messengers and frontline troops in the Warsaw Uprising, while the impressive Warsaw Uprising Monument by Wincenty Kućma was erected in memory of the largest insurrection of World War II.</t>
  </si>
  <si>
    <t>What will the output be for a member of the language of a decision problem?</t>
  </si>
  <si>
    <t>What building from the 19th century was destroyed between the 1950s and 1960s?</t>
  </si>
  <si>
    <t>In 2005, approximately how many members were in the UMC?</t>
  </si>
  <si>
    <t>principal's office</t>
  </si>
  <si>
    <t>the Second Republic</t>
  </si>
  <si>
    <t>tea, horticultural produce, and coffee</t>
  </si>
  <si>
    <t>1964 and 1968</t>
  </si>
  <si>
    <t>curriculum standards</t>
  </si>
  <si>
    <t>What is the Rankine cycle sometimes called?</t>
  </si>
  <si>
    <t>extension of the Florida East Coast Railway further south</t>
  </si>
  <si>
    <t>demand for higher quality housing increased</t>
  </si>
  <si>
    <t>swimming-plates</t>
  </si>
  <si>
    <t>Sixty percent</t>
  </si>
  <si>
    <t>quality of a country's institutions and high levels of education</t>
  </si>
  <si>
    <t>Truth, Justice and Reconciliation Commission</t>
  </si>
  <si>
    <t>induction</t>
  </si>
  <si>
    <t>The French population numbered about 75,000 and was heavily concentrated along the St. Lawrence River valley, with some also in Acadia (present-day New Brunswick and parts of Nova Scotia, including Île Royale (present-day Cape Breton Island)). Fewer lived in New Orleans, Biloxi, Mississippi, Mobile, Alabama and small settlements in the Illinois Country, hugging the east side of the Mississippi River and its tributaries. French fur traders and trappers traveled throughout the St. Lawrence and Mississippi watersheds, did business with local tribes, and often married Indian women. Traders married daughters of chiefs, creating high-ranking unions.</t>
  </si>
  <si>
    <t>physicians</t>
  </si>
  <si>
    <t>When did Germanic tribes cross the Rhine to migrate?</t>
  </si>
  <si>
    <t>chemical oxygen generators</t>
  </si>
  <si>
    <t>from the 14th to the 19th century</t>
  </si>
  <si>
    <t>he could feel a sharp stinging pain where it entered his body</t>
  </si>
  <si>
    <t>many celebrated seasons</t>
  </si>
  <si>
    <t>political unity of China and much of central Asia</t>
  </si>
  <si>
    <t>When did The German Peasants War happen?</t>
  </si>
  <si>
    <t>How many divisions comprised Genghis Khan's army in Khwarezmia?</t>
  </si>
  <si>
    <t>the United Nations</t>
  </si>
  <si>
    <t>a German Nazi colonial administration</t>
  </si>
  <si>
    <t>In Hinduism the spiritual teacher is known as a guru, and, in many traditions of Hinduism - especially those common in the West - the emphasis on spiritual mentorship is extremely high, with gurus often exercising a great deal of control over the lives of their disciples.</t>
  </si>
  <si>
    <t>in schools</t>
  </si>
  <si>
    <t>distorting the grana and thylakoids</t>
  </si>
  <si>
    <t>While the Treaties and Regulations will have direct effect (if clear, unconditional and immediate), Directives do not generally give citizens (as opposed to the member state) standing to sue other citizens. In theory, this is because TFEU article 288 says Directives are addressed to the member states and usually "leave to the national authorities the choice of form and methods" to implement. In part this reflects that directives often create minimum standards, leaving member states to apply higher standards. For example, the Working Time Directive requires that every worker has at least 4 weeks paid holidays each year, but most member states require more than 28 days in national law. However, on the current position adopted by the Court of Justice, citizens have standing to make claims based on national laws that implement Directives, but not from Directives themselves. Directives do not have so called "horizontal" direct effect (i.e. between non-state parties). This view was instantly controversial, and in the early 1990s three Advocate Generals persuasively argued that Directives should create rights and duties for all citizens. The Court of Justice refused, but there are five large exceptions.</t>
  </si>
  <si>
    <t>When were the Daleks reintroduced in the revival series?</t>
  </si>
  <si>
    <t>How are nuclear forces transmitted?</t>
  </si>
  <si>
    <t>meeting initially in a sail loft on Dock Street</t>
  </si>
  <si>
    <t>What was the purpose of Loudoun's troops at Fort Henry?</t>
  </si>
  <si>
    <t>What did Martin Luther believe achieved God's Grace?</t>
  </si>
  <si>
    <t>In July 2015</t>
  </si>
  <si>
    <t>river systems</t>
  </si>
  <si>
    <t>lands west of the Appalachian Mountains</t>
  </si>
  <si>
    <t>What is the area called where one plate subducts under another?</t>
  </si>
  <si>
    <t>Apicomplexans are another group of chromalveolates. Like the helicosproidia, they're parasitic, and have a nonphotosynthetic chloroplast. They were once thought to be related to the helicosproidia, but it is now known that the helicosproida are green algae rather than chromalveolates. The apicomplexans include Plasmodium, the malaria parasite. Many apicomplexans keep a vestigial red algal derived chloroplast called an apicoplast, which they inherited from their ancestors. Other apicomplexans like Cryptosporidium have lost the chloroplast completely. Apicomplexans store their energy in amylopectin starch granules that are located in their cytoplasm, even though they are nonphotosynthetic.</t>
  </si>
  <si>
    <t>arms</t>
  </si>
  <si>
    <t>In 1870, Tesla moved to Karlovac, to attend school at the Higher Real Gymnasium, where he was profoundly influenced by a math teacher Martin Sekulić.:32 The classes were held in German, as it was a school within the Austro-Hungarian Military Frontier. Tesla was able to perform integral calculus in his head, which prompted his teachers to believe that he was cheating. He finished a four-year term in three years, graduating in 1873.:33</t>
  </si>
  <si>
    <t>outcome of most votes</t>
  </si>
  <si>
    <t>United Methodist Church</t>
  </si>
  <si>
    <t>What later actions by the Nazis could be traced back to Luther's rhetoric?</t>
  </si>
  <si>
    <t>Interactive</t>
  </si>
  <si>
    <t>AD 14</t>
  </si>
  <si>
    <t>by the eastern border</t>
  </si>
  <si>
    <t>p − 1 or a divisor of p − 1</t>
  </si>
  <si>
    <t>conscription</t>
  </si>
  <si>
    <t>Reformation doctrine</t>
  </si>
  <si>
    <t>British occupation</t>
  </si>
  <si>
    <t>colonization, use of military force, or other means</t>
  </si>
  <si>
    <t>passing a stream of clean, dry air through one bed of a pair of identical zeolite molecular sieves</t>
  </si>
  <si>
    <t>the Great Yuan</t>
  </si>
  <si>
    <t>Board Certified Ambulatory Care Pharmacist</t>
  </si>
  <si>
    <t>the integer factorization problem</t>
  </si>
  <si>
    <t>From what distance could the artificial thunder be heard.</t>
  </si>
  <si>
    <t>What is the dispensary subject to in a majority of countries?</t>
  </si>
  <si>
    <t>Gamma delta T cells rearrange TCR genes to produce what?</t>
  </si>
  <si>
    <t>How much Saharan dust is blown and falls upon the Caribbean Sea each year?</t>
  </si>
  <si>
    <t>What was started after these new programs were in place?</t>
  </si>
  <si>
    <t>tourism</t>
  </si>
  <si>
    <t>What did Luther form in 1525 to 1529?</t>
  </si>
  <si>
    <t xml:space="preserve">This causes the rock unit as a whole to become longer and thinner. </t>
  </si>
  <si>
    <t>the Tyne and Wear Passenger Transport Executive</t>
  </si>
  <si>
    <t>What did Luther think was the only source of knowledge of God?</t>
  </si>
  <si>
    <t>lupus erythematosus</t>
  </si>
  <si>
    <t>What types of engines are steam engines?</t>
  </si>
  <si>
    <t>personal presence</t>
  </si>
  <si>
    <t>all angles remain the same</t>
  </si>
  <si>
    <t>What is the second busiest container port in the United States?</t>
  </si>
  <si>
    <t>North American provinces</t>
  </si>
  <si>
    <t>adaptive immune system.</t>
  </si>
  <si>
    <t>He insisted that, since forgiveness was God's alone to grant, those who claimed that indulgences absolved buyers from all punishments and granted them salvation were in error. Christians, he said, must not slacken in following Christ on account of such false assurances.</t>
  </si>
  <si>
    <t>How many plays was Denver kept out of the end zone after getting the ball from Newton?</t>
  </si>
  <si>
    <t>recanted 41 sentences</t>
  </si>
  <si>
    <t>matching white</t>
  </si>
  <si>
    <t>In which article does the Treaty of Lisbon prohibit anti-competitive agreements?</t>
  </si>
  <si>
    <t>What influences chloroplasts' behavior?</t>
  </si>
  <si>
    <t>imprisonment</t>
  </si>
  <si>
    <t>How can you find the absolute age of sedimentary rock units which do not contain radioactive isotopes?</t>
  </si>
  <si>
    <t>even numbers</t>
  </si>
  <si>
    <t>American Broadcasting-Paramount Theatres, Inc</t>
  </si>
  <si>
    <t>The time required to output an answer on a deterministic Turing machine is expressed as what?</t>
  </si>
  <si>
    <t>Other than the San Jacinto Fault, and the Elsinore Fault, name one other fault.</t>
  </si>
  <si>
    <t>What was used to from political alliances among the Mongolian tribal confederations?</t>
  </si>
  <si>
    <t>Free oxygen also occurs in solution in the world's water bodies. The increased solubility of O
2 at lower temperatures (see Physical properties) has important implications for ocean life, as polar oceans support a much higher density of life due to their higher oxygen content. Water polluted with plant nutrients such as nitrates or phosphates may stimulate growth of algae by a process called eutrophication and the decay of these organisms and other biomaterials may reduce amounts of O
2 in eutrophic water bodies. Scientists assess this aspect of water quality by measuring the water's biochemical oxygen demand, or the amount of O
2 needed to restore it to a normal concentration.</t>
  </si>
  <si>
    <t>1–3 cm (0.39–1.18 in) per century</t>
  </si>
  <si>
    <t>stationary</t>
  </si>
  <si>
    <t>Roman Catholic Church</t>
  </si>
  <si>
    <t>declined significantly</t>
  </si>
  <si>
    <t>constituency</t>
  </si>
  <si>
    <t>builders ask for too little money to complete the project</t>
  </si>
  <si>
    <t>Party of National Unity</t>
  </si>
  <si>
    <t>an outside proposer</t>
  </si>
  <si>
    <t>successful</t>
  </si>
  <si>
    <t>While most Internet pharmacies sell prescription drugs and require a valid prescription, some Internet pharmacies sell prescription drugs without requiring a prescription. Many customers order drugs from such pharmacies to avoid the "inconvenience" of visiting a doctor or to obtain medications which their doctors were unwilling to prescribe. However, this practice has been criticized as potentially dangerous, especially by those who feel that only doctors can reliably assess contraindications, risk/benefit ratios, and an individual's overall suitability for use of a medication. There also have been reports of such pharmacies dispensing substandard products.</t>
  </si>
  <si>
    <t xml:space="preserve">What did the analysis from the sediment deposits indicate? </t>
  </si>
  <si>
    <t>What do apicoplasts synthesize?</t>
  </si>
  <si>
    <t>What did Paul-Louis Simond establish in 1898?</t>
  </si>
  <si>
    <t>public PAD service Telepad (using the DNIC 2049</t>
  </si>
  <si>
    <t>killer T cell and the helper T cell</t>
  </si>
  <si>
    <t>Which set of countries have higher economic mobility than the United States?</t>
  </si>
  <si>
    <t>50% oxygen</t>
  </si>
  <si>
    <t>painting, poetry, and calligraphy</t>
  </si>
  <si>
    <t>While producing oxygen, what gas does a zeolite sieve absorb?</t>
  </si>
  <si>
    <t>Who did the Broncos prevent from going to the Super Bowl?</t>
  </si>
  <si>
    <t>Dock Street</t>
  </si>
  <si>
    <t>What are the exceptions in the constitution  that require special considerations to amend?</t>
  </si>
  <si>
    <t>What is the equality of forces between two objects exerting force on each other??</t>
  </si>
  <si>
    <t>the U.S.</t>
  </si>
  <si>
    <t>digital streams</t>
  </si>
  <si>
    <t>Los Angeles (at 3.7 million people) and San Diego (at 1.3 million people), both in southern California, are the two largest cities in all of California (and two of the eight largest cities in the United States). In southern California there are also twelve cities with more than 200,000 residents and 34 cities over 100,000 in population. Many of southern California's most developed cities lie along or in close proximity to the coast, with the exception of San Bernardino and Riverside.</t>
  </si>
  <si>
    <t>In the course of the 10th century, the initially destructive incursions of Norse war bands into the rivers of France evolved into more permanent encampments that included local women and personal property. The Duchy of Normandy, which began in 911 as a fiefdom, was established by the treaty of Saint-Clair-sur-Epte between King Charles III of West Francia and the famed Viking ruler Rollo, and was situated in the former Frankish kingdom of Neustria. The treaty offered Rollo and his men the French lands between the river Epte and the Atlantic coast in exchange for their protection against further Viking incursions. The area corresponded to the northern part of present-day Upper Normandy down to the river Seine, but the Duchy would eventually extend west beyond the Seine. The territory was roughly equivalent to the old province of Rouen, and reproduced the Roman administrative structure of Gallia Lugdunensis II (part of the former Gallia Lugdunensis).</t>
  </si>
  <si>
    <t>What may be named after a biblical figure?</t>
  </si>
  <si>
    <t>When there are many workers competing for a few jobs its considered as what?</t>
  </si>
  <si>
    <t>How many items is the University Library home to?</t>
  </si>
  <si>
    <t>disobedience of laws</t>
  </si>
  <si>
    <t>Which articles state that powers stay with member states unless they've been conferred?</t>
  </si>
  <si>
    <t>Structural geologists</t>
  </si>
  <si>
    <t>the WWF report</t>
  </si>
  <si>
    <t>he explored the mountains in hunter's garb</t>
  </si>
  <si>
    <t>dangerous by-products</t>
  </si>
  <si>
    <t>How does adaptive/acquired immunity help in the future?</t>
  </si>
  <si>
    <t>For example, consider the deterministic sorting algorithm quicksort. This solves the problem of sorting a list of integers that is given as the input. The worst-case is when the input is sorted or sorted in reverse order, and the algorithm takes time O(n2) for this case. If we assume that all possible permutations of the input list are equally likely, the average time taken for sorting is O(n log n). The best case occurs when each pivoting divides the list in half, also needing O(n log n) time.</t>
  </si>
  <si>
    <t>What writing inspired the name Great Yuan?</t>
  </si>
  <si>
    <t>the filling of molecular orbitals formed from the atomic orbitals of the individual oxygen atoms</t>
  </si>
  <si>
    <t>There were many Mongols with what unexpected status?</t>
  </si>
  <si>
    <t>When was the study on sequenced Y genomes published?</t>
  </si>
  <si>
    <t>Where are international corporations headquartered?</t>
  </si>
  <si>
    <t>What Senate committee did Singer speak to in July 2000?</t>
  </si>
  <si>
    <t>communist</t>
  </si>
  <si>
    <t>NASA's current human spaceflight capability, and funded construction of its Johnson Space Center and Kennedy Space Center</t>
  </si>
  <si>
    <t>What was one thing that was specifically tested on the Apollo 4 test launch regarding the CM?</t>
  </si>
  <si>
    <t>Maududi was trained as a lawyer, but chose what professional for himself instead?</t>
  </si>
  <si>
    <t>Christmas Eve</t>
  </si>
  <si>
    <t>eggs and sperm mature at different times</t>
  </si>
  <si>
    <t>(up to a thousand times as many) inside the thylakoid system than in the stroma</t>
  </si>
  <si>
    <t>Constitutional impasse is different from civil disobedience because does not include what type of person?</t>
  </si>
  <si>
    <t>What term is shorthand for antibody generators?</t>
  </si>
  <si>
    <t>What does ctenophora use for digestion and respiration?</t>
  </si>
  <si>
    <t>Another green space in Newcastle is the Town Moor, lying immediately north of the city centre. It is larger than London's famous Hyde Park and Hampstead Heath put together and the freemen of the city have the right to graze cattle on it. The right incidentally extends to the pitch of St. James' Park, Newcastle United Football Club's ground, though this is not exercised, although the Freemen do collect rent for the loss of privilege. Honorary freemen include Bob Geldof, King Harald V of Norway, Bobby Robson, Alan Shearer, the late Nelson Mandela and the Royal Shakespeare Company. The Hoppings funfair, said to be the largest travelling funfair in Europe, is held here annually in June.</t>
  </si>
  <si>
    <t>courts of member states</t>
  </si>
  <si>
    <t>the Red Army was nearing the city</t>
  </si>
  <si>
    <t>What are private secondary schools in Germany called?</t>
  </si>
  <si>
    <t>the rain shadow</t>
  </si>
  <si>
    <t>What are incompetent government's commitment to social justice limited to?</t>
  </si>
  <si>
    <t>What are some examples of territories where a member state is responsible for external relations?</t>
  </si>
  <si>
    <t>the colony of Georgia</t>
  </si>
  <si>
    <t>optimal</t>
  </si>
  <si>
    <t>What did the Court of Justice say Steymann was entitled to?</t>
  </si>
  <si>
    <t>In what form are most hospital medications?</t>
  </si>
  <si>
    <t>Kathmandu</t>
  </si>
  <si>
    <t>his hotel room</t>
  </si>
  <si>
    <t>What is the complex "two-signal" activation of T cells referred to?</t>
  </si>
  <si>
    <t>necessity defense</t>
  </si>
  <si>
    <t>property tax policy</t>
  </si>
  <si>
    <t>corporal</t>
  </si>
  <si>
    <t>Earth's crustal rock</t>
  </si>
  <si>
    <t>How many branches does the Rhine branch into?</t>
  </si>
  <si>
    <t>Who continued to hold the citadel of Bukhara after the Mongols took the rest of the city?</t>
  </si>
  <si>
    <t>Who did the SNP obtain 16 seats from?</t>
  </si>
  <si>
    <t>income from the harvests of their Chinese tenants</t>
  </si>
  <si>
    <t>Many known complexity classes are suspected to be unequal</t>
  </si>
  <si>
    <t>In 1929, the university's fifth president, Robert Maynard Hutchins, took office; the university underwent many changes during his 24-year tenure. Hutchins eliminated varsity football from the university in an attempt to emphasize academics over athletics, instituted the undergraduate college's liberal-arts curriculum known as the Common Core, and organized the university's graduate work into its current[when?] four divisions. In 1933, Hutchins proposed an unsuccessful plan to merge the University of Chicago and Northwestern University into a single university. During his term, the University of Chicago Hospitals (now called the University of Chicago Medical Center) finished construction and enrolled its first medical students. Also, the Committee on Social Thought, an institution distinctive of the university, was created.</t>
  </si>
  <si>
    <t>In November 2006, the Victorian Legislative Council elections were held under a new multi-member proportional representation system. The State of Victoria was divided into eight electorates with each electorate represented by five representatives elected by Single Transferable Vote. The total number of upper house members was reduced from 44 to 40 and their term of office is now the same as the lower house members—four years. Elections for the Victorian Parliament are now fixed and occur in November every four years. Prior to the 2006 election, the Legislative Council consisted of 44 members elected to eight-year terms from 22 two-member electorates.</t>
  </si>
  <si>
    <t>How are the certain costs which are difficult to avoid shared?</t>
  </si>
  <si>
    <t>gurus, mullahs, rabbis, pastors/youth pastors and lamas</t>
  </si>
  <si>
    <t>distract Montcalm</t>
  </si>
  <si>
    <t>1855 colonial constitution</t>
  </si>
  <si>
    <t>hunting of various animals</t>
  </si>
  <si>
    <t>Why are some forces due to that are impossible to model?</t>
  </si>
  <si>
    <t>Pattern recognition receptors recognize components present in broad groups of what?</t>
  </si>
  <si>
    <t>the founding of new Protestant churches in Catholic-controlled regions</t>
  </si>
  <si>
    <t xml:space="preserve">Between what dates was the building on Pilgrim Street refurbished? </t>
  </si>
  <si>
    <t>as a liquid in specially insulated tankers</t>
  </si>
  <si>
    <t>What medical treatment is used to benefit patients with hearth and lung disorders?</t>
  </si>
  <si>
    <t>What book recognizes the importance of the Chalcedonian Creed?</t>
  </si>
  <si>
    <t>Where did Luther become angry at the widespread destruction of church property?</t>
  </si>
  <si>
    <t>water-cooled</t>
  </si>
  <si>
    <t>delayed the sealing of the hatch</t>
  </si>
  <si>
    <t>Besides public key cryptography, what is another application for prime numbers?</t>
  </si>
  <si>
    <t>the British</t>
  </si>
  <si>
    <t>What type of punishment is sometimes offered to civil disobedients?</t>
  </si>
  <si>
    <t>What happened as a result of the Russo-Japanese War?</t>
  </si>
  <si>
    <t>the first two</t>
  </si>
  <si>
    <t>N–S</t>
  </si>
  <si>
    <t>ghost of le roi Huguet</t>
  </si>
  <si>
    <t>the lack of a Parliament of Scotland</t>
  </si>
  <si>
    <t>European imperialism was focused on what?</t>
  </si>
  <si>
    <t>Anglo-Saxons</t>
  </si>
  <si>
    <t>What was one example of a non-French painting was included in the Jones bequest of 1882?</t>
  </si>
  <si>
    <t>elected MSPs</t>
  </si>
  <si>
    <t>In what process are electrons recycled?</t>
  </si>
  <si>
    <t>When do the stated Treaties apply?</t>
  </si>
  <si>
    <t>The notion "force"</t>
  </si>
  <si>
    <t>saturating them unconsciously with electricity</t>
  </si>
  <si>
    <t>Conservation</t>
  </si>
  <si>
    <t>Who is required to verify and have existing utility lines marked?</t>
  </si>
  <si>
    <t>observer</t>
  </si>
  <si>
    <t xml:space="preserve">Who was the War of Currents waged between? </t>
  </si>
  <si>
    <t>Who voted on the venue for Super Bowl 50?</t>
  </si>
  <si>
    <t>affordable housing</t>
  </si>
  <si>
    <t>dampening the fire</t>
  </si>
  <si>
    <t>according to a multiple access scheme</t>
  </si>
  <si>
    <t>In what country is a background check required?</t>
  </si>
  <si>
    <t>mistreatment</t>
  </si>
  <si>
    <t>What kind of affect did Luther often use in his discourses?</t>
  </si>
  <si>
    <t>Lothian Regional Council on George IV Bridge</t>
  </si>
  <si>
    <t>a co-chair of TAR WGI</t>
  </si>
  <si>
    <t>reinvention as a conservative</t>
  </si>
  <si>
    <t>semi-deserts</t>
  </si>
  <si>
    <t>hospitals</t>
  </si>
  <si>
    <t>After the Dornbirner Ach was diverted, where does the Rhine flow now?</t>
  </si>
  <si>
    <t>What was Loudoun's plans for 1757?</t>
  </si>
  <si>
    <t>The exodus of Huguenots from France created a brain drain, as many Huguenots had occupied important places in society. The kingdom did not fully recover for years. The French crown's refusal to allow non-Catholics to settle in New France may help to explain that colony's slow rate of population growth compared to that of the neighbouring British colonies, which opened settlement to religious dissenters. By the time of the French and Indian War (the North American front of the Seven Years' War), a sizeable population of Huguenot descent lived in the British colonies, and many participated in the British defeat of New France in 1759-60.</t>
  </si>
  <si>
    <t>the greatest antisemite of his time,</t>
  </si>
  <si>
    <t>The Rhine flowed through Swabia, Franconia and what other location in the 10th Century?</t>
  </si>
  <si>
    <t>ARPANET</t>
  </si>
  <si>
    <t>This projection was not included in the final summary for policymakers. The IPCC has since acknowledged that the date is incorrect, while reaffirming that the conclusion in the final summary was robust. They expressed regret for "the poor application of well-established IPCC procedures in this instance". The date of 2035 has been correctly quoted by the IPCC from the WWF report, which has misquoted its own source, an ICSI report "Variations of Snow and Ice in the past and at present on a Global and Regional Scale".</t>
  </si>
  <si>
    <t>1% to 3%</t>
  </si>
  <si>
    <t>The smaller galleries cover Korea, the Himalayan kingdoms and South East Asia. Korean displays include green-glazed ceramics, silk embroideries from officials' robes and gleaming boxes inlaid with mother-of-pearl made between 500 AD and 2000. Himalayan items include important early Nepalese bronze sculptures, repoussé work and embroidery. Tibetan art from the 14th to the 19th century is represented by notable 14th- and 15th-century religious images in wood and bronze, scroll paintings and ritual objects. Art from Thailand, Burma, Cambodia, Indonesia and Sri Lanka in gold, silver, bronze, stone, terracotta and ivory represents these rich and complex cultures, the displays span the 6th to 19th centuries. Refined Hindu and Buddhist sculptures reflect the influence of India; items on show include betel-nut cutters, ivory combs and bronze palanquin hooks.</t>
  </si>
  <si>
    <t>After each election to the Scottish Parliament, at the beginning of each parliamentary session, Parliament elects one MSP to serve as Presiding Officer, the equivalent of the speaker (currently Tricia Marwick), and two MSPs to serve as deputies (currently Elaine Smith and John Scott). The Presiding Officer and deputies are elected by a secret ballot of the 129 MSPs, which is the only secret ballot conducted in the Scottish Parliament. Principally, the role of the Presiding Officer is to chair chamber proceedings and the Scottish Parliamentary Corporate Body. When chairing meetings of the Parliament, the Presiding Officer and his/her deputies must be politically impartial. During debates, the Presiding Officer (or the deputy) is assisted by the parliamentary clerks, who give advice on how to interpret the standing orders that govern the proceedings of meetings. A vote clerk sits in front of the Presiding Officer and operates the electronic voting equipment and chamber clocks.</t>
  </si>
  <si>
    <t>Who did the Mongols bring to China as administrators?</t>
  </si>
  <si>
    <t>How much gun powder was destroyed in attack?</t>
  </si>
  <si>
    <t>What does southern California have a reputation for?</t>
  </si>
  <si>
    <t>What is the name of the largest indoor shopping centre in Europe?</t>
  </si>
  <si>
    <t>The Soulages collection of Italian and French Renaissance objects was acquired between 1859 and 1865, and includes several cassone. The John Jones Collection of French 18th-century art and furnishings was left to the museum in 1882, then valued at £250,000. One of the most important pieces in this collection is a marquetry commode by the ébéniste Jean Henri Riesener dated c1780. Other signed pieces of furniture in the collection include a bureau by Jean-François Oeben, a pair of pedestals with inlaid brass work by André Charles Boulle, a commode by Bernard Vanrisamburgh and a work-table by Martin Carlin. Other 18th-century ébénistes represented in the Museum collection include Adam Weisweiler, David Roentgen, Gilles Joubert &amp; Pierre Langlois. In 1901, Sir George Donaldson donated several pieces of art Nouveau furniture to the museum, which he had acquired the previous year at the Paris Exposition Universelle. This was criticized at the time, with the result that the museum ceased to collect contemporary items and did not do so again until the 1960s. In 1986 the Lady Abingdon collection of French Empire furniture was bequeathed by Mrs T. R. P. Hole.</t>
  </si>
  <si>
    <t>operations requiring constant speed</t>
  </si>
  <si>
    <t>Who makes up the Student Government?</t>
  </si>
  <si>
    <t>Methodist institutions</t>
  </si>
  <si>
    <t>What characteristic best describes the agricultural regions that could be found?</t>
  </si>
  <si>
    <t>heterokontophyte</t>
  </si>
  <si>
    <t>Luther had been suffering from ill health for years, including Ménière's disease, vertigo, fainting, tinnitus, and a cataract in one eye. From 1531 to 1546, his health deteriorated further. The years of struggle with Rome, the antagonisms with and among his fellow reformers, and the scandal which ensued from the bigamy of the Philip of Hesse incident, in which Luther had played a leading role, all may have contributed. In 1536, he began to suffer from kidney and bladder stones, and arthritis, and an ear infection ruptured an ear drum. In December 1544, he began to feel the effects of angina.</t>
  </si>
  <si>
    <t>electronic music</t>
  </si>
  <si>
    <t>All of ABC's owned-and-operated stations and affiliates have had their own facilities and studios, but transverse entities have been created to produce national programming. As a result, television series were produced by ABC Circle Films beginning in 1962 and by Touchstone Television beginning in 1985, before Touchstone was reorganized as ABC Studios in February 2007. Since the 1950s, ABC has had two main production facilities: the ABC Television Center (now The Prospect Studios) on Prospect Avenue in Hollywood, California, shared with the operations of KABC-TV until 1999; and the ABC Television Center, East, a set of studios located throughout the New York City.</t>
  </si>
  <si>
    <t>a sheath</t>
  </si>
  <si>
    <t>greatest good</t>
  </si>
  <si>
    <t>East Asia: China, Japan and Korea</t>
  </si>
  <si>
    <t>What is the mortality rate of pneumonic plague?</t>
  </si>
  <si>
    <t>One of the most famous people born in Warsaw was Maria Skłodowska-Curie, who achieved international recognition for her research on radioactivity and was the first female recipient of the Nobel Prize. Famous musicians include Władysław Szpilman and Frédéric Chopin. Though Chopin was born in the village of Żelazowa Wola, about 60 km (37 mi) from Warsaw, he moved to the city with his family when he was seven months old. Casimir Pulaski, a Polish general and hero of the American Revolutionary War, was born here in 1745.</t>
  </si>
  <si>
    <t>brain cells</t>
  </si>
  <si>
    <t>The oil crisis caused oil companies to increase oil supplies in which area?</t>
  </si>
  <si>
    <t>Mongols and Semuren</t>
  </si>
  <si>
    <t>What responsibilities were pharmacy technicians formerly limited to?</t>
  </si>
  <si>
    <t>How many people could the Mercury capsule hold?</t>
  </si>
  <si>
    <t>What is the most important problem in the United States and elsewhere?</t>
  </si>
  <si>
    <t>Taoism</t>
  </si>
  <si>
    <t>Florida legislature</t>
  </si>
  <si>
    <t>Who was Warsz?</t>
  </si>
  <si>
    <t>probabilistic Turing machines, non-deterministic Turing machines</t>
  </si>
  <si>
    <t>orientalism</t>
  </si>
  <si>
    <t>What range of years was the current warming compared to?</t>
  </si>
  <si>
    <t>Which work of Luther's is effective in teaching children?</t>
  </si>
  <si>
    <t>Swiss cities</t>
  </si>
  <si>
    <t>lecture theatre</t>
  </si>
  <si>
    <t>trust in Christ</t>
  </si>
  <si>
    <t>What does Rajan feel has created deep financial fault lines?</t>
  </si>
  <si>
    <t>many other herbs not listed</t>
  </si>
  <si>
    <t>Acura</t>
  </si>
  <si>
    <t xml:space="preserve">What was Apple Talk </t>
  </si>
  <si>
    <t>When did the North American French and Indian War end?</t>
  </si>
  <si>
    <t>What limits the Rankine cycle's efficiency?</t>
  </si>
  <si>
    <t>regulatory</t>
  </si>
  <si>
    <t>chloroplasts have a third plastid-dividing ring</t>
  </si>
  <si>
    <t>The war was fought primarily along the frontiers between New France and the British colonies, from Virginia in the South to Nova Scotia in the North. It began with a dispute over control of the confluence of the Allegheny and Monongahela rivers, called the Forks of the Ohio, and the site of the French Fort Duquesne and present-day Pittsburgh, Pennsylvania. The dispute erupted into violence in the Battle of Jumonville Glen in May 1754, during which Virginia militiamen under the command of 22-year-old George Washington ambushed a French patrol.</t>
  </si>
  <si>
    <t>nationwide network</t>
  </si>
  <si>
    <t>Who was Ralph in charge of being at war with?</t>
  </si>
  <si>
    <t>In South Africa, along with privately governed schools, what schools are classified as independent?</t>
  </si>
  <si>
    <t>Who might take disciplinary action against a teacher?</t>
  </si>
  <si>
    <t>The Rhine forms an inland delta into which lake?</t>
  </si>
  <si>
    <t>What is one example of a unique factorization domain?</t>
  </si>
  <si>
    <t>the instance</t>
  </si>
  <si>
    <t>Working Group chairs</t>
  </si>
  <si>
    <t>along the coast</t>
  </si>
  <si>
    <t>What was Ban Ki-Moon the Secretary General of?</t>
  </si>
  <si>
    <t>What compounds can be masked with the molecules of the host cell in order for a virus to evade detection?</t>
  </si>
  <si>
    <t>Oxygen toxicity</t>
  </si>
  <si>
    <t>Datanet 1 was the public switched data network operated by the Dutch PTT Telecom (now known as KPN). Strictly speaking Datanet 1 only referred to the network and the connected users via leased lines (using the X.121 DNIC 2041), the name also referred to the public PAD service Telepad (using the DNIC 2049). And because the main Videotex service used the network and modified PAD devices as infrastructure the name Datanet 1 was used for these services as well. Although this use of the name was incorrect all these services were managed by the same people within one department of KPN contributed to the confusion.</t>
  </si>
  <si>
    <t>exothermic</t>
  </si>
  <si>
    <t>An apoplectic stroke deprived him of his speech, and he died shortly afterwards at 2:45 a.m. on 18 February 1546, aged 62, in Eisleben, the city of his birth. He was buried in the Castle Church in Wittenberg, beneath the pulpit. The funeral was held by his friends Johannes Bugenhagen and Philipp Melanchthon. A year later, troops of Luther's adversary Charles V, Holy Roman Emperor entered the town, but were ordered by Charles not to disturb the grave.</t>
  </si>
  <si>
    <t>processed to remove random noise and camera shake without destroying historical legitimacy</t>
  </si>
  <si>
    <t>Amsterdam and the area of West Frisia</t>
  </si>
  <si>
    <t>American Baptist Education Society</t>
  </si>
  <si>
    <t>the West</t>
  </si>
  <si>
    <t>What is Raghuram Rajan's career?</t>
  </si>
  <si>
    <t>Middle East</t>
  </si>
  <si>
    <t>Some of the income went to the purchase of arms which exacerbated political tension especially in which area?</t>
  </si>
  <si>
    <t>outlined the division and administration of the newly conquered territory</t>
  </si>
  <si>
    <t>most</t>
  </si>
  <si>
    <t>Persistent unemployment has what effect on long-term economic growth?</t>
  </si>
  <si>
    <t>The legislation allowed California to be admitted to the Union as what kind of state?</t>
  </si>
  <si>
    <t xml:space="preserve">What color are the numbers in the Super Bowl 50 logo? </t>
  </si>
  <si>
    <t>Many of the same decisions and principles that apply in other criminal investigations and arrests arise also in civil disobedience cases. For example, the suspect may need to decide whether or not to grant a consent search of his property, and whether or not to talk to police officers. It is generally agreed within the legal community, and is often believed within the activist community, that a suspect's talking to criminal investigators can serve no useful purpose, and may be harmful. However, some civil disobedients have nonetheless found it hard to resist responding to investigators' questions, sometimes due to a lack of understanding of the legal ramifications, or due to a fear of seeming rude. Also, some civil disobedients seek to use the arrest as an opportunity to make an impression on the officers. Thoreau wrote, "My civil neighbor, the tax-gatherer, is the very man I have to deal with--for it is, after all, with men and not with parchment that I quarrel--and he has voluntarily chosen to be an agent of the government. How shall he ever know well that he is and does as an officer of the government, or as a man, until he is obliged to consider whether he will treat me, his neighbor, for whom he has respect, as a neighbor and well-disposed man, or as a maniac and disturber of the peace, and see if he can get over this obstruction to his neighborliness without a ruder and more impetuous thought or speech corresponding with his action."</t>
  </si>
  <si>
    <t>Fulton Mall</t>
  </si>
  <si>
    <t>granules in the dinophyte host's cytoplasm</t>
  </si>
  <si>
    <t>a police box</t>
  </si>
  <si>
    <t>The Parish Church of St Andrew is traditionally recognised as 'the oldest church in this town'. The present building was begun in the 12th Century and the last addition to it, apart from the vestries, was the main porch in 1726. It is quite possible that there was an earlier church here dating from Saxon times. This older church would have been one of several churches along the River Tyne dedicated to St Andrew, including the Priory church at Hexham. The building contains more old stonework than any other church in Newcastle. It is surrounded by the last of the ancient churchyards to retain its original character. Many key names associated with Newcastle's history worshipped and were buried here. The church tower received a battering during the Siege of Newcastle by the Scots who finally breached the Town Wall and forced surrender. Three of the cannonballs remain on site as testament to the siege.</t>
  </si>
  <si>
    <t>mother-of-pearl</t>
  </si>
  <si>
    <t>Indians fought on both sides of the conflict</t>
  </si>
  <si>
    <t>British failures in North America</t>
  </si>
  <si>
    <t>pathogens, from viruses to parasitic worms</t>
  </si>
  <si>
    <t>What did Virgin Media claim BSkyB did that resulted Virgin not carrying the channels anymore?</t>
  </si>
  <si>
    <t>Metropolitan Police Authority</t>
  </si>
  <si>
    <t>September 1939</t>
  </si>
  <si>
    <t>no revising chamber</t>
  </si>
  <si>
    <t>How many Pro Bowlers were on the Panthers offense?</t>
  </si>
  <si>
    <t>non-deterministic time</t>
  </si>
  <si>
    <t>What type of impact can the residents of Newcastle expect the city's noise to have on them?</t>
  </si>
  <si>
    <t>The time and space hierarchy theorems</t>
  </si>
  <si>
    <t>a single output</t>
  </si>
  <si>
    <t>Some theories developed in the 1970s established possible avenues through which inequality may have a positive effect on economic development. According to a 1955 review, savings by the wealthy, if these increase with inequality, were thought to offset reduced consumer demand. A 2013 report on Nigeria suggests that growth has risen with increased income inequality. Some theories popular from the 1950s to 2011 incorrectly stated that inequality had a positive effect on economic development. Analyses based on comparing yearly equality figures to yearly growth rates were misleading because it takes several years for effects to manifest as changes to economic growth. IMF economists found a strong association between lower levels of inequality in developing countries and sustained periods of economic growth. Developing countries with high inequality have "succeeded in initiating growth at high rates for a few years" but "longer growth spells are robustly associated with more equality in the income distribution."</t>
  </si>
  <si>
    <t>What does immunodeficiency cause?</t>
  </si>
  <si>
    <t xml:space="preserve">what did Tesla think nitrous acid contributed to? </t>
  </si>
  <si>
    <t>What did Luther's area and tradition believe Jews to be guilty of?</t>
  </si>
  <si>
    <t>What was Tesla's position with Westinghouse?</t>
  </si>
  <si>
    <t>dominance in middle-distance and long-distance athletics</t>
  </si>
  <si>
    <t>cytokines</t>
  </si>
  <si>
    <t>an ignition event, such as heat or a spark</t>
  </si>
  <si>
    <t>a protest that blocked heavy traffic</t>
  </si>
  <si>
    <t>new office developments</t>
  </si>
  <si>
    <t>taxation</t>
  </si>
  <si>
    <t>electrical arc light based illumination systems</t>
  </si>
  <si>
    <t>What does the IPCC not do?</t>
  </si>
  <si>
    <t>What can result in creating a poverty trap?</t>
  </si>
  <si>
    <t>What law connects relative velocities with inertia?</t>
  </si>
  <si>
    <t>Along the same lines, co-NP is the class containing the complement problems (i.e. problems with the yes/no answers reversed) of NP problems. It is believed that NP is not equal to co-NP; however, it has not yet been proven. It has been shown that if these two complexity classes are not equal then P is not equal to NP.</t>
  </si>
  <si>
    <t>twice</t>
  </si>
  <si>
    <t>pharmaceutical care or clinical pharmacy</t>
  </si>
  <si>
    <t>regenerate</t>
  </si>
  <si>
    <t>What major event U.S. occurred that made the BBC delay the broadcast?</t>
  </si>
  <si>
    <t>taking physical control of another</t>
  </si>
  <si>
    <t>connect two PDP-11 minicomputers</t>
  </si>
  <si>
    <t>How long does it take for the effects to manifest as changes to economic growth?</t>
  </si>
  <si>
    <t>eliminate the position of Prime Minister</t>
  </si>
  <si>
    <t>immunosuppressive</t>
  </si>
  <si>
    <t>Where was Luther born?</t>
  </si>
  <si>
    <t>banned the growing of coffee, introduced a hut tax, and the landless were granted less and less land in exchange for their labour</t>
  </si>
  <si>
    <t>What is the role of teachers in education?</t>
  </si>
  <si>
    <t>Despite the high position given to Muslims, some policies of the Yuan Emperors severely discriminated against them, restricting Halal slaughter and other Islamic practices like circumcision, as well as Kosher butchering for Jews, forcing them to eat food the Mongol way. Toward the end, corruption and the persecution became so severe that Muslim generals joined Han Chinese in rebelling against the Mongols. The Ming founder Zhu Yuanzhang had Muslim generals like Lan Yu who rebelled against the Mongols and defeated them in combat. Some Muslim communities had a Chinese surname which meant "barracks" and could also mean "thanks". Many Hui Muslims claim this is because that they played an important role in overthrowing the Mongols and it was given in thanks by the Han Chinese for assisting them. During the war fighting the Mongols, among the Ming Emperor Zhu Yuanzhang's armies was the Hui Muslim Feng Sheng. The Muslims in the semu class also revolted against the Yuan dynasty in the Ispah Rebellion but the rebellion was crushed and the Muslims were massacred by the Yuan loyalist commander Chen Youding.</t>
  </si>
  <si>
    <t xml:space="preserve">What is the colloquial phrase used to convey the continuum of algorithms with unlimited availability irrespective of time? </t>
  </si>
  <si>
    <t>people</t>
  </si>
  <si>
    <t>When the Methodists in America were separated from the Church of England,</t>
  </si>
  <si>
    <t>need for capitalist economies to constantly expand investment, material resources and manpower in such a way that necessitated colonial expansion.</t>
  </si>
  <si>
    <t>What impact did the high school education movement have on the wages of skilled workers?</t>
  </si>
  <si>
    <t>exercised by the government</t>
  </si>
  <si>
    <t>What entity deals with EU staff issues?</t>
  </si>
  <si>
    <t>What was the Jacksonville fire later known as?</t>
  </si>
  <si>
    <t>Besides taking in boarders, how did Katharina help support the family?</t>
  </si>
  <si>
    <t>scientific instrument package</t>
  </si>
  <si>
    <t>the shortest space-time path between two space-time events.</t>
  </si>
  <si>
    <t>How does inequality prevent growth?</t>
  </si>
  <si>
    <t>the two cyanobacterial membranes, sometimes the eaten alga's cell membrane, and the phagosomal vacuole from the host's cell membrane</t>
  </si>
  <si>
    <t>The glass collection covers 4000 years of glass making, and has over 6000 items from Africa, Britain, Europe, America and Asia. The earliest glassware on display comes from Ancient Egypt and continues through the Ancient Roman, Medieval, Renaissance covering areas such as Venetian glass and Bohemian glass and more recent periods, including Art Nouveau glass by Louis Comfort Tiffany and Émile Gallé, the Art Deco style is represented by several examples by René Lalique. There are many examples of crystal chandeliers both English, displayed in the British galleries and foreign for example Venetian (attributed to Giuseppe Briati) dated c1750 are in the collection. The stained glass collection is possibly the finest in the world, covering the medieval to modern periods, and covering Europe as well as Britain. Several examples of English 16th-century heraldic glass is displayed in the British Galleries. Many well-known designers of stained glass are represented in the collection including, from the 19th century: Dante Gabriel Rossetti, Edward Burne-Jones and William Morris. There is also an example of Frank Lloyd Wright's work in the collection. 20th-century designers include Harry Clarke, John Piper, Patrick Reyntiens, Veronica Whall and Brian Clarke.</t>
  </si>
  <si>
    <t>T cell receptor (TCR)</t>
  </si>
  <si>
    <t>When is the funfair held in Newcastle?</t>
  </si>
  <si>
    <t>wanted to marry</t>
  </si>
  <si>
    <t>Lake Überlingen</t>
  </si>
  <si>
    <t>fuel consumption, industrial production and so on</t>
  </si>
  <si>
    <t>In what century did the history of the steam engine begin?</t>
  </si>
  <si>
    <t>How many courses must undergraduates maintain for full time status?</t>
  </si>
  <si>
    <t>The sieve of Eratosthenes would not be valid if what were true?</t>
  </si>
  <si>
    <t>oxygen atmosphere</t>
  </si>
  <si>
    <t>Several commemorative events take place every year. Gatherings of thousands of people on the banks of the Vistula on Midsummer’s Night for a festival called Wianki (Polish for Wreaths) have become a tradition and a yearly event in the programme of cultural events in Warsaw. The festival traces its roots to a peaceful pagan ritual where maidens would float their wreaths of herbs on the water to predict when they would be married, and to whom. By the 19th century this tradition had become a festive event, and it continues today. The city council organize concerts and other events. Each Midsummer’s Eve, apart from the official floating of wreaths, jumping over fires, looking for the fern flower, there are musical performances, dignitaries' speeches, fairs and fireworks by the river bank.</t>
  </si>
  <si>
    <t>What part of the Earth is composed of mostly of silicates of iron and magnesium?</t>
  </si>
  <si>
    <t>In July 1968, ABC Radio launched a special programming project for its FM stations, which was spearheaded by Allen Shaw, a former program manager at WCFL in Chicago who was approached by ABC Radio president Harold L. Neal to develop a format to compete with the new progressive rock and DJ-helmed stations. The new concept called "LOVE Radio", which featured a limited selection of music genres, was launched on ABC's seven owned-and-operated FM stations in late November 1968; the concept replaced nearly all of the programming provided by these stations; however, several affiliates (such as KXYZ) retained the majority of their content. In August 1970, Shaw announced that ABC FM's music choice policy should be reviewed to allow listeners access to many styles of music.</t>
  </si>
  <si>
    <t>procedural consequence</t>
  </si>
  <si>
    <t>What is the greatest number of members a board of trustees can have?</t>
  </si>
  <si>
    <t>How many destinations are available worldwide from Newcastle's airport?</t>
  </si>
  <si>
    <t>the accidental introduction of the Mnemiopsis-eating North American ctenophore Beroe ovata</t>
  </si>
  <si>
    <t>boat</t>
  </si>
  <si>
    <t>Command/Service Module (</t>
  </si>
  <si>
    <t>in the possession of already-wealthy individuals or entities</t>
  </si>
  <si>
    <t>late 19th</t>
  </si>
  <si>
    <t>From which countries were the V&amp;A's collection of Delftware produced?</t>
  </si>
  <si>
    <t>How do students learn about the church?</t>
  </si>
  <si>
    <t>What could Tesla perform in his head?</t>
  </si>
  <si>
    <t>Kublai Khan promoted commercial, scientific, and cultural growth. He supported the merchants of the Silk Road trade network by protecting the Mongol postal system, constructing infrastructure, providing loans that financed trade caravans, and encouraging the circulation of paper banknotes (鈔, Chao). Pax Mongolica, Mongol peace, enabled the spread of technologies, commodities, and culture between China and the West. Kublai expanded the Grand Canal from southern China to Daidu in the north. Mongol rule was cosmopolitan under Kublai Khan. He welcomed foreign visitors to his court, such as the Venetian merchant Marco Polo, who wrote the most influential European account of Yuan China. Marco Polo's travels would later inspire many others like Christopher Columbus to chart a passage to the Far East in search of its legendary wealth.</t>
  </si>
  <si>
    <t>Teaching Christians how they should live is what use of the law?</t>
  </si>
  <si>
    <t>business</t>
  </si>
  <si>
    <t>Who may have been called upon to fund the festival associated with the Super Bowl in Santa Clara?</t>
  </si>
  <si>
    <t>Why did he walk?</t>
  </si>
  <si>
    <t>faith in Christ without any works of the Law</t>
  </si>
  <si>
    <t>How big was the Vertical Assembly Building?</t>
  </si>
  <si>
    <t>Phycobilins are a third group of pigments found in cyanobacteria, and glaucophyte, red algal, and cryptophyte chloroplasts. Phycobilins come in all colors, though phycoerytherin is one of the pigments that makes many red algae red. Phycobilins often organize into relatively large protein complexes about 40 nanometers across called phycobilisomes. Like photosystem I and ATP synthase, phycobilisomes jut into the stroma, preventing thylakoid stacking in red algal chloroplasts. Cryptophyte chloroplasts and some cyanobacteria don't have their phycobilin pigments organized into phycobilisomes, and keep them in their thylakoid space instead.</t>
  </si>
  <si>
    <t>prep schools</t>
  </si>
  <si>
    <t>The Swiss cities</t>
  </si>
  <si>
    <t>What did Luther call the mass instead of sacrifice?</t>
  </si>
  <si>
    <t>change of appearance</t>
  </si>
  <si>
    <t>What is a lower rate of social goods an effect of?</t>
  </si>
  <si>
    <t xml:space="preserve">Plate tectonics can be seen as the intimate coupling between rigid plates on the surface of the Earth and what? </t>
  </si>
  <si>
    <t>To what type of organisms is oxygen toxic?</t>
  </si>
  <si>
    <t>What religion's schools does the term 'parochial schools' generally refer to?</t>
  </si>
  <si>
    <t>amorphous area of central Europe</t>
  </si>
  <si>
    <t>the Bible</t>
  </si>
  <si>
    <t>Scottish rivers</t>
  </si>
  <si>
    <t>How much support does evidence provide for the view that labor-market flexibility improves labor-market outcomes?</t>
  </si>
  <si>
    <t>a separate condenser</t>
  </si>
  <si>
    <t>a doctor</t>
  </si>
  <si>
    <t>directed toward the center of the curving path</t>
  </si>
  <si>
    <t>What was the usual type of school discipline?</t>
  </si>
  <si>
    <t>Compared to other elements, how abundant does oxygen rank?</t>
  </si>
  <si>
    <t>For what purpose is oxygen used by animal life?</t>
  </si>
  <si>
    <t>New Jersey, Rhode Island and Delaware</t>
  </si>
  <si>
    <t>When did the movement that would become The United Methodist Church begin?</t>
  </si>
  <si>
    <t>May</t>
  </si>
  <si>
    <t>October 16, 1973,</t>
  </si>
  <si>
    <t>What type of correlation was used previously to help date rock formations?</t>
  </si>
  <si>
    <t>Tension, compression, and drag are what kind of forces?</t>
  </si>
  <si>
    <t>In 1993, Galor and Zeira showed that inequality in the presence of credit market imperfections has a long lasting detrimental effect on human capital formation and economic development. A 1996 study by Perotti examined the channels through which inequality may affect economic growth. He showed that, in accordance with the credit market imperfection approach, inequality is associated with lower level of human capital formation (education, experience, and apprenticeship) and higher level of fertility, and thereby lower levels of growth. He found that inequality is associated with higher levels of redistributive taxation, which is associated with lower levels of growth from reductions in private savings and investment. Perotti concluded that, "more equal societies have lower fertility rates and higher rates of investment in education. Both are reflected in higher rates of growth. Also, very unequal societies tend to be politically and socially unstable, which is reflected in lower rates of investment and therefore growth."</t>
  </si>
  <si>
    <t>the 7–4–2–3 system was adopted</t>
  </si>
  <si>
    <t>None succeeded</t>
  </si>
  <si>
    <t>During the mass high school education movement from 1910–1940, there was an increase in skilled workers, which led to a decrease in the price of skilled labor. High school education during the period was designed to equip students with necessary skill sets to be able to perform at work. In fact, it differs from the present high school education, which is regarded as a stepping-stone to acquire college and advanced degrees. This decrease in wages caused a period of compression and decreased inequality between skilled and unskilled workers. Education is very important for the growth of the economy, however educational inequality in gender also influence towards the economy. Lagerlof and Galor stated that gender inequality in education can result to low economic growth, and continued gender inequality in education, thus creating a poverty trap. It is suggested that a large gap in male and female education may indicate backwardness and so may be associated with lower economic growth, which can explain why there is economic inequality between countries.</t>
  </si>
  <si>
    <t>0.2 inhabitants per square kilometre</t>
  </si>
  <si>
    <t>inspiring end</t>
  </si>
  <si>
    <t>strong Islamist</t>
  </si>
  <si>
    <t>Doctor_Who</t>
  </si>
  <si>
    <t>the laws of physics are the same in every inertial frame of reference</t>
  </si>
  <si>
    <t>stationary waves</t>
  </si>
  <si>
    <t>they contain striated muscle,</t>
  </si>
  <si>
    <t>Turkey</t>
  </si>
  <si>
    <t>the ultimate authority of member states</t>
  </si>
  <si>
    <t>recycled continuously</t>
  </si>
  <si>
    <t>connection-oriented operations. But X.25 does it at the network layer of the OSI Model. Frame Relay does it at level two, the data link layer</t>
  </si>
  <si>
    <t>president of NBC</t>
  </si>
  <si>
    <t>designed to equip students with necessary skill sets to be able to perform at work</t>
  </si>
  <si>
    <t>economic</t>
  </si>
  <si>
    <t>Lower Rhine</t>
  </si>
  <si>
    <t>What did Edison Machine Works persue in 1890?</t>
  </si>
  <si>
    <t>stiffened cilia</t>
  </si>
  <si>
    <t>Refined Hindu and Buddhist sculptures</t>
  </si>
  <si>
    <t>a noble death</t>
  </si>
  <si>
    <t>The Hay Wain</t>
  </si>
  <si>
    <t>squished his toes one hundred times for each foot</t>
  </si>
  <si>
    <t>In some countries, formal education can take place through home schooling. Informal learning may be assisted by a teacher occupying a transient or ongoing role, such as a family member, or by anyone with knowledge or skills in the wider community setting.</t>
  </si>
  <si>
    <t>Luther's translation used the variant of German spoken at the Saxon chancellery, intelligible to both northern and southern Germans. He intended his vigorous, direct language to make the Bible accessible to everyday Germans, "for we are removing impediments and difficulties so that other people may read it without hindrance."</t>
  </si>
  <si>
    <t>Its counties of Los Angeles, Orange, San Diego, San Bernardino, and Riverside are the five most populous in the state and all are in the top 15 most populous counties in the United States.</t>
  </si>
  <si>
    <t>use the proceedings as a forum</t>
  </si>
  <si>
    <t>to withstand waves and swirling sediment particles</t>
  </si>
  <si>
    <t>How many languages did Tesla know?</t>
  </si>
  <si>
    <t>holy priesthood</t>
  </si>
  <si>
    <t>prestige</t>
  </si>
  <si>
    <t>smart ticketing.</t>
  </si>
  <si>
    <t>Jurassic Period</t>
  </si>
  <si>
    <t>Which three doctors were in The Sirens of Time?</t>
  </si>
  <si>
    <t>health deteriorated</t>
  </si>
  <si>
    <t>conservation of momentum</t>
  </si>
  <si>
    <t>What other location did Apollo 1 test at besides Kennedy Space Center?</t>
  </si>
  <si>
    <t>Kenya National Library Service</t>
  </si>
  <si>
    <t>Luther objected to a saying attributed to Johann Tetzel that "As soon as the coin in the coffer rings, the soul from purgatory (also attested as 'into heaven') springs."</t>
  </si>
  <si>
    <t>natural specificity</t>
  </si>
  <si>
    <t>Normandy</t>
  </si>
  <si>
    <t>the Saracens</t>
  </si>
  <si>
    <t>31–24,</t>
  </si>
  <si>
    <t>making peace with Israel</t>
  </si>
  <si>
    <t>What is the highest court in the European Union?</t>
  </si>
  <si>
    <t>fossil sequences</t>
  </si>
  <si>
    <t>increasing emphasis on entertainment and leisure</t>
  </si>
  <si>
    <t>entirely religious and in no respect racial</t>
  </si>
  <si>
    <t>acupuncture, moxibustion, pulse diagnosis, and various herbal drugs</t>
  </si>
  <si>
    <t>religious</t>
  </si>
  <si>
    <t>the membrane of the primary endosymbiont</t>
  </si>
  <si>
    <t>large-scale, distributed, survivable communications network</t>
  </si>
  <si>
    <t>Saturnian hunger,</t>
  </si>
  <si>
    <t>The University of Chicago has been the site of some important experiments and academic movements. In economics, the university has played an important role in shaping ideas about the free market and is the namesake of the Chicago school of economics, the school of economic thought supported by Milton Friedman and other economists. The university's sociology department was the first independent sociology department in the United States and gave birth to the Chicago school of sociology. In physics, the university was the site of the Chicago Pile-1 (the first self-sustained man-made nuclear reaction, part of the Manhattan Project), of Robert Millikan's oil-drop experiment that calculated the charge of the electron, and of the development of radiocarbon dating by Willard F. Libby in 1947. The chemical experiment that tested how life originated on early Earth, the Miller–Urey experiment, was conducted at the university. REM sleep was discovered at the university in 1953 by Nathaniel Kleitman and Eugene Aserinsky.</t>
  </si>
  <si>
    <t>certification by a recognized body</t>
  </si>
  <si>
    <t>Neo-Confucianism and also devoted himself in Buddhism</t>
  </si>
  <si>
    <t>In recent years the characteristic that has strongly correlated with health in developed countries is income inequality. Creating an index of "Health and Social Problems" from nine factors, authors Richard Wilkinson and Kate Pickett found health and social problems "more common in countries with bigger income inequalities", and more common among states in the US with larger income inequalities. Other studies have confirmed this relationship. The UNICEF index of "child well-being in rich countries", studying 40 indicators in 22 countries, correlates with greater equality but not per capita income.</t>
  </si>
  <si>
    <t>During the English Civil War, the North declared for the King. In a bid to gain Newcastle and the Tyne, Cromwell's allies, the Scots, captured the town of Newburn. In 1644 the Scots then captured the reinforced fortification on the Lawe in South Shields following a siege. In 1644 the city was then besieged for many months and was eventually stormed ('with roaring drummes') and sacked by Cromwell's allies. The grateful King bestowed the motto "Fortiter Defendit Triumphans" ("Triumphing by a brave defence") upon the town. Charles I was imprisoned in Newcastle by the Scots in 1646–7.</t>
  </si>
  <si>
    <t>the Arabs and much of the rest of the Third World</t>
  </si>
  <si>
    <t>Doctor Who: More Than 30 Years in the TARDIS</t>
  </si>
  <si>
    <t>What was persistent unemployment have a negative effect on?</t>
  </si>
  <si>
    <t>wine industry</t>
  </si>
  <si>
    <t>Where is another indoor location for a teacher other than a school?</t>
  </si>
  <si>
    <t>photolysis of ozone</t>
  </si>
  <si>
    <t>around 300</t>
  </si>
  <si>
    <t>gift from God</t>
  </si>
  <si>
    <t>The Annual Conference, roughly the equivalent of a diocese in the Anglican Communion and the Roman Catholic Church or a synod in some Lutheran denominations such as the Evangelical Lutheran Church in America, is the basic unit of organization within the UMC. The term Annual Conference is often used to refer to the geographical area it covers as well as the frequency of meeting. Clergy are members of their Annual Conference rather than of any local congregation, and are appointed to a local church or other charge annually by the conference's resident Bishop at the meeting of the Annual Conference. In many ways, the United Methodist Church operates in a connectional organization of the Annual Conferences, and actions taken by one conference are not binding upon another.</t>
  </si>
  <si>
    <t>From 1421 to 1904</t>
  </si>
  <si>
    <t>derived a cubic interpolation formula</t>
  </si>
  <si>
    <t>extremely high humidity</t>
  </si>
  <si>
    <t>Butterflies were electrified</t>
  </si>
  <si>
    <t>change cultural traditions, social customs, religious beliefs, etc</t>
  </si>
  <si>
    <t>Kenya’s armed forces</t>
  </si>
  <si>
    <t>central location</t>
  </si>
  <si>
    <t>The United Methodist Church opposes conscription as incompatible with the teaching of Scripture. Therefore, the Church supports and extends its ministry to those persons who conscientiously oppose all war, or any particular war, and who therefore refuse to serve in the armed forces or to cooperate with systems of military conscription. However, the United Methodist Church also supports and extends its ministry to those persons who conscientiously choose to serve in the armed forces or to accept alternative service. The church also states that "as Christians they are aware that neither the way of military action, nor the way of inaction is always righteous before God."</t>
  </si>
  <si>
    <t>public</t>
  </si>
  <si>
    <t>January 7, 2014</t>
  </si>
  <si>
    <t>political activity caused exploitation</t>
  </si>
  <si>
    <t>a reduction</t>
  </si>
  <si>
    <t>odor</t>
  </si>
  <si>
    <t>How long was the Death Wish Coffee commercial?</t>
  </si>
  <si>
    <t>What do students do after primary school?</t>
  </si>
  <si>
    <t>How many NFL teams have gone 15-1 in one season?</t>
  </si>
  <si>
    <t>13th</t>
  </si>
  <si>
    <t>Approximately one million</t>
  </si>
  <si>
    <t>on rocks, algae, or the body surfaces of other invertebrates</t>
  </si>
  <si>
    <t>birefringence, pleochroism, twinning, and interference properties</t>
  </si>
  <si>
    <t>A teacher's professional duties may extend beyond formal teaching. Outside of the classroom teachers may accompany students on field trips, supervise study halls, help with the organization of school functions, and serve as supervisors for extracurricular activities. In some education systems, teachers may have responsibility for student discipline.</t>
  </si>
  <si>
    <t>Subordinate to the General Conference are the jurisdictional and central conferences which also meet every four years. The United States is divided into five jurisdictions: Northeastern, Southeastern, North Central, South Central and Western. Outside the United States the church is divided into seven central conferences: Africa, Congo, West Africa, Central &amp; Southern Europe, Germany, Northern Europe and the Philippines. The main purpose of the jurisdictions and central conferences is to elect and appoint bishops, the chief administrators of the church. Bishops thus elected serve Episcopal Areas, which consist of one or more Annual Conferences.</t>
  </si>
  <si>
    <t>Elders in full connection are each a member of what?</t>
  </si>
  <si>
    <t>What is NSFNET</t>
  </si>
  <si>
    <t>What did Protestant nobles form the following year after the signing of the Augsburg Confession?</t>
  </si>
  <si>
    <t>What type of disability would a teacher help a student with?</t>
  </si>
  <si>
    <t>Saxon Garden</t>
  </si>
  <si>
    <t>imperial powers</t>
  </si>
  <si>
    <t>Why have modern Lutherans stopped using the hymn?</t>
  </si>
  <si>
    <t>US Library of Congress</t>
  </si>
  <si>
    <t>According to Fermat's theorem, what period does 1/p always have assuming p is prime that is not 2 or 5?</t>
  </si>
  <si>
    <t>extended</t>
  </si>
  <si>
    <t>absolute ages</t>
  </si>
  <si>
    <t>tree growth</t>
  </si>
  <si>
    <t>In what interval are some of the greatest primes without a distinct form discovered in?</t>
  </si>
  <si>
    <t>Where do many merchants and explorers go?</t>
  </si>
  <si>
    <t>How tall was Tesla?</t>
  </si>
  <si>
    <t>Theory of the Earth</t>
  </si>
  <si>
    <t>OAPEC proclaimed the embargo that curbed exports to various countries and blocked all oil deliveries to the US as a "principal hostile country</t>
  </si>
  <si>
    <t>doctrine of transubstantiation during Mass</t>
  </si>
  <si>
    <t>What type of ideals generalize prime elements?</t>
  </si>
  <si>
    <t>enzymes</t>
  </si>
  <si>
    <t>The United Methodist Church maintains that war is incompatible with Christ's message and teachings. Therefore, the Church rejects war as an instrument of national foreign policy, to be employed only as a last resort in the prevention of such evils as genocide, brutal suppression of human rights, and unprovoked international aggression. It insists that the first moral duty of all nations is to resolve by peaceful means every dispute that arises between or among them; that human values must outweigh military claims as governments determine their priorities; that the militarization of society must be challenged and stopped; that the manufacture, sale, and deployment of armaments must be reduced and controlled; and that the production, possession, or use of nuclear weapons be condemned. Consequently, the United Methodist Church endorses general and complete disarmament under strict and effective international control.</t>
  </si>
  <si>
    <t>Professor Moriarty to the Doctor's Sherlock Holmes</t>
  </si>
  <si>
    <t>Who did the Yuan's increase in commerce help?</t>
  </si>
  <si>
    <t>trust God's word</t>
  </si>
  <si>
    <t>Many construction companies are now placing more emphasis on what?</t>
  </si>
  <si>
    <t>In what book did Betty Meggers describe the idea of the Amazon being sparsely populated?</t>
  </si>
  <si>
    <t>What contributed to the severity of the plague?</t>
  </si>
  <si>
    <t>The Rhine is the longest river in Germany. It is here that the Rhine encounters some more of its main tributaries, such as the Neckar, the Main and, later, the Moselle, which contributes an average discharge of more than 300 m3/s (11,000 cu ft/s). Northeastern France drains to the Rhine via the Moselle; smaller rivers drain the Vosges and Jura Mountains uplands. Most of Luxembourg and a very small part of Belgium also drain to the Rhine via the Moselle. As it approaches the Dutch border, the Rhine has an annual mean discharge of 2,290 m3/s (81,000 cu ft/s) and an average width of 400 m (1,300 ft).</t>
  </si>
  <si>
    <t>fundamental theorem of arithmetic</t>
  </si>
  <si>
    <t>a method which pre-allocates dedicated network bandwidth</t>
  </si>
  <si>
    <t>more specialized medications</t>
  </si>
  <si>
    <t>expendable nature of the worker</t>
  </si>
  <si>
    <t>Where was Genghis Khan buried?</t>
  </si>
  <si>
    <t>What is the metric term less used than the Newton?</t>
  </si>
  <si>
    <t>Father</t>
  </si>
  <si>
    <t>format of the congress and many specifics of the plan became the prototype for confederation during the War of Independence</t>
  </si>
  <si>
    <t>Where was an elected assembly to be set up, under the terms of the Scotland Act of 1978?</t>
  </si>
  <si>
    <t>What was the national viewership reach of ABC in 1958?</t>
  </si>
  <si>
    <t>British settlers outnumbered the French 20 to 1 with a population of about 1.5 million ranged along the eastern coast of the continent, from Nova Scotia and Newfoundland in the north, to Georgia in the south. Many of the older colonies had land claims that extended arbitrarily far to the west, as the extent of the continent was unknown at the time their provincial charters were granted. While their population centers were along the coast, the settlements were growing into the interior. Nova Scotia, which had been captured from France in 1713, still had a significant French-speaking population. Britain also claimed Rupert's Land, where the Hudson's Bay Company traded for furs with local tribes.</t>
  </si>
  <si>
    <t>What has become the secret to economic growth?</t>
  </si>
  <si>
    <t>Luther's final journey, to Mansfeld, was taken because of his concern for his siblings' families continuing in their father Hans Luther's copper mining trade. Their livelihood was threatened by Count Albrecht of Mansfeld bringing the industry under his own control. The controversy that ensued involved all four Mansfeld counts: Albrecht, Philip, John George, and Gerhard. Luther journeyed to Mansfeld twice in late 1545 to participate in the negotiations for a settlement, and a third visit was needed in early 1546 for their completion.</t>
  </si>
  <si>
    <t>What does Mark U. Edwards claim as a possible cause of Luther's antisemitism?</t>
  </si>
  <si>
    <t>the fourth Session</t>
  </si>
  <si>
    <t>salvation by God's grace</t>
  </si>
  <si>
    <t>Florence, Italy</t>
  </si>
  <si>
    <t>The length of the Rhine is conventionally measured in "Rhine-kilometers" (Rheinkilometer), a scale introduced in 1939 which runs from the Old Rhine Bridge at Constance (0 km) to Hoek van Holland (1036.20 km). The river length is significantly shortened from the river's natural course due to number of canalisation projects completed in the 19th and 20th century.[note 7] The "total length of the Rhine", to the inclusion of Lake Constance and the Alpine Rhine is more difficult to measure objectively; it was cited as 1,232 kilometres (766 miles) by the Dutch Rijkswaterstaat in 2010.[note 1]</t>
  </si>
  <si>
    <t>potential drug interactions, adverse drug reactions</t>
  </si>
  <si>
    <t>half as much coal</t>
  </si>
  <si>
    <t>purple skin patches</t>
  </si>
  <si>
    <t>The succession of Genghis Khan was already a significant topic during the later years of his reign, as he reached old age. The long running paternity discussion about Genghis' oldest son Jochi was particularly contentious because of the seniority of Jochi among the brothers. According to traditional historical accounts, the issue over Jochi's paternity was voiced most strongly by Chagatai. In The Secret History of the Mongols, just before the invasion of the Khwarezmid Empire by Genghis Khan, Chagatai declared before his father and brothers that he would never accept Jochi as Genghis Khan's successor. In response to this tension, and possibly for other reasons, Ögedei was appointed as successor.</t>
  </si>
  <si>
    <t>citizen's</t>
  </si>
  <si>
    <t>Cambrian time</t>
  </si>
  <si>
    <t>peace</t>
  </si>
  <si>
    <t>170 billion</t>
  </si>
  <si>
    <t>significantly increased</t>
  </si>
  <si>
    <t>only of essentially holy people</t>
  </si>
  <si>
    <t>Battlestar Galactica and Bionic Woman</t>
  </si>
  <si>
    <t>voluminous literature</t>
  </si>
  <si>
    <t>how many permanent objects are located there?</t>
  </si>
  <si>
    <t>Between about 1964 and 1973</t>
  </si>
  <si>
    <t>"Decision Time"</t>
  </si>
  <si>
    <t>What university donated the land for the Manned Spacecraft Center?</t>
  </si>
  <si>
    <t>Doctor Who has been satirised and spoofed on many occasions by comedians including Spike Milligan (a Dalek invades his bathroom — Milligan, naked, hurls a soap sponge at it) and Lenny Henry. Jon Culshaw frequently impersonates the Fourth Doctor in the BBC Dead Ringers series. Doctor Who fandom has also been lampooned on programs such as Saturday Night Live, The Chaser's War on Everything, Mystery Science Theater 3000, Family Guy, American Dad!, Futurama, South Park, Community as Inspector Spacetime, The Simpsons and The Big Bang Theory.</t>
  </si>
  <si>
    <t>Lowry Digital f</t>
  </si>
  <si>
    <t>major business districts</t>
  </si>
  <si>
    <t>What have many HT members graduated to joining?</t>
  </si>
  <si>
    <t>What was Nikola Tesla's ethnicity?</t>
  </si>
  <si>
    <t>Archbishop of Westminster</t>
  </si>
  <si>
    <t>double displacement loop</t>
  </si>
  <si>
    <t>In what city is the Nikola Tesla Museum?</t>
  </si>
  <si>
    <t>a billion years ago</t>
  </si>
  <si>
    <t>The Yuan dynasty (Chinese: 元朝; pinyin: Yuán Cháo), officially the Great Yuan (Chinese: 大元; pinyin: Dà Yuán; Mongolian: Yehe Yuan Ulus[a]), was the empire or ruling dynasty of China established by Kublai Khan, leader of the Mongolian Borjigin clan. Although the Mongols had ruled territories including today's North China for decades, it was not until 1271 that Kublai Khan officially proclaimed the dynasty in the traditional Chinese style. His realm was, by this point, isolated from the other khanates and controlled most of present-day China and its surrounding areas, including modern Mongolia and Korea. It was the first foreign dynasty to rule all of China and lasted until 1368, after which its Genghisid rulers returned to their Mongolian homeland and continued to rule the Northern Yuan dynasty. Some of the Mongolian Emperors of the Yuan mastered the Chinese language, while others only used their native language (i.e. Mongolian) and the 'Phags-pa script.</t>
  </si>
  <si>
    <t>The Parish Church of St Andrew is</t>
  </si>
  <si>
    <t>all spheres of life.</t>
  </si>
  <si>
    <t>vicious and destructive</t>
  </si>
  <si>
    <t>What tribes were in Father Le Loutre's War?</t>
  </si>
  <si>
    <t>What type of microscope is used by petrologists?</t>
  </si>
  <si>
    <t>76,000 to 540,000</t>
  </si>
  <si>
    <t>spiritually or symbolically present</t>
  </si>
  <si>
    <t>Word and Image</t>
  </si>
  <si>
    <t>Which pharmacists are likely to seek additional education following pharmacy school?</t>
  </si>
  <si>
    <t>Producers introduced the concept of regeneration to permit the recasting of the main character. This was first prompted by original star William Hartnell's poor health. The actual term "regeneration" was not initially conceived of until the Doctor's third on-screen regeneration however; Hartnell's Doctor had merely described undergoing a "renewal," and the Second Doctor underwent a "change of appearance".[citation needed] The device has allowed for the recasting of the actor various times in the show's history, as well as the depiction of alternative Doctors either from the Doctor's relative past or future.[citation needed]</t>
  </si>
  <si>
    <t>Next, the two plastid-dividing rings, or PD rings form. The inner plastid-dividing ring is located in the inner side of the chloroplast's inner membrane, and is formed first. The outer plastid-dividing ring is found wrapped around the outer chloroplast membrane. It consists of filaments about 5 nanometers across, arranged in rows 6.4 nanometers apart, and shrinks to squeeze the chloroplast. This is when chloroplast constriction begins.
In a few species like Cyanidioschyzon merolæ, chloroplasts have a third plastid-dividing ring located in the chloroplast's intermembrane space.</t>
  </si>
  <si>
    <t>What changes macroscopic closed system energies?</t>
  </si>
  <si>
    <t>Rhine Gorge</t>
  </si>
  <si>
    <t>peer-reviewed sources</t>
  </si>
  <si>
    <t>magnitude and direction</t>
  </si>
  <si>
    <t xml:space="preserve">MPs representing English constituencies can only veto laws affecting which country? </t>
  </si>
  <si>
    <t>achievement-oriented motivations ("pull")</t>
  </si>
  <si>
    <t>enzymes that protect against bacteriophage infections</t>
  </si>
  <si>
    <t>unacceptable pregnancy. In</t>
  </si>
  <si>
    <t>Who got a safe conduct pass for Luther to come and leave the event?</t>
  </si>
  <si>
    <t>green algal derived chloroplast (more specifically, a prasinophyte)</t>
  </si>
  <si>
    <t>How would one create an empire by means of Imperialism?</t>
  </si>
  <si>
    <t>multiplying two integers</t>
  </si>
  <si>
    <t>What is the metric they use to determine how busy airports are?</t>
  </si>
  <si>
    <t>excommunication</t>
  </si>
  <si>
    <t>What is one straightforward case of a probabilistic test?</t>
  </si>
  <si>
    <t>evaluates learning levels in rural India</t>
  </si>
  <si>
    <t>Best Supporting Actress</t>
  </si>
  <si>
    <t>blood–brain barrier, blood–cerebrospinal fluid barrier</t>
  </si>
  <si>
    <t>Ten Commandments</t>
  </si>
  <si>
    <t>Luther made his pronouncements from Wartburg in the context of rapid developments at Wittenberg, of which he was kept fully informed. Andreas Karlstadt, supported by the ex-Augustinian Gabriel Zwilling, embarked on a radical programme of reform there in June 1521, exceeding anything envisaged by Luther. The reforms provoked disturbances, including a revolt by the Augustinian friars against their prior, the smashing of statues and images in churches, and denunciations of the magistracy. After secretly visiting Wittenberg in early December 1521, Luther wrote A Sincere Admonition by Martin Luther to All Christians to Guard Against Insurrection and Rebellion. Wittenberg became even more volatile after Christmas when a band of visionary zealots, the so-called Zwickau prophets, arrived, preaching revolutionary doctrines such as the equality of man, adult baptism, and Christ's imminent return. When the town council asked Luther to return, he decided it was his duty to act.</t>
  </si>
  <si>
    <t>platoon" system</t>
  </si>
  <si>
    <t>a half-penny sales tax</t>
  </si>
  <si>
    <t>the Montreal Protocol</t>
  </si>
  <si>
    <t>Of what form do Mersenne primes take?</t>
  </si>
  <si>
    <t>torments</t>
  </si>
  <si>
    <t>What kind of protists are Euglenophytes?</t>
  </si>
  <si>
    <t>Where was Parliament's temporary home whilst the permanent building was being built?</t>
  </si>
  <si>
    <t>the League of Nations</t>
  </si>
  <si>
    <t>The University of Chicago Library system has how many libraries in total?</t>
  </si>
  <si>
    <t>non-cryogenic</t>
  </si>
  <si>
    <t>Thanksgiving</t>
  </si>
  <si>
    <t>vulgarity and violence</t>
  </si>
  <si>
    <t>What is a secondary goal of pleading not guilty?</t>
  </si>
  <si>
    <t>In the mid-1960s, corruption scandals began to arise among many of the city's officials, who were mainly elected through the traditional old boy network. After a grand jury was convened to investigate, 11 officials were indicted and more were forced to resign. Jacksonville Consolidation, led by J. J. Daniel and Claude Yates, began to win more support during this period, from both inner city blacks, who wanted more involvement in government, and whites in the suburbs, who wanted more services and more control over the central city. In 1964 all 15 of Duval County's public high schools lost their accreditation. This added momentum to proposals for government reform. Lower taxes, increased economic development, unification of the community, better public spending and effective administration by a more central authority were all cited as reasons for a new consolidated government.</t>
  </si>
  <si>
    <t>What kind of measurements define accelerlations?</t>
  </si>
  <si>
    <t>$32 billion</t>
  </si>
  <si>
    <t>Davies is credited with coining the modern name packet switching and inspiring numerous packet switching networks in Europe</t>
  </si>
  <si>
    <t>What objective would be labeled as practical?</t>
  </si>
  <si>
    <t>seven-eighths</t>
  </si>
  <si>
    <t>Rocks that are a depth where they are ductilely stretched are also often what?</t>
  </si>
  <si>
    <t>About what weather feature do paleoclimatologists want information ?</t>
  </si>
  <si>
    <t>How are 'un-aided' schools different from 'aided' schools?</t>
  </si>
  <si>
    <t>30 US states have banned corporal punishment, the others (mostly in the South) have not. It is still used to a significant (though declining) degree in some public schools in Alabama, Arkansas, Georgia, Louisiana, Mississippi, Oklahoma, Tennessee and Texas. Private schools in these and most other states may also use it. Corporal punishment in American schools is administered to the seat of the student's trousers or skirt with a specially made wooden paddle. This often used to take place in the classroom or hallway, but nowadays the punishment is usually given privately in the principal's office.</t>
  </si>
  <si>
    <t>What is needed to pack electrons densely together?</t>
  </si>
  <si>
    <t>Photorespiration can occur when the oxygen concentration is too high. Rubisco cannot distinguish between oxygen and carbon dioxide very well, so it can accidentally add O2 instead of CO2 to RuBP. This process reduces the efficiency of photosynthesis—it consumes ATP and oxygen, releases CO2, and produces no sugar. It can waste up to half the carbon fixed by the Calvin cycle. Several mechanisms have evolved in different lineages that raise the carbon dioxide concentration relative to oxygen within the chloroplast, increasing the efficiency of photosynthesis. These mechanisms are called carbon dioxide concentrating mechanisms, or CCMs. These include Crassulacean acid metabolism, C4 carbon fixation, and pyrenoids. Chloroplasts in C4 plants are notable as they exhibit a distinct chloroplast dimorphism.</t>
  </si>
  <si>
    <t>The "freedom to provide services" under TFEU article 56 applies to people who give services "for remuneration", especially commercial or professional activity. For example, in Van Binsbergen v Bestuur van de Bedrijfvereniging voor de Metaalnijverheid a Dutch lawyer moved to Belgium while advising a client in a social security case, and was told he could not continue because Dutch law said only people established in the Netherlands could give legal advice. The Court of Justice held that the freedom to provide services applied, it was directly effective, and the rule was probably unjustified: having an address in the member state would be enough to pursue the legitimate aim of good administration of justice. The Court of Justice has held that secondary education falls outside the scope of article 56, because usually the state funds it, though higher education does not. Health care generally counts as a service. In Geraets-Smits v Stichting Ziekenfonds Mrs Geraets-Smits claimed she should be reimbursed by Dutch social insurance for costs of receiving treatment in Germany. The Dutch health authorities regarded the treatment unnecessary, so she argued this restricted the freedom (of the German health clinic) to provide services. Several governments submitted that hospital services should not be regarded as economic, and should not fall within article 56. But the Court of Justice held health was a "service" even though the government (rather than the service recipient) paid for the service. National authorities could be justified in refusing to reimburse patients for medical services abroad if the health care received at home was without undue delay, and it followed "international medical science" on which treatments counted as normal and necessary. The Court requires that the individual circumstances of a patient justify waiting lists, and this is also true in the context of the UK's National Health Service. Aside from public services, another sensitive field of services are those classified as illegal. Josemans v Burgemeester van Maastricht held that the Netherlands' regulation of cannabis consumption, including the prohibitions by some municipalities on tourists (but not Dutch nationals) going to coffee shops, fell outside article 56 altogether. The Court of Justice reasoned that narcotic drugs were controlled in all member states, and so this differed from other cases where prostitution or other quasi-legal activity was subject to restriction. If an activity does fall within article 56, a restriction can be justified under article 52 or overriding requirements developed by the Court of Justice. In Alpine Investments BV v Minister van Financiën a business that sold commodities futures (with Merrill Lynch and another banking firms) attempted to challenge a Dutch law that prohibiting cold calling customers. The Court of Justice held the Dutch prohibition pursued a legitimate aim to prevent "undesirable developments in securities trading" including protecting the consumer from aggressive sales tactics, thus maintaining confidence in the Dutch markets. In Omega Spielhallen GmbH v Bonn a "laserdrome" business was banned by the Bonn council. It bought fake laser gun services from a UK firm called Pulsar Ltd, but residents had protested against "playing at killing" entertainment. The Court of Justice held that the German constitutional value of human dignity, which underpinned the ban, did count as a justified restriction on freedom to provide services. In Liga Portuguesa de Futebol v Santa Casa da Misericórdia de Lisboa the Court of Justice also held that the state monopoly on gambling, and a penalty for a Gibraltar firm that had sold internet gambling services, was justified to prevent fraud and gambling where people's views were highly divergent. The ban was proportionate as this was an appropriate and necessary way to tackle the serious problems of fraud that arise over the internet. In the Services Directive a group of justifications were codified in article 16 that the case law has developed.</t>
  </si>
  <si>
    <t>The Tech Coast is a moniker that has gained use as a descriptor for the region's diversified technology and industrial base as well as its multitude of prestigious and world-renowned research universities and other public and private institutions. Amongst these include 5 University of California campuses (Irvine, Los Angeles, Riverside, Santa Barbara, and San Diego); 12 California State University campuses (Bakersfield, Channel Islands, Dominguez Hills, Fullerton, Los Angeles, Long Beach, Northridge, Pomona, San Bernardino, San Diego, San Marcos, and San Luis Obispo); and private institutions such as the California Institute of Technology, Chapman University, the Claremont Colleges (Claremont McKenna College, Harvey Mudd College, Pitzer College, Pomona College, and Scripps College), Loma Linda University, Loyola Marymount University, Occidental College, Pepperdine University, University of Redlands, University of San Diego, and the University of Southern California.</t>
  </si>
  <si>
    <t>around 10 billion barrels.</t>
  </si>
  <si>
    <t>lymphokines</t>
  </si>
  <si>
    <t>by a fee per unit of information transmitted</t>
  </si>
  <si>
    <t>Where was the disease spreading between 1348 and 1350?</t>
  </si>
  <si>
    <t xml:space="preserve">Turing machines are commonly employed to define what? </t>
  </si>
  <si>
    <t>Where did Maududi's books place Islam?</t>
  </si>
  <si>
    <t>most common</t>
  </si>
  <si>
    <t>The university agreed to grant a degree to any graduate of affiliate schoos that did what?</t>
  </si>
  <si>
    <t>What were the Saxon Palace and Brühl Palace in prewar Warsaw?</t>
  </si>
  <si>
    <t>the constitutional traditions common to the member states</t>
  </si>
  <si>
    <t>latent heat</t>
  </si>
  <si>
    <t>William Hartnell and Patrick Troughton</t>
  </si>
  <si>
    <t>Fresno's far southeast side</t>
  </si>
  <si>
    <t>Private_school</t>
  </si>
  <si>
    <t>Helper and regulatory T cells can only recognize antigens coupled to what kind of molecules?</t>
  </si>
  <si>
    <t>When dating rocks, what is the absolute isotopic date applied to?</t>
  </si>
  <si>
    <t>geophysical</t>
  </si>
  <si>
    <t>revolutionary</t>
  </si>
  <si>
    <t>hard-to-fill positions</t>
  </si>
  <si>
    <t>What was Newton's quarterback rating for 2015?</t>
  </si>
  <si>
    <t>shrink</t>
  </si>
  <si>
    <t>The Love Boat</t>
  </si>
  <si>
    <t>Several D&amp;B contractors</t>
  </si>
  <si>
    <t>early</t>
  </si>
  <si>
    <t>What is the name of the trophy that all Super Bowl winners receive?</t>
  </si>
  <si>
    <t>$40 million</t>
  </si>
  <si>
    <t>law of supply and demand</t>
  </si>
  <si>
    <t>ramification in geometry</t>
  </si>
  <si>
    <t>If P is ultimately proven to be equal tot NP, what effect would this have on the efficiency of problems?</t>
  </si>
  <si>
    <t>How many elements did Aristotle believe the terrestrial sphere to be made up of?</t>
  </si>
  <si>
    <t>vitamin D</t>
  </si>
  <si>
    <t>Australia</t>
  </si>
  <si>
    <t>the carbon cycle</t>
  </si>
  <si>
    <t>What is the usual source of heat for boiling water in the steam engine?</t>
  </si>
  <si>
    <t>What was the belief that maintaining motion required force?</t>
  </si>
  <si>
    <t>made a grade of A for all four years, and on any other graduate who took twelve weeks additional study at the University of Chicago</t>
  </si>
  <si>
    <t>The Mongol Empire was governed by a civilian and military code, called the Yassa, created by Genghis Khan. The Mongol Empire did not emphasize the importance of ethnicity and race in the administrative realm, instead adopting an approach grounded in meritocracy. The exception was the role of Genghis Khan and his family. The Mongol Empire was one of the most ethnically and culturally diverse empires in history, as befitted its size. Many of the empire's nomadic inhabitants considered themselves Mongols in military and civilian life, including Mongols, Turks and others and included many diverse Khans of various ethnicities as part of the Mongol Empire such as Muhammad Khan.</t>
  </si>
  <si>
    <t>Dublin, Cork, Portarlington, Lisburn, Waterford and Youghal</t>
  </si>
  <si>
    <t>How big are phycobilisomes?</t>
  </si>
  <si>
    <t>nonviolent</t>
  </si>
  <si>
    <t>the former Strathclyde Regional Council debating chamber</t>
  </si>
  <si>
    <t>What was the defeat of the Arab troops at the hand of the Israeli troops during the Six-Day War?</t>
  </si>
  <si>
    <t>Which conjecture holds that for any positive integer n, there is an infinite amount of pairs of consecutive primes differing by 2n?</t>
  </si>
  <si>
    <t>Hospital pharmacies usually stock a larger range of medications, including more specialized medications</t>
  </si>
  <si>
    <t>What are phytoplankton?</t>
  </si>
  <si>
    <t>northwest across Europe</t>
  </si>
  <si>
    <t>chloroplasts of C4 plants</t>
  </si>
  <si>
    <t>ten minutes</t>
  </si>
  <si>
    <t>fundraising</t>
  </si>
  <si>
    <t>What publication published an article about Tesla in 1912?</t>
  </si>
  <si>
    <t>Emmerich Rhine Bridge,</t>
  </si>
  <si>
    <t>progressive tax</t>
  </si>
  <si>
    <t xml:space="preserve">Finding what helps to determine if a fault is a normal fault or a thrust fault? </t>
  </si>
  <si>
    <t>What does the plos pathogen paper claim?</t>
  </si>
  <si>
    <t>consumes ATP and oxygen, releases CO2, and produces no sugar</t>
  </si>
  <si>
    <t>socialist realism</t>
  </si>
  <si>
    <t>Port of Long Beach</t>
  </si>
  <si>
    <t>What type of medal did NASA give the astronauts who visited space and the moon?</t>
  </si>
  <si>
    <t>lower sixth</t>
  </si>
  <si>
    <t>Queer as Folk</t>
  </si>
  <si>
    <t>Article 5</t>
  </si>
  <si>
    <t>Tesla and/or Edison had refused the prize</t>
  </si>
  <si>
    <t>What force acts on an object suspended on a spring scale in addition to gravity?</t>
  </si>
  <si>
    <t>a complete list of primes up to  is known</t>
  </si>
  <si>
    <t>10 o'clock tea (chai ya saa nne) and 4 pm</t>
  </si>
  <si>
    <t>Luther's 1538 hymnic version of the Lord's Prayer, "Vater unser im Himmelreich", corresponds exactly to Luther's explanation of the prayer in the Small Catechism, with one stanza for each of the seven prayer petitions, plus opening and closing stanzas. The hymn functioned both as a liturgical setting of the Lord's Prayer and as a means of examining candidates on specific catechism questions. The extant manuscript shows multiple revisions, demonstrating Luther's concern to clarify and strengthen the text and to provide an appropriately prayerful tune. Other 16th- and 20th-century versifications of the Lord's Prayer have adopted Luther's tune, although modern texts are considerably shorter.</t>
  </si>
  <si>
    <t>models</t>
  </si>
  <si>
    <t>trade magazine for the construction industry</t>
  </si>
  <si>
    <t>What happened to the Apollo 13 crew to force them to use the LM as a "life boat" as it had been designed?</t>
  </si>
  <si>
    <t>What was the name of the single that Coldplay and Beyoncé collaborated on?</t>
  </si>
  <si>
    <t>the temperate zone</t>
  </si>
  <si>
    <t>Luther's 1524 creedal hymn "Wir glauben all an einen Gott" ("We All Believe in One True God") is a three-stanza confession of faith prefiguring Luther's 1529 three-part explanation of the Apostles' Creed in the Small Catechism. Luther's hymn, adapted and expanded from an earlier German creedal hymn, gained widespread use in vernacular Lutheran liturgies as early as 1525. Sixteenth-century Lutheran hymnals also included "Wir glauben all" among the catechetical hymns, although 18th-century hymnals tended to label the hymn as Trinitarian rather than catechetical, and 20th-century Lutherans rarely use the hymn because of the perceived difficulty of its tune.</t>
  </si>
  <si>
    <t>steam-powered</t>
  </si>
  <si>
    <t>How is oxygen produced from carbon dioxide on the other planets of the solar system?</t>
  </si>
  <si>
    <t>In 1888, the editor of Electrical World magazine, Thomas Commerford Martin (a friend and publicist), arranged for Tesla to demonstrate his alternating current system, including his induction motor, at the American Institute of Electrical Engineers (now IEEE). Engineers working for the Westinghouse Electric &amp; Manufacturing Company reported to George Westinghouse that Tesla had a viable AC motor and related power system — something for which Westinghouse had been trying to secure patents. Westinghouse looked into getting a patent on a similar commutator-less, rotating magnetic field-based induction motor presented in a paper in March 1888 by the Italian physicist Galileo Ferraris, but decided Tesla's patent would probably control the market.</t>
  </si>
  <si>
    <t>At what size and larger can drugs elicit a neutralizing immune response?</t>
  </si>
  <si>
    <t>a vestigial red algal derived chloroplast</t>
  </si>
  <si>
    <t>How common was the form of corporal punishment in the past?</t>
  </si>
  <si>
    <t>creative plea</t>
  </si>
  <si>
    <t>All actions</t>
  </si>
  <si>
    <t>is the product of the host's cell membrane</t>
  </si>
  <si>
    <t>What is the term for the lack of obsevable free quarks?</t>
  </si>
  <si>
    <t>The immune system also produces what molecules in order to allow for tumor destruction by the complement system?</t>
  </si>
  <si>
    <t>What did the conflict galvanize Muslims around the world to do?</t>
  </si>
  <si>
    <t>arts capital of the UK</t>
  </si>
  <si>
    <t>5 million people</t>
  </si>
  <si>
    <t>at least 11,000 years</t>
  </si>
  <si>
    <t>increasing functionings (the things a person values doing), capabilities (the freedom to enjoy functionings) and agency (the ability to pursue valued goals)</t>
  </si>
  <si>
    <t>The Ninety-Five Theses</t>
  </si>
  <si>
    <t>protest and political action</t>
  </si>
  <si>
    <t>ballistic trajectory</t>
  </si>
  <si>
    <t>nonviolent resistance</t>
  </si>
  <si>
    <t>core curriculum of seven classes</t>
  </si>
  <si>
    <t>What ethnic group located in Jacksonville is ranked tenth largest?</t>
  </si>
  <si>
    <t>Free oxygen gas was almost nonexistent in Earth's atmosphere before photosynthetic archaea and bacteria evolved, probably about 3.5 billion years ago. Free oxygen first appeared in significant quantities during the Paleoproterozoic eon (between 3.0 and 2.3 billion years ago). For the first billion years, any free oxygen produced by these organisms combined with dissolved iron in the oceans to form banded iron formations. When such oxygen sinks became saturated, free oxygen began to outgas from the oceans 3–2.7 billion years ago, reaching 10% of its present level around 1.7 billion years ago.</t>
  </si>
  <si>
    <t>What did Genghis Khan expect from his generals alongside the autonomy he granted them?</t>
  </si>
  <si>
    <t>illiberal Islamic regimes</t>
  </si>
  <si>
    <t>What does the National Museum boast having from Adolf Hitler's private collection?</t>
  </si>
  <si>
    <t>the StubHub Center</t>
  </si>
  <si>
    <t>What do most platyctenida have on their aboral surface?</t>
  </si>
  <si>
    <t>kill Luther</t>
  </si>
  <si>
    <t>7:00 to 9:00 a.m.</t>
  </si>
  <si>
    <t>substitute capital equipment</t>
  </si>
  <si>
    <t>Which Doctors were in Project: Lazarus?</t>
  </si>
  <si>
    <t>What act sets the term for judging the boundaries of sanity to which individuals wishing to sit on the SP must adhere?</t>
  </si>
  <si>
    <t>University of Wittenberg.</t>
  </si>
  <si>
    <t>the extinction of the dinosaurs and the wetter climate</t>
  </si>
  <si>
    <t>What caused the need for principal Treaties that ended up forming the EU?</t>
  </si>
  <si>
    <t>Who gained control of Florida after the conclusion of the Revolutionary War?</t>
  </si>
  <si>
    <t>Civil Disobedience is mainly performed by what population group?</t>
  </si>
  <si>
    <t>Leukocytes (white blood cells)</t>
  </si>
  <si>
    <t>Financial Regulations and Rules of the WMO</t>
  </si>
  <si>
    <t>Who caused the dissolution of the Holy Roman Empire?</t>
  </si>
  <si>
    <t>of continental art 1600–1800</t>
  </si>
  <si>
    <t>What parts of the original Catholic mass did Luther leave out of  his new mass?</t>
  </si>
  <si>
    <t>service</t>
  </si>
  <si>
    <t>Recognized Student Organizations</t>
  </si>
  <si>
    <t>clinical pharmacists</t>
  </si>
  <si>
    <t>Throughout the 1980s and 1990s, demand for a Scottish Parliament grew, in part because the government of the United Kingdom was controlled by the Conservative Party, while Scotland itself elected relatively few Conservative MPs. In the aftermath of the 1979 referendum defeat, the Campaign for a Scottish Assembly was initiated as a pressure group, leading to the 1989 Scottish Constitutional Convention with various organisations such as Scottish churches, political parties and representatives of industry taking part. Publishing its blueprint for devolution in 1995, the Convention provided much of the basis for the structure of the Parliament.</t>
  </si>
  <si>
    <t>greatest common divisor is one</t>
  </si>
  <si>
    <t>On what did Luther's friend blame his sadness and entrance into the cloister?</t>
  </si>
  <si>
    <t>What is another term used for year 13?</t>
  </si>
  <si>
    <t>Barro found there is little relation between income inequality and rates of what?</t>
  </si>
  <si>
    <t>What type of education is sometimes present at religious schools in addition to the secular curriculum?</t>
  </si>
  <si>
    <t>vocational schools</t>
  </si>
  <si>
    <t>he did not want disloyal men in his army</t>
  </si>
  <si>
    <t>good</t>
  </si>
  <si>
    <t>this multiplier</t>
  </si>
  <si>
    <t>survivable communications networks</t>
  </si>
  <si>
    <t>Forster I, Forster II, and Forster III</t>
  </si>
  <si>
    <t>What was the cause for the issues with city funding?</t>
  </si>
  <si>
    <t>Inertia</t>
  </si>
  <si>
    <t>In what areas does most of the learning take place?</t>
  </si>
  <si>
    <t>In what group of compounds is oxygen a necessary part?</t>
  </si>
  <si>
    <t>Mortgage bankers, accountants, and cost engineers</t>
  </si>
  <si>
    <t>co-chair of TAR WGI</t>
  </si>
  <si>
    <t>the Edison Medal</t>
  </si>
  <si>
    <t>What buildings held the Milton Friedman Institute?</t>
  </si>
  <si>
    <t>What are two of its subsystems?</t>
  </si>
  <si>
    <t>passing a stream of clean, dry air through one bed of a pair of identical zeolite molecular sieves, which absorbs the nitrogen</t>
  </si>
  <si>
    <t>clerical marriage</t>
  </si>
  <si>
    <t>captured</t>
  </si>
  <si>
    <t>Where is Genghis Khan's presumed to have been delivered?</t>
  </si>
  <si>
    <t>Guilt implies wrong-doing</t>
  </si>
  <si>
    <t>the northeast</t>
  </si>
  <si>
    <t>Commission v Austria the Court</t>
  </si>
  <si>
    <t>honoured</t>
  </si>
  <si>
    <t>in the country</t>
  </si>
  <si>
    <t>What is the only form kinetic energy can change into?</t>
  </si>
  <si>
    <t>Who ordered the Stern Review?</t>
  </si>
  <si>
    <t>What team did the Panthers defeat?</t>
  </si>
  <si>
    <t>In January 1519, at Altenburg in Saxony, the papal nuncio Karl von Miltitz adopted a more conciliatory approach. Luther made certain concessions to the Saxon, who was a relative of the Elector, and promised to remain silent if his opponents did. The theologian Johann Eck, however, was determined to expose Luther's doctrine in a public forum. In June and July 1519, he staged a disputation with Luther's colleague Andreas Karlstadt at Leipzig and invited Luther to speak. Luther's boldest assertion in the debate was that Matthew 16:18 does not confer on popes the exclusive right to interpret scripture, and that therefore neither popes nor church councils were infallible. For this, Eck branded Luther a new Jan Hus, referring to the Czech reformer and heretic burned at the stake in 1415. From that moment, he devoted himself to Luther's defeat.</t>
  </si>
  <si>
    <t>Tehachapi Mountains</t>
  </si>
  <si>
    <t>The National Art Library (also called Word and Image Department) at the Victoria and Albert Museum collection catalog used to be kept in different formats including printed exhibit catalogs, and card catalogs. A computer system called MODES cataloging system was used from the 1980s to the 1990s, but those electronic files were not available to the library users. All of the archival material at the National Art Library is using Encoded Archival Description (EAD). The Victoria and Albert Museum has a computer system but most of the items in the collection, unless those were newly accessioned into the collection, probably do not show up in the computer system. There is a feature on the Victoria and Albert Museum web-site called "Search the Collections," but not everything is listed there.</t>
  </si>
  <si>
    <t>1st century BC</t>
  </si>
  <si>
    <t>BBC National Orchestra of Wales</t>
  </si>
  <si>
    <t>How long did it take for Thoreau's disobedience to be known?</t>
  </si>
  <si>
    <t>universities and/or TAFE colleges</t>
  </si>
  <si>
    <t>over 100 billion dollars</t>
  </si>
  <si>
    <t>What was the significance of victory at Forth Niagara for British?</t>
  </si>
  <si>
    <t>Building construction is the process of adding structure to real property or construction of buildings. The majority of building construction jobs are small renovations, such as addition of a room, or renovation of a bathroom. Often, the owner of the property acts as laborer, paymaster, and design team for the entire project. Although building construction projects typically include various common elements, such as design, financial, estimating and legal considerations, many projects of varying sizes reach undesirable end results, such as structural collapse, cost overruns, and/or litigation. For this reason, those with experience in the field make detailed plans and maintain careful oversight during the project to ensure a positive outcome.</t>
  </si>
  <si>
    <t>What was the effect of the housing crash on the region?</t>
  </si>
  <si>
    <t>ABC originally launched on October 12, 1943 as a radio network, separated from and serving as the successor to the NBC Blue Network, which had been purchased by Edward J. Noble. It extended its operations to television in 1948, following in the footsteps of established broadcast networks CBS and NBC. In the mid-1950s, ABC merged with United Paramount Theatres, a chain of movie theaters that formerly operated as a subsidiary of Paramount Pictures. Leonard Goldenson, who had been the head of UPT, made the new television network profitable by helping develop and greenlight many successful series. In the 1980s, after purchasing an 80% interest in cable sports channel ESPN, the network's parent merged with Capital Cities Communications, owner of several print publications, and television and radio stations. In 1996, most of Capital Cities/ABC's assets were purchased by The Walt Disney Company.</t>
  </si>
  <si>
    <t>number of gates in a circuit</t>
  </si>
  <si>
    <t>Where is the principle of proportionality recognized in the EC treaty?</t>
  </si>
  <si>
    <t>principle of faunal succession</t>
  </si>
  <si>
    <t>horrible wars</t>
  </si>
  <si>
    <t>Victorian schools are either publicly or privately funded. Public schools, also known as state or government schools, are funded and run directly by the Victoria Department of Education . Students do not pay tuition fees, but some extra costs are levied. Private fee-paying schools include parish schools run by the Roman Catholic Church and independent schools similar to British public schools. Independent schools are usually affiliated with Protestant churches. Victoria also has several private Jewish and Islamic primary and secondary schools. Private schools also receive some public funding. All schools must comply with government-set curriculum standards. In addition, Victoria has four government selective schools, Melbourne High School for boys, MacRobertson Girls' High School for girls, the coeducational schools John Monash Science School, Nossal High School and Suzanne Cory High School, and The Victorian College of the Arts Secondary School. Students at these schools are exclusively admitted on the basis of an academic selective entry test.</t>
  </si>
  <si>
    <t>when they would be married, and to whom</t>
  </si>
  <si>
    <t>Central Secretariat</t>
  </si>
  <si>
    <t>black jerseys with silver pants</t>
  </si>
  <si>
    <t>The largest objects in the V&amp;A ceramics and glass collection were produced in which countries?</t>
  </si>
  <si>
    <t>Masovian Primeval Forest</t>
  </si>
  <si>
    <t>When did the Bantu expansion reach the area from West-Central Africa?</t>
  </si>
  <si>
    <t>Where was the Baltimore Christmas Conference of 1784 held?</t>
  </si>
  <si>
    <t>Who does Edward Said say is being attacked by US imperialism?</t>
  </si>
  <si>
    <t>What style of sensing do scientist like to use to measure global radiance?</t>
  </si>
  <si>
    <t>What did Luther gradually see as hopeless in the Reformation?</t>
  </si>
  <si>
    <t>non-religious</t>
  </si>
  <si>
    <t>teach by rote</t>
  </si>
  <si>
    <t>That the plague was caused by bad air</t>
  </si>
  <si>
    <t>wing of the secular powers</t>
  </si>
  <si>
    <t>Pattern recognition receptors are proteins used by nearly all organisms to identify molecules associated with pathogens. Antimicrobial peptides called defensins are an evolutionarily conserved component of the innate immune response found in all animals and plants, and represent the main form of invertebrate systemic immunity. The complement system and phagocytic cells are also used by most forms of invertebrate life. Ribonucleases and the RNA interference pathway are conserved across all eukaryotes, and are thought to play a role in the immune response to viruses.</t>
  </si>
  <si>
    <t>Where was the famous artist Tamara de Lempicka born?</t>
  </si>
  <si>
    <t>due to the death of Elisabeth Sladen</t>
  </si>
  <si>
    <t>What was Phillips official title for NASA?</t>
  </si>
  <si>
    <t>extensive, electrified, passenger system</t>
  </si>
  <si>
    <t>the cell membrane</t>
  </si>
  <si>
    <t>How are the combs spaced?</t>
  </si>
  <si>
    <t>What type of atmosphere helped fuel the fire throughout the cabin?</t>
  </si>
  <si>
    <t>Who published the State of the Planet 2008-2009 report?</t>
  </si>
  <si>
    <t>What does phycoerytherin appear in?</t>
  </si>
  <si>
    <t>the Doctor's third on-screen regeneration</t>
  </si>
  <si>
    <t>From where would scientists like measure vegetation radiance?</t>
  </si>
  <si>
    <t>Which diseases do many scientists believe contributed to plague pandemic?</t>
  </si>
  <si>
    <t>transplastomic</t>
  </si>
  <si>
    <t>common rules for coal and steel, and then atomic energy</t>
  </si>
  <si>
    <t>What order did British make of French?</t>
  </si>
  <si>
    <t>RIBA Drawings and Archives Collection</t>
  </si>
  <si>
    <t>What major conquest did Tancred play a roll in?</t>
  </si>
  <si>
    <t>over two million</t>
  </si>
  <si>
    <t>to revolve a balance</t>
  </si>
  <si>
    <t>Although Kenya is the most industrially developed country in the African Great Lakes region, manufacturing still accounts for only 14% of the GDP. Industrial activity, concentrated around the three largest urban centres, Nairobi, Mombasa and Kisumu, is dominated by food-processing industries such as grain milling, beer production, and sugarcane crushing, and the fabrication of consumer goods, e.g., vehicles from kits. There is a cement production industry.[citation needed] Kenya has an oil refinery that processes imported crude petroleum into petroleum products, mainly for the domestic market. In addition, a substantial and expanding informal sector commonly referred to as Jua Kali engages in small-scale manufacturing of household goods, motor-vehicle parts, and farm implements.[citation needed]</t>
  </si>
  <si>
    <t>over 12 million inhabitants</t>
  </si>
  <si>
    <t>Houston Street lab</t>
  </si>
  <si>
    <t>Some Huguenots settled in Bedfordshire, one of the main centres of the British lace industry at the time. Although 19th century sources have asserted that some of these refugees were lacemakers and contributed to the East Midlands lace industry, this is contentious. The only reference to immigrant lacemakers in this period is of twenty-five widows who settled in Dover, and there is no contemporary documentation to support there being Huguenot lacemakers in Bedfordshire. The implication that the style of lace known as 'Bucks Point' demonstrates a Huguenot influence, being a "combination of Mechlin patterns on Lille ground", is fallacious: what is now known as Mechlin lace did not develop until first half of the eighteenth century and lace with Mechlin patterns and Lille ground did not appear until the end of the 18th century, when it was widely copied throughout Europe.</t>
  </si>
  <si>
    <t>photons</t>
  </si>
  <si>
    <t>reason</t>
  </si>
  <si>
    <t>What act sets forth the functions of the Scottish Parliament?</t>
  </si>
  <si>
    <t>Which sea was oil discovered in?</t>
  </si>
  <si>
    <t>infected cells release signals warning the rest of the plant of a pathogen's presence</t>
  </si>
  <si>
    <t>comb-bearing</t>
  </si>
  <si>
    <t>Some argue that The United Methodist Church can lay a claim on apostolic succession, as understood in the traditional sense. As a result of the American Revolution, John Wesley was compelled in 1784 to break with standard practice and ordain two of his lay preachers as presbyters, Thomas Vasey and Richard Whatcoat. Dr. Thomas Coke, already an Anglican priest, assisted Wesley in this action. Coke was then "set apart" as a superintendent (bishop) by Wesley and dispatched with Vasey and Whatcoat to America to take charge of Methodist activities there. In defense of his action to ordain, Wesley himself cited an ancient opinion from the Church of Alexandria, which held that bishops and presbyters constituted one order and therefore, bishops are to be elected from and by the presbyterate. He knew that for two centuries the succession of bishops in the Church of Alexandria was preserved through ordination by presbyters alone and was considered valid by the ancient church. Methodists today who would argue for apostolic succession would do so on these grounds.</t>
  </si>
  <si>
    <t>Where is the neighborhood of Sunnyside located in Fresno?</t>
  </si>
  <si>
    <t>What type of mixture was created to replace the pure oxygen atmosphere inside the cabin?</t>
  </si>
  <si>
    <t>A contract</t>
  </si>
  <si>
    <t>geochemical evolution of rock units</t>
  </si>
  <si>
    <t>preventing it from being cut down</t>
  </si>
  <si>
    <t>hosts responsible for reliable delivery of data</t>
  </si>
  <si>
    <t>What is the origin of clinical pharmacy?</t>
  </si>
  <si>
    <t>toughest rallies in the world</t>
  </si>
  <si>
    <t>ignored the warning.</t>
  </si>
  <si>
    <t>24 September 2007</t>
  </si>
  <si>
    <t>What do some theories claim about civil disobedience?</t>
  </si>
  <si>
    <t>second half of the 20th Century</t>
  </si>
  <si>
    <t>What was the name given to the regions in which the pro - slavery southerners lived?</t>
  </si>
  <si>
    <t xml:space="preserve">What was the result of the 2007 election? </t>
  </si>
  <si>
    <t>liquefied air</t>
  </si>
  <si>
    <t>Catholic</t>
  </si>
  <si>
    <t>educational career</t>
  </si>
  <si>
    <t>The study also found that there were two previously unknown but related clades (genetic branches) of the Y. pestis genome associated with medieval mass graves. These clades (which are thought to be extinct) were found to be ancestral to modern isolates of the modern Y. pestis strains Y. p. orientalis and Y. p. medievalis, suggesting the plague may have entered Europe in two waves. Surveys of plague pit remains in France and England indicate the first variant entered Europe through the port of Marseille around November 1347 and spread through France over the next two years, eventually reaching England in the spring of 1349, where it spread through the country in three epidemics. Surveys of plague pit remains from the Dutch town of Bergen op Zoom showed the Y. pestis genotype responsible for the pandemic that spread through the Low Countries from 1350 differed from that found in Britain and France, implying Bergen op Zoom (and possibly other parts of the southern Netherlands) was not directly infected from England or France in 1349 and suggesting a second wave of plague, different from those in Britain and France, may have been carried to the Low Countries from Norway, the Hanseatic cities or another site.</t>
  </si>
  <si>
    <t>asymptotic distribution</t>
  </si>
  <si>
    <t>elevated partial pressures</t>
  </si>
  <si>
    <t>Stage 3 is the final stage of the bill and is considered at a meeting of the whole Parliament. This stage comprises two parts: consideration of amendments to the bill as a general debate, and a final vote on the bill. Opposition members can table "wrecking amendments" to the bill, designed to thwart further progress and take up parliamentary time, to cause the bill to fall without a final vote being taken. After a general debate on the final form of the bill, members proceed to vote at Decision Time on whether they agree to the general principles of the final bill.</t>
  </si>
  <si>
    <t>Kenya’s armed forces, like many government institutions in the country, have been tainted by corruption allegations. Because the operations of the armed forces have been traditionally cloaked by the ubiquitous blanket of “state security”, the corruption has been less in public view, and thus less subject to public scrutiny and notoriety. This has changed recently. In what are by Kenyan standards unprecedented revelations, in 2010, credible claims of corruption were made with regard to recruitment  and procurement of Armoured Personnel Carriers. Further, the wisdom and prudence of certain decisions of procurement have been publicly questioned.</t>
  </si>
  <si>
    <t>France, Italy, Belgium, the Netherlands, Luxembourg and Germany</t>
  </si>
  <si>
    <t>raises the productivity of each worker,</t>
  </si>
  <si>
    <t>The war in North America officially ended with the signing of the Treaty of Paris on 10 February 1763, and war in the European theatre of the Seven Years' War was settled by the Treaty of Hubertusburg on 15 February 1763. The British offered France the choice of surrendering either its continental North American possessions east of the Mississippi or the Caribbean islands of Guadeloupe and Martinique, which had been occupied by the British. France chose to cede the former, but was able to negotiate the retention of Saint Pierre and Miquelon, two small islands in the Gulf of St. Lawrence, along with fishing rights in the area. They viewed the economic value of the Caribbean islands' sugar cane to be greater and easier to defend than the furs from the continent. The contemporaneous French philosopher Voltaire referred to Canada disparagingly as nothing more than a few acres of snow. The British, for their part, were happy to take New France, as defence of their North American colonies would no longer be an issue and also because they already had ample places from which to obtain sugar. Spain, which traded Florida to Britain to regain Cuba, also gained Louisiana, including New Orleans, from France in compensation for its losses. Great Britain and Spain also agreed that navigation on the Mississippi River was to be open to vessels of all nations.</t>
  </si>
  <si>
    <t>One of the more unusual collections is that of Eadweard Muybridge's photographs of Animal Locomotion of 1887, this consists of 781 plates. These sequences of photographs taken a fraction of a second apart capture images of different animals and humans performimg various actions. There are several of John Thomson's 1876-7 images of Street Life in London in the collection. The museum also holds James Lafayette's society portraits, a collection of more than 600 photographs dating from the late 19th to early 20th centuries and portraying a wide range of society figures of the period, including bishops, generals, society ladies, Indian maharajas, Ethiopian rulers and other foreign leaders, actresses, people posing in their motor cars and a sequence of photographs recording the guests at the famous fancy-dress ball held at Devonshire House in 1897 to celebrate Queen Victoria's diamond jubilee.</t>
  </si>
  <si>
    <t>What did the Moscone Center host?</t>
  </si>
  <si>
    <t>disease</t>
  </si>
  <si>
    <t>substitute parent</t>
  </si>
  <si>
    <t>How much oxygen is found is a liter of fresh water under normal conditions?</t>
  </si>
  <si>
    <t>The most common dinophyte chloroplast is the peridinin-type chloroplast, characterized by the carotenoid pigment peridinin in their chloroplasts, along with chlorophyll a and chlorophyll c2. Peridinin is not found in any other group of chloroplasts. The peridinin chloroplast is bounded by three membranes (occasionally two), having lost the red algal endosymbiont's original cell membrane. The outermost membrane is not connected to the endoplasmic reticulum. They contain a pyrenoid, and have triplet-stacked thylakoids. Starch is found outside the chloroplast An important feature of these chloroplasts is that their chloroplast DNA is highly reduced and fragmented into many small circles. Most of the genome has migrated to the nucleus, and only critical photosynthesis-related genes remain in the chloroplast.</t>
  </si>
  <si>
    <t>Immune_system</t>
  </si>
  <si>
    <t>what did tesla attribute skin damage to?</t>
  </si>
  <si>
    <t>granted the Protestants equality</t>
  </si>
  <si>
    <t>How much was BSkyB going to pay for the Primier League rights?</t>
  </si>
  <si>
    <t>What did some of the Islamist groups supported by the West later become to be seen as?</t>
  </si>
  <si>
    <t>Where is the European Court of justice likely to get inspiration from?</t>
  </si>
  <si>
    <t>Who actually won the prize?</t>
  </si>
  <si>
    <t>In which direction does most of the wind in Fresno originate from?</t>
  </si>
  <si>
    <t>At the end of World War I, the Rhineland was subject to the Treaty of Versailles. This decreed that it would be occupied by the allies, until 1935 and after that, it would be a demilitarised zone, with the German army forbidden to enter. The Treaty of Versailles and this particular provision, in general, caused much resentment in Germany and is often cited as helping Adolf Hitler's rise to power. The allies left the Rhineland, in 1930 and the German army re-occupied it in 1936, which was enormously popular in Germany. Although the allies could probably have prevented the re-occupation, Britain and France were not inclined to do so, a feature of their policy of appeasement to Hitler.</t>
  </si>
  <si>
    <t>about twice as much</t>
  </si>
  <si>
    <t xml:space="preserve">How are AUSTPAC connections made </t>
  </si>
  <si>
    <t>actively support and adopt mainstream Chinese culture</t>
  </si>
  <si>
    <t>Four thousand</t>
  </si>
  <si>
    <t>Great and General Court of the Massachusetts Bay Colony</t>
  </si>
  <si>
    <t>king of France</t>
  </si>
  <si>
    <t>construction of the $1.2 billion Allston Science Complex</t>
  </si>
  <si>
    <t>the Colorado Desert</t>
  </si>
  <si>
    <t>Which party is currently the largest among political party lines?</t>
  </si>
  <si>
    <t>What do some modern historians claim Genghis Khan sought to add his legal code at the end of his reign?</t>
  </si>
  <si>
    <t>Hormones can alter the sensitivity of the immune system, so they can be referred to as what?</t>
  </si>
  <si>
    <t>criminal investigations</t>
  </si>
  <si>
    <t>How much did Tesla say Edison offered him to redesign his motor and generators?</t>
  </si>
  <si>
    <t>CBS and NBC</t>
  </si>
  <si>
    <t>near the Black Sea</t>
  </si>
  <si>
    <t>Through combining the definition of electric current as the time rate of change of electric charge, a rule of vector multiplication called Lorentz's Law describes the force on a charge moving in a magnetic field. The connection between electricity and magnetism allows for the description of a unified electromagnetic force that acts on a charge. This force can be written as a sum of the electrostatic force (due to the electric field) and the magnetic force (due to the magnetic field). Fully stated, this is the law:</t>
  </si>
  <si>
    <t>having colloblasts</t>
  </si>
  <si>
    <t>a time-sharing system, based on Kemney's work at Dartmouth—which used a computer on loan from GE—could be profitable</t>
  </si>
  <si>
    <t>Who criticised the security bill?</t>
  </si>
  <si>
    <t>few hundred feet</t>
  </si>
  <si>
    <t>Constructing a project that fails to adhere to codes does not benefit whom?</t>
  </si>
  <si>
    <t>rapidly</t>
  </si>
  <si>
    <t>What do all member states agree takes precedence over national law?</t>
  </si>
  <si>
    <t>What is the term for a task that generally lends itself to being solved by a computer?</t>
  </si>
  <si>
    <t>When do members proceed to vote on whether they agree to the principles of the final bill?</t>
  </si>
  <si>
    <t>E. W. Scripps Company</t>
  </si>
  <si>
    <t>long-lived memory cells</t>
  </si>
  <si>
    <t>On what day does the Super Bowl media day traditionally take place?</t>
  </si>
  <si>
    <t>There are fifteen fraternities and seven sororities at the University of Chicago, as well as one co-ed community service fraternity, Alpha Phi Omega. Four of the sororities are members of the National Panhellenic Conference, and ten of the fraternities form the University of Chicago Interfraternity Council. In 2002, the Associate Director of Student Activities estimated that 8–10 percent of undergraduates were members of fraternities or sororities. The student activities office has used similar figures, stating that one in ten undergraduates participate in Greek life.</t>
  </si>
  <si>
    <t>Why did CBS turn down the pitch for The Untouchables?</t>
  </si>
  <si>
    <t>What does the United Methodist Church use in the sacrament of the Holy Communion?</t>
  </si>
  <si>
    <t>North and West Africa, as well as South-East Asia, with other conquests in Central and East Africa, as well as the South Pacific</t>
  </si>
  <si>
    <t>What dynasty shared artistic inspiration with the Yuan?</t>
  </si>
  <si>
    <t>local administrative structure</t>
  </si>
  <si>
    <t>What type of locomotive was Salamanca?</t>
  </si>
  <si>
    <t>malfunction in the chameleon circuit</t>
  </si>
  <si>
    <t>What does the WG I Summary for Policymakers report say human activities are doing to greenhouse gases?</t>
  </si>
  <si>
    <t>age three to five</t>
  </si>
  <si>
    <t>a pair of tentilla-bearing tentacles</t>
  </si>
  <si>
    <t>Oxygen presents two spectrophotometric absorption bands peaking at the wavelengths 687 and 760 nm. Some remote sensing scientists have proposed using the measurement of the radiance coming from vegetation canopies in those bands to characterize plant health status from a satellite platform. This approach exploits the fact that in those bands it is possible to discriminate the vegetation's reflectance from its fluorescence, which is much weaker. The measurement is technically difficult owing to the low signal-to-noise ratio and the physical structure of vegetation; but it has been proposed as a possible method of monitoring the carbon cycle from satellites on a global scale.</t>
  </si>
  <si>
    <t>What is the annual construction industry revenue in 2014?</t>
  </si>
  <si>
    <t>Early Western texts referencing the East describe the people as being what?</t>
  </si>
  <si>
    <t>What is a term for the reversing of steam flow in a piston engine after each stroke?</t>
  </si>
  <si>
    <t>administration</t>
  </si>
  <si>
    <t>How many successors of Kublai was Toghun the last of?</t>
  </si>
  <si>
    <t>687 and 760 nm</t>
  </si>
  <si>
    <t>What rank does Doctor Who hold in a list of the 100 Greatest Kids' TV Shows?</t>
  </si>
  <si>
    <t>Trevithick continued his own experiments using a trio of locomotives, concluding with the Catch Me Who Can in 1808. Only four years later, the successful twin-cylinder locomotive Salamanca by Matthew Murray was used by the edge railed rack and pinion Middleton Railway. In 1825 George Stephenson built the Locomotion for the Stockton and Darlington Railway. This was the first public steam railway in the world and then in 1829, he built The Rocket which was entered in and won the Rainhill Trials. The Liverpool and Manchester Railway opened in 1830 making exclusive use of steam power for both passenger and freight trains.</t>
  </si>
  <si>
    <t>fluorescent screen</t>
  </si>
  <si>
    <t>How do structural geologists observe the fabric within the rocks?</t>
  </si>
  <si>
    <t>metric slug</t>
  </si>
  <si>
    <t>A Pharmacy Technician in the UK is considered a health care professional and often does not work under the direct supervision of a pharmacist (if employed in a hospital pharmacy) but instead is supervised and managed by other senior pharmacy technicians. In the UK the role of a PhT has grown and responsibility has been passed on to them to manage the pharmacy department and specialised areas in pharmacy practice allowing pharmacists the time to specialise in their expert field as medication consultants spending more time working with patients and in research. A pharmacy technician once qualified has to register as a professional on the General Pharmaceutical Council (GPhC) register. The GPhC is the governing body for pharmacy health care professionals and this is who regulates the practice of pharmacists and pharmacy technicians.</t>
  </si>
  <si>
    <t>What organization is the IPCC a part of?</t>
  </si>
  <si>
    <t>On what basis do the radical Islamist organizations conduct their attacks?</t>
  </si>
  <si>
    <t>new entrants</t>
  </si>
  <si>
    <t>Iqbal expressed fears that not only would secularism and secular nationalism weaken the spiritual foundations of Islam and Muslim society, but that India's Hindu-majority population would crowd out Muslim heritage, culture and political influence. In his travels to Egypt, Afghanistan, Palestine and Syria, he promoted ideas of greater Islamic political co-operation and unity, calling for the shedding of nationalist differences. Sir Muhammad Iqbal was elected president of the Muslim League in 1930 at its session in Allahabad as well as for the session in Lahore in 1932. In his Allahabad Address on 29 December 1930, Iqbal outlined a vision of an independent state for Muslim-majority provinces in northwestern India. This address later inspired the Pakistan movement.</t>
  </si>
  <si>
    <t>What was the final score for Super Bowl XXXIII?</t>
  </si>
  <si>
    <t xml:space="preserve">What is the Bassin de compensation de Plobsheim in Alsace? </t>
  </si>
  <si>
    <t>member states</t>
  </si>
  <si>
    <t>In 1781 James Watt patented a steam engine that produced continuous rotary motion. Watt's ten-horsepower engines enabled a wide range of manufacturing machinery to be powered. The engines could be sited anywhere that water and coal or wood fuel could be obtained. By 1883, engines that could provide 10,000 hp had become feasible. The stationary steam engine was a key component of the Industrial Revolution, allowing factories to locate where water power was unavailable. The atmospheric engines of Newcomen and Watt were large compared to the amount of power they produced, but high pressure steam engines were light enough to be applied to vehicles such as traction engines and the railway locomotives.</t>
  </si>
  <si>
    <t>quantity surveyor</t>
  </si>
  <si>
    <t>When a consolidation referendum was held in 1967, voters approved the plan. On October 1, 1968, the governments merged to create the Consolidated City of Jacksonville. Fire, police, health &amp; welfare, recreation, public works, and housing &amp; urban development were all combined under the new government. In honor of the occasion, then-Mayor Hans Tanzler posed with actress Lee Meredith behind a sign marking the new border of the "Bold New City of the South" at Florida 13 and Julington Creek. The Better Jacksonville Plan, promoted as a blueprint for Jacksonville's future and approved by Jacksonville voters in 2000, authorized a half-penny sales tax. This would generate most of the revenue required for the $2.25 billion package of major projects that included road &amp; infrastructure improvements, environmental preservation, targeted economic development and new or improved public facilities.</t>
  </si>
  <si>
    <t>Why did GM, Ford and Chrysler introduced fuel-efficient and small cars to the US market?</t>
  </si>
  <si>
    <t>What is located on the site of The Weaving House currently?</t>
  </si>
  <si>
    <t>HT does not engage in armed jihad or work for a democratic system, but works to take power through "ideological struggle" to change Muslim public opinion, and in particular through elites who will "facilitate" a "change of the government," i.e., launch a "bloodless" coup. It allegedly attempted and failed such coups in 1968 and 1969 in Jordan, and in 1974 in Egypt, and is now banned in both countries. But many HT members have gone on to join terrorist groups and many jihadi terrorists have cited HT as their key influence.</t>
  </si>
  <si>
    <t>What does a T cell extend when it encounters a foreign pathogen?</t>
  </si>
  <si>
    <t>What is the most elemental way to test the primality of any integer n?</t>
  </si>
  <si>
    <t>both Kenia and Kegnia</t>
  </si>
  <si>
    <t>Luther sympathised with some of the peasants' grievances, as he showed in his response to the Twelve Articles in May 1525, but he reminded the aggrieved to obey the temporal authorities. During a tour of Thuringia, he became enraged at the widespread burning of convents, monasteries, bishops' palaces, and libraries. In Against the Murderous, Thieving Hordes of Peasants, written on his return to Wittenberg, he gave his interpretation of the Gospel teaching on wealth, condemned the violence as the devil's work, and called for the nobles to put down the rebels like mad dogs:</t>
  </si>
  <si>
    <t>What was the reason the Italian Constitutional court gave that resulted in Mr. Costa losing his his claim against ENEL?</t>
  </si>
  <si>
    <t>Who is best able to leverage the accumulation of wealth?</t>
  </si>
  <si>
    <t>The V&amp;A is located in the Brompton district of the Royal Borough of Kensington and Chelsea</t>
  </si>
  <si>
    <t>What type of opportunities would be expected from these counties?</t>
  </si>
  <si>
    <t>cylinder volume</t>
  </si>
  <si>
    <t>so that they can take shelter behind each other or spread out</t>
  </si>
  <si>
    <t>a spin triplet state</t>
  </si>
  <si>
    <t>evolution of the German language</t>
  </si>
  <si>
    <t>St. Lawrence and Mississippi watersheds</t>
  </si>
  <si>
    <t>a frontier market or occasionally an emerging market</t>
  </si>
  <si>
    <t>vote clerk</t>
  </si>
  <si>
    <t>Los Angeles Area</t>
  </si>
  <si>
    <t>land</t>
  </si>
  <si>
    <t>How many years could separate outbreaks of the black death?</t>
  </si>
  <si>
    <t>deterministic Turing machines</t>
  </si>
  <si>
    <t xml:space="preserve"> Where did he claim he would transport energy to?</t>
  </si>
  <si>
    <t>Much of the city's tax base dissipated, leading to problems with funding education, sanitation, and traffic control within the city limits. In addition, residents in unincorporated suburbs had difficulty obtaining municipal services, such as sewage and building code enforcement. In 1958, a study recommended that the city of Jacksonville begin annexing outlying communities in order to create the needed tax base to improve services throughout the county. Voters outside the city limits rejected annexation plans in six referendums between 1960 and 1965.</t>
  </si>
  <si>
    <t>What time framd does the Seven Years War cover?</t>
  </si>
  <si>
    <t>oceans</t>
  </si>
  <si>
    <t>full independent prescribing authority</t>
  </si>
  <si>
    <t>in the 12th century</t>
  </si>
  <si>
    <t>What was the teacher's role while the child was with them?</t>
  </si>
  <si>
    <t>Sir Paul Pindar's house survived which 17th century disaster?</t>
  </si>
  <si>
    <t>ABC purchased which of Edgar Scherick's company?</t>
  </si>
  <si>
    <t>What does the Sieve of Eratosthenes do?</t>
  </si>
  <si>
    <t>What can rubisco do by mistake?</t>
  </si>
  <si>
    <t>What Canadian cable station started showing Doctor Who in 2009?</t>
  </si>
  <si>
    <t>Christian doctrine</t>
  </si>
  <si>
    <t>In what month and year did the Apollo 11 mission occur?</t>
  </si>
  <si>
    <t>, helped to increase local producer prices by 20–25%</t>
  </si>
  <si>
    <t>In old or stressed chloroplasts</t>
  </si>
  <si>
    <t>What does the acronym LEM stand for?</t>
  </si>
  <si>
    <t>Through stream capture, the Rhine extended its watershed southward. By the Pliocene period, the Rhine had captured streams down to the Vosges Mountains, including the Mosel, the Main and the Neckar. The northern Alps were then drained by the Rhone. By the early Pleistocene period, the Rhine had captured most of its current Alpine watershed from the Rhône, including the Aar. Since that time, the Rhine has added the watershed above Lake Constance (Vorderrhein, Hinterrhein, Alpenrhein; captured from the Rhône), the upper reaches of the Main, beyond Schweinfurt and the Vosges Mountains, captured from the Meuse, to its watershed.</t>
  </si>
  <si>
    <t>What do Cydippids use to capture their prey?</t>
  </si>
  <si>
    <t>tooth sockets in human skeletons</t>
  </si>
  <si>
    <t>What crops were introduced or popularized in the Yuan?</t>
  </si>
  <si>
    <t>the study of rocks</t>
  </si>
  <si>
    <t>balance of parties</t>
  </si>
  <si>
    <t>What movements pursued a more radical direction?</t>
  </si>
  <si>
    <t>computational resource</t>
  </si>
  <si>
    <t>Downtown Burbank is an example of what kind of district?</t>
  </si>
  <si>
    <t>continental European countries</t>
  </si>
  <si>
    <t>For the salary year beginning April 2008, unpromoted teachers in Scotland earned from £20,427 for a Probationer, up to £32,583 after 6 years teaching, but could then go on to earn up to £39,942 as they complete the modules to earn Chartered Teacher Status (requiring at least 6 years at up to two modules per year.) Promotion to Principal Teacher positions attracts a salary of between £34,566 and £44,616; Deputy Head, and Head teachers earn from £40,290 to £78,642. Teachers in Scotland can be registered members of trade unions with the main ones being the Educational Institute of Scotland and the Scottish Secondary Teachers' Association.</t>
  </si>
  <si>
    <t>The weight of boilers and condensers generally makes the power-to-weight ratio of a steam plant lower than for internal combustion engines. For mobile applications steam has been largely superseded by internal combustion engines or electric motors. However, most electric power is generated using steam turbine plant, so that indirectly the world's industry is still dependent on steam power. Recent concerns about fuel sources and pollution have incited a renewed interest in steam both as a component of cogeneration processes and as a prime mover. This is becoming known as the Advanced Steam movement.[citation needed]</t>
  </si>
  <si>
    <t>Céloron threatened "Old Briton" with severe consequences</t>
  </si>
  <si>
    <t>elites</t>
  </si>
  <si>
    <t>The S-IVB-200 was used in what stage of the Saturn V?</t>
  </si>
  <si>
    <t>artisans and craftsmen</t>
  </si>
  <si>
    <t>to power the city's streetcars.</t>
  </si>
  <si>
    <t>What is the delta in the Rhine delimited in the east by?</t>
  </si>
  <si>
    <t>What are the three main sources of European Union law?</t>
  </si>
  <si>
    <t>Where can population estimates be extrapolated from?</t>
  </si>
  <si>
    <t>What did the king do to regarding Huguenot education?</t>
  </si>
  <si>
    <t>What books did Bayle publish?</t>
  </si>
  <si>
    <t>purposely damaging their photosynthetic system</t>
  </si>
  <si>
    <t>What happened to the ground water in the Rhine during the Rhine straightening program?</t>
  </si>
  <si>
    <t>What bridge did the Germans fail to demolish?</t>
  </si>
  <si>
    <t>Pharmacy informatics is the combination of pharmacy practice science and applied information science. Pharmacy informaticists work in many practice areas of pharmacy, however, they may also work in information technology departments or for healthcare information technology vendor companies. As a practice area and specialist domain, pharmacy informatics is growing quickly to meet the needs of major national and international patient information projects and health system interoperability goals. Pharmacists in this area are trained to participate in medication management system development, deployment and optimization.</t>
  </si>
  <si>
    <t>6.04 milliliters</t>
  </si>
  <si>
    <t>Some modern scholars, such as Fielding H. Garrison, are of the opinion that the origin of the science of geology can be traced to Persia after the Muslim conquests had come to an end. Abu al-Rayhan al-Biruni (973–1048 CE) was one of the earliest Persian geologists, whose works included the earliest writings on the geology of India, hypothesizing that the Indian subcontinent was once a sea. Drawing from Greek and Indian scientific literature that were not destroyed by the Muslim conquests, the Persian scholar Ibn Sina (Avicenna, 981–1037) proposed detailed explanations for the formation of mountains, the origin of earthquakes, and other topics central to modern geology, which provided an essential foundation for the later development of the science. In China, the polymath Shen Kuo (1031–1095) formulated a hypothesis for the process of land formation: based on his observation of fossil animal shells in a geological stratum in a mountain hundreds of miles from the ocean, he inferred that the land was formed by erosion of the mountains and by deposition of silt.</t>
  </si>
  <si>
    <t>In addition to recirculating water, what do condensers do?</t>
  </si>
  <si>
    <t>the Main Quadrangles</t>
  </si>
  <si>
    <t>city</t>
  </si>
  <si>
    <t>both British and Europeans</t>
  </si>
  <si>
    <t>What was left when engulfed algae was broken down?</t>
  </si>
  <si>
    <t>What is Psalm 67 about?</t>
  </si>
  <si>
    <t>Han Chinese and Khitans</t>
  </si>
  <si>
    <t>What actually causes rigidity in matter?</t>
  </si>
  <si>
    <t>multi-stage centrifugal</t>
  </si>
  <si>
    <t>How much correspondence did Tesla send Morgan in the five years following 1901?</t>
  </si>
  <si>
    <t>external combustion</t>
  </si>
  <si>
    <t>plastid-dividing rings</t>
  </si>
  <si>
    <t>What date were the top two stadium choices for Super Bowl 50 announced?</t>
  </si>
  <si>
    <t>The connection between macroscopic nonconservative forces and microscopic conservative forces is described by detailed treatment with statistical mechanics. In macroscopic closed systems, nonconservative forces act to change the internal energies of the system, and are often associated with the transfer of heat. According to the Second law of thermodynamics, nonconservative forces necessarily result in energy transformations within closed systems from ordered to more random conditions as entropy increases.</t>
  </si>
  <si>
    <t>the rest of Tesla's life</t>
  </si>
  <si>
    <t>Tiffany &amp; Co</t>
  </si>
  <si>
    <t>when they would be married,</t>
  </si>
  <si>
    <t>formalize a unified front in trade and negotiations with various Indians</t>
  </si>
  <si>
    <t>map out their ancestral lands</t>
  </si>
  <si>
    <t>What did Temüjin offer the people he conquered in order earn their loyalty?</t>
  </si>
  <si>
    <t>a poor harvest</t>
  </si>
  <si>
    <t>Black Sea</t>
  </si>
  <si>
    <t>battles at Lagos and Quiberon Bay</t>
  </si>
  <si>
    <t>The epidemic in Newcastle was the most what in any British city at the time?</t>
  </si>
  <si>
    <t>Search the Collections</t>
  </si>
  <si>
    <t>They viewed the economic value of the Caribbean islands' sugar cane to be greater and easier to defend than the furs from the continent</t>
  </si>
  <si>
    <t>What were these indulgences supposed to grant the giver?</t>
  </si>
  <si>
    <t>The entrance to studio 5</t>
  </si>
  <si>
    <t>Political advantage is an attribute of which state policies?</t>
  </si>
  <si>
    <t>the proportion of female undergraduates steadily increased, mirroring a trend throughout higher education in the United States</t>
  </si>
  <si>
    <t>trade unions, banks, and private universities</t>
  </si>
  <si>
    <t>What did creating highways in the Amazon rainforest lead to?</t>
  </si>
  <si>
    <t>largest</t>
  </si>
  <si>
    <t>Who is called by God, affirmed by the church and ordained by a bishop?</t>
  </si>
  <si>
    <t>In what magazine did Tesla talk about reflecting electricity off of submarine's hulls?</t>
  </si>
  <si>
    <t>genetic disease</t>
  </si>
  <si>
    <t>What is the concrete choice typically assumed by most complexity-theoretic theorems?</t>
  </si>
  <si>
    <t>In March 1896</t>
  </si>
  <si>
    <t>it would undermine the law by encouraging general disobedience</t>
  </si>
  <si>
    <t>NP-complete knapsack</t>
  </si>
  <si>
    <t>as a connected sum of prime knots</t>
  </si>
  <si>
    <t>unsuccessful</t>
  </si>
  <si>
    <t>Where are the streams the Rhine captured?</t>
  </si>
  <si>
    <t>water flow</t>
  </si>
  <si>
    <t>secondary or post-secondary</t>
  </si>
  <si>
    <t>to use the proceedings as a forum</t>
  </si>
  <si>
    <t>What is one part of the innate immune system that doesn't attack microbes directly?</t>
  </si>
  <si>
    <t>How was the school able to bring aboard the best talented students?</t>
  </si>
  <si>
    <t>1820</t>
  </si>
  <si>
    <t>In the United States, the game was televised by CBS, as part of a cycle between the three main broadcast television partners of the NFL. The network's lead broadcast team of Jim Nantz and Phil Simms called the contest, with Tracy Wolfson and Evan Washburn on the sidelines. CBS introduced new features during the telecast, including pylon cameras and microphones along with EyeVision 360—an array of 36 cameras along the upper deck that can be used to provide a 360-degree view of plays and "bullet time" effects. (An earlier version of EyeVision was last used in Super Bowl XXXV; for Super Bowl 50, the cameras were upgraded to 5K resolution.)</t>
  </si>
  <si>
    <t>What makes the method of trial division more efficient?</t>
  </si>
  <si>
    <t>some Internet pharmacies sell prescription drugs without requiring a prescription</t>
  </si>
  <si>
    <t>What will V&amp;A Dundee focus on?</t>
  </si>
  <si>
    <t xml:space="preserve"> Seamans' establishment of an ad-hoc committee headed by his special technical assistant Nicholas E. Golovin in July 1961, to recommend a launch vehicle to be used in the Apollo program, represented a turning point in NASA's mission mode decision. This committee recognized that the chosen mode was an important part of the launch vehicle choice, and recommended in favor of a hybrid EOR-LOR mode. Its consideration of LOR —as well as Houbolt's ceaseless work— played an important role in publicizing the workability of the approach. In late 1961 and early 1962, members of the Manned Spacecraft Center began to come around to support LOR, including the newly hired deputy director of the Office of Manned Space Flight, Joseph Shea, who became a champion of LOR. The engineers at Marshall Space Flight Center (MSFC) took longer to become convinced of its merits, but their conversion was announced by Wernher von Braun at a briefing in June 1962.</t>
  </si>
  <si>
    <t>Name one way the Plowshares organization temporarily close GCSB Waihopai?</t>
  </si>
  <si>
    <t>British researchers Richard G. Wilkinson and Kate Pickett have found higher rates of health and social problems (obesity, mental illness, homicides, teenage births, incarceration, child conflict, drug use), and lower rates of social goods (life expectancy by country, educational performance, trust among strangers, women's status, social mobility, even numbers of patents issued) in countries and states with higher inequality. Using statistics from 23 developed countries and the 50 states of the US, they found social/health problems lower in countries like Japan and Finland and states like Utah and New Hampshire with high levels of equality, than in countries (US and UK) and states (Mississippi and New York) with large differences in household income.</t>
  </si>
  <si>
    <t>Apostles' Creed</t>
  </si>
  <si>
    <t>$500,000</t>
  </si>
  <si>
    <t>safaris, diverse climate and geography, and expansive wildlife reserves</t>
  </si>
  <si>
    <t>What is the historic heart of Newcastle?</t>
  </si>
  <si>
    <t>special oxygen chambers</t>
  </si>
  <si>
    <t>The outside of the CM was covered in what kind of material?</t>
  </si>
  <si>
    <t>air conditioning</t>
  </si>
  <si>
    <t>By 1526, Luther found himself increasingly occupied in organising a new church. His Biblical ideal of congregations' choosing their own ministers had proved unworkable. According to Bainton: "Luther's dilemma was that he wanted both a confessional church based on personal faith and experience and a territorial church including all in a given locality. If he were forced to choose, he would take his stand with the masses, and this was the direction in which he moved." From 1525 to 1529, he established a supervisory church body, laid down a new form of worship service, and wrote a clear summary of the new faith in the form of two catechisms. Luther's thought is revolutionary to the extent that it is a theology of the cross, the negation of every affirmation: as long as the cross is at the center, the system building tendency of reason is held in check, and system building does not degenerate into System.</t>
  </si>
  <si>
    <t>Arabs</t>
  </si>
  <si>
    <t>legislative programme for the forthcoming year</t>
  </si>
  <si>
    <t>How many refugees emigrated to the Dutch Republic?</t>
  </si>
  <si>
    <t>take them back to orbit to rendezvous with the Command Module</t>
  </si>
  <si>
    <t>Neutrophils and macrophages</t>
  </si>
  <si>
    <t>the Unfair Commercial Practices Directive</t>
  </si>
  <si>
    <t>When did John Wesley provide a revised version of The Book of Common Prayer?</t>
  </si>
  <si>
    <t>What would be lower if there were fewer people?</t>
  </si>
  <si>
    <t>macrophages, neutrophils, and dendritic cells</t>
  </si>
  <si>
    <t>lobes</t>
  </si>
  <si>
    <t>nearly two-thirds</t>
  </si>
  <si>
    <t>What is William Rankine's nationality?</t>
  </si>
  <si>
    <t>As well as being added, forces can also be resolved into independent components at right angles to each other. A horizontal force pointing northeast can therefore be split into two forces, one pointing north, and one pointing east. Summing these component forces using vector addition yields the original force. Resolving force vectors into components of a set of basis vectors is often a more mathematically clean way to describe forces than using magnitudes and directions. This is because, for orthogonal components, the components of the vector sum are uniquely determined by the scalar addition of the components of the individual vectors. Orthogonal components are independent of each other because forces acting at ninety degrees to each other have no effect on the magnitude or direction of the other. Choosing a set of orthogonal basis vectors is often done by considering what set of basis vectors will make the mathematics most convenient. Choosing a basis vector that is in the same direction as one of the forces is desirable, since that force would then have only one non-zero component. Orthogonal force vectors can be three-dimensional with the third component being at right-angles to the other two.</t>
  </si>
  <si>
    <t>Tesla investigated atmospheric electricity, observing lightning signals via his receivers. He stated that he observed stationary waves during this time. The great distances and the nature of what Tesla was detecting from lightning storms confirmed his belief that the earth had a resonant frequency.</t>
  </si>
  <si>
    <t>Uptake of O
2 from the air is the essential purpose of respiration, so oxygen supplementation is used in medicine. Treatment not only increases oxygen levels in the patient's blood, but has the secondary effect of decreasing resistance to blood flow in many types of diseased lungs, easing work load on the heart. Oxygen therapy is used to treat emphysema, pneumonia, some heart disorders (congestive heart failure), some disorders that cause increased pulmonary artery pressure, and any disease that impairs the body's ability to take up and use gaseous oxygen.</t>
  </si>
  <si>
    <t>English, mathematics and natural science</t>
  </si>
  <si>
    <t>West by the Alter Rhein</t>
  </si>
  <si>
    <t>Where was war fought?</t>
  </si>
  <si>
    <t>What is the general perception of non-Mongolian histories of Genghis Khan by Mongolians themselves?</t>
  </si>
  <si>
    <t>self-consistent unification models that would combine all four fundamental interactions</t>
  </si>
  <si>
    <t>carbon cycle</t>
  </si>
  <si>
    <t>it is impossible</t>
  </si>
  <si>
    <t>the geochemical evolution of rock units</t>
  </si>
  <si>
    <t>12th to 16th</t>
  </si>
  <si>
    <t>What was Tesla's fathers occupation?</t>
  </si>
  <si>
    <t>The Book of Discipline is the guidebook for local churches and pastors and describes in considerable detail the organizational structure of local United Methodist churches. All UM churches must have a board of trustees with at least three members and no more than nine members and it is recommended that no gender should hold more than a 2/3 majority. All churches must also have a nominations committee, a finance committee and a church council or administrative council. Other committees are suggested but not required such as a missions committee, or evangelism or worship committee. Term limits are set for some committees but not for all. The church conference is an annual meeting of all the officers of the church and any interested members. This committee has the exclusive power to set pastors' salaries (compensation packages for tax purposes) and to elect officers to the committees.</t>
  </si>
  <si>
    <t>unequal</t>
  </si>
  <si>
    <t>Which lineage includes land plants?</t>
  </si>
  <si>
    <t>elsewhere in the Northern United Kingdom</t>
  </si>
  <si>
    <t>In 1211, after the conquest of Western Xia, Genghis Khan planned again to conquer the Jin dynasty. The commander of the Jin dynasty army made a tactical mistake in not attacking the Mongols at the first opportunity. Instead, the Jin commander sent a messenger, Ming-Tan, to the Mongol side, who defected and told the Mongols that the Jin army was waiting on the other side of the pass. At this engagement fought at Badger Pass the Mongols massacred hundreds of thousands of Jin troops. In 1215 Genghis besieged, captured, and sacked the Jin capital of Zhongdu (modern-day Beijing). This forced the Emperor Xuanzong to move his capital south to Kaifeng, abandoning the northern half of his kingdom to the Mongols. Between 1232 and 1233, Kaifeng fell to the Mongols under the reign of Genghis' third son, Ögedei Khan. The Jin dynasty collapsed in 1234, after the siege of Caizhou.</t>
  </si>
  <si>
    <t>any object can be, essentially uniquely, decomposed into its prime components</t>
  </si>
  <si>
    <t>a practical Carnot cycle</t>
  </si>
  <si>
    <t>For the Conservatives, the main disappointment was the loss of Edinburgh Pentlands, the seat of former party leader David McLetchie, to the SNP. McLetchie was elected on the Lothian regional list and the Conservatives suffered a net loss of five seats, with leader Annabel Goldie claiming that their support had held firm. Nevertheless, she too announced she would step down as leader of the party. Cameron congratulated the SNP on their victory but vowed to campaign for the Union in the independence referendum.</t>
  </si>
  <si>
    <t xml:space="preserve">Where did the Meuse flow before the flood? </t>
  </si>
  <si>
    <t>Who was Philip I?</t>
  </si>
  <si>
    <t>What kind of T cells kill cells that are infected with pathogens?</t>
  </si>
  <si>
    <t>the heavens</t>
  </si>
  <si>
    <t>similarity to the checks and balances system of the U.S. and many other governments</t>
  </si>
  <si>
    <t>street cars</t>
  </si>
  <si>
    <t>City of Edinburgh Council</t>
  </si>
  <si>
    <t>ash tree</t>
  </si>
  <si>
    <t>Which country's cars became more highly sought after as they were more fuel efficient?</t>
  </si>
  <si>
    <t>It is generally assumed that a Turing machine can solve anything capable of also being solved using what?</t>
  </si>
  <si>
    <t>Science and Discovery</t>
  </si>
  <si>
    <t>state or government</t>
  </si>
  <si>
    <t>remote</t>
  </si>
  <si>
    <t>$155 million</t>
  </si>
  <si>
    <t>pairs of primes with difference 2</t>
  </si>
  <si>
    <t>collective bargaining, political influence, or corruption</t>
  </si>
  <si>
    <t>papal theologians and envoys</t>
  </si>
  <si>
    <t>Instability troubled the early years of Kublai Khan's reign. Ogedei's grandson Kaidu refused to submit to Kublai and threatened the western frontier of Kublai's domain. The hostile but weakened Song dynasty remained an obstacle in the south. Kublai secured the northeast border in 1259 by installing the hostage prince Wonjong as the ruler of Korea, making it a Mongol tributary state. Kublai was also threatened by domestic unrest. Li Tan, the son-in-law of a powerful official, instigated a revolt against Mongol rule in 1262. After successfully suppressing the revolt, Kublai curbed the influence of the Han Chinese advisers in his court. He feared that his dependence on Chinese officials left him vulnerable to future revolts and defections to the Song.</t>
  </si>
  <si>
    <t>Northern Europe and the Mid-Atlantic</t>
  </si>
  <si>
    <t>Somewhere around a billion years ago, a free-living cyanobacterium entered an early eukaryotic cell, either as food or as an internal parasite, but managed to escape the phagocytic vacuole it was contained in. The two innermost lipid-bilayer membranes that surround all chloroplasts correspond to the outer and inner membranes of the ancestral cyanobacterium's gram negative cell wall, and not the phagosomal membrane from the host, which was probably lost. The new cellular resident quickly became an advantage, providing food for the eukaryotic host, which allowed it to live within it. Over time, the cyanobacterium was assimilated, and many of its genes were lost or transferred to the nucleus of the host. Some of its proteins were then synthesized in the cytoplasm of the host cell, and imported back into the chloroplast (formerly the cyanobacterium).</t>
  </si>
  <si>
    <t>the Privy Council</t>
  </si>
  <si>
    <t>Who is a bill referred to for a ruling on whether it's within the powers of the Parliament?</t>
  </si>
  <si>
    <t>Department of State Affairs</t>
  </si>
  <si>
    <t>the hunting of various animals</t>
  </si>
  <si>
    <t>Who makes formal appointment or dismissal decisions?</t>
  </si>
  <si>
    <t>Newcastle and Northumbria Universities</t>
  </si>
  <si>
    <t>lung tissue</t>
  </si>
  <si>
    <t>automobile radiator</t>
  </si>
  <si>
    <t>Mi'kmaq and the Abenaki</t>
  </si>
  <si>
    <t>This debate has proved difficult</t>
  </si>
  <si>
    <t>if the head of government of a country were to refuse to enforce a decision of that country's highest court</t>
  </si>
  <si>
    <t>His translation of the Bible into the vernacular (instead of Latin) made it more accessible, which had a tremendous impact on the church and German culture. It fostered the development of a standard version of the German language, added several principles to the art of translation, and influenced the writing of an English translation, the Tyndale Bible. His hymns influenced the development of singing in churches. His marriage to Katharina von Bora set a model for the practice of clerical marriage, allowing Protestant clergy to marry.</t>
  </si>
  <si>
    <t>Where was a cinema relocated while repairs were underway?</t>
  </si>
  <si>
    <t>Lenin</t>
  </si>
  <si>
    <t>In the Presidential elections, President Kibaki under the Party of National Unity ran for re-election against the main opposition party, the Orange Democratic Movement (ODM). The elections were seen to have been flawed with international observers saying that they were below international standards. After a split which took a crucial 8% of the votes away from the ODM to the newly formed Orange Democratic Movement-Kenya (ODM-K)'s candidate, Kalonzo Musyoka, the race tightened between ODM candidate Raila Odinga and Kibaki. As the count came into the Electoral Commission of Kenya (ECK) headquarters, Odinga was shown to have a slight, and then substantial lead as the results from his strongholds came in early. As the ECK continued to count the votes, Kibaki closed the gap and then overtook his opponent by a substantial margin after votes from his stronghold arrived later. This led to protests and open discrediting of the ECK for complicity and to Odinga declaring himself the "people's president" and calling for a recount.</t>
  </si>
  <si>
    <t>areas that are being actively deformed</t>
  </si>
  <si>
    <t>productivity gap</t>
  </si>
  <si>
    <t>greater tendency to take on debts</t>
  </si>
  <si>
    <t>How do plants get chloroplasts?</t>
  </si>
  <si>
    <t>visitation of the Electorate of Saxony,</t>
  </si>
  <si>
    <t>What do conservative researchers fell should be a measure of inequality?</t>
  </si>
  <si>
    <t>nine nations</t>
  </si>
  <si>
    <t>physical experiments</t>
  </si>
  <si>
    <t>Imperialism is a type of advocacy of empire. Its name originated from the Latin word "imperium", which means to rule over large territories. Imperialism is "a policy of extending a country's power and influence through colonization, use of military force, or other means". Imperialism has greatly shaped the contemporary world. It has also allowed for the rapid spread of technologies and ideas. The term imperialism has been applied to Western (and Japanese) political and economic dominance especially in Asia and Africa in the 19th and 20th centuries. Its precise meaning continues to be debated by scholars. Some writers, such as Edward Said, use the term more broadly to describe any system of domination and subordination organised with an imperial center and a periphery.</t>
  </si>
  <si>
    <t>By the late 19th century, which country had the largest empire ever to exist in the world?</t>
  </si>
  <si>
    <t>How much of the water flow does the Waal get from the Rhine?</t>
  </si>
  <si>
    <t>What health issue did Tesla suffer?</t>
  </si>
  <si>
    <t>more dramatic form</t>
  </si>
  <si>
    <t>What are the two bodies that make up the European Union's legislature?</t>
  </si>
  <si>
    <t>Why is Priestley usually given credit for being first to discover oxygen?</t>
  </si>
  <si>
    <t>Word and Image department</t>
  </si>
  <si>
    <t>carrots, turnips, new varieties of lemons, eggplants, and melons, high-quality granulated sugar, and cotton</t>
  </si>
  <si>
    <t>convert</t>
  </si>
  <si>
    <t>Who presented the Edict of Worms declaring Luther to be an outlaw?</t>
  </si>
  <si>
    <t>On what date was Super Bowl 50 given to Levi's Stadium?</t>
  </si>
  <si>
    <t>"right", "just", or "true"</t>
  </si>
  <si>
    <t>What did Philo incorrectly assume that the air became?</t>
  </si>
  <si>
    <t>Gold footballs</t>
  </si>
  <si>
    <t>What is the name of the latest epoch?</t>
  </si>
  <si>
    <t>What is the name of the desert near the border of Nevada?</t>
  </si>
  <si>
    <t>If the input size is n, the time taken can be expressed as a function of n. Since the time taken on different inputs of the same size can be different, the worst-case time complexity T(n) is defined to be the maximum time taken over all inputs of size n. If T(n) is a polynomial in n, then the algorithm is said to be a polynomial time algorithm. Cobham's thesis says that a problem can be solved with a feasible amount of resources if it admits a polynomial time algorithm.</t>
  </si>
  <si>
    <t>leftist/communist/nationalist insurgents/opposition</t>
  </si>
  <si>
    <t>minimality or indecomposability</t>
  </si>
  <si>
    <t>Prevenient grace, or the grace that "goes before" us, is given to all people. It is that power which enables us to love and motivates us to seek a relationship with God through Jesus Christ. This grace is the present work of God to turn us from our sin-corrupted human will to the loving will of the Father. In this work, God desires that we might sense both our sinfulness before God and God's offer of salvation. Prevenient grace allows those tainted by sin to nevertheless make a truly free choice to accept or reject God's salvation in Christ.</t>
  </si>
  <si>
    <t>Brownlee justifies civil disobedience toward what branch of the government?</t>
  </si>
  <si>
    <t>the Adriatic</t>
  </si>
  <si>
    <t>the courts of member states</t>
  </si>
  <si>
    <t>What can amyloplasts become?</t>
  </si>
  <si>
    <t>secretary</t>
  </si>
  <si>
    <t>What does the replacement of the ticket machines and introduction of ticket gates herald the transition to?</t>
  </si>
  <si>
    <t>Which government entity helped to pay for the festivities, beyond businesses and individuals?</t>
  </si>
  <si>
    <t>How many sororities are apart of the university?</t>
  </si>
  <si>
    <t>radioactivity</t>
  </si>
  <si>
    <t>own more than half of the global wealth by 2016</t>
  </si>
  <si>
    <t>decrease</t>
  </si>
  <si>
    <t>Besides the V&amp;A's, whose collections are under the responsibility of conservators at the V&amp;A?</t>
  </si>
  <si>
    <t>While its radio network was undergoing reconstruction, ABC found it difficult to avoid falling behind on the new medium of television. To ensure a space, in 1947, ABC submitted five applications for television station licenses, one for each market where it owned and operated a radio station (New York City, Los Angeles, Chicago, San Francisco and Detroit). These applications all requested for the stations to broadcast on VHF channel 7, as Frank Marx, then ABC's vice-president of engineering, thought that the low-band VHF frequencies (corresponding to channels 2 through 6) would be requisitioned from broadcasting use and reallocated for the U.S. Army.</t>
  </si>
  <si>
    <t>1.6 kilometres</t>
  </si>
  <si>
    <t>What is the Daleks' main weakness?</t>
  </si>
  <si>
    <t>not in Wittenberg</t>
  </si>
  <si>
    <t>one week</t>
  </si>
  <si>
    <t>Which performers joined the headliner during the Super Bowl 50 halftime show?</t>
  </si>
  <si>
    <t>What is one result of civil rebellion?</t>
  </si>
  <si>
    <t>are arranged in grana</t>
  </si>
  <si>
    <t>What is the name of the scheme that provides tuition and fee assistance to students due to excess enrollment?</t>
  </si>
  <si>
    <t>What runs from the balancer in the statocyst to the comb rows?</t>
  </si>
  <si>
    <t>dominant colonial power</t>
  </si>
  <si>
    <t>What are the specific divisors of all even numbers larger than 2?</t>
  </si>
  <si>
    <t>outcome</t>
  </si>
  <si>
    <t>What did Luther call the revolting peasants?</t>
  </si>
  <si>
    <t>What two member nations of the Holy Roman Empire received Huguenot refugees?</t>
  </si>
  <si>
    <t>How often does Doctor Who travel by himself?</t>
  </si>
  <si>
    <t>What type of behavior in primes is it possible to determine?</t>
  </si>
  <si>
    <t>What did the merchants of Newcastle plot to do to Timothy Dexter?</t>
  </si>
  <si>
    <t>The Judicial Council is the highest court in the denomination. It consists of nine members, both laity and clergy, elected by the General Conference for an eight-year term. The ratio of laity to clergy alternates every eight years. The Judicial Council interprets the Book of Discipline between sessions of General Conference, and during General Conference, the Judicial Council rules on the constitutionality of laws passed by General Conference. The Council also determines whether actions of local churches, annual conferences, church agencies, and bishops are in accordance with church law. The Council reviews all decisions of law made by bishops The Judicial Council cannot create any legislation; it can only interpret existing legislation. The Council meets twice a year at various locations throughout the world. The Judicial Council also hears appeals from those who have been accused of chargeable offenses that can result in defrocking or revocation of membership.</t>
  </si>
  <si>
    <t>France took control of Algeria in 1830 but began in earnest to rebuild its worldwide empire after 1850, concentrating chiefly in North and West Africa, as well as South-East Asia, with other conquests in Central and East Africa, as well as the South Pacific. Republicans, at first hostile to empire, only became supportive when Germany started to build her own colonial empire. As it developed, the new empire took on roles of trade with France, supplying raw materials and purchasing manufactured items, as well as lending prestige to the motherland and spreading French civilization and language as well as Catholicism. It also provided crucial manpower in both World Wars.</t>
  </si>
  <si>
    <t>chronic pain</t>
  </si>
  <si>
    <t>Which countries are represented in the Far Eastern collections?</t>
  </si>
  <si>
    <t>cattle</t>
  </si>
  <si>
    <t>unjust forms of authority</t>
  </si>
  <si>
    <t>the American attack on Iraq</t>
  </si>
  <si>
    <t>applied force</t>
  </si>
  <si>
    <t>thaw and fall-winter snow covers</t>
  </si>
  <si>
    <t>The United Methodist Church teaches that pornography is "about violence, degradation, exploitation, and coercion" and "deplore[s] all forms of commercialization, abuse, and exploitation of sex." The Sexual Ethics Task Force of The United Methodist Church states that "Research shows it [pornography] is not an 'innocent activity.' It is harmful and is generally addictive. Persons who are addicted to pornography are physiologically altered, as is their perspective, relationships with parishioners and family, and their perceptions of girls and women."</t>
  </si>
  <si>
    <t>60 minutes</t>
  </si>
  <si>
    <t>within the premises of the hospital</t>
  </si>
  <si>
    <t>When did the different colonies come together and form Kenya?</t>
  </si>
  <si>
    <t>The John W. Weeks Bridge</t>
  </si>
  <si>
    <t>What produces the high levels of oxygen on Earth?</t>
  </si>
  <si>
    <t>What was the Plos Pathogens paper about?</t>
  </si>
  <si>
    <t>ideal strings</t>
  </si>
  <si>
    <t>Teachers are required to be registered with the Teaching Council; under Section 30 of the Teaching Council Act 2001, a person employed in any capacity in a recognised teaching post - who is not registered with the Teaching Council - may not be paid from Oireachtas funds.</t>
  </si>
  <si>
    <t>what computers can and cannot do</t>
  </si>
  <si>
    <t>decline in hormone levels</t>
  </si>
  <si>
    <t>Department for Culture, Media and Sport.</t>
  </si>
  <si>
    <t>over 37 million passengers</t>
  </si>
  <si>
    <t>Many liturgies are derived from what book?</t>
  </si>
  <si>
    <t>the world's first commercial online service</t>
  </si>
  <si>
    <t>more wealth and income</t>
  </si>
  <si>
    <t>What happened in 1901?</t>
  </si>
  <si>
    <t>Time and Relative Dimension in Space</t>
  </si>
  <si>
    <t>Where did Aristotle believe the natural place for earth and water elements?</t>
  </si>
  <si>
    <t>What is the basic unit of territorial division in Poland?</t>
  </si>
  <si>
    <t>not necessarily right</t>
  </si>
  <si>
    <t>What group killed thousands of Huguenots?</t>
  </si>
  <si>
    <t>red algal derived chloroplast</t>
  </si>
  <si>
    <t>worked as weavers</t>
  </si>
  <si>
    <t>Frederick II the Great</t>
  </si>
  <si>
    <t>When was Waruhiu Itote captured?</t>
  </si>
  <si>
    <t>arrived too late to enroll</t>
  </si>
  <si>
    <t>a transparent dome made of long, immobile cilia</t>
  </si>
  <si>
    <t>the tax rate</t>
  </si>
  <si>
    <t>Complement proteins bind to what kind of molecules on the surface of microbes in order to elicit an immune response?</t>
  </si>
  <si>
    <t>What is the typical working fluid in a steam engine?</t>
  </si>
  <si>
    <t>photosynthetic function</t>
  </si>
  <si>
    <t>The total number of seats in the Parliament are allocated to parties proportionally to the number of votes received in the second vote of the ballot using the d'Hondt method. For example, to determine who is awarded the first list seat, the number of list votes cast for each party is divided by one plus the number of seats the party won in the region (at this point just constituency seats). The party with the highest quotient is awarded the seat, which is then added to its constituency seats in allocating the second seat. This is repeated iteratively until all available list seats are allocated.</t>
  </si>
  <si>
    <t>Who decided not to approve paying for renovations at Sun Life Stadium that the league wanted for them to do to host Super Bowl 50?</t>
  </si>
  <si>
    <t>How did the Islamic Group's campaign to overthrow the government turn out?</t>
  </si>
  <si>
    <t>break their vows</t>
  </si>
  <si>
    <t>votes from his stronghold arrived later</t>
  </si>
  <si>
    <t xml:space="preserve">What is the name of the winter festival held in January that is based on fitness? </t>
  </si>
  <si>
    <t>plants and algae.</t>
  </si>
  <si>
    <t>many elements of the old language.</t>
  </si>
  <si>
    <t>What aspect of the economy did Genghis Khan exploit for intelligence gathering?</t>
  </si>
  <si>
    <t>There are three major types of rock: igneous, sedimentary, and metamorphic. The rock cycle is an important concept in geology which illustrates the relationships between these three types of rock, and magma. When a rock crystallizes from melt (magma and/or lava), it is an igneous rock. This rock can be weathered and eroded, and then redeposited and lithified into a sedimentary rock, or be turned into a metamorphic rock due to heat and pressure that change the mineral content of the rock which gives it a characteristic fabric. The sedimentary rock can then be subsequently turned into a metamorphic rock due to heat and pressure and is then weathered, eroded, deposited, and lithified, ultimately becoming a sedimentary rock. Sedimentary rock may also be re-eroded and redeposited, and metamorphic rock may also undergo additional metamorphism. All three types of rocks may be re-melted; when this happens, a new magma is formed, from which an igneous rock may once again crystallize.</t>
  </si>
  <si>
    <t>From what type of materials must liquid oxygen be separated?</t>
  </si>
  <si>
    <t>technology</t>
  </si>
  <si>
    <t>all health care settings</t>
  </si>
  <si>
    <t>Despite periodic repression, the Brotherhood has become one of the most influential movements in the Islamic world, particularly in the Arab world. For many years it was described as "semi-legal" and was the only opposition group in Egypt able to field candidates during elections. In the Egyptian parliamentary election, 2011–2012, the political parties identified as "Islamist" (the Brotherhood's Freedom and Justice Party, Salafi Al-Nour Party and liberal Islamist Al-Wasat Party) won 75% of the total seats. Mohamed Morsi, an Islamist democrat of Muslim Brotherhood, was the first democratically elected president of Egypt. He was deposed during the 2013 Egyptian coup d'état.</t>
  </si>
  <si>
    <t>What fueled Luther's  concept of Christ and His Salvation?</t>
  </si>
  <si>
    <t>What three stadiums did the NFL decide between for the game?</t>
  </si>
  <si>
    <t>Where can the complexity classes RP, BPP, PP, BQP, MA, and PH be located?</t>
  </si>
  <si>
    <t>What collection does the V&amp;A Theatre &amp; Performance galleries hold?</t>
  </si>
  <si>
    <t>friendly and supportive</t>
  </si>
  <si>
    <t>Who has expressed distaste for the canonicity of Doctor Who stories by other media?</t>
  </si>
  <si>
    <t>bubbles of inert gas, mostly nitrogen and helium, forming in their blood</t>
  </si>
  <si>
    <t>Only a little</t>
  </si>
  <si>
    <t>poverty</t>
  </si>
  <si>
    <t>In regard to companies, the Court of Justice held in R (Daily Mail and General Trust plc) v HM Treasury that member states could restrict a company moving its seat of business, without infringing TFEU article 49. This meant the Daily Mail newspaper's parent company could not evade tax by shifting its residence to the Netherlands without first settling its tax bills in the UK. The UK did not need to justify its action, as rules on company seats were not yet harmonised. By contrast, in Centros Ltd v Erhversus-og Selkabssyrelsen the Court of Justice found that a UK limited company operating in Denmark could not be required to comply with Denmark's minimum share capital rules. UK law only required £1 of capital to start a company, while Denmark's legislature took the view companies should only be started up if they had 200,000 Danish krone (around €27,000) to protect creditors if the company failed and went insolvent. The Court of Justice held that Denmark's minimum capital law infringed Centros Ltd's freedom of establishment and could not be justified, because a company in the UK could admittedly provide services in Denmark without being established there, and there were less restrictive means of achieving the aim of creditor protection. This approach was criticised as potentially opening the EU to unjustified regulatory competition, and a race to the bottom in standards, like in the US where the state Delaware attracts most companies and is often argued to have the worst standards of accountability of boards, and low corporate taxes as a result. Similarly in Überseering BV v Nordic Construction GmbH the Court of Justice held that a German court could not deny a Dutch building company the right to enforce a contract in Germany on the basis that it was not validly incorporated in Germany. Although restrictions on freedom of establishment could be justified by creditor protection, labour rights to participate in work, or the public interest in collecting taxes, denial of capacity went too far: it was an "outright negation" of the right of establishment. However, in Cartesio Oktató és Szolgáltató bt the Court of Justice affirmed again that because corporations are created by law, they are in principle subject to any rules for formation that a state of incorporation wishes to impose. This meant that the Hungarian authorities could prevent a company from shifting its central administration to Italy while it still operated and was incorporated in Hungary. Thus, the court draws a distinction between the right of establishment for foreign companies (where restrictions must be justified), and the right of the state to determine conditions for companies incorporated in its territory, although it is not entirely clear why.</t>
  </si>
  <si>
    <t>In 1979, the Soviet Union deployed its 40th Army into Afghanistan, attempting to suppress an Islamic rebellion against an allied Marxist regime in the Afghan Civil War. The conflict, pitting indigenous impoverished Muslims (mujahideen) against an anti-religious superpower, galvanized thousands of Muslims around the world to send aid and sometimes to go themselves to fight for their faith. Leading this pan-Islamic effort was Palestinian sheikh Abdullah Yusuf Azzam. While the military effectiveness of these "Afghan Arabs" was marginal, an estimated 16,000 to 35,000 Muslim volunteers came from around the world came to fight in Afghanistan.</t>
  </si>
  <si>
    <t>The clinical pharmacist's role involves creating a comprehensive drug therapy plan for patient-specific problems, identifying goals of therapy, and reviewing all prescribed medications prior to dispensing and administration to the patient. The review process often involves an evaluation of the appropriateness of the drug therapy (e.g., drug choice, dose, route, frequency, and duration of therapy) and its efficacy. The pharmacist must also monitor for potential drug interactions, adverse drug reactions, and assess patient drug allergies while designing and initiating a drug therapy plan.</t>
  </si>
  <si>
    <t>What was named "The Tesla" in his honor?</t>
  </si>
  <si>
    <t>How many years do Elders serve as provisional Elders prior to their ordination?</t>
  </si>
  <si>
    <t>Some episodes have been returned to the BBC from the archives of other countries who bought prints for broadcast, or by private individuals who acquired them by various means. Early colour videotape recordings made off-air by fans have also been retrieved, as well as excerpts filmed from the television screen onto 8 mm cine film and clips that were shown on other programmes. Audio versions of all of the lost episodes exist from home viewers who made tape recordings of the show. Short clips from every story with the exception of Marco Polo, "Mission to the Unknown" and The Massacre of St Bartholomew's Eve also exist.</t>
  </si>
  <si>
    <t>Harrogate market is in the local what?</t>
  </si>
  <si>
    <t>The passage of what act gave Victoria its own government?</t>
  </si>
  <si>
    <t>disrupting their plasma membrane.</t>
  </si>
  <si>
    <t>William Iron Arm</t>
  </si>
  <si>
    <t>Dirichlet's theorem</t>
  </si>
  <si>
    <t>action-reaction pairs</t>
  </si>
  <si>
    <t>the difference in potential energy</t>
  </si>
  <si>
    <t>desire to prevent things that are indisputably bad</t>
  </si>
  <si>
    <t>Conciliation Committee</t>
  </si>
  <si>
    <t>third stage</t>
  </si>
  <si>
    <t>Encoded Archival Description (EAD</t>
  </si>
  <si>
    <t>Harvard operates several arts, cultural, and scientific museums. The Harvard Art Museums comprises three museums. The Arthur M. Sackler Museum includes collections of ancient, Asian, Islamic and later Indian art, the Busch-Reisinger Museum, formerly the Germanic Museum, covers central and northern European art, and the Fogg Museum of Art, covers Western art from the Middle Ages to the present emphasizing Italian early Renaissance, British pre-Raphaelite, and 19th-century French art. The Harvard Museum of Natural History includes the Harvard Mineralogical Museum, Harvard University Herbaria featuring the Blaschka Glass Flowers exhibit, and the Museum of Comparative Zoology. Other museums include the Carpenter Center for the Visual Arts, designed by Le Corbusier, housing the film archive, the Peabody Museum of Archaeology and Ethnology, specializing in the cultural history and civilizations of the Western Hemisphere, and the Semitic Museum featuring artifacts from excavations in the Middle East.</t>
  </si>
  <si>
    <t>31 October</t>
  </si>
  <si>
    <t>true Islamic</t>
  </si>
  <si>
    <t>Approximately one million Protestants in modern France represent some 2% of its population. Most are concentrated in Alsace in northeast France and the Cévennes mountain region in the south, who still regard themselves as Huguenots to this day.[citation needed] A diaspora of French Australians still considers itself Huguenot, even after centuries of exile. Long integrated into Australian society, it is encouraged by the Huguenot Society of Australia to embrace and conserve its cultural heritage, aided by the Society's genealogical research services.</t>
  </si>
  <si>
    <t>Festival of Britain</t>
  </si>
  <si>
    <t>Where does the pupil remain while in detention</t>
  </si>
  <si>
    <t>Climate Change</t>
  </si>
  <si>
    <t>a biplane capable of taking off vertically</t>
  </si>
  <si>
    <t>What was the Warsaw Pact war plan?</t>
  </si>
  <si>
    <t>strikes by coal miners and railroad workers</t>
  </si>
  <si>
    <t>What did Luther state he would not exchange for his life with his wife?</t>
  </si>
  <si>
    <t>plug-n-play</t>
  </si>
  <si>
    <t>What would a teacher assess the levels of a student on?</t>
  </si>
  <si>
    <t>In one experiment, Lavoisier observed that there was no overall increase in weight when tin and air were heated in a closed container. He noted that air rushed in when he opened the container, which indicated that part of the trapped air had been consumed. He also noted that the tin had increased in weight and that increase was the same as the weight of the air that rushed back in. This and other experiments on combustion were documented in his book Sur la combustion en général, which was published in 1777. In that work, he proved that air is a mixture of two gases; 'vital air', which is essential to combustion and respiration, and azote (Gk. ἄζωτον "lifeless"), which did not support either. Azote later became nitrogen in English, although it has kept the name in French and several other European languages.</t>
  </si>
  <si>
    <t>What type of materials inside the cabin were removed to help prevent more fire hazards in the future?</t>
  </si>
  <si>
    <t>those who feel that only doctors can reliably assess contraindications, risk/benefit ratios, and an individual's overall suitability for use of a medication.</t>
  </si>
  <si>
    <t>corrupt in its ways</t>
  </si>
  <si>
    <t>an estimated $200,000 in licenses and royalties</t>
  </si>
  <si>
    <t>remain silent</t>
  </si>
  <si>
    <t>Inland Empire</t>
  </si>
  <si>
    <t>1,230 kilometres (764 miles)</t>
  </si>
  <si>
    <t>Where does Khomeini's beliefs fall as compared to Mawdudi and Qutb?</t>
  </si>
  <si>
    <t>was recalled and replaced by Jeffery Amherst</t>
  </si>
  <si>
    <t>Where was France concentraing efforts?</t>
  </si>
  <si>
    <t>When can oxygen gas produce a toxic condition?</t>
  </si>
  <si>
    <t>$1.2 billion</t>
  </si>
  <si>
    <t>Where in Warsaw are patriotic and political objects connected with Poland's struggles for Independence found?</t>
  </si>
  <si>
    <t>What building is the most interesting of the late 19th-century architecture?</t>
  </si>
  <si>
    <t>By 1954, all U.S. networks had regained control of their programming, with higher advertising revenues: ABC's revenue increased by 67% (earning $26 million), NBC's went up by 30% ($100 million) and CBS's rose by 44% ($117 million). However that year, ABC had only 14 primary affiliates compared to the 74 that carried the majority of CBS programs and the 71 that were primarily affiliated with NBC. Most markets outside the largest ones were not large enough to support three full-time network affiliates. In some markets that were large enough for a third full-time affiliate, the only available commercial allocation was on the less-desirable UHF band. Until the All-Channel Receiver Act (passed by Congress in 1961) mandated the inclusion of UHF tuning, most viewers needed to purchase a converter to be able to watch UHF stations, and the signal quality was marginal at best even with a converter. Additionally, during the analog television era, UHF stations were not adequately receivable in rugged terrain. These factors made many prospective station owners skittish about investing in a UHF station, especially one that would have had to take on an affiliation with a weaker network.</t>
  </si>
  <si>
    <t>the 1978 Supreme Court case of FCC v. Pacifica Foundation</t>
  </si>
  <si>
    <t>1892 to 1894</t>
  </si>
  <si>
    <t>The packet header can be small</t>
  </si>
  <si>
    <t>What feature of the Amazon made people believe it couldn't have many inhabitants?</t>
  </si>
  <si>
    <t>become utterly debased</t>
  </si>
  <si>
    <t>How do students rate teachers that they feel are enthusiastic?</t>
  </si>
  <si>
    <t>Where  by mass is oxygen a major part?</t>
  </si>
  <si>
    <t>non-native Chinese</t>
  </si>
  <si>
    <t>10–20</t>
  </si>
  <si>
    <t>In late 1886 Tesla met Alfred S. Brown, a Western Union superintendent, and New York attorney Charles F. Peck. The two men were experienced in setting up companies and promoting inventions and patents for financial gain. Based on Tesla's patents and other ideas they agreed to back him financially and handle his patents. Together in April 1887 they formed the Tesla Electric Company with an agreement that profits from generated patents would go ⅓ to Tesla, ⅓ to Peck and Brown, and ⅓ to fund development. They set up a laboratory for Tesla at 89 Liberty Street in Manhattan where he worked on improving and developing new types of electric motors, generators and other devices.</t>
  </si>
  <si>
    <t>assigned them to the company</t>
  </si>
  <si>
    <t>What was Isiah Bowman nick name, as known by the public.</t>
  </si>
  <si>
    <t>A function problem is a computational problem where a single output (of a total function) is expected for every input, but the output is more complex than that of a decision problem, that is, it isn't just yes or no. Notable examples include the traveling salesman problem and the integer factorization problem.</t>
  </si>
  <si>
    <t>sexual misconduct</t>
  </si>
  <si>
    <t>What type of boundaries help to define the way kids behave?</t>
  </si>
  <si>
    <t>Shopping Centre</t>
  </si>
  <si>
    <t>19th</t>
  </si>
  <si>
    <t>How did von Lettow conduct his group?</t>
  </si>
  <si>
    <t>100–5,000 hp</t>
  </si>
  <si>
    <t>What was restored in the sculpture gallery during its renovated in 2006?</t>
  </si>
  <si>
    <t>one million</t>
  </si>
  <si>
    <t>freedom to continue worshiping in their Roman Catholic tradition, continued ownership of their property,</t>
  </si>
  <si>
    <t>What was the most revered award that Doctor Who has won?</t>
  </si>
  <si>
    <t>already-wealthy individuals</t>
  </si>
  <si>
    <t>visitation of the Electorate</t>
  </si>
  <si>
    <t>A small fraction of the cold water flow from Lake Constance goes to what other lake?</t>
  </si>
  <si>
    <t>their families</t>
  </si>
  <si>
    <t>the judge increased her sentence</t>
  </si>
  <si>
    <t>What is partially responsible for weakened immune response in older individuals?</t>
  </si>
  <si>
    <t>What does man's justification depend on in faith?</t>
  </si>
  <si>
    <t>Research shows that student motivation and attitudes towards school are closely linked to student-teacher relationships. Enthusiastic teachers are particularly good at creating beneficial relations with their students. Their ability to create effective learning environments that foster student achievement depends on the kind of relationship they build with their students. Useful teacher-to-student interactions are crucial in linking academic success with personal achievement. Here, personal success is a student's internal goal of improving himself, whereas academic success includes the goals he receives from his superior. A teacher must guide his student in aligning his personal goals with his academic goals. Students who receive this positive influence show stronger self-confidence and greater personal and academic success than those without these teacher interactions.</t>
  </si>
  <si>
    <t>What did Gano hit on his 44-yard field goal attempt?</t>
  </si>
  <si>
    <t>Students show more interest in classes taught by what type of teachers?</t>
  </si>
  <si>
    <t>Where is Polonia's home venue located?</t>
  </si>
  <si>
    <t>Huguenot rebellions</t>
  </si>
  <si>
    <t>exposed to scrutiny.</t>
  </si>
  <si>
    <t>conflicting territorial claims between British and French colonies in North America</t>
  </si>
  <si>
    <t>unexplored territory</t>
  </si>
  <si>
    <t>New techniques of building construction are being researched, made possible by advances in 3D printing technology. In a form of additive building construction, similar to the additive manufacturing techniques for manufactured parts, building printing is making it possible to flexibly construct small commercial buildings and private habitations in around 20 hours, with built-in plumbing and electrical facilities, in one continuous build, using large 3D printers. Working versions of 3D-printing building technology are already printing 2 metres (6 ft 7 in) of building material per hour as of January 2013[update], with the next-generation printers capable of 3.5 metres (11 ft) per hour, sufficient to complete a building in a week. Dutch architect Janjaap Ruijssenaars's performative architecture 3D-printed building is scheduled to be built in 2014.</t>
  </si>
  <si>
    <t>removing its economic foundation</t>
  </si>
  <si>
    <t>What may explain why some Americans who've become rich may have had a head start?</t>
  </si>
  <si>
    <t>the Solimões Basin</t>
  </si>
  <si>
    <t>antigenic variation</t>
  </si>
  <si>
    <t>confrontational</t>
  </si>
  <si>
    <t>University of Chicago scholars have played a major role in the development of various academic disciplines, including: the Chicago school of economics, the Chicago school of sociology, the law and economics movement in legal analysis, the Chicago school of literary criticism, the Chicago school of religion, and the behavioralism school of political science. Chicago's physics department helped develop the world's first man-made, self-sustaining nuclear reaction beneath the university's Stagg Field. Chicago's research pursuits have been aided by unique affiliations with world-renowned institutions like the nearby Fermilab and Argonne National Laboratory, as well as the Marine Biological Laboratory. The university is also home to the University of Chicago Press, the largest university press in the United States. With an estimated completion date of 2020, the Barack Obama Presidential Center will be housed at the university and include both the Obama presidential library and offices of the Obama Foundation.</t>
  </si>
  <si>
    <t>What is sometimes used interchangeably with 'plastids'?</t>
  </si>
  <si>
    <t>Migration period</t>
  </si>
  <si>
    <t>Type I hypersensitivity</t>
  </si>
  <si>
    <t>allied groups from Central Asia and the western end of the empire</t>
  </si>
  <si>
    <t>In 2014, work was completed on the stations historic entrance. Glazing was placed over the historic arches and the Victorian architecture was enhanced; transforming the 19th century public portico. The station is one of only six Grade One listed railway stations in the UK. Opened in 1850 by Queen Victoria, it was the first covered railway station in the world and was much copied across the UK. It has a neoclassical façade, originally designed by the architect John Dobson, and was constructed in collaboration with Robert Stephenson. The station sightlines towards the Castle Keep, whilst showcasing the curvature of the station’s arched roof. The first services were operated by the North Eastern Railway company. The city's other mainline station, Manors, is to the east of the city centre.</t>
  </si>
  <si>
    <t>Why must one be excluded in order to preserve the uniqueness of the fundamental theorem?</t>
  </si>
  <si>
    <t>What paleontologists are currently on the university's faculty?</t>
  </si>
  <si>
    <t>How was it suggested that the IPCC avoid political problems?</t>
  </si>
  <si>
    <t>definitions</t>
  </si>
  <si>
    <t>182 million tons</t>
  </si>
  <si>
    <t>differences in value added by labor, capital and land</t>
  </si>
  <si>
    <t>unwavering loyalty</t>
  </si>
  <si>
    <t>Ten Commandments,</t>
  </si>
  <si>
    <t>power blackouts</t>
  </si>
  <si>
    <t>coordinate the response to the embargo</t>
  </si>
  <si>
    <t>both houses of Congress</t>
  </si>
  <si>
    <t>The Baltimore-Washington Conference of the UMC</t>
  </si>
  <si>
    <t>What gas does the airline exothermic reaction produce?</t>
  </si>
  <si>
    <t>Though Turabi proclaimed his support for the democratic process, he strictly applied what after coming into power?</t>
  </si>
  <si>
    <t>I may have violated some specific laws, but I am guilty of doing no wrong</t>
  </si>
  <si>
    <t>a warm and humid tropical climate on its Indian Ocean coastline</t>
  </si>
  <si>
    <t>Which regions have temperate climates?</t>
  </si>
  <si>
    <t>Where do cicadas spend the majority of their lives?</t>
  </si>
  <si>
    <t>What has been analyzed to compare Amazon rainfall in the past and present?</t>
  </si>
  <si>
    <t>with money from foreign Islamist banking systems</t>
  </si>
  <si>
    <t>Beyoncé and Bruno Mars</t>
  </si>
  <si>
    <t>pharmacy practice residency</t>
  </si>
  <si>
    <t>Were the tapes able to be restored and processed without destroying historical legitimacy or did some aspects of the tapes lose legitimacy?</t>
  </si>
  <si>
    <t>a third</t>
  </si>
  <si>
    <t>Belgrade</t>
  </si>
  <si>
    <t>seafloor spreading</t>
  </si>
  <si>
    <t>Christmas Day specials</t>
  </si>
  <si>
    <t>married outside their immediate French communities</t>
  </si>
  <si>
    <t>everything from bringing a test-case in the federal courts to taking aim at a federal official</t>
  </si>
  <si>
    <t>by a fee per unit of connection time, even when no data is transferred</t>
  </si>
  <si>
    <t>August 2004</t>
  </si>
  <si>
    <t>select their students</t>
  </si>
  <si>
    <t>Where are Jersey and Guernsey</t>
  </si>
  <si>
    <t>Compounding was not popular in the construction of what machines?</t>
  </si>
  <si>
    <t>Miller–Rabin primality test</t>
  </si>
  <si>
    <t>What system was adopted for education?</t>
  </si>
  <si>
    <t>they owned the Ohio Country and that they would trade with the British regardless of the French</t>
  </si>
  <si>
    <t>Which areas of Northern Europe practiced those religions?</t>
  </si>
  <si>
    <t>traditional private</t>
  </si>
  <si>
    <t>17.5 million</t>
  </si>
  <si>
    <t>What entity in Canada handles substitution regulations for television shows?</t>
  </si>
  <si>
    <t>28 days</t>
  </si>
  <si>
    <t>osmotic pressure</t>
  </si>
  <si>
    <t>Sub-Saharan Africa</t>
  </si>
  <si>
    <t>need for alliances</t>
  </si>
  <si>
    <t>level fell significantly</t>
  </si>
  <si>
    <t>highlands</t>
  </si>
  <si>
    <t>What should be the main goal of not using punishment in a just system?</t>
  </si>
  <si>
    <t>The Iroquois sent runners to the manor of William Johnson in upstate New York. The British Superintendent for Indian Affairs in the New York region and beyond, Johnson was known to the Iroquois as Warraghiggey, meaning "He who does great things." He spoke their languages and had become a respected honorary member of the Iroquois Confederacy in the area. In 1746, Johnson was made a colonel of the Iroquois. Later he was commissioned as a colonel of the Western New York Militia. They met at Albany, New York with Governor Clinton and officials from some of the other American colonies. Mohawk Chief Hendrick, Speaker of their tribal council, insisted that the British abide by their obligations and block French expansion. When Clinton did not respond to his satisfaction, Chief Hendrick said that the "Covenant Chain", a long-standing friendly relationship between the Iroquois Confederacy and the British Crown, was broken.</t>
  </si>
  <si>
    <t>hermaphroditism and early reproduction</t>
  </si>
  <si>
    <t>of gravity</t>
  </si>
  <si>
    <t>accompanying documents</t>
  </si>
  <si>
    <t>What did Lady Gaga sing?</t>
  </si>
  <si>
    <t>6,000 square kilometres</t>
  </si>
  <si>
    <t>Who appoints elders?</t>
  </si>
  <si>
    <t>the Nikola Tesla Museum</t>
  </si>
  <si>
    <t>The Entertainment Channel</t>
  </si>
  <si>
    <t>How often do Parliament elections take place?</t>
  </si>
  <si>
    <t>Governor Robert Dinwiddie of Virginia was an investor in the Ohio Company, which stood to lose money if the French held their claim. To counter the French military presence in Ohio, in October 1753 Dinwiddie ordered the 21-year-old Major George Washington (whose brother was another Ohio Company investor) of the Virginia Regiment to warn the French to leave Virginia territory. Washington left with a small party, picking up along the way Jacob Van Braam as an interpreter; Christopher Gist, a company surveyor working in the area; and a few Mingo led by Tanaghrisson. On December 12, Washington and his men reached Fort Le Boeuf.</t>
  </si>
  <si>
    <t>St. Bartholomew's Day massacre</t>
  </si>
  <si>
    <t>In his many notes</t>
  </si>
  <si>
    <t>The mechanism by which Y. pestis was usually transmitted</t>
  </si>
  <si>
    <t>antigen</t>
  </si>
  <si>
    <t>What happened to the East India Trading Company in 1767?</t>
  </si>
  <si>
    <t>into the nineteenth century</t>
  </si>
  <si>
    <t>the Scottish Government</t>
  </si>
  <si>
    <t>Newtonian equations.</t>
  </si>
  <si>
    <t>cloud storage service</t>
  </si>
  <si>
    <t>StubHub Center</t>
  </si>
  <si>
    <t>What is Warsaw's economy characterized by?</t>
  </si>
  <si>
    <t>What was originally on the spacesuits prior to the clear "fishbowl" helmet?</t>
  </si>
  <si>
    <t>gauge bosons</t>
  </si>
  <si>
    <t>For many native populations, the elimination of French power in North America meant the disappearance of a strong ally and counterweight to British expansion, leading to their ultimate dispossession. The Ohio Country was particularly vulnerable to legal and illegal settlement due to the construction of military roads to the area by Braddock and Forbes. Although the Spanish takeover of the Louisiana territory (which was not completed until 1769) had modest repercussions, the British takeover of Spanish Florida resulted in the westward migration of tribes that did not want to do business with the British, and a rise in tensions between the Choctaw and the Creek, historic enemies whose divisions the British at times exploited. The change of control in Florida also prompted most of its Spanish Catholic population to leave. Most went to Cuba, including the entire governmental records from St. Augustine, although some Christianized Yamasee were resettled to the coast of Mexico.</t>
  </si>
  <si>
    <t>Space</t>
  </si>
  <si>
    <t>What are colloblasts?</t>
  </si>
  <si>
    <t>mercuric oxide (HgO)</t>
  </si>
  <si>
    <t>What country is ABC broadcast in, in contrast to Disney's other channels?</t>
  </si>
  <si>
    <t>western portions of the Great Lakes region</t>
  </si>
  <si>
    <t>What did S&amp;P recommend to somewhat remedy the wealth gap?</t>
  </si>
  <si>
    <t>Where is the Santa Fe Railroad Depot located?</t>
  </si>
  <si>
    <t>Do adults or juveniles secretions luminesce brighter?</t>
  </si>
  <si>
    <t>St. George's Church</t>
  </si>
  <si>
    <t>How much capital did UK law require to start a company?</t>
  </si>
  <si>
    <t>How many awards has Doctor Who won?</t>
  </si>
  <si>
    <t>antigens</t>
  </si>
  <si>
    <t>In front of the Presiding Officers' desk is the parliamentary mace, which is made from silver and inlaid with gold panned from Scottish rivers and inscribed with the words: Wisdom, Compassion, Justice and Integrity. The words There shall be a Scottish Parliament, which are the first words of the Scotland Act, are inscribed around the head of the mace, which has a formal ceremonial role in the meetings of Parliament, reinforcing the authority of the Parliament in its ability to make laws. Presented to the Scottish Parliament by the Queen upon its official opening in July 1999, the mace is displayed in a glass case suspended from the lid. At the beginning of each sitting in the chamber, the lid of the case is rotated so that the mace is above the glass, to symbolise that a full meeting of the Parliament is taking place.</t>
  </si>
  <si>
    <t>Greater London has over 900,000 Muslims, (most of South Asian origins and concentrated in the East London boroughs of Newham, Tower Hamlets and Waltham Forest), and among them are some with a strong Islamist outlook. Their presence, combined with a perceived British policy of allowing them free rein, heightened by exposés such as the 2007 Channel 4 documentary programme Undercover Mosque, has given rise to the term Londonistan. Following the 9/11 attacks, however, Abu Hamza al-Masri, the imam of the Finsbury Park Mosque, was arrested and charged with incitement to terrorism which has caused many Islamists to leave the UK to avoid internment.[citation needed]</t>
  </si>
  <si>
    <t>Dating of lava and volcanic ash layers</t>
  </si>
  <si>
    <t>What method was used to clear forest for crop cultivation in the amazon forest?</t>
  </si>
  <si>
    <t>prayer for grace</t>
  </si>
  <si>
    <t>get their issue onto the table</t>
  </si>
  <si>
    <t>the bishop has read the appointments at the session of the Annual Conference</t>
  </si>
  <si>
    <t>produce better academic results</t>
  </si>
  <si>
    <t>What subtle tool can be used in an informal imperialistic situation to expand a controlled area?</t>
  </si>
  <si>
    <t>essential Reformation doctrine</t>
  </si>
  <si>
    <t>κτείς kteis 'comb' and φέρω pherō 'carry'</t>
  </si>
  <si>
    <t>For which TV season did color first become a dominant format?</t>
  </si>
  <si>
    <t>hormones</t>
  </si>
  <si>
    <t>After apartheid, what types of schools are referred to as "Model C" schools?</t>
  </si>
  <si>
    <t>What do the former Midlothian County Buildings face?</t>
  </si>
  <si>
    <t>What is another name for the Yosemite Freeway?</t>
  </si>
  <si>
    <t>What measure of a computational problem broadly defines the inherent difficulty of the solution?</t>
  </si>
  <si>
    <t>To accurately map the Amazon's biomass and subsequent carbon related emissions, the classification of tree growth stages within different parts of the forest is crucial. In 2006 Tatiana Kuplich organized the trees of the Amazon into four categories: (1) mature forest, (2) regenerating forest [less than three years], (3) regenerating forest [between three and five years of regrowth], and (4) regenerating forest [eleven to eighteen years of continued development]. The researcher used a combination of Synthetic aperture radar (SAR) and Thematic Mapper (TM) to accurately place the different portions of the Amazon into one of the four classifications.</t>
  </si>
  <si>
    <t>Which country does the Rhine encounter it's main tributaries?</t>
  </si>
  <si>
    <t>spontaneous</t>
  </si>
  <si>
    <t>sea water</t>
  </si>
  <si>
    <t>cryptography</t>
  </si>
  <si>
    <t>Who moved his court from Kraków to Warsaw in 1596?</t>
  </si>
  <si>
    <t>the correct interpretation of water's composition</t>
  </si>
  <si>
    <t>In what state is oxygen shipped in bulk?</t>
  </si>
  <si>
    <t>Africa's most successful nation</t>
  </si>
  <si>
    <t>Southern California Megaregion</t>
  </si>
  <si>
    <t>feed the pigeons</t>
  </si>
  <si>
    <t>Which region of California is Palm Springs located in?</t>
  </si>
  <si>
    <t>impediments and difficulties</t>
  </si>
  <si>
    <t>between September and November 1946</t>
  </si>
  <si>
    <t>What has a Lama determined to do?</t>
  </si>
  <si>
    <t>115 °F (46.1 °C)</t>
  </si>
  <si>
    <t>Why did Warsaw become the capital of the Commonwealth?</t>
  </si>
  <si>
    <t>The University of Chicago was created and incorporated as a coeducational, secular institution in 1890 by the American Baptist Education Society and a donation from oil magnate and philanthropist John D. Rockefeller on land donated by Marshall Field. While the Rockefeller donation provided money for academic operations and long-term endowment, it was stipulated that such money could not be used for buildings. The original physical campus was financed by donations from wealthy Chicagoans like Silas B. Cobb who provided the funds for the campus' first building, Cobb Lecture Hall, and matched Marshall Field's pledge of $100,000. Other early benefactors included businessmen Charles L. Hutchinson (trustee, treasurer and donor of Hutchinson Commons), Martin A. Ryerson (president of the board of trustees and donor of the Ryerson Physical Laboratory) Adolphus Clay Bartlett and Leon Mandel, who funded the construction of the gymnasium and assembly hall, and George C. Walker of the Walker Museum, a relative of Cobb who encouraged his inaugural donation for facilities.</t>
  </si>
  <si>
    <t>9.8 million</t>
  </si>
  <si>
    <t>There are also several smaller freight operators and numerous tourist railways operating over lines which were once parts of a state-owned system. Victorian lines mainly use the 1,600 mm (5 ft 3 in) broad gauge. However, the interstate trunk routes, as well as a number of branch lines in the west of the state have been converted to 1,435 mm (4 ft 8 1⁄2 in) standard gauge. Two tourist railways operate over 760 mm (2 ft 6 in) narrow gauge lines, which are the remnants of five formerly government-owned lines which were built in mountainous areas.</t>
  </si>
  <si>
    <t>sending an email to the Lebanon</t>
  </si>
  <si>
    <t>Students</t>
  </si>
  <si>
    <t>previously separated specialties, especially among large firms</t>
  </si>
  <si>
    <t>automatically assigned addresses, updated the distributed namespace, and configured any required inter-network routing</t>
  </si>
  <si>
    <t>over 5,100</t>
  </si>
  <si>
    <t>What do astronaughts experience while in free-fall?</t>
  </si>
  <si>
    <t>What organization was led by Hasan al-Hudaybi?</t>
  </si>
  <si>
    <t>teacher's colleges</t>
  </si>
  <si>
    <t>What were casualties of battle?</t>
  </si>
  <si>
    <t>the union of the Methodist Church (USA) and the Evangelical United Brethren Church</t>
  </si>
  <si>
    <t>October 12, 1943</t>
  </si>
  <si>
    <t>the lead melts</t>
  </si>
  <si>
    <t>What do pyrenoids look like?</t>
  </si>
  <si>
    <t>seven central conferences: Africa, Congo, West Africa, Central &amp; Southern Europe, Germany, Northern Europe and the Philippines.</t>
  </si>
  <si>
    <t>The collection includes about 1130 British and 650 European oil paintings, 6800 British watercolours, pastels and 2000 miniatures, for which the museum holds the national collection. Also on loan to the museum, from Her Majesty the Queen Elizabeth II, are the Raphael Cartoons: the seven surviving (there were ten) full scale designs for tapestries in the Sistine Chapel, of the lives of Peter and Paul from the Gospels and the Acts of the Apostles. There is also on display a fresco by Pietro Perugino dated 1522 from the church of Castello at Fontignano (Perugia) and is amongst the painter's last works. One of the largest objects in the collection is the Spanish tempera on wood, 670 x 486 cm, retable of St George, c. 1400, consisting of numerous scenes and painted by Andrés Marzal De Sax in Valencia.</t>
  </si>
  <si>
    <t>Scottish_Parliament</t>
  </si>
  <si>
    <t xml:space="preserve">What was the name of the count of Apulia </t>
  </si>
  <si>
    <t>life skills</t>
  </si>
  <si>
    <t xml:space="preserve">Where was the Continental Edison Company located? </t>
  </si>
  <si>
    <t>the low total pressures used</t>
  </si>
  <si>
    <t>Female sex hormones are immunostimulators of which immune responses?</t>
  </si>
  <si>
    <t>a dimensional constant</t>
  </si>
  <si>
    <t>The region spans starting at islands found in which body of water?</t>
  </si>
  <si>
    <t>Tesla's theories on the possibility of the transmission by radio waves go back as far as lectures and demonstrations in 1893 in St. Louis, Missouri, the Franklin Institute in Philadelphia, Pennsylvania, and the National Electric Light Association. Tesla's demonstrations and principles were written about widely through various media outlets. Many devices such as the Tesla Coil were used in the further development of radio.</t>
  </si>
  <si>
    <t>armed jihad</t>
  </si>
  <si>
    <t>the Dutch gooien</t>
  </si>
  <si>
    <t>25-foot</t>
  </si>
  <si>
    <t>What is circuit switching characterized by</t>
  </si>
  <si>
    <t>invasion of Britain, to draw British resources away from North America and the European mainland</t>
  </si>
  <si>
    <t>death in body and soul,</t>
  </si>
  <si>
    <t>How did Tesla lose his tuition money?</t>
  </si>
  <si>
    <t>rising levels of property income</t>
  </si>
  <si>
    <t>The secondary level includes schools offering years 7 through 12 (year twelve is known as lower sixth) and year 13 (upper sixth). This category includes university-preparatory schools or "prep schools", boarding schools and day schools. Tuition at private secondary schools varies from school to school and depends on many factors, including the location of the school, the willingness of parents to pay, peer tuitions and the school's financial endowment. High tuition, schools claim, is used to pay higher salaries for the best teachers and also used to provide enriched learning environments, including a low student to teacher ratio, small class sizes and services, such as libraries, science laboratories and computers. Some private schools are boarding schools and many military academies are privately owned or operated as well.</t>
  </si>
  <si>
    <t>When rock units are placed under horizontal compression, they shorten and become thicker. Because rock units, other than muds, do not significantly change in volume, this is accomplished in two primary ways: through faulting and folding. In the shallow crust, where brittle deformation can occur, thrust faults form, which cause deeper rock to move on top of shallower rock. Because deeper rock is often older, as noted by the principle of superposition, this can result in older rocks moving on top of younger ones. Movement along faults can result in folding, either because the faults are not planar or because rock layers are dragged along, forming drag folds as slip occurs along the fault. Deeper in the Earth, rocks behave plastically, and fold instead of faulting. These folds can either be those where the material in the center of the fold buckles upwards, creating "antiforms", or where it buckles downwards, creating "synforms". If the tops of the rock units within the folds remain pointing upwards, they are called anticlines and synclines, respectively. If some of the units in the fold are facing downward, the structure is called an overturned anticline or syncline, and if all of the rock units are overturned or the correct up-direction is unknown, they are simply called by the most general terms, antiforms and synforms.</t>
  </si>
  <si>
    <t>Among the most well-known experiments in structural geology are those involving orogenic wedges, which are zones in which mountains are built along convergent tectonic plate boundaries. In the analog versions of these experiments, horizontal layers of sand are pulled along a lower surface into a back stop, which results in realistic-looking patterns of faulting and the growth of a critically tapered (all angles remain the same) orogenic wedge. Numerical models work in the same way as these analog models, though they are often more sophisticated and can include patterns of erosion and uplift in the mountain belt. This helps to show the relationship between erosion and the shape of the mountain range. These studies can also give useful information about pathways for metamorphism through pressure, temperature, space, and time.</t>
  </si>
  <si>
    <t>water pump</t>
  </si>
  <si>
    <t>the center of the curving path</t>
  </si>
  <si>
    <t>The fucoxanthin dinophyte lineages (including Karlodinium and Karenia) lost their original red algal derived chloroplast, and replaced it with a new chloroplast derived from a haptophyte endosymbiont. Karlodinium and Karenia probably took up different heterokontophytes. Because the haptophyte chloroplast has four membranes, tertiary endosymbiosis would be expected to create a six membraned chloroplast, adding the haptophyte's cell membrane and the dinophyte's phagosomal vacuole. However, the haptophyte was heavily reduced, stripped of a few membranes and its nucleus, leaving only its chloroplast (with its original double membrane), and possibly one or two additional membranes around it.</t>
  </si>
  <si>
    <t>it has trouble distinguishing between carbon dioxide and oxygen</t>
  </si>
  <si>
    <t>Besides the Bondage of the Will, what other work did Luther view as a book of his?</t>
  </si>
  <si>
    <t>rotary motion</t>
  </si>
  <si>
    <t>How populous is Victoria compared to other Australian states?</t>
  </si>
  <si>
    <t>Around 1800 Richard Trevithick and, separately, Oliver Evans in 1801 introduced engines using high-pressure steam; Trevithick obtained his high-pressure engine patent in 1802. These were much more powerful for a given cylinder size than previous engines and could be made small enough for transport applications. Thereafter, technological developments and improvements in manufacturing techniques (partly brought about by the adoption of the steam engine as a power source) resulted in the design of more efficient engines that could be smaller, faster, or more powerful, depending on the intended application.</t>
  </si>
  <si>
    <t>the Kenyan Coast</t>
  </si>
  <si>
    <t>Prague</t>
  </si>
  <si>
    <t>smaller assessments of special problems instead of the large scale approach</t>
  </si>
  <si>
    <t>The first commercially successful true engine, in that it could generate power and transmit it to a machine, was the atmospheric engine, invented by Thomas Newcomen around 1712. It was an improvement over Savery's steam pump, using a piston as proposed by Papin. Newcomen's engine was relatively inefficient, and in most cases was used for pumping water. It worked by creating a partial vacuum by condensing steam under a piston within a cylinder. It was employed for draining mine workings at depths hitherto impossible, and also for providing a reusable water supply for driving waterwheels at factories sited away from a suitable "head". Water that had passed over the wheel was pumped back up into a storage reservoir above the wheel.</t>
  </si>
  <si>
    <t>EXPTIME</t>
  </si>
  <si>
    <t>What work from around 300 BC has significant theorems about prime numbers?</t>
  </si>
  <si>
    <t>every four years (quadrennium).</t>
  </si>
  <si>
    <t>read it without hindrance</t>
  </si>
  <si>
    <t>Why is Jochi's reported alliance with the Muslims historically suspect?</t>
  </si>
  <si>
    <t>an Eastern Bloc city</t>
  </si>
  <si>
    <t>citrus</t>
  </si>
  <si>
    <t>pointed into the Sun.</t>
  </si>
  <si>
    <t>applied mathematics</t>
  </si>
  <si>
    <t>the Confederate cause</t>
  </si>
  <si>
    <t>When is sports programming provided by ABC on Saturday afternoons?</t>
  </si>
  <si>
    <t>What two governors agreed to a truce to protect their young colonies?</t>
  </si>
  <si>
    <t>What was done to counteract the overpopulation of mnemiopsis in The Black Sea?</t>
  </si>
  <si>
    <t>What symbol was employed until early in the 20th century?</t>
  </si>
  <si>
    <t>15th</t>
  </si>
  <si>
    <t>oversight</t>
  </si>
  <si>
    <t>Tesla obtained around 300 patents worldwide for his inventions. Some of Tesla's patents are not accounted for, and various sources have discovered some that have lain hidden in patent archives. There are a minimum of 278 patents issued to Tesla in 26 countries that have been accounted for. Many of Tesla's patents were in the United States, Britain, and Canada, but many other patents were approved in countries around the globe.:62 Many inventions developed by Tesla were not put into patent protection.</t>
  </si>
  <si>
    <t>high voltage</t>
  </si>
  <si>
    <t>more equally</t>
  </si>
  <si>
    <t>hopes for campaigns on Lake Ontario, and endangered the Oswego garrison</t>
  </si>
  <si>
    <t>internal energies of the system</t>
  </si>
  <si>
    <t>low total pressures</t>
  </si>
  <si>
    <t>What is an interdenominational group composed of various churches to promote the Gospel throughout the world?</t>
  </si>
  <si>
    <t>Civil disobedience has been argued in more recent times to have suffered from what?</t>
  </si>
  <si>
    <t>When was ctenophore mnemiopsis leidyi introduced into The Black Sea and the Sea of Azov?</t>
  </si>
  <si>
    <t xml:space="preserve">The V&amp;A has its origins in which world exposition? </t>
  </si>
  <si>
    <t>What type of civil disobedience is accompanied by aggression?</t>
  </si>
  <si>
    <t>Why has the corruption not be in the public view?</t>
  </si>
  <si>
    <t>water</t>
  </si>
  <si>
    <t>The Mongols' conquest, even by their own standards, was brutal. After the capital Samarkand fell, the capital was moved to Bukhara by the remaining men, while Genghis Khan ordered two of his generals and their forces to completely destroy the remnants of the Khwarezmid Empire, including not only royal buildings, but entire towns, populations, and even vast swaths of farmland. According to legend, Genghis Khan even went so far as to divert a river through the Khwarezmid emperor's birthplace, erasing it from the map.[citation needed]</t>
  </si>
  <si>
    <t>Petitcodiac in 1755 and at Bloody Creek</t>
  </si>
  <si>
    <t>What do high levels of inequality  prevent beyond economic prosperity?</t>
  </si>
  <si>
    <t>How are the explanations supported?</t>
  </si>
  <si>
    <t>pupils are free to choose a private school</t>
  </si>
  <si>
    <t>solution</t>
  </si>
  <si>
    <t>What previous work did Lavoisier experiments discredit?</t>
  </si>
  <si>
    <t>How long would Tesla spend gambling sometimes?</t>
  </si>
  <si>
    <t>However, a problem emerged regarding the directions taken by ABC and UPT. In 1950, Noble appointed Robert Kintner to be ABC's president while he himself served as its CEO, a position he would hold until his death in 1958. Despite the promise of non-interference between ABC and UPT, Goldenson had to intervene in ABC's decisions because of financial problems and the FCC's long period of indecision. Goldenson added to the confusion when, in October 1954, he proposed a merger between UPT and the DuMont Television Network, which was also mired in financial trouble. As part of this merger, the network would have been renamed "ABC-DuMont" for five years, and DuMont would have received $5 million in cash, room on the schedule for existing DuMont programming, and guaranteed advertising time for DuMont Laboratories receivers. In addition, to comply with FCC ownership restrictions, it would have been required to sell either WABC-TV or DuMont owned-and-operated station WABD in the New York City market, as well as two other stations. The merged ABC-DuMont would have had the resources to compete with CBS and NBC.</t>
  </si>
  <si>
    <t>the late 1970s</t>
  </si>
  <si>
    <t>November 1979</t>
  </si>
  <si>
    <t>Who played the War Doctor?</t>
  </si>
  <si>
    <t>Singapore, London, and the downtown Streeterville neighborhood of Chicago</t>
  </si>
  <si>
    <t>three-dimensional</t>
  </si>
  <si>
    <t>What group of people performed revolutionary civil disobedience toward the Austrian government?</t>
  </si>
  <si>
    <t>Parliament Square, High Street and George IV Bridge</t>
  </si>
  <si>
    <t>marine triple expansion engines</t>
  </si>
  <si>
    <t>What did Luther consider faith to be?</t>
  </si>
  <si>
    <t>specific immune receptors</t>
  </si>
  <si>
    <t>It is conjectured that a progressive decline in hormone levels with age is partially responsible for weakened immune responses in aging individuals. Conversely, some hormones are regulated by the immune system, notably thyroid hormone activity. The age-related decline in immune function is also related to decreasing vitamin D levels in the elderly. As people age, two things happen that negatively affect their vitamin D levels. First, they stay indoors more due to decreased activity levels. This means that they get less sun and therefore produce less cholecalciferol via UVB radiation. Second, as a person ages the skin becomes less adept at producing vitamin D.</t>
  </si>
  <si>
    <t>What way do some people perform civil disobedience in a constructive way?</t>
  </si>
  <si>
    <t>These kinds of programs presented ABC with an image of the "philosophy of counterprogramming against its competitors", offering a strong lineup of programs that contrasted with those seen on its rival networks, which helped Goldenson give the network a continuum between film and television. ABC's western series (as well as series such as the actioner Zorro) went up against and defeated the variety shows aired by NBC and CBS in the fall of 1957, and its detective shows did the same in the fall of 1959. To captivate the network's audiences, short 66-minute series were scheduled a half-hour before their hour-long competition. In May 1961, Life criticized the public enthusiasm and sponsorship for these types of shows at the expense of news programming and denounced an unofficial law "replacing the good programs with the bad ones".</t>
  </si>
  <si>
    <t>European Court of Human Rights.</t>
  </si>
  <si>
    <t>New York hotels</t>
  </si>
  <si>
    <t>Sports Programs, Inc</t>
  </si>
  <si>
    <t>in contact with the stroma</t>
  </si>
  <si>
    <t>Who went to Wittenberg to hear Luther speak?</t>
  </si>
  <si>
    <t>It is likely that a multicomponent, adaptive immune system arose with the first vertebrates, as invertebrates do not generate lymphocytes or an antibody-based humoral response. Many species, however, utilize mechanisms that appear to be precursors of these aspects of vertebrate immunity. Immune systems appear even in the structurally most simple forms of life, with bacteria using a unique defense mechanism, called the restriction modification system to protect themselves from viral pathogens, called bacteriophages. Prokaryotes also possess acquired immunity, through a system that uses CRISPR sequences to retain fragments of the genomes of phage that they have come into contact with in the past, which allows them to block virus replication through a form of RNA interference. Offensive elements of the immune systems are also present in unicellular eukaryotes, but studies of their roles in defense are few.</t>
  </si>
  <si>
    <t>to go home and change her dress</t>
  </si>
  <si>
    <t>variant of German spoken at the Saxon chancellery,</t>
  </si>
  <si>
    <t>to counteract the constant flooding and strong sedimentation</t>
  </si>
  <si>
    <t>at the foot of the mast</t>
  </si>
  <si>
    <t xml:space="preserve">What did Baran develop during research at RAND </t>
  </si>
  <si>
    <t>historic densely occupied, arguably overinflated markets</t>
  </si>
  <si>
    <t>Roman Catholic</t>
  </si>
  <si>
    <t>What is expected with the continuous input of sediment into the Dornbirner Ach?</t>
  </si>
  <si>
    <t>spirit of protest</t>
  </si>
  <si>
    <t>difference</t>
  </si>
  <si>
    <t>the Northern United Kingdom</t>
  </si>
  <si>
    <t>one of the most influential</t>
  </si>
  <si>
    <t>basis of the methodology</t>
  </si>
  <si>
    <t>State Route 99</t>
  </si>
  <si>
    <t>second-most</t>
  </si>
  <si>
    <t>50th anniversary special</t>
  </si>
  <si>
    <t>A non-deterministic Turing machine has the ability to capture what facet of useful analysis?</t>
  </si>
  <si>
    <t>granted the Protestants equality with Catholics</t>
  </si>
  <si>
    <t>Charles Avison, the leading British composer of concertos in the 18th century, was born in Newcastle upon Tyne in 1709 and died there in 1770. Basil Hume, Archbishop of Westminster, was born in the city in 1923. Vice Admiral Cuthbert Collingwood, 1st Baron Collingwood, was born in the city. Ironmaster, metallurgist, and member of parliament Isaac Lowthian Bell was born in the city in 1816. Other notable people born in or associated with Newcastle include: engineer and industrialist Lord Armstrong, engineer and father of the modern steam railways George Stephenson, his son, also an engineer, Robert Stephenson, engineer and inventor of the steam turbine Sir Charles Parsons, inventor of the incandescent light bulb Sir Joseph Swan, modernist poet Basil Bunting, and Lord Chief Justice Peter Taylor. Portuguese writer Eça de Queiroz was a diplomat in Newcastle from late 1874 until April 1879—his most productive literary period. Former Prime Minister of Thailand Abhisit Vejjajiva, was born in the city.</t>
  </si>
  <si>
    <t>Where did the Grand Canal start?</t>
  </si>
  <si>
    <t>"zip" the mouth shut</t>
  </si>
  <si>
    <t>avoid trivialization</t>
  </si>
  <si>
    <t>an Islamic state</t>
  </si>
  <si>
    <t>D'Olier Street is named after whom?</t>
  </si>
  <si>
    <t>black earth</t>
  </si>
  <si>
    <t>What trade was the city an important center of in the 14th century?</t>
  </si>
  <si>
    <t>declared Japan a "nonfriendly" country</t>
  </si>
  <si>
    <t xml:space="preserve">Le Grande also wrote that defining the term civil disobedience so difficult it could be described as? </t>
  </si>
  <si>
    <t>In most countries, the dispensary is subject to pharmacy legislation; with requirements for storage conditions, compulsory texts, equipment, etc., specified in legislation. Where it was once the case that pharmacists stayed within the dispensary compounding/dispensing medications, there has been an increasing trend towards the use of trained pharmacy technicians while the pharmacist spends more time communicating with patients. Pharmacy technicians are now more dependent upon automation to assist them in their new role dealing with patients' prescriptions and patient safety issues.</t>
  </si>
  <si>
    <t>sum of divisors function</t>
  </si>
  <si>
    <t xml:space="preserve">Who has the Islamic Liberation Party attempted to assassinate? </t>
  </si>
  <si>
    <t>How much of the greenhouse effect is due to carbon dioxide?</t>
  </si>
  <si>
    <t>Some scholars have asserted that Luther taught that faith and reason were antithetical in the sense that questions of faith could not be illuminated by reason. He wrote, "All the articles of our Christian faith, which God has revealed to us in His Word, are in presence of reason sheerly impossible, absurd, and false." and "[That] Reason in no way contributes to faith. [...] For reason is the greatest enemy that faith has; it never comes to the aid of spiritual things." However, though seemingly contradictorily, he also wrote in the latter work that human reason "strives not against faith, when enlightened, but rather furthers and advances it", bringing claims he was a fideist into dispute. Contemporary Lutheran scholarship, however, has found a different reality in Luther. Luther rather seeks to separate faith and reason in order to honor the separate spheres of knowledge that each applies to. Bernhard Lohse, for example, has demonstrated in his classic work "Fides und Ratio" that Luther ultimately sought to put the two together. More recently, Hans-Peter Grosshans has demonstrated that Luther's work on Biblical Criticism stresses the need for external coherence in the right exegetical method. This means that for Luther it is more important that the Bible is reasonable according to the reality outside of the scriptures than that the Bible makes sense to itself, that it has internal coherence. The right tool for understanding the world outside of the Bible for Luther is none other than reason, which for him is the field of science, philosophy, history and empirical observation. Here a different picture is presented of a Luther who deeply valued both faith and reason, and held them in dialectical partnership. Luther's concern thus in separating them is honoring their different epistemological spheres.</t>
  </si>
  <si>
    <t>What includes pressure terms when calculating area in volume?</t>
  </si>
  <si>
    <t>music</t>
  </si>
  <si>
    <t>New York City O&amp;O WABC-TV and Philadelphia O&amp;O WPVI-TV</t>
  </si>
  <si>
    <t>the whole Parliament</t>
  </si>
  <si>
    <t>What is the world's busiest general aviation airport?</t>
  </si>
  <si>
    <t>Saudi Arabia and Iran</t>
  </si>
  <si>
    <t>What are both Branko Milanovic and Joseph Stiglitz?</t>
  </si>
  <si>
    <t>How great were the losses suffered in the the financial crisis of 2008-09 to Harvard endowment?</t>
  </si>
  <si>
    <t>roughly $170 billion.</t>
  </si>
  <si>
    <t>When was the Ming dynasty in power?</t>
  </si>
  <si>
    <t>the War of the Two Capitals</t>
  </si>
  <si>
    <t>Horizontal layers of what are pulled along a surface into a back stop in analog versions of orogenic wedge experiments?</t>
  </si>
  <si>
    <t>in body and soul</t>
  </si>
  <si>
    <t>jet of expelled water drives them backwards very quickly.</t>
  </si>
  <si>
    <t>What area was Kublai trying to capture by attacking Xiangyang?</t>
  </si>
  <si>
    <t>phosphorylate adenosine diphosphate</t>
  </si>
  <si>
    <t>What register did Chris Keates think that some teachers should not be placed on?</t>
  </si>
  <si>
    <t>According to the Princeton Review where has Harvard ranked as a "Dream College" in 2013</t>
  </si>
  <si>
    <t>hydrophilic amino acids</t>
  </si>
  <si>
    <t>trust in Christ be stronger,</t>
  </si>
  <si>
    <t>What is different about Paulinella chromatophora?</t>
  </si>
  <si>
    <t>What element did Gay-Lussac and von Humboldt discover was present in twice the amount of oxygen in water?</t>
  </si>
  <si>
    <t>through various associations and other arrangements</t>
  </si>
  <si>
    <t>What were the fossils that were found to represent ctenphores missing that current ctenphora have?</t>
  </si>
  <si>
    <t>From what landmark within Fresno does the Tower Theatre get its name?</t>
  </si>
  <si>
    <t>ten to fifteen</t>
  </si>
  <si>
    <t>Friedrich Ratzel thought what was needed for a state to survive?</t>
  </si>
  <si>
    <t>high art and folk music</t>
  </si>
  <si>
    <t>Within the last 5–10 million years</t>
  </si>
  <si>
    <t>What happened to his ribs in the accident?</t>
  </si>
  <si>
    <t>trade liberalisation</t>
  </si>
  <si>
    <t>writing</t>
  </si>
  <si>
    <t>Doctor in Bible</t>
  </si>
  <si>
    <t>What was the main reason for the show's suspension in 1989?</t>
  </si>
  <si>
    <t>The definition of imperialism has not been finalized for centuries and was confusedly seen to represent the policies of major powers, or simply, general-purpose aggressiveness. Further on, some writers[who?] used the term imperialism, in slightly more discriminating fashion, to mean all kinds of domination or control by a group of people over another. To clear out this confusion about the definition of imperialism one could speak of "formal" and "informal" imperialism, the first meaning physical control or "full-fledged colonial rule" while the second implied less direct rule though still containing perceivable kinds of dominance. Informal rule is generally less costly than taking over territories formally. This is because, with informal rule, the control is spread more subtly through technological superiority, enforcing land officials into large debts that cannot be repaid, ownership of private industries thus expanding the controlled area, or having countries agree to uneven trade agreements forcefully.</t>
  </si>
  <si>
    <t>What did he find that could constitute a hazard?</t>
  </si>
  <si>
    <t>What is a Cairns replication intermediate?</t>
  </si>
  <si>
    <t>access to education</t>
  </si>
  <si>
    <t>Which parish church in Newcastle is typically agreed to be the oldest one in town?</t>
  </si>
  <si>
    <t>To the east is the Colorado Desert and the Colorado River at the border with Arizona, and the Mojave Desert at the border with the state of Nevada. To the south is the Mexico–United States border.</t>
  </si>
  <si>
    <t>annually</t>
  </si>
  <si>
    <t>What type of tunnels are constructed through Newcastle's city center?</t>
  </si>
  <si>
    <t>Where do most teachers get their credentials from?</t>
  </si>
  <si>
    <t>What did industry do to the Rhine until the 1980s?</t>
  </si>
  <si>
    <t>How long has the Rhine coastline been in the same location?</t>
  </si>
  <si>
    <t>Which theorem would be invalid if the number 1 were considered prime?</t>
  </si>
  <si>
    <t>the plague was present somewhere in Europe in every year between 1346 and 1671.</t>
  </si>
  <si>
    <t>the Eternal Heaven</t>
  </si>
  <si>
    <t>What did Temüjin's mother emphasize in his lessons about Mongolia's volatile political climate?</t>
  </si>
  <si>
    <t>credible claims of corruption were made with regard to recruitment  and procurement of Armoured Personnel Carriers</t>
  </si>
  <si>
    <t>held secular leanings or who had introduced or promoted Western/foreign ideas and practices into Islamic societies</t>
  </si>
  <si>
    <t>the most efficient algorithm</t>
  </si>
  <si>
    <t>Newcastle Mela, held on the late August bank holiday weekend, is an annual two-day multicultural event, blending drama, music and food from Punjabi, Pakistani, Bengali and Hindu cultures. NewcastleGateshead also holds an annual International Arts Fair. The 2009 event will be in the Norman Foster designed Sage Gateshead Music and Arts Centre in September. In October, there is the Design Event festival—an annual festival providing the public with an opportunity to see work by regional, national and international designers. The SAMA Festival, an East Asian cultural festival is also held in early October.</t>
  </si>
  <si>
    <t>Where did the pharmacist stand in relation to the Emperor's personal physicians?</t>
  </si>
  <si>
    <t>4 August 2010</t>
  </si>
  <si>
    <t>has trouble crossing membranes to get to where it is needed</t>
  </si>
  <si>
    <t>Alternatively, glucose monomers in the chloroplast can be linked together to make starch, which accumulates into the starch grains found in the chloroplast. Under conditions such as high atmospheric CO2 concentrations, these starch grains may grow very large, distorting the grana and thylakoids. The starch granules displace the thylakoids, but leave them intact. Waterlogged roots can also cause starch buildup in the chloroplasts, possibly due to less sucrose being exported out of the chloroplast (or more accurately, the plant cell). This depletes a plant's free phosphate supply, which indirectly stimulates chloroplast starch synthesis. While linked to low photosynthesis rates, the starch grains themselves may not necessarily interfere significantly with the efficiency of photosynthesis, and might simply be a side effect of another photosynthesis-depressing factor.</t>
  </si>
  <si>
    <t>the lost chloroplast's existence</t>
  </si>
  <si>
    <t>helicoid sheets</t>
  </si>
  <si>
    <t>What other forces were tainted by corruption allegations?</t>
  </si>
  <si>
    <t>Man and Culture in a Counterfeit Paradise</t>
  </si>
  <si>
    <t>$1,000,000</t>
  </si>
  <si>
    <t>A dollar spent by a poor person is likely to provide what for them?</t>
  </si>
  <si>
    <t>dial-up terminal</t>
  </si>
  <si>
    <t>the Common Core</t>
  </si>
  <si>
    <t>What was President Kennedy put off by regarding the space program?</t>
  </si>
  <si>
    <t>The isolated subdivision</t>
  </si>
  <si>
    <t>store</t>
  </si>
  <si>
    <t>clean them</t>
  </si>
  <si>
    <t>What advancements besides military technology did Europe achieve?</t>
  </si>
  <si>
    <t>In 1990, Thomas S. Murphy delegated his position as president to Daniel B. Burke while remaining ABC's chairman and CEO. Capital Cities/ABC reported revenues of $465 million. Now at a strong second place, the network entered the 1990s with additional family-friendly hits including America's Funniest Home Videos (which has gone on to become the longest-running prime time entertainment program in the network's history), Step by Step, Hangin' with Mr. Cooper, Boy Meets World and Perfect Strangers spinoff Family Matters, as well as series such as Doogie Howser, M.D., Life Goes On, cult favorite Twin Peaks and The Commish. In September 1991, the network premiered Home Improvement, a sitcom starring stand-up comic Tim Allen centering on the family and work life of an accident-prone host of a cable-access home improvement show. Lasting nine seasons, its success led ABC to greenlight additional sitcom projects helmed by comedians during the 1990s including The Drew Carey Show; Brett Butler vehicle Grace Under Fire; and Ellen, which became notable for a 1997 episode which served as the coming out of series star Ellen DeGeneres (as well as her character in the series) as a lesbian.</t>
  </si>
  <si>
    <t>What Newcastle radio station is based at the Great North Children's Hospital?</t>
  </si>
  <si>
    <t>T cell receptor</t>
  </si>
  <si>
    <t>What molecules of the adaptive immune system only exist in jawed vertebrates?</t>
  </si>
  <si>
    <t>What was the English name of Gou's calendar?</t>
  </si>
  <si>
    <t>What did the reforms cause?</t>
  </si>
  <si>
    <t>What was media day called for Super Bowl 50?</t>
  </si>
  <si>
    <t>Along with English and mathematics, what subject replaced values education for fourth year students?</t>
  </si>
  <si>
    <t>isopentenyl pyrophosphate synthesis</t>
  </si>
  <si>
    <t>What do scholars agree on about the posting on the door story?</t>
  </si>
  <si>
    <t>Private Bill</t>
  </si>
  <si>
    <t>Tuesday afternoon prior to the game</t>
  </si>
  <si>
    <t>Archbishop Albrecht</t>
  </si>
  <si>
    <t>$5 million</t>
  </si>
  <si>
    <t>TFEU article 294</t>
  </si>
  <si>
    <t>Which entity developed the principles of European Union Law?</t>
  </si>
  <si>
    <t>What are the two official languages?</t>
  </si>
  <si>
    <t>What is Durinskia's chloroplast?</t>
  </si>
  <si>
    <t>Along with electric motors, what power sources overtook steam engines in the 20th century?</t>
  </si>
  <si>
    <t>to formalize a unified front in trade and negotiations with various Indians</t>
  </si>
  <si>
    <t>Since the IPCC does not carry out its own research, it operates on the basis of scientific papers and independently documented results from other scientific bodies, and its schedule for producing reports requires a deadline for submissions prior to the report's final release. In principle, this means that any significant new evidence or events that change our understanding of climate science between this deadline and publication of an IPCC report cannot be included. In an area of science where our scientific understanding is rapidly changing, this has been raised as a serious shortcoming in a body which is widely regarded as the ultimate authority on the science. However, there has generally been a steady evolution of key findings and levels of scientific confidence from one assessment report to the next.[citation needed]</t>
  </si>
  <si>
    <t>Who were special guests for the Super Bowl halftime show?</t>
  </si>
  <si>
    <t>The availability of the Bible in vernacular languages</t>
  </si>
  <si>
    <t>How long ago did oxygen reach 10% of its present level?</t>
  </si>
  <si>
    <t>Starch</t>
  </si>
  <si>
    <t>The working fluid in a Rankine cycle can operate as a closed loop system, where the working fluid is recycled continuously, or may be an "open loop" system, where the exhaust steam is directly released to the atmosphere, and a separate source of water feeding the boiler is supplied. Normally water is the fluid of choice due to its favourable properties, such as non-toxic and unreactive chemistry, abundance, low cost, and its thermodynamic properties. Mercury is the working fluid in the mercury vapor turbine. Low boiling hydrocarbons can be used in a binary cycle.</t>
  </si>
  <si>
    <t>anaerobic bacteria</t>
  </si>
  <si>
    <t>No appointment is official fixed until what occurs?</t>
  </si>
  <si>
    <t>Plastid differentiation is not permanent, in fact many interconversions are possible. Chloroplasts may be converted to chromoplasts, which are pigment-filled plastids responsible for the bright colors seen in flowers and ripe fruit. Starch storing amyloplasts can also be converted to chromoplasts, and it is possible for proplastids to develop straight into chromoplasts. Chromoplasts and amyloplasts can also become chloroplasts, like what happens when a carrot or a potato is illuminated. If a plant is injured, or something else causes a plant cell to revert to a meristematic state, chloroplasts and other plastids can turn back into proplastids. Chloroplast, amyloplast, chromoplast, proplast, etc., are not absolute states—intermediate forms are common.</t>
  </si>
  <si>
    <t>the founding of new Protestant churches</t>
  </si>
  <si>
    <t>liquid nitrogen</t>
  </si>
  <si>
    <t xml:space="preserve">What is a connection identifier </t>
  </si>
  <si>
    <t>1,320 kilometres (820 miles)</t>
  </si>
  <si>
    <t>What has the Court required to be more accessible?</t>
  </si>
  <si>
    <t>The church tower</t>
  </si>
  <si>
    <t>Scholars and observers</t>
  </si>
  <si>
    <t>What spurred increased support for government reform?</t>
  </si>
  <si>
    <t>cotton spinning</t>
  </si>
  <si>
    <t>What isn't economic growth sufficient for progress on?</t>
  </si>
  <si>
    <t>a maze of semantical problems and grammatical niceties</t>
  </si>
  <si>
    <t>What does damaging photosynthesis systems create?</t>
  </si>
  <si>
    <t>the university's off-campus rental policies</t>
  </si>
  <si>
    <t>13 June 1525,</t>
  </si>
  <si>
    <t>What tax rate has a direct relationship with income inequality?</t>
  </si>
  <si>
    <t>On 24 March 1879, Tesla was returned to Gospić under police guard for not having a residence permit. On 17 April 1879, Milutin Tesla died at the age of 60 after contracting an unspecified illness (although some sources say that he died of a stroke). During that year, Tesla taught a large class of students in his old school, Higher Real Gymnasium, in Gospić.</t>
  </si>
  <si>
    <t>a pastor</t>
  </si>
  <si>
    <t>the union government</t>
  </si>
  <si>
    <t>What civil rights movement in the US was known for it's disobedience?</t>
  </si>
  <si>
    <t>What is the Republic of Kenya named after?</t>
  </si>
  <si>
    <t>The First British Empire was based on mercantilism, and involved colonies and holdings primarily in North America, the Caribbean, and India. Its growth was reversed by the loss of the American colonies in 1776. Britain made compensating gains in India, Australia, and in constructing an informal economic empire through control of trade and finance in Latin America after the independence of Spanish and Portuguese colonies about 1820. By the 1840s, Britain had adopted a highly successful policy of free trade that gave it dominance in the trade of much of the world. After losing its first Empire to the Americans, Britain then turned its attention towards Asia, Africa, and the Pacific. Following the defeat of Napoleonic France in 1815, Britain enjoyed a century of almost unchallenged dominance and expanded its imperial holdings around the globe. Increasing degrees of internal autonomy were granted to its white settler colonies in the 20th century.</t>
  </si>
  <si>
    <t>toward the end of his life</t>
  </si>
  <si>
    <t>reduce consumer prices</t>
  </si>
  <si>
    <t>How many Panthers players were selected to the Pro Bowl?</t>
  </si>
  <si>
    <t>Lucas–Lehmer test</t>
  </si>
  <si>
    <t>What caused the delay during the development of the AC motor.</t>
  </si>
  <si>
    <t>Neil Shubin and Paul Sereno</t>
  </si>
  <si>
    <t>Where was the 1857 riot?</t>
  </si>
  <si>
    <t>Christmas Day</t>
  </si>
  <si>
    <t>Innate</t>
  </si>
  <si>
    <t>What type of degree must a teacher have, at a minimum?</t>
  </si>
  <si>
    <t>In the effort of maintaining a level of abstraction, what choice is typically left independent?</t>
  </si>
  <si>
    <t>uncivilized</t>
  </si>
  <si>
    <t>Americans</t>
  </si>
  <si>
    <t>mesophyll</t>
  </si>
  <si>
    <t>The formal language associated with this decision problem</t>
  </si>
  <si>
    <t>receptor diversity</t>
  </si>
  <si>
    <t>validated the Service Module engine and the Command Module heat shield.</t>
  </si>
  <si>
    <t>What was result of French attack of trading centre?</t>
  </si>
  <si>
    <t>What was the digitization project called?</t>
  </si>
  <si>
    <t>Dolby Digital</t>
  </si>
  <si>
    <t>What language is used in Chinese primary schools in Malaysia?</t>
  </si>
  <si>
    <t>less than $1.25</t>
  </si>
  <si>
    <t>significant new evidence or events that change our understanding of climate science</t>
  </si>
  <si>
    <t>What types of programs help to redistribute wealth?</t>
  </si>
  <si>
    <t>In the case Geven v Land Nordrhein-Westfalen, how many hours was the Dutch woman in question working in Germany?</t>
  </si>
  <si>
    <t>residents willing to pay higher market rate for housing</t>
  </si>
  <si>
    <t>Regenstein Library</t>
  </si>
  <si>
    <t>What did higher material living standards lead to for most of human history?</t>
  </si>
  <si>
    <t>greater steam pressure and more power</t>
  </si>
  <si>
    <t>temperatures and sea levels have been rising at or above the maximum rates proposed</t>
  </si>
  <si>
    <t>What was normal British defense?</t>
  </si>
  <si>
    <t>What effort was Luther not particularly in favor of?</t>
  </si>
  <si>
    <t>its North American provinces</t>
  </si>
  <si>
    <t>Western governments considered Islamists to be the lesser of two evils when compared to whom?</t>
  </si>
  <si>
    <t>academy</t>
  </si>
  <si>
    <t>Where is 97% of the population located?</t>
  </si>
  <si>
    <t>The earliest Doctor Who-related audio release was a 21-minute narrated abridgement of the First Doctor television story The Chase released in 1966. Ten years later, the first original Doctor Who audio was released on LP record; Doctor Who and the Pescatons featuring the Fourth Doctor. The first commercially available audiobook was an abridged reading of the Fourth Doctor story State of Decay in 1981. In 1988, during a hiatus in the television show, Slipback, the first radio drama, was transmitted.</t>
  </si>
  <si>
    <t>current Subject Committees</t>
  </si>
  <si>
    <t>scariest TV show of all time</t>
  </si>
  <si>
    <t>paintings</t>
  </si>
  <si>
    <t>ABC Television Center, East</t>
  </si>
  <si>
    <t>politically and socially unstable</t>
  </si>
  <si>
    <t>Each year, the southern California area has about 10,000 earthquakes. Nearly all of them are so small that they are not felt. Only several hundred are greater than magnitude 3.0, and only about 15–20 are greater than magnitude 4.0. The magnitude 6.7 1994 Northridge earthquake was particularly destructive, causing a substantial number of deaths, injuries, and structural collapses. It caused the most property damage of any earthquake in U.S. history, estimated at over $20 billion.</t>
  </si>
  <si>
    <t>220 miles (350 km)</t>
  </si>
  <si>
    <t>decline of organized labor</t>
  </si>
  <si>
    <t>What type of skills does the market bid up compensation for?</t>
  </si>
  <si>
    <t>Mojave Desert</t>
  </si>
  <si>
    <t>The Moon landing data was recorded by a special Apollo TV camera which recorded in a format incompatible with broadcast TV. This resulted in lunar footage that had to be converted for the live television broadcast and stored on magnetic telemetry tapes. During the following years, a magnetic tape shortage prompted NASA to remove massive numbers of magnetic tapes from the National Archives and Records Administration to be recorded over with newer satellite data. Stan Lebar, who led the team that designed and built the lunar television camera at Westinghouse Electric Corporation, also worked with Nafzger to try to locate the missing tapes.</t>
  </si>
  <si>
    <t>Many questions regarding prime numbers remain open, such as Goldbach's conjecture (that every even integer greater than 2 can be expressed as the sum of two primes), and the twin prime conjecture (that there are infinitely many pairs of primes whose difference is 2). Such questions spurred the development of various branches of number theory, focusing on analytic or algebraic aspects of numbers. Primes are used in several routines in information technology, such as public-key cryptography, which makes use of properties such as the difficulty of factoring large numbers into their prime factors. Prime numbers give rise to various generalizations in other mathematical domains, mainly algebra, such as prime elements and prime ideals.</t>
  </si>
  <si>
    <t>the world's water bodies</t>
  </si>
  <si>
    <t>Aristotle</t>
  </si>
  <si>
    <t>Famous musicians</t>
  </si>
  <si>
    <t>What branch of theoretical computer science deals with broadly classifying computational problems by difficulty and class of relationship?</t>
  </si>
  <si>
    <t>Compared to other causes, the effect of trade on inequality in America is what?</t>
  </si>
  <si>
    <t>What responses protect the lungs by mechanically ejecting pathogens from the respiratory system?</t>
  </si>
  <si>
    <t>What is the logic behind the cicadas prime number evolutionary strategy?</t>
  </si>
  <si>
    <t>a sheath into which it can be withdrawn</t>
  </si>
  <si>
    <t>How many types of science fiction have been impacted by Tesla?</t>
  </si>
  <si>
    <t>singularly, attached directly to their parent thylakoid</t>
  </si>
  <si>
    <t>After the revocation of the Edict of Nantes, the Dutch Republic received the largest group of Huguenot refugees, an estimated total of 75,000 to 100,000 people. Amongst them were 200 clergy. Many came from the region of the Cévennes, for instance, the village of Fraissinet-de-Lozère. This was a huge influx as the entire population of the Dutch Republic amounted to ca. 2 million at that time. Around 1700, it is estimated that nearly 25% of the Amsterdam population was Huguenot.[citation needed] In 1705, Amsterdam and the area of West Frisia were the first areas to provide full citizens rights to Huguenot immigrants, followed by the Dutch Republic in 1715. Huguenots intermarried with Dutch from the outset.</t>
  </si>
  <si>
    <t>Barnett Center</t>
  </si>
  <si>
    <t>$465 million</t>
  </si>
  <si>
    <t>the Seventh Doctor</t>
  </si>
  <si>
    <t>By the opening of the 2008 General Conference, total UMC membership was estimated at 11.4 million, with about 7.9 million in the U.S. and 3.5 million overseas. Significantly, about 20% of the conference delegates were from Africa, with Filipinos and Europeans making up another 10%. During the conference, the delegates voted to finalize the induction of the Methodist Church of the Ivory Coast and its 700,000 members into the denomination. Given current trends in the UMC—with overseas churches growing, especially in Africa, and U.S. churches collectively losing about 1,000 members a week—it has been estimated that Africans will make up at least 30% of the delegates at the 2012 General Conference, and it is also possible that 40% of the delegates will be from outside the U.S. One Congolese bishop has estimated that typical Sunday attendance of the UMC is higher in his country than in the entire United States.</t>
  </si>
  <si>
    <t>individual states and territories</t>
  </si>
  <si>
    <t>nature of the Eucharist</t>
  </si>
  <si>
    <t>The Court of Justice of the European Union can interpret the Treaties</t>
  </si>
  <si>
    <t>What cultures were part of Kublai's administration?</t>
  </si>
  <si>
    <t>What type of combustible materials were considered to have little philogiston?</t>
  </si>
  <si>
    <t>What is the escape of the steam unlikely to accomplish in all but the smallest boilers?</t>
  </si>
  <si>
    <t>What organization predicted that the Amazon forest could survive only three years of drought?</t>
  </si>
  <si>
    <t>What are the only states where ABC doesn't have a licensed affiliate?</t>
  </si>
  <si>
    <t>electrostatic force (due to the electric field) and the magnetic force</t>
  </si>
  <si>
    <t>How many coordinating lead authors does an IPCC report chapter have?</t>
  </si>
  <si>
    <t>domestic legislation of the Scottish Parliament.</t>
  </si>
  <si>
    <t>What engines were used throughout most of the 20th century to propel ships?</t>
  </si>
  <si>
    <t>laboratory</t>
  </si>
  <si>
    <t>What is the name of the first Doctor Who serial?</t>
  </si>
  <si>
    <t>Past faculty have also included Egyptologist James Henry Breasted, mathematician Alberto Calderón, Nobel prize winning economist and classical liberalism defender Friedrich Hayek, meteorologist Ted Fujita, chemists Glenn T. Seaborg, the developer of the actinide concept and Nobel Prize winner Yuan T. Lee, Nobel Prize winning novelist Saul Bellow, political philosopher and author Allan Bloom, cancer researchers Charles Brenton Huggins and Janet Rowley, astronomer Gerard Kuiper, one of the most important figures in the early development of the discipline of linguistics Edward Sapir, and the founder of McKinsey &amp; Co., James O. McKinsey.</t>
  </si>
  <si>
    <t>macrophysical considerations that yield forces as arising from a macroscopic statistical average of microstates</t>
  </si>
  <si>
    <t>, Albert of Mainz</t>
  </si>
  <si>
    <t>In an interview with newspaper editor Arthur Brisbane, Tesla said that he did not believe in telepathy, stating, "Suppose I made up my mind to murder you," he said, "In a second you would know it. Now, isn't that wonderful? By what process does the mind get at all this?" In the same interview, Tesla said that he believed that all fundamental laws could be reduced to one.</t>
  </si>
  <si>
    <t>anti-aircraft purposes</t>
  </si>
  <si>
    <t>two-phased system</t>
  </si>
  <si>
    <t>Where are nearly all teachers taught?</t>
  </si>
  <si>
    <t>14th to 17th centuries</t>
  </si>
  <si>
    <t>semantical problems and grammatical niceties</t>
  </si>
  <si>
    <t>What church is located at the corner of 4th and New Streets in Philadelphia?</t>
  </si>
  <si>
    <t>In addition to a new body, what else changes about the Doctor?</t>
  </si>
  <si>
    <t>The next major step occurred when James Watt developed (1763–1775) an improved version of Newcomen's engine, with a separate condenser. Boulton and Watt's early engines used half as much coal as John Smeaton's improved version of Newcomen's. Newcomen's and Watt's early engines were "atmospheric". They were powered by air pressure pushing a piston into the partial vacuum generated by condensing steam, instead of the pressure of expanding steam. The engine cylinders had to be large because the only usable force acting on them was due to atmospheric pressure.</t>
  </si>
  <si>
    <t>Which entity is the secondary legislative body?</t>
  </si>
  <si>
    <t>complexity</t>
  </si>
  <si>
    <t>What is the name of the gallery devoted to Chinese art?</t>
  </si>
  <si>
    <t>What was increased in November 2011?</t>
  </si>
  <si>
    <t>idealized point particles rather than three-dimensional objects</t>
  </si>
  <si>
    <t>Euclid's fundamental theorem of arithmetic</t>
  </si>
  <si>
    <t>one ninth</t>
  </si>
  <si>
    <t>quiescent</t>
  </si>
  <si>
    <t>The system is currently undergoing a period of refurbishment and modernization, entitled 'Metro: All Change.' The programme has replaced all ticket machines and introduced ticket gates at the busiest stations - part of the transition to smart ticketing. All Metro trains are being completely refurbished and most stations are undergoing improvement works (or in some cases complete reconstruction, for example North Shields). In addition; tracks, signalling and overhead wires are also being overhauled. Longer term plans include the procurement of an entirely new fleet of trains and further extensions to the system. Proposed routes include to Newcastle's west end, to the Cobalt business park in North Tyneside, to the Metrocentre in Gateshead and to additional locations in Gateshead, South Tyneside and Sunderland. Several of the proposed routes would require trams as opposed to the current light rail trains.</t>
  </si>
  <si>
    <t>What did the new mass allow as regards ceremony?</t>
  </si>
  <si>
    <t>occupational burnout</t>
  </si>
  <si>
    <t>What did Newcastle University win in 2000?</t>
  </si>
  <si>
    <t>Temüjin had three brothers named Hasar, Hachiun, and Temüge, and one sister named Temülen, as well as two half-brothers named Begter and Belgutei. Like many of the nomads of Mongolia, Temüjin's early life was difficult. His father arranged a marriage for him, and at nine years of age he was delivered by his father to the family of his future wife Börte, who was a member of the tribe Khongirad. Temüjin was to live there in service to Dai Setsen, the head of the new household, until he reached the marriageable age of 12.</t>
  </si>
  <si>
    <t>What is a simple form of civil disobedience?</t>
  </si>
  <si>
    <t>Who did Luther strike out against in later years?</t>
  </si>
  <si>
    <t>What attribute of humans interfered with nature's ruthlessness in Tesla's opinion?</t>
  </si>
  <si>
    <t>In 1983, ABC sold KXYZ to the Infinity Broadcasting Corporation. On January 4, 1984, The New York Times reported that ABC, through its subsidiary ABC Video Enterprises, had exercised its option to purchase up to 15% (or between $25 million and $30 million) of Getty Oil's shares in ESPN, which would allow it to expand its shares at a later date. In June 1984, ABC's executive committee approved the company's interest acquisition in ESPN, and ABC arranged with Getty Oil to obtain an 80% stake in the channel, while selling the remaining 20% to Nabisco. That year, ABC and Hearst reached an agreement with RCA to merge ARTS and competing arts service, The Entertainment Channel, into a single cable channel called Arts &amp; Entertainment Television (A&amp;E); the new channel subsequently leased a separate satellite transponder, ending its sharing agreement with Nickelodeon to become a 24-hour service. Meanwhile, ABC withdrew from the theme park business for good when it sold the Silver Springs Nature Theme Park.</t>
  </si>
  <si>
    <t>The house of the Baryczko merchant family is a notable example of what type of architecture?</t>
  </si>
  <si>
    <t>What part of France were the Normans located?</t>
  </si>
  <si>
    <t>What one point was not agreed on that was dear to Luther?</t>
  </si>
  <si>
    <t>reduced wages</t>
  </si>
  <si>
    <t>The Daily Mail newspaper reported in 2012 that the UK government's benefits agency was checking claimants' "Sky TV bills to establish if a woman in receipt of benefits as a single mother is wrongly claiming to be living alone" – as, it claimed, subscription to sports channels would betray a man's presence in the household. In December, the UK’s parliament heard a claim that a subscription to BSkyB was ‘often damaging’, along with alcohol, tobacco and gambling. Conservative MP Alec Shelbrooke was proposing the payments of benefits and tax credits on a "Welfare Cash Card", in the style of the Supplemental Nutrition Assistance Program, that could be used to buy only "essentials".</t>
  </si>
  <si>
    <t>false assurances.</t>
  </si>
  <si>
    <t>How many buildings were razed by the Jacksonville fire?</t>
  </si>
  <si>
    <t>What field of computer science analyzes the resource requirements of a specific algorithm isolated unto itself within a given problem?</t>
  </si>
  <si>
    <t>What are cestida called?</t>
  </si>
  <si>
    <t>preventable financial problems</t>
  </si>
  <si>
    <t>anti-democratic Islamist movements</t>
  </si>
  <si>
    <t>Which areas were least vulnerable to disease?</t>
  </si>
  <si>
    <t>around 5 million</t>
  </si>
  <si>
    <t>its use of violence</t>
  </si>
  <si>
    <t>Why was AC electricity gaining popularity?</t>
  </si>
  <si>
    <t>C3 angiosperms</t>
  </si>
  <si>
    <t>cylinders and valve gear</t>
  </si>
  <si>
    <t>What was the BBC hoping that an independent production firm would do for Doctor Who?</t>
  </si>
  <si>
    <t>Who designed the  Möllendorff Dinner Service?</t>
  </si>
  <si>
    <t>a flour mill</t>
  </si>
  <si>
    <t>What ABC division handles domestic television distribution?</t>
  </si>
  <si>
    <t>to destroy invading microbes</t>
  </si>
  <si>
    <t>Mayor W. Haydon Burns</t>
  </si>
  <si>
    <t>a balance between different viewpoints and political parties</t>
  </si>
  <si>
    <t>What was the result of the 1967 referendum?</t>
  </si>
  <si>
    <t>What other health issues did Luther have?</t>
  </si>
  <si>
    <t>governments merged to create the Consolidated City of Jacksonville</t>
  </si>
  <si>
    <t>What physical condition can acute oxygen toxicity cause?</t>
  </si>
  <si>
    <t>The service started on 1 September 1993 based on the idea from the then chief executive officer, Sam Chisholm and Rupert Murdoch, of converting the company business strategy to an entirely fee-based concept. The new package included four channels formerly available free-to-air, broadcasting on Astra's satellites, as well as introducing new channels. The service continued until the closure of BSkyB's analogue service on 27 September 2001, due to the launch and expansion of the Sky Digital platform. Some of the channels did broadcast either in the clear or soft encrypted (whereby a Videocrypt decoder was required to decode, without a subscription card) prior to their addition to the Sky Multichannels package. Within two months of the launch, BSkyB gained 400,000 new subscribers, with the majority taking at least one premium channel as well, which helped BSkyB reach 3.5 million households by mid-1994. Michael Grade criticized the operations in front of the Select Committee on National Heritage, mainly for the lack of original programming on many of the new channels.</t>
  </si>
  <si>
    <t>American delegation from the Paris Peace Conference</t>
  </si>
  <si>
    <t>Elders</t>
  </si>
  <si>
    <t>Sky UK Limited (formerly British Sky Broadcasting or BSkyB) is a British telecommunications company which serves the United Kingdom. Sky provides television and broadband internet services and fixed line telephone services to consumers and businesses in the United Kingdom. It is the UK's largest pay-TV broadcaster with 11 million customers as of 2015. It was the UK's most popular digital TV service until it was overtaken by Freeview in April 2007. Its corporate headquarters are based in Isleworth.</t>
  </si>
  <si>
    <t>various locations throughout the world</t>
  </si>
  <si>
    <t>critical</t>
  </si>
  <si>
    <t>civil servants</t>
  </si>
  <si>
    <t>steal the invention</t>
  </si>
  <si>
    <t>How is oxygen ranked as abundant in the universe?</t>
  </si>
  <si>
    <t>How many of the four field goal attempts did McManus succeed at during SUper Bowl 50?</t>
  </si>
  <si>
    <t>spontaneous combustion</t>
  </si>
  <si>
    <t>rent-seeking</t>
  </si>
  <si>
    <t>What is a genuine love of God with heart, soul and mind?</t>
  </si>
  <si>
    <t>What was the Henry Cole Wing previously called?</t>
  </si>
  <si>
    <t>tropical</t>
  </si>
  <si>
    <t>What type of conservation effort is gaining attention in the Amazon?</t>
  </si>
  <si>
    <t>A function problem</t>
  </si>
  <si>
    <t>dendritic cells, keratinocytes and macrophages</t>
  </si>
  <si>
    <t>conflict between France and Great Britain</t>
  </si>
  <si>
    <t>to national networks</t>
  </si>
  <si>
    <t>it developed into a major part of the Internet backbone</t>
  </si>
  <si>
    <t>Who is the patron saint of the Huguenots?</t>
  </si>
  <si>
    <t>the incandescent light bulb</t>
  </si>
  <si>
    <t>public high schools lost their accreditation</t>
  </si>
  <si>
    <t>Walt Disney Presents</t>
  </si>
  <si>
    <t>The motto of the Muslim Brotherhood specifies what as being their constitution?</t>
  </si>
  <si>
    <t>some teachers and parents advocate</t>
  </si>
  <si>
    <t>unity of God</t>
  </si>
  <si>
    <t>proposing that action be taken</t>
  </si>
  <si>
    <t>Since 7500 yr ago, a situation with tides and currents, very similar to present has existed. Rates of sea-level rise had dropped so far, that natural sedimentation by the Rhine and coastal processes together, could compensate the transgression by the sea; in the last 7000 years, the coast line was roughly at the same location. In the southern North Sea, due to ongoing tectonic subsidence, the sea level is still rising, at the rate of about 1–3 cm (0.39–1.18 in) per century (1 metre or 39 inches in last 3000 years).</t>
  </si>
  <si>
    <t>I do not think myself obliged to obey</t>
  </si>
  <si>
    <t>primary school</t>
  </si>
  <si>
    <t>small numbers of settlers</t>
  </si>
  <si>
    <t>What is Thomas B. Edsall's profession?</t>
  </si>
  <si>
    <t>state of mind</t>
  </si>
  <si>
    <t>France, Argentina, the United Kingdom, Belgium, Ireland, Italy, Spain, and India</t>
  </si>
  <si>
    <t>the geographical area it covers</t>
  </si>
  <si>
    <t>23–16</t>
  </si>
  <si>
    <t>unidirectional force</t>
  </si>
  <si>
    <t>He produced artificial lightning, with discharges consisting of millions of volts and up to 135 feet long. Thunder from the released energy was heard 15 miles away in Cripple Creek, Colorado. People walking along the street observed sparks jumping between their feet and the ground. Sparks sprang from water line taps when touched. Light bulbs within 100 feet of the lab glowed even when turned off. Horses in a livery stable bolted from their stalls after receiving shocks through their metal shoes. Butterflies were electrified, swirling in circles with blue halos of St. Elmo's fire around their wings.</t>
  </si>
  <si>
    <t>solidarity tactics</t>
  </si>
  <si>
    <t>closed system of particles</t>
  </si>
  <si>
    <t>For what reason would someone avoid crimes while protesting?</t>
  </si>
  <si>
    <t>When do treaties apply?</t>
  </si>
  <si>
    <t>the movements of nature, movements of free and unequal durations</t>
  </si>
  <si>
    <t>1995–96 season</t>
  </si>
  <si>
    <t>China</t>
  </si>
  <si>
    <t>What is needed to make combustion happen?</t>
  </si>
  <si>
    <t>presidential representative democratic republic</t>
  </si>
  <si>
    <t>in agriculture</t>
  </si>
  <si>
    <t>better relevant income</t>
  </si>
  <si>
    <t>How big were his artificial bolts?</t>
  </si>
  <si>
    <t>knowledge or skills</t>
  </si>
  <si>
    <t>What was the average cost for a 30 second commercial during Super Bowl 50?</t>
  </si>
  <si>
    <t>In schools using popularly based authority, what is public order like?</t>
  </si>
  <si>
    <t>What does the beroida have instead of feeding appendages?</t>
  </si>
  <si>
    <t>high rates</t>
  </si>
  <si>
    <t>contrasts</t>
  </si>
  <si>
    <t>What was the last Doctor Who episode that Dudley Simpson wrote music for?</t>
  </si>
  <si>
    <t>Which actions by EU institutions can be subject to judicial review?</t>
  </si>
  <si>
    <t>What element is found in most organic organisms?</t>
  </si>
  <si>
    <t>The 17th century Royal Ujazdów Castle currently houses Centre for Contemporary Art, with some permanent and temporary exhibitions, concerts, shows and creative workshops. The Centre currently realizes about 500 projects a year. Zachęta National Gallery of Art, the oldest exhibition site in Warsaw, with a tradition stretching back to the mid-19th century organises exhibitions of modern art by Polish and international artists and promotes art in many other ways. Since 2011 Warsaw Gallery Weekend is held on last weekend of September.</t>
  </si>
  <si>
    <t>Why do stromules exist?</t>
  </si>
  <si>
    <t>temperatures and sea levels have been rising at or above the maximum rates</t>
  </si>
  <si>
    <t>What aspects of life does Islamism seek to integrate itself into?</t>
  </si>
  <si>
    <t>What animals may have been stampeded over Genghis Khan's grave site?</t>
  </si>
  <si>
    <t>light reactions</t>
  </si>
  <si>
    <t>person or group of people</t>
  </si>
  <si>
    <t>the Museum of the Moving Image</t>
  </si>
  <si>
    <t>ozone layer</t>
  </si>
  <si>
    <t>What is the youngest student a teacher might have?</t>
  </si>
  <si>
    <t>Super_Bowl_50</t>
  </si>
  <si>
    <t>How can any knot be distinctively indicated?</t>
  </si>
  <si>
    <t>When is the earliest Britain had an imperialist policy?</t>
  </si>
  <si>
    <t>What kind of light is inadequate for chloroplasts to divide?</t>
  </si>
  <si>
    <t>In 1874, Tesla evaded being drafted into the Austro-Hungarian Army in Smiljan by running away to Tomingaj, near Gračac. There, he explored the mountains in hunter's garb. Tesla said that this contact with nature made him stronger, both physically and mentally. He read many books while in Tomingaj, and later said that Mark Twain's works had helped him to miraculously recover from his earlier illness.</t>
  </si>
  <si>
    <t>seven</t>
  </si>
  <si>
    <t>10 years</t>
  </si>
  <si>
    <t>Other than the 1980s, in which decade did most of San Bernardino and Riverside Counties develop?</t>
  </si>
  <si>
    <t>Athens in 430 BC</t>
  </si>
  <si>
    <t>Vosges Mountains,</t>
  </si>
  <si>
    <t>$60,000 in cash and stock and a royalty of $2.50 per AC horsepower produced by each motor</t>
  </si>
  <si>
    <t>Torah</t>
  </si>
  <si>
    <t>wireless</t>
  </si>
  <si>
    <t>The Swahili built Mombasa into a major port city and established trade links with other nearby city-states, as well as commercial centres in Persia, Arabia, and even India. By the 15th-century, Portuguese voyager Duarte Barbosa claimed that "Mombasa is a place of great traffic and has a good harbour in which there are always moored small craft of many kinds and also great ships, both of which are bound from Sofala and others which come from Cambay and Melinde and others which sail to the island of Zanzibar."</t>
  </si>
  <si>
    <t>What type/genre of TV show is Doctor Who?</t>
  </si>
  <si>
    <t xml:space="preserve">How many people, at most, have died of plague in Baghdad? </t>
  </si>
  <si>
    <t>What shows were released on Laserdisc?</t>
  </si>
  <si>
    <t>Executive Vice President of Football Operations and General Manager.</t>
  </si>
  <si>
    <t>Whose puppet did Islamists accuse the Saudi regime of being?</t>
  </si>
  <si>
    <t>However, this definition is disputed by Thoreau's political philosophy pitching the conscience vs. the collective. The individual is the final judge of right and wrong. More than this, since only individuals act, only individuals can act unjustly. When the government knocks on the door, it is an individual in the form of a postman or tax collector whose hand hits the wood. Before Thoreau’s imprisonment, when a confused taxman had wondered aloud about how to handle his refusal to pay, Thoreau had advised, “Resign.” If a man chose to be an agent of injustice, then Thoreau insisted on confronting him with the fact that he was making a choice. But if government is “the voice of the people,” as it is often called, shouldn’t that voice be heeded? Thoreau admits that government may express the will of the majority but it may also express nothing more than the will of elite politicians. Even a good form of government is “liable to be abused and perverted before the people can act through it.” Moreover, even if a government did express the voice of the people, this fact would not compel the obedience of individuals who disagree with what is being said. The majority may be powerful but it is not necessarily right. What, then, is the proper relationship between the individual and the government?</t>
  </si>
  <si>
    <t>solidarity</t>
  </si>
  <si>
    <t>What is the civil disobedience called where people refuse to be released?</t>
  </si>
  <si>
    <t>sequenced delivery of data</t>
  </si>
  <si>
    <t>How long was Warsaw the capital of the Polish-Lithuanian Commonwealth?</t>
  </si>
  <si>
    <t>two thousand people</t>
  </si>
  <si>
    <t>How do chloroplasts reproduce?</t>
  </si>
  <si>
    <t>The Social Chapter is a chapter of the 1997 Treaty of Amsterdam covering social policy issues in European Union law. The basis for the Social Chapter was developed in 1989 by the "social partners" representatives, namely UNICE, the employers' confederation, the European Trade Union Confederation (ETUC) and CEEP, the European Centre of Public Enterprises. A toned down version was adopted as the Social Charter at the 1989 Strasbourg European Council. The Social Charter declares 30 general principles, including on fair remuneration of employment, health and safety at work, rights of disabled and elderly, the rights of workers, on vocational training and improvements of living conditions. The Social Charter became the basis for European Community legislation on these issues in 40 pieces of legislation.</t>
  </si>
  <si>
    <t>immune surveillance</t>
  </si>
  <si>
    <t>all who are truly believers in every age belong to the holy Church invisible, while the United Methodist Church is a branch of the Church visible,</t>
  </si>
  <si>
    <t>On May 3, 1901, downtown Jacksonville was ravaged by a fire that started as a kitchen fire. Spanish moss at a nearby mattress factory was quickly engulfed in flames and enabling the fire to spread rapidly. In just eight hours, it swept through 146 city blocks, destroyed over 2,000 buildings, left about 10,000 homeless and killed 7 residents. The Confederate Monument in Hemming Park was one of the only landmarks to survive the fire. Governor Jennings declare martial law and sent the state militia to maintain order. On May 17 municipal authority resumed in Jacksonville. It is said the glow from the flames could be seen in Savannah, Georgia, and the smoke plumes seen in Raleigh, North Carolina. Known as the "Great Fire of 1901", it was one of the worst disasters in Florida history and the largest urban fire in the southeastern United States. Architect Henry John Klutho was a primary figure in the reconstruction of the city. The first multi-story structure built by Klutho was the Dyal-Upchurch Building in 1902. The St. James Building, built on the previous site of the St. James Hotel that burned down, was built in 1912 as Klutho's crowning achievement.</t>
  </si>
  <si>
    <t>a First Minister</t>
  </si>
  <si>
    <t xml:space="preserve"> J. A. Hobson wanted which races to develop the world?</t>
  </si>
  <si>
    <t>How many times did the Denver defense force Newton into turnovers?</t>
  </si>
  <si>
    <t>Where does Luther place Salvation?</t>
  </si>
  <si>
    <t>good, clear laws</t>
  </si>
  <si>
    <t>When a commission reached no decision, what happened?</t>
  </si>
  <si>
    <t>Conservative Party</t>
  </si>
  <si>
    <t>not be directly connected to ARPANET</t>
  </si>
  <si>
    <t>What sacrament accords Christians renewed life?</t>
  </si>
  <si>
    <t>Seven Stories</t>
  </si>
  <si>
    <t>Archbishop Albrecht of Mainz and Magdeburg did not reply to Luther's letter containing the 95 Theses. He had the theses checked for heresy and in December 1517 forwarded them to Rome. He needed the revenue from the indulgences to pay off a papal dispensation for his tenure of more than one bishopric. As Luther later noted, "the pope had a finger in the pie as well, because one half was to go to the building of St Peter's Church in Rome".</t>
  </si>
  <si>
    <t xml:space="preserve">What did vBNS do </t>
  </si>
  <si>
    <t>best, worst and average case</t>
  </si>
  <si>
    <t>What issues do member states say the Court of Justice does not have the final say on?</t>
  </si>
  <si>
    <t>What event did Storch and Muntzer help instigate?</t>
  </si>
  <si>
    <t>1,320 kilometres</t>
  </si>
  <si>
    <t>the pre-Columbian era</t>
  </si>
  <si>
    <t>by technique</t>
  </si>
  <si>
    <t>violent economic and political shocks</t>
  </si>
  <si>
    <t>720 feet</t>
  </si>
  <si>
    <t>What individuals were responsible for authoring "On the Computational Complexity of Algorithms"?</t>
  </si>
  <si>
    <t>What ruler, besides John of Saxony and Philip of Hesse, formed the Schmalkaldic League?</t>
  </si>
  <si>
    <t>How many NFL teams have had only one loss by the end of a regular season?</t>
  </si>
  <si>
    <t>the next day:</t>
  </si>
  <si>
    <t>The "Hugues hypothesis"</t>
  </si>
  <si>
    <t>manually suppress the fire</t>
  </si>
  <si>
    <t>In 1227, Genghis Khan's army attacked and destroyed the Tangut capital of Ning Hia and continued to advance, seizing Lintiao-fu, Xining province, Xindu-fu, and Deshun province in quick succession in the spring. At Deshun, the Tangut general Ma Jianlong put up a fierce resistance for several days and personally led charges against the invaders outside the city gate. Ma Jianlong later died from wounds received from arrows in battle. Genghis Khan, after conquering Deshun, went to Liupanshan (Qingshui County, Gansu Province) to escape the severe summer. The new Tangut emperor quickly surrendered to the Mongols, and the rest of the Tanguts officially surrendered soon after. Not happy with their betrayal and resistance, Genghis Khan ordered the entire imperial family to be executed, effectively ending the Tangut lineage.</t>
  </si>
  <si>
    <t>Kenya has proven deposits of oil in Turkana and the commercial viability was just discovered. Tullow Oil estimates Kenya's oil reserves to be around 10 billion barrels. Exploration is still continuing to determine if there are more reserves. Kenya currently imports all crude petroleum requirements. Kenya, east Africa's largest economy, has no strategic reserves and relies solely on oil marketers' 21-day oil reserves required under industry regulations. Petroleum accounts for 20% to 25% of the national import bill.</t>
  </si>
  <si>
    <t>attorney</t>
  </si>
  <si>
    <t>Where were non-condensing direct-drive locomotives notably used for fast passenger trains?</t>
  </si>
  <si>
    <t>With International Criminal Court trial dates in 2013 for both President Kenyatta and Deputy President William Ruto related to the 2007 election aftermath, US President Barack Obama chose not to visit the country during his mid-2013 African trip. Later in the summer, Kenyatta visited China at the invitation of President Xi Jinping after a stop in Russia and not having visited the United States as president. In July 2015 Obama visited Kenya, as the first American president to visit the country while in office.</t>
  </si>
  <si>
    <t>two public agencies, especially two equally sovereign branches of government, conflict</t>
  </si>
  <si>
    <t>OC-48c</t>
  </si>
  <si>
    <t>flammable</t>
  </si>
  <si>
    <t>The simplest valve gears give events of fixed length during the engine cycle and often make the engine rotate in only one direction. Most however have a reversing mechanism which additionally can provide means for saving steam as speed and momentum are gained by gradually "shortening the cutoff" or rather, shortening the admission event; this in turn proportionately lengthens the expansion period. However, as one and the same valve usually controls both steam flows, a short cutoff at admission adversely affects the exhaust and compression periods which should ideally always be kept fairly constant; if the exhaust event is too brief, the totality of the exhaust steam cannot evacuate the cylinder, choking it and giving excessive compression ("kick back").[citation needed]</t>
  </si>
  <si>
    <t>The 1973 oil crisis began in October 1973 when the members of the Organization of Arab Petroleum Exporting Countries (OAPEC, consisting of the Arab members of OPEC plus Egypt and Syria) proclaimed an oil embargo. By the end of the embargo in March 1974, the price of oil had risen from US$3 per barrel to nearly $12 globally; US prices were significantly higher. The embargo caused an oil crisis, or "shock", with many short- and long-term effects on global politics and the global economy. It was later called the "first oil shock", followed by the 1979 oil crisis, termed the "second oil shock."</t>
  </si>
  <si>
    <t>the Dutch Republic</t>
  </si>
  <si>
    <t>open loop</t>
  </si>
  <si>
    <t>the late 1340s</t>
  </si>
  <si>
    <t>How many granal thylakoids are usually in each granum?</t>
  </si>
  <si>
    <t>What is restrained with a lever in the top of a boiler?</t>
  </si>
  <si>
    <t>allocution</t>
  </si>
  <si>
    <t>Cabot Science Library, Lamont Library, and Widener Library</t>
  </si>
  <si>
    <t>refusing to make a commitment on America's response</t>
  </si>
  <si>
    <t>Among the few bright spots during this season were the midseason crime dramedy Castle as well as the success of two family sitcoms that anchored the network's revamped Wednesday comedy lineup, The Middle and Modern Family, the latter of which was both a critical and commercial success. Shark Tank (based on the Dragon's Den reality format) also became a midseason sleeper hit on Sundays in the spring of 2010; the following season, it became the tentpole of the network's Friday night schedule, gradually helping make ABC a strong competitor (after being paired with 20/20 and beginning with the 2012–13 season, the Tim Allen sitcom Last Man Standing) against CBS' long-dominant drama/reality lineup on that night for the first time since the "TGIF" lineup ended in 2000.</t>
  </si>
  <si>
    <t>School corporal punishment</t>
  </si>
  <si>
    <t>helmeted honeyeater</t>
  </si>
  <si>
    <t>Novgorod and Pskov</t>
  </si>
  <si>
    <t>What did the NIF try to unify Islamist opposition against?</t>
  </si>
  <si>
    <t>What is the AFC short for?</t>
  </si>
  <si>
    <t>What did Tesla's device work from the output of?</t>
  </si>
  <si>
    <t>complexity resources</t>
  </si>
  <si>
    <t>macrophages and lymphocytes</t>
  </si>
  <si>
    <t>a draftsman</t>
  </si>
  <si>
    <t>During the ITV network strike of 1979, viewership peaked at 16 million.[citation needed] Figures remained respectable into the 1980s, but fell noticeably after the programme's 23rd series was postponed in 1985 and the show was off the air for 18 months. Its late 1980s performance of three to five million viewers was seen as poor at the time and was, according to the BBC Board of Control, a leading cause of the programme's 1989 suspension. Some fans considered this disingenuous, since the programme was scheduled against the soap opera Coronation Street, the most popular show at the time. After the series' revival in 2005 (the third notable period of high ratings), it has consistently had high viewership levels for the evening on which the episode is broadcast.</t>
  </si>
  <si>
    <t>Whilst the permanent building at Holyrood was being constructed, the Parliament's temporary home was the General Assembly Hall of the Church of Scotland on the Royal Mile in Edinburgh. Official photographs and television interviews were held in the courtyard adjoining the Assembly Hall, which is part of the School of Divinity of the University of Edinburgh. This building was vacated twice to allow for the meeting of the Church's General Assembly. In May 2000, the Parliament was temporarily relocated to the former Strathclyde Regional Council debating chamber in Glasgow, and to the University of Aberdeen in May 2002.</t>
  </si>
  <si>
    <t>How did the education during the high school education movement differ from the subsequent high school education?</t>
  </si>
  <si>
    <t>What were Tesla's mother's special abilities?</t>
  </si>
  <si>
    <t>Why were the initial suggestions for a devolved parliament before 1914 shelved?</t>
  </si>
  <si>
    <t>WABC-TV and Philadelphia O&amp;O WPVI-TV</t>
  </si>
  <si>
    <t xml:space="preserve">What was the goal of the system </t>
  </si>
  <si>
    <t>The delay in the CSM caused by the fire enabled NASA to catch up on man-rating the LM and Saturn V. Apollo 4 (AS-501) was the first unmanned flight of the Saturn V, carrying a Block I CSM on November 9, 1967. The capability of the Command Module's heat shield to survive a trans-lunar reentry was demonstrated by using the Service Module engine to ram it into the atmosphere at higher than the usual Earth-orbital reentry speed. This was followed on April 4, 1968, by Apollo 6 (AS-502) which carried a CSM and a LM Test Article as ballast. The intent of this mission was to achieve trans-lunar injection, followed closely by a simulated direct-return abort, using the Service Module engine to achieve another high-speed reentry. The Saturn V experienced pogo oscillation, a problem caused by non-steady engine combustion, which damaged fuel lines in the second and third stages. Two S-II engines shut down prematurely, but the remaining engines were able to compensate. The damage to the third stage engine was more severe, preventing it from restarting for trans-lunar injection. Mission controllers were able to use the Service Module engine to essentially repeat the flight profile of Apollo 4. Based on the good performance of Apollo 6 and identification of satisfactory fixes to the Apollo 6 problems, NASA declared the Saturn V ready to fly men, cancelling a third unmanned test.</t>
  </si>
  <si>
    <t>the California State Automobile Association</t>
  </si>
  <si>
    <t>marginally more than normal</t>
  </si>
  <si>
    <t>What are some other factors a pharmacist must monitor?</t>
  </si>
  <si>
    <t>concentrated in the leaves</t>
  </si>
  <si>
    <t>about one-eighth the number</t>
  </si>
  <si>
    <t>43 million tons</t>
  </si>
  <si>
    <t>five solo tackles</t>
  </si>
  <si>
    <t>American Association of University Women</t>
  </si>
  <si>
    <t>for a system to function</t>
  </si>
  <si>
    <t>"generally unfounded and also marginal to the assessment"</t>
  </si>
  <si>
    <t>The time and space hierarchy theorems form the basis for most separation results of complexity classes. For instance, the time hierarchy theorem tells us that P is strictly contained in EXPTIME, and the space hierarchy theorem tells us that L is strictly contained in PSPACE.</t>
  </si>
  <si>
    <t>multiple access scheme</t>
  </si>
  <si>
    <t>Serbian</t>
  </si>
  <si>
    <t>either its continental North American possessions east of the Mississippi or the Caribbean islands of Guadeloupe and Martinique,</t>
  </si>
  <si>
    <t>the Ohio Company</t>
  </si>
  <si>
    <t>Where did Kenyatta visit at the invitation of the President?</t>
  </si>
  <si>
    <t>doctrine of justification</t>
  </si>
  <si>
    <t>cogeneration processes</t>
  </si>
  <si>
    <t>the journal Nature</t>
  </si>
  <si>
    <t>tidal currents</t>
  </si>
  <si>
    <t>2,290 m3/s (81,000 cu ft/s)</t>
  </si>
  <si>
    <t>How did the Huguenots defend themselves?</t>
  </si>
  <si>
    <t>Some species of beroe have a pair of strips of adhesive cells on the stomach wall. What does it do?</t>
  </si>
  <si>
    <t>What portion of Berlin's population spoke French by 1700?</t>
  </si>
  <si>
    <t>the mosaic floors in the sculpture gallery</t>
  </si>
  <si>
    <t>Book of Exodus</t>
  </si>
  <si>
    <t>Department for Culture, Media and Sport</t>
  </si>
  <si>
    <t>What effect does trade with richer countries have on the workers in poorer countries?</t>
  </si>
  <si>
    <t>electric</t>
  </si>
  <si>
    <t>no French regular army troops were stationed in North America,</t>
  </si>
  <si>
    <t>Juvenile and adult  beroe lack what?</t>
  </si>
  <si>
    <t>What ruined Richard's plans to reach Acre?</t>
  </si>
  <si>
    <t>Romanesque</t>
  </si>
  <si>
    <t xml:space="preserve">Stratigraphers try to locate areas for what types of extraction? </t>
  </si>
  <si>
    <t>issues related to the substance of the statement</t>
  </si>
  <si>
    <t>What did John Wesley originally call the experience of conversion?</t>
  </si>
  <si>
    <t>How did Luther view the Ottoman Turks?</t>
  </si>
  <si>
    <t>standards of practice</t>
  </si>
  <si>
    <t>What kind of facility was Wardenclyffe?</t>
  </si>
  <si>
    <t>The United States is divided into five jurisdictions</t>
  </si>
  <si>
    <t>amount of time for which they are allowed to speak</t>
  </si>
  <si>
    <t>Van Nuys Airport</t>
  </si>
  <si>
    <t>What will cause the lake near the Rhine to silt up?</t>
  </si>
  <si>
    <t>What happens when business underpays their workers?</t>
  </si>
  <si>
    <t>availability of the Bible in vernacular languages</t>
  </si>
  <si>
    <t>symbiotic relationship</t>
  </si>
  <si>
    <t>Pharmacists are healthcare professionals with specialised education and training who perform various roles to ensure optimal health outcomes for their patients through the quality use of medicines. Pharmacists may also be small-business proprietors, owning the pharmacy in which they practice. Since pharmacists know about the mode of action of a particular drug, and its metabolism and physiological effects on the human body in great detail, they play an important role in optimisation of a drug treatment for an individual.</t>
  </si>
  <si>
    <t>by the available data</t>
  </si>
  <si>
    <t>Which laws mentioned predate EU law?</t>
  </si>
  <si>
    <t>What armed group stopped the uprising at Ballarat?</t>
  </si>
  <si>
    <t>the courtyard</t>
  </si>
  <si>
    <t>market forces</t>
  </si>
  <si>
    <t>What is the primary goal of pleading not guilty when arrested for Civil Disobedience?</t>
  </si>
  <si>
    <t>Chloroplasts are a special type of a plant cell organelle called a plastid, though the two terms are sometimes used interchangeably. There are many other types of plastids, which carry out various functions. All chloroplasts in a plant are descended from undifferentiated proplastids found in the zygote, or fertilized egg. Proplastids are commonly found in an adult plant's apical meristems. Chloroplasts do not normally develop from proplastids in root tip meristems—instead, the formation of starch-storing amyloplasts is more common.</t>
  </si>
  <si>
    <t>an international metropolitan region</t>
  </si>
  <si>
    <t>Kumbum Monastery</t>
  </si>
  <si>
    <t>justifying grace</t>
  </si>
  <si>
    <t>first NASA scientist astronaut to fly in space</t>
  </si>
  <si>
    <t>after dropping to the sea-floor</t>
  </si>
  <si>
    <t>€5,000</t>
  </si>
  <si>
    <t>The Panthers seemed primed to score on their opening drive of the second half when Newton completed a 45-yard pass to Ted Ginn Jr. on the Denver 35-yard line on their second offensive play. But the Broncos defense halted the drive on the 26-yard line, and it ended with no points when Graham Gano hit the uprights on a 44-yard field goal attempt. After the miss, Manning completed a pair of passes to Emmanuel Sanders for gains of 25 and 22 yards, setting up McManus' 33-yard field goal that gave the Broncos a 16–7 lead. Carolina got off to another strong start after the kickoff, with Newton completing a 42-yard pass to Corey Brown. But once again they came up empty, this time as a result of a Newton pass that bounced off the hands of Ginn and was intercepted by safety T. J. Ward. Ward fumbled the ball during the return, but Trevathan recovered it to enable Denver to keep possession.</t>
  </si>
  <si>
    <t>win an acquittal and avoid imprisonment</t>
  </si>
  <si>
    <t>Construction</t>
  </si>
  <si>
    <t>Southern California</t>
  </si>
  <si>
    <t>Bold New City of the South</t>
  </si>
  <si>
    <t>What type of cascade results when complement proteins bind to microbes and activate their protease activity?</t>
  </si>
  <si>
    <t>January 2010</t>
  </si>
  <si>
    <t>Communication complexity is an example of what type of measure?</t>
  </si>
  <si>
    <t>Edward the Confessor</t>
  </si>
  <si>
    <t>type III secretion system</t>
  </si>
  <si>
    <t>the Tyne and Wear Passenger Transport Executive.</t>
  </si>
  <si>
    <t>Who commissioned the Gateshead Milennium Bridge?</t>
  </si>
  <si>
    <t>Florida East Coast Railway</t>
  </si>
  <si>
    <t>What was Tesla's plan to make students "bright"?</t>
  </si>
  <si>
    <t>parallel importers</t>
  </si>
  <si>
    <t>The use of gas lighting made what possible the year after the museum officially opened?</t>
  </si>
  <si>
    <t>the characteristics of the conquering peoples</t>
  </si>
  <si>
    <t>Prudential Insurance Company of America</t>
  </si>
  <si>
    <t>What goal does Islamism have when it comes to society and government?</t>
  </si>
  <si>
    <t>How many of the six total packages available to broadcasters was Setanta awarded?</t>
  </si>
  <si>
    <t>central truths of Christianity</t>
  </si>
  <si>
    <t>crowd out</t>
  </si>
  <si>
    <t>Who was rewarded with building the CSM?</t>
  </si>
  <si>
    <t>Informal rule</t>
  </si>
  <si>
    <t>Near where in the continent is it believed that the Amazon basin split?</t>
  </si>
  <si>
    <t>three, later four</t>
  </si>
  <si>
    <t>Intractable problems lacking polynomial time solutions necessarily negate the practical efficacy of what type of algorithm?</t>
  </si>
  <si>
    <t>how much time the best algorithm requires to solve the problem</t>
  </si>
  <si>
    <t>9–88 cm</t>
  </si>
  <si>
    <t>suspect's talking to criminal investigators</t>
  </si>
  <si>
    <t>What two environmental conditions are controlled in the museum?</t>
  </si>
  <si>
    <t>electronic</t>
  </si>
  <si>
    <t>gravel</t>
  </si>
  <si>
    <t>How was the Rhine Gorge formed?</t>
  </si>
  <si>
    <t>complicated</t>
  </si>
  <si>
    <t>an early eukaryotic cell</t>
  </si>
  <si>
    <t>rudimentary</t>
  </si>
  <si>
    <t>What did a 1530 royal act restrict shipments of?</t>
  </si>
  <si>
    <t>at rest</t>
  </si>
  <si>
    <t>poor application of well-established IPCC procedures</t>
  </si>
  <si>
    <t>Abilene</t>
  </si>
  <si>
    <t>How many receptors on a helper T cell must be bound to a MHC:antigen complex in order for the cell to be activated?</t>
  </si>
  <si>
    <t>BSkyB has no veto over the presence of channels on their EPG, with open access being an enforced part of their operating licence from Ofcom. Any channel which can get carriage on a suitable beam of a satellite at 28° East is entitled to access to BSkyB's EPG for a fee, ranging from £15–100,000. Third-party channels which opt for encryption receive discounts ranging from reduced price to free EPG entries, free carriage on a BSkyB leased transponder, or actual payment for being carried. However, even in this case, BSkyB does not carry any control over the channel's content or carriage issues such as picture quality.</t>
  </si>
  <si>
    <t>surnames</t>
  </si>
  <si>
    <t>the series would return</t>
  </si>
  <si>
    <t>the City council</t>
  </si>
  <si>
    <t>oscillating</t>
  </si>
  <si>
    <t>the Los Angeles Area</t>
  </si>
  <si>
    <t>remaining in black and white,</t>
  </si>
  <si>
    <t>The rapid Anglo-Norman conquest proved more important than it seemed. The island occupied a key strategic position on the maritime lanes to the Holy Land, whose occupation by the Christians could not continue without support from the sea. Shortly after the conquest, Cyprus was sold to the Knights Templar and it was subsequently acquired, in 1192, by Guy de Lusignan and became a stable feudal kingdom. It was only in 1489 that the Venetians acquired full control of the island, which remained a Christian stronghold until the fall of Famagusta in 1571.</t>
  </si>
  <si>
    <t>What were the conditions for miners in the gold fields in Victoria?</t>
  </si>
  <si>
    <t>Construction projects can suffer from preventable financial problems. Underbids happen when builders ask for too little money to complete the project. Cash flow problems exist when the present amount of funding cannot cover the current costs for labour and materials, and because they are a matter of having sufficient funds at a specific time, can arise even when the overall total is enough. Fraud is a problem in many fields, but is notoriously prevalent in the construction field. Financial planning for the project is intended to ensure that a solid plan with adequate safeguards and contingency plans are in place before the project is started and is required to ensure that the plan is properly executed over the life of the project.</t>
  </si>
  <si>
    <t>increasing importance of human capital in development</t>
  </si>
  <si>
    <t>Teenage Mutant Ninja Turtles: Out of the Shadows</t>
  </si>
  <si>
    <t>silt up the lake</t>
  </si>
  <si>
    <t>between 1945 and 1970</t>
  </si>
  <si>
    <t>Islam</t>
  </si>
  <si>
    <t>the Fox Network</t>
  </si>
  <si>
    <t>chemical oxygen</t>
  </si>
  <si>
    <t>What is the exchange of a set of obligations between two or more parties?</t>
  </si>
  <si>
    <t>What did mlolongo system lead to?</t>
  </si>
  <si>
    <t>What is the name of the Host Committee's charitable initiative?</t>
  </si>
  <si>
    <t>What was the cost of the other Super Bowl events in the San Francisco area?</t>
  </si>
  <si>
    <t>Newcastle University's student's union building</t>
  </si>
  <si>
    <t>circle logo</t>
  </si>
  <si>
    <t>What does the First Minister deliver at the beginning of each parliamentary year?</t>
  </si>
  <si>
    <t>What type of regime ruled over Sudan for many years?</t>
  </si>
  <si>
    <t>near the mouth to the opposite end</t>
  </si>
  <si>
    <t>because of tensions over slavery and the power of bishops in the denomination</t>
  </si>
  <si>
    <t>What book of the Bible discusses civil disobedience?</t>
  </si>
  <si>
    <t>What does education in an area where there is high demand for workers tend to create?</t>
  </si>
  <si>
    <t>What is a popular strolling destination for the Varsovians?</t>
  </si>
  <si>
    <t>infants</t>
  </si>
  <si>
    <t>riches of Croesus</t>
  </si>
  <si>
    <t>fire-resistant</t>
  </si>
  <si>
    <t>the courts of member states and the Court of Justice of the European Union</t>
  </si>
  <si>
    <t>In 1965, at the instigation of Warner Sinback, a data network based on this voice-phone network was designed to connect GE's four computer sales and service centers (Schenectady, Phoenix, Chicago, and Phoenix) to facilitate a computer time-sharing service, apparently the world's first commercial online service. (In addition to selling GE computers, the centers were computer service bureaus, offering batch processing services. They lost money from the beginning, and Sinback, a high-level marketing manager, was given the job of turning the business around. He decided that a time-sharing system, based on Kemney's work at Dartmouth—which used a computer on loan from GE—could be profitable. Warner was right.)</t>
  </si>
  <si>
    <t>lost in the 5th Avenue laboratory fire of March 1895</t>
  </si>
  <si>
    <t>dinophyte nucleus</t>
  </si>
  <si>
    <t>When was the ability to use radioactive isotopes to date rock formations developed?</t>
  </si>
  <si>
    <t>738 days</t>
  </si>
  <si>
    <t>How many major chloroplast replication models have been suggested?</t>
  </si>
  <si>
    <t>halftime</t>
  </si>
  <si>
    <t>the European Community</t>
  </si>
  <si>
    <t>7.9 million</t>
  </si>
  <si>
    <t>over 90 destinations</t>
  </si>
  <si>
    <t>northeast</t>
  </si>
  <si>
    <t>satellite</t>
  </si>
  <si>
    <t>The theologians, including Zwingli, Melanchthon, Martin Bucer, and Johannes Oecolampadius, differed on the significance of the words spoken by Jesus at the Last Supper: "This is my body which is for you" and "This cup is the new covenant in my blood" (1 Corinthians 11:23–26). Luther insisted on the Real Presence of the body and blood of Christ in the consecrated bread and wine, which he called the sacramental union, while his opponents believed God to be only spiritually or symbolically present. Zwingli, for example, denied Jesus' ability to be in more than one place at a time but Luther stressed the omnipresence of his human nature. According to transcripts, the debate sometimes became confrontational. Citing Jesus' words "The flesh profiteth nothing" (John 6.63), Zwingli said, "This passage breaks your neck". "Don't be too proud," Luther retorted, "German necks don't break that easily. This is Hesse, not Switzerland." On his table Luther wrote the words "Hoc est corpus meum" ("This is my body") in chalk, to continually indicate his firm stance.</t>
  </si>
  <si>
    <t>Who are debates and meetings open to?</t>
  </si>
  <si>
    <t>What does ctenophora rely on for digestion and respiration?</t>
  </si>
  <si>
    <t>quantum electrodynamics</t>
  </si>
  <si>
    <t>physically imposing</t>
  </si>
  <si>
    <t>25 minutes of transmission length</t>
  </si>
  <si>
    <t>less than $1.25 a day</t>
  </si>
  <si>
    <t>Although the famous Mughal emperors were proud descendants of Genghis Khan and particularly Timur, they clearly distanced themselves from the Mongol atrocities committed against the Khwarizim Shahs, Turks, Persians, the citizens of Baghdad and Damascus, Nishapur, Bukhara and historical figures such as Attar of Nishapur and many other notable Muslims. However, Mughal Emperors directly patronized the legacies of Genghis Khan and Timur; together their names were synonymous with the names of other distinguished personalities particularly among the Muslim populations of South Asia.</t>
  </si>
  <si>
    <t>assisting in fabricating evidence or committing perjury</t>
  </si>
  <si>
    <t>The Standard Industrial Classification and the newer North American Industry Classification System have a classification system for companies that perform or otherwise engage in construction. To recognize the differences of companies in this sector, it is divided into three subsectors: building construction, heavy and civil engineering construction, and specialty trade contractors. There are also categories for construction service firms (e.g., engineering, architecture) and construction managers (firms engaged in managing construction projects without assuming direct financial responsibility for completion of the construction project).</t>
  </si>
  <si>
    <t>Yellow River</t>
  </si>
  <si>
    <t>Kirinyaga, Kirenyaa and Kiinyaa</t>
  </si>
  <si>
    <t>90 to 95</t>
  </si>
  <si>
    <t>ideological struggle</t>
  </si>
  <si>
    <t>The T. T. Tsui Gallery of Chinese art</t>
  </si>
  <si>
    <t>What event happened 66 million years ago?</t>
  </si>
  <si>
    <t>A non-deterministic Turing machine</t>
  </si>
  <si>
    <t>When considering computational problems, a problem instance is a string over an alphabet. Usually, the alphabet is taken to be the binary alphabet (i.e., the set {0,1}), and thus the strings are bitstrings. As in a real-world computer, mathematical objects other than bitstrings must be suitably encoded. For example, integers can be represented in binary notation, and graphs can be encoded directly via their adjacency matrices, or by encoding their adjacency lists in binary.</t>
  </si>
  <si>
    <t>Politically, the system of government created by Kublai Khan was the product of a compromise between Mongolian patrimonial feudalism and the traditional Chinese autocratic-bureaucratic system. Nevertheless, socially the educated Chinese elite were in general not given the degree of esteem that they had been accorded previously under native Chinese dynasties. Although the traditional Chinese elite were not given their share of power, the Mongols and the Semuren (various allied groups from Central Asia and the western end of the empire) largely remained strangers to the mainstream Chinese culture, and this dichotomy gave the Yuan regime a somewhat strong "colonial" coloration. The unequal treatment is possibly due to the fear of transferring power to the ethnic Chinese under their rule. The Mongols and Semuren were given certain advantages in the dynasty, and this would last even after the restoration of the imperial examination in the early 14th century. In general there were very few North Chinese or Southerners reaching the highest-post in the government compared with the possibility that Persians did so in the Ilkhanate. Later the Yongle Emperor of the Ming dynasty also mentioned the discrimination that existed during the Yuan dynasty. In response to an objection against the use of "barbarians" in his government, the Yongle Emperor answered: "... Discrimination was used by the Mongols during the Yuan dynasty, who employed only "Mongols and Tartars" and discarded northern and southern Chinese and this was precisely the cause that brought disaster upon them".</t>
  </si>
  <si>
    <t>the oxidant</t>
  </si>
  <si>
    <t>German vernacular</t>
  </si>
  <si>
    <t>board of trustees</t>
  </si>
  <si>
    <t>tribes that did not want to do business with the British</t>
  </si>
  <si>
    <t>How was scarcity managed in many countries?</t>
  </si>
  <si>
    <t>How many Victorians are Catholic?</t>
  </si>
  <si>
    <t>service to the neighbor</t>
  </si>
  <si>
    <t>The early United States expressed its opposition to Imperialism, at least in a form distinct from its own Manifest Destiny, through policies such as the Monroe Doctrine. However, beginning in the late 19th and early 20th century, policies such as Theodore Roosevelt’s interventionism in Central America and Woodrow Wilson’s mission to "make the world safe for democracy" changed all this. They were often backed by military force, but were more often affected from behind the scenes. This is consistent with the general notion of hegemony and imperium of historical empires. In 1898, Americans who opposed imperialism created the Anti-Imperialist League to oppose the US annexation of the Philippines and Cuba. One year later, a war erupted in the Philippines causing business, labor and government leaders in the US to condemn America's occupation in the Philippines as they also denounced them for causing the deaths of many Filipinos. American foreign policy was denounced as a "racket" by Smedley Butler, an American general. He said, "Looking back on it, I might have given Al Capone a few hints. The best he could do was to operate his racket in three districts. I operated on three continents".</t>
  </si>
  <si>
    <t>steam locomotives</t>
  </si>
  <si>
    <t>When was a part of Grainger Town destroyed?</t>
  </si>
  <si>
    <t>Why does Doctor Who's TARDIS always look the same?</t>
  </si>
  <si>
    <t>chest pains</t>
  </si>
  <si>
    <t>US$100,000</t>
  </si>
  <si>
    <t>sometimes the eaten alga's cell membrane</t>
  </si>
  <si>
    <t>What do chloroplasts in mesophyll cells store carbon dioxide in?</t>
  </si>
  <si>
    <t>the CDC mainframe at Michigan State University in East Lansing</t>
  </si>
  <si>
    <t>Southern California consists of one Combined Statistical Area, eight Metropolitan Statistical Areas, one international metropolitan area, and multiple metropolitan divisions. The region is home to two extended metropolitan areas that exceed five million in population. These are the Greater Los Angeles Area at 17,786,419, and San Diego–Tijuana at 5,105,768. Of these metropolitan areas, the Los Angeles-Long Beach-Santa Ana metropolitan area, Riverside-San Bernardino-Ontario metropolitan area, and Oxnard-Thousand Oaks-Ventura metropolitan area form Greater Los Angeles; while the El Centro metropolitan area and San Diego-Carlsbad-San Marcos metropolitan area form the Southern Border Region. North of Greater Los Angeles are the Santa Barbara, San Luis Obispo, and Bakersfield metropolitan areas.</t>
  </si>
  <si>
    <t>south-east</t>
  </si>
  <si>
    <t>malnutrition</t>
  </si>
  <si>
    <t>March 2007</t>
  </si>
  <si>
    <t>free radical</t>
  </si>
  <si>
    <t>When was Thoreau's essay published?</t>
  </si>
  <si>
    <t>large dumbbell-shaped</t>
  </si>
  <si>
    <t>visor helmet</t>
  </si>
  <si>
    <t>On the television side, in September 1969, ABC launched the Movie of the Week, a weekly showcase aimed at capitalizing on the growing success of made-for-TV movies since the early 1960s. The Movie of the Week broadcast feature-length dramatic films directed by such talented filmmakers as Aaron Spelling, David Wolper and Steven Spielberg (the latter of whom gained early success through the showcase for his 1971 film Duel) that were produced on an average budget of $400,000–$450,000. Hits for the television network during the late 1960s and early 1970s included The Courtship of Eddie's Father, The Brady Bunch and The Partridge Family.</t>
  </si>
  <si>
    <t>orientalism and tropicality</t>
  </si>
  <si>
    <t>What did the second stage in the Saturn V end up doing?</t>
  </si>
  <si>
    <t>voluminous</t>
  </si>
  <si>
    <t>Southern_California</t>
  </si>
  <si>
    <t>However, some computational problems are easier to analyze in terms of more unusual resources. For example, a non-deterministic Turing machine is a computational model that is allowed to branch out to check many different possibilities at once. The non-deterministic Turing machine has very little to do with how we physically want to compute algorithms, but its branching exactly captures many of the mathematical models we want to analyze, so that non-deterministic time is a very important resource in analyzing computational problems.</t>
  </si>
  <si>
    <t>lower wages</t>
  </si>
  <si>
    <t>How does the level of tuition in German private schools compare to private schools in other Western European countries?</t>
  </si>
  <si>
    <t>What type of government investigations apply to civil disobedience?</t>
  </si>
  <si>
    <t>overinflated</t>
  </si>
  <si>
    <t>Where are health and social problems most common?</t>
  </si>
  <si>
    <t>Acessing the Amazon rainforest was restricted before what era?</t>
  </si>
  <si>
    <t>If you do not know both magnitude and direction of two forces on an object, what would you call that situation?</t>
  </si>
  <si>
    <t>cylinder</t>
  </si>
  <si>
    <t>A variety of alternatives to the Y. pestis have been put forward. Twigg suggested that the cause was a form of anthrax, and Norman Cantor (2001) thought it may have been a combination of anthrax and other pandemics. Scott and Duncan have argued that the pandemic was a form of infectious disease that characterise as hemorrhagic plague similar to Ebola. Archaeologist Barney Sloane has argued that there is insufficient evidence of the extinction of a large number of rats in the archaeological record of the medieval waterfront in London and that the plague spread too quickly to support the thesis that the Y. pestis was spread from fleas on rats; he argues that transmission must have been person to person. However, no single alternative solution has achieved widespread acceptance. Many scholars arguing for the Y. pestis as the major agent of the pandemic suggest that its extent and symptoms can be explained by a combination of bubonic plague with other diseases, including typhus, smallpox and respiratory infections. In addition to the bubonic infection, others point to additional septicemic (a type of "blood poisoning") and pneumonic (an airborne plague that attacks the lungs before the rest of the body) forms of the plague, which lengthen the duration of outbreaks throughout the seasons and help account for its high mortality rate and additional recorded symptoms. In 2014, scientists with Public Health England announced the results of an examination of 25 bodies exhumed from the Clerkenwell area of London, as well as of wills registered in London during the period, which supported the pneumonic hypothesis.</t>
  </si>
  <si>
    <t>Where does the livestock of the country normally dominate?</t>
  </si>
  <si>
    <t>the Commentaries on the Classic of Changes (I Ching)</t>
  </si>
  <si>
    <t>reordering</t>
  </si>
  <si>
    <t>Within the EU, which court believes they have the final word deciding on EU's competence?</t>
  </si>
  <si>
    <t>Who are committees comprised of?</t>
  </si>
  <si>
    <t>solid economic growth</t>
  </si>
  <si>
    <t>What does the Ruhr provide to it's community?</t>
  </si>
  <si>
    <t>Who was it essential to Islam to imitate?</t>
  </si>
  <si>
    <t>steam turbines</t>
  </si>
  <si>
    <t>For a long time, number theory in general, and the study of prime numbers in particular, was seen as the canonical example of pure mathematics, with no applications outside of the self-interest of studying the topic with the exception of use of prime numbered gear teeth to distribute wear evenly. In particular, number theorists such as British mathematician G. H. Hardy prided themselves on doing work that had absolutely no military significance. However, this vision was shattered in the 1970s, when it was publicly announced that prime numbers could be used as the basis for the creation of public key cryptography algorithms. Prime numbers are also used for hash tables and pseudorandom number generators.</t>
  </si>
  <si>
    <t>the wider community</t>
  </si>
  <si>
    <t>Mosley Street</t>
  </si>
  <si>
    <t>, Nairobi, Mombasa and Kisumu</t>
  </si>
  <si>
    <t>Europe first colonized the Americas, then Asia, but what continent was third?</t>
  </si>
  <si>
    <t>7–4–2–3</t>
  </si>
  <si>
    <t>From the late 1340s onwards, people in the countryside suffered from frequent natural disasters such as droughts, floods and the resulting famines, and the government's lack of effective policy led to a loss of popular support. In 1351, the Red Turban Rebellion started and grew into a nationwide uprising. In 1354, when Toghtogha led a large army to crush the Red Turban rebels, Toghun Temür suddenly dismissed him for fear of betrayal. This resulted in Toghun Temür's restoration of power on the one hand and a rapid weakening of the central government on the other. He had no choice but to rely on local warlords' military power, and gradually lost his interest in politics and ceased to intervene in political struggles. He fled north to Shangdu from Khanbaliq (present-day Beijing) in 1368 after the approach of the forces of the Míng dynasty (1368–1644), founded by Zhu Yuanzhang in the south. He had tried to regain Khanbaliq, which eventually failed; he died in Yingchang (located in present-day Inner Mongolia) two years later (1370). Yingchang was seized by the Ming shortly after his death. Some royal family members still lived in Henan today.</t>
  </si>
  <si>
    <t>How did Hobson argue to rid the world of imperialism?</t>
  </si>
  <si>
    <t>AUSTPAC was an Australian public X.25 network operated by Telstra. Started by Telecom Australia in the early 1980s, AUSTPAC was Australia's first public packet-switched data network, supporting applications such as on-line betting, financial applications — the Australian Tax Office made use of AUSTPAC — and remote terminal access to academic institutions, who maintained their connections to AUSTPAC up until the mid-late 1990s in some cases. Access can be via a dial-up terminal to a PAD, or, by linking a permanent X.25 node to the network.[citation needed]</t>
  </si>
  <si>
    <t>What was he studying that gave him the teleforce weapon idea?</t>
  </si>
  <si>
    <t>What is the goal of the capabilities approach?</t>
  </si>
  <si>
    <t>the 7th century</t>
  </si>
  <si>
    <t>What career does Joseph Stiglitz have?</t>
  </si>
  <si>
    <t>captured the mermaid</t>
  </si>
  <si>
    <t>entirely separate companies</t>
  </si>
  <si>
    <t>Protestant clergy to marry</t>
  </si>
  <si>
    <t>When was the military-political complex reflected upon within the scope of understanding imperialism?</t>
  </si>
  <si>
    <t>The final years of the Yuan dynasty were marked by struggle, famine, and bitterness among the populace. In time, Kublai Khan's successors lost all influence on other Mongol lands across Asia, while the Mongols beyond the Middle Kingdom saw them as too Chinese. Gradually, they lost influence in China as well. The reigns of the later Yuan emperors were short and marked by intrigues and rivalries. Uninterested in administration, they were separated from both the army and the populace, and China was torn by dissension and unrest. Outlaws ravaged the country without interference from the weakening Yuan armies.</t>
  </si>
  <si>
    <t>the Super Bowl 50 Host Committee</t>
  </si>
  <si>
    <t>In 1890, who did the university decide to team up with?</t>
  </si>
  <si>
    <t>along the St. Lawrence River valley</t>
  </si>
  <si>
    <t>At which level of education is this sport becoming more popular?</t>
  </si>
  <si>
    <t>How are existing teachers and non-teachers vetted?</t>
  </si>
  <si>
    <t>bacteria</t>
  </si>
  <si>
    <t>The Mallee and upper Wimmera are Victoria's warmest regions with hot winds blowing from nearby semi-deserts. Average temperatures exceed 32 °C (90 °F) during summer and 15 °C (59 °F) in winter. Except at cool mountain elevations, the inland monthly temperatures are 2–7 °C (4–13 °F) warmer than around Melbourne (see chart). Victoria's highest maximum temperature since World War II, of 48.8 °C (119.8 °F) was recorded in Hopetoun on 7 February 2009, during the 2009 southeastern Australia heat wave.</t>
  </si>
  <si>
    <t>an estimated total of 75,000 to 100,000 people</t>
  </si>
  <si>
    <t>cell division, protein routing, and even disease resistance</t>
  </si>
  <si>
    <t>What does Yeke Mongghul Ulus mean?</t>
  </si>
  <si>
    <t>several regional colleges and universities</t>
  </si>
  <si>
    <t>post-classical sculpture</t>
  </si>
  <si>
    <t>the General Teaching Council for Scotland (GTCS)</t>
  </si>
  <si>
    <t>rationing</t>
  </si>
  <si>
    <t>Along with diesel engines, what engines have overtaken steam engines for marine propulsion?</t>
  </si>
  <si>
    <t>For what nation did Ribault initially claim what is now Jacksonville?</t>
  </si>
  <si>
    <t>Each of the extended metropolitan areas has a population that exceeds what number?</t>
  </si>
  <si>
    <t>Luther is honoured on 18 February with a commemoration in the Lutheran Calendar of Saints and in the Episcopal (United States) Calendar of Saints. In the Church of England's Calendar of Saints he is commemorated on 31 October.</t>
  </si>
  <si>
    <t>French residents who chose to remain in the colony would be given freedom</t>
  </si>
  <si>
    <t>Afrikaans</t>
  </si>
  <si>
    <t>St. Lawrence, with primary defenses at Carillon, Quebec, and Louisbourg,</t>
  </si>
  <si>
    <t xml:space="preserve">What is tuition for 2012 - 13 year at Harvard? </t>
  </si>
  <si>
    <t>What type of math was advanced during the Yuan?</t>
  </si>
  <si>
    <t>Between the 1880s and World War II, Downtown Fresno flourished, filled with electric Street Cars, and contained some of the San Joaquin Valley's most beautiful architectural buildings. Among them, the original Fresno County Courthouse (demolished), the Fresno Carnegie Public Library (demolished), the Fresno Water Tower, the Bank of Italy Building, the Pacific Southwest Building, the San Joaquin Light &amp; Power Building (currently known as the Grand 1401), and the Hughes Hotel (burned down), to name a few.</t>
  </si>
  <si>
    <t>Plague was reportedly first introduced to Europe via Genoese traders at the port city of Kaffa in the Crimea in 1347. After a protracted siege, during which the Mongol army under Jani Beg was suffering from the disease, the army catapulted the infected corpses over the city walls of Kaffa to infect the inhabitants. The Genoese traders fled, taking the plague by ship into Sicily and the south of Europe, whence it spread north. Whether or not this hypothesis is accurate, it is clear that several existing conditions such as war, famine, and weather contributed to the severity of the Black Death.</t>
  </si>
  <si>
    <t>VA, the Indian Health Service, and NIH</t>
  </si>
  <si>
    <t>late 1960s</t>
  </si>
  <si>
    <t>Where do Apicomplexans store energy?</t>
  </si>
  <si>
    <t>In response to American aid to Israel</t>
  </si>
  <si>
    <t>What implication can be derived for P and NP if P and co-NP are established to be unequal?</t>
  </si>
  <si>
    <t>5 to 15</t>
  </si>
  <si>
    <t>What did Albrecht need the indulgences to pay for?</t>
  </si>
  <si>
    <t>a suite of network protocols created by Digital Equipment Corporation</t>
  </si>
  <si>
    <t>What is a typical name for learning that is not inside of the classroom?</t>
  </si>
  <si>
    <t>on the West Side</t>
  </si>
  <si>
    <t>Each packet is labeled with a destination address, source address, and port numbers. It may also be labeled with the sequence number of the packet</t>
  </si>
  <si>
    <t>in committee</t>
  </si>
  <si>
    <t>fermionic nature of electrons</t>
  </si>
  <si>
    <t>In December 1901, Marconi successfully transmitted the letter S from England to Newfoundland, terminating Tesla's relationship with Morgan.[improper synthesis?] Over the next five years, Tesla wrote over 50 letters to Morgan, pleading for and demanding additional funding to complete the construction of Wardenclyffe. Tesla continued the project for another nine months. The tower was erected to its full 187 feet (57 m). In July 1903, Tesla wrote to Morgan that in addition to wireless communication, Wardenclyffe would be capable of wireless transmission of electric power. On 14 October 1904, Morgan finally replied through his secretary, stating, "It will be impossible for [me] to do anything in the matter," after Tesla had written to Morgan when the financier was meeting with the Archbishop of Canterbury in an attempt to appeal to his Christian spirit.</t>
  </si>
  <si>
    <t>What do other smaller venues of Newcastle tend to feature?</t>
  </si>
  <si>
    <t>What are two examples of primitive jawless vertebrates?</t>
  </si>
  <si>
    <t>What techniques can be used to determine paleotopography?</t>
  </si>
  <si>
    <t>cilia</t>
  </si>
  <si>
    <t>international law and public law</t>
  </si>
  <si>
    <t>carriage of their respective basic channels</t>
  </si>
  <si>
    <t>How man volumes does the The University of Chicago Library system hold?</t>
  </si>
  <si>
    <t>at the beginning of each parliamentary session</t>
  </si>
  <si>
    <t>Which department houses the works on paper of the costume collection?</t>
  </si>
  <si>
    <t>Where are the upper Rhine and upper Danube crossed?</t>
  </si>
  <si>
    <t>rotation</t>
  </si>
  <si>
    <t>must be supported by scientific evidence</t>
  </si>
  <si>
    <t>What is rubisco's flaw?</t>
  </si>
  <si>
    <t>Starting in 1934, the Westinghouse Electric &amp; Manufacturing Company began paying Tesla $125 per month as well as paying his rent at the Hotel New Yorker, expenses the Company would pay for the rest of Tesla's life. Accounts on how this came about vary. Several sources say Westinghouse was worried about potential bad publicity surrounding the impoverished conditions their former star inventor was living under. It has been described as being couched in the form of a "consulting fee" to get around Tesla's aversion to accept charity, or by one biographer (Marc Seifer), as a type of unspecified settlement.</t>
  </si>
  <si>
    <t>compressed gas;</t>
  </si>
  <si>
    <t>Neil Armstrong, Michael Collins and Buzz Aldrin.</t>
  </si>
  <si>
    <t>What can work to even the distribution of wealth?</t>
  </si>
  <si>
    <t>Under conditions such as high atmospheric CO2 concentrations,</t>
  </si>
  <si>
    <t>The British</t>
  </si>
  <si>
    <t>What is the average construction salary in the UK?</t>
  </si>
  <si>
    <t>enter a prepared bedchamber in which they sleep in peace.</t>
  </si>
  <si>
    <t>research, exhibitions and other shows</t>
  </si>
  <si>
    <t>destination address, source address, and port numbers</t>
  </si>
  <si>
    <t>ca. 2 million</t>
  </si>
  <si>
    <t>How often do trains journey to King's Cross?</t>
  </si>
  <si>
    <t>The loss of Edinburgh Pentlands really disappointed whom the most?</t>
  </si>
  <si>
    <t>19th Century</t>
  </si>
  <si>
    <t>What was the Pinedale Assembly Center?</t>
  </si>
  <si>
    <t>faith in Jesus Christ</t>
  </si>
  <si>
    <t>What is tertiary education?</t>
  </si>
  <si>
    <t>The Super Bowl 50 Host Committee said it would be the most what ever?</t>
  </si>
  <si>
    <t>at the last glacial maximum</t>
  </si>
  <si>
    <t>Annual Conference Order of Elders</t>
  </si>
  <si>
    <t>charged particle beam weapons</t>
  </si>
  <si>
    <t>What work of Luther's became popular?</t>
  </si>
  <si>
    <t>Starting in 1894, Tesla began investigating what he referred to as radiant energy of "invisible" kinds after he had noticed damaged film in his laboratory in previous experiments (later identified as "Roentgen rays" or "X-Rays"). His early experiments were with Crookes tubes, a cold cathode electrical discharge tube. Soon after, much of Tesla's early research—hundreds of invention models, plans, notes, laboratory data, tools, photographs, valued at $50,000—was lost in the 5th Avenue laboratory fire of March 1895. Tesla is quoted by The New York Times as saying, "I am in too much grief to talk. What can I say?" Tesla may have inadvertently captured an X-ray image—predating, by a few weeks, Wilhelm Röntgen's December 1895 announcement of the discovery of x-rays—when he tried to photograph Mark Twain illuminated by a Geissler tube, an earlier type of gas discharge tube. The only thing captured in the image was the metal locking screw on the camera lens.:134</t>
  </si>
  <si>
    <t>Which hall was used as Parliament's principle committee room?</t>
  </si>
  <si>
    <t>circuit and single-node X-ray-producing devices</t>
  </si>
  <si>
    <t>How did the black death make it to the Mediterranean and Europe?</t>
  </si>
  <si>
    <t>quick-release</t>
  </si>
  <si>
    <t>bad publicity</t>
  </si>
  <si>
    <t>infrastructure</t>
  </si>
  <si>
    <t xml:space="preserve">What did AUSTPAC support </t>
  </si>
  <si>
    <t>claimants</t>
  </si>
  <si>
    <t>What was the attack on the British weakness?</t>
  </si>
  <si>
    <t xml:space="preserve">What are among the most well known experiments in structural geology? </t>
  </si>
  <si>
    <t xml:space="preserve">what did he patent in 1891? </t>
  </si>
  <si>
    <t>On 13 June 1525, the couple was engaged with Johannes Bugenhagen, Justus Jonas, Johannes Apel, Philipp Melanchthon and Lucas Cranach the Elder and his wife as witnesses. On the evening of the same day, the couple was married by Bugenhagen. The ceremonial walk to the church and the wedding banquet were left out, and were made up two weeks later on 27 June.</t>
  </si>
  <si>
    <t>converted or shared houses</t>
  </si>
  <si>
    <t>Director</t>
  </si>
  <si>
    <t>pine</t>
  </si>
  <si>
    <t>Walt Disney and his brother Roy contacted Goldenson at the end of 1953 for ABC to agree to finance part of the Disneyland project in exchange for producing a television program for the network. Walt wanted ABC to invest $500,000 and accrued a guarantee of $4.5 million in additional loans, a third of the budget intended for the park. Around 1954, ABC agreed to finance Disneyland in exchange for the right to broadcast a new Sunday night program, Disneyland, which debuted on the network on October 27, 1954 as the first of many anthology television programs that Disney would broadcast over the course of the next 50 years.</t>
  </si>
  <si>
    <t>neither conscientious nor of social benefit</t>
  </si>
  <si>
    <t>run proton pumps and carry out oxidative phosphorylation across to generate ATP energy</t>
  </si>
  <si>
    <t>There are eight rows of combs that run from near the mouth to the opposite end, and are spaced evenly round the body. The "combs" beat in a metachronal rhythm rather like that of a Mexican wave. From each balancer in the statocyst a ciliary groove runs out under the dome and then splits to connect with two adjacent comb rows, and in some species runs all the way along the comb rows. This forms a mechanical system for transmitting the beat rhythm from the combs to the balancers, via water disturbances created by the cilia.</t>
  </si>
  <si>
    <t>Organizational interventions</t>
  </si>
  <si>
    <t>a pivotal event in the Arab Muslim world</t>
  </si>
  <si>
    <t>stacks of two</t>
  </si>
  <si>
    <t>Nurses</t>
  </si>
  <si>
    <t>What do critics think the cause of problems with modern schooling is?</t>
  </si>
  <si>
    <t>social networking</t>
  </si>
  <si>
    <t>What dynasty came before the Yuan?</t>
  </si>
  <si>
    <t>UDP</t>
  </si>
  <si>
    <t>showmanship</t>
  </si>
  <si>
    <t>alternative</t>
  </si>
  <si>
    <t>The 2012 study showed teachers experienced more stress than whom?</t>
  </si>
  <si>
    <t>asynchronously using first-in, first-out buffering</t>
  </si>
  <si>
    <t>Where did Mongke Khan attack the Song dynasty?</t>
  </si>
  <si>
    <t>If input size is is equal to n, what can respectively be assumed is the function of n?</t>
  </si>
  <si>
    <t>separate spheres of knowledge that each applies to</t>
  </si>
  <si>
    <t>How many paid holiday days does the Working Time directive require workers to have each year?</t>
  </si>
  <si>
    <t>£42,090</t>
  </si>
  <si>
    <t>one hunting excursion</t>
  </si>
  <si>
    <t>Observations on the Geology of the United States explanatory of a Geological Map</t>
  </si>
  <si>
    <t>Why was old oil withdrawn from the market?</t>
  </si>
  <si>
    <t>Where did the earliest item in the V&amp;A glass collection come from?</t>
  </si>
  <si>
    <t>The USSR's invasion of Afghanistan was only one sign of insecurity in the region, also marked by increased American weapons sales, technology, and outright military presence. Saudi Arabia and Iran became increasingly dependent on American security assurances to manage both external and internal threats, including increased military competition between them over increased oil revenues. Both states were competing for preeminence in the Persian Gulf and using increased revenues to fund expanded militaries. By 1979, Saudi arms purchases from the US exceeded five times Israel's. Another motive for the large scale purchase of arms from the US by Saudi Arabia was the failure of the Shah during January 1979 to maintain control of Iran, a non-Arabic but largely Shiite Muslim nation, which fell to a theocratic Islamist government under the Ayatollah Ruhollah Khomeini in the wake of the 1979 Iranian Revolution. Saudi Arabia, on the other hand, is an Arab, largely Sunni Muslim nation headed by a near absolutist monarchy. In the wake of the Iranian revolution the Saudis were forced to deal with the prospect of internal destabilization via the radicalism of Islamism, a reality which would quickly be revealed in the seizure of the Grand Mosque in Mecca by Wahhabi extremists during November 1979 and a Shiite revolt in the oil rich Al-Hasa region of Saudi Arabia in December of the same year. In November 2010, Wikileaks leaked confidential diplomatic cables pertaining to the United States and its allies which revealed that the late Saudi King Abdullah urged the United States to attack Iran in order to destroy its potential nuclear weapons program, describing Iran as "a snake whose head should be cut off without any procrastination."</t>
  </si>
  <si>
    <t>Anabaptists, Zwinglianism, and the papacy</t>
  </si>
  <si>
    <t>What types of diseases are specialty drugs often used against?</t>
  </si>
  <si>
    <t>In what kind of system of particles are there no unbalanced iinternal forces?</t>
  </si>
  <si>
    <t>Who has the role of holding the Scottish Government to account?</t>
  </si>
  <si>
    <t>sport (including English Premier League Football), films, entertainment and news</t>
  </si>
  <si>
    <t>about 3,000 miles (4,800 km) between June and November 1749.</t>
  </si>
  <si>
    <t>When was Luther's writings about the Jews ignored, according to Johannes Wallmann?</t>
  </si>
  <si>
    <t>expulsion</t>
  </si>
  <si>
    <t>September 2007</t>
  </si>
  <si>
    <t>United Kingdom</t>
  </si>
  <si>
    <t>Mongolia</t>
  </si>
  <si>
    <t>What are the three major traditions present in Christianity?</t>
  </si>
  <si>
    <t>Ctenophora (/tᵻˈnɒfərə/; singular ctenophore, /ˈtɛnəfɔːr/ or /ˈtiːnəfɔːr/; from the Greek κτείς kteis 'comb' and φέρω pherō 'carry'; commonly known as comb jellies) is a phylum of animals that live in marine waters worldwide. Their most distinctive feature is the ‘combs’ – groups of cilia which they use for swimming – they are the largest animals that swim by means of cilia. Adults of various species range from a few millimeters to 1.5 m (4 ft 11 in) in size. Like cnidarians, their bodies consist of a mass of jelly, with one layer of cells on the outside and another lining the internal cavity. In ctenophores, these layers are two cells deep, while those in cnidarians are only one cell deep. Some authors combined ctenophores and cnidarians in one phylum, Coelenterata, as both groups rely on water flow through the body cavity for both digestion and respiration. Increasing awareness of the differences persuaded more recent authors to classify them as separate phyla.</t>
  </si>
  <si>
    <t>Policies which reduce the inequality associated effects of unemployment support what type of growth?</t>
  </si>
  <si>
    <t>enter the priesthood</t>
  </si>
  <si>
    <t>What did Tesla write?</t>
  </si>
  <si>
    <t>pro-choice</t>
  </si>
  <si>
    <t>What might the Government require a teacher have before being allowed to teach?</t>
  </si>
  <si>
    <t>fifty</t>
  </si>
  <si>
    <t>How many touchdowns did Jonathan Stewart have in 13 games?</t>
  </si>
  <si>
    <t>Islamism</t>
  </si>
  <si>
    <t>elected</t>
  </si>
  <si>
    <t>When was the Cretaceous-Paleogen extinction occur?</t>
  </si>
  <si>
    <t>Colorado Desert</t>
  </si>
  <si>
    <t>Luther's tune</t>
  </si>
  <si>
    <t>What sometimes follows moving chloroplasts?</t>
  </si>
  <si>
    <t>Northern</t>
  </si>
  <si>
    <t>second-largest</t>
  </si>
  <si>
    <t>glaucophyte chloroplast group</t>
  </si>
  <si>
    <t>Of what region was Saxony a part?</t>
  </si>
  <si>
    <t>Mongol and Turkic tribes</t>
  </si>
  <si>
    <t>What religion did Tesla grow up in?</t>
  </si>
  <si>
    <t>confirmation and sometimes the profession of faith</t>
  </si>
  <si>
    <t>foundations were laid out</t>
  </si>
  <si>
    <t>explanations are reasonably well supported</t>
  </si>
  <si>
    <t>long hours</t>
  </si>
  <si>
    <t>the individual states and territories</t>
  </si>
  <si>
    <t>same-sex</t>
  </si>
  <si>
    <t>destroyed Fort Frontenac</t>
  </si>
  <si>
    <t>decided Tesla's patent would probably control the market</t>
  </si>
  <si>
    <t>Camp Mercury nuclear test site</t>
  </si>
  <si>
    <t>arithmetic</t>
  </si>
  <si>
    <t>weather-related</t>
  </si>
  <si>
    <t>tax exemptions</t>
  </si>
  <si>
    <t>Where did Charles de Gaulle and the Free French run operations during World War 2?</t>
  </si>
  <si>
    <t>The United Methodist Church is</t>
  </si>
  <si>
    <t>Packet switching contrasts with another principal networking paradigm, circuit switching, a method which pre-allocates dedicated network bandwidth specifically for each communication session, each having a constant bit rate and latency between nodes. In cases of billable services, such as cellular communication services, circuit switching is characterized by a fee per unit of connection time, even when no data is transferred, while packet switching may be characterized by a fee per unit of information transmitted, such as characters, packets, or messages.</t>
  </si>
  <si>
    <t>corruption and bribery</t>
  </si>
  <si>
    <t>January 1985</t>
  </si>
  <si>
    <t>What was free movement increasingly based on?</t>
  </si>
  <si>
    <t>With what European country did the Huguenots feel kinship for emigration to?</t>
  </si>
  <si>
    <t>When violence is used, what is civil disobedience sometimes called?</t>
  </si>
  <si>
    <t>What leads to lower income inequality?</t>
  </si>
  <si>
    <t>nearly three hundred years</t>
  </si>
  <si>
    <t>Polish and international artists a</t>
  </si>
  <si>
    <t>What recent decade saw brightening of the perception of Genghis Khan in Mongolia?</t>
  </si>
  <si>
    <t>2p − 1</t>
  </si>
  <si>
    <t>plan to collect my writings in volumes</t>
  </si>
  <si>
    <t>What are the most active parts of ctenophora?</t>
  </si>
  <si>
    <t>Who among Genghis Khan's subjects shared similar privileges to his close family members'?</t>
  </si>
  <si>
    <t>What follows secondary education?</t>
  </si>
  <si>
    <t>many other herbs</t>
  </si>
  <si>
    <t>radio network</t>
  </si>
  <si>
    <t>What would someone who is civilly disobedient do in court?</t>
  </si>
  <si>
    <t>What may a Charter school require that their teachers meet the standards to be highly qualified by?</t>
  </si>
  <si>
    <t>What was an additional projected effect of the attempted reform?</t>
  </si>
  <si>
    <t>topographic gradients</t>
  </si>
  <si>
    <t>What happens to the jellyfish nematocysts when they are eaten by the haeckelia?</t>
  </si>
  <si>
    <t>Unlike confirmation and profession of faith, what is a sacrament in the UMC?</t>
  </si>
  <si>
    <t>downward pressure on wages</t>
  </si>
  <si>
    <t>hiding a Jew in their house</t>
  </si>
  <si>
    <t>producers of the show</t>
  </si>
  <si>
    <t>Who gives leadership, preaches the Word and conducts marriages, among other duties?</t>
  </si>
  <si>
    <t>mucus</t>
  </si>
  <si>
    <t>How many times did the Broncos cause turnovers in the game?</t>
  </si>
  <si>
    <t>How old were the fossils found in China?</t>
  </si>
  <si>
    <t>general and complete disarmament</t>
  </si>
  <si>
    <t>What do some civil disobedient people feel the need to acknowledge.</t>
  </si>
  <si>
    <t>lowland South American peoples</t>
  </si>
  <si>
    <t>molecular oxygen and hydrogen</t>
  </si>
  <si>
    <t>Many of Tesla's writings are freely available on the web, including the article "The Problem of Increasing Human Energy," published in The Century Magazine in 1900, and the article "Experiments With Alternate Currents Of High Potential And High Frequency," published in his book Inventions, Researches and Writings of Nikola Tesla.</t>
  </si>
  <si>
    <t>Other components are often present; pumps (such as an injector) to supply water to the boiler during operation, condensers to recirculate the water and recover the latent heat of vaporisation, and superheaters to raise the temperature of the steam above its saturated vapour point, and various mechanisms to increase the draft for fireboxes. When coal is used, a chain or screw stoking mechanism and its drive engine or motor may be included to move the fuel from a supply bin (bunker) to the firebox. See: Mechanical stoker</t>
  </si>
  <si>
    <t>Which massive lake did the Mongolians call tenggis?</t>
  </si>
  <si>
    <t>How many Muslim empires have used imperialism?</t>
  </si>
  <si>
    <t>Is corporal punishment increasing or declining in the South?</t>
  </si>
  <si>
    <t>What happens when the immune system less active than normal?</t>
  </si>
  <si>
    <t>Who sequenced the first plastome?</t>
  </si>
  <si>
    <t>France's claim to the region was superior to that of the British</t>
  </si>
  <si>
    <t>Who founded the UMC?</t>
  </si>
  <si>
    <t>What is the weakest main interaction?</t>
  </si>
  <si>
    <t>economic instability</t>
  </si>
  <si>
    <t>hate</t>
  </si>
  <si>
    <t>Lobates have eight comb-rows, originating at the aboral pole and usually not extending beyond the body to the lobes; in species with (four) auricles, the cilia edging the auricles are extensions of cilia in four of the comb rows. Most lobates are quite passive when moving through the water, using the cilia on their comb rows for propulsion, although Leucothea has long and active auricles whose movements also contribute to propulsion. Members of the lobate genera Bathocyroe and Ocyropsis can escape from danger by clapping their lobes, so that the jet of expelled water drives them backwards very quickly. Unlike cydippids, the movements of lobates' combs are coordinated by nerves rather than by water disturbances created by the cilia, yet combs on the same row beat in the same Mexican wave style as the mechanically coordinated comb rows of cydippids and beroids. This may have enabled lobates to grow larger than cydippids and to have shapes that are less egg-like.</t>
  </si>
  <si>
    <t>What kinds of sciences were Social Darwinism and theories of race?</t>
  </si>
  <si>
    <t>Who designed the Turner and Vernon galleries that were built in 1858-9?</t>
  </si>
  <si>
    <t>tripartite division</t>
  </si>
  <si>
    <t>The Revolution</t>
  </si>
  <si>
    <t>reflective of individual contributions</t>
  </si>
  <si>
    <t>carry out research nor does it monitor climate related data</t>
  </si>
  <si>
    <t>How many courses must a local lay servant take?</t>
  </si>
  <si>
    <t>What type of hermaphrodite produces egg and sperm at different times?</t>
  </si>
  <si>
    <t>post-classical</t>
  </si>
  <si>
    <t>Which entities have had to develop principles dedicated to conflict resolution between laws of different systems?</t>
  </si>
  <si>
    <t>How long did the fighting last in Seven Years War?</t>
  </si>
  <si>
    <t>one</t>
  </si>
  <si>
    <t>other herbs</t>
  </si>
  <si>
    <t>On his 50th birthday in 1906, Tesla demonstrated his 200 horsepower (150 kilowatts) 16,000 rpm bladeless turbine. During 1910–1911 at the Waterside Power Station in New York, several of his bladeless turbine engines were tested at 100–5,000 hp.</t>
  </si>
  <si>
    <t>Who would have been the lowest-ranked class?</t>
  </si>
  <si>
    <t>The church conference</t>
  </si>
  <si>
    <t>Avogadro's law</t>
  </si>
  <si>
    <t>What type of valve is used by recent safety valves?</t>
  </si>
  <si>
    <t>Modern primality tests for general numbers n can be divided into two main classes, probabilistic (or "Monte Carlo") and deterministic algorithms. Deterministic algorithms provide a way to tell for sure whether a given number is prime or not. For example, trial division is a deterministic algorithm because, if performed correctly, it will always identify a prime number as prime and a composite number as composite. Probabilistic algorithms are normally faster, but do not completely prove that a number is prime. These tests rely on testing a given number in a partly random way. For example, a given test might pass all the time if applied to a prime number, but pass only with probability p if applied to a composite number. If we repeat the test n times and pass every time, then the probability that our number is composite is 1/(1-p)n, which decreases exponentially with the number of tests, so we can be as sure as we like (though never perfectly sure) that the number is prime. On the other hand, if the test ever fails, then we know that the number is composite.</t>
  </si>
  <si>
    <t>the Santer Commission</t>
  </si>
  <si>
    <t>Which sized cars were the least demanded cars in the crisis?</t>
  </si>
  <si>
    <t>The reason for the majority rule is the high risk of a conflict of interest and/or the avoidance of absolute powers. Otherwise, the physician has a financial self-interest in "diagnosing" as many conditions as possible, and in exaggerating their seriousness, because he or she can then sell more medications to the patient. Such self-interest directly conflicts with the patient's interest in obtaining cost-effective medication and avoiding the unnecessary use of medication that may have side-effects. This system reflects much similarity to the checks and balances system of the U.S. and many other governments.[citation needed]</t>
  </si>
  <si>
    <t>Kenya National Dialogue and Reconciliation process</t>
  </si>
  <si>
    <t>What theorem was implicated by Manuel Blum's axioms?</t>
  </si>
  <si>
    <t>When did Luther give his response to Eck?</t>
  </si>
  <si>
    <t>Price controls exacerbated the crisis in the US. The system limited the price of "old oil" (that which had already been discovered) while allowing newly discovered oil to be sold at a higher price to encourage investment. Predictably, old oil was withdrawn from the market, creating greater scarcity. The rule also discouraged development of alternative energies. The rule had been intended to promote oil exploration. Scarcity was addressed by rationing (as in many countries). Motorists faced long lines at gas stations beginning in summer 1972 and increasing by summer 1973.</t>
  </si>
  <si>
    <t>positive</t>
  </si>
  <si>
    <t>John W. Weeks Bridge</t>
  </si>
  <si>
    <t>Who may be a spiritual teacher in the LDS Church?</t>
  </si>
  <si>
    <t>sake of research</t>
  </si>
  <si>
    <t>How many events occur in an engine cycle?</t>
  </si>
  <si>
    <t>a constitutional impasse in which two public agencies</t>
  </si>
  <si>
    <t>the Fermat primality test,</t>
  </si>
  <si>
    <t>When was the term "regeneration" first used?</t>
  </si>
  <si>
    <t>Aside from oxides, what other compounds comprise a large portion of the Earth's crust?</t>
  </si>
  <si>
    <t>disastrous financial situation</t>
  </si>
  <si>
    <t>standard version</t>
  </si>
  <si>
    <t>gaseous</t>
  </si>
  <si>
    <t>To promote accessibility of the works, what did Luther remove?</t>
  </si>
  <si>
    <t>Germany and Switzerland</t>
  </si>
  <si>
    <t>constructed complete on the ground</t>
  </si>
  <si>
    <t>genetically modified crops</t>
  </si>
  <si>
    <t>Which two leading roles did Audra McDonald perform when she was in high school?</t>
  </si>
  <si>
    <t>Olympic class</t>
  </si>
  <si>
    <t>The individual</t>
  </si>
  <si>
    <t>How many general questions are available to opposition leaders?</t>
  </si>
  <si>
    <t>y through the port's trade with Constantinople, and ports on the Black Sea</t>
  </si>
  <si>
    <t>During what type of climate is oxygen 18 in seawater at higher levels?</t>
  </si>
  <si>
    <t>What helped support the Command Module with a propulsion engine and propellants?</t>
  </si>
  <si>
    <t>In which point did the drainage basin of the Amazon split?</t>
  </si>
  <si>
    <t>What comedy for ABC ended its broadcast run in 1986?</t>
  </si>
  <si>
    <t>What did a 1996 study by Perotti examine?</t>
  </si>
  <si>
    <t>transgenes in these plastids cannot be disseminated by pollen</t>
  </si>
  <si>
    <t>Sunday Times University of the Year award</t>
  </si>
  <si>
    <t>late 1920s</t>
  </si>
  <si>
    <t>What did the use of steam engines in farming lead to?</t>
  </si>
  <si>
    <t>pure speech</t>
  </si>
  <si>
    <t>What is another notable university in Warsaw after the University of Warsaw?</t>
  </si>
  <si>
    <t>the Ethiopian Empire</t>
  </si>
  <si>
    <t>What did Tesla's teachers believe he was doing while in school?</t>
  </si>
  <si>
    <t>Which countries were the European Coal and Steel Community agreement between?</t>
  </si>
  <si>
    <t>What did Luther think reason could not be used to test?</t>
  </si>
  <si>
    <t>Central Banking economist Raghuram Rajan argues that "systematic economic inequalities, within the United States and around the world, have created deep financial 'fault lines' that have made [financial] crises more likely to happen than in the past" – the Financial crisis of 2007–08 being the most recent example. To compensate for stagnating and declining purchasing power, political pressure has developed to extend easier credit to the lower and middle income earners – particularly to buy homes – and easier credit in general to keep unemployment rates low. This has given the American economy a tendency to go "from bubble to bubble" fueled by unsustainable monetary stimulation.</t>
  </si>
  <si>
    <t>What is the most frequently employed type of reduction?</t>
  </si>
  <si>
    <t>UNESCO World Heritage Site</t>
  </si>
  <si>
    <t>to the state and its laws</t>
  </si>
  <si>
    <t>Some Normans joined Turkish forces to aid in the destruction of the Armenians vassal-states of Sassoun and Taron in far eastern Anatolia. Later, many took up service with the Armenian state further south in Cilicia and the Taurus Mountains. A Norman named Oursel led a force of "Franks" into the upper Euphrates valley in northern Syria. From 1073 to 1074, 8,000 of the 20,000 troops of the Armenian general Philaretus Brachamius were Normans—formerly of Oursel—led by Raimbaud. They even lent their ethnicity to the name of their castle: Afranji, meaning "Franks." The known trade between Amalfi and Antioch and between Bari and Tarsus may be related to the presence of Italo-Normans in those cities while Amalfi and Bari were under Norman rule in Italy.</t>
  </si>
  <si>
    <t>Why was Polonia relegated from the country's top flight in 2013?</t>
  </si>
  <si>
    <t>late local programming</t>
  </si>
  <si>
    <t>The principle of inclusions and components</t>
  </si>
  <si>
    <t>Science Magazine</t>
  </si>
  <si>
    <t>What company owns the American Broadcasting Company?</t>
  </si>
  <si>
    <t>Where did Tesla begin a new job at in 1882?</t>
  </si>
  <si>
    <t>Why does Fresno only have UHF television stations?</t>
  </si>
  <si>
    <t>What day was Tesla's funeral?</t>
  </si>
  <si>
    <t>After its re-opening, which types of movies did the Tower Theatre show?</t>
  </si>
  <si>
    <t>fourteen</t>
  </si>
  <si>
    <t>a computer network funded by the U.S. National Science Foundation (NSF)</t>
  </si>
  <si>
    <t>can produce both eggs and sperm, meaning it can fertilize its own egg</t>
  </si>
  <si>
    <t>binary alphabet</t>
  </si>
  <si>
    <t>characteristics of the conquering peoples</t>
  </si>
  <si>
    <t>5,000 to 30,000</t>
  </si>
  <si>
    <t>Who leads the Student Government?</t>
  </si>
  <si>
    <t>When did Germany invade Poland and in doing so start World War II?</t>
  </si>
  <si>
    <t>parenchyma cells</t>
  </si>
  <si>
    <t>civilize</t>
  </si>
  <si>
    <t>placebo</t>
  </si>
  <si>
    <t xml:space="preserve">Data from physical experiments can be extrapolated to the field to understand what processes? </t>
  </si>
  <si>
    <t>In what decade did ABC finish transitioning to color?</t>
  </si>
  <si>
    <t>Newcastle University</t>
  </si>
  <si>
    <t>they are ‘directly applicable in all Member States’</t>
  </si>
  <si>
    <t>pharmacists are expected to become more integral within the health care system</t>
  </si>
  <si>
    <t>convection of the mantle</t>
  </si>
  <si>
    <t>Reserved matters are subjects that are outside the legislative competence of the Scotland Parliament. The Scottish Parliament is unable to legislate on such issues that are reserved to, and dealt with at, Westminster (and where Ministerial functions usually lie with UK Government ministers). These include abortion, broadcasting policy, civil service, common markets for UK goods and services, constitution, electricity, coal, oil, gas, nuclear energy, defence and national security, drug policy, employment, foreign policy and relations with Europe, most aspects of transport safety and regulation, National Lottery, protection of borders, social security and stability of UK's fiscal, economic and monetary system.</t>
  </si>
  <si>
    <t>By separating faith and reason, what does Luther honor?</t>
  </si>
  <si>
    <t>the defeat of Napoleon</t>
  </si>
  <si>
    <t>British war plans</t>
  </si>
  <si>
    <t>UNESCO's World Heritage list</t>
  </si>
  <si>
    <t>What amendment to the United States Constitution governs government funding of religious schools?</t>
  </si>
  <si>
    <t>Why did the oil ministers agree to a cut in oil production?</t>
  </si>
  <si>
    <t>the Royal Grammar School</t>
  </si>
  <si>
    <t>consisting of millions of volts and up to 135 feet long</t>
  </si>
  <si>
    <t>private actors</t>
  </si>
  <si>
    <t>valleys</t>
  </si>
  <si>
    <t>methotrexate or azathioprine</t>
  </si>
  <si>
    <t>sword</t>
  </si>
  <si>
    <t>peer tuitions</t>
  </si>
  <si>
    <t>The French Protestant Church of London</t>
  </si>
  <si>
    <t>As previously arranged by his father, Temüjin married Börte of the Onggirat tribe when he was around 16 in order to cement alliances between their respective tribes. Soon after Börte's marriage to Temüjin, she was kidnapped by the Merkits and reportedly given away as a wife. Temüjin rescued her with the help of his friend and future rival, Jamukha, and his protector, Toghrul Khan of the Keraite tribe. She gave birth to a son, Jochi (1185–1226), nine months later, clouding the issue of his parentage. Despite speculation over Jochi, Börte would be Temüjin's only empress, though he did follow tradition by taking several morganatic wives.</t>
  </si>
  <si>
    <t>heat and pressure</t>
  </si>
  <si>
    <t>'tuition-free</t>
  </si>
  <si>
    <t>eicosanoids</t>
  </si>
  <si>
    <t>sea</t>
  </si>
  <si>
    <t>down</t>
  </si>
  <si>
    <t>Three additional putative species</t>
  </si>
  <si>
    <t>Where did Korea border Kublai's territory?</t>
  </si>
  <si>
    <t>What group was responsible for causing more violence in Wittenberg?</t>
  </si>
  <si>
    <t>a proprietary suite of networking protocols developed by Apple Inc</t>
  </si>
  <si>
    <t>modern canalized section</t>
  </si>
  <si>
    <t xml:space="preserve">How many of the schools in Newcastle are independent? </t>
  </si>
  <si>
    <t>What did Luther expound happened to souls after death?</t>
  </si>
  <si>
    <t>chairman</t>
  </si>
  <si>
    <t>What was Tesla's AC system used for in Pittsburgh?</t>
  </si>
  <si>
    <t>quick and decisive defeat</t>
  </si>
  <si>
    <t>in the relevant committee or committees</t>
  </si>
  <si>
    <t>What do professional athletes seek to boost from breathing oxygen?</t>
  </si>
  <si>
    <t>What was Brisbane's job?</t>
  </si>
  <si>
    <t>reports of such pharmacies dispensing substandard products</t>
  </si>
  <si>
    <t>What can the growth elasticity of poverty depend on?</t>
  </si>
  <si>
    <t>In most jurisdictions (such as the United States), pharmacists are regulated separately from physicians. These jurisdictions also usually specify that only pharmacists may supply scheduled pharmaceuticals to the public, and that pharmacists cannot form business partnerships with physicians or give them "kickback" payments. However, the American Medical Association (AMA) Code of Ethics provides that physicians may dispense drugs within their office practices as long as there is no patient exploitation and patients have the right to a written prescription that can be filled elsewhere. 7 to 10 percent of American physicians practices reportedly dispense drugs on their own.</t>
  </si>
  <si>
    <t>How did Luther persuade Archbishop Albrecht to stop the sale of indulgences?</t>
  </si>
  <si>
    <t>The conquest of Cyprus by the Anglo-Norman forces of the Third Crusade opened a new chapter in the history of the island, which would be under Western European domination for the following 380 years. Although not part of a planned operation, the conquest had much more permanent results than initially expected.</t>
  </si>
  <si>
    <t>format incompatible with broadcast TV</t>
  </si>
  <si>
    <t>5% production cut</t>
  </si>
  <si>
    <t>commutative ring R</t>
  </si>
  <si>
    <t>microscopic analysis</t>
  </si>
  <si>
    <t>The Sinclair Broadcast Group is the largest operator of ABC stations by numerical total, owning or providing services to 28 ABC affiliates and two additional subchannel-only affiliates; Sinclair owns the largest ABC subchannel affiliate by market size, WABM-DT2/WDBB-DT2 in the Birmingham market, which serve as repeaters of WBMA-LD (the largest low-power "Big Four" affiliate by market size, which itself is also simulcast on a subchannel of former WBMA satellite WGWW, owned by Sinclair partner company Howard Stirk Holdings). The E. W. Scripps Company is the largest operator of ABC stations in terms of overall market reach, owning 15 ABC-affiliated stations (including affiliates in larger markets such as Cleveland, Phoenix, Detroit and Denver), and through its ownership of Phoenix affiliate KNXV, Las Vegas affiliate KTNV-TV and Tucson affiliate KGUN-TV, the only provider of ABC programming for the majority of Arizona (outside of the Yuma-El Centro market) and Southern Nevada.</t>
  </si>
  <si>
    <t>in an adult plant's apical meristems</t>
  </si>
  <si>
    <t>Steam engines</t>
  </si>
  <si>
    <t>University_of_Chicago</t>
  </si>
  <si>
    <t>Italian Renaissance</t>
  </si>
  <si>
    <t>seawater</t>
  </si>
  <si>
    <t>What is the most feared condition that divers want to avoid?</t>
  </si>
  <si>
    <t>individual state laws</t>
  </si>
  <si>
    <t>What is featured on the city of Fresno's city flag?</t>
  </si>
  <si>
    <t>sea-level rise had dropped</t>
  </si>
  <si>
    <t>multiple paths between any two points</t>
  </si>
  <si>
    <t>On 1 February 2007, the eve of the publication of IPCC's major report on climate, a study was published suggesting that temperatures and sea levels have been rising at or above the maximum rates proposed during the last IPCC report in 2001. The study compared IPCC 2001 projections on temperature and sea level change with observations. Over the six years studied, the actual temperature rise was near the top end of the range given by IPCC's 2001 projection, and the actual sea level rise was above the top of the range of the IPCC projection.</t>
  </si>
  <si>
    <t>a line of five stars</t>
  </si>
  <si>
    <t>subject specialists</t>
  </si>
  <si>
    <t>Who did Luther say that Christians must not slacken in following?</t>
  </si>
  <si>
    <t>What does Piketty feel was the biggest factors in reducing inequality between 1914 to 1945?</t>
  </si>
  <si>
    <t>What alternate payment did Edison offer Tesla?</t>
  </si>
  <si>
    <t>February 8, 1974,</t>
  </si>
  <si>
    <t>2.2 inches</t>
  </si>
  <si>
    <t>When did he first get out of bed following the accident?</t>
  </si>
  <si>
    <t>if they were non-discriminatory</t>
  </si>
  <si>
    <t>The Northern Pride Festival</t>
  </si>
  <si>
    <t>killer T cells</t>
  </si>
  <si>
    <t>poor harvest in 1757</t>
  </si>
  <si>
    <t>7:00 to 9:00 a.m</t>
  </si>
  <si>
    <t>seismic waves</t>
  </si>
  <si>
    <t>About the time of the first landing in 1969, it was decided to use an existing Saturn V to launch the Skylab orbital laboratory pre-built on the ground, replacing the original plan to construct it in orbit from several Saturn IB launches; this eliminated Apollo 20. NASA's yearly budget also began to shrink in light of the successful landing, and NASA also had to make funds available for the development of the upcoming Space Shuttle. By 1971, the decision was made to also cancel missions 18 and 19. The two unused Saturn Vs became museum exhibits at the John F. Kennedy Space Center on Merritt Island, Florida, George C. Marshall Space Center in Huntsville, Alabama, Michoud Assembly Facility in New Orleans, Louisiana, and Lyndon B. Johnson Space Center in Houston, Texas.</t>
  </si>
  <si>
    <t>Fans blame the poor viewership of the late 80's to competition from what show?</t>
  </si>
  <si>
    <t>The inland delta at the mouth of the Rhine is with what Lake?</t>
  </si>
  <si>
    <t>What else was publically questioned?</t>
  </si>
  <si>
    <t>What do supportive teachers spend more time doing?</t>
  </si>
  <si>
    <t>132 million tons</t>
  </si>
  <si>
    <t>What does factorization of prime ideals approximate?</t>
  </si>
  <si>
    <t>What did the crew of Apollo 12 do with parts of the Surveyor they landed near after photographing them?</t>
  </si>
  <si>
    <t>How long did plague last in the Ottoman empire?</t>
  </si>
  <si>
    <t>January 30</t>
  </si>
  <si>
    <t>By what document did the Huguenots confess their faith to the Portuguese in Brazil?</t>
  </si>
  <si>
    <t>During what decade did the campus start to look more modern?</t>
  </si>
  <si>
    <t>What type of organism are cyanobacteria?</t>
  </si>
  <si>
    <t>Ctenophora</t>
  </si>
  <si>
    <t>Pollution of water by nitrates and phosphates will encourage the growth of what?</t>
  </si>
  <si>
    <t>Which church's saint is nicknamed The Martyr?</t>
  </si>
  <si>
    <t>one Commissioner for each of the 28 member states</t>
  </si>
  <si>
    <t>There have been debates as to whether civil disobedience must necessarily be non-violent. Black's Law Dictionary includes non-violence in its definition of civil disobedience. Christian Bay's encyclopedia article states that civil disobedience requires "carefully chosen and legitimate means," but holds that they do not have to be non-violent. It has been argued that, while both civil disobedience and civil rebellion are justified by appeal to constitutional defects, rebellion is much more destructive; therefore, the defects justifying rebellion must be much more serious than those justifying disobedience, and if one cannot justify civil rebellion, then one cannot justify a civil disobedients' use of force and violence and refusal to submit to arrest. Civil disobedients' refraining from violence is also said to help preserve society's tolerance of civil disobedience.</t>
  </si>
  <si>
    <t>Who had no real military power during the Yuan?</t>
  </si>
  <si>
    <t>multi-cultural city</t>
  </si>
  <si>
    <t>ended the true Islamic system</t>
  </si>
  <si>
    <t>shopping destinations</t>
  </si>
  <si>
    <t>Provisional Registration</t>
  </si>
  <si>
    <t>Who was named the president and CEO of ABC after Goldenson suffered a heart attack?</t>
  </si>
  <si>
    <t>difference in potential energy</t>
  </si>
  <si>
    <t>the interconnection of national X.25 networks</t>
  </si>
  <si>
    <t>about 2.5 million</t>
  </si>
  <si>
    <t>solvents</t>
  </si>
  <si>
    <t>the same procedures as for IPCC Assessment Reports</t>
  </si>
  <si>
    <t>geological period of the Ice Ages</t>
  </si>
  <si>
    <t>How was Luther's health for the years of 1531 to 1546?</t>
  </si>
  <si>
    <t>Renaissance</t>
  </si>
  <si>
    <t>poverty, the lack of access to education and weak government institutions</t>
  </si>
  <si>
    <t>stabilize the rest of the chloroplast genome</t>
  </si>
  <si>
    <t>William would eventually gain what throne?</t>
  </si>
  <si>
    <t>Book of Genesis</t>
  </si>
  <si>
    <t>Anglican</t>
  </si>
  <si>
    <t>Between the 1880s and World War II</t>
  </si>
  <si>
    <t>What types of scientists looks for signs of magnetic reversals in igneous rocks within the drill cores?</t>
  </si>
  <si>
    <t>What was thought to decide a person's behavior?</t>
  </si>
  <si>
    <t>A number of researchers (David Rodda, Jacob Vigdor, and Janna Matlack), argue that a shortage of affordable housing – at least in the US – is caused in part by income inequality. David Rodda noted that from 1984 and 1991, the number of quality rental units decreased as the demand for higher quality housing increased (Rhoda 1994:148). Through gentrification of older neighbourhoods, for example, in East New York, rental prices increased rapidly as landlords found new residents willing to pay higher market rate for housing and left lower income families without rental units. The ad valorem property tax policy combined with rising prices made it difficult or impossible for low income residents to keep pace.</t>
  </si>
  <si>
    <t>What is a common punishment in the UK and Ireland?</t>
  </si>
  <si>
    <t>Variable lymphocyte receptors (VLRs)</t>
  </si>
  <si>
    <t>How many fraternities are apart of the university?</t>
  </si>
  <si>
    <t>apostate</t>
  </si>
  <si>
    <t>What was Luther's Disputation of Martin Luther on the Power and Efficacy of Indulgences later called?</t>
  </si>
  <si>
    <t>December 1895</t>
  </si>
  <si>
    <t>the relationship of the number to its corresponding value of Euler's totient function</t>
  </si>
  <si>
    <t>What part of the Teaching Council Act requires registration?</t>
  </si>
  <si>
    <t>An adobe that provides less utility to one person than another is an example of reduced what?</t>
  </si>
  <si>
    <t>its colouring</t>
  </si>
  <si>
    <t>ad valorem property tax policy</t>
  </si>
  <si>
    <t>In the early 1950s, student applications declined as a result of increasing crime and poverty in the Hyde Park neighborhood. In response, the university became a major sponsor of a controversial urban renewal project for Hyde Park, which profoundly affected both the neighborhood's architecture and street plan. During this period the university, like Shimer College and 10 others, adopted an early entrant program that allowed very young students to attend college; in addition, students enrolled at Shimer were enabled to transfer automatically to the University of Chicago after their second year, having taken comparable or identical examinations and courses.</t>
  </si>
  <si>
    <t>fee per unit of information transmitted</t>
  </si>
  <si>
    <t>encourage consensus amongst elected members</t>
  </si>
  <si>
    <t>one way streets</t>
  </si>
  <si>
    <t>Who decides who gets to address the members of Parliament to share their thoughts on issues of faith?</t>
  </si>
  <si>
    <t>certain number of teacher's salaries are paid by the State</t>
  </si>
  <si>
    <t>capacity of the Tyne Tunnel</t>
  </si>
  <si>
    <t>The mechanism for chloroplast DNA (cpDNA) replication has not been conclusively determined, but two main models have been proposed. Scientists have attempted to observe chloroplast replication via electron microscopy since the 1970s. The results of the microscopy experiments led to the idea that chloroplast DNA replicates using a double displacement loop (D-loop). As the D-loop moves through the circular DNA, it adopts a theta intermediary form, also known as a Cairns replication intermediate, and completes replication with a rolling circle mechanism. Transcription starts at specific points of origin. Multiple replication forks open up, allowing replication machinery to transcribe the DNA. As replication continues, the forks grow and eventually converge. The new cpDNA structures separate, creating daughter cpDNA chromosomes.</t>
  </si>
  <si>
    <t>Luther dedicated himself to the Augustinian order, devoting himself to fasting, long hours in prayer, pilgrimage, and frequent confession. Luther described this period of his life as one of deep spiritual despair. He said, "I lost touch with Christ the Savior and Comforter, and made of him the jailer and hangman of my poor soul." Johann von Staupitz, his superior, pointed Luther's mind away from continual reflection upon his sins toward the merits of Christ. He taught that true repentance does not involve self-inflicted penances and punishments but rather a change of heart.</t>
  </si>
  <si>
    <t>granted sacramental authority</t>
  </si>
  <si>
    <t>In 1893, George Westinghouse won the bid to light the 1893 World's Columbian Exposition in Chicago with alternating current, beating out a General Electric bid by one million dollars. This World's Fair devoted a building to electrical exhibits. It was a key event in the history of AC power, as Westinghouse demonstrated the safety, reliability, and efficiency of a fully integrated alternating current system to the American public. At the Columbian Exposition, under a banner announcing the "Tesla Polyphase System", Tesla demonstrated a series of electrical effects previously performed throughout America and Europe,:76 included using high-voltage, high-frequency alternating current to light a wireless gas-discharge lamp.:79 An observer noted:</t>
  </si>
  <si>
    <t>there is no known polynomial-time solution</t>
  </si>
  <si>
    <t>What are the three construction subsectors?</t>
  </si>
  <si>
    <t>self-determined</t>
  </si>
  <si>
    <t>In the encoding of mathematical objects, what is the way in which integers are commonly expressed?</t>
  </si>
  <si>
    <t>What is usual form of oxygen bound compounds?</t>
  </si>
  <si>
    <t>up to a thousand times as many</t>
  </si>
  <si>
    <t>The historic heart of Newcastle is the Grainger Town area. Established on classical streets built by Richard Grainger, a builder and developer, between 1835 and 1842, some of Newcastle upon Tyne's finest buildings and streets lie within this area of the city centre including Grainger Market, Theatre Royal, Grey Street, Grainger Street and Clayton Street. These buildings are predominantly four stories high, with vertical dormers, domes, turrets and spikes. Richard Grainger was said to 'have found Newcastle of bricks and timber and left it in stone'. Of Grainger Town's 450 buildings, 244 are listed, of which 29 are grade I and 49 are grade II*.</t>
  </si>
  <si>
    <t>What does the IPCC rely on for research?</t>
  </si>
  <si>
    <t>In 1501, at the age of 19, he entered the University of Erfurt, which he later described as a beerhouse and whorehouse. He was made to wake at four every morning for what has been described as "a day of rote learning and often wearying spiritual exercises." He received his master's degree in 1505.</t>
  </si>
  <si>
    <t>high humidity</t>
  </si>
  <si>
    <t>As a person gets older, what does the skin produce less of?</t>
  </si>
  <si>
    <t>giving Super Bowl</t>
  </si>
  <si>
    <t>What type of positions would these counties be trying to recruit for?</t>
  </si>
  <si>
    <t>Why was Tanaghrisson supporting British efforts?</t>
  </si>
  <si>
    <t>Kingdom of Sicily</t>
  </si>
  <si>
    <t>What has crime rate been show to be correlated with in a society?</t>
  </si>
  <si>
    <t>the Edict of Fontainebleau</t>
  </si>
  <si>
    <t>a form of anthrax</t>
  </si>
  <si>
    <t>Where do scientists think all of the plagues originated from?</t>
  </si>
  <si>
    <t>Along with the American Institute of Electrical Engineers what other institute eventually became the IEEE?</t>
  </si>
  <si>
    <t>Sage Gateshead Music and Arts Centre</t>
  </si>
  <si>
    <t>Brocard's conjecture</t>
  </si>
  <si>
    <t>Which of ABC's main production facilities is located in New York City?</t>
  </si>
  <si>
    <t>the king of France</t>
  </si>
  <si>
    <t>Like many cities in Central and Eastern Europe, infrastructure in Warsaw suffered considerably during its time as an Eastern Bloc economy – though it is worth mentioning that the initial Three-Year Plan to rebuild Poland (especially Warsaw) was a major success, but what followed was very much the opposite. However, over the past decade Warsaw has seen many improvements due to solid economic growth, an increase in foreign investment as well as funding from the European Union. In particular, the city's metro, roads, sidewalks, health care facilities and sanitation facilities have improved markedly.</t>
  </si>
  <si>
    <t>Subutai and Jebe</t>
  </si>
  <si>
    <t>104 °F</t>
  </si>
  <si>
    <t>can include arbitrarily many instances of 1 in any factorization</t>
  </si>
  <si>
    <t>whether the organelle carries out the last leg of the pathway or if it happens in the cytosol</t>
  </si>
  <si>
    <t>pharmacists cannot form business partnerships with physicians or give them "kickback" payments</t>
  </si>
  <si>
    <t>What was the U.S. Information Agency charged with doing during the Cold War?</t>
  </si>
  <si>
    <t>What can an enthusiastic teacher be to a young student?</t>
  </si>
  <si>
    <t>The collection of textiles consists of more than 53,000 examples, mainly western European though all populated continents are represented, dating from the 1st century AD to the present, this is the largest such collection in the world. Techniques represented include weaving, printing, quilting embroidery, lace, tapestry and carpets. These are classified by technique, countries of origin and date of production. The collections are well represented in these areas: early silks from the Near East, lace, European tapestries and English medieval church embroidery.</t>
  </si>
  <si>
    <t>bans</t>
  </si>
  <si>
    <t>Cyanobacteria</t>
  </si>
  <si>
    <t>What nationality is the band Coldplay?</t>
  </si>
  <si>
    <t>Prime ideals</t>
  </si>
  <si>
    <t>It has won the Short Form of the Hugo Award for Best Dramatic Presentation, the oldest science fiction/fantasy award for films and series, six times (every year since 2006, except for 2009, 2013 and 2014). The winning episodes were "The Empty Child"/"The Doctor Dances" (2006), "The Girl in the Fireplace" (2007), "Blink" (2008), "The Waters of Mars" (2010), "The Pandorica Opens"/"The Big Bang" (2011), and "The Doctor's Wife" (2012). Doctor Who star Matt Smith won Best Actor in the 2012 National Television awards alongside Karen Gillan who won Best Actress. Doctor Who has been nominated for over 200 awards and has won over a hundred of them.</t>
  </si>
  <si>
    <t>What platform was Sentanta Sports planning on launching on?</t>
  </si>
  <si>
    <t>France</t>
  </si>
  <si>
    <t>mistreatment from government officials</t>
  </si>
  <si>
    <t>necessary</t>
  </si>
  <si>
    <t>declare martial law and sent the state militia to maintain order</t>
  </si>
  <si>
    <t>Scots, Gaelic, or any other language with the agreement of the Presiding Officer</t>
  </si>
  <si>
    <t>What do you get when you figure the sum of forces with vector addition?</t>
  </si>
  <si>
    <t>less than or equal to the square root of n</t>
  </si>
  <si>
    <t>Pusey Library</t>
  </si>
  <si>
    <t>ten-horsepower</t>
  </si>
  <si>
    <t>a shortage of male teachers</t>
  </si>
  <si>
    <t>What other sources of high oxidative potential can add to a fire?</t>
  </si>
  <si>
    <t>What church in Virginia is maintained by Huguenots as a historic shrine?</t>
  </si>
  <si>
    <t>What does zhèng mean?</t>
  </si>
  <si>
    <t>Carolina suffered a major setback when Thomas Davis, an 11-year veteran who had already overcome three ACL tears in his career, went down with a broken arm in the NFC Championship Game. Despite this, he insisted he would still find a way to play in the Super Bowl. His prediction turned out to be accurate.</t>
  </si>
  <si>
    <t>What is the upper house of the Parliament of Victoria called?</t>
  </si>
  <si>
    <t>North American</t>
  </si>
  <si>
    <t>rises in sea levels</t>
  </si>
  <si>
    <t>singularly</t>
  </si>
  <si>
    <t>The Reconstruction of Religious Thought in Islam</t>
  </si>
  <si>
    <t>orbital scientific instrument package</t>
  </si>
  <si>
    <t>political and monetary dominance</t>
  </si>
  <si>
    <t>intense light</t>
  </si>
  <si>
    <t>The complexity class P is often seen as a mathematical abstraction modeling those computational tasks that admit an efficient algorithm. This hypothesis is called the Cobham–Edmonds thesis. The complexity class NP, on the other hand, contains many problems that people would like to solve efficiently, but for which no efficient algorithm is known, such as the Boolean satisfiability problem, the Hamiltonian path problem and the vertex cover problem. Since deterministic Turing machines are special non-deterministic Turing machines, it is easily observed that each problem in P is also member of the class NP.</t>
  </si>
  <si>
    <t>over the Spring bank holiday</t>
  </si>
  <si>
    <t>What must the integer m be less than or equal to when performing trial division?</t>
  </si>
  <si>
    <t>indecomposability</t>
  </si>
  <si>
    <t>Changes in rainfall reduced what kind of vegetation cover in the Amazon basin?</t>
  </si>
  <si>
    <t>grana and thylakoids</t>
  </si>
  <si>
    <t>What did Tesla first receive after starting his company?</t>
  </si>
  <si>
    <t>What does the beroe do when pursuing prey?</t>
  </si>
  <si>
    <t>What type of district is southern California home to many of?</t>
  </si>
  <si>
    <t>Class II MHC molecules</t>
  </si>
  <si>
    <t>Oxygen is the oxidant</t>
  </si>
  <si>
    <t>terrorist groups</t>
  </si>
  <si>
    <t>the Yassa code</t>
  </si>
  <si>
    <t>Students at the University of Chicago run over 400 clubs and organizations known as Recognized Student Organizations (RSOs). These include cultural and religious groups, academic clubs and teams, and common-interest organizations. Notable extracurricular groups include the University of Chicago College Bowl Team, which has won 118 tournaments and 15 national championships, leading both categories internationally. The university's competitive Model United Nations team was the top ranked team in North America in 2013-14 and 2014-2015. Among notable RSOs are the nation's longest continuously running student film society Doc Films, organizing committee for the University of Chicago Scavenger Hunt, the twice-weekly student newspaper The Chicago Maroon, the alternative weekly student newspaper South Side Weekly, the nation's second oldest continuously running student improvisational theater troupe Off-Off Campus, and the university-owned radio station WHPK.</t>
  </si>
  <si>
    <t>What do isolated, spaced out graves of plague victims indicate?</t>
  </si>
  <si>
    <t>Doctor of Theology</t>
  </si>
  <si>
    <t>assigned them to the company in lieu of stock.</t>
  </si>
  <si>
    <t>Who is to blame for acting unjustly?</t>
  </si>
  <si>
    <t>does not infringe the rights of others</t>
  </si>
  <si>
    <t>occupancy permit</t>
  </si>
  <si>
    <t>Hindu and Buddhist sculptures</t>
  </si>
  <si>
    <t>level of the top tax rate</t>
  </si>
  <si>
    <t>its continental North American possessions east of the Mississippi or the Caribbean islands</t>
  </si>
  <si>
    <t>the machine gun</t>
  </si>
  <si>
    <t>two-man</t>
  </si>
  <si>
    <t>Presiding Officer</t>
  </si>
  <si>
    <t>American Sweetgum</t>
  </si>
  <si>
    <t>communicating with patients</t>
  </si>
  <si>
    <t>What was Jacksonville referred to as after the consolidation?</t>
  </si>
  <si>
    <t>$159 million</t>
  </si>
  <si>
    <t>Warsaw Uprising Museum</t>
  </si>
  <si>
    <t>Frontiers from between Nova Scotia and Acadia in the north, to the Ohio Country in the south, were claimed by both sides</t>
  </si>
  <si>
    <t>Who sets the work agenda and allocates time in the chamber?</t>
  </si>
  <si>
    <t>owner of the property</t>
  </si>
  <si>
    <t>William Hanna and Joseph Barbera</t>
  </si>
  <si>
    <t>Oxygen was discovered independently by Carl Wilhelm Scheele, in Uppsala, in 1773 or earlier, and Joseph Priestley in Wiltshire, in 1774, but Priestley is often given priority because his work was published first. The name oxygen was coined in 1777 by Antoine Lavoisier, whose experiments with oxygen helped to discredit the then-popular phlogiston theory of combustion and corrosion. Its name derives from the Greek roots ὀξύς oxys, "acid", literally "sharp", referring to the sour taste of acids and -γενής -genes, "producer", literally "begetter", because at the time of naming, it was mistakenly thought that all acids required oxygen in their composition. Common uses of oxygen includes the production cycle of steel, plastics and textiles, brazing, welding and cutting of steels and other metals, rocket propellant, in oxygen therapy and life support systems in aircraft, submarines, spaceflight and diving.</t>
  </si>
  <si>
    <t>6 feet 2 inches (1.88 m)</t>
  </si>
  <si>
    <t>higher GDP growth</t>
  </si>
  <si>
    <t>What is the highest peak in Victoria?</t>
  </si>
  <si>
    <t>the Black Death was much faster than that of modern bubonic plague</t>
  </si>
  <si>
    <t>the Calvin cycle</t>
  </si>
  <si>
    <t>Mexico–United States border</t>
  </si>
  <si>
    <t>oxygen masks</t>
  </si>
  <si>
    <t>rounded</t>
  </si>
  <si>
    <t>Deforestation is the conversion of forested areas to non-forested areas. The main sources of deforestation in the Amazon are human settlement and development of the land. Prior to the early 1960s, access to the forest's interior was highly restricted, and the forest remained basically intact. Farms established during the 1960s were based on crop cultivation and the slash and burn method. However, the colonists were unable to manage their fields and the crops because of the loss of soil fertility and weed invasion. The soils in the Amazon are productive for just a short period of time, so farmers are constantly moving to new areas and clearing more land. These farming practices led to deforestation and caused extensive environmental damage. Deforestation is considerable, and areas cleared of forest are visible to the naked eye from outer space.</t>
  </si>
  <si>
    <t>Kenya's various ethnic groups typically speak their mother tongues within their own communities</t>
  </si>
  <si>
    <t>Warner tried with mixed success to adapt some of its most successful films as ABC television series, and showcase these adaptations as part of the wheel series Warner Bros. Presents. Airing during the 1955–56 season, it showcased television adaptations of the 1942 films Kings Row and Casablanca; Cheyenne (adapted from the 1947 film Wyoming Kid); Sugarfoot (a remake of the 1954 film The Boy from Oklahoma); and Maverick. However, the most iconic of ABC's relationships with Hollywood producers was its agreement with Walt Disney; after the start of the network's bond with the Disney studio, James Lewis Baughman, who worked as a columnist at that time, observed that "at ABC's headquarters in New York, the secretaries [were now] wearing hats with Mickey Mouse ears".</t>
  </si>
  <si>
    <t>How would the capabilities approach achieve it's goal?</t>
  </si>
  <si>
    <t>Which other empires or dynasties did Genghis Khan conquer?</t>
  </si>
  <si>
    <t>The fourth Yuan emperor, Buyantu Khan (Ayurbarwada), was a competent emperor. He was the first Yuan emperor to actively support and adopt mainstream Chinese culture after the reign of Kublai, to the discontent of some Mongol elite. He had been mentored by Li Meng, a Confucian academic. He made many reforms, including the liquidation of the Department of State Affairs (Chinese: 尚書省), which resulted in the execution of five of the highest-ranking officials. Starting in 1313 the traditional imperial examinations were reintroduced for prospective officials, testing their knowledge on significant historical works. Also, he codified much of the law, as well as publishing or translating a number of Chinese books and works.</t>
  </si>
  <si>
    <t>1702 and 1709</t>
  </si>
  <si>
    <t>What kind of death did Luther say the revolting peasants deserve?</t>
  </si>
  <si>
    <t>Warsaw, especially its city centre (Śródmieście), is home not only to many national institutions and government agencies, but also to many domestic and international companies. In 2006, 304,016 companies were registered in the city. Warsaw's ever-growing business community has been noticed globally, regionally, and nationally. MasterCard Emerging Market Index has noted Warsaw's economic strength and commercial center. Moreover, Warsaw was ranked as the 7th greatest emerging market. Foreign investors' financial participation in the city's development was estimated in 2002 at over 650 million euro. Warsaw produces 12% of Poland's national income, which in 2008 was 305.1% of the Polish average, per capita (or 160% of the European Union average). The GDP per capita in Warsaw amounted to PLN 94 000 in 2008 (c. EUR 23 800, USD 33 000). Total nominal GDP of the city in 2010 amounted to 191.766 billion PLN, 111696 PLN per capita, which was 301,1 % of Polish average. Warsaw leads the region of East-Central Europe in foreign investment and in 2006, GDP growth met expectations with a level of 6.1%. It also has one of the fastest growing economies, with GDP growth at 6.5 percent in 2007 and 6.1 percent in the first quarter of 2008.</t>
  </si>
  <si>
    <t>What does a U.S. census report state that even after other factors there still exists this between earnings of men and women?</t>
  </si>
  <si>
    <t>the carriage of their respective basic channels</t>
  </si>
  <si>
    <t>any member of the Scottish Government</t>
  </si>
  <si>
    <t>Most species are hermaphrodites</t>
  </si>
  <si>
    <t>the Pechenegs, the Bulgars, and especially the Seljuk Turks</t>
  </si>
  <si>
    <t>the action-reaction law</t>
  </si>
  <si>
    <t>great amount of it</t>
  </si>
  <si>
    <t>What made the student decide to occupy the president's office in protest?</t>
  </si>
  <si>
    <t>moist tropical</t>
  </si>
  <si>
    <t>The Panthers defense gave up just 308 points, ranking sixth in the league, while also leading the NFL in interceptions with 24 and boasting four Pro Bowl selections. Pro Bowl defensive tackle Kawann Short led the team in sacks with 11, while also forcing three fumbles and recovering two. Fellow lineman Mario Addison added 6½ sacks. The Panthers line also featured veteran defensive end Jared Allen, a 5-time pro bowler who was the NFL's active career sack leader with 136, along with defensive end Kony Ealy, who had 5 sacks in just 9 starts. Behind them, two of the Panthers three starting linebackers were also selected to play in the Pro Bowl: Thomas Davis and Luke Kuechly. Davis compiled 5½ sacks, four forced fumbles, and four interceptions, while Kuechly led the team in tackles (118) forced two fumbles, and intercepted four passes of his own. Carolina's secondary featured Pro Bowl safety Kurt Coleman, who led the team with a career high seven interceptions, while also racking up 88 tackles and Pro Bowl cornerback Josh Norman, who developed into a shutdown corner during the season and had four interceptions, two of which were returned for touchdowns.</t>
  </si>
  <si>
    <t>a coach</t>
  </si>
  <si>
    <t>In 1973, Nixon named William E. Simon as the first Administrator of the Federal Energy Office, a short-term organization created to coordinate the response to the embargo. Simon allocated states the same amount of domestic oil for 1974 that each had consumed in 1972, which worked for states whose populations were not increasing. In other states, lines at gasoline stations were common. The American Automobile Association reported that in the last week of February 1974, 20% of American gasoline stations had no fuel.</t>
  </si>
  <si>
    <t>Dutch East India Company</t>
  </si>
  <si>
    <t>How long was Warsaw occupied by Germany?</t>
  </si>
  <si>
    <t>Where was it shown to have a 0.3% prevalence of sexual abuse by professionals?</t>
  </si>
  <si>
    <t>The other category of schools are those run and partly or fully funded by private individuals, private organizations and religious groups. The ones that accept government funds are called 'aided' schools. The private 'un-aided' schools are fully funded by private parties. The standard and the quality of education is quite high. Technically, these would be categorized as private schools, but many of them have the name "Public School" appended to them, e.g., the Galaxy Public School in Kathmandu. Most of the middle-class families send their children to such schools, which might be in their own city or far off, like boarding schools. The medium of education is English, but as a compulsory subject, Nepali and/or the state's official language is also taught. Preschool education is mostly limited to organized neighbourhood nursery schools.</t>
  </si>
  <si>
    <t>What did the war first start out as being between?</t>
  </si>
  <si>
    <t>How did the leaders of the city of Bukhara respond to the Mongol attack?</t>
  </si>
  <si>
    <t>Lots of tumor cells have fewer of what type of molecule on their surface?</t>
  </si>
  <si>
    <t>A modern example of school discipline in North America and Western Europe relies upon the idea of an assertive teacher who is prepared to impose their will upon a class. Positive reinforcement is balanced with immediate and fair punishment for misbehavior and firm, clear boundaries define what is appropriate and inappropriate behavior. Teachers are expected to respect their students; sarcasm and attempts to humiliate pupils are seen as falling outside of what constitutes reasonable discipline.[verification needed]</t>
  </si>
  <si>
    <t>In what sector are jobs beginning to increase?</t>
  </si>
  <si>
    <t>Since the creation of the Doctor Who character by BBC Television in the early 1960s, a myriad of stories have been published about Doctor Who, in different media: apart from the actual television episodes that continue to be produced by the BBC, there have also been novels, comics, short stories, audio books, radio plays, interactive video games, game books, webcasts, DVD extras, and even stage performances. In this respect it is noteworthy that the BBC takes no position on the canonicity of any of such stories, and producers of the show have expressed distaste for the idea.</t>
  </si>
  <si>
    <t>30 °C</t>
  </si>
  <si>
    <t>ribosome</t>
  </si>
  <si>
    <t>rainfall in the basin during the LGM was lower than for the present</t>
  </si>
  <si>
    <t>£21,000</t>
  </si>
  <si>
    <t>2.666 million</t>
  </si>
  <si>
    <t>What does  oxygen therapy promote the body to take up?</t>
  </si>
  <si>
    <t>Who normally instructs members how to vote?</t>
  </si>
  <si>
    <t>incapacitation</t>
  </si>
  <si>
    <t>What is providing support networks considered to be?</t>
  </si>
  <si>
    <t>dioxygen</t>
  </si>
  <si>
    <t>ABC became an aggressive competitor to NBC and CBS when, continuing NBC Blue's traditions of public service, it aired symphony performances conducted by Paul Whiteman, performances from the Metropolitan Opera, and jazz concerts aired as part of its broadcast of The Chamber Music Society of Lower Basin Street announced by Milton Cross. The network also became known for such suspenseful dramas as Sherlock Holmes, Gang Busters and Counterspy, as well as several mid-afternoon youth-oriented programs. However, ABC made a name for itself by utilizing the practice of counterprogramming, with which it often placed shows of its own against the offerings of NBC and CBS, adopting the use of the Magnetophon tape recorder, brought to the U.S. from Nazi Germany after its conquest, to pre-record its programming. With the help of the Magnetophon, ABC was able to provide its stars with greater freedom in terms of time, and also attract several big names, such as Bing Crosby at a time when NBC and CBS did not allow pre-taped shows.</t>
  </si>
  <si>
    <t>capturing three traders and killing 14 people</t>
  </si>
  <si>
    <t>What did Olivier Roy state underwent a remarkable shift in the second half of the 20th century?</t>
  </si>
  <si>
    <t>bishop has read the appointments at the session of the Annual Conference</t>
  </si>
  <si>
    <t>water level</t>
  </si>
  <si>
    <t>Tesla's uncles</t>
  </si>
  <si>
    <t>most abundant</t>
  </si>
  <si>
    <t>What does the Scotland Act of 2012 extend?</t>
  </si>
  <si>
    <t>Fresno has three large public parks, two in the city limits and one in county land to the southwest. Woodward Park, which features the Shinzen Japanese Gardens, numerous picnic areas and several miles of trails, is in North Fresno and is adjacent to the San Joaquin River Parkway. Roeding Park, near Downtown Fresno, is home to the Fresno Chaffee Zoo, and Rotary Storyland and Playland. Kearney Park is the largest of the Fresno region's park system and is home to historic Kearney Mansion and plays host to the annual Civil War Revisited, the largest reenactment of the Civil War in the west coast of the U.S.</t>
  </si>
  <si>
    <t>toxic waste</t>
  </si>
  <si>
    <t>What is the immune system of the brained known as?</t>
  </si>
  <si>
    <t>What method is used to intuitively assess or quantify the amount of resources required to solve a computational problem?</t>
  </si>
  <si>
    <t>What did Luther claim the church would have to comprise if the law were not taught?</t>
  </si>
  <si>
    <t>at the Cape of Good Hope</t>
  </si>
  <si>
    <t>Which descendants of Genghis Khan tried to dissociate themselves from the Mongol massacres in the Middle East?</t>
  </si>
  <si>
    <t>What are the agents the immune system detects known as?</t>
  </si>
  <si>
    <t>How long is the Upper Rhine Plain?</t>
  </si>
  <si>
    <t>the number of social services that people can access wherever they move</t>
  </si>
  <si>
    <t>Mughal state</t>
  </si>
  <si>
    <t>British telecommunications company</t>
  </si>
  <si>
    <t>Who would decide on the curricula that is consistent and standard?</t>
  </si>
  <si>
    <t>In December 1966, the AS-205 mission was canceled, since the validation of the CSM would be accomplished on the 14-day first flight, and AS-205 would have been devoted to space experiments and contribute no new engineering knowledge about the spacecraft. Its Saturn IB was allocated to the dual mission, now redesignated AS-205/208 or AS-258, planned for August 1967. McDivitt, Scott and Schweickart were promoted to the prime AS-258 crew, and Schirra, Eisele and Cunningham were reassigned as the Apollo 1 backup crew.</t>
  </si>
  <si>
    <t>X-ray imaging</t>
  </si>
  <si>
    <t>What notion keeps it's meaning through both Netonian and Schrodinger physics equations?</t>
  </si>
  <si>
    <t>send him to the best engineering school if he recovered</t>
  </si>
  <si>
    <t>What replaced the Sky+Box?</t>
  </si>
  <si>
    <t>Light</t>
  </si>
  <si>
    <t>Calvin cycle</t>
  </si>
  <si>
    <t>Until the bishop has read the appointments at the session of the Annual Conference,</t>
  </si>
  <si>
    <t>What has risen to be a factor in teaching today?</t>
  </si>
  <si>
    <t>With whom must someone who wants to teach register?</t>
  </si>
  <si>
    <t>deaths of two friends</t>
  </si>
  <si>
    <t>the most giving Super Bowl ever</t>
  </si>
  <si>
    <t>VideoGuard UK</t>
  </si>
  <si>
    <t>system of many biological structures and processes</t>
  </si>
  <si>
    <t>How many Doctor Who soundtracks have been released since 2005?</t>
  </si>
  <si>
    <t>government agencies and large companies (mostly banks and airlines) to build their own dedicated networks</t>
  </si>
  <si>
    <t>Maria Skłodowska-Curie Institute of Oncology</t>
  </si>
  <si>
    <t>11th century</t>
  </si>
  <si>
    <t>The teacher's in a platoon style teaching are usually more _____?</t>
  </si>
  <si>
    <t>AKS primality test</t>
  </si>
  <si>
    <t>What are Plastoglobuli attached to?</t>
  </si>
  <si>
    <t>What might also be required of a teacher to pass, in addition to certification?</t>
  </si>
  <si>
    <t>both adaptive and innate</t>
  </si>
  <si>
    <t>Along with mills and mines, in what industrial locations did steam drive machines?</t>
  </si>
  <si>
    <t>Kenya has a warm and humid tropical climate on its Indian Ocean coastline. The climate is cooler in the savannah grasslands around the capital city, Nairobi, and especially closer to Mount Kenya, which has snow permanently on its peaks. Further inland, in the Nyanza region, there is a hot and dry climate which becomes humid around Lake Victoria, the largest tropical fresh-water lake in the world. This gives way to temperate and forested hilly areas in the neighboring western region. The north-eastern regions along the border with Somalia and Ethiopia are arid and semi-arid areas with near-desert landscapes. Kenya is known for its safaris, diverse climate and geography, and expansive wildlife reserves and national parks such as the East and West Tsavo National Park, the Maasai Mara, Lake Nakuru National Park, and Aberdares National Park. Kenya has several world heritage sites such as Lamu and numerous beaches, including in Diani, Bamburi and Kilifi, where international yachting competitions are held every year.</t>
  </si>
  <si>
    <t>Legislative Council</t>
  </si>
  <si>
    <t>to win an acquittal and avoid imprisonment or a fine</t>
  </si>
  <si>
    <t>What did the IPCC say was mistaken?</t>
  </si>
  <si>
    <t>four men attending Harvard College for every woman</t>
  </si>
  <si>
    <t>Earth's crust</t>
  </si>
  <si>
    <t>to denote unknown or unexplored territory</t>
  </si>
  <si>
    <t>Inflammation</t>
  </si>
  <si>
    <t>What ground based group did Tesla think the weapon could be used on?</t>
  </si>
  <si>
    <t>What's Thomas Piketty's job?</t>
  </si>
  <si>
    <t>What are the two ABC affiliates for Grand Rapids Michigan?</t>
  </si>
  <si>
    <t>As a result, with the exception of the largest markets, ABC was relegated to secondary status on one or both of the existing stations, usually via off-hours clearances (a notable exception during this time was WKST-TV in Youngstown, Ohio, now WYTV, despite the small size of the surrounding market and its close proximity to Cleveland and Pittsburgh even decades before the city's economic collapse). According to Goldenson, this meant that an hour of ABC programming reported five times lower viewership than its competitors. However, the network's intake of money at the time would allow it to accelerate its content production. Still, ABC's limited reach would continue to hobble it for the next two decades; several smaller markets would not grow large enough to support a full-time ABC affiliate until the 1960s, with some very small markets having to wait as late as the 1980s or even the advent of digital television in the 2000s, which allowed stations like WTRF-TV in Wheeling, West Virginia to begin airing ABC programming on a digital subchannel after airing the network's programs outside of recommended timeslots decades before.</t>
  </si>
  <si>
    <t>When the Committee for Non-Violent Action sponsored a protest in August 1957, at the Camp Mercury nuclear test site near Las Vegas, Nevada, 13 of the protesters attempted to enter the test site knowing that they faced arrest. At a pre-arranged announced time, one at a time they stepped across the "line" and were immediately arrested. They were put on a bus and taken to the Nye County seat of Tonopah, Nevada, and arraigned for trial before the local Justice of the Peace, that afternoon. A well known civil rights attorney, Francis Heisler, had volunteered to defend the arrested persons, advising them to plead "nolo contendere", as an alternative to pleading either guilty or not-guilty. The arrested persons were found "guilty," nevertheless, and given suspended sentences, conditional on their not reentering the test site grounds.[citation needed]</t>
  </si>
  <si>
    <t>What did Lindzen criticize about the Summary for Policymakers?</t>
  </si>
  <si>
    <t>cubic interpolation formula</t>
  </si>
  <si>
    <t>What do the three richest people in the world posses more of than the lowest 48 nations together?</t>
  </si>
  <si>
    <t>What would Mongol armies divert in order to cut off the resources of cities they were attacking?</t>
  </si>
  <si>
    <t>over $20 billion</t>
  </si>
  <si>
    <t>Why did OPEC block oil deliveries to the United States?</t>
  </si>
  <si>
    <t>Genghis Khan is credited with bringing the Silk Road under one cohesive political environment. This allowed increased communication and trade between the West, Middle East and Asia, thus expanding the horizons of all three cultural areas. Some historians have noted that Genghis Khan instituted certain levels of meritocracy in his rule, was tolerant of religions and explained his policies clearly to all his soldiers. In Turkey, Genghis Khan is looked on as a great military leader, and it is popular for male children to carry his title as name.</t>
  </si>
  <si>
    <t>What is the area called near the Rhine Gorge with castles from the middle ages?</t>
  </si>
  <si>
    <t>stood by their contents</t>
  </si>
  <si>
    <t>Accounts of Genghis Khan's life are marked by claims of a series of betrayals and conspiracies. These include rifts with his early allies such as Jamukha (who also wanted to be a ruler of Mongol tribes) and Wang Khan (his and his father's ally), his son Jochi, and problems with the most important shaman, who was allegedly trying to drive a wedge between him and his loyal brother Khasar. His military strategies showed a deep interest in gathering good intelligence and understanding the motivations of his rivals, exemplified by his extensive spy network and Yam route systems. He seemed to be a quick student, adopting new technologies and ideas that he encountered, such as siege warfare from the Chinese. He was also ruthless, demonstrated by his tactic of measuring against the linchpin, used against the tribes led by Jamukha.</t>
  </si>
  <si>
    <t>uniformitarianism</t>
  </si>
  <si>
    <t>With whom are teachers required to register?</t>
  </si>
  <si>
    <t>each packet includes complete addressing information</t>
  </si>
  <si>
    <t>Lepidodinium viride and its close relatives are dinophytes that lost their original peridinin chloroplast and replaced it with a green algal derived chloroplast (more specifically, a prasinophyte). Lepidodinium is the only dinophyte that has a chloroplast that's not from the rhodoplast lineage. The chloroplast is surrounded by two membranes and has no nucleomorph—all the nucleomorph genes have been transferred to the dinophyte nucleus. The endosymbiotic event that led to this chloroplast was serial secondary endosymbiosis rather than tertiary endosymbiosis—the endosymbiont was a green alga containing a primary chloroplast (making a secondary chloroplast).</t>
  </si>
  <si>
    <t>Soon after gaining Florida, what did the English do?</t>
  </si>
  <si>
    <t>What part of the UMC calls for its bishops to uphold opposition to capital punishment?</t>
  </si>
  <si>
    <t>attacks on Jews</t>
  </si>
  <si>
    <t>Shamanist, Buddhist or Christian</t>
  </si>
  <si>
    <t>10 o'clock</t>
  </si>
  <si>
    <t>rebuild St. Peter's Basilica</t>
  </si>
  <si>
    <t>Building construction</t>
  </si>
  <si>
    <t>national anthem</t>
  </si>
  <si>
    <t>What Lake in a German island Mainau receives a fraction of the Rhine's flow?</t>
  </si>
  <si>
    <t>three-part explanation of the Apostles' Creed</t>
  </si>
  <si>
    <t>What is the theory that this King's name is the origin of "Huguenot" called?</t>
  </si>
  <si>
    <t>the Bureau of Buddhist and Tibetan Affairs</t>
  </si>
  <si>
    <t>all within a few hundred feet of each other</t>
  </si>
  <si>
    <t>135 feet</t>
  </si>
  <si>
    <t>Why would a teacher's college exist?</t>
  </si>
  <si>
    <t>economic separation</t>
  </si>
  <si>
    <t>There were two kinds of X.25 networks. Some such as DATAPAC and TRANSPAC were initially implemented with an X.25 external interface. Some older networks such as TELENET and TYMNET were modified to provide a X.25 host interface in addition to older host connection schemes. DATAPAC was developed by Bell Northern Research which was a joint venture of Bell Canada (a common carrier) and Northern Telecom (a telecommunications equipment supplier). Northern Telecom sold several DATAPAC clones to foreign PTTs including the Deutsche Bundespost. X.75 and X.121 allowed the interconnection of national X.25 networks. A user or host could call a host on a foreign network by including the DNIC of the remote network as part of the destination address.[citation needed]</t>
  </si>
  <si>
    <t>Central and Western Europe</t>
  </si>
  <si>
    <t>pulmonary fibrosis</t>
  </si>
  <si>
    <t>Many of the farms in the Western Cape province in South Africa still bear French names. Many families, today mostly Afrikaans-speaking, have surnames indicating their French Huguenot ancestry. Examples include: Blignaut, Cilliers, de Klerk (Le Clercq), de Villiers, du Plessis, Du Preez (Des Pres), du Randt (Durand), du Toit, Duvenhage(Du Vinage), Franck, Fouche, Fourie (Fleurit), Gervais, Giliomee (Guilliaume), Gous/Gouws (Gauch), Hugo, Jordaan (Jourdan), Joubert, Kriek, Labuschagne (la Buscagne), le Roux, Lombard, Malan, Malherbe, Marais, Maree, Minnaar (Mesnard), Nel (Nell),Naude', Nortje (Nortier), Pienaar (Pinard), Retief (Retif), Rossouw (Rousseau), Taljaard (Taillard), TerBlanche, Theron, Viljoen (Villion) and Visagie (Visage). The wine industry in South Africa owes a significant debt to the Huguenots, some of whom had vineyards in France, or were brandy distillers, and used their skills in their new home.</t>
  </si>
  <si>
    <t>15%–16%</t>
  </si>
  <si>
    <t>lack of a Parliament of Scotland</t>
  </si>
  <si>
    <t>the end itself</t>
  </si>
  <si>
    <t>What series is the longest running program in ABC history?</t>
  </si>
  <si>
    <t>Although Kenya is the biggest and most advanced economy in east and central Africa, and has an affluent urban minority, it has a Human Development Index (HDI) of 0.519, ranked 145 out of 186 in the world. As of 2005, 17.7% of Kenyans lived on less than $1.25 a day. The important agricultural sector is one of the least developed and largely inefficient, employing 75% of the workforce compared to less than 3% in the food secure developed countries. Kenya is usually classified as a frontier market or occasionally an emerging market, but it is not one of the least developed countries.</t>
  </si>
  <si>
    <t>Black_Death</t>
  </si>
  <si>
    <t>the mother</t>
  </si>
  <si>
    <t>theatre</t>
  </si>
  <si>
    <t>Luther had published his German translation of the New Testament in 1522, and he and his collaborators completed the translation of the Old Testament in 1534, when the whole Bible was published. He continued to work on refining the translation until the end of his life. Others had translated the Bible into German, but Luther tailored his translation to his own doctrine. When he was criticised for inserting the word "alone" after "faith" in Romans 3:28, he replied in part: "[T]he text itself and the meaning of St. Paul urgently require and demand it. For in that very passage he is dealing with the main point of Christian doctrine, namely, that we are justified by faith in Christ without any works of the Law. ... But when works are so completely cut away – and that must mean that faith alone justifies – whoever would speak plainly and clearly about this cutting away of works will have to say, 'Faith alone justifies us, and not works'."</t>
  </si>
  <si>
    <t>Where did French fur trappers travel?</t>
  </si>
  <si>
    <t>What policy did Stalin implement shortly after Lenin's Death?</t>
  </si>
  <si>
    <t>What is the opposite of an ongoing role of teaching?</t>
  </si>
  <si>
    <t>The term "southern" California usually refers to how many of the southern-most counties of the state?</t>
  </si>
  <si>
    <t>by having colloblasts</t>
  </si>
  <si>
    <t>In 1952, when the release of the FCC's Sixth Report and Order announced the end of its freeze on new station license applications, among the issues the Commission was slated to address was whether to approve the UPT-ABC merger. One FCC Commissioner saw the possibility of ABC, funded by UPT, becoming a viable and competitive third television network. On February 9, 1953, the FCC approved UPT's purchase of ABC in exchange for $25 million in shares. The merged company, renamed American Broadcasting-Paramount Theatres, Inc. and headquartered in the Paramount Building at 1501 Broadway in Manhattan, owned six AM and several FM radio stations, five television stations and 644 cinemas in 300 U.S. cities. To comply with FCC ownership restrictions in effect at the time that barred common ownership of two television stations in the same market, UPT sold its Chicago television station, WBKB-TV, to CBS (which subsequently changed the station's call letters to WBBM-TV) for $6 million, while it kept ABC's existing Chicago station, WENR-TV. The merged company acquired the WBKB call letters for channel 7, which would eventually become WLS-TV. Goldenson began to sell some of the older theaters to help finance the new television network.</t>
  </si>
  <si>
    <t>The Republic of Kenya is named after Mount Kenya. The origin of the name Kenya is not clear, but perhaps linked to the Kikuyu, Embu and Kamba words Kirinyaga, Kirenyaa and Kiinyaa which mean "God's resting place" in all three languages. If so, then the British may not so much have mispronounced it ('Keenya'), as misspelled it. Prehistoric volcanic eruptions of Mount Kenya (now extinct) may have resulted in its association with divinity and creation among the indigenous Bantu ethnic groups, who are the native inhabitants of the agricultural land surrounding Mount Kenya.[original research?]</t>
  </si>
  <si>
    <t>What period opened the Tethys Ocean?</t>
  </si>
  <si>
    <t>To where did Ethelred flee?</t>
  </si>
  <si>
    <t>more capital</t>
  </si>
  <si>
    <t>considerable impact</t>
  </si>
  <si>
    <t>an amending treaty</t>
  </si>
  <si>
    <t>Which articles state that the member states' rights to deliver public services may not be obstructed?</t>
  </si>
  <si>
    <t>about three</t>
  </si>
  <si>
    <t>Sir Charles Lyell first published his famous book, Principles of Geology, in 1830. This book, which influenced the thought of Charles Darwin, successfully promoted the doctrine of uniformitarianism. This theory states that slow geological processes have occurred throughout the Earth's history and are still occurring today. In contrast, catastrophism is the theory that Earth's features formed in single, catastrophic events and remained unchanged thereafter. Though Hutton believed in uniformitarianism, the idea was not widely accepted at the time.</t>
  </si>
  <si>
    <t>Oxygen gas can also be produced through electrolysis of water into molecular oxygen and hydrogen. DC electricity must be used: if AC is used, the gases in each limb consist of hydrogen and oxygen in the explosive ratio 2:1. Contrary to popular belief, the 2:1 ratio observed in the DC electrolysis of acidified water does not prove that the empirical formula of water is H2O unless certain assumptions are made about the molecular formulae of hydrogen and oxygen themselves. A similar method is the electrocatalytic O
2 evolution from oxides and oxoacids. Chemical catalysts can be used as well, such as in chemical oxygen generators or oxygen candles that are used as part of the life-support equipment on submarines, and are still part of standard equipment on commercial airliners in case of depressurization emergencies. Another air separation technology involves forcing air to dissolve through ceramic membranes based on zirconium dioxide by either high pressure or an electric current, to produce nearly pure O
2 gas.</t>
  </si>
  <si>
    <t>scorpion venom</t>
  </si>
  <si>
    <t>the solution</t>
  </si>
  <si>
    <t>What did the hymn, Aus tiefer Not express?</t>
  </si>
  <si>
    <t>two to a hundred</t>
  </si>
  <si>
    <t>sacramental union</t>
  </si>
  <si>
    <t>the historical era</t>
  </si>
  <si>
    <t>Bantu and Nilotic</t>
  </si>
  <si>
    <t>Sui and Tang dynasties</t>
  </si>
  <si>
    <t xml:space="preserve">What natural phenomenon did Tesla create artificially? </t>
  </si>
  <si>
    <t>What Mongolian system did Kublai's government compromise with?</t>
  </si>
  <si>
    <t>Why is giving a defiant speech sometimes more harmful for the individual?</t>
  </si>
  <si>
    <t>new absolute</t>
  </si>
  <si>
    <t>bought prints for broadcast</t>
  </si>
  <si>
    <t>adopted Luther's tune</t>
  </si>
  <si>
    <t>In a steam turbine, what are rotors mounted on?</t>
  </si>
  <si>
    <t>The Book of Roger</t>
  </si>
  <si>
    <t>The issues of conflicting territorial claims between British and French colonies</t>
  </si>
  <si>
    <t>What did the civil war leave the state of Afghanistan's economy in?</t>
  </si>
  <si>
    <t>The War of the Austrian Succession (whose North American theater is known as King George's War) formally ended in 1748 with the signing of the Treaty of Aix-la-Chapelle. The treaty was primarily focused on resolving issues in Europe. The issues of conflicting territorial claims between British and French colonies in North America were turned over to a commission to resolve, but it reached no decision. Frontiers from between Nova Scotia and Acadia in the north, to the Ohio Country in the south, were claimed by both sides. The disputes also extended into the Atlantic Ocean, where both powers wanted access to the rich fisheries of the Grand Banks off Newfoundland.</t>
  </si>
  <si>
    <t>What is the name of Harvard's primary recreational sports facility?</t>
  </si>
  <si>
    <t>through various associations</t>
  </si>
  <si>
    <t>jail solidarity</t>
  </si>
  <si>
    <t>What is the name of another type of modern primality test?</t>
  </si>
  <si>
    <t>helicoid stromal thylakoids</t>
  </si>
  <si>
    <t>engage in moral dialogue</t>
  </si>
  <si>
    <t>the oldest street in the United States of America</t>
  </si>
  <si>
    <t>competition</t>
  </si>
  <si>
    <t>When did Marconi transmit similar signals to those Tesla received?</t>
  </si>
  <si>
    <t>St. Elizabeth's</t>
  </si>
  <si>
    <t>Where do cryptophyte chloroplasts store starch?</t>
  </si>
  <si>
    <t>How many television and radio channels could the new digital service carry?</t>
  </si>
  <si>
    <t>five to ten years</t>
  </si>
  <si>
    <t>immunoglobulins</t>
  </si>
  <si>
    <t>Who teaches in secondary schools?</t>
  </si>
  <si>
    <t>Climate fluctuations</t>
  </si>
  <si>
    <t>in the wider community</t>
  </si>
  <si>
    <t>Who gave Tesla money to go to Prague?</t>
  </si>
  <si>
    <t>Laszlo Babai and Eugene Luks</t>
  </si>
  <si>
    <t>Who led the Kievian Rus' troops against Subutai's Mongol army?</t>
  </si>
  <si>
    <t>hydroelectric stations at dams</t>
  </si>
  <si>
    <t>What are the two ABC affiliates for Tampa, Florida?</t>
  </si>
  <si>
    <t>Stanley Steamer</t>
  </si>
  <si>
    <t>roads</t>
  </si>
  <si>
    <t>What did CBS provide of the Super Bowl 50 broadcast for its website, some apps and media players?</t>
  </si>
  <si>
    <t>Vendobionta lived during which period?</t>
  </si>
  <si>
    <t>three times</t>
  </si>
  <si>
    <t>warming</t>
  </si>
  <si>
    <t>Hero of Alexandria</t>
  </si>
  <si>
    <t>What ABC comedy had the record for the longest running comedy until being passed by the Simpsons in 2002?</t>
  </si>
  <si>
    <t>What do forces have with regard to additive quantities?</t>
  </si>
  <si>
    <t xml:space="preserve">How many types of X.25 networks were there originally </t>
  </si>
  <si>
    <t>The procedure continues until what?</t>
  </si>
  <si>
    <t>the balance of religious beliefs</t>
  </si>
  <si>
    <t>double coronation</t>
  </si>
  <si>
    <t>Why would one plead guilty to a crime involving civil disobedience?</t>
  </si>
  <si>
    <t>What can a teacher use to help students learn?</t>
  </si>
  <si>
    <t>Legislative power in Warsaw is vested in a unicameral Warsaw City Council (Rada Miasta), which comprises 60 members. Council members are elected directly every four years. Like most legislative bodies, the City Council divides itself into committees which have the oversight of various functions of the city government. Bills passed by a simple majority are sent to the mayor (the President of Warsaw), who may sign them into law. If the mayor vetoes a bill, the Council has 30 days to override the veto by a two-thirds majority vote.</t>
  </si>
  <si>
    <t>If q=9 and a=1,2,4,5,7, or 8, how many primes would be in a progression?</t>
  </si>
  <si>
    <t>What purpose would Luther have in not wanting to ban the Qur'an?</t>
  </si>
  <si>
    <t>Which court argued that the Treaty of Rome did not prevent energy nationalism?</t>
  </si>
  <si>
    <t>Who did Genghis Khan unite before he began conquering the rest of Eurasia?</t>
  </si>
  <si>
    <t>out of every six</t>
  </si>
  <si>
    <t>static discs</t>
  </si>
  <si>
    <t>What did Artur Oppman give to the world?</t>
  </si>
  <si>
    <t>What kingdom annexed Warsaw in 1796?</t>
  </si>
  <si>
    <t>When was Kublai's administration running out of money?</t>
  </si>
  <si>
    <t>chronic and complex disease states</t>
  </si>
  <si>
    <t>1972 connections</t>
  </si>
  <si>
    <t>the coronation of Queen Elizabeth II</t>
  </si>
  <si>
    <t>unambiguously demonstrates that Y. pestis was the causative agent of the epidemic plague</t>
  </si>
  <si>
    <t>weekly screenings of all available classic episodes</t>
  </si>
  <si>
    <t>What do clinical pharmacists often participate in?</t>
  </si>
  <si>
    <t>Who were the first two actors that played Doctor Who?</t>
  </si>
  <si>
    <t>What makes energy changes in a closed system?</t>
  </si>
  <si>
    <t>a "Conciliation Committee"</t>
  </si>
  <si>
    <t>The 2005 version of Doctor Who is a direct plot continuation of the original 1963–1989 series[note 2] and the 1996 telefilm. This is similar to the 1988 continuation of Mission Impossible, but differs from most other series relaunches which have either been reboots (for example, Battlestar Galactica and Bionic Woman[citation needed]) or set in the same universe as the original but in a different time period and with different characters (for example, Star Trek: The Next Generation and spin-offs[citation needed]).</t>
  </si>
  <si>
    <t>How did the Better Jacksonville Plan generate money?</t>
  </si>
  <si>
    <t>God</t>
  </si>
  <si>
    <t>make it more difficult for a system to function</t>
  </si>
  <si>
    <t>By 1620 the Huguenots were on the defensive, and the government increasingly applied pressure. A series of three small civil wars known as the Huguenot rebellions broke out, mainly in southwestern France, between 1621 and 1629. revolted against royal authority. The uprising occurred a decade following the death of Henry IV, a Huguenot before converting to Catholicism, who had protected Protestants through the Edict of Nantes. His successor Louis XIII, under the regency of his Italian Catholic mother Marie de' Medici, became more intolerant of Protestantism. The Huguenots respond by establishing independent political and military structures, establishing diplomatic contacts with foreign powers, and openly revolting against central power. The rebellions were implacably suppressed by the French Crown.[citation needed]</t>
  </si>
  <si>
    <t>ordained by a bishop</t>
  </si>
  <si>
    <t>In the United States, each state determines the requirements for getting a license to teach in public schools. Teaching certification generally lasts three years, but teachers can receive certificates that last as long as ten years. Public school teachers are required to have a bachelor's degree and the majority must be certified by the state in which they teach. Many charter schools do not require that their teachers be certified, provided they meet the standards to be highly qualified as set by No Child Left Behind. Additionally, the requirements for substitute/temporary teachers are generally not as rigorous as those for full-time professionals. The Bureau of Labor Statistics estimates that there are 1.4 million elementary school teachers, 674,000 middle school teachers, and 1 million secondary school teachers employed in the U.S.</t>
  </si>
  <si>
    <t>more active and lived longer</t>
  </si>
  <si>
    <t>30 to 50 thousand</t>
  </si>
  <si>
    <t>V8 and six cylinder engines</t>
  </si>
  <si>
    <t>Embedded in the thylakoid membranes are important protein complexes which carry out the light reactions of photosynthesis. Photosystem II and photosystem I contain light-harvesting complexes with chlorophyll and carotenoids that absorb light energy and use it to energize electrons. Molecules in the thylakoid membrane use the energized electrons to pump hydrogen ions into the thylakoid space, decreasing the pH and turning it acidic. ATP synthase is a large protein complex that harnesses the concentration gradient of the hydrogen ions in the thylakoid space to generate ATP energy as the hydrogen ions flow back out into the stroma—much like a dam turbine.</t>
  </si>
  <si>
    <t>What received a battering during the Siege of Newcastle?</t>
  </si>
  <si>
    <t>What an the freeman of Newcastle do with their cows on the Town Moor?</t>
  </si>
  <si>
    <t>actual sea level rise was above the top of the range</t>
  </si>
  <si>
    <t>The Eleventh</t>
  </si>
  <si>
    <t>Subsequently, Californios (dissatisfied with inequitable taxes and land laws) and pro-slavery southerners in the lightly populated "Cow Counties" of southern California attempted three times in the 1850s to achieve a separate statehood or territorial status separate from Northern California. The last attempt, the Pico Act of 1859, was passed by the California State Legislature and signed by the State governor John B. Weller. It was approved overwhelmingly by nearly 75% of voters in the proposed Territory of Colorado. This territory was to include all the counties up to the then much larger Tulare County (that included what is now Kings, most of Kern, and part of Inyo counties) and San Luis Obispo County. The proposal was sent to Washington, D.C. with a strong advocate in Senator Milton Latham. However, the secession crisis following the election of Abraham Lincoln in 1860 led to the proposal never coming to a vote.</t>
  </si>
  <si>
    <t>great pestilence in the air</t>
  </si>
  <si>
    <t>The next three drives</t>
  </si>
  <si>
    <t>Warsaw remained the capital of the Polish–Lithuanian Commonwealth until 1796, when it was annexed by the Kingdom of Prussia to become the capital of the province of South Prussia. Liberated by Napoleon's army in 1806, Warsaw was made the capital of the newly created Duchy of Warsaw. Following the Congress of Vienna of 1815, Warsaw became the centre of the Congress Poland, a constitutional monarchy under a personal union with Imperial Russia. The Royal University of Warsaw was established in 1816.</t>
  </si>
  <si>
    <t>Who is an example of a sedentary people who were not favored by the laws of the Mongol Empire?</t>
  </si>
  <si>
    <t>inclusions</t>
  </si>
  <si>
    <t>arm</t>
  </si>
  <si>
    <t>Bayeux Tapestry</t>
  </si>
  <si>
    <t>imperialist influence</t>
  </si>
  <si>
    <t>every four years.</t>
  </si>
  <si>
    <t>water disturbances created by the cilia</t>
  </si>
  <si>
    <t>In 2013, ABC's identity was revamped by what design agency?</t>
  </si>
  <si>
    <t>stock a larger range of medications, including more specialized medications</t>
  </si>
  <si>
    <t>Who listed the Grainger Market architecture as grade 1 in 1954?</t>
  </si>
  <si>
    <t>In April 1970, Congress passed the Public Health Cigarette Smoking Act which banned cigarette advertising from all television and radio networks, including ABC, when it took effect on January 2, 1971. Citing limited profitability of its cinemas, ABC Great States, the Central West division of ABC Theatres, was sold to Henry Plitt in 1974. On January 17, 1972, Elton Rule was named President and Chief Operating Officer of ABC a few months after Goldenson reduced his role in the company after suffering a heart attack.</t>
  </si>
  <si>
    <t>Since when was the Rhine part of the areal of Hallstatt culture?</t>
  </si>
  <si>
    <t>not restored by the communist authorities</t>
  </si>
  <si>
    <t>various allied groups</t>
  </si>
  <si>
    <t>What does high levels of inequality do to growth in poor countries?</t>
  </si>
  <si>
    <t>Cork City</t>
  </si>
  <si>
    <t>machine labor</t>
  </si>
  <si>
    <t>Breast milk</t>
  </si>
  <si>
    <t>What animals does the Vistula river's ecosystem include?</t>
  </si>
  <si>
    <t>100–150</t>
  </si>
  <si>
    <t>In which Middle Eastern country is Genghis Khan's title a popular name for male children?</t>
  </si>
  <si>
    <t>What commemorates Warsaw's heroic history?</t>
  </si>
  <si>
    <t>Secretariat Wing</t>
  </si>
  <si>
    <t>rocketry and manned spaceflight, including avionics, telecommunications, and computers</t>
  </si>
  <si>
    <t>electrical generator</t>
  </si>
  <si>
    <t>What was the final score of the game between the Broncos and Steelers?</t>
  </si>
  <si>
    <t>channels through which inequality may affect economic growth</t>
  </si>
  <si>
    <t>temperatures</t>
  </si>
  <si>
    <t>herring barrels</t>
  </si>
  <si>
    <t>braking radiation</t>
  </si>
  <si>
    <t>two</t>
  </si>
  <si>
    <t>Great Yassa</t>
  </si>
  <si>
    <t>Why are coastal species tough?</t>
  </si>
  <si>
    <t>Academy Awards, Emmy Awards</t>
  </si>
  <si>
    <t>One of the most dramatic parts of the museum is the Cast Courts in the sculpture wing, comprising two large, skylighted rooms two storeys high housing hundreds of plaster casts of sculptures, friezes and tombs. One of these is dominated by a full-scale replica of Trajan's Column, cut in half in order to fit under the ceiling. The other includes reproductions of various works of Italian Renaissance sculpture and architecture, including a full-size replica of Michelangelo's David. Replicas of two earlier Davids by Donatello's David and Verrocchio's David, are also included, although for conservation reasons the Verrocchio replica is displayed in a glass case.</t>
  </si>
  <si>
    <t>silicates (in silicate minerals)</t>
  </si>
  <si>
    <t>to complete the construction of Wardenclyffe</t>
  </si>
  <si>
    <t>A conservative force that acts on a closed system has an associated mechanical work that allows energy to convert only between kinetic or potential forms. This means that for a closed system, the net mechanical energy is conserved whenever a conservative force acts on the system. The force, therefore, is related directly to the difference in potential energy between two different locations in space, and can be considered to be an artifact of the potential field in the same way that the direction and amount of a flow of water can be considered to be an artifact of the contour map of the elevation of an area.</t>
  </si>
  <si>
    <t>The chloroplasts of some hornworts and algae</t>
  </si>
  <si>
    <t>a rolling circle mechanism</t>
  </si>
  <si>
    <t>Deadly Assassin and Mawdryn Undead</t>
  </si>
  <si>
    <t>When was the opening of "Super Bowl City"?</t>
  </si>
  <si>
    <t>various electrical repair jobs</t>
  </si>
  <si>
    <t>Middle Rhine</t>
  </si>
  <si>
    <t>Q or the finite field with p elements</t>
  </si>
  <si>
    <t>When was Levi's Stadium awarded the right to host Super Bowl 50?</t>
  </si>
  <si>
    <t>What sort of waves did he claim to observe?</t>
  </si>
  <si>
    <t>In addition, there are $2 million worth of other ancillary events, including a week-long event at the Santa Clara Convention Center, a beer, wine and food festival at Bellomy Field at Santa Clara University, and a pep rally. A professional fundraiser will aid in finding business sponsors and individual donors, but still may need the city council to help fund the event. Additional funding will be provided by the city council, which has announced plans to set aside seed funding for the event.</t>
  </si>
  <si>
    <t>74 per cent, or 260 of the 352 votes</t>
  </si>
  <si>
    <t>paramagnetic</t>
  </si>
  <si>
    <t>pure O</t>
  </si>
  <si>
    <t>What type of religious behavior was Tesla against?</t>
  </si>
  <si>
    <t>In which regions in particular did Genghis Khan's armies massacre civilians?</t>
  </si>
  <si>
    <t>Tesla went on to pursue his ideas of wireless lighting and electricity distribution in his high-voltage, high-frequency power experiments in New York and Colorado Springs, and made early (1893) pronouncements on the possibility of wireless communication with his devices. He tried to put these ideas to practical use in an ill-fated attempt at intercontinental wireless transmission, his unfinished Wardenclyffe Tower project. In his lab he also conducted a range of experiments with mechanical oscillators/generators, electrical discharge tubes, and early X-ray imaging. He also built a wireless controlled boat, one of the first ever exhibited.</t>
  </si>
  <si>
    <t>Annual Conference Cabinet</t>
  </si>
  <si>
    <t>Which fantasy books have references to Doctor Who?</t>
  </si>
  <si>
    <t>Where did these uprisings take place?</t>
  </si>
  <si>
    <t>Mediterranean geography</t>
  </si>
  <si>
    <t>What does colonialism lack that imperialism has?</t>
  </si>
  <si>
    <t>symbolically present.</t>
  </si>
  <si>
    <t>After detecting stress in a cell</t>
  </si>
  <si>
    <t>early 1970s</t>
  </si>
  <si>
    <t>December 25</t>
  </si>
  <si>
    <t>a broken arm</t>
  </si>
  <si>
    <t>amorphous area of central Europe.</t>
  </si>
  <si>
    <t>U.S</t>
  </si>
  <si>
    <t>In 1939, c. 1,300,000 people lived in Warsaw, but in 1945 – only 420,000. During the first years after the war, the population growth was c. 6%, so shortly the city started to suffer from the lack of flats and of areas for new houses. The first remedial measure was the Warsaw area enlargement (1951) – but the city authorities were still forced to introduce residency registration limitations: only the spouses and children of the permanent residents as well as some persons of public importance (like renowned specialists) were allowed to get the registration, hence halving the population growth in the following years. It also bolstered some kind of conviction among Poles that Varsovians thought of themselves as better only because they lived in the capital. Unfortunately this belief still lives on in Poland (although not as much as it used to be) – even though since 1990 there are no limitations to residency registration anymore.</t>
  </si>
  <si>
    <t>What is the Royal Castle the most interesting example of?</t>
  </si>
  <si>
    <t>ring of integers of quadratic number fields</t>
  </si>
  <si>
    <t>Effective</t>
  </si>
  <si>
    <t>What did the last few of the boilerplate CSM launches carry with them?</t>
  </si>
  <si>
    <t>essential for translation initiation in most chloroplasts and prokaryotes</t>
  </si>
  <si>
    <t>What does the El Centro metropolitan area and San Diego-Carslbad-San Marcos metropolitan area form?</t>
  </si>
  <si>
    <t>What percentage of leukocytes do neutrophils represent?</t>
  </si>
  <si>
    <t>Because of its unpaired electrons</t>
  </si>
  <si>
    <t>The University of Chicago (UChicago, Chicago, or U of C) is a private research university in Chicago. The university, established in 1890, consists of The College, various graduate programs, interdisciplinary committees organized into four academic research divisions and seven professional schools. Beyond the arts and sciences, Chicago is also well known for its professional schools, which include the Pritzker School of Medicine, the University of Chicago Booth School of Business, the Law School, the School of Social Service Administration, the Harris School of Public Policy Studies, the Graham School of Continuing Liberal and Professional Studies and the Divinity School. The university currently enrolls approximately 5,000 students in the College and around 15,000 students overall.</t>
  </si>
  <si>
    <t>9.75/10.600 GHz</t>
  </si>
  <si>
    <t>The physicians of the Yuan court came from diverse cultures. Healers were divided into non-Mongol physicians called otachi and traditional Mongol shamans. The Mongols characterized otachi doctors by their use of herbal remedies, which was distinguished from the spiritual cures of Mongol shamanism. Physicians received official support from the Yuan government and were given special legal privileges. Kublai created the Imperial Academy of Medicine to manage medical treatises and the education of new doctors. Confucian scholars were attracted to the medical profession because it ensured a high income and medical ethics were compatible with Confucian virtues.</t>
  </si>
  <si>
    <t>the state and its laws</t>
  </si>
  <si>
    <t>The plain moraine plateau has only a few natural and artificial ponds and also groups of clay pits. The pattern of the Vistula terraces is asymmetrical. The left side consist mainly of two levels: the highest one contains former flooded terraces and the lowest one the flood plain terrace. The contemporary flooded terrace still has visible valleys and ground depressions with water systems coming from the Vistula old – riverbed. They consist of still quite natural streams and lakes as well as the pattern of drainage ditches. The right side of Warsaw has a different pattern of geomorphological forms. There are several levels of the plain Vistula terraces (flooded as well as former flooded once) and only small part and not so visible moraine escarpment. Aeolian sand with a number of dunes parted by peat swamps or small ponds cover the highest terrace. These are mainly forested areas (pine forest).</t>
  </si>
  <si>
    <t>roughly 260 kilometres</t>
  </si>
  <si>
    <t>to counteract the constant flooding and strong sedimentation in the western Rhine Delta</t>
  </si>
  <si>
    <t>When was the Holocene?</t>
  </si>
  <si>
    <t>taking on debt</t>
  </si>
  <si>
    <t>£1.3bn</t>
  </si>
  <si>
    <t>How many times had Thomas Davis torn his ACL in his career?</t>
  </si>
  <si>
    <t>Shirley and Johnson</t>
  </si>
  <si>
    <t>What type of outlook do some of the Muslims in London have?</t>
  </si>
  <si>
    <t>devil's work</t>
  </si>
  <si>
    <t>oxygen tank was redesigned</t>
  </si>
  <si>
    <t>Fox Network</t>
  </si>
  <si>
    <t>the Temperance Movement</t>
  </si>
  <si>
    <t>Organizational</t>
  </si>
  <si>
    <t>On 8 February 2007</t>
  </si>
  <si>
    <t>peridinin-type chloroplast</t>
  </si>
  <si>
    <t>BSkyB's standard definition broadcasts are in DVB-compliant MPEG-2, with the Sky Movies and Sky Box Office channels including optional Dolby Digital soundtracks for recent films, although these are only accessible with a Sky+ box. Sky+ HD material is broadcast using MPEG-4 and most of the HD material uses the DVB-S2 standard. Interactive services and 7-day EPG use the proprietary OpenTV system, with set-top boxes including modems for a return path. Sky News, amongst other channels, provides a pseudo-video on demand interactive service by broadcasting looping video streams.</t>
  </si>
  <si>
    <t>Innate cells can act as mediators in the activation of what branch of the immune system?</t>
  </si>
  <si>
    <t>inequitable taxes</t>
  </si>
  <si>
    <t>use microscopic analysis of oriented thin sections of geologic samples</t>
  </si>
  <si>
    <t>they produce secretions (ink) that luminesce</t>
  </si>
  <si>
    <t>stereoscopic theatre</t>
  </si>
  <si>
    <t>In order to better understand the orientations of faults and folds, structural geologists do what with measurements of geological structures?</t>
  </si>
  <si>
    <t>the Society of Jesus</t>
  </si>
  <si>
    <t>intuition</t>
  </si>
  <si>
    <t>an Australian public X.25 network operated by Telstra</t>
  </si>
  <si>
    <t>representatives appointed by governments and organizations</t>
  </si>
  <si>
    <t>green chloroplast lineage</t>
  </si>
  <si>
    <t>45 minutes</t>
  </si>
  <si>
    <t>if they are distinct or equal classes</t>
  </si>
  <si>
    <t>What is the name for a problem that meets Ladner's assertion?</t>
  </si>
  <si>
    <t>the Anglo-Saxon populations</t>
  </si>
  <si>
    <t>Immediately after Decision Time a "Members Debate" is held, which lasts for 45 minutes. Members Business is a debate on a motion proposed by an MSP who is not a Scottish minister. Such motions are on issues which may be of interest to a particular area such as a member's own constituency, an upcoming or past event or any other item which would otherwise not be accorded official parliamentary time. As well as the proposer, other members normally contribute to the debate. The relevant minister, whose department the debate and motion relate to "winds up" the debate by speaking after all other participants.</t>
  </si>
  <si>
    <t>Why is the final bill passed to the Monarch?</t>
  </si>
  <si>
    <t>Fresno is served by State Route 99, the main north/south freeway that connects the major population centers of the California Central Valley. State Route 168, the Sierra Freeway, heads east to the city of Clovis and Huntington Lake. State Route 41 (Yosemite Freeway/Eisenhower Freeway) comes into Fresno from Atascadero in the south, and then heads north to Yosemite. State Route 180 (Kings Canyon Freeway) comes from the west via Mendota, and from the east in Kings Canyon National Park going towards the city of Reedley.</t>
  </si>
  <si>
    <t>How long was the broadcast delay the first time the series premiered?</t>
  </si>
  <si>
    <t>a connection identifier rather than address information and are negotiated between endpoints so that they are delivered in order and with error checking</t>
  </si>
  <si>
    <t>regain authority over his own people. They had been inclined to support the French, with whom they had long trading relationships</t>
  </si>
  <si>
    <t>eighty seconds</t>
  </si>
  <si>
    <t>Where is the chloroplast polypeptide synthesized?</t>
  </si>
  <si>
    <t>November 28, 1995</t>
  </si>
  <si>
    <t>In 1066, Duke William II of Normandy conquered England killing King Harold II at the Battle of Hastings. The invading Normans and their descendants replaced the Anglo-Saxons as the ruling class of England. The nobility of England were part of a single Normans culture and many had lands on both sides of the channel. Early Norman kings of England, as Dukes of Normandy, owed homage to the King of France for their land on the continent. They considered England to be their most important holding (it brought with it the title of King—an important status symbol).</t>
  </si>
  <si>
    <t>waves in plasmas</t>
  </si>
  <si>
    <t>What does teaching on an island result in?</t>
  </si>
  <si>
    <t>work was published first</t>
  </si>
  <si>
    <t>the cause was a form of anthrax</t>
  </si>
  <si>
    <t>the Qara Khitai, Caucasus, Khwarezmid Empire, Western Xia and Jin dynasties</t>
  </si>
  <si>
    <t>draftsman</t>
  </si>
  <si>
    <t>What si the comparison to sea level with the oxygen level in space suits?</t>
  </si>
  <si>
    <t>Compromise of 1850</t>
  </si>
  <si>
    <t>In Ancient Greece, Diocles of Carystus (4th century BC) was one of several men studying the medicinal properties of plants. He wrote several treatises on the topic. The Greek physician Pedanius Dioscorides is famous for writing a five volume book in his native Greek Περί ύλης ιατρικής in the 1st century AD. The Latin translation De Materia Medica (Concerning medical substances) was used a basis for many medieval texts, and was built upon by many middle eastern scientists during the Islamic Golden Age. The title coined the term materia medica.</t>
  </si>
  <si>
    <t>because one can include arbitrarily many instances of 1 in any factorization</t>
  </si>
  <si>
    <t>Middle Miocene</t>
  </si>
  <si>
    <t>What type of impact does opportunity-based entrepreneurship tend to have on economic growth?</t>
  </si>
  <si>
    <t>Robert Nozick argued that government redistributes wealth by force (usually in the form of taxation), and that the ideal moral society would be one where all individuals are free from force. However, Nozick recognized that some modern economic inequalities were the result of forceful taking of property, and a certain amount of redistribution would be justified to compensate for this force but not because of the inequalities themselves. John Rawls argued in A Theory of Justice that inequalities in the distribution of wealth are only justified when they improve society as a whole, including the poorest members. Rawls does not discuss the full implications of his theory of justice. Some see Rawls's argument as a justification for capitalism since even the poorest members of society theoretically benefit from increased innovations under capitalism; others believe only a strong welfare state can satisfy Rawls's theory of justice.</t>
  </si>
  <si>
    <t>What is the term for a mathematical model that theoretically represents a general computing machine?</t>
  </si>
  <si>
    <t>What type of festival is The Northern Rock Cyclone?</t>
  </si>
  <si>
    <t>the Queen</t>
  </si>
  <si>
    <t>What did Luther expound to be greater than sin?</t>
  </si>
  <si>
    <t>Within the genitourinary and gastrointestinal tracts, commensal flora serve as biological barriers by competing with pathogenic bacteria for food and space and, in some cases, by changing the conditions in their environment, such as pH or available iron. This reduces the probability that pathogens will reach sufficient numbers to cause illness. However, since most antibiotics non-specifically target bacteria and do not affect fungi, oral antibiotics can lead to an "overgrowth" of fungi and cause conditions such as a vaginal candidiasis (a yeast infection). There is good evidence that re-introduction of probiotic flora, such as pure cultures of the lactobacilli normally found in unpasteurized yogurt, helps restore a healthy balance of microbial populations in intestinal infections in children and encouraging preliminary data in studies on bacterial gastroenteritis, inflammatory bowel diseases, urinary tract infection and post-surgical infections.</t>
  </si>
  <si>
    <t>Wilson's</t>
  </si>
  <si>
    <t>Researches and Writings of Nikola Tesla</t>
  </si>
  <si>
    <t>Privy Council</t>
  </si>
  <si>
    <t xml:space="preserve">Why was the Rhine regulated? </t>
  </si>
  <si>
    <t>When suffering from sleep deprivation, active immunizations may have a diminished effect and may result in lower antibody production, and a lower immune response, than would be noted in a well-rested individual. Additionally, proteins such as NFIL3, which have been shown to be closely intertwined with both T-cell differentiation and our circadian rhythms, can be affected through the disturbance of natural light and dark cycles through instances of sleep deprivation, shift work, etc. As a result, these disruptions can lead to an increase in chronic conditions such as heart disease, chronic pain, and asthma.</t>
  </si>
  <si>
    <t>How many naval bases are located in Jacksonville?</t>
  </si>
  <si>
    <t>Carlo Crivelli's Virgin and Child)</t>
  </si>
  <si>
    <t>about 2.5 billion years ago</t>
  </si>
  <si>
    <t>66 million years ago</t>
  </si>
  <si>
    <t>The earlier they surrendered to the Mongols</t>
  </si>
  <si>
    <t>The French and Indian War (1754–1763) was the North American theater of the worldwide Seven Years' War. The war was fought between the colonies of British America and New France, with both sides supported by military units from their parent countries of Great Britain and France, as well as Native American allies. At the start of the war, the French North American colonies had a population of roughly 60,000 European settlers, compared with 2 million in the British North American colonies. The outnumbered French particularly depended on the Indians. Long in conflict, the metropole nations declared war on each other in 1756, escalating the war from a regional affair into an intercontinental conflict.</t>
  </si>
  <si>
    <t>abolish the state of Israel</t>
  </si>
  <si>
    <t>The Rhine (Romansh: Rein, German: Rhein, French: le Rhin, Dutch: Rijn) is a European river that begins in the Swiss canton of Graubünden in the southeastern Swiss Alps, forms part of the Swiss-Austrian, Swiss-Liechtenstein border, Swiss-German and then the Franco-German border, then flows through the Rhineland and eventually empties into the North Sea in the Netherlands. The biggest city on the river Rhine is Cologne, Germany with a population of more than 1,050,000 people. It is the second-longest river in Central and Western Europe (after the Danube), at about 1,230 km (760 mi),[note 2][note 1] with an average discharge of about 2,900 m3/s (100,000 cu ft/s).</t>
  </si>
  <si>
    <t>light energy</t>
  </si>
  <si>
    <t>A steam turbine consists of one or more rotors (rotating discs) mounted on a drive shaft, alternating with a series of stators (static discs) fixed to the turbine casing. The rotors have a propeller-like arrangement of blades at the outer edge. Steam acts upon these blades, producing rotary motion. The stator consists of a similar, but fixed, series of blades that serve to redirect the steam flow onto the next rotor stage. A steam turbine often exhausts into a surface condenser that provides a vacuum. The stages of a steam turbine are typically arranged to extract the maximum potential work from a specific velocity and pressure of steam, giving rise to a series of variably sized high- and low-pressure stages. Turbines are only efficient if they rotate at relatively high speed, therefore they are usually connected to reduction gearing to drive lower speed applications, such as a ship's propeller. In the vast majority of large electric generating stations, turbines are directly connected to generators with no reduction gearing. Typical speeds are 3600 revolutions per minute (RPM) in the USA with 60 Hertz power, 3000 RPM in Europe and other countries with 50 Hertz electric power systems. In nuclear power applications the turbines typically run at half these speeds, 1800 RPM and 1500 RPM. A turbine rotor is also only capable of providing power when rotating in one direction. Therefore, a reversing stage or gearbox is usually required where power is required in the opposite direction.[citation needed]</t>
  </si>
  <si>
    <t>Nederrijn at Angeren</t>
  </si>
  <si>
    <t>When did the ban on cigarette advertising take effect for television networks?</t>
  </si>
  <si>
    <t>Newcastle was one of the first cities in the world to have what innovation?</t>
  </si>
  <si>
    <t>Mesozoic Era</t>
  </si>
  <si>
    <t>Lagos and Quiberon Bay.</t>
  </si>
  <si>
    <t>Harvard has been highly ranked by many university rankings. In particular, it has consistently topped the Academic Ranking of World Universities (ARWU) since 2003, and the THE World Reputation Rankings since 2011, when the first time such league tables were published. When the QS and Times were published in partnership as the THE-QS World University Rankings during 2004-2009, Harvard had also been regarded the first in every year. The University's undergraduate program has been continuously among the top two in the U.S. News &amp; World Report. In 2014, Harvard topped the University Ranking by Academic Performance (URAP). It was ranked 8th on the 2013-2014 PayScale College Salary Report and 14th on the 2013 PayScale College Education Value Rankings. From a poll done by The Princeton Review, Harvard is the second most commonly named "dream college", both for students and parents in 2013, and was the first nominated by parents in 2009. In 2011, the Mines ParisTech : Professional Ranking World Universities ranked Harvard 1st university in the world in terms of number of alumni holding CEO position in Fortune Global 500 companies.</t>
  </si>
  <si>
    <t>Newcastle replaced him in January 1756 with Lord Loudoun, with Major General James Abercrombie as his second in command. Neither of these men had as much campaign experience as the trio of officers France sent to North America. French regular army reinforcements arrived in New France in May 1756, led by Major General Louis-Joseph de Montcalm and seconded by the Chevalier de Lévis and Colonel François-Charles de Bourlamaque, all experienced veterans from the War of the Austrian Succession. During that time in Europe, on May 18, 1756, England formally declared war on France, which expanded the war into Europe, which was later to be known as the Seven Years' War.</t>
  </si>
  <si>
    <t xml:space="preserve">Which findings suggested that the region was densely populated? </t>
  </si>
  <si>
    <t>What other compensation did Tesla get from Westinghouse?</t>
  </si>
  <si>
    <t>a system of many biological structures and processes within an organism that protects against disease</t>
  </si>
  <si>
    <t>[256kn + 1, 256k(n + 1) − 1].</t>
  </si>
  <si>
    <t>What even is the earliest known reference to immunity?</t>
  </si>
  <si>
    <t>What medical treatment is used to increase oxygen uptake in a patient?</t>
  </si>
  <si>
    <t>What equates to a squared integer according to polynomial time reduction?</t>
  </si>
  <si>
    <t>Robert Maynard Hutchins de-emphasized varsity athletics</t>
  </si>
  <si>
    <t>In 1970, ABC debuted Monday Night Football as part of its Monday prime time schedule; the program became a hit for the network and served as the National Football League (NFL)'s premier game of the week until 2006, when Sunday Night Football, which moved to NBC that year as part of a broadcast deal that in turn saw MNF move to ESPN, took over as the league's marquee game. According to Goldenson, Monday Night Football helped earn ABC regularly score an audience share of 15%–16%; ABC Sports managed the budget for the Monday night time slot to reallocate the weekly budget for ABC's prime time schedule to just six days, as opposed to seven on competing networks. 1970 also saw the premieres of several soap operas including the long-running All My Children, which ran on the network for 41 years.</t>
  </si>
  <si>
    <t>The UMC is also a member of the Wesleyan Holiness Consortium, which seeks to reconceive and promote Biblical holiness in today's Church. It is also active in the World Methodist Council, an interdenominational group composed of various churches in the tradition of John Wesley to promote the Gospel throughout the world. On July 18, 2006, delegates to the World Methodist Council voted unanimously to adopt the "Joint Declaration on the Doctrine of Justification", which was approved in 1999 by the Vatican and the Lutheran World Federation.</t>
  </si>
  <si>
    <t>destruction of Israel</t>
  </si>
  <si>
    <t>Archbishop Albrecht of Mainz and Magdeburg</t>
  </si>
  <si>
    <t>What is the term when middle income earners aspire to obtain the same standards of living as people wealthier than themselves?</t>
  </si>
  <si>
    <t>most densely populated state</t>
  </si>
  <si>
    <t>Why is the seating of the debating chamber arranged as it is?</t>
  </si>
  <si>
    <t>Battle of Jumonville Glen</t>
  </si>
  <si>
    <t>Killer T cells</t>
  </si>
  <si>
    <t>NFL Mobile</t>
  </si>
  <si>
    <t>Fresno County Courthouse (demolished), the Fresno Carnegie Public Library</t>
  </si>
  <si>
    <t>buried without markings</t>
  </si>
  <si>
    <t>simplest</t>
  </si>
  <si>
    <t>limited</t>
  </si>
  <si>
    <t>late 1886</t>
  </si>
  <si>
    <t>What is floridean?</t>
  </si>
  <si>
    <t>What are the wave-particles called that mediate all electromagnetic phenomena?</t>
  </si>
  <si>
    <t>What shape are pyrenoids?</t>
  </si>
  <si>
    <t>According to the United States Census Bureau, the city has a total area of 874.3 square miles (2,264 km2), making Jacksonville the largest city in land area in the contiguous United States; of this, 86.66% (757.7 sq mi or 1,962 km2) is land and ; 13.34% (116.7 sq mi or 302 km2) is water. Jacksonville surrounds the town of Baldwin. Nassau County lies to the north, Baker County lies to the west, and Clay and St. Johns County lie to the south; the Atlantic Ocean lies to the east, along with the Jacksonville Beaches. The St. Johns River divides the city. The Trout River, a major tributary of the St. Johns River, is located entirely within Jacksonville.</t>
  </si>
  <si>
    <t>Who is suited to interpret the Treaties?</t>
  </si>
  <si>
    <t>Luther refused to recant his writings. He is sometimes also quoted as saying: "Here I stand. I can do no other". Recent scholars consider the evidence for these words to be unreliable, since they were inserted before "May God help me" only in later versions of the speech and not recorded in witness accounts of the proceedings. However, Mullett suggests that given his nature, "we are free to believe that Luther would tend to select the more dramatic form of words."</t>
  </si>
  <si>
    <t>Tension forces can be modeled using ideal strings that are massless, frictionless, unbreakable, and unstretchable. They can be combined with ideal pulleys, which allow ideal strings to switch physical direction. Ideal strings transmit tension forces instantaneously in action-reaction pairs so that if two objects are connected by an ideal string, any force directed along the string by the first object is accompanied by a force directed along the string in the opposite direction by the second object. By connecting the same string multiple times to the same object through the use of a set-up that uses movable pulleys, the tension force on a load can be multiplied. For every string that acts on a load, another factor of the tension force in the string acts on the load. However, even though such machines allow for an increase in force, there is a corresponding increase in the length of string that must be displaced in order to move the load. These tandem effects result ultimately in the conservation of mechanical energy since the work done on the load is the same no matter how complicated the machine.</t>
  </si>
  <si>
    <t>one astronaut</t>
  </si>
  <si>
    <t>What was happening to subscriber numbers in other areas of europe?</t>
  </si>
  <si>
    <t>Who established the amount of prime numbers in existence?</t>
  </si>
  <si>
    <t>What broadcast group is the largest operator of ABC stations?</t>
  </si>
  <si>
    <t>eight rows</t>
  </si>
  <si>
    <t>every June</t>
  </si>
  <si>
    <t>What type of amendments might members opposed to a bill put on the table?</t>
  </si>
  <si>
    <t>opportunistic</t>
  </si>
  <si>
    <t>architect</t>
  </si>
  <si>
    <t>People of what nationality invented the steam turbine?</t>
  </si>
  <si>
    <t>I feel I did the right thing by violating this particular law</t>
  </si>
  <si>
    <t>coin</t>
  </si>
  <si>
    <t>$50,000</t>
  </si>
  <si>
    <t>homologous</t>
  </si>
  <si>
    <t>beerhouse and whorehouse</t>
  </si>
  <si>
    <t>When had the Six Ministries existed?</t>
  </si>
  <si>
    <t>What is the most likely effect of breathing oxygen?</t>
  </si>
  <si>
    <t>his sons and grandsons.</t>
  </si>
  <si>
    <t>electronic consoles</t>
  </si>
  <si>
    <t>From their original homelands in Scandinavia and northern Europe, Germanic tribes expanded throughout northern and western Europe in the middle period of classical antiquity; southern Europe in late antiquity, conquering Celtic and other peoples; and by 800 CE, forming the Holy Roman Empire, the first German Empire. However, there was no real systemic continuity from the Western Roman Empire to its German successor which was famously described as "not holy, not Roman, and not an empire", as a great number of small states and principalities existed in the loosely autonomous confederation. Although by 1000 CE, the Germanic conquest of central, western, and southern Europe (west of and including Italy) was complete, excluding only Muslim Iberia. There was, however, little cultural integration or national identity, and "Germany" remained largely a conceptual term referring to an amorphous area of central Europe.</t>
  </si>
  <si>
    <t>For what railroad did Stephenson build a locomotive in 1825?</t>
  </si>
  <si>
    <t>When did tides and currents similar to our current system begin?</t>
  </si>
  <si>
    <t>warmest regions</t>
  </si>
  <si>
    <t>How many more landing sites for the Apollo missions did NASA have planned?</t>
  </si>
  <si>
    <t>Who helped Temüjin rescue his wife from the Merkits?</t>
  </si>
  <si>
    <t>Along with Canada and the United Kingdom, what country generally doesn't refer to universities as private schools?</t>
  </si>
  <si>
    <t>How many rival princes were involved in assassinating Gegeen?</t>
  </si>
  <si>
    <t>What is negatively correlated to the duration of economic growth?</t>
  </si>
  <si>
    <t>are very badly disposed towards the French, and are entirely devoted to the English</t>
  </si>
  <si>
    <t>Besides the radicals who else did Luther have to deal with?</t>
  </si>
  <si>
    <t>What do oxygen tanks, cryogenics, and chemical compounds serve as for oxygen?</t>
  </si>
  <si>
    <t>several</t>
  </si>
  <si>
    <t>steam</t>
  </si>
  <si>
    <t>What is the most commonplace model utilized in complexity theory?</t>
  </si>
  <si>
    <t>islands</t>
  </si>
  <si>
    <t>client</t>
  </si>
  <si>
    <t>unions</t>
  </si>
  <si>
    <t>What magnetic and electric force acts on a charge?</t>
  </si>
  <si>
    <t>that which brings the Holy Spirit through the merits of Christ</t>
  </si>
  <si>
    <t>disrupting their plasma membrane</t>
  </si>
  <si>
    <t>X.25</t>
  </si>
  <si>
    <t>What did Roland Bainton say about Luther's position on Jews?</t>
  </si>
  <si>
    <t>lower levels of inequality</t>
  </si>
  <si>
    <t>In 1965, the corporate entity, American Broadcasting-Paramount Theatres, was renamed as the American Broadcasting Companies,  while its cinema division became ABC Theatres;[citation needed] its recording division was renamed ABC Records in 1966. In December of that year, the ABC television network premiered The Dating Game, a pioneer series in its genre, which was a reworking of the blind date concept in which a suitor selected one of three contestants sight unseen based on the answers to selected questions. This was followed up in July 1966 by The Newlywed Game, featuring three recently married couples who guessed the responses to their partner's questions (some of which were fairly risque). As ABC began to outgrow its facilities at 7 West 66th Street, Goldenson found a new headquarters for ABC in a 44 story building located at 1330 Avenue of the Americas in Manhattan, at the corner of 54th Street (now occupied by The Financial Times's New York office). This operation allowed for the conversion of the premises at 66th Street into production facilities for television and radio programs.</t>
  </si>
  <si>
    <t>What law staes that forces are interactions between bodies?</t>
  </si>
  <si>
    <t>Stage 2</t>
  </si>
  <si>
    <t>financial assets</t>
  </si>
  <si>
    <t>First World War</t>
  </si>
  <si>
    <t>special training</t>
  </si>
  <si>
    <t>Since 1999, Big Finish Productions has released several different series of Doctor Who audios on CD. The earliest of these featured the Fifth, Sixth and Seventh Doctors, with Paul McGann's Eight Doctor joining the line in 2001. Tom Baker's Fourth Doctor began appearing for Big Finish in 2012. Along with the main range, adventures of the First, Second and Third Doctors have been produced in both limited cast and full cast formats, as well as audiobooks. The 2013 series Destiny of the Doctor, produced as part of the series' 50th Anniversary celebrations, marked the first time Big Finish created stories (in this case audiobooks) featuring the Doctors from the revived show.</t>
  </si>
  <si>
    <t>What answer denotes that an algorithm has accepted an input string?</t>
  </si>
  <si>
    <t>The university operates 12 research institutes and 113 research centers on campus. Among these are the Oriental Institute—a museum and research center for Near Eastern studies owned and operated by the university—and a number of National Resource Centers, including the Center for Middle Eastern Studies. Chicago also operates or is affiliated with a number of research institutions apart from the university proper. The university partially manages Argonne National Laboratory, part of the United States Department of Energy's national laboratory system, and has a joint stake in Fermilab, a nearby particle physics laboratory, as well as a stake in the Apache Point Observatory in Sunspot, New Mexico. Faculty and students at the adjacent Toyota Technological Institute at Chicago collaborate with the university, In 2013, the university announced that it was affiliating the formerly independent Marine Biological Laboratory in Woods Hole, Mass. Although formally unrelated, the National Opinion Research Center is located on Chicago's campus.</t>
  </si>
  <si>
    <t>In December 1878, Tesla left Graz and severed all relations with his family to hide the fact that he dropped out of school. His friends thought that he had drowned in the Mur River. Tesla went to Maribor (now in Slovenia), where he worked as a draftsman for 60 florins a month. He spent his spare time playing cards with local men on the streets. In March 1879, Milutin Tesla went to Maribor to beg his son to return home, but Nikola refused. Nikola suffered a nervous breakdown at around the same time.</t>
  </si>
  <si>
    <t>What is income inequality attributed to?</t>
  </si>
  <si>
    <t>wages</t>
  </si>
  <si>
    <t>Rodin is represented by more than 20 works in the museum collection, making it one of the largest collections of the sculptor's work outside France; these were given to the museum by the sculptor in 1914, as acknowledgement of Britain's support of France in World War I, although the statue of St John the Baptist had been purchased in 1902 by public subscription. Other French sculptors with work in the collection are Hubert Le Sueur, François Girardon, Michel Clodion, Jean-Antoine Houdon, Jean-Baptiste Carpeaux and Jules Dalou.</t>
  </si>
  <si>
    <t>at most one prime number</t>
  </si>
  <si>
    <t>Who would generally teach from a work like the Quran, Torah or Bible?</t>
  </si>
  <si>
    <t>How often are elections for the counsel held?</t>
  </si>
  <si>
    <t>Newton's Universal Gravitation Constant,</t>
  </si>
  <si>
    <t>What do pharmacy technicians depend on more and more?</t>
  </si>
  <si>
    <t>Muslims</t>
  </si>
  <si>
    <t>many middle eastern scientists</t>
  </si>
  <si>
    <t>What might starch grains be a side effect of?</t>
  </si>
  <si>
    <t xml:space="preserve">what does vBNS stand for </t>
  </si>
  <si>
    <t>oxygen-16</t>
  </si>
  <si>
    <t>According to International Monetary Fund economists, inequality in wealth and income is negatively correlated with the duration of economic growth spells (not the rate of growth). High levels of inequality prevent not just economic prosperity, but also the quality of a country's institutions and high levels of education. According to IMF staff economists, "if the income share of the top 20 percent (the rich) increases, then GDP growth actually declines over the medium term, suggesting that the benefits do not trickle down. In contrast, an increase in the income share of the bottom 20 percent (the poor) is associated with higher GDP growth. The poor and the middle class matter the most for growth via a number of interrelated economic, social, and political channels."</t>
  </si>
  <si>
    <t>How much of the indulgences went to Rome?</t>
  </si>
  <si>
    <t>Today, Warsaw has some of the best medical facilities in Poland and East-Central Europe. The city is home to the Children's Memorial Health Institute (CMHI), the highest-reference hospital in all of Poland, as well as an active research and education center. While the Maria Skłodowska-Curie Institute of Oncology it is one of the largest and most modern oncological institutions in Europe. The clinical section is located in a 10-floor building with 700 beds, 10 operating theatres, an intensive care unit, several diagnostic departments as well as an outpatient clinic. The infrastructure has developed a lot over the past years.</t>
  </si>
  <si>
    <t>Under what treaty can the European Commission take action against member states?</t>
  </si>
  <si>
    <t>fully funded by private parties</t>
  </si>
  <si>
    <t>What was put on pylons for Super Bowl 50?</t>
  </si>
  <si>
    <t>foundational constitutional questions affecting democracy and human rights</t>
  </si>
  <si>
    <t>What reconstructions supported the 1999 paper's information?</t>
  </si>
  <si>
    <t>the city council</t>
  </si>
  <si>
    <t>How many gold medals did Kenya win during the Beijing Olympics?</t>
  </si>
  <si>
    <t>24-year</t>
  </si>
  <si>
    <t>cultures</t>
  </si>
  <si>
    <t>Australian Greens</t>
  </si>
  <si>
    <t>2011–12</t>
  </si>
  <si>
    <t>more or less rounded</t>
  </si>
  <si>
    <t>Mongols</t>
  </si>
  <si>
    <t>What force acted on bodies to retard their velocity?</t>
  </si>
  <si>
    <t>KMBC-TV and KQTV</t>
  </si>
  <si>
    <t>late 17th century</t>
  </si>
  <si>
    <t>When Iqbal promoted ideas of greater Islamic political unity, what did he encourage ending?</t>
  </si>
  <si>
    <t>FCC v. Pacifica Foundation</t>
  </si>
  <si>
    <t>Lagos and Quiberon Bay</t>
  </si>
  <si>
    <t>the San Jose State practice facility</t>
  </si>
  <si>
    <t>Computational complexity theory is a branch of the theory of computation in theoretical computer science that focuses on classifying computational problems according to their inherent difficulty, and relating those classes to each other. A computational problem is understood to be a task that is in principle amenable to being solved by a computer, which is equivalent to stating that the problem may be solved by mechanical application of mathematical steps, such as an algorithm.</t>
  </si>
  <si>
    <t>How many times did Luther preach in Halle in 1545 and 1546?</t>
  </si>
  <si>
    <t>balance of microbial populations</t>
  </si>
  <si>
    <t>understates the uncertainty associated with climate models</t>
  </si>
  <si>
    <t>the All India Muslim League</t>
  </si>
  <si>
    <t>surrounded by a double membrane</t>
  </si>
  <si>
    <t>What does coastal beriods use as teeth?</t>
  </si>
  <si>
    <t>Kenneth Swezey</t>
  </si>
  <si>
    <t>"vector quantities"</t>
  </si>
  <si>
    <t>TEU articles 4 and 5</t>
  </si>
  <si>
    <t>Often, individual state laws outline what defines a valid patient-doctor relationship</t>
  </si>
  <si>
    <t>Service Module engine and the Command Module heat shield</t>
  </si>
  <si>
    <t>temperature rise was near the top end of the range given</t>
  </si>
  <si>
    <t>What party had a victory in the 2015 UK election?</t>
  </si>
  <si>
    <t>What did these Lutheran clerics use as fuel to bolster the Policies of the Nazis?</t>
  </si>
  <si>
    <t>poorer countries</t>
  </si>
  <si>
    <t>American Medical Association (AMA)</t>
  </si>
  <si>
    <t>World War I,</t>
  </si>
  <si>
    <t>children who served as messengers and frontline troops in the Warsaw Uprising</t>
  </si>
  <si>
    <t>NASA awarded all 32 of these astronauts its highest honor, the Distinguished Service Medal, given for "distinguished service, ability, or courage", and personal "contribution representing substantial progress to the NASA mission". The medals were awarded posthumously to Grissom, White, and Chaffee in 1969, then to the crews of all missions from Apollo 8 onward. The crew that flew the first Earth orbital test mission Apollo 7, Walter M. Schirra, Donn Eisele, and Walter Cunningham, were awarded the lesser NASA Exceptional Service Medal, because of discipline problems with the Flight Director's orders during their flight. The NASA Administrator in October, 2008, decided to award them the Distinguished Service Medals, by this time posthumously to Schirra and Eisele.</t>
  </si>
  <si>
    <t>papacy was the Antichrist</t>
  </si>
  <si>
    <t>legislation to limit foreign ownership of broadcasting properties</t>
  </si>
  <si>
    <t>What century did the Normans first gain their separate identity?</t>
  </si>
  <si>
    <t>the St. Lawrence and Mississippi watersheds</t>
  </si>
  <si>
    <t>3 January 1521</t>
  </si>
  <si>
    <t>political power generated by wealth</t>
  </si>
  <si>
    <t>branching</t>
  </si>
  <si>
    <t>Associating forces with vectors</t>
  </si>
  <si>
    <t>What did Tesla dress in while in Tominaj?</t>
  </si>
  <si>
    <t>What was the daily distance walked by Tesla?</t>
  </si>
  <si>
    <t>The unproven Riemann hypothesis, dating from 1859, states that except for s = −2, −4, ..., all zeroes of the ζ-function have real part equal to 1/2. The connection to prime numbers is that it essentially says that the primes are as regularly distributed as possible.[clarification needed] From a physical viewpoint, it roughly states that the irregularity in the distribution of primes only comes from random noise. From a mathematical viewpoint, it roughly states that the asymptotic distribution of primes (about x/log x of numbers less than x are primes, the prime number theorem) also holds for much shorter intervals of length about the square root of x (for intervals near x). This hypothesis is generally believed to be correct. In particular, the simplest assumption is that primes should have no significant irregularities without good reason.</t>
  </si>
  <si>
    <t>What must a teacher show towards the course materials for increase learning?</t>
  </si>
  <si>
    <t>increased by 0.3 to 0.6 °C</t>
  </si>
  <si>
    <t>growing anti-communist fervor</t>
  </si>
  <si>
    <t>third place</t>
  </si>
  <si>
    <t>After the operators are warned by the escape of the steam, what may they then do?</t>
  </si>
  <si>
    <t>small</t>
  </si>
  <si>
    <t>K-9 and Company</t>
  </si>
  <si>
    <t>unified electromagnetic force</t>
  </si>
  <si>
    <t>German army</t>
  </si>
  <si>
    <t>The Pokémon Company</t>
  </si>
  <si>
    <t>What is a very seldom used unit of mass in the metric system?</t>
  </si>
  <si>
    <t>the balance of parties across Parliament</t>
  </si>
  <si>
    <t>Leonard Goldenson, the president of UPT (which sought to diversify itself at the time), approached Noble in 1951 on a proposal for UPT to purchase ABC. Noble received other offers, including one from CBS founder William S. Paley; however, a merger with CBS would have forced that network to sell its New York City and Los Angeles stations at the very least. Goldenson and Noble reached a tentative agreement in the late spring of 1951 in which UPT would acquire ABC and turn it into a subsidiary of the company that would retain autonomy in its management. On June 6, 1951, the tentative agreement was approved by UPT's board of directors. However, the transaction had to be approved by the FCC because of the presence of television networks and the recent separation between Paramount and UPT. Insofar as Paramount Pictures was already a shareholder in the DuMont Television Network, the FCC conducted a series of hearings to ensure whether Paramount was truly separated from United Paramount Theatres, and whether it was violating antitrust laws.</t>
  </si>
  <si>
    <t>published sources</t>
  </si>
  <si>
    <t>very badly disposed towards the French, and are entirely devoted to the English</t>
  </si>
  <si>
    <t>it is neither zero nor a unit</t>
  </si>
  <si>
    <t>three main reservoirs</t>
  </si>
  <si>
    <t>to extend networking benefits</t>
  </si>
  <si>
    <t>What protection comes after the innate response?</t>
  </si>
  <si>
    <t>faunal succession</t>
  </si>
  <si>
    <t>What are pharmacists forbidden to do?</t>
  </si>
  <si>
    <t>Why did French feel they had right to Ohio claim?</t>
  </si>
  <si>
    <t>mild</t>
  </si>
  <si>
    <t>3, 4, &amp; 5</t>
  </si>
  <si>
    <t>either to a thylakoid or to another plastoglobulus attached to a thylakoid</t>
  </si>
  <si>
    <t>dependent upon how strong</t>
  </si>
  <si>
    <t>rare and desired</t>
  </si>
  <si>
    <t>after 1279</t>
  </si>
  <si>
    <t>Along with advancements in communication, Europe also continued to advance in military technology. European chemists made deadly explosives that could be used in combat, and with innovations in machinery they were able to manufacture improved firearms. By the 1880s, the machine gun had become an effective battlefield weapon. This technology gave European armies an advantage over their opponents, as armies in less-developed countries were still fighting with arrows, swords, and leather shields (e.g. the Zulus in Southern Africa during the Anglo-Zulu War of 1879).</t>
  </si>
  <si>
    <t>announced a winner</t>
  </si>
  <si>
    <t>necessity rather than opportunity</t>
  </si>
  <si>
    <t>to increase the chloroplast's surface area</t>
  </si>
  <si>
    <t>the fact that he dropped out of school</t>
  </si>
  <si>
    <t>secular authorities.</t>
  </si>
  <si>
    <t>the Tuesday afternoon prior to the game</t>
  </si>
  <si>
    <t>How did Tesla attend the university?</t>
  </si>
  <si>
    <t>How long would this coalition last?</t>
  </si>
  <si>
    <t>Did the European Court of Justice rule the defendant in the case of Commission v. Edith Cresson broke any laws?</t>
  </si>
  <si>
    <t>this as well</t>
  </si>
  <si>
    <t>Who thought the world could be split into climatic zones?</t>
  </si>
  <si>
    <t>see School corporal punishment.</t>
  </si>
  <si>
    <t>last statement</t>
  </si>
  <si>
    <t>To ensure safety of future space missions Oxygen was used at _____ of the normal pressure.</t>
  </si>
  <si>
    <t>What concept did philosophers in antiquity use to study simple machines?</t>
  </si>
  <si>
    <t>Body of Proof</t>
  </si>
  <si>
    <t>cascade method</t>
  </si>
  <si>
    <t>What type of animal did onlookers claim was piloting the boat?</t>
  </si>
  <si>
    <t>New Collegiate Division</t>
  </si>
  <si>
    <t>1886</t>
  </si>
  <si>
    <t>The Mongols learned from captives of the abundant green pastures beyond the Bulgar territory, allowing for the planning for conquest of Hungary and Europe. Genghis Khan recalled Subutai back to Mongolia soon afterwards, and Jebe died on the road back to Samarkand. The famous cavalry expedition led by Subutai and Jebe, in which they encircled the entire Caspian Sea defeating all armies in their path, remains unparalleled to this day, and word of the Mongol triumphs began to trickle to other nations, particularly Europe. These two campaigns are generally regarded as reconnaissance campaigns that tried to get the feel of the political and cultural elements of the regions. In 1225 both divisions returned to Mongolia. These invasions added Transoxiana and Persia to an already formidable empire while destroying any resistance along the way. Later under Genghis Khan's grandson Batu and the Golden Horde, the Mongols returned to conquer Volga Bulgaria and Kievan Rus' in 1237, concluding the campaign in 1240.</t>
  </si>
  <si>
    <t xml:space="preserve">In the layered model of the Earth, the outermost layer is what? </t>
  </si>
  <si>
    <t>How did the rocks on the moon compare to those on Earth?</t>
  </si>
  <si>
    <t>the division of functions and tasks between the hosts at the edge of the network and the network core.</t>
  </si>
  <si>
    <t>What is European Union law?</t>
  </si>
  <si>
    <t>The third assessment report (TAR) prominently featured a graph labeled "Millennial Northern Hemisphere temperature reconstruction" based on a 1999 paper by Michael E. Mann, Raymond S. Bradley and Malcolm K. Hughes (MBH99), which has been referred to as the "hockey stick graph". This graph extended the similar graph in Figure 3.20 from the IPCC Second Assessment Report of 1995, and differed from a schematic in the first assessment report that lacked temperature units, but appeared to depict larger global temperature variations over the past 1000 years, and higher temperatures during the Medieval Warm Period than the mid 20th century. The schematic was not an actual plot of data, and was based on a diagram of temperatures in central England, with temperatures increased on the basis of documentary evidence of Medieval vineyards in England. Even with this increase, the maximum it showed for the Medieval Warm Period did not reach temperatures recorded in central England in 2007. The MBH99 finding was supported by cited reconstructions by Jones et al. 1998, Pollack, Huang &amp; Shen 1998, Crowley &amp; Lowery 2000 and Briffa 2000, using differing data and methods. The Jones et al. and Briffa reconstructions were overlaid with the MBH99 reconstruction in Figure 2.21 of the IPCC report.</t>
  </si>
  <si>
    <t>the two political parties would share power equally</t>
  </si>
  <si>
    <t>a unit of Turkish defenders</t>
  </si>
  <si>
    <t>Great Fire of 1901</t>
  </si>
  <si>
    <t>What is one of the reason that underdeveloped nations received aid from the oil income?</t>
  </si>
  <si>
    <t>primary law, secondary law and supplementary law</t>
  </si>
  <si>
    <t>Where are the rows of combs located?</t>
  </si>
  <si>
    <t>When was the Soulages collection acquired?</t>
  </si>
  <si>
    <t>peoples university</t>
  </si>
  <si>
    <t>Victoria is the centre of dairy farming in Australia. It is home to 60% of Australia's 3 million dairy cattle and produces nearly two-thirds of the nation's milk, almost 6.4 billion litres. The state also has 2.4 million beef cattle, with more than 2.2 million cattle and calves slaughtered each year. In 2003–04, Victorian commercial fishing crews and aquaculture industry produced 11,634 tonnes of seafood valued at nearly A$109 million. Blacklipped abalone is the mainstay of the catch, bringing in A$46 million, followed by southern rock lobster worth A$13.7 million. Most abalone and rock lobster is exported to Asia.</t>
  </si>
  <si>
    <t>On what lake did troops attack fort willima henry in winter?</t>
  </si>
  <si>
    <t>How did Luther broaden the Reformation in terms of prophecy?</t>
  </si>
  <si>
    <t>developing youth-oriented programming</t>
  </si>
  <si>
    <t>What is the 16th century known as the start of?</t>
  </si>
  <si>
    <t>reduce growth</t>
  </si>
  <si>
    <t>There is also a growing number of new forms of procurement that involve relationship contracting where the emphasis is on a co-operative relationship between the principal and contractor and other stakeholders within a construction project. New forms include partnering such as Public-Private Partnering (PPPs) aka private finance initiatives (PFIs) and alliances such as "pure" or "project" alliances and "impure" or "strategic" alliances. The focus on co-operation is to ameliorate the many problems that arise from the often highly competitive and adversarial practices within the construction industry.</t>
  </si>
  <si>
    <t>$2.50 per AC horsepower royalty</t>
  </si>
  <si>
    <t>wealth</t>
  </si>
  <si>
    <t>What do ctenophores have that no other animals have?</t>
  </si>
  <si>
    <t>Assuming that T represents a polynomial in T(n), what is the term given to the corresponding algorithm?</t>
  </si>
  <si>
    <t>any terrestrial distance</t>
  </si>
  <si>
    <t>it infringed on democratic freedoms</t>
  </si>
  <si>
    <t>What was the goal of the grand coalition?</t>
  </si>
  <si>
    <t>French Church Street is in what Irish town?</t>
  </si>
  <si>
    <t>Neil Armstrong, Michael Collins and Buzz Aldrin</t>
  </si>
  <si>
    <t>the "blurring of theological and confessional differences in the interests of unity."</t>
  </si>
  <si>
    <t>the true Islamic system</t>
  </si>
  <si>
    <t>The legislative competence of the Parliament species what areas?</t>
  </si>
  <si>
    <t>What is the term that describes the difference between what higher paid and lower paid professionals earn?</t>
  </si>
  <si>
    <t>In land plants, chloroplasts are generally lens-shaped, 5–8 μm in diameter and 1–3 μm thick. Greater diversity in chloroplast shapes exists among the algae, which often contain a single chloroplast that can be shaped like a net (e.g., Oedogonium), a cup (e.g., Chlamydomonas), a ribbon-like spiral around the edges of the cell (e.g., Spirogyra), or slightly twisted bands at the cell edges (e.g., Sirogonium). Some algae have two chloroplasts in each cell; they are star-shaped in Zygnema, or may follow the shape of half the cell in order Desmidiales. In some algae, the chloroplast takes up most of the cell, with pockets for the nucleus and other organelles (for example some species of Chlorella have a cup-shaped chloroplast that occupies much of the cell).</t>
  </si>
  <si>
    <t>What political response was convening in June/July 1754?</t>
  </si>
  <si>
    <t>What additional srevice did BSkyB offer besides Video on Demand that they claimed offered "substantially more value"?</t>
  </si>
  <si>
    <t>the Mongol Empire</t>
  </si>
  <si>
    <t>World War I</t>
  </si>
  <si>
    <t>Who presided over the assembly?</t>
  </si>
  <si>
    <t>three astronauts</t>
  </si>
  <si>
    <t>How many people died in the outbreak of 1471?</t>
  </si>
  <si>
    <t>Where is the Z-ring?</t>
  </si>
  <si>
    <t>Name one of the causes of immunodeficiency.</t>
  </si>
  <si>
    <t>TFEU article 30</t>
  </si>
  <si>
    <t>make a defiant speech, or a speech explaining their actions,</t>
  </si>
  <si>
    <t>In what month and year was the revised Manual of Regulations for Private Schools released?</t>
  </si>
  <si>
    <t>first</t>
  </si>
  <si>
    <t>In Marxian analysis, capitalist firms increasingly substitute capital equipment for labor inputs (workers) under competitive pressure to reduce costs and maximize profits. Over the long-term, this trend increases the organic composition of capital, meaning that less workers are required in proportion to capital inputs, increasing unemployment (the "reserve army of labour"). This process exerts a downward pressure on wages. The substitution of capital equipment for labor (mechanization and automation) raises the productivity of each worker, resulting in a situation of relatively stagnant wages for the working class amidst rising levels of property income for the capitalist class.</t>
  </si>
  <si>
    <t>Problems capable of theoretical solutions but consuming unreasonable time in practical application are known as what?</t>
  </si>
  <si>
    <t>Schedule 5</t>
  </si>
  <si>
    <t>The three-stage Saturn V was designed to send a fully fueled CSM and LM to the Moon. It was 33 feet (10.1 m) in diameter and stood 363 feet (110.6 m) tall with its 96,800-pound (43,900 kg) lunar payload. Its capability grew to 103,600 pounds (47,000 kg) for the later advanced lunar landings. The S-IC first stage burned RP-1/LOX for a rated thrust of 7,500,000 pounds-force (33,400 kN), which was upgraded to 7,610,000 pounds-force (33,900 kN). The second and third stages burned liquid hydrogen, and the third stage was a modified version of the S-IVB, with thrust increased to 230,000 lbf (1,020 kN) and capability to restart the engine for translunar injection after reaching a parking orbit.</t>
  </si>
  <si>
    <t>Hmong or Laotian</t>
  </si>
  <si>
    <t>What are outcomes expected with Medication Therapy Management?</t>
  </si>
  <si>
    <t>How are the galleries overlooking the garden arranged?</t>
  </si>
  <si>
    <t>One of the great treasures in the library is the Codex Forster, some of Leonardo da Vinci's note books. The Codex consists of three parchment-bound manuscripts, Forster I, Forster II, and Forster III, quite small in size, dated between 1490 and 1505. Their contents include a large collection of sketches and references to the equestrian sculpture commissioned by the Duke of Milan Ludovico Sforza to commemorate his father Francesco Sforza. These were bequeathed with over 18,000 books to the museum in 1876 by John Forster. The Reverend Alexander Dyce was another benefactor of the library, leaving over 14,000 books to the museum in 1869. Amongst the books he collected are early editions in Greek and Latin of the poets and playwrights Aeschylus, Aristotle, Homer, Livy, Ovid, Pindar, Sophocles and Virgil. More recent authors include Giovanni Boccaccio, Dante, Racine, Rabelais and Molière.</t>
  </si>
  <si>
    <t>by those who feel that only doctors can reliably assess contraindications, risk/benefit ratios, and an individual's overall suitability for use of a medication</t>
  </si>
  <si>
    <t>What subatomic particle did Tesla deny the existence of?</t>
  </si>
  <si>
    <t>What is unusual about C4 plants' chloroplasts?</t>
  </si>
  <si>
    <t>facilitate student learning</t>
  </si>
  <si>
    <t>eidetic</t>
  </si>
  <si>
    <t>Who may members direct questions towards during General Question Time?</t>
  </si>
  <si>
    <t>Jin dynasty</t>
  </si>
  <si>
    <t>through confirmation and sometimes the profession of faith.</t>
  </si>
  <si>
    <t>Reciprocating piston type steam engines remained the dominant source of power until the early 20th century, when advances in the design of electric motors and internal combustion engines gradually resulted in the replacement of reciprocating (piston) steam engines in commercial usage, and the ascendancy of steam turbines in power generation. Considering that the great majority of worldwide electric generation is produced by turbine type steam engines, the "steam age" is continuing with energy levels far beyond those of the turn of the 19th century.</t>
  </si>
  <si>
    <t>military action</t>
  </si>
  <si>
    <t>is a mainline Protestant Methodist denomination</t>
  </si>
  <si>
    <t>The UMC established and is affiliated with approximately how many colleges and universities in the U.S.?</t>
  </si>
  <si>
    <t>King George's War</t>
  </si>
  <si>
    <t>Nearby, in Ogród Saski (the Saxon Garden), the Summer Theatre was in operation from 1870 to 1939, and in the inter-war period, the theatre complex also included Momus, Warsaw's first literary cabaret, and Leon Schiller's musical theatre Melodram. The Wojciech Bogusławski Theatre (1922–26), was the best example of "Polish monumental theatre". From the mid-1930s, the Great Theatre building housed the Upati Institute of Dramatic Arts – the first state-run academy of dramatic art, with an acting department and a stage directing department.</t>
  </si>
  <si>
    <t>the 19th</t>
  </si>
  <si>
    <t>shown to have more efficient solutions</t>
  </si>
  <si>
    <t>What type of plea is sometimes taken as an act of disobedience?</t>
  </si>
  <si>
    <t>damage</t>
  </si>
  <si>
    <t>respiration</t>
  </si>
  <si>
    <t>[Date]</t>
  </si>
  <si>
    <t>planktonic plants</t>
  </si>
  <si>
    <t>When did the Yuan people suffer a series of natural disasters?</t>
  </si>
  <si>
    <t>Mickey Smith (Noel Clarke) and Jack Harkness (John Barrowman)</t>
  </si>
  <si>
    <t>a dispute over control of the confluence of the Allegheny and Monongahela rivers</t>
  </si>
  <si>
    <t>workers in the poor countries</t>
  </si>
  <si>
    <t>What first prompted the regeneration concept?</t>
  </si>
  <si>
    <t>approximately 45 million</t>
  </si>
  <si>
    <t>flattened circular</t>
  </si>
  <si>
    <t>graze cattle on it.</t>
  </si>
  <si>
    <t>completed (or local) fields</t>
  </si>
  <si>
    <t>30%–50%</t>
  </si>
  <si>
    <t>What would the local council of Newcastle like to link their local bike networks to?</t>
  </si>
  <si>
    <t>freedom</t>
  </si>
  <si>
    <t>eastwards</t>
  </si>
  <si>
    <t>(prints, drawings, paintings and photographs)</t>
  </si>
  <si>
    <t>scientific evidence</t>
  </si>
  <si>
    <t>his Houston Street lab</t>
  </si>
  <si>
    <t xml:space="preserve">In the layered model of the Earth, the mantle has two layers below it. What are they? </t>
  </si>
  <si>
    <t>best, worst and average</t>
  </si>
  <si>
    <t>depopulation and permanent change in both economic and social structures</t>
  </si>
  <si>
    <t>AC power</t>
  </si>
  <si>
    <t>BPP, ZPP and RP</t>
  </si>
  <si>
    <t>two main classes</t>
  </si>
  <si>
    <t>negative</t>
  </si>
  <si>
    <t>What shape are Plastoglobuli?</t>
  </si>
  <si>
    <t>integer factorization</t>
  </si>
  <si>
    <t>assertive</t>
  </si>
  <si>
    <t>Besides Britain and North America, where else did Huguenot refugees settle?</t>
  </si>
  <si>
    <t>the semi-arid savanna to the north and east</t>
  </si>
  <si>
    <t>Who did Rollo sign the treaty of Saint-Clair-sur-Epte with?</t>
  </si>
  <si>
    <t>well logs</t>
  </si>
  <si>
    <t>Factory Project</t>
  </si>
  <si>
    <t>e a third group of pigments found in cyanobacteria</t>
  </si>
  <si>
    <t>What sort of system releases the exhaust steam into the atmosphere?</t>
  </si>
  <si>
    <t>George Westinghouse</t>
  </si>
  <si>
    <t>What directly correlates with the country's economic performance and wealth distribution?</t>
  </si>
  <si>
    <t>counterprogramming against its competitors</t>
  </si>
  <si>
    <t>In a nuclear power plant, what is the steam turbine connected to?</t>
  </si>
  <si>
    <t>What was the catalyst that created greater interest in renewable resources?</t>
  </si>
  <si>
    <t>Gateshead Music and Arts Centre</t>
  </si>
  <si>
    <t>What are the stages in a compound engine called?</t>
  </si>
  <si>
    <t>What is the process by which the adaptive immune system is evaded by the chainging of non-essential epitopes called?</t>
  </si>
  <si>
    <t>What two factors can generally increase a teacher's salary?</t>
  </si>
  <si>
    <t>the Mission Council</t>
  </si>
  <si>
    <t>the 1960s and 1970s</t>
  </si>
  <si>
    <t>Since Thoreau was not a well known writer what happened when he was arrested?</t>
  </si>
  <si>
    <t>poorly drafted contracts</t>
  </si>
  <si>
    <t>the usual academic subjects</t>
  </si>
  <si>
    <t>Orientalism, as theorized by Edward Said, refers to how the West developed an imaginative geography of the East. This imaginative geography relies on an essentializing discourse that represents neither the diversity nor the social reality of the East. Rather, by essentializing the East, this discourse uses the idea of place-based identities to create difference and distance between "we" the West and "them" the East, or "here" in the West and "there" in the East. This difference was particularly apparent in textual and visual works of early European studies of the Orient that positioned the East as irrational and backward in opposition to the rational and progressive West. Defining the East as a negative vision of itself, as its inferior, not only increased the West’s sense of self, but also was a way of ordering the East and making it known to the West so that it could be dominated and controlled. The discourse of Orientalism therefore served as an ideological justification of early Western imperialism, as it formed a body of knowledge and ideas that rationalized social, cultural, political, and economic control of other territories.</t>
  </si>
  <si>
    <t>What army did Warsaw successfully defend itself against?</t>
  </si>
  <si>
    <t>removed in a condenser</t>
  </si>
  <si>
    <t>How many people could Apollo be projected to hold?</t>
  </si>
  <si>
    <t>Cypiddids are not what?</t>
  </si>
  <si>
    <t>What type of revolution did Maududi advocate?</t>
  </si>
  <si>
    <t>avoiding attribution</t>
  </si>
  <si>
    <t>What typically involves mass production of similar items without a designated purchaser?</t>
  </si>
  <si>
    <t>counties or powiats</t>
  </si>
  <si>
    <t>campaigns on Lake Ontario, and endangered the Oswego garrison</t>
  </si>
  <si>
    <t>provide connection-oriented operations</t>
  </si>
  <si>
    <t>12 January</t>
  </si>
  <si>
    <t>establish, equip, manage and maintain national and public libraries</t>
  </si>
  <si>
    <t>nobles</t>
  </si>
  <si>
    <t>Why did Temüjin kill those of Jamukha's followers that had betrayed their leader?</t>
  </si>
  <si>
    <t>Materials readily available in the area</t>
  </si>
  <si>
    <t>an increase in the land available for cultivation</t>
  </si>
  <si>
    <t>How much higher was the 42% occupation stress figure, compared to other jobs?</t>
  </si>
  <si>
    <t>potential drug interactions</t>
  </si>
  <si>
    <t>alternating current</t>
  </si>
  <si>
    <t>What parts of plants have chloroplasts?</t>
  </si>
  <si>
    <t>storage conditions, compulsory texts, equipment, etc.</t>
  </si>
  <si>
    <t>The Upper Rhine region was changed significantly by a Rhine straightening program in the 19th Century. The rate of flow was increased and the ground water level fell significantly. Dead branches dried up and the amount of forests on the flood plains decreased sharply. On the French side, the Grand Canal d'Alsace was dug, which carries a significant part of the river water, and all of the traffic. In some places, there are large compensation pools, for example the huge Bassin de compensation de Plobsheim in Alsace.</t>
  </si>
  <si>
    <t>color television camera</t>
  </si>
  <si>
    <t>technical problems</t>
  </si>
  <si>
    <t>The black plague ravaged Europe for three years followed by what country?</t>
  </si>
  <si>
    <t>random access machines</t>
  </si>
  <si>
    <t>The fact that not all fossils may be found globally at the same time causes the principle to become what?</t>
  </si>
  <si>
    <t>trams</t>
  </si>
  <si>
    <t>incompetent, inefficient, or neglectful</t>
  </si>
  <si>
    <t>suggested it for use in the ARPANET</t>
  </si>
  <si>
    <t>What is the term for closing off rivers that are no longer connected?</t>
  </si>
  <si>
    <t>Mexican</t>
  </si>
  <si>
    <t>the General Assembly Hall of the Church of Scotland</t>
  </si>
  <si>
    <t>After what battle did Union forces return to and occupy Jacksonville for the rest of the war?</t>
  </si>
  <si>
    <t>nitrogen/oxygen</t>
  </si>
  <si>
    <t>immunization</t>
  </si>
  <si>
    <t>an induction motor</t>
  </si>
  <si>
    <t>During which period did Jacksonville become a popular destination for the rich?</t>
  </si>
  <si>
    <t>18–49</t>
  </si>
  <si>
    <t>October 2010</t>
  </si>
  <si>
    <t>the 1990s</t>
  </si>
  <si>
    <t>According to the Nobel Foundation what has to happen before someone can decline a prize?</t>
  </si>
  <si>
    <t>drama series</t>
  </si>
  <si>
    <t>two political parties would share power equally</t>
  </si>
  <si>
    <t>Monopoly</t>
  </si>
  <si>
    <t>1919–20</t>
  </si>
  <si>
    <t>the Commission and Council</t>
  </si>
  <si>
    <t>impetus</t>
  </si>
  <si>
    <t xml:space="preserve"> What modern formations do geologists study?</t>
  </si>
  <si>
    <t>the methodology used</t>
  </si>
  <si>
    <t>identify, recruit</t>
  </si>
  <si>
    <t>Some civil disobedience defendants choose to make a defiant speech, or a speech explaining their actions, in allocution. In U.S. v. Burgos-Andujar, a defendant who was involved in a movement to stop military exercises by trespassing on U.S. Navy property argued to the court in allocution that "the ones who are violating the greater law are the members of the Navy". As a result, the judge increased her sentence from 40 to 60 days. This action was upheld because, according to the U.S. Court of Appeals for the First Circuit, her statement suggested a lack of remorse, an attempt to avoid responsibility for her actions, and even a likelihood of repeating her illegal actions. Some of the other allocution speeches given by the protesters complained about mistreatment from government officials.</t>
  </si>
  <si>
    <t>June 1, 1953</t>
  </si>
  <si>
    <t>From these bases, the Normans eventually captured Sicily and Malta from the Saracens, under the leadership of the famous Robert Guiscard, a Hauteville, and his younger brother Roger the Great Count. Roger's son, Roger II of Sicily, was crowned king in 1130 (exactly one century after Rainulf was "crowned" count) by Antipope Anacletus II. The Kingdom of Sicily lasted until 1194, when it was transferred to the House of Hohenstaufen through marriage. The Normans left their legacy in many castles, such as William Iron Arm's citadel at Squillace, and cathedrals, such as Roger II's Cappella Palatina chapel at Palermo, which dot the landscape and give a wholly distinct architectural flavor to accompany its unique history.</t>
  </si>
  <si>
    <t>What report had the correct date?</t>
  </si>
  <si>
    <t>What did the development of this fertile soil provide in hostile environment?</t>
  </si>
  <si>
    <t>tidal</t>
  </si>
  <si>
    <t>a postal company</t>
  </si>
  <si>
    <t>On the other hand, higher economic inequality tends to increase entrepreneurship rates at the individual level (self-employment). However, most of it is often based on necessity rather than opportunity. Necessity-based entrepreneurship is motivated by survival needs such as income for food and shelter ("push" motivations), whereas opportunity-based entrepreneurship is driven by achievement-oriented motivations ("pull") such as vocation and more likely to involve the pursue of new products, services, or underserved market needs. The economic impact of the former type of entrepreneurialism tends to be redistributive while the latter is expected to foster technological progress and thus have a more positive impact on economic growth.</t>
  </si>
  <si>
    <t>reordering of government and society in accordance with the Shari'a</t>
  </si>
  <si>
    <t>He who does great things</t>
  </si>
  <si>
    <t>What does increased oxygen concentrations in the patient's lungs displace?</t>
  </si>
  <si>
    <t>As a member of the Scottish Parliamentary Corporate Body, the Presiding Officer is responsible for ensuring that the Parliament functions effectively and has the staff, property and resources it requires to operate. Convening the Parliamentary Bureau, which allocates time and sets the work agenda in the chamber, is another of the roles of the Presiding Officer. Under the Standing Orders of the Parliament the Bureau consists of the Presiding Officer and one representative from each political parties with five or more seats in the Parliament. Amongst the duties of the Bureau are to agree the timetable of business in the chamber, establish the number, remit and membership of parliamentary committees and regulate the passage of legislation (bills) through the Parliament. The Presiding Officer also represents the Scottish Parliament at home and abroad in an official capacity.</t>
  </si>
  <si>
    <t>How well did the Mongol Emperors know Chinese?</t>
  </si>
  <si>
    <t>poor management, internal divisions, and effective Canadian scouts, French regular forces, and Indian warrior allies</t>
  </si>
  <si>
    <t>What channels were removed from the network in March of 2007?</t>
  </si>
  <si>
    <t>formidable natural obstacle</t>
  </si>
  <si>
    <t>appointed to various ministries.</t>
  </si>
  <si>
    <t>over 4.5 million</t>
  </si>
  <si>
    <t>proportionally to the number of votes received in the second vote of the ballot using the d'Hondt method</t>
  </si>
  <si>
    <t>What type of company is Van Gend en Loos?</t>
  </si>
  <si>
    <t>When did the Arab oil producers lift the embargo?</t>
  </si>
  <si>
    <t>How many solo tackles did Von Miller make at Super Bowl 50?</t>
  </si>
  <si>
    <t>In what conditions were forces first measured historically?</t>
  </si>
  <si>
    <t>What percentile of gross domestic product is construction comprised of?</t>
  </si>
  <si>
    <t>territory east of the Mississippi to Great Britain</t>
  </si>
  <si>
    <t>because it is a waste of resources</t>
  </si>
  <si>
    <t>The Central Region</t>
  </si>
  <si>
    <t>How many types of religious or spiritual teachers are there in Christianity?</t>
  </si>
  <si>
    <t>What is the name of the book written by Archeologist Betty Meggers?</t>
  </si>
  <si>
    <t>Who put on a Doctor Who exhibition in 1991?</t>
  </si>
  <si>
    <t>Prevenient grace</t>
  </si>
  <si>
    <t>10th and 11th centuries</t>
  </si>
  <si>
    <t>The Pleistocene epoch takes place during which period?</t>
  </si>
  <si>
    <t>highest</t>
  </si>
  <si>
    <t>Economist Simon Kuznets argued that levels of economic inequality are in large part the result of stages of development. According to Kuznets, countries with low levels of development have relatively equal distributions of wealth. As a country develops, it acquires more capital, which leads to the owners of this capital having more wealth and income and introducing inequality. Eventually, through various possible redistribution mechanisms such as social welfare programs, more developed countries move back to lower levels of inequality.</t>
  </si>
  <si>
    <t>What compounds in the stomach protect against ingested pathogens?</t>
  </si>
  <si>
    <t>What was Iqbal studying in England and Germany?</t>
  </si>
  <si>
    <t>What did Low suggest using Apollo 8 for instead of simply orbiting the Earth's surface?</t>
  </si>
  <si>
    <t>quotient</t>
  </si>
  <si>
    <t>avoiding the unnecessary use of medication that may have side-effects</t>
  </si>
  <si>
    <t>Brazilian National Institute of Amazonian Research</t>
  </si>
  <si>
    <t>Sun</t>
  </si>
  <si>
    <t>quietly</t>
  </si>
  <si>
    <t>Against what country was Kennedy promising superiority over?</t>
  </si>
  <si>
    <t>Germany</t>
  </si>
  <si>
    <t>rotational inertia</t>
  </si>
  <si>
    <t>by theme, tomb sculpture, portraiture, garden sculpture and mythology</t>
  </si>
  <si>
    <t>transportation, sewer, hazardous waste and water</t>
  </si>
  <si>
    <t>singing</t>
  </si>
  <si>
    <t>What was the topic of the error?</t>
  </si>
  <si>
    <t>Super Bowl 50 Host Committee</t>
  </si>
  <si>
    <t>science fiction</t>
  </si>
  <si>
    <t>Mission Impossible,</t>
  </si>
  <si>
    <t>Block II spacesuit</t>
  </si>
  <si>
    <t>robotic Lunar Reconnaissance Orbiter</t>
  </si>
  <si>
    <t>against disease</t>
  </si>
  <si>
    <t>French Huguenots made two attempts to establish a haven in North America. In 1562, naval officer Jean Ribault led an expedition that explored Florida and the present-day Southeastern U.S., and founded the outpost of Charlesfort on Parris Island, South Carolina. The Wars of Religion precluded a return voyage, and the outpost was abandoned. In 1564, Ribault's former lieutenant René Goulaine de Laudonnière launched a second voyage to build a colony; he established Fort Caroline in what is now Jacksonville, Florida. War at home again precluded a resupply mission, and the colony struggled. In 1565 the Spanish decided to enforce their claim to La Florida, and sent Pedro Menéndez de Avilés, who established the settlement of St. Augustine near Fort Caroline. Menéndez' forces routed the French and executed most of the Protestant captives.</t>
  </si>
  <si>
    <t>the leaves</t>
  </si>
  <si>
    <t>How long did Tesla hold this position?</t>
  </si>
  <si>
    <t>The 2013–14 season was a slight improvement for ABC with three new hits in The Goldbergs, Agents of S.H.I.E.L.D. and Resurrection, all of which were renewed; however, that season saw the cancellations of holdovers The Neighbors (which languished in its new Friday time slot despite being bookended by Last Man Standing and Shark Tank) and Suburgatory. NBC, which had lagged behind ABC for eight years, finished the season in first place in the 18–49 demographic for the first time since 2004, and in second place in total viewership behind long-dominant CBS. ABC itself would finish the season in third place as Fox crashed to fourth in both demographics.</t>
  </si>
  <si>
    <t>Before the Apollo program began, Wernher von Braun and his team of rocket engineers had started work on plans for very large launch vehicles, the Saturn series, and the even larger Nova series. In the midst of these plans, von Braun was transferred from the Army to NASA, and made Director of the Marshall Space Flight Center. The initial direct ascent plan to send the three-man Apollo Command/Service Module directly to the lunar surface, on top of a large descent rocket stage, would require a Nova-class launcher, with a lunar payload capability of over 180,000 pounds (82,000 kg). The June 11, 1962, decision to use lunar orbit rendezvous enabled the Saturn V to replace the Nova, and the MSFC proceeded to develop the Saturn rocket family for Apollo.</t>
  </si>
  <si>
    <t>allowed very young students to attend college</t>
  </si>
  <si>
    <t>Chicago Theological Seminary</t>
  </si>
  <si>
    <t>the Scottish Parliament</t>
  </si>
  <si>
    <t>Wahhabi/Salafi jihadist extremist militant</t>
  </si>
  <si>
    <t>In Germany, teachers are mainly civil servants recruited in special university classes, called Lehramtstudien (Teaching Education Studies). There are many differences between the teachers for elementary schools (Grundschule), lower secondary schools (Hauptschule), middle level secondary schools (Realschule) and higher level secondary schools (Gymnasium). Salaries for teachers depend on the civil servants' salary index scale (Bundesbesoldungsordnung).</t>
  </si>
  <si>
    <t>10th century</t>
  </si>
  <si>
    <t>Why are the small lakes in the parks emptied before winter?</t>
  </si>
  <si>
    <t>11.4 million</t>
  </si>
  <si>
    <t>What magazine did Tesla talk to about the strange signals?</t>
  </si>
  <si>
    <t>The flora of the city may be considered very rich in species. The species richness is mainly due to the location of Warsaw within the border region of several big floral regions comprising substantial proportions of close-to-wilderness areas (natural forests, wetlands along the Vistula) as well as arable land, meadows and forests. Bielany Forest, located within the borders of Warsaw, is the remaining part of the Masovian Primeval Forest. Bielany Forest nature reserve is connected with Kampinos Forest. It is home to rich fauna and flora. Within the forest there are three cycling and walking trails. Other big forest area is Kabaty Forest by the southern city border. Warsaw has also two botanic gardens: by the Łazienki park (a didactic-research unit of the University of Warsaw) as well as by the Park of Culture and Rest in Powsin (a unit of the Polish Academy of Science).</t>
  </si>
  <si>
    <t>during the Roman Empire</t>
  </si>
  <si>
    <t>Giuga's conjecture says that this equation is also a sufficient condition for p to be prime. Another consequence of Fermat's little theorem is the following: if p is a prime number other than 2 and 5, 1/p is always a recurring decimal, whose period is p − 1 or a divisor of p − 1. The fraction 1/p expressed likewise in base q (rather than base 10) has similar effect, provided that p is not a prime factor of q. Wilson's theorem says that an integer p &gt; 1 is prime if and only if the factorial (p − 1)! + 1 is divisible by p. Moreover, an integer n &gt; 4 is composite if and only if (n − 1)! is divisible by n.</t>
  </si>
  <si>
    <t>the dilemma faced by German citizens when Hitler's secret police demanded to know if they were hiding a Jew in their house</t>
  </si>
  <si>
    <t>In the laboratory, biostratigraphers analyze rock samples from outcrop and drill cores for the fossils found in them. These fossils help scientists to date the core and to understand the depositional environment in which the rock units formed. Geochronologists precisely date rocks within the stratigraphic section in order to provide better absolute bounds on the timing and rates of deposition. Magnetic stratigraphers look for signs of magnetic reversals in igneous rock units within the drill cores. Other scientists perform stable isotope studies on the rocks to gain information about past climate.</t>
  </si>
  <si>
    <t>While primary chloroplasts have a double membrane from their cyanobacterial ancestor, secondary chloroplasts have additional membranes outside of the original two, as a result of the secondary endosymbiotic event, when a nonphotosynthetic eukaryote engulfed a chloroplast-containing alga but failed to digest it—much like the cyanobacterium at the beginning of this story. The engulfed alga was broken down, leaving only its chloroplast, and sometimes its cell membrane and nucleus, forming a chloroplast with three or four membranes—the two cyanobacterial membranes, sometimes the eaten alga's cell membrane, and the phagosomal vacuole from the host's cell membrane.</t>
  </si>
  <si>
    <t>These project structures allow the owner to integrate the services of who throughout the design and construction?</t>
  </si>
  <si>
    <t>captured enemies</t>
  </si>
  <si>
    <t>$474 million</t>
  </si>
  <si>
    <t>A problem is regarded as inherently difficult if its solution requires significant resources, whatever the algorithm used. The theory formalizes this intuition, by introducing mathematical models of computation to study these problems and quantifying the amount of resources needed to solve them, such as time and storage. Other complexity measures are also used, such as the amount of communication (used in communication complexity), the number of gates in a circuit (used in circuit complexity) and the number of processors (used in parallel computing). One of the roles of computational complexity theory is to determine the practical limits on what computers can and cannot do.</t>
  </si>
  <si>
    <t>0.3 to 0.6 °C</t>
  </si>
  <si>
    <t>The first episode of Doctor Who premiered the day after what famous event in history?</t>
  </si>
  <si>
    <t>What might cause a higher student interest in learning the presented subject?</t>
  </si>
  <si>
    <t>seaborne</t>
  </si>
  <si>
    <t>principle of nonviolent protest</t>
  </si>
  <si>
    <t>as a muscular "foot"</t>
  </si>
  <si>
    <t>Persia</t>
  </si>
  <si>
    <t>In his defense of Doctor Who, what did Philip Howard compare to the London property market?</t>
  </si>
  <si>
    <t>Apollo 1 backup crew</t>
  </si>
  <si>
    <t>May 18, 1756</t>
  </si>
  <si>
    <t>UNESCO World Heritage Site.</t>
  </si>
  <si>
    <t>radicalize the Islamist movement</t>
  </si>
  <si>
    <t>What does the First Company Law Directive article 11 require?</t>
  </si>
  <si>
    <t>BBC Radiophonic Workshop</t>
  </si>
  <si>
    <t>the movements of nature</t>
  </si>
  <si>
    <t>How could human inequality be addressed without resulting in an increase of environmental damage?</t>
  </si>
  <si>
    <t>What will ensure and create the framework for the Action Plan to work?</t>
  </si>
  <si>
    <t>The door on the Block II design was eventually replaced with what kind of model?</t>
  </si>
  <si>
    <t>reduced productivity</t>
  </si>
  <si>
    <t>In the China of the Yuan, or Mongol era, various important developments in the arts occurred or continued in their development, including the areas of painting, mathematics, calligraphy, poetry, and theater, with many great artists and writers being famous today. Due to the coming together of painting, poetry, and calligraphy at this time many of the artists practicing these different pursuits were the same individuals, though perhaps more famed for one area of their achievements than others. Often in terms of the further development of landscape painting as well as the classical joining together of the arts of painting, poetry, and calligraphy, the Song dynasty and the Yuan dynasty are linked together. In the area of Chinese painting during the Yuan dynasty there were many famous painters. In the area of calligraphy many of the great calligraphers were from the Yuan dynasty era. In Yuan poetry, the main development was the qu, which was used among other poetic forms by most of the famous Yuan poets. Many of the poets were also involved in the major developments in the theater during this time, and the other way around, with people important in the theater becoming famous through the development of the sanqu type of qu. One of the key factors in the mix of the zaju variety show was the incorporation of poetry both classical and of the newer qu form. One of the important cultural developments during the Yuan era was the consolidation of poetry, painting, and calligraphy into a unified piece of the type that tends to come to mind when people think of classical Chinese art. Another important aspect of Yuan times is the increasing incorporation of the then current, vernacular Chinese into both the qu form of poetry and the zaju variety show. Another important consideration regarding Yuan dynasty arts and culture is that so much of it has survived in China, relatively to works from the Tang dynasty and Song dynasty, which have often been better preserved in places such as the Shōsōin, in Japan.</t>
  </si>
  <si>
    <t>enhanced greenhouse effect</t>
  </si>
  <si>
    <t>Himalayan glaciers</t>
  </si>
  <si>
    <t>political parties</t>
  </si>
  <si>
    <t xml:space="preserve">What event would necessitate airline passengers to need a supplemental supply of oxygen? </t>
  </si>
  <si>
    <t>What element is used as a coolant in the process of making liquid oxygen?</t>
  </si>
  <si>
    <t>Catholic Church.</t>
  </si>
  <si>
    <t>Small Business Big Game</t>
  </si>
  <si>
    <t>How did the plague infiltrate Alexandria?</t>
  </si>
  <si>
    <t>Where was there a weakness in British supply chain?</t>
  </si>
  <si>
    <t>5–8 μm</t>
  </si>
  <si>
    <t>What does chlorophyll use light energy to do?</t>
  </si>
  <si>
    <t>What gave its name to the 1980s music television program "The Tube"?</t>
  </si>
  <si>
    <t>The enforcement of the ban on the 95 Theses fell to the secular authorities. On 18 April 1521, Luther appeared as ordered before the Diet of Worms. This was a general assembly of the estates of the Holy Roman Empire that took place in Worms, a town on the Rhine. It was conducted from 28 January to 25 May 1521, with Emperor Charles V presiding. Prince Frederick III, Elector of Saxony, obtained a safe conduct for Luther to and from the meeting.</t>
  </si>
  <si>
    <t>regulates the practice of pharmacists and pharmacy technicians</t>
  </si>
  <si>
    <t>Building activity occurred in numerous noble palaces and churches during the later decades of the 17th century. One of the best examples of this architecture are Krasiński Palace (1677–1683), Wilanów Palace (1677–1696) and St. Kazimierz Church (1688–1692). The most impressive examples of rococo architecture are Czapski Palace (1712–1721), Palace of the Four Winds (1730s) and Visitationist Church (façade 1728–1761). The neoclassical architecture in Warsaw can be described by the simplicity of the geometrical forms teamed with a great inspiration from the Roman period. Some of the best examples of the neoclassical style are the Palace on the Water (rebuilt 1775–1795), Królikarnia (1782–1786), Carmelite Church (façade 1761–1783) and Evangelical Holy Trinity Church (1777–1782). The economic growth during the first years of Congress Poland caused a rapid rise architecture. The Neoclassical revival affected all aspects of architecture, the most notable are the Great Theater (1825–1833) and buildings located at Bank Square (1825–1828).</t>
  </si>
  <si>
    <t>allow for U.S authorship of a 'new world' which was to be characterized by geographical order</t>
  </si>
  <si>
    <t>3:00 a.m</t>
  </si>
  <si>
    <t>What kind of service is the SkyDrive Service?</t>
  </si>
  <si>
    <t>Where do ctenophores be found in large numbers?</t>
  </si>
  <si>
    <t>whole curriculum</t>
  </si>
  <si>
    <t>stacked in groups of three</t>
  </si>
  <si>
    <t>Several barriers protect organisms from infection, including mechanical, chemical, and biological barriers. The waxy cuticle of many leaves, the exoskeleton of insects, the shells and membranes of externally deposited eggs, and skin are examples of mechanical barriers that are the first line of defense against infection. However, as organisms cannot be completely sealed from their environments, other systems act to protect body openings such as the lungs, intestines, and the genitourinary tract. In the lungs, coughing and sneezing mechanically eject pathogens and other irritants from the respiratory tract. The flushing action of tears and urine also mechanically expels pathogens, while mucus secreted by the respiratory and gastrointestinal tract serves to trap and entangle microorganisms.</t>
  </si>
  <si>
    <t>What region of China is Hebei part of?</t>
  </si>
  <si>
    <t>the National Archives and Records Administration</t>
  </si>
  <si>
    <t>After a general debate on the final form of the bill</t>
  </si>
  <si>
    <t>his mother's genetics</t>
  </si>
  <si>
    <t>In January 2010</t>
  </si>
  <si>
    <t>the most cost efficient bidder</t>
  </si>
  <si>
    <t>Luther's rediscovery of "Christ and His salvation" was the first of two points that became the foundation for the Reformation. His railing against the sale of indulgences was based on it.</t>
  </si>
  <si>
    <t>What does civil disobedience relate to?</t>
  </si>
  <si>
    <t xml:space="preserve">Which musical genre did the progressive folk-rock band Gryphon presented at a concert/lecture at the V&amp;A? </t>
  </si>
  <si>
    <t>inconclusively, with both sides withdrawing from the field</t>
  </si>
  <si>
    <t>The first Huguenots to leave France sought freedom from persecution in Switzerland and the Netherlands.[citation needed] A group of Huguenots was part of the French colonisers who arrived in Brazil in 1555 to found France Antarctique. A couple of ships with around 500 people arrived at the Guanabara Bay, present-day Rio de Janeiro, and settled in a small island. A fort, named Fort Coligny, was built to protect them from attack from the Portuguese troops and Brazilian Native Americans. It was an attempt to establish a French colony in South America. The fort was destroyed in 1560 by the Portuguese, who captured part of the Huguenots. The Portuguese threatened the prisoners with death if they did not convert to Catholicism. The Huguenots of Guanabara, as they are now known, produced a declaration of faith to express their beliefs to the Portuguese. This was their death sentence. This document, the Guanabara Confession of Faith, became the first Protestant confession of faith in the whole of the Americas.[citation needed]</t>
  </si>
  <si>
    <t>What was Germany's central interest?</t>
  </si>
  <si>
    <t>the ordination order of transitional deacon was abolished</t>
  </si>
  <si>
    <t>What country is the most industrially developed country in the African Great Lakes Region?</t>
  </si>
  <si>
    <t>How many tons of live plants were found to live in one square kilometer of the Amazon rainforest in 1999?</t>
  </si>
  <si>
    <t>non-religious war</t>
  </si>
  <si>
    <t>potential bad publicity surrounding the impoverished conditions their former star inventor was living under</t>
  </si>
  <si>
    <t>below 0 °C</t>
  </si>
  <si>
    <t>What was the significance of British win?</t>
  </si>
  <si>
    <t>How much more land does the school own in Allston than Cambridge?</t>
  </si>
  <si>
    <t>three bodies of water</t>
  </si>
  <si>
    <t>antigen from a pathogen</t>
  </si>
  <si>
    <t>What is used to quantify the intuitive undestanding of forces?</t>
  </si>
  <si>
    <t>What is the name of the stadium where Super Bowl 50 was played?</t>
  </si>
  <si>
    <t>Large-scale regeneration</t>
  </si>
  <si>
    <t>Humor is a part of the classroom for what type of teacher?</t>
  </si>
  <si>
    <t>Voyage of the Damned</t>
  </si>
  <si>
    <t>Seljuk Turks</t>
  </si>
  <si>
    <t>necessity</t>
  </si>
  <si>
    <t>non-combustible substances that corrode</t>
  </si>
  <si>
    <t>raises the productivity of each worker</t>
  </si>
  <si>
    <t>How much did the statement predict global surface temperature would increase by 2100?</t>
  </si>
  <si>
    <t>The third invasion was stopped with the improbable French victory in the Battle of Carillon, in which 3,600 Frenchmen famously and decisively defeated Abercrombie's force of 18,000 regulars, militia and Native American allies outside the fort the French called Carillon and the British called Ticonderoga. Abercrombie saved something from the disaster when he sent John Bradstreet on an expedition that successfully destroyed Fort Frontenac, including caches of supplies destined for New France's western forts and furs destined for Europe. Abercrombie was recalled and replaced by Jeffery Amherst, victor at Louisbourg.</t>
  </si>
  <si>
    <t>What shape are some of the buildings in the Parliament complex?</t>
  </si>
  <si>
    <t>What is another function that primes have that the number 1 does not?</t>
  </si>
  <si>
    <t>In what country does some clergy in the UMC occasionally practice exorcism?</t>
  </si>
  <si>
    <t>Eventually, the Normans merged with the natives, combining languages and traditions. In the course of the Hundred Years' War, the Norman aristocracy often identified themselves as English. The Anglo-Norman language became distinct from the Latin language, something that was the subject of some humour by Geoffrey Chaucer. The Anglo-Norman language was eventually absorbed into the Anglo-Saxon language of their subjects (see Old English) and influenced it, helping (along with the Norse language of the earlier Anglo-Norse settlers and the Latin used by the church) in the development of Middle English. It in turn evolved into Modern English.</t>
  </si>
  <si>
    <t>As a result, by 1206 Temüjin had managed to unite or subdue the Merkits, Naimans, Mongols, Keraites, Tatars, Uyghurs, and other disparate smaller tribes under his rule. It was a monumental feat for the "Mongols" (as they became known collectively). At a Khuruldai, a council of Mongol chiefs, Temüjin was acknowledged as "Khan" of the consolidated tribes and took the new title "Genghis Khan". The title Khagan was not conferred on Genghis until after his death, when his son and successor, Ögedei, took the title for himself and extended it posthumously to his father (as he was also to be posthumously declared the founder of the Yuan dynasty). This unification of all confederations by Genghis Khan established peace between previously warring tribes and a single political and military force under Genghis Khan.</t>
  </si>
  <si>
    <t>green chloroplast</t>
  </si>
  <si>
    <t>What were the two Huguenot neighborhoods created in Berlin?</t>
  </si>
  <si>
    <t>different viewpoints</t>
  </si>
  <si>
    <t>How was the efficiency of a steam engine typically evaluated?</t>
  </si>
  <si>
    <t>When were the negotiations finished in Mansfeld?</t>
  </si>
  <si>
    <t>biomass</t>
  </si>
  <si>
    <t>constant factors and smaller terms</t>
  </si>
  <si>
    <t>a theta intermediary form</t>
  </si>
  <si>
    <t>Where was the new media day event for Super Bowl 50 held?</t>
  </si>
  <si>
    <t>The University of Chicago Library system encompasses six libraries that contain a total of 9.8 million volumes, the 11th most among library systems in the United States. The university's main library is the Regenstein Library, which contains one of the largest collections of print volumes in the United States. The Joe and Rika Mansueto Library, built in 2011, houses a large study space and an automatic book storage and retrieval system. The John Crerar Library contains more than 1.3 million volumes in the biological, medical and physical sciences and collections in general science and the philosophy and history of science, medicine, and technology. The university also operates a number of special libraries, including the D'Angelo Law Library, the Social Service Administration Library, and the Eckhart Library for mathematics and computer science, which closed temporarily for renovation on July 8, 2013. Harper Memorial Library no longer contains any volumes; however it is, in addition to the Regenstein Library, a 24-hour study space on campus.</t>
  </si>
  <si>
    <t>AC development</t>
  </si>
  <si>
    <t>What kind of government does Kenya have?</t>
  </si>
  <si>
    <t>What is stratigraphy?</t>
  </si>
  <si>
    <t>Civil Service Tribunal</t>
  </si>
  <si>
    <t>construction service firms (e.g., engineering, architecture) and construction managers</t>
  </si>
  <si>
    <t>What is the name for a teacher of just one person?</t>
  </si>
  <si>
    <t>What financial issue is notoriously prevalent in the construction field?</t>
  </si>
  <si>
    <t>Mutual</t>
  </si>
  <si>
    <t>nothing for their children to attend, including room and board</t>
  </si>
  <si>
    <t>rain</t>
  </si>
  <si>
    <t>What is the law of thermodynamics associated with closed system heat exchange?</t>
  </si>
  <si>
    <t>open to all irrespective of age, literacy level</t>
  </si>
  <si>
    <t>The Times</t>
  </si>
  <si>
    <t>Italian and French Renaissance</t>
  </si>
  <si>
    <t>nearly $41 trillion</t>
  </si>
  <si>
    <t>Roughly how much is the Student Government's budget?</t>
  </si>
  <si>
    <t>ancient churchyards</t>
  </si>
  <si>
    <t>Revolutionary civil disobedience</t>
  </si>
  <si>
    <t>South African Schools Act</t>
  </si>
  <si>
    <t>The Apollo program, also known as Project Apollo, was the third United States human spaceflight program carried out by the National Aeronautics and Space Administration (NASA), which accomplished landing the first humans on the Moon from 1969 to 1972. First conceived during Dwight D. Eisenhower's administration as a three-man spacecraft to follow the one-man Project Mercury which put the first Americans in space, Apollo was later dedicated to President John F. Kennedy's national goal of "landing a man on the Moon and returning him safely to the Earth" by the end of the 1960s, which he proposed in a May 25, 1961, address to Congress. Project Mercury was followed by the two-man Project Gemini (1962–66). The first manned flight of Apollo was in 1968.</t>
  </si>
  <si>
    <t>How long does the Members Debate last?</t>
  </si>
  <si>
    <t>Despite waiving longtime running back DeAngelo Williams and losing top wide receiver Kelvin Benjamin to a torn ACL in the preseason, the Carolina Panthers had their best regular season in franchise history, becoming the seventh team to win at least 15 regular season games since the league expanded to a 16-game schedule in 1978. Carolina started the season 14–0, not only setting franchise records for the best start and the longest single-season winning streak, but also posting the best start to a season by an NFC team in NFL history, breaking the 13–0 record previously shared with the 2009 New Orleans Saints and the 2011 Green Bay Packers. With their NFC-best 15–1 regular season record, the Panthers clinched home-field advantage throughout the NFC playoffs for the first time in franchise history. Ten players were selected to the Pro Bowl (the most in franchise history) along with eight All-Pro selections.</t>
  </si>
  <si>
    <t>How many classes of immune hypersensitivity are there?</t>
  </si>
  <si>
    <t>What did Josel ask the city of Strasbourg to forbid the sale of?</t>
  </si>
  <si>
    <t>killer cell immunoglobulin</t>
  </si>
  <si>
    <t>How many astronauts was the LM intended to take from orbit of the moon to the surface of the moon?</t>
  </si>
  <si>
    <t>union membership</t>
  </si>
  <si>
    <t>high-voltage</t>
  </si>
  <si>
    <t>His last sermon was delivered at Eisleben, his place of birth, on 15 February 1546, three days before his death. It was "entirely devoted to the obdurate Jews, whom it was a matter of great urgency to expel from all German territory," according to Léon Poliakov. James Mackinnon writes that it concluded with a "fiery summons to drive the Jews bag and baggage from their midst, unless they desisted from their calumny and their usury and became Christians." Luther said, "we want to practice Christian love toward them and pray that they convert," but also that they are "our public enemies ... and if they could kill us all, they would gladly do so. And so often they do."</t>
  </si>
  <si>
    <t>When was the St. Bartholomew's Day Massacre?</t>
  </si>
  <si>
    <t>the Nikola Tesla Museum archive</t>
  </si>
  <si>
    <t>Why was the 36 acres leased?</t>
  </si>
  <si>
    <t>The Brain of Morbius</t>
  </si>
  <si>
    <t>What makes ctenophores different from all other animals?</t>
  </si>
  <si>
    <t>What is the use of the law by the Holy Spirit?</t>
  </si>
  <si>
    <t>The development of Terra Preta allowed for what to happen in the Amazon Forest?</t>
  </si>
  <si>
    <t>civilize the inferior</t>
  </si>
  <si>
    <t>The network has the unusual distinction of having separately owned and operated affiliates which serve the same market in Tampa, Florida (WFTS-TV and WWSB) and Grand Rapids, Michigan (WZZM and WOTV), with an analogous situation arising in Kansas City, Missouri (KMBC-TV and KQTV). KQTV is licensed to St. Joseph, Missouri, which is designated by Nielsen as a separate market from Kansas City despite being located within 55 miles (89 km) of one another, while WWSB and WOTV serve areas that do not receive an adequate signal from their market's primary ABC affiliate (in the case of WWSB, this dates back to when WTSP was Tampa's primary ABC affiliate prior to 1994, with the former being necessitated to serve the southern part of the Tampa market including the station's city of license, Sarasota, due to WTSP's transmitter being short-spaced to avoid interfering with the analog signal of Miami affiliate WPLG – which like WTSP, broadcast on VHF channel 10).</t>
  </si>
  <si>
    <t>sugar and oxygen (O2)</t>
  </si>
  <si>
    <t>the thylakoid network</t>
  </si>
  <si>
    <t>When was Richard Grainger actively building and developing?</t>
  </si>
  <si>
    <t>25 million</t>
  </si>
  <si>
    <t>What health problem did Tesla have in 1879?</t>
  </si>
  <si>
    <t>What does the internal cavity contain?</t>
  </si>
  <si>
    <t>a number of books and articles</t>
  </si>
  <si>
    <t>90 to 95 percent</t>
  </si>
  <si>
    <t>Oxygen, as a supposed mild euphoric, has a history of recreational use in oxygen bars and in sports. Oxygen bars are establishments, found in Japan, California, and Las Vegas, Nevada since the late 1990s that offer higher than normal O
2 exposure for a fee. Professional athletes, especially in American football, also sometimes go off field between plays to wear oxygen masks in order to get a "boost" in performance. The pharmacological effect is doubtful; a placebo effect is a more likely explanation. Available studies support a performance boost from enriched O
2 mixtures only if they are breathed during aerobic exercise.</t>
  </si>
  <si>
    <t>all spheres</t>
  </si>
  <si>
    <t>personal goals</t>
  </si>
  <si>
    <t>In addition to the Vince Lombardi Trophy that all Super Bowl champions receive, the winner of Super Bowl 50 will also receive a large, 18-karat gold-plated "50". Each digit will weigh 33 lb (15 kg) for a total of 66 lb (30 kg). Like the Lombardi Trophy, the "50" will be designed by Tiffany &amp; Co.</t>
  </si>
  <si>
    <t>How was Sadat rewarded by the Islamists for his attempts to bring Egypt into modern times and civilization?</t>
  </si>
  <si>
    <t>In the 1840s and 50s, there were attempts to overcome this problem by means of various patent valve gears with a separate, variable cutoff expansion valve riding on the back of the main slide valve; the latter usually had fixed or limited cutoff. The combined setup gave a fair approximation of the ideal events, at the expense of increased friction and wear, and the mechanism tended to be complicated. The usual compromise solution has been to provide lap by lengthening rubbing surfaces of the valve in such a way as to overlap the port on the admission side, with the effect that the exhaust side remains open for a longer period after cut-off on the admission side has occurred. This expedient has since been generally considered satisfactory for most purposes and makes possible the use of the simpler Stephenson, Joy and Walschaerts motions. Corliss, and later, poppet valve gears had separate admission and exhaust valves driven by trip mechanisms or cams profiled so as to give ideal events; most of these gears never succeeded outside of the stationary marketplace due to various other issues including leakage and more delicate mechanisms.</t>
  </si>
  <si>
    <t>it is weighted inversely to member state size</t>
  </si>
  <si>
    <t>What early Huguenot Church was established in England?</t>
  </si>
  <si>
    <t>joining the easterly flow toward the Atlantic.</t>
  </si>
  <si>
    <t>exercise</t>
  </si>
  <si>
    <t>What did Charles Parsons invent?</t>
  </si>
  <si>
    <t>In the early 1970s, Michael Eisner, who joined ABC in 1966, became the network's program development manager. He helped bring about ideas for many series including Happy Days (which originated as a segment on the anthology series Love, American Style), as well as several soap operas; however, Eisner's main credit at ABC was for developing youth-oriented programming. He was responsible for reacquiring the rights to the Looney Tunes-Merrie Melodies library, bringing the shorts back to ABC after spending several years on CBS, as well as developing The Jackson 5ive animated series and a series about the Osmonds, and greenlighting Super Friends, based on DC Comics' Justice League of America series. Eisner left ABC in 1976 to become president of Paramount Pictures (and would later become the President of ABC's eventual parent company, Disney).</t>
  </si>
  <si>
    <t>two-thirds majority</t>
  </si>
  <si>
    <t>odd prime</t>
  </si>
  <si>
    <t>to reduce consumer costs</t>
  </si>
  <si>
    <t>By what means is bulk oxygen shipped?</t>
  </si>
  <si>
    <t>the People’s Republic of China</t>
  </si>
  <si>
    <t>Early in 1537, Johannes Agricola (1494–1566) – serving at the time as pastor in Luther's birthplace, Eisleben – preached a sermon in which he claimed that God's gospel, not God's moral law (the Ten Commandments), revealed God's wrath to Christians. Based on this sermon and others by Agricola, Luther suspected that Agricola was behind certain anonymous antinomian theses circulating in Wittenberg. These theses asserted that the law is no longer to be taught to Christians but belonged only to city hall. Luther responded to these theses with six series of theses against Agricola and the antinomians, four of which became the basis for disputations between 1538 and 1540. He also responded to these assertions in other writings, such as his 1539 open letter to C. Güttel Against the Antinomians, and his book On the Councils and the Church from the same year.</t>
  </si>
  <si>
    <t>the municipal building inspector</t>
  </si>
  <si>
    <t>basis of the methodology used</t>
  </si>
  <si>
    <t>Where do cacti have chloroplasts?</t>
  </si>
  <si>
    <t>It was never affiliated with any particular denomination</t>
  </si>
  <si>
    <t>English and Swahili,</t>
  </si>
  <si>
    <t>What is a stromule?</t>
  </si>
  <si>
    <t>fund travelers who would come back with tales of their discoveries</t>
  </si>
  <si>
    <t>two catechisms</t>
  </si>
  <si>
    <t>Common Core</t>
  </si>
  <si>
    <t>working fluid</t>
  </si>
  <si>
    <t>zero</t>
  </si>
  <si>
    <t>What was the first British empire based on?</t>
  </si>
  <si>
    <t>Civil Rights Movement</t>
  </si>
  <si>
    <t>up to half the carbon fixed by the Calvin cycle</t>
  </si>
  <si>
    <t>fighting horsemen</t>
  </si>
  <si>
    <t>What acquired condition results in immunodeficiency in humans?</t>
  </si>
  <si>
    <t>Where do chloroplasts make amino acids?</t>
  </si>
  <si>
    <t>300 m3/s</t>
  </si>
  <si>
    <t>What was the recorded length of the first spark?</t>
  </si>
  <si>
    <t>over 17.5 million</t>
  </si>
  <si>
    <t>committees</t>
  </si>
  <si>
    <t>The investors showed little interest in Tesla's ideas for new types of motors and electrical transmission equipment and also seemed to think it was better to develop an electrical utility than invent new systems. They eventually forced Tesla out leaving him penniless. He even lost control of the patents he had generated since he had assigned them to the company in lieu of stock. He had to work at various electrical repair jobs and even as a ditch digger for $2 per day. Tesla considered the winter of 1886/1887 as a time of "terrible headaches and bitter tears." During this time, he questioned the value of his education.</t>
  </si>
  <si>
    <t>What other reason caused poor supply of New France from a difficult winter?</t>
  </si>
  <si>
    <t>spiritual</t>
  </si>
  <si>
    <t>According to the UK Government's returned 2001 census information, the city of Newcastle had a population of 189,863, whereas the metropolitan borough of Newcastle had a population of around 259,000. Newcastle has a population of 282,442 according to the Office for National Statistics. The metropolitan boroughs of North Tyneside (population circa 201,000), South Tyneside (population circa 148,000) and Gateshead (population circa 201,000) are, along with Newcastle, all part of the Tyneside conurbation (population circa 880,000). The metropolitan county of Tyne and Wear, which consists of the four aforementioned boroughs as well as the City of Sunderland (population circa 275,000), had a population of around 1,076,000 and the Tyne and Wear City Region which also includes North Durham, South East Northumberland and the Tyne Valley has a population of 1,650,000. Newcastle is also home to a large student population with Newcastle and Northumbria Universities in the local area. Areas with predominant student populations include Jesmond and Heaton.</t>
  </si>
  <si>
    <t>high atmospheric CO2 concentrations</t>
  </si>
  <si>
    <t>more experience and higher education</t>
  </si>
  <si>
    <t>increasing crime and poverty in the Hyde Park neighborhood</t>
  </si>
  <si>
    <t>The immune system protects organisms from infection with layered defenses of increasing specificity. In simple terms, physical barriers prevent pathogens such as bacteria and viruses from entering the organism. If a pathogen breaches these barriers, the innate immune system provides an immediate, but non-specific response. Innate immune systems are found in all plants and animals. If pathogens successfully evade the innate response, vertebrates possess a second layer of protection, the adaptive immune system, which is activated by the innate response. Here, the immune system adapts its response during an infection to improve its recognition of the pathogen. This improved response is then retained after the pathogen has been eliminated, in the form of an immunological memory, and allows the adaptive immune system to mount faster and stronger attacks each time this pathogen is encountered.</t>
  </si>
  <si>
    <t>What will the Prime Minister have power over?</t>
  </si>
  <si>
    <t>What was Genghis Khan's tribes burial custom?</t>
  </si>
  <si>
    <t>$400,000–$450,000</t>
  </si>
  <si>
    <t>What sort of continental sculptors are represented in the British Galleries of the V&amp;A?</t>
  </si>
  <si>
    <t>1,230 kilometres</t>
  </si>
  <si>
    <t>What did article 65 of the ECSC ban?</t>
  </si>
  <si>
    <t>Steven Barkan writes that if defendants plead not guilty, "they must decide whether their primary goal will be to win an acquittal and avoid imprisonment or a fine, or to use the proceedings as a forum to inform the jury and the public of the political circumstances surrounding the case and their reasons for breaking the law via civil disobedience." A technical defense may enhance the chances for acquittal but make for more boring proceedings and reduced press coverage. During the Vietnam War era, the Chicago Eight used a political defense, while Benjamin Spock used a technical defense. In countries such as the United States whose laws guarantee the right to a jury trial but do not excuse lawbreaking for political purposes, some civil disobedients seek jury nullification. Over the years, this has been made more difficult by court decisions such as Sparf v. United States, which held that the judge need not inform jurors of their nullification prerogative, and United States v. Dougherty, which held that the judge need not allow defendants to openly seek jury nullification.</t>
  </si>
  <si>
    <t>What is the search feature on the V&amp;A website called?</t>
  </si>
  <si>
    <t>What does ATP synthase change into ATP?</t>
  </si>
  <si>
    <t>What impact did the high school education movement have on the presence of skilled workers?</t>
  </si>
  <si>
    <t>all punishments</t>
  </si>
  <si>
    <t>the European Parliament and the Council of the European Union</t>
  </si>
  <si>
    <t>What surrounds the church of St. Andrew?</t>
  </si>
  <si>
    <t>What weapon did Marco Pole report as the cause of Genghis Khan's death?</t>
  </si>
  <si>
    <t>invaginations</t>
  </si>
  <si>
    <t>colonization, use of military force, or other</t>
  </si>
  <si>
    <t>at the right bank of the Vistula</t>
  </si>
  <si>
    <t>William Ellery Channing and Ralph Waldo Emerson</t>
  </si>
  <si>
    <t>What perk did religious leaders, teachers, and doctors get in the Mongol Empire?</t>
  </si>
  <si>
    <t>United Kingdom, Australia, Canada and the United States</t>
  </si>
  <si>
    <t>by stimulating the growth of local seed production and agro-dealer networks for distribution and marketing</t>
  </si>
  <si>
    <t>What is the force between two locations related to?</t>
  </si>
  <si>
    <t>How often is the AV Festival held?</t>
  </si>
  <si>
    <t>continental North American possessions east of the Mississippi or the Caribbean islands of Guadeloupe and Martinique</t>
  </si>
  <si>
    <t>Elders are called by God, affirmed by the church, and ordained by a bishop to a ministry of Word, Sacrament, Order and Service within the church. They may be appointed to the local church, or to other valid extension ministries of the church. Elders are given the authority to preach the Word of God, administer the sacraments of the church, to provide care and counseling, and to order the life of the church for ministry and mission. Elders may also be assigned as District Superintendents, and they are eligible for election to the episcopacy. Elders serve a term of 2–3 years as provisional Elders prior to their ordination.</t>
  </si>
  <si>
    <t>What is a spark or heat to the progress of a fire?</t>
  </si>
  <si>
    <t>transmitted electrical energy</t>
  </si>
  <si>
    <t>Labour</t>
  </si>
  <si>
    <t>Switzerland</t>
  </si>
  <si>
    <t>to encourage investment</t>
  </si>
  <si>
    <t>What part of the Earth's geological structure is larger than the crust?</t>
  </si>
  <si>
    <t>the twin prime conjecture</t>
  </si>
  <si>
    <t>qualifications</t>
  </si>
  <si>
    <t>User Datagram Protocol</t>
  </si>
  <si>
    <t>special training to ensure that ignition sources are minimized</t>
  </si>
  <si>
    <t>fundamental electroweak interaction.</t>
  </si>
  <si>
    <t>8 million</t>
  </si>
  <si>
    <t>Queen Elizabeth II</t>
  </si>
  <si>
    <t>What do carotenoids absorb?</t>
  </si>
  <si>
    <t>1–3 μm</t>
  </si>
  <si>
    <t>The French and Indian War was the New World aspect of what European conflict?</t>
  </si>
  <si>
    <t>What was the name of the locomotive that debuted in 1808?</t>
  </si>
  <si>
    <t>On what is Victoria's constitution based ?</t>
  </si>
  <si>
    <t>What did he hope to locate underground?</t>
  </si>
  <si>
    <t>from 2009 onwards</t>
  </si>
  <si>
    <t>What distinguishes stromal thylakoids?</t>
  </si>
  <si>
    <t>electric eels</t>
  </si>
  <si>
    <t>of highest 'social efficiency</t>
  </si>
  <si>
    <t>prime ideals</t>
  </si>
  <si>
    <t>How many visitors did the Britain Can Make It exhibition attract?</t>
  </si>
  <si>
    <t>an unknown incarnation of himself</t>
  </si>
  <si>
    <t>a form of starch</t>
  </si>
  <si>
    <t>By the opening of the 2008 General Conference, what was the total UMC membership overseas?</t>
  </si>
  <si>
    <t>women not taking jobs due to marriage or pregnancy</t>
  </si>
  <si>
    <t>chloroplasts and other plastids</t>
  </si>
  <si>
    <t>Citizenship of the EU</t>
  </si>
  <si>
    <t>Euglenophytes are a group of common flagellated protists that contain chloroplasts derived from a green alga. Euglenophyte chloroplasts have three membranes—it is thought that the membrane of the primary endosymbiont was lost, leaving the cyanobacterial membranes, and the secondary host's phagosomal membrane. Euglenophyte chloroplasts have a pyrenoid and thylakoids stacked in groups of three. Starch is stored in the form of paramylon, which is contained in membrane-bound granules in the cytoplasm of the euglenophyte.</t>
  </si>
  <si>
    <t>orientalism and tropicality.</t>
  </si>
  <si>
    <t>look at both the possibilities of setting up a second university in Kenya as well as the reforming of the entire education system</t>
  </si>
  <si>
    <t>Warsaw's sidewalks and sanitation facilities are some examples of things which have what?</t>
  </si>
  <si>
    <t>the property owner</t>
  </si>
  <si>
    <t>conquering the other state's lands and therefore increasing its own dominance</t>
  </si>
  <si>
    <t>In 1900, Tesla was granted patents for a "system of transmitting electrical energy" and "an electrical transmitter." When Guglielmo Marconi made his famous first-ever transatlantic radio transmission in 1901, Tesla quipped that it was done with 17 Tesla patents, though there is little to support this claim. This was the beginning of years of patent battles over radio with Tesla's patents being upheld in 1903, followed by a reverse decision in favor of Marconi in 1904. In 1943, a Supreme Court of the United States decision restored the prior patents of Tesla, Oliver Lodge, and John Stone. The court declared that their decision had no bearing on Marconi's claim as the first to achieve radio transmission, just that since Marconi's claim to certain patents were questionable, he could not claim infringement on those same patents (there are claims the high court was trying to nullify a World War I claim against the U.S. government by the Marconi Company via simply restoring Tesla's prior patent).</t>
  </si>
  <si>
    <t>What project did Harvard halt due to the financial crisis?</t>
  </si>
  <si>
    <t>What are pharmacists in the United Kingdom being increasingly paid for?</t>
  </si>
  <si>
    <t>non-combustible</t>
  </si>
  <si>
    <t>a soap sponge</t>
  </si>
  <si>
    <t>lengthening rubbing surfaces</t>
  </si>
  <si>
    <t>its nucleomorph and outermost two membranes</t>
  </si>
  <si>
    <t>life expectancy</t>
  </si>
  <si>
    <t>Complexity theory seeks to define the relationship between the scale of algorithms with respect to what other variable?</t>
  </si>
  <si>
    <t>tensions over slavery and the power of bishops in the denomination</t>
  </si>
  <si>
    <t>What does isobaric mean?</t>
  </si>
  <si>
    <t>late afternoons</t>
  </si>
  <si>
    <t>In a platoon style teaching, what gives the children security?</t>
  </si>
  <si>
    <t>In the autumn of 1991, talks were held for the broadcast rights for Premier League for a five-year period, from the 1992 season. ITV were the current rights holders, and fought hard to retain the new rights. ITV had increased its offer from £18m to £34m per year to keep control of the rights. BSkyB joined forces with the BBC to make a counter bid. The BBC was given the highlights of most of the matches, while BSkyB paying £304m for the Premier League rights, would give them a monopoly of all live matches, up to 60 per year from the 1992 season.  Murdoch described sport as a "battering ram" for pay-television, providing a strong customer base. A few weeks after the deal, ITV went to the High Court to get an injunction as it believed their bid details had been leaked before the decision was taken. ITV also asked the Office of Fair Trading to investigate since it believed Rupert Murdoch's media empire via its newspapers had influenced the deal. A few days later neither action took effect, ITV believed BSkyB was telephoned and informed of its £262m bid, and Premier League advised BSkyB to increase its counter bid.</t>
  </si>
  <si>
    <t>animosity toward each other</t>
  </si>
  <si>
    <t>What country was Abhisit Vejjajiva prime minister of, despite having been born in Newcastle?</t>
  </si>
  <si>
    <t>In 1981, the Presidential Working Party on the Second University was commissioned to look at both the possibilities of setting up a second university in Kenya as well as the reforming of the entire education system. The committee recommended that the 7–4–2–3 system be changed to an 8–4–4 system (eight years in primary, four years in secondary, and four years in university education). The table under Present-day education in Kenya below shows the structure of the 8–4–4 system. Although the 7–4–2–3 system theoretically ended with the introduction of the new 8–4–4 system in 1985, the last batch of students from the former system graduated from Kenyan Universities in 1992.</t>
  </si>
  <si>
    <t>What troops attacked Fort William Henry in early 1757?</t>
  </si>
  <si>
    <t>aspirational consumption</t>
  </si>
  <si>
    <t>What is the profession of Jake Rosenfield?</t>
  </si>
  <si>
    <t>catechism</t>
  </si>
  <si>
    <t>failed to set up an insurance fund for employees to claim unpaid wages if their employers had gone insolvent</t>
  </si>
  <si>
    <t>Immunological memory can take what two forms?</t>
  </si>
  <si>
    <t>chloroplast division</t>
  </si>
  <si>
    <t>What does the City Council divide itself into?</t>
  </si>
  <si>
    <t>Zwickau prophet</t>
  </si>
  <si>
    <t>What kind of techniques were used to create the theme?</t>
  </si>
  <si>
    <t>The Judiciary</t>
  </si>
  <si>
    <t>Where did Tesla look for investors prior to WWI?</t>
  </si>
  <si>
    <t>Under what law is value of a worker determined?</t>
  </si>
  <si>
    <t>What function do compounds like phenol and acetone serve in the manufacture of many other substances?</t>
  </si>
  <si>
    <t>classical position variables</t>
  </si>
  <si>
    <t>about one-eighth</t>
  </si>
  <si>
    <t>23 November</t>
  </si>
  <si>
    <t>singing of German hymns</t>
  </si>
  <si>
    <t>plant cell which contains chloroplasts</t>
  </si>
  <si>
    <t>What was it called when Tesla lit a wireless gas-discharge lamp using a high-frequency, high-voltage alternating current?</t>
  </si>
  <si>
    <t>strong and weak forces</t>
  </si>
  <si>
    <t>Who applies European Union law?</t>
  </si>
  <si>
    <t>What was constructed between 1978 and 1982 to link the Henry Cole wing to the rest of the museum?</t>
  </si>
  <si>
    <t>economically</t>
  </si>
  <si>
    <t>The UMC understands itself to be part of what church?</t>
  </si>
  <si>
    <t>age of 16</t>
  </si>
  <si>
    <t>Society of St Pius X</t>
  </si>
  <si>
    <t>indulgences for the dead,</t>
  </si>
  <si>
    <t>The image of the TARDIS has become firmly linked to the show in the public's consciousness; BBC scriptwriter Anthony Coburn, who lived in the resort of Herne Bay, Kent, was one of the people who conceived the idea of a police box as a time machine. In 1996, the BBC applied for a trade mark to use the TARDIS' blue police box design in merchandising associated with Doctor Who. In 1998, the Metropolitan Police Authority filed an objection to the trade mark claim; but in 2002, the Patent Office ruled in favour of the BBC.</t>
  </si>
  <si>
    <t>the city's prosperity;</t>
  </si>
  <si>
    <t>Why did the Methodist Protestant Church split from the Methodist Episcopal Church?</t>
  </si>
  <si>
    <t>Edict of Nantes</t>
  </si>
  <si>
    <t>What can result from disorders of the immune system?</t>
  </si>
  <si>
    <t>ARPANET and SITA HLN became operational in 1969. Before the introduction of X.25 in 1973, about twenty different network technologies had been developed. Two fundamental differences involved the division of functions and tasks between the hosts at the edge of the network and the network core. In the datagram system, the hosts have the responsibility to ensure orderly delivery of packets. The User Datagram Protocol (UDP) is an example of a datagram protocol. In the virtual call system, the network guarantees sequenced delivery of data to the host. This results in a simpler host interface with less functionality than in the datagram model. The X.25 protocol suite uses this network type.</t>
  </si>
  <si>
    <t>confirming Britain's position as the dominant colonial power in eastern North America</t>
  </si>
  <si>
    <t>What did Luther say the common people knew nothing about?</t>
  </si>
  <si>
    <t>20 to 1</t>
  </si>
  <si>
    <t>a simple majority</t>
  </si>
  <si>
    <t>town of the Ubii</t>
  </si>
  <si>
    <t>Since its inception, ABC has had many affiliated stations, which include WABC-TV and WPVI-TV, the first two stations to carry the network's programming. As of March 2015[update], ABC has eight owned-and-operated stations, and current and pending affiliation agreements with 235 additional television stations encompassing 49 states, the District of Columbia, four U.S. possessions, Bermuda and Saba; this makes ABC the largest U.S. broadcast television network by total number of affiliates. The network has an estimated national reach of 96.26% of all households in the United States (or 300,794,157 Americans with at least one television set).</t>
  </si>
  <si>
    <t>were longitudinal waves</t>
  </si>
  <si>
    <t>continental European</t>
  </si>
  <si>
    <t>The Church supports those persons who conscientiously oppose what?</t>
  </si>
  <si>
    <t>When did Kublai attack Xiangyang?</t>
  </si>
  <si>
    <t>March Battle of Fort Bull</t>
  </si>
  <si>
    <t>What did the Kyoto Protocol try to address?</t>
  </si>
  <si>
    <t>11–13th century</t>
  </si>
  <si>
    <t>spherical</t>
  </si>
  <si>
    <t>In October 2010</t>
  </si>
  <si>
    <t>Georgia</t>
  </si>
  <si>
    <t>What color were the Bronco's uniforms in Super Bowl 50?</t>
  </si>
  <si>
    <t>electrical</t>
  </si>
  <si>
    <t>What else was used by pharmas?</t>
  </si>
  <si>
    <t>What did Luther call these donations?</t>
  </si>
  <si>
    <t>When did General Hospital first debut on ABC?</t>
  </si>
  <si>
    <t>2.5 billion years ago</t>
  </si>
  <si>
    <t>a stroke</t>
  </si>
  <si>
    <t>Why did the demand for rentals decrease?</t>
  </si>
  <si>
    <t>Super Bowl 50 featured numerous records from individuals and teams. Denver won despite being massively outgained in total yards (315 to 194) and first downs (21 to 11). Their 194 yards and 11 first downs were both the lowest totals ever by a Super Bowl winning team. The previous record was 244 yards by the Baltimore Ravens in Super Bowl XXXV. Only seven other teams had ever gained less than 200 yards in a Super Bowl, and all of them had lost. The Broncos' seven sacks tied a Super Bowl record set by the Chicago Bears in Super Bowl XX. Kony Ealy tied a Super Bowl record with three sacks. Jordan Norwood's 61-yard punt return set a new record, surpassing the old record of 45 yards set by John Taylor in Super Bowl XXIII. Denver was just 1-of-14 on third down, while Carolina was barely better at 3-of-15. The two teams' combined third down conversion percentage of 13.8 was a Super Bowl low. Manning and Newton had quarterback passer ratings of 56.6 and 55.4, respectively, and their added total of 112 is a record lowest aggregate passer rating for a Super Bowl. Manning became the oldest quarterback ever to win a Super Bowl at age 39, and the first quarterback ever to win a Super Bowl with two different teams, while Gary Kubiak became the first head coach to win a Super Bowl with the same franchise he went to the Super Bowl with as a player.</t>
  </si>
  <si>
    <t>What name is given to any prime number larger than 2?</t>
  </si>
  <si>
    <t>What are two examples of nonself entities in accordance with Frank Burnet's theory?</t>
  </si>
  <si>
    <t>Why might customers order from internet pharmacies?</t>
  </si>
  <si>
    <t>they were accepted and allowed to worship freely</t>
  </si>
  <si>
    <t>What kind of economy does Victoria have?</t>
  </si>
  <si>
    <t>How much does petroleum account for of the national import bill?</t>
  </si>
  <si>
    <t>to emphasize academics over athletics,</t>
  </si>
  <si>
    <t>What can concentrate wealth, pass environmental costs on to society and abuse both workers and consumers?</t>
  </si>
  <si>
    <t>six membraned chloroplast</t>
  </si>
  <si>
    <t>programmed cell death</t>
  </si>
  <si>
    <t>By how much did Harvard management reduce its South Africa holdings in response to pressure?</t>
  </si>
  <si>
    <t>(firms engaged in managing construction projects without assuming direct financial responsibility for completion of the construction project)</t>
  </si>
  <si>
    <t>What was the second meaning of a Chinese word for 'barracks'?</t>
  </si>
  <si>
    <t>What does connection orientation require</t>
  </si>
  <si>
    <t>The adaptive immune system evolved in early vertebrates and allows for a stronger immune response as well as immunological memory, where each pathogen is "remembered" by a signature antigen. The adaptive immune response is antigen-specific and requires the recognition of specific "non-self" antigens during a process called antigen presentation. Antigen specificity allows for the generation of responses that are tailored to specific pathogens or pathogen-infected cells. The ability to mount these tailored responses is maintained in the body by "memory cells". Should a pathogen infect the body more than once, these specific memory cells are used to quickly eliminate it.</t>
  </si>
  <si>
    <t>Tesla was born on 10 July [O.S. 28 June] 1856 into a Serb family in the village of Smiljan, Austrian Empire (modern-day Croatia). His father, Milutin Tesla, was a Serbian Orthodox priest. Tesla's mother, Đuka Tesla (née Mandić), whose father was also an Orthodox priest,:10 had a talent for making home craft tools, mechanical appliances, and the ability to memorize Serbian epic poems. Đuka had never received a formal education. Nikola credited his eidetic memory and creative abilities to his mother's genetics and influence. Tesla's progenitors were from western Serbia, near Montenegro.:12</t>
  </si>
  <si>
    <t>submit to the punishment</t>
  </si>
  <si>
    <t>How many passengers per year does Newcastle's airport handle?</t>
  </si>
  <si>
    <t>Defining the East as a negative vision of itself</t>
  </si>
  <si>
    <t>Who did Tesla partner with in 1886?</t>
  </si>
  <si>
    <t>Pushing against an object on a frictional surface can result in a situation where the object does not move because the applied force is opposed by static friction, generated between the object and the table surface. For a situation with no movement, the static friction force exactly balances the applied force resulting in no acceleration. The static friction increases or decreases in response to the applied force up to an upper limit determined by the characteristics of the contact between the surface and the object.</t>
  </si>
  <si>
    <t>illustration of the Ten Commandments</t>
  </si>
  <si>
    <t>a river</t>
  </si>
  <si>
    <t>catalytic cascade</t>
  </si>
  <si>
    <t>Palace of Culture and Science</t>
  </si>
  <si>
    <t>Newcastle International Airport is located approximately 6 miles (9.7 km) from the city centre on the northern outskirts of the city near Ponteland and is the larger of the two main airports serving the North East. It is connected to the city via the Metro Light Rail system and a journey into Newcastle city centre takes approximately 20 minutes. The airport handles over five million passengers per year, and is the tenth largest, and the fastest growing regional airport in the UK, expecting to reach 10 million passengers by 2016, and 15 million by 2030. As of 2007[update], over 90 destinations are available worldwide.</t>
  </si>
  <si>
    <t>the atmospheric engine</t>
  </si>
  <si>
    <t>photographic</t>
  </si>
  <si>
    <t>rotifers and mollusc and crustacean larvae</t>
  </si>
  <si>
    <t>Despite the disagreements on the Eucharist, the Marburg Colloquy paved the way for the signing in 1530 of the Augsburg Confession, and for the formation of the Schmalkaldic League the following year by leading Protestant nobles such as John of Saxony, Philip of Hesse, and George, Margrave of Brandenburg-Ansbach. The Swiss cities, however, did not sign these agreements.</t>
  </si>
  <si>
    <t>Where is the first man-made self-sustaining nuclear reaction located?</t>
  </si>
  <si>
    <t>Breast milk or colostrum</t>
  </si>
  <si>
    <t>What molecules are parts of the body of an organism in immunology?</t>
  </si>
  <si>
    <t>the entertainment division</t>
  </si>
  <si>
    <t>What two Denver players ranked at 5 percent for sacks?</t>
  </si>
  <si>
    <t>How many people does the Greater Los Angeles Area have?</t>
  </si>
  <si>
    <t>1970s</t>
  </si>
  <si>
    <t>23 November 1963</t>
  </si>
  <si>
    <t>Adaptive (or acquired) immunity</t>
  </si>
  <si>
    <t>Encoded Archival Description</t>
  </si>
  <si>
    <t>Not only are all the major British architects of the last four hundred years represented, but many European (especially Italian) and American architects' drawings are held in the collection. The RIBA's holdings of over 330 drawings by Andrea Palladio are the largest in the world, other Europeans well represented are Jacques Gentilhatre and Antonio Visentini. British architects whose drawings, and in some cases models of their buildings, in the collection, include: Inigo Jones, Sir Christopher Wren, Sir John Vanbrugh, Nicholas Hawksmoor, William Kent, James Gibbs, Robert Adam, Sir William Chambers, James Wyatt, Henry Holland, John Nash, Sir John Soane, Sir Charles Barry, Charles Robert Cockerell, Augustus Welby Northmore Pugin, Sir George Gilbert Scott, John Loughborough Pearson, George Edmund Street, Richard Norman Shaw, Alfred Waterhouse, Sir Edwin Lutyens, Charles Rennie Mackintosh, Charles Holden, Frank Hoar, Lord Richard Rogers, Lord Norman Foster, Sir Nicholas Grimshaw, Zaha Hadid and Alick Horsnell.</t>
  </si>
  <si>
    <t>automobiles</t>
  </si>
  <si>
    <t>art posters</t>
  </si>
  <si>
    <t>To what did Martin Luther devote all his attention ?</t>
  </si>
  <si>
    <t>Middle East.</t>
  </si>
  <si>
    <t>probabilistic (or "Monte Carlo")</t>
  </si>
  <si>
    <t>The Harvard Business School and many of the university's athletics facilities, including Harvard Stadium, are located on a 358-acre (145 ha) campus opposite the Cambridge campus in Allston. The John W. Weeks Bridge is a pedestrian bridge over the Charles River connecting both campuses. The Harvard Medical School, Harvard School of Dental Medicine, and the Harvard School of Public Health are located on a 21-acre (8.5 ha) campus in the Longwood Medical and Academic Area approximately 3.3 miles (5.3 km) southwest of downtown Boston and 3.3 miles (5.3 km) south of the Cambridge campus.</t>
  </si>
  <si>
    <t>small renovations</t>
  </si>
  <si>
    <t>In cases where the criminalized behavior is pure speech, civil disobedience can consist simply of engaging in the forbidden speech. An example would be WBAI's broadcasting the track "Filthy Words" from a George Carlin comedy album, which eventually led to the 1978 Supreme Court case of FCC v. Pacifica Foundation. Threatening government officials is another classic way of expressing defiance toward the government and unwillingness to stand for its policies. For example, Joseph Haas was arrested for allegedly sending an email to the Lebanon, New Hampshire city councilors stating, "Wise up or die."</t>
  </si>
  <si>
    <t>American_Broadcasting_Company</t>
  </si>
  <si>
    <t>Neutrophils and macrophages are phagocytes that travel throughout the body in pursuit of invading pathogens. Neutrophils are normally found in the bloodstream and are the most abundant type of phagocyte, normally representing 50% to 60% of the total circulating leukocytes. During the acute phase of inflammation, particularly as a result of bacterial infection, neutrophils migrate toward the site of inflammation in a process called chemotaxis, and are usually the first cells to arrive at the scene of infection. Macrophages are versatile cells that reside within tissues and produce a wide array of chemicals including enzymes, complement proteins, and regulatory factors such as interleukin 1. Macrophages also act as scavengers, ridding the body of worn-out cells and other debris, and as antigen-presenting cells that activate the adaptive immune system.</t>
  </si>
  <si>
    <t>Who makes decisions in between the four-year meetings?</t>
  </si>
  <si>
    <t>an assembly center</t>
  </si>
  <si>
    <t>very little</t>
  </si>
  <si>
    <t>the Spiral</t>
  </si>
  <si>
    <t>English Heritage.</t>
  </si>
  <si>
    <t>Fresno and B streets</t>
  </si>
  <si>
    <t>When some species, including Bathyctena chuni, Euplokamis stationis and Eurhamphaea vexilligera, are disturbed, they produce secretions (ink) that luminesce at much the same wavelengths as their bodies. Juveniles will luminesce more brightly in relation to their body size than adults, whose luminescence is diffused over their bodies. Detailed statistical investigation has not suggested the function of ctenophores' bioluminescence nor produced any correlation between its exact color and any aspect of the animals' environments, such as depth or whether they live in coastal or mid-ocean waters.</t>
  </si>
  <si>
    <t>8–4–4 system</t>
  </si>
  <si>
    <t>Which team won Super Bowl 50.</t>
  </si>
  <si>
    <t>Lower Paleolithic period</t>
  </si>
  <si>
    <t>about a third.</t>
  </si>
  <si>
    <t>semantical</t>
  </si>
  <si>
    <t>deep spiritual despair</t>
  </si>
  <si>
    <t>nineteenth-century maps</t>
  </si>
  <si>
    <t>In 1517 who was Luther's bishop?</t>
  </si>
  <si>
    <t>the size of the instance</t>
  </si>
  <si>
    <t>What position did Tesla hold in the Central Telegraph Office?</t>
  </si>
  <si>
    <t>Rankine cycle</t>
  </si>
  <si>
    <t>What was Luther's marriage seen as by others?</t>
  </si>
  <si>
    <t>research</t>
  </si>
  <si>
    <t>What did a greedy merchant do to the mermaid?</t>
  </si>
  <si>
    <t>Jacksonville began to suffer and decline after what major world event?</t>
  </si>
  <si>
    <t>the Eleventh</t>
  </si>
  <si>
    <t>Who has criticized ordering from online pharmacies that don't require prescriptions?</t>
  </si>
  <si>
    <t>governors of British East Africa (as the Protectorate was generally known) and German East Africa</t>
  </si>
  <si>
    <t>Clergy usually serve as what in local congregations?</t>
  </si>
  <si>
    <t>What changed the Rhine's Delta?</t>
  </si>
  <si>
    <t>spherical bubbles</t>
  </si>
  <si>
    <t>The correlation between capitalism, aristocracy, and imperialism has long been debated among historians and political theorists. Much of the debate was pioneered by such theorists as J. A. Hobson (1858–1940), Joseph Schumpeter (1883–1950), Thorstein Veblen (1857–1929), and Norman Angell (1872–1967). While these non-Marxist writers were at their most prolific before World War I, they remained active in the interwar years. Their combined work informed the study of imperialism and it's impact on Europe, as well as contributed to reflections on the rise of the military-political complex in the United States from the 1950s. Hobson argued that domestic social reforms could cure the international disease of imperialism by removing its economic foundation. Hobson theorized that state intervention through taxation could boost broader consumption, create wealth, and encourage a peaceful, tolerant, multipolar world order.</t>
  </si>
  <si>
    <t>supplanted by the Internet Protocol (IP) at the network layer, and the Asynchronous Transfer Mode (ATM) and or versions of Multi-Protocol Label Switching</t>
  </si>
  <si>
    <t>£250,000</t>
  </si>
  <si>
    <t>the International Association of Methodist-related Schools, Colleges, and Universities</t>
  </si>
  <si>
    <t>the University of Aberdeen</t>
  </si>
  <si>
    <t>What was the hymn meant to examine students on?</t>
  </si>
  <si>
    <t>When was Levi's Stadium picked for Super bowl 50?</t>
  </si>
  <si>
    <t>From Newcastle International Ferry Terminal, at North Shields, Danish DFDS Seaways run a service to IJmuiden (near Amsterdam). The DFDS ferry service to Gothenburg, Sweden, ceased at the end of October 2006 – the company cited high fuel prices and new competition from low-cost air services as the cause – and their service to Bergen and Stavanger, Norway was terminated late 2008. Since summer 2007, Thomson cruise lines have included Newcastle as a departure port on its Norwegian and Fjords cruise.</t>
  </si>
  <si>
    <t>by clapping their lobes</t>
  </si>
  <si>
    <t>The Mission Council usually consists of whom?</t>
  </si>
  <si>
    <t>Granite is made up largely of what chemical compound?</t>
  </si>
  <si>
    <t>Southern Methodist University</t>
  </si>
  <si>
    <t>nephew</t>
  </si>
  <si>
    <t>a pharmacy practice residency</t>
  </si>
  <si>
    <t>dispersed population and distance</t>
  </si>
  <si>
    <t>Normans</t>
  </si>
  <si>
    <t>How long did Ms Kucukdeveci work for Swedex Gmbh &amp; Co KG before she was dismissed?</t>
  </si>
  <si>
    <t>Sultan Muhammad was already dead in 1223,</t>
  </si>
  <si>
    <t>With the opening of the Dorothy and Michael Hintze sculpture galleries in 2006 it was decided to extend the chronology of the works on display up to 1950; this has involved loans by other museums, including Tate Britain, so works by Henry Moore and Jacob Epstein along with other of their contemporaries are now on view. These galleries concentrate on works dated 1600 to 1950 by British sculptors, works by continental sculptors who worked in Britain, and works bought by British patrons from the continental sculptors, such as Canova's Theseus and the Minotaur. The galleries overlooking the garden are arranged by theme, tomb sculpture, portraiture, garden sculpture and mythology. Then there is a section that covers late 19th-century and early 20th-century sculpture, this includes work by Rodin and other French sculptors such as Dalou who spent several years in Britain where he taught sculpture.</t>
  </si>
  <si>
    <t>reactive oxygen species</t>
  </si>
  <si>
    <t>three hundred sixty</t>
  </si>
  <si>
    <t>What does the steam generated by a nuclear power plant drive?</t>
  </si>
  <si>
    <t>Why did France choose to give up continental lands?</t>
  </si>
  <si>
    <t>What are some supplementary sources of European Union law?</t>
  </si>
  <si>
    <t>reminding their countrymen of injustice</t>
  </si>
  <si>
    <t>After liberation</t>
  </si>
  <si>
    <t>What is another term for Tesla's visualization ability?</t>
  </si>
  <si>
    <t>Industrial Revolution</t>
  </si>
  <si>
    <t>the Charter of Fundamental Rights of the European Union of 7</t>
  </si>
  <si>
    <t>pamphlets</t>
  </si>
  <si>
    <t xml:space="preserve">Telnet was sold to </t>
  </si>
  <si>
    <t>Who may assign Elders?</t>
  </si>
  <si>
    <t>Real Presence of the body and blood of Christ in the consecrated bread and wine</t>
  </si>
  <si>
    <t xml:space="preserve">Which parts of the Earth are included in the lithosphere? </t>
  </si>
  <si>
    <t>How far apart are some of the neighborhood's features?</t>
  </si>
  <si>
    <t>On what English calendar is Luther commemorated?</t>
  </si>
  <si>
    <t>critical pamphlets on Islam</t>
  </si>
  <si>
    <t>Financial crisis of 2007–08</t>
  </si>
  <si>
    <t>in the 16th century</t>
  </si>
  <si>
    <t>The four-year, full-time undergraduate program comprises a minority of enrollments at the university and emphasizes instruction with an "arts and sciences focus". Between 1978 and 2008, entering students were required to complete a core curriculum of seven classes outside of their concentration. Since 2008, undergraduate students have been required to complete courses in eight General Education categories: Aesthetic and Interpretive Understanding, Culture and Belief, Empirical and Mathematical Reasoning, Ethical Reasoning, Science of Living Systems, Science of the Physical Universe, Societies of the World, and United States in the World. Harvard offers a comprehensive doctoral graduate program and there is a high level of coexistence between graduate and undergraduate degrees. The Carnegie Foundation for the Advancement of Teaching, The New York Times, and some students have criticized Harvard for its reliance on teaching fellows for some aspects of undergraduate education; they consider this to adversely affect the quality of education.</t>
  </si>
  <si>
    <t>significantly altered the existing treaties</t>
  </si>
  <si>
    <t>What is the name of the supposition that there are infinite pairs of primes whose difference is 2?</t>
  </si>
  <si>
    <t>Johannes Bugenhagen and Philipp Melanchthon</t>
  </si>
  <si>
    <t>Little Horn</t>
  </si>
  <si>
    <t>Reduction essentially takes one problem and converts into what?</t>
  </si>
  <si>
    <t>negotiations for a settlement</t>
  </si>
  <si>
    <t>Genghis Khan Mausoleum</t>
  </si>
  <si>
    <t>collectively refuse to sign bail until certain demands are met</t>
  </si>
  <si>
    <t>What was the main radio network in the 1940s in America?</t>
  </si>
  <si>
    <t>What are three kinds of phagocytes?</t>
  </si>
  <si>
    <t>William the Lion</t>
  </si>
  <si>
    <t>What are Apicomplexans similar to?</t>
  </si>
  <si>
    <t>By 1544 what did Luther have to deal with in his health?</t>
  </si>
  <si>
    <t>Persia after the Muslim conquests had come to an end</t>
  </si>
  <si>
    <t>All green parts</t>
  </si>
  <si>
    <t>What theory best explains gravity?</t>
  </si>
  <si>
    <t>Electrical Experimenter</t>
  </si>
  <si>
    <t>What is unique about  a hermaphrodite?</t>
  </si>
  <si>
    <t xml:space="preserve">What is the Canal in Wesel? </t>
  </si>
  <si>
    <t>How much money did the committee raise?</t>
  </si>
  <si>
    <t>When was Skylab's last crew on the station before it re-entered Earth's atmosphere?</t>
  </si>
  <si>
    <t>What is Nexus?</t>
  </si>
  <si>
    <t>What modern-day country was Tesla born in?</t>
  </si>
  <si>
    <t>What happened to nearby light bulbs?</t>
  </si>
  <si>
    <t>Luther's hostile publications</t>
  </si>
  <si>
    <t>early part</t>
  </si>
  <si>
    <t>introductory</t>
  </si>
  <si>
    <t>over half</t>
  </si>
  <si>
    <t>What did Luther tell the legate about the papacy?</t>
  </si>
  <si>
    <t>S-band</t>
  </si>
  <si>
    <t>Approximately how many items are in the glass collection of the V&amp;A?</t>
  </si>
  <si>
    <t>Outside of Northern San Diego, which other region contains business districts?</t>
  </si>
  <si>
    <t>What countries does Kenya compete with for long distance running?</t>
  </si>
  <si>
    <t>p is not a prime factor of q</t>
  </si>
  <si>
    <t>In the past, teachers have been paid relatively low salaries. However, average teacher salaries have improved rapidly in recent years. US teachers are generally paid on graduated scales, with income depending on experience. Teachers with more experience and higher education earn more than those with a standard bachelor's degree and certificate. Salaries vary greatly depending on state, relative cost of living, and grade taught. Salaries also vary within states where wealthy suburban school districts generally have higher salary schedules than other districts. The median salary for all primary and secondary teachers was $46,000 in 2004, with the average entry salary for a teacher with a bachelor's degree being an estimated $32,000. Median salaries for preschool teachers, however, were less than half the national median for secondary teachers, clock in at an estimated $21,000 in 2004. For high school teachers, median salaries in 2007 ranged from $35,000 in South Dakota to $71,000 in New York, with a national median of $52,000. Some contracts may include long-term disability insurance, life insurance, emergency/personal leave and investment options. The American Federation of Teachers' teacher salary survey for the 2006-07 school year found that the average teacher salary was $51,009. In a salary survey report for K-12 teachers, elementary school teachers had the lowest median salary earning $39,259. High school teachers had the highest median salary earning $41,855. Many teachers take advantage of the opportunity to increase their income by supervising after-school programs and other extracurricular activities. In addition to monetary compensation, public school teachers may also enjoy greater benefits (like health insurance) compared to other occupations. Merit pay systems are on the rise for teachers, paying teachers extra money based on excellent classroom evaluations, high test scores and for high success at their overall school. Also, with the advent of the internet, many teachers are now selling their lesson plans to other teachers through the web in order to earn supplemental income, most notably on TeachersPayTeachers.com.</t>
  </si>
  <si>
    <t>Oxygen toxicity to the lungs and central nervous system can also occur in deep scuba diving and surface supplied diving. Prolonged breathing of an air mixture with an O
2 partial pressure more than 60 kPa can eventually lead to permanent pulmonary fibrosis. Exposure to a O
2 partial pressures greater than 160 kPa (about 1.6 atm) may lead to convulsions (normally fatal for divers). Acute oxygen toxicity (causing seizures, its most feared effect for divers) can occur by breathing an air mixture with 21% O
2 at 66 m or more of depth; the same thing can occur by breathing 100% O
2 at only 6 m.</t>
  </si>
  <si>
    <t>secular</t>
  </si>
  <si>
    <t>What characteristic of oxygen makes it necessary to life?</t>
  </si>
  <si>
    <t>Can the President of the Council vote on important matters related to the European Central Bank?</t>
  </si>
  <si>
    <t>What was the main idea of James Hutton's paper?</t>
  </si>
  <si>
    <t>Who defines what constitutes a patient-doctor relationship?</t>
  </si>
  <si>
    <t>The interiors of the three refreshment rooms were assigned to different designers. The Green Dining Room 1866–68 was the work of Philip Webb and William Morris, and displays Elizabethan influences. The lower part of the walls are panelled in wood with a band of paintings depicting fruit and the occasional figure, with moulded plaster foliage on the main part of the wall and a plaster frieze around the decorated ceiling and stained-glass windows by Edward Burne-Jones. The Centre Refreshment Room 1865–77 was designed in a Renaissance style by James Gamble, the walls and even the Ionic columns are covered in decorative and moulded ceramic tile, the ceiling consists of elaborate designs on enamelled metal sheets and matching stained-glass windows, the marble fireplace was designed and sculpted by Alfred Stevens and was removed from Dorchester House prior to that building's demolition in 1929. The Grill Room 1876–81 was designed by Sir Edward Poynter, the lower part of the walls consist of blue and white tiles with various figures and foliage enclosed by wood panelling, above there are large tiled scenes with figures depicting the four seasons and the twelve months these were painted by ladies from the Art School then based in the museum, the windows are also stained glass, there is an elaborate cast-iron grill still in place.</t>
  </si>
  <si>
    <t>avoid trivialization.</t>
  </si>
  <si>
    <t>Qwest</t>
  </si>
  <si>
    <t>Private schools, also known as independent schools, non-governmental, or nonstate schools, are not administered by local, state or national governments; thus, they retain the right to select their students and are funded in whole or in part by charging their students tuition, rather than relying on mandatory taxation through public (government) funding; at some private schools students may be able to get a scholarship, which makes the cost cheaper, depending on a talent the student may have (e.g. sport scholarship, art scholarship, academic scholarship), financial need, or tax credit scholarships that might be available.</t>
  </si>
  <si>
    <t>last 5–10 million years</t>
  </si>
  <si>
    <t>store and forward switching</t>
  </si>
  <si>
    <t>What were the native inhabitants of Australia called?</t>
  </si>
  <si>
    <t>kingdoms</t>
  </si>
  <si>
    <t>3.5 billion years ago</t>
  </si>
  <si>
    <t>United Nations Environment Programme (UNEP) and the World Meteorological Organization (WMO)</t>
  </si>
  <si>
    <t>Chloroplasts are highly dynamic—they circulate and are moved around within plant cells, and occasionally pinch in two to reproduce. Their behavior is strongly influenced by environmental factors like light color and intensity. Chloroplasts, like mitochondria, contain their own DNA, which is thought to be inherited from their ancestor—a photosynthetic cyanobacterium that was engulfed by an early eukaryotic cell. Chloroplasts cannot be made by the plant cell and must be inherited by each daughter cell during cell division.</t>
  </si>
  <si>
    <t>As of the census of 2000, there were 427,652 people, 140,079 households, and 97,915 families residing in the city. The population density was 4,097.9 people per square mile (1,582.2/km²). There were 149,025 housing units at an average density of 1,427.9 square miles (3,698 km2). The racial makeup of the city was 50.2% White, 8.4% Black or African American, 1.6% Native American, 11.2% Asian (about a third of which is Hmong), 0.1% Pacific Islander, 23.4% from other races, and 5.2% from two or more races. Hispanic or Latino of any race were 39.9% of the population.</t>
  </si>
  <si>
    <t>Why does unemployment harm growth?</t>
  </si>
  <si>
    <t>Northern San Diego</t>
  </si>
  <si>
    <t>How tall was the tower's ultimate height?</t>
  </si>
  <si>
    <t>What lands were reserved for natives?</t>
  </si>
  <si>
    <t>Annual Status of Education Report</t>
  </si>
  <si>
    <t>Since 2005, what is the gender of Doctor Who's primary traveling companion?</t>
  </si>
  <si>
    <t>Pegasus satellites</t>
  </si>
  <si>
    <t>Newcastle upon Tyne (RP: i/ˌnjuːkɑːsəl əˌpɒn ˈtaɪn/; Locally: i/njuːˌkæsəl əˌpən ˈtaɪn/), commonly known as Newcastle, is a city in Tyne and Wear, North East England, 103 miles (166 km) south of Edinburgh and 277 miles (446 km) north of London on the northern bank of the River Tyne, 8.5 mi (13.7 km) from the North Sea. Newcastle is the most populous city in the North East and Tyneside the eighth most populous conurbation in the United Kingdom. Newcastle is a member of the English Core Cities Group and is a member of the Eurocities network of European cities. Newcastle was part of the county of Northumberland until 1400, when it became a county itself, a status it retained until becoming part of Tyne and Wear in 1974.[not in citation given] The regional nickname and dialect for people from Newcastle and the surrounding area is Geordie.</t>
  </si>
  <si>
    <t>specialty pharmacies</t>
  </si>
  <si>
    <t>Kenyan athletes</t>
  </si>
  <si>
    <t>Who build the major port city in Kenya?</t>
  </si>
  <si>
    <t>In the spring of 1753, Paul Marin de la Malgue was given command of a 2,000-man force of Troupes de la Marine and Indians. His orders were to protect the King's land in the Ohio Valley from the British. Marin followed the route that Céloron had mapped out four years earlier, but where Céloron had limited the record of French claims to the burial of lead plates, Marin constructed and garrisoned forts. He first constructed Fort Presque Isle (near present-day Erie, Pennsylvania) on Lake Erie's south shore. He had a road built to the headwaters of LeBoeuf Creek. Marin constructed a second fort at Fort Le Boeuf (present-day Waterford, Pennsylvania), designed to guard the headwaters of LeBoeuf Creek. As he moved south, he drove off or captured British traders, alarming both the British and the Iroquois. Tanaghrisson, a chief of the Mingo, who were remnants of Iroquois and other tribes who had been driven west by colonial expansion. He intensely disliked the French (whom he accused of killing and eating his father). Traveling to Fort Le Boeuf, he threatened the French with military action, which Marin contemptuously dismissed.</t>
  </si>
  <si>
    <t>What icons were reintroduced in series 2 of the revival show?</t>
  </si>
  <si>
    <t>What does wealth disparity make the economy more prone to?</t>
  </si>
  <si>
    <t>motivated students</t>
  </si>
  <si>
    <t>without destroying historical legitimacy</t>
  </si>
  <si>
    <t>Medical University of Warsaw</t>
  </si>
  <si>
    <t>The principle of cross-cutting relationships</t>
  </si>
  <si>
    <t>What do capitalist firms substitute equipment for in a Marxian analysis?</t>
  </si>
  <si>
    <t>The fundamental theorem of arithmetic</t>
  </si>
  <si>
    <t>Where was Halford Mackinder born?</t>
  </si>
  <si>
    <t>the plague was present somewhere in Europe in every year between 1346 and 1671</t>
  </si>
  <si>
    <t>Following the election of the UK Labour Party to government in 1997, the UK formally subscribed to the Agreement on Social Policy, which allowed it to be included with minor amendments as the Social Chapter of the 1997 Treaty of Amsterdam. The UK subsequently adopted the main legislation previously agreed under the Agreement on Social Policy, the 1994 Works Council Directive, which required workforce consultation in businesses, and the 1996 Parental Leave Directive. In the 10 years following the 1997 Treaty of Amsterdam and adoption of the Social Chapter the European Union has undertaken policy initiatives in various social policy areas, including labour and industry relations, equal opportunity, health and safety, public health, protection of children, the disabled and elderly, poverty, migrant workers, education, training and youth.</t>
  </si>
  <si>
    <t>18 million volumes</t>
  </si>
  <si>
    <t>Several families of Byzantine Greece were of Norman mercenary origin during the period of the Comnenian Restoration, when Byzantine emperors were seeking out western European warriors. The Raoulii were descended from an Italo-Norman named Raoul, the Petraliphae were descended from a Pierre d'Aulps, and that group of Albanian clans known as the Maniakates were descended from Normans who served under George Maniaces in the Sicilian expedition of 1038.</t>
  </si>
  <si>
    <t>double</t>
  </si>
  <si>
    <t>What are the two principal Asian-American groups living in the west side neighborhood of Fresno?</t>
  </si>
  <si>
    <t>marine triple expansion</t>
  </si>
  <si>
    <t>greenhouse gas concentrations in the atmosphere</t>
  </si>
  <si>
    <t>What is the primary purpose of chloroplasts?</t>
  </si>
  <si>
    <t>their low ratio of organic matter to salt and water</t>
  </si>
  <si>
    <t>Residential construction practices, technologies, and resources must conform to what?</t>
  </si>
  <si>
    <t>What condition what must be satisfied in order for 1/p to be expressed in base q instead of base 10 and still have a period of p - 1?</t>
  </si>
  <si>
    <t>Ancient Greeks</t>
  </si>
  <si>
    <t>after a year</t>
  </si>
  <si>
    <t>What is the benefit of red algae being red?</t>
  </si>
  <si>
    <t>a result of increasing crime and poverty</t>
  </si>
  <si>
    <t>atmospheric</t>
  </si>
  <si>
    <t>To reduce the chances of combustion ___ is required for safely handeling pure O.</t>
  </si>
  <si>
    <t>Like many other mainline Protestant denominations in the United States, the United Methodist Church has experienced significant membership losses in recent decades. At the time of its formation, the UMC had about 11 million members in nearly 42,000 congregations. In 1975, membership dropped below 10 million for the first time. In 2005, there were about 8 million members in over 34,000 congregations. Membership is concentrated primarily in the Midwest and in the South. Texas has the largest number of members, with about 1 million. The states with the highest membership rates are Oklahoma, Iowa, Mississippi, West Virginia, and North Carolina.</t>
  </si>
  <si>
    <t>What building was a gift from the Soviet Union?</t>
  </si>
  <si>
    <t>The strong force only acts directly upon elementary particles. However, a residual of the force is observed between hadrons (the best known example being the force that acts between nucleons in atomic nuclei) as the nuclear force. Here the strong force acts indirectly, transmitted as gluons, which form part of the virtual pi and rho mesons, which classically transmit the nuclear force (see this topic for more). The failure of many searches for free quarks has shown that the elementary particles affected are not directly observable. This phenomenon is called color confinement.</t>
  </si>
  <si>
    <t>net mechanical energy</t>
  </si>
  <si>
    <t>it has trouble crossing membranes</t>
  </si>
  <si>
    <t>The UMC believes that Jesus repudiated the les talionis in what BIble verses?</t>
  </si>
  <si>
    <t>The central highlands were already home to over a million members of the Kikuyu people, most of whom had no land claims in European terms and lived as itinerant farmers. To protect their interests, the settlers banned the growing of coffee, introduced a hut tax, and the landless were granted less and less land in exchange for their labour. A massive exodus to the cities ensued as their ability to provide a living from the land dwindled. There were 80,000 white settlers living in Kenya in the 1950s.</t>
  </si>
  <si>
    <t>Irish linen</t>
  </si>
  <si>
    <t>the convenience of the railroad and worried about flooding</t>
  </si>
  <si>
    <t>How did Luther describe the mass that was viewed as sacrifice?</t>
  </si>
  <si>
    <t>Thermochemical</t>
  </si>
  <si>
    <t>April through October, 6am to 10pm and November through March, 6am to 7pm</t>
  </si>
  <si>
    <t>the eighteenth century</t>
  </si>
  <si>
    <t>What was the Disneyland anthology series retitled in 1958?</t>
  </si>
  <si>
    <t>50th</t>
  </si>
  <si>
    <t>punts</t>
  </si>
  <si>
    <t>ether</t>
  </si>
  <si>
    <t>three</t>
  </si>
  <si>
    <t>stagnant</t>
  </si>
  <si>
    <t>Industrial</t>
  </si>
  <si>
    <t>villes de sûreté</t>
  </si>
  <si>
    <t>heavy bodies to fall</t>
  </si>
  <si>
    <t>specific catechism questions</t>
  </si>
  <si>
    <t>Which pair of Genghis Khan's sons were most rivalrous?</t>
  </si>
  <si>
    <t>How many teachers are usually involved when co-teaching?</t>
  </si>
  <si>
    <t>attention-seeking and disruptive students</t>
  </si>
  <si>
    <t xml:space="preserve">Big O notation provides autonomy to upper and lower bounds with relationship to what? </t>
  </si>
  <si>
    <t>Since the 1920s, motion pictures, petroleum and aircraft manufacturing have been major industries. In one of the richest agricultural regions in the U.S., cattle and citrus were major industries until farmlands were turned into suburbs. Although military spending cutbacks have had an impact, aerospace continues to be a major factor.</t>
  </si>
  <si>
    <t>What did he do to his feet at night?</t>
  </si>
  <si>
    <t>The coordinating lead authors</t>
  </si>
  <si>
    <t>What did he do with Wardenclyffe?</t>
  </si>
  <si>
    <t>the creation of modern Balkan and Middle Eastern states</t>
  </si>
  <si>
    <t>What are the two primary constitutional sources of the European Union?</t>
  </si>
  <si>
    <t>in a number of stages</t>
  </si>
  <si>
    <t>What did the Greek root pharmakos imply?</t>
  </si>
  <si>
    <t>distribution and price disruptions</t>
  </si>
  <si>
    <t>three-region</t>
  </si>
  <si>
    <t>Along with internal combustion engines, what machines have superseded steam in some areas?</t>
  </si>
  <si>
    <t>There are other categories for what?</t>
  </si>
  <si>
    <t>260 kilometres</t>
  </si>
  <si>
    <t>Arabs and much of the rest of the Third World</t>
  </si>
  <si>
    <t>In the definition based off the mountain range, which region would the desert portions of north Los Angeles County be included in?</t>
  </si>
  <si>
    <t>those involving orogenic wedges</t>
  </si>
  <si>
    <t>Phagocytosis is an important feature of cellular innate immunity performed by cells called 'phagocytes' that engulf, or eat, pathogens or particles. Phagocytes generally patrol the body searching for pathogens, but can be called to specific locations by cytokines. Once a pathogen has been engulfed by a phagocyte, it becomes trapped in an intracellular vesicle called a phagosome, which subsequently fuses with another vesicle called a lysosome to form a phagolysosome. The pathogen is killed by the activity of digestive enzymes or following a respiratory burst that releases free radicals into the phagolysosome. Phagocytosis evolved as a means of acquiring nutrients, but this role was extended in phagocytes to include engulfment of pathogens as a defense mechanism. Phagocytosis probably represents the oldest form of host defense, as phagocytes have been identified in both vertebrate and invertebrate animals.</t>
  </si>
  <si>
    <t>How far is Warsaw from the Baltic Sea?</t>
  </si>
  <si>
    <t>Since Denver chose white, what colors did Carolina wear in Super Bowl 50?</t>
  </si>
  <si>
    <t>solve any problem in C</t>
  </si>
  <si>
    <t>the mid-Eocene</t>
  </si>
  <si>
    <t>convert them to Christianity.</t>
  </si>
  <si>
    <t>. The Electronic Frontier Foundation</t>
  </si>
  <si>
    <t>Why are ctenophores extremely rare as fossils?</t>
  </si>
  <si>
    <t>The Prospect Studios</t>
  </si>
  <si>
    <t>Which team did not get a chance to defend their Super Bowl XLIX win in Super Bowl 50?</t>
  </si>
  <si>
    <t>rainfall</t>
  </si>
  <si>
    <t>What is the ability to recognize and adapt to new specific pathogens called?</t>
  </si>
  <si>
    <t>How many of the network's stations are owned-and-operated?</t>
  </si>
  <si>
    <t>electron microscopy</t>
  </si>
  <si>
    <t>the Missouri Compromise</t>
  </si>
  <si>
    <t>soluble components</t>
  </si>
  <si>
    <t>The Toshiba gallery of Japanese art opened in December 1986. The majority of exhibits date from 1550 to 1900, but one of the oldest pieces displayed is the 13th-century sculpture of Amida Nyorai. Examples of classic Japanese armour from the mid-19th century, steel sword blades (Katana), Inrō, lacquerware including the Mazarin Chest dated c1640 is one of the finest surviving pieces from Kyoto, porcelain including Imari, Netsuke, woodblock prints including the work of Ando Hiroshige, graphic works include printed books, as well as a few paintings, scrolls and screens, textiles and dress including kimonos are some of the objects on display. One of the finest objects displayed is Suzuki Chokichi's bronze incense burner (koro) dated 1875, standing at over 2.25 metres high and 1.25 metres in diameter it is also one of the largest examples made. The museum also holds some cloisonné pieces from the Japanese art production company, Ando Cloisonné.</t>
  </si>
  <si>
    <t>What monument is in memory of the largest insurrection of WWII?</t>
  </si>
  <si>
    <t>photolysis</t>
  </si>
  <si>
    <t>What are three examples of complexity classes associated with definitions established by probabilistic Turing machines?</t>
  </si>
  <si>
    <t>When did Tesla first encounter Alfred S. Brown</t>
  </si>
  <si>
    <t>How many sons did Börte bear Genghis Khan after Jochi?</t>
  </si>
  <si>
    <t>Kenya African National Union</t>
  </si>
  <si>
    <t>declaration of war in 1756 to the signing of the peace treaty in 1763</t>
  </si>
  <si>
    <t>half-penny sales tax</t>
  </si>
  <si>
    <t>What did Priestley name the gas his experiment produced?</t>
  </si>
  <si>
    <t>The original logo used for the First Doctor</t>
  </si>
  <si>
    <t>49–15</t>
  </si>
  <si>
    <t>What are apicoplasts missing?</t>
  </si>
  <si>
    <t>What concept, originally discovered by Black, was later discovered independently by Watt?</t>
  </si>
  <si>
    <t>the restriction modification system</t>
  </si>
  <si>
    <t>What is an example of illegal disobedience?</t>
  </si>
  <si>
    <t>centrifugal governor</t>
  </si>
  <si>
    <t>It was only the orbit of the planet Mercury that Newton's Law of Gravitation seemed not to fully explain. Some astrophysicists predicted the existence of another planet (Vulcan) that would explain the discrepancies; however, despite some early indications, no such planet could be found. When Albert Einstein formulated his theory of general relativity (GR) he turned his attention to the problem of Mercury's orbit and found that his theory added a correction, which could account for the discrepancy. This was the first time that Newton's Theory of Gravity had been shown to be less correct than an alternative.</t>
  </si>
  <si>
    <t>energize electrons</t>
  </si>
  <si>
    <t>the Master</t>
  </si>
  <si>
    <t>Following the Peterloo massacre of 1819, poet Percy Shelley wrote the political poem The Mask of Anarchy later that year, that begins with the images of what he thought to be the unjust forms of authority of his time—and then imagines the stirrings of a new form of social action. It is perhaps the first modern[vague] statement of the principle of nonviolent protest. A version was taken up by the author Henry David Thoreau in his essay Civil Disobedience, and later by Gandhi in his doctrine of Satyagraha. Gandhi's Satyagraha was partially influenced and inspired by Shelley's nonviolence in protest and political action. In particular, it is known that Gandhi would often quote Shelley's Masque of Anarchy to vast audiences during the campaign for a free India.</t>
  </si>
  <si>
    <t>automated scientific instruments</t>
  </si>
  <si>
    <t>Augustinian order</t>
  </si>
  <si>
    <t>A growing cause of concern</t>
  </si>
  <si>
    <t>the 17th century</t>
  </si>
  <si>
    <t>What does child well-being in rich countries correlate most to?</t>
  </si>
  <si>
    <t>1st century AD to the present,</t>
  </si>
  <si>
    <t>silverware</t>
  </si>
  <si>
    <t>From whom were the movement that Eliot followed derived?</t>
  </si>
  <si>
    <t>What does refusing to preach the Ten Commandments not do?</t>
  </si>
  <si>
    <t>teacher salaries</t>
  </si>
  <si>
    <t>Thames River</t>
  </si>
  <si>
    <t>propulsion, electrical power and life support</t>
  </si>
  <si>
    <t>What coalition rose up to oppose Louis XIV's France?</t>
  </si>
  <si>
    <t>soil fertility and weed invasion</t>
  </si>
  <si>
    <t>Established originally by the Massachusetts legislature and soon thereafter named for John Harvard (its first benefactor), Harvard is the United States' oldest institution of higher learning, and the Harvard Corporation (formally, the President and Fellows of Harvard College) is its first chartered corporation. Although never formally affiliated with any denomination, the early College primarily trained Congregationalist and Unitarian clergy. Its curriculum and student body were gradually secularized during the 18th century, and by the 19th century Harvard had emerged as the central cultural establishment among Boston elites. Following the American Civil War, President Charles W. Eliot's long tenure (1869–1909) transformed the college and affiliated professional schools into a modern research university; Harvard was a founding member of the Association of American Universities in 1900. James Bryant Conant led the university through the Great Depression and World War II and began to reform the curriculum and liberalize admissions after the war. The undergraduate college became coeducational after its 1977 merger with Radcliffe College.</t>
  </si>
  <si>
    <t>counterflow</t>
  </si>
  <si>
    <t>University of Chicago College Bowl Team</t>
  </si>
  <si>
    <t>Where is much of the work of the Scottish Parliament done?</t>
  </si>
  <si>
    <t>the western frontier</t>
  </si>
  <si>
    <t>doomed to perdition.</t>
  </si>
  <si>
    <t>Lovely Lane Methodist Church</t>
  </si>
  <si>
    <t>sworn brother or blood brother)</t>
  </si>
  <si>
    <t>If a matter is not specifically reserved, who is it devolved to?</t>
  </si>
  <si>
    <t>directly via their adjacency matrices</t>
  </si>
  <si>
    <t>Tesla was raised an Orthodox Christian. Later in his life, he did not consider himself to be a "believer in the orthodox sense," and opposed religious fanaticism. Despite this, he had a profound respect for both Buddhism and Christianity.</t>
  </si>
  <si>
    <t>Luther came to understand justification as entirely the work of God. This teaching by Luther was clearly expressed in his 1525 publication On the Bondage of the Will, which was written in response to On Free Will by Desiderius Erasmus (1524). Luther based his position on predestination on St. Paul's epistle to the Ephesians 2:8–10. Against the teaching of his day that the righteous acts of believers are performed in cooperation with God, Luther wrote that Christians receive such righteousness entirely from outside themselves; that righteousness not only comes from Christ but actually is the righteousness of Christ, imputed to Christians (rather than infused into them) through faith. "That is why faith alone makes someone just and fulfills the law," he wrote. "Faith is that which brings the Holy Spirit through the merits of Christ." Faith, for Luther, was a gift from God; the experience of being justified by faith was "as though I had been born again." His entry into Paradise, no less, was a discovery about "the righteousness of God" – a discovery that "the just person" of whom the Bible speaks (as in Romans 1:17) lives by faith. He explained his concept of "justification" in the Smalcald Articles:</t>
  </si>
  <si>
    <t>Recognized Student Organizations (RSOs)</t>
  </si>
  <si>
    <t>three groups</t>
  </si>
  <si>
    <t>TFEU article 49</t>
  </si>
  <si>
    <t>public official</t>
  </si>
  <si>
    <t>Wealth concentration is a theoretical[according to whom?] process by which, under certain conditions, newly created wealth concentrates in the possession of already-wealthy individuals or entities. According to this theory, those who already hold wealth have the means to invest in new sources of creating wealth or to otherwise leverage the accumulation of wealth, thus are the beneficiaries of the new wealth. Over time, wealth condensation can significantly contribute to the persistence of inequality within society. Thomas Piketty in his book Capital in the Twenty-First Century argues that the fundamental force for divergence is the usually greater return of capital (r) than economic growth (g), and that larger fortunes generate higher returns [pp. 384 Table 12.2, U.S. university endowment size vs. real annual rate of return]</t>
  </si>
  <si>
    <t>Parris Island</t>
  </si>
  <si>
    <t>Monday</t>
  </si>
  <si>
    <t>Parliament</t>
  </si>
  <si>
    <t>about 5 nanometers across</t>
  </si>
  <si>
    <t>Salaries for Nursery, Primary and Secondary School teachers ranged from £20,133 to £41,004 in September 2007, although some salaries can go much higher depending on experience and extra responsibilities. Preschool teachers may earn £20,980 annually.[citation needed] Teachers in state schools must have at least a bachelor's degree, complete an approved teacher education program, and be licensed.</t>
  </si>
  <si>
    <t>1321 to 1323</t>
  </si>
  <si>
    <t>neither making maximum effort nor achieving results necessary</t>
  </si>
  <si>
    <t>beta decay</t>
  </si>
  <si>
    <t>As to the Summons you send me to retire, I do not think myself obliged to obey it.</t>
  </si>
  <si>
    <t>Where was the Summer Theatre located?</t>
  </si>
  <si>
    <t>identity</t>
  </si>
  <si>
    <t>that BSkyB had substantially increased the asking price for the channels</t>
  </si>
  <si>
    <t>Chemical</t>
  </si>
  <si>
    <t>What did Donald Davies Develop</t>
  </si>
  <si>
    <t>an intuitive understanding</t>
  </si>
  <si>
    <t>What was Goldenson's 1991 book about ABC titled?</t>
  </si>
  <si>
    <t xml:space="preserve"> Where were missing patents later found?</t>
  </si>
  <si>
    <t>What country is this teaching subject discussing?</t>
  </si>
  <si>
    <t>Queen Victoria</t>
  </si>
  <si>
    <t>In 2013, the Peabody Awards honoured Doctor Who with an Institutional Peabody "for evolving with technology and the times like nothing else in the known television universe." The programme is listed in Guinness World Records as the longest-running science fiction television show in the world, the "most successful" science fiction series of all time—based on its over-all broadcast ratings, DVD and book sales, and iTunes traffic— and for the largest ever simulcast of a TV drama with its 50th anniversary special. During its original run, it was recognised for its imaginative stories, creative low-budget special effects, and pioneering use of electronic music (originally produced by the BBC Radiophonic Workshop).</t>
  </si>
  <si>
    <t>distinction</t>
  </si>
  <si>
    <t>What is a common punishment in Singapore?</t>
  </si>
  <si>
    <t>What did the Kenyan business people hope for when meeting with the Chinese?</t>
  </si>
  <si>
    <t>local talent</t>
  </si>
  <si>
    <t>the first half of the 10th century</t>
  </si>
  <si>
    <t>forbidden speech</t>
  </si>
  <si>
    <t>Why were Northern Chinese ranked higher?</t>
  </si>
  <si>
    <t xml:space="preserve"> What may have caused rainforests to grow across South America?</t>
  </si>
  <si>
    <t>Who was responsible for the preliminary archaeological research at Ologesailie and Hyrax Hill?</t>
  </si>
  <si>
    <t>Which country rationed gasoline and heating gas?</t>
  </si>
  <si>
    <t>What was the name of Wesley's famous sermon in which he warned against the dangers of drinking?</t>
  </si>
  <si>
    <t>the Victorian Government</t>
  </si>
  <si>
    <t>The inverted repeat regions are highly conserved among land plants, and accumulate few mutations. Similar inverted repeats exist in the genomes of cyanobacteria and the other two chloroplast lineages (glaucophyta and rhodophyceæ), suggesting that they predate the chloroplast, though some chloroplast DNAs have since lost or flipped the inverted repeats (making them direct repeats). It is possible that the inverted repeats help stabilize the rest of the chloroplast genome, as chloroplast DNAs which have lost some of the inverted repeat segments tend to get rearranged more.</t>
  </si>
  <si>
    <t>legal equality of all individuals</t>
  </si>
  <si>
    <t>fire</t>
  </si>
  <si>
    <t>the leaflets will have to be given to the leafleter's own jury as evidence</t>
  </si>
  <si>
    <t>What consequence of establishing the Scottish Parliament applies to Scottish MPs sitting in the UK House of Commons?</t>
  </si>
  <si>
    <t>Electrolysis of what can be used to produce oxygen and hydrogen?</t>
  </si>
  <si>
    <t>What was Marin's orders?</t>
  </si>
  <si>
    <t>Before he died, what did Tesla's father ask him to do?</t>
  </si>
  <si>
    <t>Southern California consists of a heavily developed urban environment, home to some of the largest urban areas in the state, along with vast areas that have been left undeveloped. It is the third most populated megalopolis in the United States, after the Great Lakes Megalopolis and the Northeastern megalopolis. Much of southern California is famous for its large, spread-out, suburban communities and use of automobiles and highways. The dominant areas are Los Angeles, Orange County, San Diego, and Riverside-San Bernardino, each of which is the center of its respective metropolitan area, composed of numerous smaller cities and communities. The urban area is also host to an international metropolitan region in the form of San Diego–Tijuana, created by the urban area spilling over into Baja California.</t>
  </si>
  <si>
    <t>What did this affair cause to Luther's reputation?</t>
  </si>
  <si>
    <t>When was the suspension by FIFA lifted?</t>
  </si>
  <si>
    <t>stem cells</t>
  </si>
  <si>
    <t>How much of a difference in homicide rates are related to inequality?</t>
  </si>
  <si>
    <t>What was huihui?</t>
  </si>
  <si>
    <t>to distract Montcalm</t>
  </si>
  <si>
    <t>What are Harvard's Pell grant reserves?</t>
  </si>
  <si>
    <t>Besides constant flooding, why else was there regulation of the Rhine?</t>
  </si>
  <si>
    <t>What type of train would some of the proposed new routes require?</t>
  </si>
  <si>
    <t>Where is the aboral organ located?</t>
  </si>
  <si>
    <t>an algorithm</t>
  </si>
  <si>
    <t>highest on Earth</t>
  </si>
  <si>
    <t>Why should disobedience by the general public be avoided?</t>
  </si>
  <si>
    <t>What are one of the key cell types of the adaptive immune system?</t>
  </si>
  <si>
    <t>porridge with bread, chapati, mahamri, boiled sweet potatoes or yams</t>
  </si>
  <si>
    <t>In a report on K-12 teachers, which teachers had the lowest median salary?</t>
  </si>
  <si>
    <t>living organisms</t>
  </si>
  <si>
    <t>the Victoria Department of Education</t>
  </si>
  <si>
    <t>to clean them</t>
  </si>
  <si>
    <t>sculptures, friezes and tombs</t>
  </si>
  <si>
    <t>theses against Agricola</t>
  </si>
  <si>
    <t>translation</t>
  </si>
  <si>
    <t>firms engaged in managing construction projects</t>
  </si>
  <si>
    <t>Although southern california consts of a heavily developed urban environment, how much of it has been left undeveloped?</t>
  </si>
  <si>
    <t>eleven separate academic units</t>
  </si>
  <si>
    <t>How are the forces derived from fields treated similarly to?</t>
  </si>
  <si>
    <t>What do later versions of the Lord's Prayer hymn still use?</t>
  </si>
  <si>
    <t>via the Metro Light Rail system</t>
  </si>
  <si>
    <t>hydrogen</t>
  </si>
  <si>
    <t>pores in the epidermis</t>
  </si>
  <si>
    <t>constant velocity was associated with a lack of net force</t>
  </si>
  <si>
    <t>State Route 41</t>
  </si>
  <si>
    <t>government</t>
  </si>
  <si>
    <t>illustration of the Ten Commandments,</t>
  </si>
  <si>
    <t xml:space="preserve">How many bodies of water makes up Lake Constance? </t>
  </si>
  <si>
    <t>What are the first buildings the university built knows as today?</t>
  </si>
  <si>
    <t>kinetic friction</t>
  </si>
  <si>
    <t>the market</t>
  </si>
  <si>
    <t>Peyton Manning took how many different teams to the Super Bowl?</t>
  </si>
  <si>
    <t>Tamara de Lempicka was a famous artist born in Warsaw. She was born Maria Górska in Warsaw to wealthy parents and in 1916 married a Polish lawyer Tadeusz Łempicki. Better than anyone else she represented the Art Deco style in painting and art. Nathan Alterman, the Israeli poet, was born in Warsaw, as was Moshe Vilenski, the Israeli composer, lyricist, and pianist, who studied music at the Warsaw Conservatory. Warsaw was the beloved city of Isaac Bashevis Singer, which he described in many of his novels: Warsaw has just now been destroyed. No one will ever see the Warsaw I knew. Let me just write about it. Let this Warsaw not disappear forever, he commented.</t>
  </si>
  <si>
    <t>only "essentials"</t>
  </si>
  <si>
    <t>20.4 billion</t>
  </si>
  <si>
    <t>What was extent of Celeron's expedition?</t>
  </si>
  <si>
    <t>The Dalek race, which first appeared in the show's second serial in 1963, are Doctor Who's oldest villains. The Daleks are Kaleds from the planet Skaro, mutated by the scientist Davros and housed in mechanical armour shells for mobility. The actual creatures resemble octopi with large, pronounced brains. Their armour shells have a single eye-stalk, a sink-plunger-like device that serves the purpose of a hand, and a directed-energy weapon. Their main weakness is their eyestalk; attacks upon them using various weapons can blind a Dalek, making it go mad. Their chief role in the series plot, as they frequently remark in their instantly recognisable metallic voices, is to "exterminate" all non-Dalek beings. They even attack the Time Lords in the Time War, as shown during the 50th Anniversary of the show. They continue to be a recurring 'monster' within the Doctor Who franchise, their most recent appearances being in the 2015 episodes "The Witch's Familiar" and "Hell Bent". Davros has also been a recurring figure since his debut in Genesis of the Daleks, although played by several different actors.</t>
  </si>
  <si>
    <t>the whole curriculum</t>
  </si>
  <si>
    <t>the separate condenser</t>
  </si>
  <si>
    <t>The legislative body, the Council, are made up of what type of individuals?</t>
  </si>
  <si>
    <t>glowed</t>
  </si>
  <si>
    <t>What makes DNA vulnerable to deamination?</t>
  </si>
  <si>
    <t>theory of general relativity (GR)</t>
  </si>
  <si>
    <t>low demand</t>
  </si>
  <si>
    <t>vocational subjects</t>
  </si>
  <si>
    <t>advances made in the Middle East in botany and chemistry</t>
  </si>
  <si>
    <t>5–8 μm in diameter</t>
  </si>
  <si>
    <t>Who is responsible for operating the electronic voting equipment and chamber clocks?</t>
  </si>
  <si>
    <t>Metro Light Rail</t>
  </si>
  <si>
    <t>What is the approximate turbine entry temperature of a gas turbine?</t>
  </si>
  <si>
    <t>assigned them to the company in lieu of stock</t>
  </si>
  <si>
    <t>the application of electricity</t>
  </si>
  <si>
    <t>pre-Columbian era</t>
  </si>
  <si>
    <t>East Asia</t>
  </si>
  <si>
    <t>Establishing "natural borders" on the Rhine</t>
  </si>
  <si>
    <t>salvation</t>
  </si>
  <si>
    <t>72 minutes</t>
  </si>
  <si>
    <t>journalist</t>
  </si>
  <si>
    <t>What impacts distribution of wealth when evaluating labor?</t>
  </si>
  <si>
    <t>an eccentric,</t>
  </si>
  <si>
    <t>The 2007 Lisbon Treaty explicitly recognised fundamental rights by providing in Article 6(1) that "The Union recognises the rights, freedoms and principles set out in the Charter of Fundamental Rights of the European Union of 7 December 2000, as adopted at Strasbourg on 12 December 2007, which shall have the same legal value as the Treaties." Therefore, the Charter of Fundamental Rights of the European Union has become an integral part of European Union law, codifying the fundamental rights which were previously considered general principles of European Union law. In effect, after the Lisbon Treaty, the Charter and the Convention now co-exist under European Union law, though the former is enforced by the European Court of Justice in relation to European Union measures, and the latter by the European Court of Human Rights in relation to measures by member states.</t>
  </si>
  <si>
    <t>Using boiling water to produce mechanical motion goes back over 2000 years, but early devices were not practical. The Spanish inventor Jerónimo de Ayanz y Beaumont obtained the first patent for a steam engine in 1606. In 1698 Thomas Savery patented a steam pump that used steam in direct contact with the water being pumped. Savery's steam pump used condensing steam to create a vacuum and draw water into a chamber, and then applied pressurized steam to further pump the water. Thomas Newcomen's atmospheric engine was the first commercial true steam engine using a piston, and was used in 1712 for pumping in a mine.</t>
  </si>
  <si>
    <t>until the end of the current Parliament or if either of the parties withdraws from the deal before then</t>
  </si>
  <si>
    <t>What do power station steam turbines use as a cold sink in the absence of CHP?</t>
  </si>
  <si>
    <t>Connectional Table</t>
  </si>
  <si>
    <t>fourteen points</t>
  </si>
  <si>
    <t>What types of teachers are retiring the most?</t>
  </si>
  <si>
    <t>How do ctenophores control buoyancy?</t>
  </si>
  <si>
    <t>hypersensitive response of plants against pathogen attack</t>
  </si>
  <si>
    <t>a university or college</t>
  </si>
  <si>
    <t>Tesla theorized that the application of electricity to the brain enhanced intelligence. In 1912, he crafted "a plan to make dull students bright by saturating them unconsciously with electricity," wiring the walls of a schoolroom and, "saturating [the schoolroom] with infinitesimal electric waves vibrating at high frequency. The whole room will thus, Mr. Tesla claims, be converted into a health-giving and stimulating electromagnetic field or 'bath.'" The plan was, at least provisionally approved by then superintendent of New York City schools, William H. Maxwell.</t>
  </si>
  <si>
    <t>What is retrograde signaling?</t>
  </si>
  <si>
    <t>the Saudi-interpretation</t>
  </si>
  <si>
    <t>The Tech Coast</t>
  </si>
  <si>
    <t>the lack of reliable statistics from this period</t>
  </si>
  <si>
    <t>second most commonly</t>
  </si>
  <si>
    <t>Who among the population of Bukhara became part of the Mongolian army?</t>
  </si>
  <si>
    <t>All the incidental music for the 2005 revived series has been composed by Murray Gold and Ben Foster and has been performed by the BBC National Orchestra of Wales from the 2005 Christmas episode "The Christmas Invasion" onwards. A concert featuring the orchestra performing music from the first two series took place on 19 November 2006 to raise money for Children in Need. David Tennant hosted the event, introducing the different sections of the concert. Murray Gold and Russell T Davies answered questions during the interval and Daleks and Cybermen appeared whilst music from their stories was played. The concert aired on BBCi on Christmas Day 2006. A Doctor Who Prom was celebrated on 27 July 2008 in the Royal Albert Hall as part of the annual BBC Proms. The BBC Philharmonic and the London Philharmonic Choir performed Murray Gold's compositions for the series, conducted by Ben Foster, as well as a selection of classics based on the theme of space and time. The event was presented by Freema Agyeman and guest-presented by various other stars of the show with numerous monsters participating in the proceedings. It also featured the specially filmed mini-episode "Music of the Spheres", written by Russell T Davies and starring David Tennant.</t>
  </si>
  <si>
    <t>What did the network install in 1999</t>
  </si>
  <si>
    <t>The conflict is known by multiple names. In British America, wars were often named after the sitting British monarch, such as King William's War or Queen Anne's War. As there had already been a King George's War in the 1740s, British colonists named the second war in King George's reign after their opponents, and it became known as the French and Indian War. This traditional name continues as the standard in the United States, but it obscures the fact that Indians fought on both sides of the conflict, and that this was part of the Seven Years' War, a much larger conflict between France and Great Britain. American historians generally use the traditional name or sometimes the Seven Years' War. Other, less frequently used names for the war include the Fourth Intercolonial War and the Great War for the Empire.</t>
  </si>
  <si>
    <t xml:space="preserve">What did Tesla's design not need? </t>
  </si>
  <si>
    <t>rapidly raising population and traffic in cities along SR 99</t>
  </si>
  <si>
    <t>complete addressing information</t>
  </si>
  <si>
    <t>rheumatoid arthritis</t>
  </si>
  <si>
    <t xml:space="preserve">Who founded Telnet </t>
  </si>
  <si>
    <t>The chloroplast double membrane is also often compared to the mitochondrial double membrane. This is not a valid comparison—the inner mitochondria membrane is used to run proton pumps and carry out oxidative phosphorylation across to generate ATP energy. The only chloroplast structure that can considered analogous to it is the internal thylakoid system. Even so, in terms of "in-out", the direction of chloroplast H+ ion flow is in the opposite direction compared to oxidative phosphorylation in mitochondria. In addition, in terms of function, the inner chloroplast membrane, which regulates metabolite passage and synthesizes some materials, has no counterpart in the mitochondrion.</t>
  </si>
  <si>
    <t>Rocks on top of a fault that are cut are always older or younger than the fault itself?</t>
  </si>
  <si>
    <t>What was the name of the Media Day event for Super Bowl 50?</t>
  </si>
  <si>
    <t>the most distinctive buildings</t>
  </si>
  <si>
    <t>the George W. Bush Presidential Library</t>
  </si>
  <si>
    <t>In 1972, did Norway end up joining the European Union?</t>
  </si>
  <si>
    <t>What generally dictates the construction materials used?</t>
  </si>
  <si>
    <t>In what type of ring can prime ideals be used for validating quadratic reciprocity?</t>
  </si>
  <si>
    <t>During the mid-Eocene, it is believed that the drainage basin of the Amazon was split along the middle of the continent by the Purus Arch.</t>
  </si>
  <si>
    <t>three or four</t>
  </si>
  <si>
    <t>the Victorian architecture</t>
  </si>
  <si>
    <t>What makes the Wells Fargo Center stand out?</t>
  </si>
  <si>
    <t>July 1899</t>
  </si>
  <si>
    <t>Trotsky, and others, believed that the revolution could only succeed in Russia as part of a world revolution. Lenin wrote extensively on the matter and famously declared that Imperialism was the highest stage of capitalism. However, after Lenin's death, Joseph Stalin established 'socialism in one country' for the Soviet Union, creating the model for subsequent inward looking Stalinist states and purging the early Internationalist elements. The internationalist tendencies of the early revolution would be abandoned until they returned in the framework of a client state in competition with the Americans during the Cold War. With the beginning of the new era, the after Stalin period called the "thaw", in the late 1950s, the new political leader Nikita Khrushchev put even more pressure on the Soviet-American relations starting a new wave of anti-imperialist propaganda. In his speech on the UN conference in 1960, he announced the continuation of the war on imperialism, stating that soon the people of different countries will come together and overthrow their imperialist leaders. Although the Soviet Union declared itself anti-imperialist, critics argue that it exhibited tendencies common to historic empires. Some scholars hold that the Soviet Union was a hybrid entity containing elements common to both multinational empires and nation states. It has also been argued that the USSR practiced colonialism as did other imperial powers and was carrying on the old Russian tradition of expansion and control. Mao Zedong once argued that the Soviet Union had itself become an imperialist power while maintaining a socialist façade. Moreover, the ideas of imperialism were widely spread in action on the higher levels of government. Non Russian Marxists within the Russian Federation and later the USSR, like Sultan Galiev and Vasyl Shakhrai, considered the Soviet Regime a renewed version of the Russian imperialism and colonialism.</t>
  </si>
  <si>
    <t>World Meteorological Organization (WMO) and the United Nations Environment Programme (UNEP),</t>
  </si>
  <si>
    <t>BSkyB does not carry any control</t>
  </si>
  <si>
    <t>Executive Vice President of Football Operations and General Manager</t>
  </si>
  <si>
    <t>Y. pestis was the causative agent of the epidemic plague that devastated Europe during the Middle Ages</t>
  </si>
  <si>
    <t>How many pages was the Kalven Report statement?</t>
  </si>
  <si>
    <t>Civil disobedients have chosen a variety of different illegal acts. Bedau writes, "There is a whole class of acts, undertaken in the name of civil disobedience, which, even if they were widely practiced, would in themselves constitute hardly more than a nuisance (e.g. trespassing at a nuclear-missile installation)...Such acts are often just a harassment and, at least to the bystander, somewhat inane...The remoteness of the connection between the disobedient act and the objectionable law lays such acts open to the charge of ineffectiveness and absurdity." Bedau also notes, though, that the very harmlessness of such entirely symbolic illegal protests toward public policy goals may serve a propaganda purpose. Some civil disobedients, such as the proprietors of illegal medical cannabis dispensaries and Voice in the Wilderness, which brought medicine to Iraq without the permission of the U.S. Government, directly achieve a desired social goal (such as the provision of medication to the sick) while openly breaking the law. Julia Butterfly Hill lived in Luna, a 180-foot (55 m)-tall, 600-year-old California Redwood tree for 738 days, successfully preventing it from being cut down.</t>
  </si>
  <si>
    <t>fundraising drives</t>
  </si>
  <si>
    <t>subjected to high pressure shock waves</t>
  </si>
  <si>
    <t>What was Tesla's salary from Westinghouse in 1934?</t>
  </si>
  <si>
    <t>What literary reference compares the Master to Doctor Who?</t>
  </si>
  <si>
    <t>What does connecting different Sky Q boxes enable them to do?</t>
  </si>
  <si>
    <t xml:space="preserve">What was a first for this network </t>
  </si>
  <si>
    <t>Book of Common Prayer</t>
  </si>
  <si>
    <t>in the Pleistocene epoch</t>
  </si>
  <si>
    <t>What garden was formally only for royalty?</t>
  </si>
  <si>
    <t>When did Washington reach Fort Le Boeuf?</t>
  </si>
  <si>
    <t>Which of his future generals joined forces with Temüjin around the time of his escape from the Tayichi'ud?</t>
  </si>
  <si>
    <t>Neutrophils</t>
  </si>
  <si>
    <t>parabolic</t>
  </si>
  <si>
    <t>global regulation based on the Montreal Protocol</t>
  </si>
  <si>
    <t>figures from the clergy</t>
  </si>
  <si>
    <t>What types of medications do specialty pharmacies stock?</t>
  </si>
  <si>
    <t>remove government oversight from its processes</t>
  </si>
  <si>
    <t>Nevertheless, The United Methodist Church "implore[s] families and churches not to reject or condemn lesbian and gay members and friends" and commits itself to be in ministry with all persons, affirming that God's grace, love, and forgiveness is available to all. Additionally, many organizations, conferences, and congregations have recently called for broader acceptance of the LGBT community within the UMC. For example, the Connectional Table, a governing committee, has voted in favor of a proposal that calls for a localized option, which would permit ministers to officiate same-sex weddings, and it would allow conferences to ordain gay clergy. Moreover, many conferences have taken a position by voting in favor of same-gender marriages with resolutions.</t>
  </si>
  <si>
    <t>30–60%</t>
  </si>
  <si>
    <t>the greatest good</t>
  </si>
  <si>
    <t>What happens to reactive oxygen species signals since they don't leave the chloroplast?</t>
  </si>
  <si>
    <t>international students</t>
  </si>
  <si>
    <t>Who was the Normans' main enemy in Italy, the Byzantine Empire and Armenia?</t>
  </si>
  <si>
    <t>What were Tesla's sisters' names?</t>
  </si>
  <si>
    <t>monatomic</t>
  </si>
  <si>
    <t>What regions do the north-eastern part of the country boarder?</t>
  </si>
  <si>
    <t>Of course, some complexity classes have complicated definitions that do not fit into this framework. Thus, a typical complexity class has a definition like the following:</t>
  </si>
  <si>
    <t>throughout the St. Lawrence and Mississippi watersheds</t>
  </si>
  <si>
    <t>What does UMC stand for?</t>
  </si>
  <si>
    <t>What place had the Norman Arab architectural style?</t>
  </si>
  <si>
    <t>Who were two of the founders of the United Methodist Church?</t>
  </si>
  <si>
    <t>repulsion of like charges</t>
  </si>
  <si>
    <t>between AD 0–1250</t>
  </si>
  <si>
    <t>Who asserted Russia's right to "self-determination?"</t>
  </si>
  <si>
    <t>Ed Asner</t>
  </si>
  <si>
    <t>At what rank does GPS per capita set Victoria?</t>
  </si>
  <si>
    <t>What is the United States at risk for because of the recession of 2008?</t>
  </si>
  <si>
    <t>unidirectional</t>
  </si>
  <si>
    <t>the United Kingdom, Australia, Canada and the United States</t>
  </si>
  <si>
    <t>In which episode does the First Doctor see himself?</t>
  </si>
  <si>
    <t>136,000 square kilometres</t>
  </si>
  <si>
    <t>Ergänzungsschulen</t>
  </si>
  <si>
    <t>ITV Tyne Tees was based at City Road for over 40 years after its launch in January 1959. In 2005 it moved to a new facility on The Watermark business park next to the MetroCentre in Gateshead. The entrance to studio 5 at the City Road complex gave its name to the 1980s music television programme, The Tube. BBC North East and Cumbria is located to the north of the city on Barrack Road, Spital Tongues, in a building known, as the result of its colouring, as the Pink Palace. It is from here that the Corporation broadcasts the Look North television regional news programme and local radio station BBC Radio Newcastle.</t>
  </si>
  <si>
    <t>"No, that's no good</t>
  </si>
  <si>
    <t>hysterical and demonizing mentality</t>
  </si>
  <si>
    <t>decompression sickness (the 'bends')</t>
  </si>
  <si>
    <t>How many parts does the consideration of a bill in Stage 3 have?</t>
  </si>
  <si>
    <t>What dynasty did Genghis Khan plan to attack after conquering Western Xia?</t>
  </si>
  <si>
    <t>carbon related</t>
  </si>
  <si>
    <t>The United Methodist Church in Africa.</t>
  </si>
  <si>
    <t>series from 2009 onwards</t>
  </si>
  <si>
    <t>From the mid-2000s, the university began a number of multimillion-dollar expansion projects. In 2008, the University of Chicago announced plans to establish the Milton Friedman Institute which attracted both support and controversy from faculty members and students. The institute will cost around $200 million and occupy the buildings of the Chicago Theological Seminary. During the same year, investor David G. Booth donated $300 million to the university's Booth School of Business, which is the largest gift in the university's history and the largest gift ever to any business school. In 2009, planning or construction on several new buildings, half of which cost $100 million or more, was underway. Since 2011, major construction projects have included the Jules and Gwen Knapp Center for Biomedical Discovery, a ten-story medical research center, and further additions to the medical campus of the University of Chicago Medical Center. In 2014 the University launched the public phase of a $4.5 billion fundraising campaign. In September 2015, the University received $100 million from The Pearson Family Foundation to establish The Pearson Institute for the Study and Resolution of Global Conflicts and The Pearson Global Forum at the Harris School of Public Policy Studies.</t>
  </si>
  <si>
    <t>Imperialism and colonialism both assert a states dominance over what?</t>
  </si>
  <si>
    <t>the common prayer of the dying</t>
  </si>
  <si>
    <t>the Korean King</t>
  </si>
  <si>
    <t>by undulating their bodies as well as by the beating of their comb-rows.</t>
  </si>
  <si>
    <t>How much had Westinghouse paid to Tesla, Brown and Peck?</t>
  </si>
  <si>
    <t>Where did the Panthers practice for the Super Bowl?</t>
  </si>
  <si>
    <t>Although lacking historical connections to the Middle East, Japan was the country most dependent on Arab oil. 71% of its imported oil came from the Middle East in 1970. On November 7, 1973, the Saudi and Kuwaiti governments declared Japan a "nonfriendly" country to encourage it to change its noninvolvement policy. It received a 5% production cut in December, causing a panic. On November 22, Japan issued a statement "asserting that Israel should withdraw from all of the 1967 territories, advocating Palestinian self-determination, and threatening to reconsider its policy toward Israel if Israel refused to accept these preconditions". By December 25, Japan was considered an Arab-friendly state.</t>
  </si>
  <si>
    <t>representatives elected to either house of parliament</t>
  </si>
  <si>
    <t>the financial strain of buying up patents and hiring the engineers needed to build</t>
  </si>
  <si>
    <t>The Genghis Khan Mausoleum</t>
  </si>
  <si>
    <t>How is packet switching charecterized</t>
  </si>
  <si>
    <t>1st century AD to the present</t>
  </si>
  <si>
    <t>The St. Johns River</t>
  </si>
  <si>
    <t>a stirring speech</t>
  </si>
  <si>
    <t>What was Tesla on his way to do when he was struck by the cab?</t>
  </si>
  <si>
    <t>Unlike confirmation and profession of faith, Baptism is a sacrament in the UMC. The Book of Discipline of the United Methodist Church directs the local church to offer membership preparation or confirmation classes to all people, including adults. The term confirmation is generally reserved for youth, while some variation on membership class is generally used for adults wishing to join the church. The Book of Discipline normally allows any youth at least completing sixth grade to participate, although the pastor has discretionary authority to allow a younger person to participate. In confirmation and membership preparation classes, students learn about Church and the Methodist-Christian theological tradition in order to profess their ultimate faith in Christ.</t>
  </si>
  <si>
    <t>The Literary and Philosophical Society of Newcastle</t>
  </si>
  <si>
    <t>tectonic subsidence</t>
  </si>
  <si>
    <t>Which California venue was one of three considered for Super Bowl 50?</t>
  </si>
  <si>
    <t>LoyalKaspar</t>
  </si>
  <si>
    <t>Teaching may be carried out informally, within the family, which is called homeschooling, or in the wider community. Formal teaching may be carried out by paid professionals. Such professionals enjoy a status in some societies on a par with physicians, lawyers, engineers, and accountants (Chartered or CPA).</t>
  </si>
  <si>
    <t>a proper hierarchy on the classes defined</t>
  </si>
  <si>
    <t>What group of people cannot be part of civil disobedience?</t>
  </si>
  <si>
    <t>Years before his death, Genghis Khan asked to be buried without markings, according to the customs of his tribe. After he died, his body was returned to Mongolia and presumably to his birthplace in Khentii Aimag, where many assume he is buried somewhere close to the Onon River and the Burkhan Khaldun mountain (part of the Kentii mountain range). According to legend, the funeral escort killed anyone and anything across their path to conceal where he was finally buried. The Genghis Khan Mausoleum, constructed many years after his death, is his memorial, but not his burial site.</t>
  </si>
  <si>
    <t>How has this debate been proven?</t>
  </si>
  <si>
    <t>nerves rather than by water disturbances created by the cilia</t>
  </si>
  <si>
    <t>technological superiority</t>
  </si>
  <si>
    <t>produce water currents that help direct microscopic prey toward the mouth</t>
  </si>
  <si>
    <t>Denmark's minimum capital law</t>
  </si>
  <si>
    <t>The word pharmacy is derived from its root word pharma which was a term used since the 15th–17th centuries. However, the original Greek roots from pharmakos imply sorcery or even poison. In addition to pharma responsibilities, the pharma offered general medical advice and a range of services that are now performed solely by other specialist practitioners, such as surgery and midwifery. The pharma (as it was referred to) often operated through a retail shop which, in addition to ingredients for medicines, sold tobacco and patent medicines. Often the place that did this was called an apothecary and several languages have this as the dominant term, though their practices are more akin to a modern pharmacy, in English the term apothecary would today be seen as outdated or only approproriate if herbal remedies were on offer to a large extent. The pharmas also used many other herbs not listed. The Greek word Pharmakeia (Greek: φαρμακεία) derives from pharmakon (φάρμακον), meaning "drug", "medicine" (or "poison").[n 1]</t>
  </si>
  <si>
    <t>Cadillac DeVille</t>
  </si>
  <si>
    <t>it is not a unit and cannot be written as a product of two ring elements that are not units</t>
  </si>
  <si>
    <t>limited forces</t>
  </si>
  <si>
    <t>What is not considered appropriate disclipine?</t>
  </si>
  <si>
    <t>Infrastructure is often called what?</t>
  </si>
  <si>
    <t>The university's center in Beijing is located next to what school's campus?</t>
  </si>
  <si>
    <t>Having existing utility lines marked lessens the likelihood of what?</t>
  </si>
  <si>
    <t>the Art Deco style</t>
  </si>
  <si>
    <t>Sedimentary rock can be turned into which of the three types of rock?</t>
  </si>
  <si>
    <t>go home and change</t>
  </si>
  <si>
    <t>1 September 1939</t>
  </si>
  <si>
    <t>Another example of scientific research which suggests that previous estimates by the IPCC, far from overstating dangers and risks, have actually understated them is a study on projected rises in sea levels. When the researchers' analysis was "applied to the possible scenarios outlined by the Intergovernmental Panel on Climate Change (IPCC), the researchers found that in 2100 sea levels would be 0.5–1.4 m [50–140 cm] above 1990 levels. These values are much greater than the 9–88 cm as projected by the IPCC itself in its Third Assessment Report, published in 2001". This may have been due, in part, to the expanding human understanding of climate.</t>
  </si>
  <si>
    <t>clinical services that pharmacists can provide for their patients</t>
  </si>
  <si>
    <t>Also part of the library is the aforementioned Selznick library, the Cinerama Productions/Palomar theatrical library and the Selmur Productions catalog that the network acquired some years back, and the in-house productions it continues to produce (such as America's Funniest Home Videos, General Hospital, and ABC News productions), although Disney–ABC Domestic Television (formerly known as Buena Vista Television) handles domestic television distribution, while Disney–ABC International Television (formerly known as Buena Vista International Television) handles international television distribution.</t>
  </si>
  <si>
    <t>When did the KMJ-TV first broadcast?</t>
  </si>
  <si>
    <t>a statement to the chamber setting out the Government's legislative programme for the forthcoming year</t>
  </si>
  <si>
    <t>What sea were Ctenophores accidently introduced?</t>
  </si>
  <si>
    <t>Luther is honoured</t>
  </si>
  <si>
    <t>Treaty on European Union (TEU) and the Treaty on the Functioning of the European Union (TFEU)</t>
  </si>
  <si>
    <t>What was the name of the work to give grants for youth development and other things?</t>
  </si>
  <si>
    <t>What sort of power transmission did Tesla show off at his labs?</t>
  </si>
  <si>
    <t>What does rhodophyte mean?</t>
  </si>
  <si>
    <t>War of the Two Capitals</t>
  </si>
  <si>
    <t>In 1523, Luther wrote that Jesus Christ was born a Jew which discouraged mistreatment of the Jews and advocated their conversion by proving that the Old Testament could be shown to speak of Jesus Christ. However, as the Reformation continued, Luther began to lose hope in large-scale Jewish conversion to Christianity. In his later years, Luther grew more hostile toward the Jews, writing against them with the kind of venom he had already unleashed on the Anabaptists, Zwinglianism, and the papacy. His 1543 treatise Von den Juden und ihren Lügen (On the Jews and Their Lies) took its place among other anti-Jewish literature of the times, although historians acknowledge that this treatise was particularly extreme, even by the standards of sixteenth century Europe. In it, he takes a hardline against Judaism, writing that synagogues and Jewish homes should be destroyed, their money confiscated, and liberty curtailed. These statements and their influence on antisemitism have contributed to his controversial status.</t>
  </si>
  <si>
    <t>What was Nicholas Storch ?</t>
  </si>
  <si>
    <t>primary</t>
  </si>
  <si>
    <t>5th Avenue laboratory fire of March 1895</t>
  </si>
  <si>
    <t>Where is the chloroplast peripheral reticulum less commonly found?</t>
  </si>
  <si>
    <t>enthusiasm</t>
  </si>
  <si>
    <t>What type of mentorship does the LDS Church focus on?</t>
  </si>
  <si>
    <t>Halford Mackinder and Friedrich Ratzel where what kind of geographers?</t>
  </si>
  <si>
    <t>Real Presence</t>
  </si>
  <si>
    <t>in effect</t>
  </si>
  <si>
    <t>Where do most plants have chloroplasts?</t>
  </si>
  <si>
    <t>analog and numerical</t>
  </si>
  <si>
    <t>Who presents different ideas about how to accomplish goals?</t>
  </si>
  <si>
    <t>Who selects and hires the best ideas and appropriate contractors?</t>
  </si>
  <si>
    <t>Babai and Eugene Luks</t>
  </si>
  <si>
    <t>phagocytic</t>
  </si>
  <si>
    <t>lectured</t>
  </si>
  <si>
    <t>The Panthers finished the regular season with a 15–1 record, and quarterback Cam Newton was named the NFL Most Valuable Player (MVP). They defeated the Arizona Cardinals 49–15 in the NFC Championship Game and advanced to their second Super Bowl appearance since the franchise was founded in 1995. The Broncos finished the regular season with a 12–4 record, and denied the New England Patriots a chance to defend their title from Super Bowl XLIX by defeating them 20–18 in the AFC Championship Game. They joined the Patriots, Dallas Cowboys, and Pittsburgh Steelers as one of four teams that have made eight appearances in the Super Bowl.</t>
  </si>
  <si>
    <t>no</t>
  </si>
  <si>
    <t>Since then, and so far, general relativity has been acknowledged as the theory that best explains gravity. In GR, gravitation is not viewed as a force, but rather, objects moving freely in gravitational fields travel under their own inertia in straight lines through curved space-time – defined as the shortest space-time path between two space-time events. From the perspective of the object, all motion occurs as if there were no gravitation whatsoever. It is only when observing the motion in a global sense that the curvature of space-time can be observed and the force is inferred from the object's curved path. Thus, the straight line path in space-time is seen as a curved line in space, and it is called the ballistic trajectory of the object. For example, a basketball thrown from the ground moves in a parabola, as it is in a uniform gravitational field. Its space-time trajectory (when the extra ct dimension is added) is almost a straight line, slightly curved (with the radius of curvature of the order of few light-years). The time derivative of the changing momentum of the object is what we label as "gravitational force".</t>
  </si>
  <si>
    <t>What instrument is used to examine steam engine performance?</t>
  </si>
  <si>
    <t>Imperialism extends a country's power and what?</t>
  </si>
  <si>
    <t>What is a new trend in teaching?</t>
  </si>
  <si>
    <t>Long-lived memory cells can remember previous encounters with what?</t>
  </si>
  <si>
    <t xml:space="preserve">Where does the Rhine encounter it's tributary the Neckar? </t>
  </si>
  <si>
    <t>new Apollo spacesuit, designed to accommodate lunar extravehicular activity</t>
  </si>
  <si>
    <t>The use of remote sensing for the conservation of the Amazon is also being used by the indigenous tribes of the basin to protect their tribal lands from commercial interests. Using handheld GPS devices and programs like Google Earth, members of the Trio Tribe, who live in the rainforests of southern Suriname, map out their ancestral lands to help strengthen their territorial claims. Currently, most tribes in the Amazon do not have clearly defined boundaries, making it easier for commercial ventures to target their territories.</t>
  </si>
  <si>
    <t>The average contractor hired how many employees?</t>
  </si>
  <si>
    <t>Steam engines are external combustion engines, where the working fluid is separate from the combustion products. Non-combustion heat sources such as solar power, nuclear power or geothermal energy may be used. The ideal thermodynamic cycle used to analyze this process is called the Rankine cycle. In the cycle, water is heated and transforms into steam within a boiler operating at a high pressure. When expanded through pistons or turbines, mechanical work is done. The reduced-pressure steam is then condensed and pumped back into the boiler.</t>
  </si>
  <si>
    <t xml:space="preserve">What form of death did Jamukha hope Temüjin would allow him? </t>
  </si>
  <si>
    <t>What is set up to scrutinize private bills submitted by party outsiders?</t>
  </si>
  <si>
    <t>quantum mechanics</t>
  </si>
  <si>
    <t>there was an attempt to reform the constitutional law of the European Union and make it more transparent</t>
  </si>
  <si>
    <t>What two country's referendums curtailed a constitution for Europe?</t>
  </si>
  <si>
    <t>US President Barack Obama</t>
  </si>
  <si>
    <t>Where was the signing held?</t>
  </si>
  <si>
    <t>What gender is less willing to travel or relocate for work?</t>
  </si>
  <si>
    <t>What are the phagocytes that are located in tissues in contact with the external environment called?</t>
  </si>
  <si>
    <t>physical pain</t>
  </si>
  <si>
    <t>additional warming of the Earth's surface</t>
  </si>
  <si>
    <t>Indirect civil disobedience</t>
  </si>
  <si>
    <t>traditional private schools</t>
  </si>
  <si>
    <t>the world's first man-made, self-sustaining nuclear reaction</t>
  </si>
  <si>
    <t>Who does the Presiding Officer submit the final bill to?</t>
  </si>
  <si>
    <t>Fourth, national courts have a duty to interpret domestic law "as far as possible in the light of the wording and purpose of the directive". Textbooks (though not the Court itself) often called this "indirect effect". In Marleasing SA v La Comercial SA the Court of Justice held that a Spanish Court had to interpret its general Civil Code provisions, on contracts lacking cause or defrauding creditors, to conform with the First Company Law Directive article 11, that required incorporations would only be nullified for a fixed list of reasons. The Court of Justice quickly acknowledged that the duty of interpretation cannot contradict plain words in a national statute. But, fifth, if a member state has failed to implement a Directive, a citizen may not be able to bring claims against other non-state parties, but can sue the member state itself for failure to implement the law. So, in Francovich v Italy, the Italian government had failed to set up an insurance fund for employees to claim unpaid wages if their employers had gone insolvent, as the Insolvency Protection Directive required. Francovich, the former employee of a bankrupt Venetian firm, was therefore allowed to claim 6 million Lira from the Italian government in damages for his loss. The Court of Justice held that if a Directive would confer identifiable rights on individuals, and there is a causal link between a member state's violation of EU and a claimant's loss, damages must be paid. The fact that the incompatible law is an Act of Parliament is no defence.</t>
  </si>
  <si>
    <t>one-stop shopping</t>
  </si>
  <si>
    <t>However, the rainforest still managed to thrive during these glacial periods, allowing for the survival and evolution of a broad diversity of species.</t>
  </si>
  <si>
    <t>colonizing, influencing, and annexing</t>
  </si>
  <si>
    <t>What public entity of learning is often target of civil disobedience?</t>
  </si>
  <si>
    <t>In Schmidberger v Austria, the Court of Justice came to the conclusion that Austria didn't infringe upon article 34 by failing to ban a what?</t>
  </si>
  <si>
    <t>voters approved the plan</t>
  </si>
  <si>
    <t>valleys and ground depressions</t>
  </si>
  <si>
    <t>John Mearsheimer and Robert Pape</t>
  </si>
  <si>
    <t>How many touchdowns did Manning have at the end of the game?</t>
  </si>
  <si>
    <t>draining the surrounding land</t>
  </si>
  <si>
    <t>the parts of the internal canal network under the comb rows</t>
  </si>
  <si>
    <t>hash tables and pseudorandom number generators</t>
  </si>
  <si>
    <t>delegates more power to local governments and gives Kenyans a bill of rights</t>
  </si>
  <si>
    <t>$5 million for a 30-second</t>
  </si>
  <si>
    <t>his generals</t>
  </si>
  <si>
    <t>unstable six-carbon molecules</t>
  </si>
  <si>
    <t>The Rhine and what other river were accepted as the Germanic frontier?</t>
  </si>
  <si>
    <t>What did Pegasus satellites measure to propose the safety of the environment in space and on the moon?</t>
  </si>
  <si>
    <t>high demand</t>
  </si>
  <si>
    <t>The original theme was composed by Ron Grainer and realised by Delia Derbyshire of the BBC Radiophonic Workshop, with assistance from Dick Mills. The various parts were built up using musique concrète techniques, by creating tape loops of an individually struck piano string and individual test oscillators and filters. The Derbyshire arrangement served, with minor edits, as the theme tune up to the end of season 17 (1979–80). It is regarded as a significant and innovative piece of electronic music, recorded well before the availability of commercial synthesisers or multitrack mixers. Each note was individually created by cutting, splicing, speeding up and slowing down segments of analogue tape containing recordings of a single plucked string, white noise, and the simple harmonic waveforms of test-tone oscillators, intended for calibrating equipment and rooms, not creating music. New techniques were invented to allow mixing of the music, as this was before the era of multitrack tape machines. On hearing the finished result, Grainer asked, "Did I write that?"[citation needed]</t>
  </si>
  <si>
    <t>Because he published his findings first</t>
  </si>
  <si>
    <t>unwilling to risk large convoys to aid the limited forces it had in New France</t>
  </si>
  <si>
    <t>What sate are things inside of a moving vehicle as seen by a  person inside the vehicle?</t>
  </si>
  <si>
    <t>power source</t>
  </si>
  <si>
    <t>What type of medicine did otachi focus on?</t>
  </si>
  <si>
    <t>At the beginning of the 20th century</t>
  </si>
  <si>
    <t>What gender are most species of Ctenophores?</t>
  </si>
  <si>
    <t xml:space="preserve">What motor did they end up using instead of the one Tesla wanted? </t>
  </si>
  <si>
    <t>creditor protection, labour rights to participate in work, or the public interest in collecting taxes</t>
  </si>
  <si>
    <t>Much of the city's tax base dissipated</t>
  </si>
  <si>
    <t>$40,000</t>
  </si>
  <si>
    <t>cameras</t>
  </si>
  <si>
    <t>unincorporated suburbs</t>
  </si>
  <si>
    <t>Scandinavia</t>
  </si>
  <si>
    <t>At what temperatures is O2 more soluble?</t>
  </si>
  <si>
    <t>cysteine and methionine</t>
  </si>
  <si>
    <t>plants and factories</t>
  </si>
  <si>
    <t>What interfered with Kublai's second invasion of Japan?</t>
  </si>
  <si>
    <t>punishment</t>
  </si>
  <si>
    <t>What night did ABC move Ugly Betty to in an attempt to boost the series ratings?</t>
  </si>
  <si>
    <t>body and blood of Christ</t>
  </si>
  <si>
    <t>What profession did Martin's father want his son to pursue?</t>
  </si>
  <si>
    <t>in no way</t>
  </si>
  <si>
    <t>What is  DECnet</t>
  </si>
  <si>
    <t>What did Tesla tell Brisbane he didn't believe in?</t>
  </si>
  <si>
    <t>In the United States the UMC ranks as the largest what?</t>
  </si>
  <si>
    <t>Thoreau's essay was not published until after the end of the Mexican War</t>
  </si>
  <si>
    <t>to coordinate the response to the embargo</t>
  </si>
  <si>
    <t>Of particular concern with Internet pharmacies is the ease with which people, youth in particular, can obtain controlled substances (e.g., Vicodin, generically known as hydrocodone) via the Internet without a prescription issued by a doctor/practitioner who has an established doctor-patient relationship. There are many instances where a practitioner issues a prescription, brokered by an Internet server, for a controlled substance to a "patient" s/he has never met.[citation needed] In the United States, in order for a prescription for a controlled substance to be valid, it must be issued for a legitimate medical purpose by a licensed practitioner acting in the course of legitimate doctor-patient relationship. The filling pharmacy has a corresponding responsibility to ensure that the prescription is valid. Often, individual state laws outline what defines a valid patient-doctor relationship.</t>
  </si>
  <si>
    <t>third-most</t>
  </si>
  <si>
    <t>cytotoxic natural killer cells and CTLs</t>
  </si>
  <si>
    <t>What group of civil disobedients brought medicine to Iraq without the permission of the government?</t>
  </si>
  <si>
    <t>optimisation of a drug treatment for an individual</t>
  </si>
  <si>
    <t>over 18 million</t>
  </si>
  <si>
    <t>What serves as a biological barrier by competing for space and food in the GI tract?</t>
  </si>
  <si>
    <t>successfully destroyed Fort Frontenac</t>
  </si>
  <si>
    <t>66–34</t>
  </si>
  <si>
    <t>potential</t>
  </si>
  <si>
    <t>ignition event</t>
  </si>
  <si>
    <t>negotiations</t>
  </si>
  <si>
    <t>Saturday, 23 November 1963</t>
  </si>
  <si>
    <t>On what date did Henry Kissinger negotiate an Israeli troop withdrawal from the Sinai Peninsula?</t>
  </si>
  <si>
    <t>What's the party's take on Muslim history?</t>
  </si>
  <si>
    <t>formalize a unified front in trade and negotiations with various Indians, since allegiance of the various tribes and nations was seen to be pivotal</t>
  </si>
  <si>
    <t>How much money was to go to DuMont Television Network under Goldenson's merger plan?</t>
  </si>
  <si>
    <t>In what type of water does oxygen dissolve more slowly?</t>
  </si>
  <si>
    <t>The influence of India can be seen in which religious art objects from Thailand, Burma and Cambodia?</t>
  </si>
  <si>
    <t>Strictly speaking who was included in DATANET 1</t>
  </si>
  <si>
    <t>How much money was spent on other festivities in the Bay area to help celebrate the coming Super Bowl 50?</t>
  </si>
  <si>
    <t>Water (H2O) and carbon dioxide (CO2)</t>
  </si>
  <si>
    <t>The Hoppings funfair</t>
  </si>
  <si>
    <t>What is said to be the largest travelling funfair in Europe?</t>
  </si>
  <si>
    <t>supply and demand</t>
  </si>
  <si>
    <t>the areas in which it can make laws</t>
  </si>
  <si>
    <t>Euclid's Elements</t>
  </si>
  <si>
    <t>What may also be required of teachers, in some areas?</t>
  </si>
  <si>
    <t>How did Luther say that reason contributes to faith?</t>
  </si>
  <si>
    <t>the university and military academy</t>
  </si>
  <si>
    <t>perpendicular</t>
  </si>
  <si>
    <t>What goods were sold in a pharma?</t>
  </si>
  <si>
    <t>Old Town Hall</t>
  </si>
  <si>
    <t>Other than many sunny days, what characteristic is typical for the climate in souther California?</t>
  </si>
  <si>
    <t>international metropolitan</t>
  </si>
  <si>
    <t>PM will have power and authority to co-ordinate and supervise the functions of the Government</t>
  </si>
  <si>
    <t>How can someone be recognized as local church lay servant?</t>
  </si>
  <si>
    <t>each specific pathogen</t>
  </si>
  <si>
    <t>John Dalton's original atomic hypothesis assumed that all elements were monatomic and that the atoms in compounds would normally have the simplest atomic ratios with respect to one another. For example, Dalton assumed that water's formula was HO, giving the atomic mass of oxygen as 8 times that of hydrogen, instead of the modern value of about 16. In 1805, Joseph Louis Gay-Lussac and Alexander von Humboldt showed that water is formed of two volumes of hydrogen and one volume of oxygen; and by 1811 Amedeo Avogadro had arrived at the correct interpretation of water's composition, based on what is now called Avogadro's law and the assumption of diatomic elemental molecules.[a]</t>
  </si>
  <si>
    <t>Which organic compounds contain the greatest amount of oxygen by mass?</t>
  </si>
  <si>
    <t>What does Warsaw host many of?</t>
  </si>
  <si>
    <t>What is the largest type of misconduct being reviewed by the media?</t>
  </si>
  <si>
    <t>Treaty of Hubertusburg on 15 February 1763</t>
  </si>
  <si>
    <t>a setup phase in each involved node</t>
  </si>
  <si>
    <t>The league eventually narrowed the bids to three sites: New Orleans' Mercedes-Benz Superdome, Miami's Sun Life Stadium, and the San Francisco Bay Area's Levi's Stadium.</t>
  </si>
  <si>
    <t>the contemporary Orient</t>
  </si>
  <si>
    <t>Bricks for Warsaw</t>
  </si>
  <si>
    <t>eicosanoids and cytokines</t>
  </si>
  <si>
    <t>Luther went to bed quoting what scripture?</t>
  </si>
  <si>
    <t>What is resposible for speeding up or slowing down an object?</t>
  </si>
  <si>
    <t>Politically, Victoria has 37 seats in the Australian House of Representatives and 12 seats in the Australian Senate. At state level, the Parliament of Victoria consists of the Legislative Assembly (the lower house) and the Legislative Council (the upper house). Victoria is currently governed by the Labor Party, with Daniel Andrews the current Premier. The personal representative of the Queen of Australia in the state is the Governor of Victoria, currently Linda Dessau. Local government is concentrated in 79 municipal districts, including 33 cities, although a number of unincorporated areas still exist, which are administered directly by the state.</t>
  </si>
  <si>
    <t>in sync</t>
  </si>
  <si>
    <t>The galleries also link design to wider trends in British culture. For instance, design in the Tudor period was influenced by the spread of printed books and the work of European artists and craftsmen employed in Britain. In the Stuart period, increasing trade, especially with Asia, enabled wider access to luxuries like carpets, lacquered furniture, silks and porcelain. In the Georgian age there was increasing emphasis on entertainment and leisure. For example, the increase in tea drinking led to the production of tea paraphernalia such as china and caddies. European styles seen on the Grand Tour also influenced taste. As the Industrial Revolution took hold, the growth of mass production produced entrepreneurs such as Josiah Wedgwood, Matthew Boulton and Eleanor Coade. In the Victorian era new technology and machinery had a significant effect on manufacturing, and for the first time since the reformation, the Anglican and Roman Catholic Churches had a major effect on art and design such as the Gothic Revival. There is a large display on the Great Exhibition which, among other things, led to the founding of the V&amp;A. In the later 19th century, the increasing backlash against industrialization, led by John Ruskin, contributed to the Arts and Crafts movement.</t>
  </si>
  <si>
    <t>as a means to help the state's educational and economic development</t>
  </si>
  <si>
    <t>polynomial time hierarchy</t>
  </si>
  <si>
    <t>T(n)</t>
  </si>
  <si>
    <t>What forced the cancellations of three future landings?</t>
  </si>
  <si>
    <t>rare and desired skills</t>
  </si>
  <si>
    <t>Thoreau mentions what type of person could corrupt a government system?</t>
  </si>
  <si>
    <t>What was the museum originally called?</t>
  </si>
  <si>
    <t>Uniflow engines attempt to remedy the difficulties arising from the usual counterflow cycle where, during each stroke, the port and the cylinder walls will be cooled by the passing exhaust steam, whilst the hotter incoming admission steam will waste some of its energy in restoring working temperature. The aim of the uniflow is to remedy this defect and improve efficiency by providing an additional port uncovered by the piston at the end of each stroke making the steam flow only in one direction. By this means, the simple-expansion uniflow engine gives efficiency equivalent to that of classic compound systems with the added advantage of superior part-load performance, and comparable efficiency to turbines for smaller engines below one thousand horsepower. However, the thermal expansion gradient uniflow engines produce along the cylinder wall gives practical difficulties.[citation needed]. The Quasiturbine is a uniflow rotary steam engine where steam intakes in hot areas, while exhausting in cold areas.</t>
  </si>
  <si>
    <t>There are several museums and galleries in Newcastle, including the Centre for Life with its Science Village; the Discovery Museum a museum highlighting life on Tyneside, including Tyneside's shipbuilding heritage, and inventions which changed the world; the Great North Museum; in 2009 the Newcastle on Tyne Museum of Antiquities merged with the Great North Museum (Hancock Museum); Seven Stories a museum dedicated to children's books, the Side Gallery historical and contemporary photography from around the world and Northern England and the Newburn Hall Motor Museum.</t>
  </si>
  <si>
    <t>How many times did Arizona turn the ball over in the NFC Championship?</t>
  </si>
  <si>
    <t>could not master written Chinese, but they could generally converse well</t>
  </si>
  <si>
    <t>Christ and His salvation</t>
  </si>
  <si>
    <t>After a punt from both teams, Carolina got on track with a 9-play, 73-yard scoring drive. Newton completed 4 of 4 passes for 51 yards and rushed twice for 25 yards, while Jonathan Stewart finished the drive with a 1-yard touchdown run, cutting the score to 10–7 with 11:28 left in the second quarter. Later on, Broncos receiver Jordan Norwood received Brad Nortman's short 28-yard punt surrounded by Panthers players, but none of them attempted to make a tackle, apparently thinking Norwood had called a fair catch. Norwood had not done so, and with no resistance around him, he took off for a Super Bowl record 61-yard return before Mario Addison dragged him down on the Panthers 14-yard line. Despite Denver's excellent field position, they could not get the ball into the end zone, so McManus kicked a 33-yard field goal that increased their lead to 13–7.</t>
  </si>
  <si>
    <t>Silicates of magnesium and iron make up of the Earth's ___</t>
  </si>
  <si>
    <t>several hundred horsepower</t>
  </si>
  <si>
    <t>Solimões Basin</t>
  </si>
  <si>
    <t>prevents chloroplast proteins from assuming their active form and carrying out their chloroplast functions in the wrong place</t>
  </si>
  <si>
    <t>The immune system is a system of many biological structures and processes within an organism that protects against disease. To function properly, an immune system must detect a wide variety of agents, known as pathogens, from viruses to parasitic worms, and distinguish them from the organism's own healthy tissue. In many species, the immune system can be classified into subsystems, such as the innate immune system versus the adaptive immune system, or humoral immunity versus cell-mediated immunity. In humans, the blood–brain barrier, blood–cerebrospinal fluid barrier, and similar fluid–brain barriers separate the peripheral immune system from the neuroimmune system which protects the brain.</t>
  </si>
  <si>
    <t>inner chloroplast membrane</t>
  </si>
  <si>
    <t>How long ago did primates inhabit Kenya?</t>
  </si>
  <si>
    <t>problem in C is harder than X</t>
  </si>
  <si>
    <t>What stature did pharmacists have in the pre-Heian Imperial court?</t>
  </si>
  <si>
    <t>magazines and journals</t>
  </si>
  <si>
    <t>Structural</t>
  </si>
  <si>
    <t>James Hutton is often viewed as the first modern geologist. In 1785 he presented a paper entitled Theory of the Earth to the Royal Society of Edinburgh. In his paper, he explained his theory that the Earth must be much older than had previously been supposed in order to allow enough time for mountains to be eroded and for sediments to form new rocks at the bottom of the sea, which in turn were raised up to become dry land. Hutton published a two-volume version of his ideas in 1795 (Vol. 1, Vol. 2).</t>
  </si>
  <si>
    <t>the architect's client and the main contractor</t>
  </si>
  <si>
    <t>red-algal derived chloroplast</t>
  </si>
  <si>
    <t>communist governments</t>
  </si>
  <si>
    <t>Australian Labor Party</t>
  </si>
  <si>
    <t>the difference in potential energy between two different locations in space</t>
  </si>
  <si>
    <t>subtropical</t>
  </si>
  <si>
    <t>Besides Confucianism, Buddhism, and Islam, what religions were tolerated during the Yuan?</t>
  </si>
  <si>
    <t>Geoglyphs dating to what period were found in deforested land along the Amazon River?</t>
  </si>
  <si>
    <t>church bishops</t>
  </si>
  <si>
    <t>When did the plague return to Europe?</t>
  </si>
  <si>
    <t>oxygen tank</t>
  </si>
  <si>
    <t>What is a notable application of injectors today?</t>
  </si>
  <si>
    <t>The Very high-speed Backbone Network Service (vBNS) came on line in April 1995 as part of a National Science Foundation (NSF) sponsored project to provide high-speed interconnection between NSF-sponsored supercomputing centers and select access points in the United States. The network was engineered and operated by MCI Telecommunications under a cooperative agreement with the NSF. By 1998, the vBNS had grown to connect more than 100 universities and research and engineering institutions via 12 national points of presence with DS-3 (45 Mbit/s), OC-3c (155 Mbit/s), and OC-12c (622 Mbit/s) links on an all OC-12c backbone, a substantial engineering feat for that time. The vBNS installed one of the first ever production OC-48c (2.5 Gbit/s) IP links in February 1999 and went on to upgrade the entire backbone to OC-48c.</t>
  </si>
  <si>
    <t>non-deterministic Turing machine</t>
  </si>
  <si>
    <t>Even in large firms, architects, interior designers, engineers, developers, construction managers, and general contractors were more likely to be what?</t>
  </si>
  <si>
    <t>What receptors do tumor cells often have reduced concentrations of?</t>
  </si>
  <si>
    <t>Fossils found that were believed to be ctenophores were how old?</t>
  </si>
  <si>
    <t>river</t>
  </si>
  <si>
    <t>Roughly contemporaneous with Maududi was the founding of the Muslim Brotherhood in Ismailiyah, Egypt in 1928 by Hassan al Banna. His was arguably the first, largest and most influential modern Islamic political/religious organization. Under the motto "the Qur'an is our constitution," it sought Islamic revival through preaching and also by providing basic community services including schools, mosques, and workshops. Like Maududi, Al Banna believed in the necessity of government rule based on Shariah law implemented gradually and by persuasion, and of eliminating all imperialist influence in the Muslim world.</t>
  </si>
  <si>
    <t>bronze</t>
  </si>
  <si>
    <t>tutor</t>
  </si>
  <si>
    <t>Health problems were lower in places with higher levels of what?</t>
  </si>
  <si>
    <t>about violence, degradation, exploitation, and coercion"</t>
  </si>
  <si>
    <t>Stagg Field</t>
  </si>
  <si>
    <t>furnished two new regiments of his army</t>
  </si>
  <si>
    <t>gambled</t>
  </si>
  <si>
    <t>Telenet was incorporated in 1973 and started operations in 1975. It went public in 1979 and was then sold to GTE</t>
  </si>
  <si>
    <t>How much is the sieve method of gas production used?</t>
  </si>
  <si>
    <t>anointing with oil.</t>
  </si>
  <si>
    <t>What project structures assist the owner in integration?</t>
  </si>
  <si>
    <t>What position did Tesla accept at the exchange?</t>
  </si>
  <si>
    <t>What did the government and civil society organisations start after the riots?</t>
  </si>
  <si>
    <t>Sayyid Abul Ala Maududi was an important early twentieth-century figure in the Islamic revival in India, and then after independence from Britain, in Pakistan. Trained as a lawyer he chose the profession of journalism, and wrote about contemporary issues and most importantly about Islam and Islamic law. Maududi founded the Jamaat-e-Islami party in 1941 and remained its leader until 1972. However, Maududi had much more impact through his writing than through his political organising. His extremely influential books (translated into many languages) placed Islam in a modern context, and influenced not only conservative ulema but liberal modernizer Islamists such as al-Faruqi, whose "Islamization of Knowledge" carried forward some of Maududi's key principles.</t>
  </si>
  <si>
    <t>In an adjustable spring-loaded valve, what needs to be broken to allow an operator to tamper with it?</t>
  </si>
  <si>
    <t>What do chloroplasts in mesophyll cells specialized use to make ATP?</t>
  </si>
  <si>
    <t>a private member</t>
  </si>
  <si>
    <t>During 2003–04, the gross value of Victorian agricultural production increased by 17% to $8.7 billion. This represented 24% of national agricultural production total gross value. As of 2004, an estimated 32,463 farms occupied around 136,000 square kilometres (52,500 sq mi) of Victorian land. This comprises more than 60% of the state's total land surface. Victorian farms range from small horticultural outfits to large-scale livestock and grain productions. A quarter of farmland is used to grow consumable crops.</t>
  </si>
  <si>
    <t>How does cooling of the local environment affect the mnemiopsis?</t>
  </si>
  <si>
    <t>Louisiana west of the Mississippi River</t>
  </si>
  <si>
    <t>recalled and replaced</t>
  </si>
  <si>
    <t>Confucian propriety and ancestor veneration</t>
  </si>
  <si>
    <t>Victorian Alps</t>
  </si>
  <si>
    <t>Henry Moore and Jacob Epstein</t>
  </si>
  <si>
    <t>The principal Treaties that form the European Union began with common rules for coal and steel, and then atomic energy, but more complete and formal institutions were established through the Treaty of Rome 1957 and the Maastricht Treaty 1992 (now: TFEU). Minor amendments were made during the 1960s and 1970s. Major amending treaties were signed to complete the development of a single, internal market in the Single European Act 1986, to further the development of a more social Europe in the Treaty of Amsterdam 1997, and to make minor amendments to the relative power of member states in the EU institutions in the Treaty of Nice 2001 and the Treaty of Lisbon 2007. Since its establishment, more member states have joined through a series of accession treaties, from the UK, Ireland, Denmark and Norway in 1972 (though Norway did not end up joining), Greece in 1979, Spain and Portugal 1985, Austria, Finland, Norway and Sweden in 1994 (though again Norway failed to join, because of lack of support in the referendum), the Czech Republic, Cyprus, Estonia, Hungary, Latvia, Lithuania, Malta, Poland, Slovakia and Slovenia in 2004, Romania and Bulgaria in 2007 and Croatia in 2013. Greenland signed a Treaty in 1985 giving it a special status.</t>
  </si>
  <si>
    <t>defeat of Napoleon</t>
  </si>
  <si>
    <t>orbit the Moon</t>
  </si>
  <si>
    <t>Newton came to realize that the effects of gravity might be observed in different ways at larger distances. In particular, Newton determined that the acceleration of the Moon around the Earth could be ascribed to the same force of gravity if the acceleration due to gravity decreased as an inverse square law. Further, Newton realized that the acceleration due to gravity is proportional to the mass of the attracting body. Combining these ideas gives a formula that relates the mass () and the radius () of the Earth to the gravitational acceleration:</t>
  </si>
  <si>
    <t>about 3,000 miles</t>
  </si>
  <si>
    <t>Black's Law Dictionary</t>
  </si>
  <si>
    <t>waste</t>
  </si>
  <si>
    <t>What is heralded by the sounding of the division bell?</t>
  </si>
  <si>
    <t>In which cardinal direction from Los Angeles is San Diego?</t>
  </si>
  <si>
    <t>Cargill Meat Solutions and Foster Farms</t>
  </si>
  <si>
    <t>the University of Chicago campus</t>
  </si>
  <si>
    <t>What is being overhauled as part of the improvement works?</t>
  </si>
  <si>
    <t>What type of ballot is used to elect the Presiding Officer and deputies of the Parliament?</t>
  </si>
  <si>
    <t>fifty percent</t>
  </si>
  <si>
    <t>in some C3 angiosperms, and even some gymnosperms</t>
  </si>
  <si>
    <t>15 million</t>
  </si>
  <si>
    <t>beginning of the historical era</t>
  </si>
  <si>
    <t>prime elements</t>
  </si>
  <si>
    <t>The two listed teams play for which NCAA group?</t>
  </si>
  <si>
    <t>What is the main purpose of the jurisdictions and central conferences?</t>
  </si>
  <si>
    <t>the wetter climate may have allowed the tropical rainforest to spread out across the continent.</t>
  </si>
  <si>
    <t>Where was the measurment for the standard gravity on Earth taken?</t>
  </si>
  <si>
    <t>Was the plan formalized?</t>
  </si>
  <si>
    <t>the Book of Exodus</t>
  </si>
  <si>
    <t>false assurances</t>
  </si>
  <si>
    <t>What did Sir Charles Parsons invent?</t>
  </si>
  <si>
    <t>Why did natural sedimentation by the Rhine compensate the transgression bby the sea?</t>
  </si>
  <si>
    <t>avoid prohibitively costly dowry demands</t>
  </si>
  <si>
    <t>to legalize importation of medications from Canada and other countries</t>
  </si>
  <si>
    <t>What is the foundation for separation results within complexity classes?</t>
  </si>
  <si>
    <t>Tesla was the fourth of five children. He had an older brother named Dane and three sisters, Milka, Angelina and Marica. Dane was killed in a horse-riding accident when Nikola was five. In 1861, Tesla attended the "Lower" or "Primary" School in Smiljan where he studied German, arithmetic, and religion. In 1862, the Tesla family moved to Gospić, Austrian Empire, where Tesla's father worked as a pastor. Nikola completed "Lower" or "Primary" School, followed by the "Lower Real Gymnasium" or "Normal School."</t>
  </si>
  <si>
    <t>What has the tendency to increase wages in a field or job position?</t>
  </si>
  <si>
    <t>What computational problem is commonly associated with prime factorization?</t>
  </si>
  <si>
    <t>What is the second phase of the digitization project?</t>
  </si>
  <si>
    <t>Mercury</t>
  </si>
  <si>
    <t>When was the outbreak of World War I?</t>
  </si>
  <si>
    <t>What has had a negative impact on the labor markets in the US?</t>
  </si>
  <si>
    <t>It is possible to use a mechanism based on a pistonless rotary engine such as the Wankel engine in place of the cylinders and valve gear of a conventional reciprocating steam engine. Many such engines have been designed, from the time of James Watt to the present day, but relatively few were actually built and even fewer went into quantity production; see link at bottom of article for more details. The major problem is the difficulty of sealing the rotors to make them steam-tight in the face of wear and thermal expansion; the resulting leakage made them very inefficient. Lack of expansive working, or any means of control of the cutoff is also a serious problem with many such designs.[citation needed]</t>
  </si>
  <si>
    <t>rent at the Hotel New Yorker</t>
  </si>
  <si>
    <t>How many divisions make up the academics of the university?</t>
  </si>
  <si>
    <t>The political unity of China and much of central Asia</t>
  </si>
  <si>
    <t>How much did Westinghouse pay for Tesla's designs?</t>
  </si>
  <si>
    <t>to protect the King's land in the Ohio Valley from the British</t>
  </si>
  <si>
    <t>How many times did southern California attempt to achieve a separate statehood?</t>
  </si>
  <si>
    <t>the direction of making it seem like climate change is more serious</t>
  </si>
  <si>
    <t>Most schools established by the UMC are members of what group?</t>
  </si>
  <si>
    <t>Where does heat rejection occur in the Rankine cycle?</t>
  </si>
  <si>
    <t>1340s onwards</t>
  </si>
  <si>
    <t>Which historic empire used cultural imperialism to sway local elites?</t>
  </si>
  <si>
    <t>the dinophyte nucleus</t>
  </si>
  <si>
    <t>Johnson's expedition was better organized than Shirley's, which was noticed by New France's governor, the Marquis de Vaudreuil. He had primarily been concerned about the extended supply line to the forts on the Ohio, and had sent Baron Dieskau to lead the defenses at Frontenac against Shirley's expected attack. When Johnson was seen as the larger threat, Vaudreuil sent Dieskau to Fort St. Frédéric to meet that threat. Dieskau planned to attack the British encampment at Fort Edward at the upper end of navigation on the Hudson River, but Johnson had strongly fortified it, and Dieskau's Indian support was reluctant to attack. The two forces finally met in the bloody Battle of Lake George between Fort Edward and Fort William Henry. The battle ended inconclusively, with both sides withdrawing from the field. Johnson's advance stopped at Fort William Henry, and the French withdrew to Ticonderoga Point, where they began the construction of Fort Carillon (later renamed Fort Ticonderoga after British capture in 1759).</t>
  </si>
  <si>
    <t xml:space="preserve">When did Pope Leo X  excommunicate Luther? </t>
  </si>
  <si>
    <t>When B cells and T cells begin to replicate, what do some of their offspring cells become?</t>
  </si>
  <si>
    <t>never ratified</t>
  </si>
  <si>
    <t>survival</t>
  </si>
  <si>
    <t>The church also holds that they "are equally bound to respect the sacredness of the life and well-being of the mother, for whom devastating damage may result from an unacceptable pregnancy. In continuity with past Christian teaching, we recognize tragic conflicts of life with life that may justify abortion, and in such cases we support the legal option of abortion under proper medical procedures." As such, two official bodies of the United Methodist Church are part of the Religious Coalition for Reproductive Choice's governing coalition, The General Board of Church and Society, and the United Methodist Women. The church cautions that "Governmental laws and regulations do not provide all the guidance required by the informed Christian conscience." The Church emphasizes the need to be in supportive ministry with all women, regardless of their choice.</t>
  </si>
  <si>
    <t>Downtown San Diego is the central business district of San Diego, though the city is filled with business districts. These include Carmel Valley, Del Mar Heights, Mission Valley, Rancho Bernardo, Sorrento Mesa, and University City. Most of these districts are located in Northern San Diego and some within North County regions.</t>
  </si>
  <si>
    <t>What is the result of the Calvin cycle?</t>
  </si>
  <si>
    <t>to other parts of the empire</t>
  </si>
  <si>
    <t>2nd century BCE</t>
  </si>
  <si>
    <t>Which of Genghis Khan's ambassadors did the Shah have beheaded?</t>
  </si>
  <si>
    <t xml:space="preserve">What organization did Tesla serve as vice president of? </t>
  </si>
  <si>
    <t>Peyton Manning became the first quarterback ever to lead two different teams to multiple Super Bowls. He is also the oldest quarterback ever to play in a Super Bowl at age 39. The past record was held by John Elway, who led the Broncos to victory in Super Bowl XXXIII at age 38 and is currently Denver's Executive Vice President of Football Operations and General Manager.</t>
  </si>
  <si>
    <t>a deficit.</t>
  </si>
  <si>
    <t>biologist</t>
  </si>
  <si>
    <t>Cytokine TBF-B suppresses the activity of what cell types?</t>
  </si>
  <si>
    <t>major national and international patient information projects and health system interoperability goals</t>
  </si>
  <si>
    <t>time and memory</t>
  </si>
  <si>
    <t>What did the IPCC apologize for?</t>
  </si>
  <si>
    <t>the smallest subfield</t>
  </si>
  <si>
    <t>What is preschool required for?</t>
  </si>
  <si>
    <t>Congress</t>
  </si>
  <si>
    <t>The city is served by the Tyne and Wear Metro, a system of suburban and underground railways covering much of Tyne and Wear. It was opened in five phases between 1980 and 1984, and was Britain's first urban light rail transit system; two extensions were opened in 1991 and 2002. It was developed from a combination of existing and newly built tracks and stations, with deep-level tunnels constructed through Newcastle city centre. A bridge was built across the Tyne, between Newcastle and Gateshead, and opened by Queen Elizabeth II in 1981. The network is operated by DB Regio on behalf of Nexus and carries over 37 million passengers a year, extending as far as Newcastle Airport, Tynemouth, South Shields and South Hylton in Sunderland. In 2004, the company Marconi designed and constructed the mobile radio system to the underground Metro system. The Metro system was the first in the UK to have mobile phone antennae installed in the tunnels.</t>
  </si>
  <si>
    <t>about 515 million years</t>
  </si>
  <si>
    <t>What were Huguenots who stayed in France eventually known as?</t>
  </si>
  <si>
    <t>detective</t>
  </si>
  <si>
    <t>What effect did Genghis Khan's career have on communication and trade across Asia?</t>
  </si>
  <si>
    <t>Phagocytosis first evolved as means of doing what?</t>
  </si>
  <si>
    <t>What kind of destruction did the 1994 earthquake cause the most of in US history?</t>
  </si>
  <si>
    <t>Britain as well as Holland, Prussia, and South Africa</t>
  </si>
  <si>
    <t>East Smithfield</t>
  </si>
  <si>
    <t>Some of the objects held in the Jameel Gallery of Islamic Art come from which European country?</t>
  </si>
  <si>
    <t>A construction project</t>
  </si>
  <si>
    <t>What was the Rhine considered to invaders in WWII?</t>
  </si>
  <si>
    <t>Teaching Council</t>
  </si>
  <si>
    <t>signal amplification</t>
  </si>
  <si>
    <t>the early 1990s</t>
  </si>
  <si>
    <t>By whom is European Law applied by?</t>
  </si>
  <si>
    <t>In the visual arts, the Normans did not have the rich and distinctive traditions of the cultures they conquered. However, in the early 11th century the dukes began a programme of church reform, encouraging the Cluniac reform of monasteries and patronising intellectual pursuits, especially the proliferation of scriptoria and the reconstitution of a compilation of lost illuminated manuscripts. The church was utilised by the dukes as a unifying force for their disparate duchy. The chief monasteries taking part in this "renaissance" of Norman art and scholarship were Mont-Saint-Michel, Fécamp, Jumièges, Bec, Saint-Ouen, Saint-Evroul, and Saint-Wandrille. These centres were in contact with the so-called "Winchester school", which channeled a pure Carolingian artistic tradition to Normandy. In the final decade of the 11th and first of the 12th century, Normandy experienced a golden age of illustrated manuscripts, but it was brief and the major scriptoria of Normandy ceased to function after the midpoint of the century.</t>
  </si>
  <si>
    <t>French and Indian War</t>
  </si>
  <si>
    <t>Vistula River</t>
  </si>
  <si>
    <t>Montpellier was among the most important of the 66 "villes de sûreté" that the Edict of 1598 granted to the Huguenots. The city's political institutions and the university were all handed over to the Huguenots. Tension with Paris led to a siege by the royal army in 1622. Peace terms called for the dismantling of the city's fortifications. A royal citadel was built and the university and consulate were taken over by the Catholic party. Even before the Edict of Alès (1629), Protestant rule was dead and the ville de sûreté was no more.[citation needed]</t>
  </si>
  <si>
    <t>signals from the chloroplast that regulate gene expression</t>
  </si>
  <si>
    <t>October 16, 2012</t>
  </si>
  <si>
    <t>The integer factorization problem</t>
  </si>
  <si>
    <t>fill in blank spaces on contemporary maps</t>
  </si>
  <si>
    <t>When is the Sicilian Tristan Quilt dated?</t>
  </si>
  <si>
    <t>Maria Fold and Thrust Belt</t>
  </si>
  <si>
    <t>a more fundamental electroweak interaction</t>
  </si>
  <si>
    <t>What was apolitical Islam?</t>
  </si>
  <si>
    <t>Temperance</t>
  </si>
  <si>
    <t>education of children as Catholics</t>
  </si>
  <si>
    <t>Because of their soft, gelatinous bodies</t>
  </si>
  <si>
    <t>female</t>
  </si>
  <si>
    <t>until the age of 16</t>
  </si>
  <si>
    <t>OPEC raised the posted price of oil</t>
  </si>
  <si>
    <t>What is the receptor that killer T cells use to bind to specific antigens that are complexed with the MHC Class 1 receptor of another cell?</t>
  </si>
  <si>
    <t>creates immunological memory</t>
  </si>
  <si>
    <t>about 40 nanometers across</t>
  </si>
  <si>
    <t>accidental introduction of Beroe</t>
  </si>
  <si>
    <t>The concept of prime number is so important that it has been generalized in different ways in various branches of mathematics. Generally, "prime" indicates minimality or indecomposability, in an appropriate sense. For example, the prime field is the smallest subfield of a field F containing both 0 and 1. It is either Q or the finite field with p elements, whence the name. Often a second, additional meaning is intended by using the word prime, namely that any object can be, essentially uniquely, decomposed into its prime components. For example, in knot theory, a prime knot is a knot that is indecomposable in the sense that it cannot be written as the knot sum of two nontrivial knots. Any knot can be uniquely expressed as a connected sum of prime knots. Prime models and prime 3-manifolds are other examples of this type.</t>
  </si>
  <si>
    <t>What did Luther establish as a worship service in his church?</t>
  </si>
  <si>
    <t>How much does it cost to gain entry to a parliament meeting?</t>
  </si>
  <si>
    <t>How did Denver score at the end of the drive?</t>
  </si>
  <si>
    <t>democratic process</t>
  </si>
  <si>
    <t>to energize electrons</t>
  </si>
  <si>
    <t>Approximately how many silver and gold objects does the V&amp;A have it its collection?</t>
  </si>
  <si>
    <t>If two integers are multiplied and output a value, what is this expression set called?</t>
  </si>
  <si>
    <t>What has complicated definitions that prevent classification into a framework?</t>
  </si>
  <si>
    <t>What time of day did these reformed supposedly gather to engage in Huguenot rituals?</t>
  </si>
  <si>
    <t>surprised the Canadians on May 28</t>
  </si>
  <si>
    <t>When did ABC announce the restructure of ABC radio?</t>
  </si>
  <si>
    <t>The Presiding Officer</t>
  </si>
  <si>
    <t>Chinese and Japanese ceramics.</t>
  </si>
  <si>
    <t>Turing machines</t>
  </si>
  <si>
    <t>desert</t>
  </si>
  <si>
    <t>photolysis of ozone by light of short wavelength</t>
  </si>
  <si>
    <t>Museum of the Moving Image</t>
  </si>
  <si>
    <t>What was the name of the leader ennobled by Henry III</t>
  </si>
  <si>
    <t>Colorado River</t>
  </si>
  <si>
    <t>March</t>
  </si>
  <si>
    <t>characteristics</t>
  </si>
  <si>
    <t>experimentation</t>
  </si>
  <si>
    <t>What had been left hanging on the door to Tesla's room?</t>
  </si>
  <si>
    <t>printing press</t>
  </si>
  <si>
    <t>mortgage banker</t>
  </si>
  <si>
    <t>Preventable diseases</t>
  </si>
  <si>
    <t>steeper tax</t>
  </si>
  <si>
    <t>over 4.5 million objects</t>
  </si>
  <si>
    <t>What was AUSTPAC</t>
  </si>
  <si>
    <t>When did the BBC rebroadcast the first episode of Doctor Who?</t>
  </si>
  <si>
    <t>To classify the computation time (or similar resources, such as space consumption), one is interested in proving upper and lower bounds on the minimum amount of time required by the most efficient algorithm solving a given problem. The complexity of an algorithm is usually taken to be its worst-case complexity, unless specified otherwise. Analyzing a particular algorithm falls under the field of analysis of algorithms. To show an upper bound T(n) on the time complexity of a problem, one needs to show only that there is a particular algorithm with running time at most T(n). However, proving lower bounds is much more difficult, since lower bounds make a statement about all possible algorithms that solve a given problem. The phrase "all possible algorithms" includes not just the algorithms known today, but any algorithm that might be discovered in the future. To show a lower bound of T(n) for a problem requires showing that no algorithm can have time complexity lower than T(n).</t>
  </si>
  <si>
    <t>threatened "Old Briton" with severe consequences if he continued to trade with the British</t>
  </si>
  <si>
    <t>Teaching using pedagogy also involve assessing the educational levels of the students on particular skills. Understanding the pedagogy of the students in a classroom involves using differentiated instruction as well as supervision to meet the needs of all students in the classroom. Pedagogy can be thought of in two manners. First, teaching itself can be taught in many different ways, hence, using a pedagogy of teaching styles. Second, the pedagogy of the learners comes into play when a teacher assesses the pedagogic diversity of his/her students and differentiates for the individual students accordingly. For example, an experienced teacher and parent described the place of a teacher in learning as follows: "The real bulk of learning takes place in self-study and problem solving with a lot of feedback around that loop. The function of the teacher is to pressure the lazy, inspire the bored, deflate the cocky, encourage the timid, detect and correct individual flaws, and broaden the viewpoint of all. This function looks like that of a coach using the whole gamut of psychology to get each new class of rookies off the bench and into the game."</t>
  </si>
  <si>
    <t>Who thought that applied force caused movement of an object regardless of non-zero velocity?</t>
  </si>
  <si>
    <t>the Council of Industrial Design</t>
  </si>
  <si>
    <t>Doctor Who finally returned with the episode "Rose" on BBC One on 26 March 2005. There have since been nine further series in 2006–2008 and 2010–2015, and Christmas Day specials every year since 2005. No full series was filmed in 2009, although four additional specials starring David Tennant were made. In 2010, Steven Moffat replaced Davies as head writer and executive producer. In January 2016, Moffat announced that he would step down after the 2017 finale, to be replaced by Chris Chibnall in 2018. In addition, Series 10 will debut in Spring 2017, with a Christmas special broadcast in 2016.</t>
  </si>
  <si>
    <t>over 14,000 outfits</t>
  </si>
  <si>
    <t>What does the immune system protect against?</t>
  </si>
  <si>
    <t>Hyperbaric (high-pressure) medicine</t>
  </si>
  <si>
    <t>Who is the archenemy of Doctor Who?</t>
  </si>
  <si>
    <t>What did Luther state as a means of discouraging mistreatment of Jews?</t>
  </si>
  <si>
    <t>external</t>
  </si>
  <si>
    <t>Academy Award</t>
  </si>
  <si>
    <t>empires</t>
  </si>
  <si>
    <t>the spread of diseases from Europe</t>
  </si>
  <si>
    <t>her or his capacity as public official</t>
  </si>
  <si>
    <t>What is a hermaphrodite?</t>
  </si>
  <si>
    <t>Economist Joseph Stiglitz argues that rather than explaining concentrations of wealth and income, market forces should serve as a brake on such concentration, which may better be explained by the non-market force known as "rent-seeking". While the market will bid up compensation for rare and desired skills to reward wealth creation, greater productivity, etc., it will also prevent successful entrepreneurs from earning excess profits by fostering competition to cut prices, profits and large compensation. A better explainer of growing inequality, according to Stiglitz, is the use of political power generated by wealth by certain groups to shape government policies financially beneficial to them. This process, known to economists as rent-seeking, brings income not from creation of wealth but from "grabbing a larger share of the wealth that would otherwise have been produced without their effort"</t>
  </si>
  <si>
    <t>Collier's Weekly</t>
  </si>
  <si>
    <t>What was the source of the mistake?</t>
  </si>
  <si>
    <t>would have also produced a single constitutional document</t>
  </si>
  <si>
    <t>At the 1996 General Conference the ordination order of transitional deacon was abolished. This created new orders known as "provisional elder" or "provisional deacon" for those who seek to be ordained in the respective orders. The provisional elder/deacon is a seminary graduate who serves a two-three-year term in a full-time appointment after being commissioned. During this two or three-year period, the provisional elder is granted sacramental ministry in their local appointment. For the first time in its history non-ordained pastors became a normal expectation, rather than an extraordinary provision for ministry.</t>
  </si>
  <si>
    <t>What is being described when simplicity of geometrical forms are teamed with inspiration from the Roman period?</t>
  </si>
  <si>
    <t>About how much did a New York City day school cost annually in 2012?</t>
  </si>
  <si>
    <t>How did other countries have copies of the show?</t>
  </si>
  <si>
    <t>Directives</t>
  </si>
  <si>
    <t>How quick was the effect of Luther's preaching?</t>
  </si>
  <si>
    <t>What weapon does Spike Milligan use against a Dalek?</t>
  </si>
  <si>
    <t>The hydrography of the current delta is characterized by the delta's main arms, disconnected arms (Hollandse IJssel, Linge, Vecht, etc.) and smaller rivers and streams. Many rivers have been closed ("dammed") and now serve as drainage channels for the numerous polders. The construction of Delta Works changed the Delta in the second half of the 20th Century fundamentally. Currently Rhine water runs into the sea, or into former marine bays now separated from the sea, in five places, namely at the mouths of the Nieuwe Merwede, Nieuwe Waterway (Nieuwe Maas), Dordtse Kil, Spui and IJssel.</t>
  </si>
  <si>
    <t>the Earth must be much older than had previously been supposed</t>
  </si>
  <si>
    <t>What types of houses are designed by Fresno architects?</t>
  </si>
  <si>
    <t>What party is strongest in Melbourne's affluent areas?</t>
  </si>
  <si>
    <t>Peanuts</t>
  </si>
  <si>
    <t>The British failures in North America, combined with other failures in the European theater, led to the fall from power of Newcastle and his principal military advisor, the Duke of Cumberland. Newcastle and Pitt joined in an uneasy coalition in which Pitt dominated the military planning. He embarked on a plan for the 1758 campaign that was largely developed by Loudoun. He had been replaced by Abercrombie as commander in chief after the failures of 1757. Pitt's plan called for three major offensive actions involving large numbers of regular troops, supported by the provincial militias, aimed at capturing the heartlands of New France. Two of the expeditions were successful, with Fort Duquesne and Louisbourg falling to sizable British forces.</t>
  </si>
  <si>
    <t>run IP over ATM or a version of MPLS</t>
  </si>
  <si>
    <t>It's not clear, however that this stereotypical view reflects the reality of East Asian classrooms or that the educational goals in these countries are commensurable with those in Western countries. In Japan, for example, although average attainment on standardized tests may exceed those in Western countries, classroom discipline and behavior is highly problematic. Although, officially, schools have extremely rigid codes of behavior, in practice many teachers find the students unmanageable and do not enforce discipline at all.</t>
  </si>
  <si>
    <t>plea bargain</t>
  </si>
  <si>
    <t>double or triple non-French linguistic origins</t>
  </si>
  <si>
    <t>Which Irish cities had large Huguenot enclaves?</t>
  </si>
  <si>
    <t>What did Luther feel he made of Christ?</t>
  </si>
  <si>
    <t>What are the three largest urban areas in Kenya?</t>
  </si>
  <si>
    <t>high risk preparations and some other compounding functions</t>
  </si>
  <si>
    <t>the construction of military roads</t>
  </si>
  <si>
    <t>horizontal</t>
  </si>
  <si>
    <t>public charter schools on the South Side of Chicago</t>
  </si>
  <si>
    <t>are disturbed,</t>
  </si>
  <si>
    <t>National Defence University</t>
  </si>
  <si>
    <t>carbon dioxide</t>
  </si>
  <si>
    <t>August 1992</t>
  </si>
  <si>
    <t>the building is ready to occupy</t>
  </si>
  <si>
    <t>"Old Briton" ignored the warning</t>
  </si>
  <si>
    <t>satellites</t>
  </si>
  <si>
    <t>All clergy appointments are made for how long?</t>
  </si>
  <si>
    <t>What did Tesla begin to research in March 1896?</t>
  </si>
  <si>
    <t>ramification</t>
  </si>
  <si>
    <t>Le grand concludes that an author's words offer only what they intended for them to imply regarding this type of terminology?</t>
  </si>
  <si>
    <t>Who appoints the board of the European Central Bank?</t>
  </si>
  <si>
    <t>What types of European groups were able to avoid the plague?</t>
  </si>
  <si>
    <t>through policies</t>
  </si>
  <si>
    <t>Around roughly how many students enroll yearly in creative and performing arts classes?</t>
  </si>
  <si>
    <t>its colouring,</t>
  </si>
  <si>
    <t>a deficit</t>
  </si>
  <si>
    <t>at the narrow end</t>
  </si>
  <si>
    <t>What shows us lost chloroplasts?</t>
  </si>
  <si>
    <t>Open Door Policy</t>
  </si>
  <si>
    <t>This contributed to the "Oil Shock". After 1971, OPEC was slow to readjust prices to reflect this depreciation. From 1947 to 1967, the dollar price of oil had risen by less than two percent per year. Until the oil shock, the price had also remained fairly stable versus other currencies and commodities. OPEC ministers had not developed institutional mechanisms to update prices in sync with changing market conditions, so their real incomes lagged. The substantial price increases of 1973–1974 largely returned their prices and corresponding incomes to Bretton Woods levels in terms of commodities such as gold.</t>
  </si>
  <si>
    <t>Lake Balkhash,</t>
  </si>
  <si>
    <t>What type of engines became widespread around the end of the 19th century?</t>
  </si>
  <si>
    <t>When was the Latin version of the word Norman first recorded?</t>
  </si>
  <si>
    <t>For what invention was U.S. Patent 1,655,114 granted?</t>
  </si>
  <si>
    <t>employ consultant pharmacists</t>
  </si>
  <si>
    <t>It was not until the late 1950s that the ABC network became a serious contender to NBC and CBS, and this was in large part due to the diverse range of programming that met the expectations of the public, such as westerns and detective series. Despite an almost 500% increase in advertising revenues between 1953 and 1958, the network only had a national reach of between 10% and 18% of the total U.S. population, as it still had relatively fewer affiliates than NBC and CBS. In 1957, ABC Entertainment president Ollie Treiz discovered that the locally produced variety show Bandstand had pulled very strong ratings in the Philadelphia market on WFIL-TV; Treiz ultimately negotiated a deal to take the show national, under the revised title American Bandstand; the show quickly became a social phenomenon by presenting new musical talent and dances to America's youth and helped make a star out of its host, Dick Clark.</t>
  </si>
  <si>
    <t>autumn</t>
  </si>
  <si>
    <t>the physician has a financial self-interest in "diagnosing" as many conditions as possible</t>
  </si>
  <si>
    <t>What do you have to cross to reach the chloroplast in many secondary plastids?</t>
  </si>
  <si>
    <t>What was used to create a new electromagnetic theory to reconcile the troubles with electromagnetic theory as it used to stand?</t>
  </si>
  <si>
    <t>9:00 a.m. until 6:00 p.m. or later</t>
  </si>
  <si>
    <t>the ozone generated in contact with the skin, and to a lesser extent, by nitrous acid</t>
  </si>
  <si>
    <t>Who developed the lithium-ion battery?</t>
  </si>
  <si>
    <t>army and the populace</t>
  </si>
  <si>
    <t>In the United States, there has been a push to legalize importation of medications from Canada and other countries, in order to reduce consumer costs. While in most cases importation of prescription medications violates Food and Drug Administration (FDA) regulations and federal laws, enforcement is generally targeted at international drug suppliers, rather than consumers. There is no known case of any U.S. citizens buying Canadian drugs for personal use with a prescription, who has ever been charged by authorities.</t>
  </si>
  <si>
    <t>coin in the coffer</t>
  </si>
  <si>
    <t>Quran</t>
  </si>
  <si>
    <t>How do academic results in former Model C schools compare to other schools?</t>
  </si>
  <si>
    <t>In 1967, Manuel Blum developed an axiomatic complexity theory based on his axioms and proved an important result, the so-called, speed-up theorem. The field really began to flourish in 1971 when the US researcher Stephen Cook and, working independently, Leonid Levin in the USSR, proved that there exist practically relevant problems that are NP-complete. In 1972, Richard Karp took this idea a leap forward with his landmark paper, "Reducibility Among Combinatorial Problems", in which he showed that 21 diverse combinatorial and graph theoretical problems, each infamous for its computational intractability, are NP-complete.</t>
  </si>
  <si>
    <t>clerical marriage.</t>
  </si>
  <si>
    <t>The freedom to provide services under TFEU article 56 applies to who?</t>
  </si>
  <si>
    <t>CBS broadcast Super Bowl 50 in the U.S., and charged an average of $5 million for a 30-second commercial during the game. The Super Bowl 50 halftime show was headlined by the British rock group Coldplay with special guest performers Beyoncé and Bruno Mars, who headlined the Super Bowl XLVII and Super Bowl XLVIII halftime shows, respectively. It was the third-most watched U.S. broadcast ever.</t>
  </si>
  <si>
    <t>WFTS-TV and WWSB</t>
  </si>
  <si>
    <t>British and Europeans who were based in Britain</t>
  </si>
  <si>
    <t>Diffie–Hellman key exchange</t>
  </si>
  <si>
    <t>Great Lakes</t>
  </si>
  <si>
    <t>John the Steadfast</t>
  </si>
  <si>
    <t>What does the Secretariat Wing house?</t>
  </si>
  <si>
    <t>When was the first known historical reference to immunity?</t>
  </si>
  <si>
    <t>What resource is the economy of southern California depedent on?</t>
  </si>
  <si>
    <t>Who kept tabs on the accident review board that NASA created?</t>
  </si>
  <si>
    <t>How did the Yuan come to have the 4 schools of medicine?</t>
  </si>
  <si>
    <t>The principle of inclusions and components states that, with sedimentary rocks, if inclusions (or clasts) are found in a formation, then the inclusions must be older than the formation that contains them. For example, in sedimentary rocks, it is common for gravel from an older formation to be ripped up and included in a newer layer. A similar situation with igneous rocks occurs when xenoliths are found. These foreign bodies are picked up as magma or lava flows, and are incorporated, later to cool in the matrix. As a result, xenoliths are older than the rock which contains them.</t>
  </si>
  <si>
    <t>Stockton and Darlington</t>
  </si>
  <si>
    <t>injector</t>
  </si>
  <si>
    <t>be reborn</t>
  </si>
  <si>
    <t>The price of oil is usually a stable commodity until when?</t>
  </si>
  <si>
    <t>energy crisis</t>
  </si>
  <si>
    <t>the exploitation of the valuable assets and supplies</t>
  </si>
  <si>
    <t>What other locations can the Booth School of Business be found?</t>
  </si>
  <si>
    <t>seasons 3, 4, &amp; 5</t>
  </si>
  <si>
    <t>What campaigh did the Scottish National Party (SNP) run?</t>
  </si>
  <si>
    <t>submit to the punishment prescribed by law</t>
  </si>
  <si>
    <t>rejected the existence of</t>
  </si>
  <si>
    <t>tentacles and tentacle sheaths</t>
  </si>
  <si>
    <t>What do the leaders of the opposition parties and other MSPs question the First Minister about?</t>
  </si>
  <si>
    <t>What has the avoidance of men to become teachers caused, in some areas?</t>
  </si>
  <si>
    <t>his sons and grandsons</t>
  </si>
  <si>
    <t>When did the Wahhabi seized the Grand Mosque in Mecca?</t>
  </si>
  <si>
    <t>What position at ABC did Thomas Murphy stay on for after stepping down as president?</t>
  </si>
  <si>
    <t>oxygen cycle</t>
  </si>
  <si>
    <t>thymus and bone marrow</t>
  </si>
  <si>
    <t>James Lofton and Mark Malone</t>
  </si>
  <si>
    <t>the most popular show at the time</t>
  </si>
  <si>
    <t>boom-and-bust cycles</t>
  </si>
  <si>
    <t>The UMC believes that Jesus abolished the death penalty in what Bible verse?</t>
  </si>
  <si>
    <t>Based on his industry experience on Air Force missile projects, Mueller realized some skilled managers could be found among high-ranking officers in the United States Air Force, so he got Webb's permission to recruit General Samuel C. Phillips, who gained a reputation for his effective management of the Minuteman program, as OMSF program controller. Phillips' superior officer Bernard A. Schriever agreed to loan Phillips to NASA, along with a staff of officers under him, on the condition that Phillips be made Apollo Program Director. Mueller agreed, and Phillips managed Apollo from January 1964, until it achieved the first manned landing in July 1969, after which he returned to Air Force duty.</t>
  </si>
  <si>
    <t>Where did Luther spend his career?</t>
  </si>
  <si>
    <t>How many nations contain "Amazonas" in their names?</t>
  </si>
  <si>
    <t>Lutheran views</t>
  </si>
  <si>
    <t>When do chloroplasts produce defense signals?</t>
  </si>
  <si>
    <t>the direction in which the mouth is pointing</t>
  </si>
  <si>
    <t>For the first time, the Super Bowl 50 Host Committee and the NFL have openly sought disabled veteran and lesbian, gay, bisexual and transgender-owned businesses in Business Connect, the Super Bowl program that provides local companies with contracting opportunities in and around the Super Bowl. The host committee has already raised over $40 million through sponsors including Apple, Google, Yahoo!, Intel, Gap, Chevron, and Dignity Health.</t>
  </si>
  <si>
    <t>826 Doctor Who instalments have been televised since 1963, ranging between 25-minute episodes (the most common format), 45-minute episodes (for Resurrection of the Daleks in the 1984 series, a single season in 1985, and the revival), two feature-length productions (1983's The Five Doctors and the 1996 television film), eight Christmas specials (most of 60 minutes' duration, one of 72 minutes), and four additional specials ranging from 60 to 75 minutes in 2009, 2010 and 2013. Four mini-episodes, running about eight minutes each, were also produced for the 1993, 2005 and 2007 Children in Need charity appeals, while another mini-episode was produced in 2008 for a Doctor Who-themed edition of The Proms. The 1993 2-part story, entitled Dimensions in Time, was made in collaboration with the cast of the BBC soap-opera EastEnders and was filmed partly on the EastEnders set. A two-part mini-episode was also produced for the 2011 edition of Comic Relief. Starting with the 2009 special "Planet of the Dead", the series was filmed in 1080i for HDTV, and broadcast simultaneously on BBC One and BBC HD.</t>
  </si>
  <si>
    <t>NP-complete</t>
  </si>
  <si>
    <t>Though trained as a lawyer, what profession did Maududi pursue instead?</t>
  </si>
  <si>
    <t>Medical knowledge had stagnated during the Middle Ages. The most authoritative account at the time came from the medical faculty in Paris in a report to the king of France that blamed the heavens, in the form of a conjunction of three planets in 1345 that caused a "great pestilence in the air". This report became the first and most widely circulated of a series of plague tracts that sought to give advice to sufferers. That the plague was caused by bad air became the most widely accepted theory. Today, this is known as the Miasma theory. The word 'plague' had no special significance at this time, and only the recurrence of outbreaks during the Middle Ages gave it the name that has become the medical term.</t>
  </si>
  <si>
    <t>From 1947 to 1967, how much did the price of oil increase?</t>
  </si>
  <si>
    <t>How many days after Gagarin's flight did the US House Committee on Science and Astronautics meet?</t>
  </si>
  <si>
    <t xml:space="preserve">What did the Apple system assign automatically </t>
  </si>
  <si>
    <t>What development did Luther's hymns translations influence?</t>
  </si>
  <si>
    <t>with the help of the military</t>
  </si>
  <si>
    <t>well into the nineteenth century</t>
  </si>
  <si>
    <t>April through October</t>
  </si>
  <si>
    <t>7 million</t>
  </si>
  <si>
    <t>matching white jerseys</t>
  </si>
  <si>
    <t>the Factory Project</t>
  </si>
  <si>
    <t>What was the Yuan's unofficial state religion?</t>
  </si>
  <si>
    <t>beginning of each parliamentary session</t>
  </si>
  <si>
    <t>The Romans kept eight legions in five bases along the Rhine. The actual number of legions present at any base or in all, depended on whether a state or threat of war existed. Between about AD 14 and 180, the assignment of legions was as follows: for the army of Germania Inferior, two legions at Vetera (Xanten), I Germanica and XX Valeria (Pannonian troops); two legions at oppidum Ubiorum ("town of the Ubii"), which was renamed to Colonia Agrippina, descending to Cologne, V Alaudae, a Celtic legion recruited from Gallia Narbonensis and XXI, possibly a Galatian legion from the other side of the empire.</t>
  </si>
  <si>
    <t>richest</t>
  </si>
  <si>
    <t>What did Luther do during Lent at this time?</t>
  </si>
  <si>
    <t>What is located within this district?</t>
  </si>
  <si>
    <t>When did ABC first premiere Who Wants to Be a Millionaire?</t>
  </si>
  <si>
    <t>Mongolian, Tibetan, and Chinese</t>
  </si>
  <si>
    <t>NASA's CALIPSO satellite has measured the amount of dust transported by wind from the Sahara to the Amazon: an average 182 million tons of dust are windblown out of the Sahara each year, at 15 degrees west longitude, across 1,600 miles (2,600 km) over the Atlantic Ocean (some dust falls into the Atlantic), then at 35 degrees West longitude at the eastern coast of South America, 27.7 million tons (15%) of dust fall over the Amazon basin, 132 million tons of dust remain in the air, 43 million tons of dust are windblown and falls on the Caribbean Sea, past 75 degrees west longitude.</t>
  </si>
  <si>
    <t>$960 billion</t>
  </si>
  <si>
    <t>invasion of Britain</t>
  </si>
  <si>
    <t>extremely old</t>
  </si>
  <si>
    <t>In what part of the city did residents suffer from a lack of city services?</t>
  </si>
  <si>
    <t>Who were the Westwood One sideline announcers?</t>
  </si>
  <si>
    <t>study halls</t>
  </si>
  <si>
    <t>NP-intermediate</t>
  </si>
  <si>
    <t>The Hay Wain.</t>
  </si>
  <si>
    <t>the outer core and inner core</t>
  </si>
  <si>
    <t>the head of state and head of government</t>
  </si>
  <si>
    <t>What was the time limit on Luther's recantation of sentences?</t>
  </si>
  <si>
    <t>horizontal compression</t>
  </si>
  <si>
    <t>papal dispensation</t>
  </si>
  <si>
    <t>projected rises in sea levels</t>
  </si>
  <si>
    <t>oxygen-18</t>
  </si>
  <si>
    <t>for the lost chloroplast's existence</t>
  </si>
  <si>
    <t>What working fluid is used in a mercury vapor turbine?</t>
  </si>
  <si>
    <t>true larvae</t>
  </si>
  <si>
    <t>What is the systemic acquired resistance response of a plant immune system?</t>
  </si>
  <si>
    <t>Where does the gold in the parliamentary mace come from?</t>
  </si>
  <si>
    <t>zoning and building code requirements</t>
  </si>
  <si>
    <t>How many passengers can the Ford Fiesta accommodate?</t>
  </si>
  <si>
    <t>How did Mongol armies lure enemy groups out of their defensive positions?</t>
  </si>
  <si>
    <t>What area did the Westwood One broadcast cover?</t>
  </si>
  <si>
    <t>Which bound of time is more difficult to establish?</t>
  </si>
  <si>
    <t>diverse</t>
  </si>
  <si>
    <t>11th</t>
  </si>
  <si>
    <t>strong response</t>
  </si>
  <si>
    <t>How many seasons did The Love Boat run for?</t>
  </si>
  <si>
    <t>What theory accounted for the Mercury problem?</t>
  </si>
  <si>
    <t>travel literature, cartography, geography, and scientific education</t>
  </si>
  <si>
    <t>Where do ctenophora live?</t>
  </si>
  <si>
    <t>Though John Wesley originally wanted the Methodists to stay within the Church of England, the American Revolution decisively separated the Methodists in the American colonies from the life and sacraments of the Anglican Church. In 1784, after unsuccessful attempts to have the Church of England send a bishop to start a new church in the colonies, Wesley decisively appointed fellow priest Thomas Coke as superintendent (bishop) to organize a separate Methodist Society. Together with Coke, Wesley sent a revision of the Anglican Prayerbook and the Articles of Religion which were received and adopted by the Baltimore Christmas Conference of 1784, officially establishing the Methodist Episcopal Church. The conference was held at the Lovely Lane Methodist Church, considered the Mother Church of American Methodism.</t>
  </si>
  <si>
    <t>Who is the museum named for?</t>
  </si>
  <si>
    <t>What else did the new consitution change?</t>
  </si>
  <si>
    <t>Sanctifying Grace is that grace of God which sustains the believers in the journey toward Christian Perfection: a genuine love of God with heart, soul, mind, and strength, and a genuine love of our neighbors as ourselves. Sanctifying grace enables us to respond to God by leading a Spirit-filled and Christ-like life aimed toward love. Wesley never claimed this state of perfection for himself but instead insisted the attainment of perfection was possible for all Christians. Here the English Reformer parted company with both Luther and Calvin, who denied that a man would ever reach a state in this life in which he could not fall into sin. Such a man can lose all inclination to evil and can gain perfection in this life.</t>
  </si>
  <si>
    <t>the Compromise of 1850</t>
  </si>
  <si>
    <t>Which seasons is the BBC missing a total of 79 episodes?</t>
  </si>
  <si>
    <t>Members of the genus Dinophysis have a phycobilin-containing chloroplast taken from a cryptophyte. However, the cryptophyte is not an endosymbiont—only the chloroplast seems to have been taken, and the chloroplast has been stripped of its nucleomorph and outermost two membranes, leaving just a two-membraned chloroplast. Cryptophyte chloroplasts require their nucleomorph to maintain themselves, and Dinophysis species grown in cell culture alone cannot survive, so it is possible (but not confirmed) that the Dinophysis chloroplast is a kleptoplast—if so, Dinophysis chloroplasts wear out and Dinophysis species must continually engulf cryptophytes to obtain new chloroplasts to replace the old ones.</t>
  </si>
  <si>
    <t>complete the basic course and one advanced lay servant course,</t>
  </si>
  <si>
    <t>What was Konstantin Mereschkowski's career?</t>
  </si>
  <si>
    <t>The mid 1890s saw the conglomerate General Electric, backed by financier J. P. Morgan, involved in takeover attempts and patent battles with Westinghouse Electric. Although a patent-sharing agreement was signed between the two companies in 1896 Westinghouse was still cash-strapped from the financial warfare. To secure further loans, Westinghouse was forced to revisit Tesla's AC patent, which bankers considered a financial strain on the company (at that point Westinghouse had paid out an estimated $200,000 in licenses and royalties to Tesla, Brown, and Peck). In 1897, Westinghouse explained his financial difficulties to Tesla in stark terms, saying that if things continue the way they were he would no longer be in control of Westinghouse Electric and Tesla would have to "deal with the bankers" to try to collect future royalties. Westinghouse convinced Tesla to release his company from the licensing agreement over Tesla's AC patents in exchange for Westinghouse Electric purchasing the patents for a lump sum payment of $216,000; this provided Westinghouse a break from what, due to alternating current's rapid gain in popularity, had turned out to be an overly generous $2.50 per AC horsepower royalty.</t>
  </si>
  <si>
    <t>feed water</t>
  </si>
  <si>
    <t>he published his findings first</t>
  </si>
  <si>
    <t>convergent boundaries</t>
  </si>
  <si>
    <t>School desegregation in the United States led to an increased number of students of what ethnicity in public schools?</t>
  </si>
  <si>
    <t>Where did the genoese traders bring the plague?</t>
  </si>
  <si>
    <t>Muslim Iberia</t>
  </si>
  <si>
    <t>more than 20 million years ago</t>
  </si>
  <si>
    <t>What happens to the working fluid in a closed loop system?</t>
  </si>
  <si>
    <t>Shia terrorist groups</t>
  </si>
  <si>
    <t>When did Hulu begin offering ABC's programs for streaming?</t>
  </si>
  <si>
    <t>The show is a significant part of British popular culture, and elsewhere it has become a cult television favourite. The show has influenced generations of British television professionals, many of whom grew up watching the series. The programme originally ran from 1963 to 1989. There was an unsuccessful attempt to revive regular production in 1996 with a backdoor pilot, in the form of a television film. The programme was relaunched in 2005 by Russell T Davies, who was showrunner and head writer for the first five years of its revival, produced in-house by BBC Wales in Cardiff. The first series of the 21st century featured Christopher Eccleston in the title role and was produced by the BBC. Doctor Who also spawned spin-offs in multiple media, including Torchwood (2006–2011) and The Sarah Jane Adventures (2007–2011), both created by Russell T Davies; K-9 (2009–2010); and a single pilot episode of K-9 and Company (1981). There also have been many spoofs and cultural references to the character in other media.</t>
  </si>
  <si>
    <t>What is an abbreviation for the Church of Jesus Christ of Latter-day Saints?</t>
  </si>
  <si>
    <t>efforts to fortify Oswego were bogged down in logistical difficulties, exacerbated by Shirley's inexperience</t>
  </si>
  <si>
    <t>All of the forces in the universe are based on four fundamental interactions. The strong and weak forces are nuclear forces that act only at very short distances, and are responsible for the interactions between subatomic particles, including nucleons and compound nuclei. The electromagnetic force acts between electric charges, and the gravitational force acts between masses. All other forces in nature derive from these four fundamental interactions. For example, friction is a manifestation of the electromagnetic force acting between the atoms of two surfaces, and the Pauli exclusion principle, which does not permit atoms to pass through each other. Similarly, the forces in springs, modeled by Hooke's law, are the result of electromagnetic forces and the Exclusion Principle acting together to return an object to its equilibrium position. Centrifugal forces are acceleration forces that arise simply from the acceleration of rotating frames of reference.:12-11:359</t>
  </si>
  <si>
    <t>Complexity classes are generally classified into what?</t>
  </si>
  <si>
    <t>Who was Thomas Commerford Martin?</t>
  </si>
  <si>
    <t>Warner Center is located in which area?</t>
  </si>
  <si>
    <t>Who can be in the Victorian cabinet?</t>
  </si>
  <si>
    <t>proportionally to the number of votes received</t>
  </si>
  <si>
    <t>Stock</t>
  </si>
  <si>
    <t>English university model</t>
  </si>
  <si>
    <t>No, that's no good</t>
  </si>
  <si>
    <t>Thomas de Maiziere serves what role in the German cabinet?</t>
  </si>
  <si>
    <t>entire length</t>
  </si>
  <si>
    <t>Harvard has purchased tracts of land in Allston, a walk across the Charles River from Cambridge, with the intent of major expansion southward. The university now owns approximately fifty percent more land in Allston than in Cambridge. Proposals to connect the Cambridge campus with the new Allston campus include new and enlarged bridges, a shuttle service and/or a tram. Plans also call for sinking part of Storrow Drive (at Harvard's expense) for replacement with park land and pedestrian access to the Charles River, as well as the construction of bike paths, and buildings throughout the Allston campus. The institution asserts that such expansion will benefit not only the school, but surrounding community, pointing to such features as the enhanced transit infrastructure, possible shuttles open to the public, and park space which will also be publicly accessible.</t>
  </si>
  <si>
    <t>lawyer</t>
  </si>
  <si>
    <t>shocked by the reminder of his part in the stock market crash and by Tesla's breach of contract</t>
  </si>
  <si>
    <t>How did Luther express the destruction?</t>
  </si>
  <si>
    <t>When did DFDS terminate its services to Norway?</t>
  </si>
  <si>
    <t>Where is the oldest pharmacy stated to be located?</t>
  </si>
  <si>
    <t>Royal assent: After the bill has been passed, the Presiding Officer submits it to the Monarch for royal assent and it becomes an Act of the Scottish Parliament. However he cannot do so until a 4-week period has elapsed, during which the Law Officers of the Scottish Government or UK Government can refer the bill to the Supreme Court of the United Kingdom for a ruling on whether it is within the powers of the Parliament. Acts of the Scottish Parliament do not begin with a conventional enacting formula. Instead they begin with a phrase that reads: "The Bill for this Act of the Scottish Parliament was passed by the Parliament on [Date] and received royal assent on [Date]".</t>
  </si>
  <si>
    <t>between the modern Baden and Württemberg</t>
  </si>
  <si>
    <t>When was the wedding banquet celebrated?</t>
  </si>
  <si>
    <t>structural collapse, cost overruns, and/or litigation</t>
  </si>
  <si>
    <t>Which Ancient Roman monument is replicated in full-scale in the Cast Courts?</t>
  </si>
  <si>
    <t>excitement</t>
  </si>
  <si>
    <t>Judicial Council</t>
  </si>
  <si>
    <t>migration and urbanisation</t>
  </si>
  <si>
    <t>Under what instances can individuals rely on primary law in the Court of Justice of European Union?</t>
  </si>
  <si>
    <t>sell prescription drugs and require a valid prescription</t>
  </si>
  <si>
    <t>Excellent job opportunities</t>
  </si>
  <si>
    <t>Where did many Spanish Catholic move after British takeover in Florida?</t>
  </si>
  <si>
    <t>the Parliamentary Bureau</t>
  </si>
  <si>
    <t>How many men were in Robert's army?</t>
  </si>
  <si>
    <t>Crew members</t>
  </si>
  <si>
    <t>Transcendentalist Unitarian</t>
  </si>
  <si>
    <t>self-starting</t>
  </si>
  <si>
    <t>What is the former name of the V&amp;A Theatre &amp; Performance galleries?</t>
  </si>
  <si>
    <t>What is used by certain wealthy groups to obtain policies financially beneficial for them?</t>
  </si>
  <si>
    <t>When was the drainage basin of the Amazon believed to have split in the middle of South America?</t>
  </si>
  <si>
    <t>Kent, particularly Sandwich, Faversham and Maidstone</t>
  </si>
  <si>
    <t>What kind of rail system is Metro Trains Melbourne?</t>
  </si>
  <si>
    <t>During this time, the discovery of oil in the North Sea and the following "It's Scotland's oil" campaign of the Scottish National Party (SNP) resulted in rising support for Scottish independence, as well as the SNP. The party argued that the revenues from the oil were not benefitting Scotland as much as they should. The combined effect of these events led to Prime Minister Wilson committing his government to some form of devolved legislature in 1974. However, it was not until 1978 that final legislative proposals for a Scottish Assembly were passed by the United Kingdom Parliament.</t>
  </si>
  <si>
    <t>evidence of impact process effects</t>
  </si>
  <si>
    <t>people to pursue their life goals in any country through free movement</t>
  </si>
  <si>
    <t>How are cyanobacteria sometimes wrongly described?</t>
  </si>
  <si>
    <t>What was another possible reason that Tesla and Edison did not get the award?.</t>
  </si>
  <si>
    <t>a better understanding of the Mau Mau command structure</t>
  </si>
  <si>
    <t>What type of Turing machine can be characterized by checking multiple possibilities at the same time?</t>
  </si>
  <si>
    <t>Qara Khitai, Caucasus, Khwarezmid Empire, Western Xia and Jin dynasties</t>
  </si>
  <si>
    <t>What part of chloroplasts isn't similar to mitochondria?</t>
  </si>
  <si>
    <t>the ultimate authority of member states, its factual commitment to human rights, and the democratic will of the people.</t>
  </si>
  <si>
    <t>uncivilized people</t>
  </si>
  <si>
    <t>The Calvin cycle starts by using the enzyme Rubisco to fix CO2 into five-carbon Ribulose bisphosphate (RuBP) molecules. The result is unstable six-carbon molecules that immediately break down into three-carbon molecules called 3-phosphoglyceric acid, or 3-PGA. The ATP and NADPH made in the light reactions is used to convert the 3-PGA into glyceraldehyde-3-phosphate, or G3P sugar molecules. Most of the G3P molecules are recycled back into RuBP using energy from more ATP, but one out of every six produced leaves the cycle—the end product of the dark reactions.</t>
  </si>
  <si>
    <t>powerful high frequency currents</t>
  </si>
  <si>
    <t>1.3 million</t>
  </si>
  <si>
    <t>What was the containment failure rate in a tobacco plant study using plastid transformation?</t>
  </si>
  <si>
    <t>How are forces classified with regard to push and pull strengt?</t>
  </si>
  <si>
    <t>What was the goal of Braddock's expedition?</t>
  </si>
  <si>
    <t>A decision made by what entity restored Tesla's patents?</t>
  </si>
  <si>
    <t>atmospheric engine</t>
  </si>
  <si>
    <t>What is an apicoplast?</t>
  </si>
  <si>
    <t>Martin Luther was born to Hans Luder (or Ludher, later Luther) and his wife Margarethe (née Lindemann) on 10 November 1483 in Eisleben, Saxony, then part of the Holy Roman Empire. He was baptized as a Catholic the next morning on the feast day of St. Martin of Tours. His family moved to Mansfeld in 1484, where his father was a leaseholder of copper mines and smelters and served as one of four citizen representatives on the local council. The religious scholar Martin Marty describes Luther's mother as a hard-working woman of "trading-class stock and middling means" and notes that Luther's enemies later wrongly described her as a whore and bath attendant. He had several brothers and sisters, and is known to have been close to one of them, Jacob. Hans Luther was ambitious for himself and his family, and he was determined to see Martin, his eldest son, become a lawyer. He sent Martin to Latin schools in Mansfeld, then Magdeburg in 1497, where he attended a school operated by a lay group called the Brethren of the Common Life, and Eisenach in 1498. The three schools focused on the so-called "trivium": grammar, rhetoric, and logic. Luther later compared his education there to purgatory and hell.</t>
  </si>
  <si>
    <t>city hall</t>
  </si>
  <si>
    <t>peat swamps or small ponds</t>
  </si>
  <si>
    <t>achievement-oriented</t>
  </si>
  <si>
    <t>How much of the global wealth will the wealthiest 1 percent own by 2016?</t>
  </si>
  <si>
    <t>knowledgeable</t>
  </si>
  <si>
    <t>referendum in France and the referendum in the Netherlands</t>
  </si>
  <si>
    <t>What did ITV increase their yearly offer for control of the rights to broadcast the Primer League to?</t>
  </si>
  <si>
    <t>After Apollo missions 18 and 19 were cancelled, what happened to the Saturn Vs that were never used?</t>
  </si>
  <si>
    <t>was more active and lived longer</t>
  </si>
  <si>
    <t>In what country was a full-scale working railway steam locomotive first invented?</t>
  </si>
  <si>
    <t>Somerset House</t>
  </si>
  <si>
    <t>a thylakoid</t>
  </si>
  <si>
    <t>What programs are broadcast from the Times Square Studios for ABC?</t>
  </si>
  <si>
    <t>Brownlee argues that sometimes people behave in what way to have their issue heard?</t>
  </si>
  <si>
    <t>Bible translation</t>
  </si>
  <si>
    <t>What were the cultural origins of the engineers and technology adopted by the Mongol military?</t>
  </si>
  <si>
    <t>the third étude</t>
  </si>
  <si>
    <t>What equation currently decribes the physics of force.</t>
  </si>
  <si>
    <t>There have been subsequent claims by Tesla biographers that Edison and Tesla were the original recipients and that neither was given the award because of their animosity toward each other; that each sought to minimize the other's achievements and right to win the award; that both refused ever to accept the award if the other received it first; that both rejected any possibility of sharing it; and even that a wealthy Edison refused it to keep Tesla from getting the $20,000 prize money.:245</t>
  </si>
  <si>
    <t>Before dinner what were Tesla's working hours?</t>
  </si>
  <si>
    <t>On December 7, 1965, Goldenson announced a merger proposal with ITT to ABC management; the two companies agreed to the deal on April 27, 1966. The FCC approved the merger on December 21, 1966; however, the previous day (December 20), Donald F. Turner, head antitrust regulator for the United States Department of Justice, expressed doubts related to such issues as the emerging cable television market, and concerns over the journalistic integrity of ABC and how it could be influenced by the overseas ownership of ITT. ITT management promised that the company would allow ABC to retain autonomy in the publishing business. The merger was suspended, and a complaint was filed by the Department of Justice in July 1967, with ITT going to trial in October 1967; the merger was officially canceled after the trial's conclusion on January 1, 1968.</t>
  </si>
  <si>
    <t>On 15 June 1520, the Pope warned Luther with the papal bull (edict) Exsurge Domine that he risked excommunication unless he recanted 41 sentences drawn from his writings, including the 95 Theses, within 60 days. That autumn, Johann Eck proclaimed the bull in Meissen and other towns. Karl von Miltitz, a papal nuncio, attempted to broker a solution, but Luther, who had sent the Pope a copy of On the Freedom of a Christian in October, publicly set fire to the bull and decretals at Wittenberg on 10 December 1520, an act he defended in Why the Pope and his Recent Book are Burned and Assertions Concerning All Articles. As a consequence, Luther was excommunicated by Pope Leo X on 3 January 1521, in the bull Decet Romanum Pontificem.</t>
  </si>
  <si>
    <t>The Yuan dynasty was the first time that non-native Chinese people ruled all of China. In the historiography of Mongolia, it is generally considered to be the continuation of the Mongol Empire. Mongols are widely known to worship the Eternal Heaven, and according to the traditional Mongolian ideology Yuan is considered to be "the beginning of an infinite number of beings, the foundation of peace and happiness, state power, the dream of many peoples, besides it there is nothing great or precious." In traditional historiography of China, on the other hand, the Yuan dynasty is usually considered to be the legitimate dynasty between the Song dynasty and the Ming dynasty. Note, however, Yuan dynasty is traditionally often extended to cover the Mongol Empire before Kublai Khan's formal establishment of the Yuan in 1271, partly because Kublai had his grandfather Genghis Khan placed on the official record as the founder of the dynasty or Taizu (Chinese: 太祖). Despite the traditional historiography as well as the official views (including the government of the Ming dynasty which overthrew the Yuan dynasty), there also exist Chinese people[who?] who did not consider the Yuan dynasty as a legitimate dynasty of China, but rather as a period of foreign domination. The latter believe that Han Chinese were treated as second-class citizens,[citation needed] and that China stagnated economically and scientifically.</t>
  </si>
  <si>
    <t>What is incorrectly thought about the outer chloroplast membrane?</t>
  </si>
  <si>
    <t>What was the Presidential Working Party on the Second University commissioned to do?</t>
  </si>
  <si>
    <t>What type of committee is set down under the SP's standing orders?</t>
  </si>
  <si>
    <t>highest terrace</t>
  </si>
  <si>
    <t>Ancient Egypt</t>
  </si>
  <si>
    <t>What does the Zachęta National Gallery of Art organize exhibitions of art from?</t>
  </si>
  <si>
    <t>When did Warsaw start to rebuild?</t>
  </si>
  <si>
    <t>What device was one of the first to aid a controversy?</t>
  </si>
  <si>
    <t>field trips</t>
  </si>
  <si>
    <t>its central location</t>
  </si>
  <si>
    <t>to complete the construction of Wardenclyffe.</t>
  </si>
  <si>
    <t>The negotiations were successfully concluded on 17 February 1546. After 8 a.m., he experienced chest pains. When he went to his bed, he prayed, "Into your hand I commit my spirit; you have redeemed me, O Lord, faithful God" (Ps. 31:5), the common prayer of the dying. At 1 a.m. he awoke with more chest pain and was warmed with hot towels. He thanked God for revealing his Son to him in whom he had believed. His companions, Justus Jonas and Michael Coelius, shouted loudly, "Reverend father, are you ready to die trusting in your Lord Jesus Christ and to confess the doctrine which you have taught in his name?" A distinct "Yes" was Luther's reply.</t>
  </si>
  <si>
    <t>Ranging from about 1 millimeter (0.039 in) to 1.5 meters (4.9 ft) in size, ctenophores are the largest non-colonial animals that use cilia ("hairs") as their main method of locomotion. Most species have eight strips, called comb rows, that run the length of their bodies and bear comb-like bands of cilia, called "ctenes," stacked along the comb rows so that when the cilia beat, those of each comb touch the comb below. The name "ctenophora" means "comb-bearing", from the Greek κτείς (stem-form κτεν-) meaning "comb" and the Greek suffix -φορος meaning "carrying".</t>
  </si>
  <si>
    <t>the army and the populace</t>
  </si>
  <si>
    <t>By what method did Maududi want to change the hearts and minds of individuals?</t>
  </si>
  <si>
    <t>U.S. South</t>
  </si>
  <si>
    <t>legend</t>
  </si>
  <si>
    <t>social welfare</t>
  </si>
  <si>
    <t>Warsaw University of Technology building</t>
  </si>
  <si>
    <t>Fresno Normal School</t>
  </si>
  <si>
    <t>in 1972 (though Norway did not end up joining)</t>
  </si>
  <si>
    <t>The graph isomorphism problem is the computational problem of determining whether two finite graphs are isomorphic. An important unsolved problem in complexity theory is whether the graph isomorphism problem is in P, NP-complete, or NP-intermediate. The answer is not known, but it is believed that the problem is at least not NP-complete. If graph isomorphism is NP-complete, the polynomial time hierarchy collapses to its second level. Since it is widely believed that the polynomial hierarchy does not collapse to any finite level, it is believed that graph isomorphism is not NP-complete. The best algorithm for this problem, due to Laszlo Babai and Eugene Luks has run time 2O(√(n log(n))) for graphs with n vertices.</t>
  </si>
  <si>
    <t>Magnetic stratigraphers</t>
  </si>
  <si>
    <t>the set of triples (a, b, c) such that the relation a × b = c holds</t>
  </si>
  <si>
    <t>How much of the lake connecting with the Rhine can you see from the German islands?</t>
  </si>
  <si>
    <t>17 February 1546</t>
  </si>
  <si>
    <t>electromagnetic theory</t>
  </si>
  <si>
    <t>they have two cell membranes.</t>
  </si>
  <si>
    <t>The basic unit of territorial division in Poland is a commune (gmina). A city is also a commune – but with the city charter. Both cities and communes are governed by a mayor – but in the communes the mayor is vogt (wójt in Polish), however in the cities – burmistrz. Some bigger cities obtain the entitlements, i.e. tasks and privileges, which are possessed by the units of the second level of the territorial division – counties or powiats. An example of such entitlement is a car registration: a gmina cannot register cars, this is a powiat's task (i.e. a registration number depends on what powiat a car had been registered, not gmina). In this case we say about city county or powiat grodzki. Such cities are for example Lublin, Kraków, Gdańsk, Poznań. In Warsaw, its districts additionally have some of powiat's entitlements – like already mentioned car registration. For example, the district Wola has its own evidence and the district Ursynów – its own (and the cars from Wola have another type of registration number than these from Ursynów). But for instance the districts in Kraków do not have entitlements of powiat, so the registration numbers in Kraków are of the same type for all districts.</t>
  </si>
  <si>
    <t>a dam turbine</t>
  </si>
  <si>
    <t>A procedural consequence of the establishment of the Scottish Parliament is that Scottish MPs sitting in the UK House of Commons are able to vote on domestic legislation that applies only to England, Wales and Northern Ireland – whilst English, Scottish, Welsh and Northern Irish Westminster MPs are unable to vote on the domestic legislation of the Scottish Parliament. This phenomenon is known as the West Lothian question and has led to criticism. Following the Conservative victory in the 2015 UK election, standing orders of the House of Commons were changed to give MPs representing English constituencies a new "veto" over laws only affecting England.</t>
  </si>
  <si>
    <t>What is the lowest recorded temperature in Victoria?</t>
  </si>
  <si>
    <t>on the city's waterfront</t>
  </si>
  <si>
    <t>What did Tesla work on in 1888?</t>
  </si>
  <si>
    <t>cricket, rallying, football, rugby union and boxing</t>
  </si>
  <si>
    <t>Where did British settlers live?</t>
  </si>
  <si>
    <t>How did Der Sturmer describe Luther's On the Jews and their Lies</t>
  </si>
  <si>
    <t>All clergy appointments a</t>
  </si>
  <si>
    <t>By the opening of the 2008 General Conference, what was the total UMC membership in the U.S.?</t>
  </si>
  <si>
    <t>southern China</t>
  </si>
  <si>
    <t>100 billion dollars</t>
  </si>
  <si>
    <t>Melatonin during sleep can actively counteract the production of what?</t>
  </si>
  <si>
    <t>What is the derivative of an object's changing momentum called?</t>
  </si>
  <si>
    <t>Almost all ctenophores are predators, taking prey ranging from microscopic larvae and rotifers to the adults of small crustaceans; the exceptions are juveniles of two species, which live as parasites on the salps on which adults of their species feed. In favorable circumstances, ctenophores can eat ten times their own weight in a day. Only 100–150 species have been validated, and possibly another 25 have not been fully described and named. The textbook examples are cydippids with egg-shaped bodies and a pair of retractable tentacles fringed with tentilla ("little tentacles") that are covered with colloblasts, sticky cells that capture prey. The phylum has a wide range of body forms, including the flattened, deep-sea platyctenids, in which the adults of most species lack combs, and the coastal beroids, which lack tentacles and prey on other ctenophores by using huge mouths armed with groups of large, stiffened cilia that act as teeth. These variations enable different species to build huge populations in the same area, because they specialize in different types of prey, which they capture by as wide a range of methods as spiders use.</t>
  </si>
  <si>
    <t>Class II MHC</t>
  </si>
  <si>
    <t>increased patient health outcomes and decreased costs</t>
  </si>
  <si>
    <t>threat of war</t>
  </si>
  <si>
    <t>Matter particles are shown as what kind of lines in a Feynman diagram?</t>
  </si>
  <si>
    <t>at four</t>
  </si>
  <si>
    <t>unfermented grape juice</t>
  </si>
  <si>
    <t>What South African industry descended from Huguenot settlers?</t>
  </si>
  <si>
    <t>The stress tensor</t>
  </si>
  <si>
    <t>What do green chloroplasts have instead of phycobilisomes?</t>
  </si>
  <si>
    <t>among states in the US with larger income inequalities</t>
  </si>
  <si>
    <t>addresses</t>
  </si>
  <si>
    <t>Who fought in the French and Indian war?</t>
  </si>
  <si>
    <t xml:space="preserve">X.25 uses what type network type </t>
  </si>
  <si>
    <t>Monarch</t>
  </si>
  <si>
    <t>What weapons were the Zulus using during the Anglo-Zulu War of 1879?</t>
  </si>
  <si>
    <t>Several French paintings entered the collection as part of the 260 paintings and miniatures (not all the works were French, for example Carlo Crivelli's Virgin and Child) that formed part of the Jones bequest of 1882 and as such are displayed in the galleries of continental art 1600–1800, including the portrait of François, Duc d'Alençon by François Clouet, Gaspard Dughet and works by François Boucher including his portrait of Madame de Pompadour dated 1758, Jean François de Troy, Jean-Baptiste Pater and their contemporaries.</t>
  </si>
  <si>
    <t>After Malaysia's independence in 1957, the government instructed all schools to surrender their properties and be assimilated into the National School system. This caused an uproar among the Chinese and a compromise was achieved in that the schools would instead become "National Type" schools. Under such a system, the government is only in charge of the school curriculum and teaching personnel while the lands still belonged to the schools. While Chinese primary schools were allowed to retain Chinese as the medium of instruction, Chinese secondary schools are required to change into English-medium schools. Over 60 schools converted to become National Type schools.</t>
  </si>
  <si>
    <t>The IPCC process on climate change and its efficiency and success has been compared with dealings with other environmental challenges (compare Ozone depletion and global warming). In case of the Ozone depletion global regulation based on the Montreal Protocol has been successful, in case of Climate Change, the Kyoto Protocol failed. The Ozone case was used to assess the efficiency of the IPCC process. The lockstep situation of the IPCC is having built a broad science consensus while states and governments still follow different, if not opposing goals. The underlying linear model of policy-making of more knowledge we have, the better the political response will be is being doubted.</t>
  </si>
  <si>
    <t>20% to 25%</t>
  </si>
  <si>
    <t>What can the exhaust steam not fully do when the exhaust event is insufficiently long?</t>
  </si>
  <si>
    <t>The catechism is one of Luther's most personal works. "Regarding the plan to collect my writings in volumes," he wrote, "I am quite cool and not at all eager about it because, roused by a Saturnian hunger, I would rather see them all devoured. For I acknowledge none of them to be really a book of mine, except perhaps the Bondage of the Will and the Catechism." The Small Catechism has earned a reputation as a model of clear religious teaching. It remains in use today, along with Luther's hymns and his translation of the Bible.</t>
  </si>
  <si>
    <t>construction of Delta Works</t>
  </si>
  <si>
    <t>on the web</t>
  </si>
  <si>
    <t>The presence of who is highly likely even in small projects?</t>
  </si>
  <si>
    <t>There are infinitely many primes, as demonstrated by Euclid around 300 BC. There is no known simple formula that separates prime numbers from composite numbers. However, the distribution of primes, that is to say, the statistical behaviour of primes in the large, can be modelled. The first result in that direction is the prime number theorem, proven at the end of the 19th century, which says that the probability that a given, randomly chosen number n is prime is inversely proportional to its number of digits, or to the logarithm of n.</t>
  </si>
  <si>
    <t>What entity enforces the Charter of Fundamental Rights of the European Union?</t>
  </si>
  <si>
    <t>Who was Tesla prejudiced against?</t>
  </si>
  <si>
    <t>"design build" contract</t>
  </si>
  <si>
    <t>Internet2 officially retired Abilene and now refers to its new, higher capacity network as the Internet2 Network</t>
  </si>
  <si>
    <t>When did Setanta Sports say it would launch as a subscription service?</t>
  </si>
  <si>
    <t>What was Joseph Haas arrested for?</t>
  </si>
  <si>
    <t>internal fertilization and keep the eggs in brood chambers until they hatch.</t>
  </si>
  <si>
    <t>teaching</t>
  </si>
  <si>
    <t>What is the longest time that a teaching certificate is good for?</t>
  </si>
  <si>
    <t>From what Bible book did the crew of Apollo 8 read from during this stream of images?</t>
  </si>
  <si>
    <t>high school</t>
  </si>
  <si>
    <t>Who is in control of legislative power?</t>
  </si>
  <si>
    <t>The outcome was one of the most significant developments in a century of Anglo-French conflict. France ceded its territory east of the Mississippi to Great Britain. It ceded French Louisiana west of the Mississippi River (including New Orleans) to its ally Spain, in compensation for Spain's loss to Britain of Florida (Spain had ceded this to Britain in exchange for the return of Havana, Cuba). France's colonial presence north of the Caribbean was reduced to the islands of Saint Pierre and Miquelon, confirming Britain's position as the dominant colonial power in eastern North America.</t>
  </si>
  <si>
    <t>forced Tesla out leaving him penniless</t>
  </si>
  <si>
    <t>Fulton Street in Downtown Fresno was Fresno's main financial and commercial district before being converted into one of the nation's first pedestrian malls in 1964. Renamed the Fulton Mall, the area contains the densest collection of historic buildings in Fresno. While the Fulton Mall corridor has suffered a sharp decline from its heyday, the Mall includes some of the finest public art pieces in the country, including the only Pierre-Auguste Renoir piece in the world that one can walk up to and touch. Current plans call for the reopening of the Fulton Mall to automobile traffic. The public art pieces will be restored and placed near their current locations and will feature wide sidewalks (up to 28' on the east side of the street) to continue with the pedestrian friendly environment of the district.</t>
  </si>
  <si>
    <t>The first item of business on Wednesdays is usually Time for Reflection, at which a speaker addresses members for up to four minutes, sharing a perspective on issues of faith. This contrasts with the formal style of "Prayers", which is the first item of business in meetings of the House of Commons. Speakers are drawn from across Scotland and are chosen to represent the balance of religious beliefs according to the Scottish census. Invitations to address Parliament in this manner are determined by the Presiding Officer on the advice of the parliamentary bureau. Faith groups can make direct representations to the Presiding Officer to nominate speakers.</t>
  </si>
  <si>
    <t>skin damage</t>
  </si>
  <si>
    <t>world revolution</t>
  </si>
  <si>
    <t>killed many of the Canadians, including their commanding officer, Joseph Coulon de Jumonville</t>
  </si>
  <si>
    <t>Major roads in the area include the A1 (Gateshead Newcastle Western Bypass), stretching north to Edinburgh and south to London; the A19 heading south past Sunderland and Middlesbrough to York and Doncaster; the A69 heading west to Carlisle; the A696, which becomes the A68 heads past Newcastle Airport and up through central Northumberland and central Scottish Borders, the A167, the old "Great North Road", heading south to Gateshead, Chester-le-Street, Durham and Darlington; and the A1058 "Coast Road", which runs from Jesmond to the east coast between Tynemouth and Cullercoats. Many of these designations are recent—upon completion of the Western Bypass, and its designation as the new line of the A1, the roads between this and the A1's former alignment through the Tyne Tunnel were renumbered, with many city centre roads changing from a 6-prefix to their present 1-prefix numbers. In November 2011 the capacity of the Tyne Tunnel was increased when a project to build a second road tunnel and refurbish the first tunnel was completed.</t>
  </si>
  <si>
    <t>not a unit and cannot be written as a product of two ring elements that are not units.</t>
  </si>
  <si>
    <t>The redesigned central garden opened in 2005 with what new moniker?</t>
  </si>
  <si>
    <t>What eventually happened to the Block I program after the incident?</t>
  </si>
  <si>
    <t>a Noetherian commutative ring</t>
  </si>
  <si>
    <t>musical</t>
  </si>
  <si>
    <t>What is the alpine valley that the Rhine flows through?</t>
  </si>
  <si>
    <t>The show has received recognition as one of Britain's finest television programmes, winning the 2006 British Academy Television Award for Best Drama Series and five consecutive (2005–2010) awards at the National Television Awards during Russell T Davies' tenure as executive producer. In 2011, Matt Smith became the first Doctor to be nominated for a BAFTA Television Award for Best Actor and in 2016, Michelle Gomez became the first female to receive a BAFTA nomination for the series, getting a Best Supporting Actress nomination for her work as Missy.</t>
  </si>
  <si>
    <t>Along with private individuals and organizations, what groups sometimes runs ergänzungsschulen?</t>
  </si>
  <si>
    <t>construction manager, design engineer, construction engineer or project manager</t>
  </si>
  <si>
    <t>the thorough analysis of all medication (prescription, non-prescription, and herbals) currently being taken by an individual</t>
  </si>
  <si>
    <t>What type of hypersensitivity is associated with allergies?</t>
  </si>
  <si>
    <t>until after the end of the Mexican War</t>
  </si>
  <si>
    <t>Who did internet2 partner with</t>
  </si>
  <si>
    <t>The official record high temperature for Fresno is 115 °F (46.1 °C), set on July 8, 1905, while the official record low is 17 °F (−8 °C), set on January 6, 1913. The average windows for 100 °F (37.8 °C)+, 90 °F (32.2 °C)+, and freezing temperatures are June 1 thru September 13, April 26 thru October 9, and December 10 thru January 28, respectively, and no freeze occurred between in the 1983/1984 season. Annual rainfall has ranged from 23.57 inches (598.7 mm) in the “rain year” from July 1982 to June 1983 down to 4.43 inches (112.5 mm) from July 1933 to June 1934. The most rainfall in one month was 9.54 inches (242.3 mm) in November 1885 and the most rainfall in 24 hours 3.55 inches (90.2 mm) on November 18, 1885. Measurable precipitation falls on an average of 48 days annually. Snow is a rarity; the heaviest snowfall at the airport was 2.2 inches (0.06 m) on January 21, 1962.</t>
  </si>
  <si>
    <t>"the comprehensive institutions of the Great Yuan"</t>
  </si>
  <si>
    <t>Which problem consists of both  inflationary and deflationary impacts?</t>
  </si>
  <si>
    <t>John the Steadfast,</t>
  </si>
  <si>
    <t>What did Iqbal's Allahabad address inspire?</t>
  </si>
  <si>
    <t>Tesla later approached Morgan to ask for more funds to build a more powerful transmitter. When asked where all the money had gone, Tesla responded by saying that he was affected by the Panic of 1901, which he (Morgan) had caused. Morgan was shocked by the reminder of his part in the stock market crash and by Tesla's breach of contract by asking for more funds. Tesla wrote another plea to Morgan, but it was also fruitless. Morgan still owed Tesla money on the original agreement, and Tesla had been facing foreclosure even before construction of the tower began.</t>
  </si>
  <si>
    <t>Turkey,</t>
  </si>
  <si>
    <t>prophecy</t>
  </si>
  <si>
    <t>high-speed interconnection</t>
  </si>
  <si>
    <t>What substance is used to make high quality liquid O2?</t>
  </si>
  <si>
    <t>How did Luther describe the University of Erfurt?</t>
  </si>
  <si>
    <t>What are two anti-inflammatory molecules that peak during awake hours?</t>
  </si>
  <si>
    <t>they produce secretions (ink) that luminesce at much the same wavelengths as their bodies</t>
  </si>
  <si>
    <t>2 million</t>
  </si>
  <si>
    <t>less workers are required</t>
  </si>
  <si>
    <t>passive</t>
  </si>
  <si>
    <t>Who were responsible for the interior decorations of the Green Dining Room?</t>
  </si>
  <si>
    <t>was a form of anthrax</t>
  </si>
  <si>
    <t>Between which two streets along Kearney Boulevard were wealthy African-Americans at one time residing?</t>
  </si>
  <si>
    <t>former monastery,</t>
  </si>
  <si>
    <t>natural grass</t>
  </si>
  <si>
    <t>diatom (heterokontophyte) derived</t>
  </si>
  <si>
    <t>payload capacity</t>
  </si>
  <si>
    <t>branched, linear, or other complex structures</t>
  </si>
  <si>
    <t>Immunodeficiencies</t>
  </si>
  <si>
    <t>Gaussian integers</t>
  </si>
  <si>
    <t>What are the three primary expressions used to represent case complexity?</t>
  </si>
  <si>
    <t>Where does Kenya rang on the CPI scale?</t>
  </si>
  <si>
    <t>a change of heart</t>
  </si>
  <si>
    <t>chronically understaffed</t>
  </si>
  <si>
    <t>French Louisiana west of the Mississippi River (including New Orleans) to its ally Spain</t>
  </si>
  <si>
    <t>What did water that flowed towards the Pacific have to flow across during the mid-Eocene?</t>
  </si>
  <si>
    <t>What is the main executive body of the EU?</t>
  </si>
  <si>
    <t>What level of economic mobility does the U.S. economy have compared to European countries?</t>
  </si>
  <si>
    <t>occupational stress</t>
  </si>
  <si>
    <t>women</t>
  </si>
  <si>
    <t>killed in a horse-riding accident</t>
  </si>
  <si>
    <t>southeast of the garden</t>
  </si>
  <si>
    <t>quantitative statements</t>
  </si>
  <si>
    <t>conduct photosynthesis</t>
  </si>
  <si>
    <t>When rich countries trade with poor countries, whose wages increase?</t>
  </si>
  <si>
    <t>their main method of locomotion</t>
  </si>
  <si>
    <t>the election of the UK Labour Party to government in 1997</t>
  </si>
  <si>
    <t>medieval religious orders</t>
  </si>
  <si>
    <t>Warsaw</t>
  </si>
  <si>
    <t>In addition, the United Methodist Church prohibits the celebration of same-sex unions. Rev. Jimmy Creech was defrocked after a highly publicized church trial in 1999 on account of his participation in same-sex union ceremonies. It forbids any United Methodist board, agency, committee, commission, or council to give United Methodist funds to any gay organization or group, or otherwise use such funds to promote the acceptance of homosexuality. Other ministers have been defrocked for officiating at same-sex weddings and several trials of others are scheduled. Still, some congregations have sought other ways to recognize same-sex couples. For example, one congregation hosted a proposal for a same-sex couple announcing their engagement. Moreover, some churches, especially in 2016 after same-sex marriage was legalized nationwide, have provided blessings for same-sex marriages. In April of 2016, a United Methodist bishop made a bold statement by performing a same-sex marriage in church as a clear sign of his advocacy for change.</t>
  </si>
  <si>
    <t>electric lamps wirelessly</t>
  </si>
  <si>
    <t>wages and profits</t>
  </si>
  <si>
    <t>"deficiencies existed in Command Module design, workmanship and quality control."</t>
  </si>
  <si>
    <t>monthly fee</t>
  </si>
  <si>
    <t>What prestigious legal scholars are faculty members at Harvard?</t>
  </si>
  <si>
    <t>The integer factorization problem is the computational problem of determining the prime factorization of a given integer. Phrased as a decision problem, it is the problem of deciding whether the input has a factor less than k. No efficient integer factorization algorithm is known, and this fact forms the basis of several modern cryptographic systems, such as the RSA algorithm. The integer factorization problem is in NP and in co-NP (and even in UP and co-UP). If the problem is NP-complete, the polynomial time hierarchy will collapse to its first level (i.e., NP will equal co-NP). The best known algorithm for integer factorization is the general number field sieve, which takes time O(e(64/9)1/3(n.log 2)1/3(log (n.log 2))2/3) to factor an n-bit integer. However, the best known quantum algorithm for this problem, Shor's algorithm, does run in polynomial time. Unfortunately, this fact doesn't say much about where the problem lies with respect to non-quantum complexity classes.</t>
  </si>
  <si>
    <t xml:space="preserve">Debates about civil disobedience include or exclude what major practice? </t>
  </si>
  <si>
    <t>How do the yes/no answers of a complement problem of NP appear?</t>
  </si>
  <si>
    <t>return home</t>
  </si>
  <si>
    <t>20th century</t>
  </si>
  <si>
    <t>outer core and inner core</t>
  </si>
  <si>
    <t>blinding flashes of light</t>
  </si>
  <si>
    <t>Luther's hostile publications towards the Jews</t>
  </si>
  <si>
    <t>sedimentary rocks</t>
  </si>
  <si>
    <t>the Treaty on European Union (TEU) and the Treaty on the Functioning of the European Union (TFEU)</t>
  </si>
  <si>
    <t>an estimated $200,000</t>
  </si>
  <si>
    <t>pyramids of severed heads</t>
  </si>
  <si>
    <t>an attempt to reform the constitutional law of the European Union and make it more transparent</t>
  </si>
  <si>
    <t>the southern and central parts of France</t>
  </si>
  <si>
    <t>Keck and Mithouard</t>
  </si>
  <si>
    <t>the middle period of classical antiquity</t>
  </si>
  <si>
    <t>June and September</t>
  </si>
  <si>
    <t>transport applications</t>
  </si>
  <si>
    <t>Prince Frederick III</t>
  </si>
  <si>
    <t>Border Reiver surnames</t>
  </si>
  <si>
    <t>executed</t>
  </si>
  <si>
    <t>counterprogramming</t>
  </si>
  <si>
    <t>Paleoclimatologists</t>
  </si>
  <si>
    <t>OPEC soon lost its preeminent position, and in 1981, its production was surpassed by that of other countries. Additionally, its own member nations were divided. Saudi Arabia, trying to recover market share, increased production, pushing prices down, shrinking or eliminating profits for high-cost producers. The world price, which had peaked during the 1979 energy crisis at nearly $40 per barrel, decreased during the 1980s to less than $10 per barrel. Adjusted for inflation, oil briefly fell back to pre-1973 levels. This "sale" price was a windfall for oil-importing nations, both developing and developed.</t>
  </si>
  <si>
    <t>participant in the IPCC and coordinating lead author of the Fifth Assessment Report</t>
  </si>
  <si>
    <t>Ming and Qing</t>
  </si>
  <si>
    <t>within the Maria Fold and Thrust Belt</t>
  </si>
  <si>
    <t>What provided an incentive to western empires to colonize Africa?</t>
  </si>
  <si>
    <t>informed Céloron that they owned the Ohio Country and that they would trade with the British</t>
  </si>
  <si>
    <t>returned to Earth.</t>
  </si>
  <si>
    <t>the mother, for whom devastating damage may result from an unacceptable pregnancy</t>
  </si>
  <si>
    <t>The first four Saturn I test flights were launched from LC-34, with only live first stages, carrying dummy upper stages filled with water. The first flight with a live S-IV was launched from LC-37. This was followed by five launches of boilerplate CSMs (designated AS-101 through AS-105) into orbit in 1964 and 1965. The last three of these further supported the Apollo program by also carrying Pegasus satellites, which verified the safety of the translunar environment by measuring the frequency and severity of micrometeorite impacts.</t>
  </si>
  <si>
    <t>In past times, corporal punishment (spanking or paddling or caning or strapping or birching the student in order to cause physical pain) was one of the most common forms of school discipline throughout much of the world. Most Western countries, and some others, have now banned it, but it remains lawful in the United States following a US Supreme Court decision in 1977 which held that paddling did not violate the US Constitution.</t>
  </si>
  <si>
    <t>Browlee also applies that civil disobedience is okay regarding?</t>
  </si>
  <si>
    <t>the science schools</t>
  </si>
  <si>
    <t>black-and-white television</t>
  </si>
  <si>
    <t>A regulation of the Rhine was called for, with an upper canal near Diepoldsau and a lower canal at Fußach, in order to counteract the constant flooding and strong sedimentation in the western Rhine Delta. The Dornbirner Ach had to be diverted, too, and it now flows parallel to the canalized Rhine into the lake. Its water has a darker color than the Rhine; the latter's lighter suspended load comes from higher up the mountains. It is expected that the continuous input of sediment into the lake will silt up the lake. This has already happened to the former Lake Tuggenersee.</t>
  </si>
  <si>
    <t>What was Newcastle named as the most type of city in the UK?</t>
  </si>
  <si>
    <t>Agents of S.H.I.E.L.D.</t>
  </si>
  <si>
    <t>dummy upper stages filled with water.</t>
  </si>
  <si>
    <t>Where was the Charles Porter steam engine indicator shown?</t>
  </si>
  <si>
    <t>To force Japan to be more involved in the crisis, what did Saudi and Kuwaiti government do?</t>
  </si>
  <si>
    <t>When did income inequality begin to increase in the US?</t>
  </si>
  <si>
    <t>To remedy the causes of the fire, changes were made in the Block II spacecraft and operational procedures, the most important of which were use of a nitrogen/oxygen mixture instead of pure oxygen before and during launch, and removal of flammable cabin and space suit materials. The Block II design already called for replacement of the Block I plug-type hatch cover with a quick-release, outward opening door. NASA discontinued the manned Block I program, using the Block I spacecraft only for unmanned Saturn V flights. Crew members would also exclusively wear modified, fire-resistant Block II space suits, and would be designated by the Block II titles, regardless of whether a LM was present on the flight or not.</t>
  </si>
  <si>
    <t>dial-up connections or dedicated async connections</t>
  </si>
  <si>
    <t>What was the price of oil in March of 1974?</t>
  </si>
  <si>
    <t>accept punishment</t>
  </si>
  <si>
    <t>How old was Turkana Boy?</t>
  </si>
  <si>
    <t>vacuum</t>
  </si>
  <si>
    <t>theatre.</t>
  </si>
  <si>
    <t>What did Dalton think the atomic ratios were between atoms in compounds?</t>
  </si>
  <si>
    <t>There are direct contractual links between who?</t>
  </si>
  <si>
    <t>What globally popular half marathon began in 1981?</t>
  </si>
  <si>
    <t>Robert Lane and Benjamin Vail</t>
  </si>
  <si>
    <t>What hypothesis is associated with the complexity class of P viewed as a mathematical abstraction with efficient algorithmic functionality?</t>
  </si>
  <si>
    <t>9 October 2006</t>
  </si>
  <si>
    <t>Song Emperor</t>
  </si>
  <si>
    <t>the 1994 Works Council Directive</t>
  </si>
  <si>
    <t>Who did the Panthers beat in the NFC Championship Game?</t>
  </si>
  <si>
    <t>Which articles of the Free Movement of Workers Regulation set out the primary provisions on equal treatment of workers?</t>
  </si>
  <si>
    <t>high fuel prices and new competition from low-cost air services</t>
  </si>
  <si>
    <t>incompetent, inefficient, or neglectful governments</t>
  </si>
  <si>
    <t>How many different species of ctenohore are there?</t>
  </si>
  <si>
    <t>Columbus Avenue and West 66th Street</t>
  </si>
  <si>
    <t>What does the outside of the Tardis resemble?</t>
  </si>
  <si>
    <t>because it has survived many wars, conflicts and invasions throughout its long history</t>
  </si>
  <si>
    <t>Where were the ashes sent?</t>
  </si>
  <si>
    <t>burned liquid hydrogen</t>
  </si>
  <si>
    <t>Doc Films</t>
  </si>
  <si>
    <t>in the chloroplasts of C4 plants</t>
  </si>
  <si>
    <t>wealth and income</t>
  </si>
  <si>
    <t>punish the Miami people of Pickawillany</t>
  </si>
  <si>
    <t>dinosaurs</t>
  </si>
  <si>
    <t>Chen's theorem</t>
  </si>
  <si>
    <t>There were many Chinese with what unexpected status?</t>
  </si>
  <si>
    <t>a few drops</t>
  </si>
  <si>
    <t>The use of what device represented the last major evolution of the steam engine?</t>
  </si>
  <si>
    <t>What is a complex net of contracts and other legal obligations?</t>
  </si>
  <si>
    <t>The immune systems of bacteria have enzymes that protect against infection by what kind of cells?</t>
  </si>
  <si>
    <t>the 12th century</t>
  </si>
  <si>
    <t>the first six years</t>
  </si>
  <si>
    <t>Which NASA faction came around first to support the LOR?</t>
  </si>
  <si>
    <t>Two Block I CSMs were launched from LC-34 on suborbital flights in 1966 with the Saturn IB. The first, AS-201 launched on February 26, reached an altitude of 265.7 nautical miles (492.1 km) and splashed down 4,577 nautical miles (8,477 km) downrange in the Atlantic ocean. The second, AS-202 on August 25, reached 617.1 nautical miles (1,142.9 km) altitude and was recovered 13,900 nautical miles (25,700 km) downrange in the Pacific ocean. These flights validated the Service Module engine and the Command Module heat shield.</t>
  </si>
  <si>
    <t>What was the average budget for ABC Movie of the Week films?</t>
  </si>
  <si>
    <t>What powered Tesla's high energy terminal vacuum tube?</t>
  </si>
  <si>
    <t>four years</t>
  </si>
  <si>
    <t>What was the goal of John Sheepshanks considerable bequest to the museum?</t>
  </si>
  <si>
    <t>What type of text is the Quran?</t>
  </si>
  <si>
    <t>ultraviolet radiation</t>
  </si>
  <si>
    <t>After the disastrous 1757 British campaigns (resulting in a failed expedition against Louisbourg and the Siege of Fort William Henry, which was followed by Indian torture and massacres of British victims), the British government fell. William Pitt came to power and significantly increased British military resources in the colonies at a time when France was unwilling to risk large convoys to aid the limited forces it had in New France. France concentrated its forces against Prussia and its allies in the European theatre of the war. Between 1758 and 1760, the British military launched a campaign to capture the Colony of Canada. They succeeded in capturing territory in surrounding colonies and ultimately Quebec. Though the British were later defeated at Sainte Foy in Quebec, the French ceded Canada in accordance with the 1763 treaty.</t>
  </si>
  <si>
    <t>March 1974</t>
  </si>
  <si>
    <t>Where are the specialized cells that eliminate cells that recognize self-antigens located?</t>
  </si>
  <si>
    <t>the Legislative Council</t>
  </si>
  <si>
    <t>when Germany started to build her own colonial empire.</t>
  </si>
  <si>
    <t>Jacksonville is the largest city by population in the U.S. state of Florida, and the largest city by area in the contiguous United States. It is the county seat of Duval County, with which the city government consolidated in 1968. Consolidation gave Jacksonville its great size and placed most of its metropolitan population within the city limits; with an estimated population of 853,382 in 2014, it is the most populous city proper in Florida and the Southeast, and the 12th most populous in the United States. Jacksonville is the principal city in the Jacksonville metropolitan area, with a population of 1,345,596 in 2010.</t>
  </si>
  <si>
    <t>1888 to about 1926</t>
  </si>
  <si>
    <t>violence</t>
  </si>
  <si>
    <t>From what country did the first person in space come from?</t>
  </si>
  <si>
    <t>the South Pacific</t>
  </si>
  <si>
    <t>What did Tesla mistakenly believe X-rays were?</t>
  </si>
  <si>
    <t>heavily concentrated along the St. Lawrence River valley, with some also in Acadia</t>
  </si>
  <si>
    <t>Who did the Panthers beat to become the NFC champs?</t>
  </si>
  <si>
    <t>the Apollo 1 crew</t>
  </si>
  <si>
    <t>three-carbon molecules called 3-phosphoglyceric acid</t>
  </si>
  <si>
    <t>What book did Luther write in response to Agricola and the antinomians?</t>
  </si>
  <si>
    <t>the Mongol and Turkic tribes</t>
  </si>
  <si>
    <t>the Monarch</t>
  </si>
  <si>
    <t>euphoric</t>
  </si>
  <si>
    <t>What did the Rhine branch off to form in Austria?</t>
  </si>
  <si>
    <t>What were European countries doing during the 1700's?</t>
  </si>
  <si>
    <t>What Huguenot area is designated as a historical landmark?</t>
  </si>
  <si>
    <t>dynamo electric machine commutators</t>
  </si>
  <si>
    <t>Following the initial success of these series, ABC revamped its Friday night schedule around family-friendly comedies in the late 1980s, culminating in the 1989 debut of the "TGIF" block (which promotions referenced stood for "Thank Goodness It's Funny"). Many of the series featured during the run of the block were produced by Miller-Boyett Productions, a Warner Bros.-based studio that briefly programmed the entire Friday lineup during the 1990–91 season (with Going Places joining Family Matters, Full House and Perfect Strangers on the "TGIF" schedule) and through its development deal with Paramount Television prior to 1986 (as Miller-Milkis, and later, Miller-Milkis-Boyett Productions), had earlier produced Happy Days and its various spinoffs among other series for the network.</t>
  </si>
  <si>
    <t>colonies of British America and New France</t>
  </si>
  <si>
    <t>University of Chicago Press</t>
  </si>
  <si>
    <t>In which continent besides Asia were major gains made by the British Empire in the late 19th century?</t>
  </si>
  <si>
    <t>Which continents are represented in the V&amp;A's textiles collection?</t>
  </si>
  <si>
    <t>EU Competition law has its origins in the European Coal and Steel Community (ECSC) agreement between France, Italy, Belgium, the Netherlands, Luxembourg and Germany in 1951 following the second World War. The agreement aimed to prevent Germany from re-establishing dominance in the production of coal and steel as members felt that its dominance had contributed to the outbreak of the war. Article 65 of the agreement banned cartels and article 66 made provisions for concentrations, or mergers, and the abuse of a dominant position by companies. This was the first time that competition law principles were included in a plurilateral regional agreement and established the trans-European model of competition law. In 1957 competition rules were included in the Treaty of Rome, also known as the EC Treaty, which established the European Economic Community (EEC). The Treaty of Rome established the enactment of competition law as one of the main aims of the EEC through the "institution of a system ensuring that competition in the common market is not distorted". The two central provisions on EU competition law on companies were established in article 85, which prohibited anti-competitive agreements, subject to some exemptions, and article 86 prohibiting the abuse of dominant position. The treaty also established principles on competition law for member states, with article 90 covering public undertakings, and article 92 making provisions on state aid. Regulations on mergers were not included as member states could not establish consensus on the issue at the time.</t>
  </si>
  <si>
    <t>The Earth's crust</t>
  </si>
  <si>
    <t>45,000 pounds</t>
  </si>
  <si>
    <t>expect the death of a heretic</t>
  </si>
  <si>
    <t>knight winning a bout</t>
  </si>
  <si>
    <t>Genghis_Khan</t>
  </si>
  <si>
    <t>Upper Rhine region</t>
  </si>
  <si>
    <t>What can block a legislation?</t>
  </si>
  <si>
    <t>experience</t>
  </si>
  <si>
    <t>What happened to the crew onboard during the plugs-out test?</t>
  </si>
  <si>
    <t>What did Watt add to Newcomen's engine between 1763 and 1775?</t>
  </si>
  <si>
    <t>strong,</t>
  </si>
  <si>
    <t>gaseous oxygen.</t>
  </si>
  <si>
    <t>What type of lenses were needed to see the 3D effects in Dimension in Time?</t>
  </si>
  <si>
    <t>complexity classes</t>
  </si>
  <si>
    <t>Korean economist Hoesung Lee is the chair of the IPCC since October 8, 2015, following the election of the new IPCC Bureau. Before this election, the IPCC was led by his vice-Chair Ismail El Gizouli, who was designated acting Chair after the resignation of Rajendra K. Pachauri in February 2015. The previous chairs were Rajendra K. Pachauri, elected in May 2002; Robert Watson in 1997; and Bert Bolin in 1988. The chair is assisted by an elected bureau including vice-chairs, working group co-chairs, and a secretariat.</t>
  </si>
  <si>
    <t>some of the Huguenots were nobles trying to establish separate centers of power in southern France</t>
  </si>
  <si>
    <t>oxygen gas</t>
  </si>
  <si>
    <t>What was the secondary endosymbiotic event?</t>
  </si>
  <si>
    <t>an automobile radiator</t>
  </si>
  <si>
    <t>The advances made in the Middle East in botany and chemistry led medicine in medieval Islam substantially to develop pharmacology. Muhammad ibn Zakarīya Rāzi (Rhazes) (865–915), for instance, acted to promote the medical uses of chemical compounds. Abu al-Qasim al-Zahrawi (Abulcasis) (936–1013) pioneered the preparation of medicines by sublimation and distillation. His Liber servitoris is of particular interest, as it provides the reader with recipes and explains how to prepare the `simples’ from which were compounded the complex drugs then generally used. Sabur Ibn Sahl (d 869), was, however, the first physician to initiate pharmacopoedia, describing a large variety of drugs and remedies for ailments. Al-Biruni (973–1050) wrote one of the most valuable Islamic works on pharmacology, entitled Kitab al-Saydalah (The Book of Drugs), in which he detailed the properties of drugs and outlined the role of pharmacy and the functions and duties of the pharmacist. Avicenna, too, described no less than 700 preparations, their properties, modes of action, and their indications. He devoted in fact a whole volume to simple drugs in The Canon of Medicine. Of great impact were also the works by al-Maridini of Baghdad and Cairo, and Ibn al-Wafid (1008–1074), both of which were printed in Latin more than fifty times, appearing as De Medicinis universalibus et particularibus by 'Mesue' the younger, and the Medicamentis simplicibus by 'Abenguefit'. Peter of Abano (1250–1316) translated and added a supplement to the work of al-Maridini under the title De Veneris. Al-Muwaffaq’s contributions in the field are also pioneering. Living in the 10th century, he wrote The foundations of the true properties of Remedies, amongst others describing arsenious oxide, and being acquainted with silicic acid. He made clear distinction between sodium carbonate and potassium carbonate, and drew attention to the poisonous nature of copper compounds, especially copper vitriol, and also lead compounds. He also describes the distillation of sea-water for drinking.[verification needed]</t>
  </si>
  <si>
    <t>Warsaw (Polish: Warszawa [varˈʂava] ( listen); see also other names) is the capital and largest city of Poland. It stands on the Vistula River in east-central Poland, roughly 260 kilometres (160 mi) from the Baltic Sea and 300 kilometres (190 mi) from the Carpathian Mountains. Its population is estimated at 1.740 million residents within a greater metropolitan area of 2.666 million residents, which makes Warsaw the 9th most-populous capital city in the European Union. The city limits cover 516.9 square kilometres (199.6 sq mi), while the metropolitan area covers 6,100.43 square kilometres (2,355.39 sq mi).</t>
  </si>
  <si>
    <t>from Nova Scotia and Newfoundland in the north, to Georgia in the south</t>
  </si>
  <si>
    <t>Where do clinical pharmacists work with patients?</t>
  </si>
  <si>
    <t>In the triplet form, O
2 molecules are paramagnetic. That is, they impart magnetic character to oxygen when it is in the presence of a magnetic field, because of the spin magnetic moments of the unpaired electrons in the molecule, and the negative exchange energy between neighboring O
2 molecules. Liquid oxygen is attracted to a magnet to a sufficient extent that, in laboratory demonstrations, a bridge of liquid oxygen may be supported against its own weight between the poles of a powerful magnet.[c]</t>
  </si>
  <si>
    <t>What does the inner mitochondria membrane do?</t>
  </si>
  <si>
    <t>1.4 times</t>
  </si>
  <si>
    <t>savanna to the north and east</t>
  </si>
  <si>
    <t>comb-rows</t>
  </si>
  <si>
    <t>orthogonal</t>
  </si>
  <si>
    <t>colonial</t>
  </si>
  <si>
    <t>What architecture type came before Norman in England?</t>
  </si>
  <si>
    <t>as gluons</t>
  </si>
  <si>
    <t>The Use of Money</t>
  </si>
  <si>
    <t>lost money</t>
  </si>
  <si>
    <t>civil disobedience is only justified against governmental entities.</t>
  </si>
  <si>
    <t>The Normans had a profound effect on Irish culture and history after their invasion at Bannow Bay in 1169. Initially the Normans maintained a distinct culture and ethnicity. Yet, with time, they came to be subsumed into Irish culture to the point that it has been said that they became "more Irish than the Irish themselves." The Normans settled mostly in an area in the east of Ireland, later known as the Pale, and also built many fine castles and settlements, including Trim Castle and Dublin Castle. Both cultures intermixed, borrowing from each other's language, culture and outlook. Norman descendants today can be recognised by their surnames. Names such as French, (De) Roche, Devereux, D'Arcy, Treacy and Lacy are particularly common in the southeast of Ireland, especially in the southern part of County Wexford where the first Norman settlements were established. Other Norman names such as Furlong predominate there. Another common Norman-Irish name was Morell (Murrell) derived from the French Norman name Morel. Other names beginning with Fitz (from the Norman for son) indicate Norman ancestry. These included Fitzgerald, FitzGibbons (Gibbons) dynasty, Fitzmaurice. Other families bearing such surnames as Barry (de Barra) and De Búrca (Burke) are also of Norman extraction.</t>
  </si>
  <si>
    <t>In addition to climate assessment reports, the IPCC is publishing Special Reports on specific topics. The preparation and approval process for all IPCC Special Reports follows the same procedures as for IPCC Assessment Reports. In the year 2011 two IPCC Special Report were finalized, the Special Report on Renewable Energy Sources and Climate Change Mitigation (SRREN) and the Special Report on Managing Risks of Extreme Events and Disasters to Advance Climate Change Adaptation (SREX). Both Special Reports were requested by governments.</t>
  </si>
  <si>
    <t>packets</t>
  </si>
  <si>
    <t>What do gravitational forces act between?</t>
  </si>
  <si>
    <t>How large are the outer PD ring's filaments?</t>
  </si>
  <si>
    <t>Pacific</t>
  </si>
  <si>
    <t>Former IPCC chairman Robert Watson has said "The mistakes all appear to have gone in the direction of making it seem like climate change is more serious by overstating the impact. That is worrying. The IPCC needs to look at this trend in the errors and ask why it happened". Martin Parry, a climate expert who had been co-chair of the IPCC working group II, said that "What began with a single unfortunate error over Himalayan glaciers has become a clamour without substance" and the IPCC had investigated the other alleged mistakes, which were "generally unfounded and also marginal to the assessment".</t>
  </si>
  <si>
    <t>an unknown process</t>
  </si>
  <si>
    <t>What  does ozone's characteristic to cause damage effect?</t>
  </si>
  <si>
    <t>technical problems and flight delays</t>
  </si>
  <si>
    <t>vary</t>
  </si>
  <si>
    <t>Ice Ages</t>
  </si>
  <si>
    <t>Where in Dundee will the gallery be located?</t>
  </si>
  <si>
    <t>medication management system development, deployment and optimization</t>
  </si>
  <si>
    <t>oxygen tank explosion in transit to the Moon</t>
  </si>
  <si>
    <t>Where are some physicians permitted to prescribe and give out medications within their practices?</t>
  </si>
  <si>
    <t>climate change in addition to deforestation</t>
  </si>
  <si>
    <t>the road back to Samarkand</t>
  </si>
  <si>
    <t>What is secreted by the respiratory tract to trap microorganisms?</t>
  </si>
  <si>
    <t>a lipid monolayer</t>
  </si>
  <si>
    <t>in stacks of two</t>
  </si>
  <si>
    <t>1294 to 1307</t>
  </si>
  <si>
    <t>see no need to accept punishment for a violation of criminal law that does not infringe the rights of others</t>
  </si>
  <si>
    <t>encourage</t>
  </si>
  <si>
    <t>How many cities in southern California have over 200,000 residents?</t>
  </si>
  <si>
    <t>What grew on a global scale as a result of imperialism?</t>
  </si>
  <si>
    <t>world systems theory</t>
  </si>
  <si>
    <t>What happened to most of Tesla's work from this time?</t>
  </si>
  <si>
    <t>What was Tesla afraid someone was trying to do with his invention?</t>
  </si>
  <si>
    <t>On what date did ESPN Deportes announce their deal with CBS and the NFL?</t>
  </si>
  <si>
    <t>What is the governing committee  that voted in favor of a proposal that would permit ministers to officiate same-sex weddings?</t>
  </si>
  <si>
    <t>What is an alternate way to make starch?</t>
  </si>
  <si>
    <t>In the early years, many Huguenots also settled in the area of present-day Charleston, South Carolina. In 1685, Rev. Elie Prioleau from the town of Pons in France, was among the first to settle there. He became pastor of the first Huguenot church in North America in that city. After the Revocation of the Edict of Nantes in 1685, several Huguenot families of Norman and Carolingian nobility and descent, including Edmund Bohun of Suffolk England from the Humphrey de Bohun line of French royalty descended from Charlemagne, Jean Postell of Dieppe France, Alexander Pepin, Antoine Poitevin of Orsement France, and Jacques de Bordeaux of Grenoble, immigrated to the Charleston Orange district. They were very successful at marriage and property speculation. After petitioning the British Crown in 1697 for the right to own land in the Baronies, they prospered as slave owners on the Cooper, Ashepoo, Ashley and Santee River plantations they purchased from the British Landgrave Edmund Bellinger. Some of their descendants moved into the Deep South and Texas, where they developed new plantations.</t>
  </si>
  <si>
    <t>three.</t>
  </si>
  <si>
    <t>Compact trucks were introduced, such as the Toyota Hilux and the Datsun Truck, followed by the Mazda Truck (sold as the Ford Courier), and the Isuzu-built Chevrolet LUV. Mitsubishi rebranded its Forte as the Dodge D-50 a few years after the oil crisis. Mazda, Mitsubishi and Isuzu had joint partnerships with Ford, Chrysler, and GM, respectively. Later the American makers introduced their domestic replacements (Ford Ranger, Dodge Dakota and the Chevrolet S10/GMC S-15), ending their captive import policy.</t>
  </si>
  <si>
    <t>Goldbach's conjecture</t>
  </si>
  <si>
    <t>What is QED short for?</t>
  </si>
  <si>
    <t>What does the Museum of the Polish Army portray the history of?</t>
  </si>
  <si>
    <t>lightning</t>
  </si>
  <si>
    <t>unmanned Saturn V flights</t>
  </si>
  <si>
    <t>probabilistic Turing machine</t>
  </si>
  <si>
    <t>join a polytechnic or other technical college</t>
  </si>
  <si>
    <t>placing them on prophetic faith</t>
  </si>
  <si>
    <t>indoor complex</t>
  </si>
  <si>
    <t>Opportunistic bands of Normans successfully established a foothold in Southern Italy (the Mezzogiorno). Probably as the result of returning pilgrims' stories, the Normans entered the Mezzogiorno as warriors in 1017 at the latest. In 999, according to Amatus of Montecassino, Norman pilgrims returning from Jerusalem called in at the port of Salerno when a Saracen attack occurred. The Normans fought so valiantly that Prince Guaimar III begged them to stay, but they refused and instead offered to tell others back home of the prince's request. William of Apulia tells that, in 1016, Norman pilgrims to the shrine of the Archangel Michael at Monte Gargano were met by Melus of Bari, a Lombard nobleman and rebel, who persuaded them to return with more warriors to help throw off the Byzantine rule, which they did.</t>
  </si>
  <si>
    <t>Tesla never married; he said his chastity was very helpful to his scientific abilities.:33 However, toward the end of his life, he told a reporter, "Sometimes I feel that by not marrying, I made too great a sacrifice to my work ..." There have been numerous accounts of women vying for Tesla's affection, even some madly in love with him.[citation needed] Tesla, though polite and soft-spoken, did not have any known relationships.</t>
  </si>
  <si>
    <t>The Late Show with Stephen Colbert</t>
  </si>
  <si>
    <t>What is the mortality rate of the modern bubonic plague?</t>
  </si>
  <si>
    <t>the Connectional Table</t>
  </si>
  <si>
    <t>violent</t>
  </si>
  <si>
    <t>When using a probabilistic algorithm, how is the probability that the number is composite expressed mathematically?</t>
  </si>
  <si>
    <t>What is a term that means constant temperature?</t>
  </si>
  <si>
    <t>damage to the skin was not caused by the Roentgen rays, but by the ozone generated in contact with the skin</t>
  </si>
  <si>
    <t>suspended</t>
  </si>
  <si>
    <t>the Quran, Torah or Bible</t>
  </si>
  <si>
    <t>What was the name of the serial where the Valeyard appears?</t>
  </si>
  <si>
    <t>service to the neighbor in the common</t>
  </si>
  <si>
    <t>What did Iqbal fear would weaken the spiritual foundations of Islam and Muslim society?</t>
  </si>
  <si>
    <t>patrimonial feudalism</t>
  </si>
  <si>
    <t>incitement to terrorism</t>
  </si>
  <si>
    <t>What does Luther's hymn Christ unser Herr zum jordan kam concern?</t>
  </si>
  <si>
    <t>What famous July Fourth holiday movie did Fox pay to advertise a sequel of during the Super Bowl?</t>
  </si>
  <si>
    <t>Bishop Lloyd Christ Wicke</t>
  </si>
  <si>
    <t>What is an anda?</t>
  </si>
  <si>
    <t>strong sedimentation in the western Rhine Delta</t>
  </si>
  <si>
    <t>Excellent</t>
  </si>
  <si>
    <t>Why did he want to make the language accessible to people?</t>
  </si>
  <si>
    <t>What was the guiding principle of the Mongol Empire code of conduct?</t>
  </si>
  <si>
    <t>What is set aside for question periods in the debating chamber?</t>
  </si>
  <si>
    <t>a way of continuing their protest</t>
  </si>
  <si>
    <t>Polignac's conjecture</t>
  </si>
  <si>
    <t>Climate fluctuations during the last 34 million years</t>
  </si>
  <si>
    <t>Jones et al. and Briffa reconstructions</t>
  </si>
  <si>
    <t>Schmalkaldic League</t>
  </si>
  <si>
    <t>thousands</t>
  </si>
  <si>
    <t>Vetra and I Germanica and XX Valeria were the two legions for what?</t>
  </si>
  <si>
    <t>attack on New France's capital, Quebec</t>
  </si>
  <si>
    <t>What did John Dalton think that all elements were in number present in compounds?</t>
  </si>
  <si>
    <t>The earliest items in the jewelry collection come from which ancient civilization?</t>
  </si>
  <si>
    <t>The Neighbors</t>
  </si>
  <si>
    <t>In the more than 220 years since 1784, Methodism in the United States, like many other Protestant denominations, has seen a number of divisions and mergers. In 1830, the Methodist Protestant Church split from the Methodist Episcopal Church over the issue of laity having a voice and vote in the administration of the church, insisting that clergy should not be the only ones to have any determination in how the church was to be operated. In 1844, the General Conference of the Methodist Episcopal Church split into two conferences because of tensions over slavery and the power of bishops in the denomination.</t>
  </si>
  <si>
    <t>circular</t>
  </si>
  <si>
    <t>Tanzania</t>
  </si>
  <si>
    <t>What has having an EU Citizenship increased?</t>
  </si>
  <si>
    <t>What has the infrastructure done a lot of over the past years?</t>
  </si>
  <si>
    <t>metamorphosed</t>
  </si>
  <si>
    <t>When was it discovered that prime numbers could applied to the creation of public key cryptography algorithms?</t>
  </si>
  <si>
    <t>The sculpture collection at the V&amp;A is the most comprehensive holding of post-classical European sculpture in the world. There are approximately 22,000 objects in the collection that cover the period from about 400 AD to 1914. This covers among other periods Byzantine and Anglo Saxon ivory sculptures, British, French and Spanish medieval statues and carvings, the Renaissance, Baroque, Neo-Classical, Victorian and Art Nouveau periods. All uses of sculpture are represented, from tomb and memorial, to portrait, allegorical, religious, mythical, statues for gardens including fountains, as well as architectural decorations. Materials used include, marble, alabaster, stone, terracotta, wood (history of wood carving), ivory, gesso, plaster, bronze, lead and ceramics.</t>
  </si>
  <si>
    <t>What is the largest city of Poland?</t>
  </si>
  <si>
    <t>Who developed DATAPAC</t>
  </si>
  <si>
    <t>fire-resistant Block II</t>
  </si>
  <si>
    <t>Charles-Ferdinand University</t>
  </si>
  <si>
    <t xml:space="preserve">The University of Chicago is governed by a board of trustees. The Board of Trustees oversees the long-term development and plans of the university and manages fundraising efforts, and is composed of 50 members including the university President. Directly beneath the President are the Provost, fourteen Vice Presidents (including the Chief Financial Officer, Chief Investment Officer, and Dean of Students of the university), the Directors of Argonne National Laboratory and Fermilab, the Secretary of the university, and the Student Ombudsperson. As of August 2009[update], the Chairman of the Board of Trustees is Andrew Alper, and the President of the university is Robert Zimmer. In December 2013 it was announced that the Director of Argonne National Laboratory, Eric Isaacs, would become Provost. Isaacs was replaced as Provost in March 2016 by Daniel Diermeier. </t>
  </si>
  <si>
    <t>artisans and farmers</t>
  </si>
  <si>
    <t>many places</t>
  </si>
  <si>
    <t>sequence of mission types</t>
  </si>
  <si>
    <t>Capital Cities/ABC, Inc.</t>
  </si>
  <si>
    <t>granaries were ordered built throughout the empire</t>
  </si>
  <si>
    <t>In what cases can the EU not override German law?</t>
  </si>
  <si>
    <t>in the late 1980s</t>
  </si>
  <si>
    <t>How many membranes does Durinskia's chloroplast have?</t>
  </si>
  <si>
    <t>$38,000</t>
  </si>
  <si>
    <t>Combustion is caused by an oxidant and a fuel. What role does oxygen play in combustion?</t>
  </si>
  <si>
    <t>What is the strongest main interaction?</t>
  </si>
  <si>
    <t>With 4:51 left in regulation, Carolina got the ball on their own 24-yard line with a chance to mount a game-winning drive, and soon faced 3rd-and-9. On the next play, Miller stripped the ball away from Newton, and after several players dove for it, it took a long bounce backwards and was recovered by Ward, who returned it five yards to the Panthers 4-yard line. Although several players dove into the pile to attempt to recover it, Newton did not and his lack of aggression later earned him heavy criticism. Meanwhile, Denver's offense was kept out of the end zone for three plays, but a holding penalty on cornerback Josh Norman gave the Broncos a new set of downs. Then Anderson scored on a 2-yard touchdown run and Manning completed a pass to Bennie Fowler for a 2-point conversion, giving Denver a 24–10 lead with 3:08 left and essentially putting the game away. Carolina had two more drives, but failed to get a first down on each one.</t>
  </si>
  <si>
    <t>what do conquering people pass down to native populations?</t>
  </si>
  <si>
    <t>Franklin Institute</t>
  </si>
  <si>
    <t>preserve society's tolerance of civil disobedience</t>
  </si>
  <si>
    <t>Which sculpture by Rodin was not donated by the artist?</t>
  </si>
  <si>
    <t>The popular neighborhood known as the Tower District is centered around the historic Tower Theatre, which is included on the National List of Historic Places. The theater was built in 1939 and is at Olive and Wishon Avenues in the heart of the Tower District. (The name of the theater refers to a well-known landmark water tower, which is actually in another nearby area). The Tower District neighborhood is just north of downtown Fresno proper, and one-half mile south of Fresno City College. Although the neighborhood was known as a residential area prior, the early commercial establishments of the Tower District began with small shops and services that flocked to the area shortly after World War II. The character of small local businesses largely remains today. To some extent, the businesses of the Tower District were developed due to the proximity of the original Fresno Normal School, (later renamed California State University at Fresno). In 1916 the college moved to what is now the site of Fresno City College one-half mile north of the Tower District.</t>
  </si>
  <si>
    <t>Great Elector Frederick William</t>
  </si>
  <si>
    <t>distributed</t>
  </si>
  <si>
    <t>Divine Right of Kings</t>
  </si>
  <si>
    <t>by erosion</t>
  </si>
  <si>
    <t>fewer than 10</t>
  </si>
  <si>
    <t>the network was enhanced</t>
  </si>
  <si>
    <t>Rev. Paul T. Stallsworth</t>
  </si>
  <si>
    <t>non-self</t>
  </si>
  <si>
    <t>yin-yang and wuxing philosophy</t>
  </si>
  <si>
    <t>rats and fleas</t>
  </si>
  <si>
    <t>Two fundamental differences involved the division of functions and tasks between the hosts at the edge of the network and the network core</t>
  </si>
  <si>
    <t>What does the word prime generally suggest?</t>
  </si>
  <si>
    <t>The city is the seat of a Roman Catholic archdiocese (left bank of the Vistula) and diocese (right bank), and possesses various universities, most notably the Polish Academy of Sciences and the University of Warsaw, two opera houses, theatres, museums, libraries and monuments. The historic city-centre of Warsaw with its picturesque Old Town in 1980 was listed as a UNESCO World Heritage Site. Other main architectural attractions include the Castle Square with the Royal Castle and the iconic King Sigismund's Column, St. John's Cathedral, Market Square, palaces, churches and mansions all displaying a richness of colour and architectural detail. Buildings represent examples of nearly every European architectural style and historical period. Warsaw provides many examples of architecture from the gothic, renaissance, baroque and neoclassical periods, and around a quarter of the city is filled with luxurious parks and royal gardens.</t>
  </si>
  <si>
    <t>The first commercial steam-powered device was a water pump, developed in 1698 by Thomas Savery. It used condensing steam to create a vacuum which was used to raise water from below, then it used steam pressure to raise it higher. Small engines were effective though larger models were problematic. They proved only to have a limited lift height and were prone to boiler explosions. It received some use in mines, pumping stations and for supplying water wheels used to power textile machinery. An attractive feature of the Savery engine was its low cost. Bento de Moura Portugal introduced an ingenious improvement of Savery's construction "to render it capable of working itself", as described by John Smeaton in the Philosophical Transactions published in 1751. It continued to be manufactured until the late 18th century. One engine was still known to be operating in 1820.</t>
  </si>
  <si>
    <t>Who did the U.S. collaborate with on an Earth orbit mission in 1975?</t>
  </si>
  <si>
    <t>to maintain their legitimacy</t>
  </si>
  <si>
    <t>natural specificity of the immune system</t>
  </si>
  <si>
    <t>the treatment</t>
  </si>
  <si>
    <t>underground</t>
  </si>
  <si>
    <t>What did people vote the Doctor Who series as in a 2011 online vote?</t>
  </si>
  <si>
    <t>city council</t>
  </si>
  <si>
    <t>ignored the warning</t>
  </si>
  <si>
    <t>at least the mid-14th century</t>
  </si>
  <si>
    <t>based on his observation of fossil animal shells in a geological stratum in a mountain hundreds of miles from the ocean</t>
  </si>
  <si>
    <t>bounding</t>
  </si>
  <si>
    <t>guerrilla warfare</t>
  </si>
  <si>
    <t>How long ago did cyanobacteria enter a cell?</t>
  </si>
  <si>
    <t>1980s</t>
  </si>
  <si>
    <t>The path of violence and military struggle was then taken up by the Egyptian Islamic Jihad organization responsible for the assassination of Anwar Sadat in 1981. Unlike earlier anti-colonial movements the extremist group directed its attacks against what it believed were "apostate" leaders of Muslim states, leaders who held secular leanings or who had introduced or promoted Western/foreign ideas and practices into Islamic societies. Its views were outlined in a pamphlet written by Muhammad Abd al-Salaam Farag, in which he states:</t>
  </si>
  <si>
    <t>In the early 13th century, the Khwarazmian dynasty was governed by Shah Ala ad-Din Muhammad. Genghis Khan saw the potential advantage in Khwarezmia as a commercial trading partner using the Silk Road, and he initially sent a 500-man caravan to establish official trade ties with the empire. However, Inalchuq, the governor of the Khwarezmian city of Otrar, attacked the caravan that came from Mongolia, claiming that the caravan contained spies and therefore was a conspiracy against Khwarezmia. The situation became further complicated because the governor later refused to make repayments for the looting of the caravans and handing over the perpetrators. Genghis Khan then sent again a second group of three ambassadors (two Mongols and a Muslim) to meet the Shah himself instead of the governor Inalchuq. The Shah had all the men shaved and the Muslim beheaded and sent his head back with the two remaining ambassadors. This was seen as an affront and insult to Genghis Khan. Outraged, Genghis Khan planned one of his largest invasion campaigns by organizing together around 100,000 soldiers (10 tumens), his most capable generals and some of his sons. He left a commander and number of troops in China, designated his successors to be his family members and likely appointed Ögedei to be his immediate successor and then went out to Khwarezmia.</t>
  </si>
  <si>
    <t>The E. W. Scripps Company</t>
  </si>
  <si>
    <t>Who founded the Office of Western Medicine?</t>
  </si>
  <si>
    <t>a few millimeters to 1.5 m (4 ft 11 in) in size</t>
  </si>
  <si>
    <t>companions</t>
  </si>
  <si>
    <t>Chagatai and Jochi)</t>
  </si>
  <si>
    <t>internal migration and urbanisation.</t>
  </si>
  <si>
    <t>How long has the African Great Lakes region been inhabited?</t>
  </si>
  <si>
    <t>What do all but one platycenida species lack?</t>
  </si>
  <si>
    <t>Nationals</t>
  </si>
  <si>
    <t>Why do polar water bodies support a higher amount of life?</t>
  </si>
  <si>
    <t>long-term environmental changes</t>
  </si>
  <si>
    <t>At what time did Tesla get dinner?</t>
  </si>
  <si>
    <t>Who applies expertise to relate the work and materials involved to a proper valuation?</t>
  </si>
  <si>
    <t>larger fortunes</t>
  </si>
  <si>
    <t>What does it mean when a harmonic series diverges?</t>
  </si>
  <si>
    <t>Some Huguenots fought in the Low Countries alongside the Dutch against Spain during the first years of the Dutch Revolt (1568–1609). The Dutch Republic rapidly became a destination for Huguenot exiles. Early ties were already visible in the "Apologie" of William the Silent, condemning the Spanish Inquisition, which was written by his court minister, the Huguenot Pierre L'Oyseleur, lord of Villiers. Louise de Coligny, daughter of the murdered Huguenot leader Gaspard de Coligny, married William the Silent, leader of the Dutch (Calvinist) revolt against Spanish (Catholic) rule. As both spoke French in daily life, their court church in the Prinsenhof in Delft held services in French. The practice has continued to the present day. The Prinsenhof is one of the 14 active Walloon churches of the Dutch Reformed Church. The ties between Huguenots and the Dutch Republic's military and political leadership, the House of Orange-Nassau, which existed since the early days of the Dutch Revolt, helped support the many early settlements of Huguenots in the Dutch Republic's colonies. They settled at the Cape of Good Hope in South Africa and New Netherland in North America.</t>
  </si>
  <si>
    <t>Imperialism is defined as "A policy of extending a country’s power and influence through diplomacy or military force." Imperialism is particularly focused on the control that one group, often a state power, has on another group of people. This is often through various forms of "othering" (see other) based on racial, religious, or cultural stereotypes. There are "formal" or "informal" imperialisms. "Formal imperialism" is defined as "physical control or full-fledged colonial rule". "Informal imperialism" is less direct; however, it is still a powerful form of dominance.</t>
  </si>
  <si>
    <t>34 million</t>
  </si>
  <si>
    <t>heat shield.</t>
  </si>
  <si>
    <t>Some have described the internal strife between various people groups as a form of imperialism or colonialism. This internal form is distinct from informal U.S. imperialism in the form of political and financial hegemony. This internal form of imperialism is also distinct from the United States' formation of "colonies" abroad. Through the treatment of its indigenous peoples during westward expansion, the United States took on the form of an imperial power prior to any attempts at external imperialism. This internal form of empire has been referred to as "internal colonialism". Participation in the African slave trade and the subsequent treatment of its 12 to 15 million Africans is viewed by some to be a more modern extension of America's "internal colonialism". However, this internal colonialism faced resistance, as external colonialism did, but the anti-colonial presence was far less prominent due to the nearly complete dominance that the United States was able to assert over both indigenous peoples and African-Americans. In his lecture on April 16, 2003, Edward Said made a bold statement on modern imperialism in the United States, whom he described as using aggressive means of attack towards the contemporary Orient, "due to their backward living, lack of democracy and the violation of women’s rights. The western world forgets during this process of converting the other that enlightenment and democracy are concepts that not all will agree upon".</t>
  </si>
  <si>
    <t>Evita and The Wiz</t>
  </si>
  <si>
    <t>about 90,790</t>
  </si>
  <si>
    <t>RNA interference</t>
  </si>
  <si>
    <t>Episcopal Areas,</t>
  </si>
  <si>
    <t>identifying goals of therapy</t>
  </si>
  <si>
    <t>Besides baptism, what shows the future of heaven to Christians?</t>
  </si>
  <si>
    <t>Two days later, the FBI ordered the Alien Property Custodian to seize Tesla's belongings, even though Tesla was an American citizen. Tesla's entire estate from the Hotel New Yorker and other New York City hotels was transported to the Manhattan Storage and Warehouse Company under the Office of Alien Property (OAP) seal. John G. Trump, a professor at M.I.T. and a well-known electrical engineer serving as a technical aide to the National Defense Research Committee, was called in to analyze the Tesla items in OAP custody. After a three-day investigation, Trump's report concluded that there was nothing which would constitute a hazard in unfriendly hands, stating:</t>
  </si>
  <si>
    <t>Who was Alfred S brown?</t>
  </si>
  <si>
    <t>the wool trade</t>
  </si>
  <si>
    <t>What is another word for long, planar igneous intrusions?</t>
  </si>
  <si>
    <t>rat population was insufficient to account for a bubonic plague pandemic</t>
  </si>
  <si>
    <t>What would be needed to host a larger population?</t>
  </si>
  <si>
    <t>every string</t>
  </si>
  <si>
    <t>employers</t>
  </si>
  <si>
    <t>King Gilgamesh of Uruk and Atilla the Hun</t>
  </si>
  <si>
    <t>What is the effect of beta decay?</t>
  </si>
  <si>
    <t>don't believe in the legitimacy of any government</t>
  </si>
  <si>
    <t>Mark Woods</t>
  </si>
  <si>
    <t>Compared to the rest of Florida, how does Jacksonville's Filipino population rank?</t>
  </si>
  <si>
    <t>The Lunar Module (LM) was designed to descend from lunar orbit to land two astronauts on the Moon and take them back to orbit to rendezvous with the Command Module. Not designed to fly through the Earth's atmosphere or return to Earth, its fuselage was designed totally without aerodynamic considerations, and was of an extremely lightweight construction. It consisted of separate descent and ascent stages, each with its own engine. The descent stage contained storage for the descent propellant, surface stay consumables, and surface exploration equipment. The ascent stage contained the crew cabin, ascent propellant, and a reaction control system. The initial LM model weighed approximately 33,300 pounds (15,100 kg), and allowed surface stays up to around 34 hours. An Extended Lunar Module weighed over 36,200 pounds (16,400 kg), and allowed surface stays of over 3 days.</t>
  </si>
  <si>
    <t>What was the first public building to be lit by electric light in Newcastle?</t>
  </si>
  <si>
    <t>often damaging</t>
  </si>
  <si>
    <t>Though unkown, what are the most commonly ascribed attributes of L in relation to P</t>
  </si>
  <si>
    <t>polynomial algebra</t>
  </si>
  <si>
    <t>What is another term for year 12 of education?</t>
  </si>
  <si>
    <t>the 50th Super Bowl</t>
  </si>
  <si>
    <t>What is the bond order of dioxygen molecules?</t>
  </si>
  <si>
    <t>analog and numerical experiments</t>
  </si>
  <si>
    <t>Doctor Who and the Daleks in the Seven Keys to Doomsday</t>
  </si>
  <si>
    <t>a structural force</t>
  </si>
  <si>
    <t>application of electricity to the brain</t>
  </si>
  <si>
    <t>a larger challenge to the legal system that permits those decisions to be taken</t>
  </si>
  <si>
    <t>removing impediments and difficulties so that other people may read it without hindrance</t>
  </si>
  <si>
    <t>on the ground</t>
  </si>
  <si>
    <t>cultural traditions, social customs, religious beliefs</t>
  </si>
  <si>
    <t>Which measure must be adopted when there is a choice between several?</t>
  </si>
  <si>
    <t>Both B cells and T cells carry receptor molecules that recognize specific targets. T cells recognize a "non-self" target, such as a pathogen, only after antigens (small fragments of the pathogen) have been processed and presented in combination with a "self" receptor called a major histocompatibility complex (MHC) molecule. There are two major subtypes of T cells: the killer T cell and the helper T cell. In addition there are regulatory T cells which have a role in modulating immune response. Killer T cells only recognize antigens coupled to Class I MHC molecules, while helper T cells and regulatory T cells only recognize antigens coupled to Class II MHC molecules. These two mechanisms of antigen presentation reflect the different roles of the two types of T cell. A third, minor subtype are the γδ T cells that recognize intact antigens that are not bound to MHC receptors.</t>
  </si>
  <si>
    <t>many individuals</t>
  </si>
  <si>
    <t>conferences</t>
  </si>
  <si>
    <t>nationalisation law was from 1962, and the treaty was in force from 1958</t>
  </si>
  <si>
    <t>What is almost identical across all nations and jurisdictions?</t>
  </si>
  <si>
    <t>its inferior</t>
  </si>
  <si>
    <t>February 2015</t>
  </si>
  <si>
    <t>shut down host defenses</t>
  </si>
  <si>
    <t>What kind of division of power did Kublai's government have?</t>
  </si>
  <si>
    <t>What disease did Tesla contract in 1873?</t>
  </si>
  <si>
    <t>professionals</t>
  </si>
  <si>
    <t>What are two examples of cytotoxic or immunosuppressive drugs?</t>
  </si>
  <si>
    <t>At the time of Martin Luther what was in demand?</t>
  </si>
  <si>
    <t>What can keep an object from moving when it is being pushed on a surface?</t>
  </si>
  <si>
    <t>explanation of the Apostles' Creed</t>
  </si>
  <si>
    <t>Boycotting, refusing to pay taxes, sit ins, and draft dodging all make what harder?</t>
  </si>
  <si>
    <t>technologies and ideas.</t>
  </si>
  <si>
    <t xml:space="preserve">What path does a ball thrown up and down in a moving vehicle take when seen by an outside observer? </t>
  </si>
  <si>
    <t>What is the second aspect of teacher enthusiasm?</t>
  </si>
  <si>
    <t>Modern Mongolian historians say that towards the end of his life, Genghis Khan attempted to create a civil state under the Great Yassa that would have established the legal equality of all individuals, including women. However, there is no evidence of this, or of the lifting of discriminatory policies towards sedentary peoples such as the Chinese. Women played a relatively important role in Mongol Empire and in family, for example Töregene Khatun was briefly in charge of the Mongol Empire when next male Khagan was being chosen. Modern scholars refer to the alleged policy of encouraging trade and communication as the Pax Mongolica (Mongol Peace).</t>
  </si>
  <si>
    <t>What high maintenance part did Tesla's AC motor not require?</t>
  </si>
  <si>
    <t>Amazon_rainforest</t>
  </si>
  <si>
    <t>sold two years later</t>
  </si>
  <si>
    <t>What entity did Tesla believe would not be able to solve the problems of the time?</t>
  </si>
  <si>
    <t>What type of camera was used to record the Moon landing?</t>
  </si>
  <si>
    <t>round trip through all sites in Milan</t>
  </si>
  <si>
    <t>Japanese imports</t>
  </si>
  <si>
    <t>dozens</t>
  </si>
  <si>
    <t>Luther's hymns were included in early Lutheran hymnals and spread the ideas of the Reformation. He supplied four of eight songs of the First Lutheran hymnal Achtliederbuch, 18 of 26 songs of the Erfurt Enchiridion, and 24 of the 32 songs in the first choral hymnal with settings by Johann Walter, Eyn geystlich Gesangk Buchleyn, all published in 1524.</t>
  </si>
  <si>
    <t>Who lives no longer on average than Greeks and New Zealanders?</t>
  </si>
  <si>
    <t>campaigns on Lake Ontario</t>
  </si>
  <si>
    <t>What is commonly believed to be the value relationship between P and co-NP</t>
  </si>
  <si>
    <t>What is necessary to disobey?</t>
  </si>
  <si>
    <t>vice president</t>
  </si>
  <si>
    <t>The General Board of Church and Society, and the United Methodist Women</t>
  </si>
  <si>
    <t>The innate immune</t>
  </si>
  <si>
    <t>polynomial time algorithm</t>
  </si>
  <si>
    <t>In Newton's second law, what are the units of mass and force in relation to microscales?</t>
  </si>
  <si>
    <t>a village</t>
  </si>
  <si>
    <t>insulated tankers</t>
  </si>
  <si>
    <t>the park</t>
  </si>
  <si>
    <t>8 to 10 miles</t>
  </si>
  <si>
    <t>Augustinian friars</t>
  </si>
  <si>
    <t>what they deem to be unfair</t>
  </si>
  <si>
    <t>The majority of building construction jobs are what?</t>
  </si>
  <si>
    <t>What is the term for the arrangement of two unpaired electrons in dioxygen?</t>
  </si>
  <si>
    <t>What kind of organism is Cyanophora?</t>
  </si>
  <si>
    <t>thirty</t>
  </si>
  <si>
    <t>What proportion of the general population in the area than became Iran did Genghis Khan kill?</t>
  </si>
  <si>
    <t>the Department for Culture, Media and Sport.</t>
  </si>
  <si>
    <t>one major operation</t>
  </si>
  <si>
    <t>mild and sunny.</t>
  </si>
  <si>
    <t>Where did Tesla believe his talents came from?</t>
  </si>
  <si>
    <t>killed through overwork</t>
  </si>
  <si>
    <t>aided</t>
  </si>
  <si>
    <t>decrease in the price of skilled labor</t>
  </si>
  <si>
    <t>The church emphasizes the need to be in supportive ministry of what group?</t>
  </si>
  <si>
    <t>pressure terms associated with forces that act normal to the cross-sectional area (the matrix diagonals of the tensor) as well as shear terms</t>
  </si>
  <si>
    <t>In what compound is oxygen part of a ring arrangement?</t>
  </si>
  <si>
    <t>One theory is that, while disobedience may be helpful, any great amount of it would undermine the law by encouraging general disobedience which is neither conscientious nor of social benefit. Therefore, conscientious lawbreakers must be punished. Michael Bayles argues that if a person violates a law in order to create a test case as to the constitutionality of a law, and then wins his case, then that act did not constitute civil disobedience. It has also been argued that breaking the law for self-gratification, as in the case of a homosexual or cannabis user who does not direct his act at securing the repeal of amendment of the law, is not civil disobedience. Likewise, a protestor who attempts to escape punishment by committing the crime covertly and avoiding attribution, or by denying having committed the crime, or by fleeing the jurisdiction, is generally viewed as not being a civil disobedient.</t>
  </si>
  <si>
    <t>How much did the Milton Friedman Institute roughly cost?</t>
  </si>
  <si>
    <t>Newton's laws and Newtonian mechanics in general were first developed to describe how forces affect idealized point particles rather than three-dimensional objects. However, in real life, matter has extended structure and forces that act on one part of an object might affect other parts of an object. For situations where lattice holding together the atoms in an object is able to flow, contract, expand, or otherwise change shape, the theories of continuum mechanics describe the way forces affect the material. For example, in extended fluids, differences in pressure result in forces being directed along the pressure gradients as follows:</t>
  </si>
  <si>
    <t>July</t>
  </si>
  <si>
    <t>nuclear force</t>
  </si>
  <si>
    <t>governments of the United States, Britain, Germany and France</t>
  </si>
  <si>
    <t>In addition to the traveling salesman problem, what is another example of a function problem?</t>
  </si>
  <si>
    <t>One in five</t>
  </si>
  <si>
    <t>Mortgage bankers, accountants, and cost engineers are likely participants in creating an overall plan for the financial management of the building construction project. The presence of the mortgage banker is highly likely, even in relatively small projects since the owner's equity in the property is the most obvious source of funding for a building project. Accountants act to study the expected monetary flow over the life of the project and to monitor the payouts throughout the process. Cost engineers and estimators apply expertise to relate the work and materials involved to a proper valuation. Cost overruns with government projects have occurred when the contractor identified change orders or project changes that increased costs, which are not subject to competition from other firms as they have already been eliminated from consideration after the initial bid.</t>
  </si>
  <si>
    <t>Germanic tribes crossed the Rhine in the Migration period, by the 5th century establishing the kingdoms of Francia on the Lower Rhine, Burgundy on the Upper Rhine and Alemannia on the High Rhine. This "Germanic Heroic Age" is reflected in medieval legend, such as the Nibelungenlied which tells of the hero Siegfried killing a dragon on the Drachenfels (Siebengebirge) ("dragons rock"), near Bonn at the Rhine and of the Burgundians and their court at Worms, at the Rhine and Kriemhild's golden treasure, which was thrown into the Rhine by Hagen.</t>
  </si>
  <si>
    <t>The other third of the water flows through the Pannerdens Kanaal and redistributes in the IJssel and Nederrijn. The IJssel branch carries one ninth of the water flow of the Rhine north into the IJsselmeer (a former bay), while the Nederrijn carries approximately two ninths of the flow west along a route parallel to the Waal. However, at Wijk bij Duurstede, the Nederrijn changes its name and becomes the Lek. It flows farther west, to rejoin the Noord River into the Nieuwe Maas and to the North Sea.</t>
  </si>
  <si>
    <t>lymphocytes</t>
  </si>
  <si>
    <t>What is the term for the set of all connected graphs related to this decision problem?</t>
  </si>
  <si>
    <t>Antibodies transported from the mother to an infant via the placenta is an example of what type of short-lived immunity?</t>
  </si>
  <si>
    <t>Where are some words from the Geordia dialect used?</t>
  </si>
  <si>
    <t>Warraghiggey, meaning "He who does great things."</t>
  </si>
  <si>
    <t>a majority</t>
  </si>
  <si>
    <t>Pope</t>
  </si>
  <si>
    <t>What type of process was involved the the depletion of the Sun's oxygen 16?</t>
  </si>
  <si>
    <t>shipbuilding</t>
  </si>
  <si>
    <t>Healing services involve the laying on of hands and what else?</t>
  </si>
  <si>
    <t>Radio Lollipop</t>
  </si>
  <si>
    <t>receivers</t>
  </si>
  <si>
    <t>What denomination operates St Joseph's College?</t>
  </si>
  <si>
    <t>The Apollo astronauts were chosen from the Project Mercury and Gemini veterans, plus from two later astronaut groups. All missions were commanded by Gemini or Mercury veterans. Crews on all development flights (except the Earth orbit CSM development flights) through the first two landings on Apollo 11 and Apollo 12, included at least two (sometimes three) Gemini veterans. Dr. Harrison Schmitt, a geologist, was the first NASA scientist astronaut to fly in space, and landed on the Moon on the last mission, Apollo 17. Schmitt participated in the lunar geology training of all of the Apollo landing crews.</t>
  </si>
  <si>
    <t>October 16, 1973</t>
  </si>
  <si>
    <t>Ctenophores may be abundant during the summer months in some coastal locations, but in other places they are uncommon and difficult to find. In bays where they occur in very high numbers, predation by ctenophores may control the populations of small zooplanktonic organisms such as copepods, which might otherwise wipe out the phytoplankton (planktonic plants), which are a vital part of marine food chains. One ctenophore, Mnemiopsis, has accidentally been introduced into the Black Sea, where it is blamed for causing fish stocks to collapse by eating both fish larvae and organisms that would otherwise have fed the fish. The situation was aggravated by other factors, such as over-fishing and long-term environmental changes that promoted the growth of the Mnemiopsis population. The later accidental introduction of Beroe helped to mitigate the problem, as Beroe preys on other ctenophores.</t>
  </si>
  <si>
    <t>In the August 1917 edition of the magazine Electrical Experimenter Tesla postulated that electricity could be used to locate submarines via using the reflection of an "electric ray" of "tremendous frequency," with the signal being viewed on a fluorescent screen (a system that has been noted to have a superficial resemblance to modern radar). Tesla was incorrect in his assumption that high frequency radio waves would penetrate water but Émile Girardeau, who helped develop France's first radar system in the 1930s, noted in 1953 that Tesla's general speculation that a very strong high frequency signal would be needed was correct stating "(Tesla) was prophesying or dreaming, since he had at his disposal no means of carrying them out, but one must add that if he was dreaming, at least he was dreaming correctly.":266</t>
  </si>
  <si>
    <t>Following the success of the 2005 series produced by Russell T Davies, the BBC commissioned Davies to produce a 13-part spin-off series titled Torchwood (an anagram of "Doctor Who"), set in modern-day Cardiff and investigating alien activities and crime. The series debuted on BBC Three on 22 October 2006. John Barrowman reprised his role of Jack Harkness from the 2005 series of Doctor Who. Two other actresses who appeared in Doctor Who also star in the series; Eve Myles as Gwen Cooper, who also played the similarly named servant girl Gwyneth in the 2005 Doctor Who episode "The Unquiet Dead", and Naoko Mori who reprised her role as Toshiko Sato first seen in "Aliens of London". A second series of Torchwood aired in 2008; for three episodes, the cast was joined by Freema Agyeman reprising her Doctor Who role of Martha Jones. A third series was broadcast from 6 to 10 July 2009, and consisted of a single five-part story called Children of Earth which was set largely in London. A fourth series, Torchwood: Miracle Day jointly produced by BBC Wales, BBC Worldwide and the American entertainment company Starz debuted in 2011. The series was predominantly set in the United States, though Wales remained part of the show's setting.</t>
  </si>
  <si>
    <t>Uighurs surrendered peacefully without violently resisting</t>
  </si>
  <si>
    <t>During which era did the Aztec and Incan empires thrive?</t>
  </si>
  <si>
    <t>Holy Roman Empire.</t>
  </si>
  <si>
    <t>Why did Berlin Huguenots switch to German from French in their services?</t>
  </si>
  <si>
    <t>distributed computing</t>
  </si>
  <si>
    <t>deep-level</t>
  </si>
  <si>
    <t>high cost of medications</t>
  </si>
  <si>
    <t>Newton's First Law</t>
  </si>
  <si>
    <t>The Open Championship golf and The Wimbledon tennis tournaments</t>
  </si>
  <si>
    <t>said, "As to the Summons you send me to retire, I do not think myself obliged to obey it."</t>
  </si>
  <si>
    <t>In the early 1970s, ABC completed its transition to color; the decade as a whole would mark a turning point for ABC, as it began to pass CBS and NBC in the ratings to become the first place network. It also began to use behavioral and demographic data to better determine what types of sponsors to sell advertising slots to and provide programming that would appeal towards certain audiences. ABC's gains in audience share were greatly helped by the fact that several smaller markets had grown large enough to allow full-time affiliations from all three networks.</t>
  </si>
  <si>
    <t>Macroeconomic problems</t>
  </si>
  <si>
    <t>white flight</t>
  </si>
  <si>
    <t>his or her vocations on a daily basis</t>
  </si>
  <si>
    <t>What persons were not allowed to settle in New France?</t>
  </si>
  <si>
    <t>Where is the Apostles located?</t>
  </si>
  <si>
    <t>Doctor Who and the Pescatons</t>
  </si>
  <si>
    <t>Battle of Bạch Đằng</t>
  </si>
  <si>
    <t>physicians and other healthcare professionals</t>
  </si>
  <si>
    <t>What major category of conservation result in an object that is more attractive and more comprehensible to the viewer?</t>
  </si>
  <si>
    <t>When large groups of people all boycott a system or don't pay taxes it can be considered?</t>
  </si>
  <si>
    <t>What right do private schools have that public schools don't?</t>
  </si>
  <si>
    <t>Reserved</t>
  </si>
  <si>
    <t>an invasion of Britain</t>
  </si>
  <si>
    <t>What happened to the things inside the lab after it was torn down?</t>
  </si>
  <si>
    <t>medieval</t>
  </si>
  <si>
    <t>Parliamentary time is also set aside for question periods in the debating chamber. A "General Question Time" takes place on a Thursday between 11:40 a.m. and 12 p.m. where members can direct questions to any member of the Scottish Government. At 2.30pm, a 40-minute long themed "Question Time" takes place, where members can ask questions of ministers in departments that are selected for questioning that sitting day, such as health and justice or education and transport. Between 12 p.m. and 12:30 p.m. on Thursdays, when Parliament is sitting, First Minister's Question Time takes place. This gives members an opportunity to question the First Minister directly on issues under their jurisdiction. Opposition leaders ask a general question of the First Minister and then supplementary questions. Such a practice enables a "lead-in" to the questioner, who then uses their supplementary question to ask the First Minister any issue. The four general questions available to opposition leaders are:</t>
  </si>
  <si>
    <t>The Watermark business park</t>
  </si>
  <si>
    <t>What is the name of the post-independence government school system in Malaysia?</t>
  </si>
  <si>
    <t>What should a teacher guide a student in?</t>
  </si>
  <si>
    <t xml:space="preserve">What does each packet includ in connectionless mode </t>
  </si>
  <si>
    <t>whether it would do more harm than good</t>
  </si>
  <si>
    <t>Björn Waldegård, Hannu Mikkola, Tommi Mäkinen, Shekhar Mehta, Carlos Sainz and Colin McRae</t>
  </si>
  <si>
    <t xml:space="preserve"> What entity has taken the view that the goals of free trade are underpinned by the aims to improve people's well being?</t>
  </si>
  <si>
    <t>aboral organ</t>
  </si>
  <si>
    <t>In June 1978, Arledge created the newsmagazine 20/20; after its first episode received harshly negative reviews, the program – which debuted as a summer series, before becoming a year-round program in 1979 – was immediately revamped to feature a mix of in-depth stories and interviews, with Hugh Downs appointed as its anchor (later paired alongside his former Today colleague Barbara Walters). In February 1979, ABC sold its recording division to MCA Inc. for $20 million; the label was discontinued by March 5 of that year, and all of its 300 employees were laid off (the rights to the works of ABC Records and all of MCA's other labels have since been acquired by Universal Music Group).</t>
  </si>
  <si>
    <t>What museum in Newcastle is dedicated to children's books?</t>
  </si>
  <si>
    <t>How many Panthers were designated All-Pro?</t>
  </si>
  <si>
    <t>While in-house production had ceased, the BBC hoped to find an independent production company to relaunch the show. Philip Segal, a British expatriate who worked for Columbia Pictures' television arm in the United States, had approached the BBC about such a venture as early as July 1989, while the 26th series was still in production. Segal's negotiations eventually led to a Doctor Who television film, broadcast on the Fox Network in 1996 as a co-production between Fox, Universal Pictures, the BBC and BBC Worldwide. Although the film was successful in the UK (with 9.1 million viewers), it was less so in the United States and did not lead to a series.</t>
  </si>
  <si>
    <t>1870 to 1939</t>
  </si>
  <si>
    <t>sorghum</t>
  </si>
  <si>
    <t>determine the practical limits on what computers can and cannot do</t>
  </si>
  <si>
    <t>God's punishment for sin</t>
  </si>
  <si>
    <t>How many expansion stages are used by the triple expansion engine?</t>
  </si>
  <si>
    <t>an eccentric</t>
  </si>
  <si>
    <t>What could anyone do to Martin Luther without legal consequence?</t>
  </si>
  <si>
    <t>What does FOTA stand for?</t>
  </si>
  <si>
    <t>different ministers of the member states</t>
  </si>
  <si>
    <t>Which institution did the V&amp;A partnered with to open the first permanent architectural history gallery in the UK?</t>
  </si>
  <si>
    <t>Computational complexity theory</t>
  </si>
  <si>
    <t>primary law, secondary law and supplementary law.</t>
  </si>
  <si>
    <t>to extend networking benefits, for computer science departments at academic and research institutions that could not be directly connected to ARPANET</t>
  </si>
  <si>
    <t>medication regimen review</t>
  </si>
  <si>
    <t>What was there a significant minority of in Warsaw?</t>
  </si>
  <si>
    <t>How many times a year does The Council meet?</t>
  </si>
  <si>
    <t>What amount of time was the longest that Tesla spent working without stopping to rest?</t>
  </si>
  <si>
    <t>Catholic orthodoxy</t>
  </si>
  <si>
    <t>published his findings first</t>
  </si>
  <si>
    <t>What is the term for a hyperactive immune system that attacks normal tissues?</t>
  </si>
  <si>
    <t>Why do some tribes use remote sensing technology?</t>
  </si>
  <si>
    <t>$2 million</t>
  </si>
  <si>
    <t>the Seventh</t>
  </si>
  <si>
    <t>two poles</t>
  </si>
  <si>
    <t>cytotoxic or immunosuppressive drugs</t>
  </si>
  <si>
    <t>What does Rosenfield feel plays the most significant role in expanding the income gap?</t>
  </si>
  <si>
    <t>Motion pictures, petroleum and aircraft manufacturing have been major industries since which decade?</t>
  </si>
  <si>
    <t>Why was it thought that  ctenophores were a poor diet for other animals?</t>
  </si>
  <si>
    <t>When UPT bough ABC, what was the merged company called?</t>
  </si>
  <si>
    <t>When are the ashes now?</t>
  </si>
  <si>
    <t>political Islam</t>
  </si>
  <si>
    <t>Innate immune systems</t>
  </si>
  <si>
    <t>twice the figure for the average profession</t>
  </si>
  <si>
    <t>present-day Upstate New York and the Ohio Country</t>
  </si>
  <si>
    <t>What does it take a country with high inequality longer to achieve?</t>
  </si>
  <si>
    <t>To avoid confusing or upsetting the people, Luther avoided extreme change. He also did not wish to replace one controlling system with another. He concentrated on the church in the Electorate of Saxony, acting only as an adviser to churches in new territories, many of which followed his Saxon model. He worked closely with the new elector, John the Steadfast, to whom he turned for secular leadership and funds on behalf of a church largely shorn of its assets and income after the break with Rome. For Luther's biographer Martin Brecht, this partnership "was the beginning of a questionable and originally unintended development towards a church government under the temporal sovereign". The elector authorised a visitation of the church, a power formerly exercised by bishops. At times, Luther's practical reforms fell short of his earlier radical pronouncements. For example, the Instructions for the Visitors of Parish Pastors in Electoral Saxony (1528), drafted by Melanchthon with Luther's approval, stressed the role of repentance in the forgiveness of sins, despite Luther's position that faith alone ensures justification. The Eisleben reformer Johannes Agricola challenged this compromise, and Luther condemned him for teaching that faith is separate from works. The Instruction is a problematic document for those seeking a consistent evolution in Luther's thought and practice.</t>
  </si>
  <si>
    <t>What status has the Brotherhood obtained in the Islamic world?</t>
  </si>
  <si>
    <t>What is an example of a steam-powered automobile?</t>
  </si>
  <si>
    <t>Before Genghis Khan died, he assigned Ögedei Khan as his successor and split his empire into khanates among his sons and grandsons. He died in 1227 after defeating the Western Xia. He was buried in an unmarked grave somewhere in Mongolia at an unknown location. His descendants extended the Mongol Empire across most of Eurasia by conquering or creating vassal states out of all of modern-day China, Korea, the Caucasus, Central Asia, and substantial portions of modern Eastern Europe, Russia, and Southwest Asia. Many of these invasions repeated the earlier large-scale slaughters of local populations. As a result, Genghis Khan and his empire have a fearsome reputation in local histories.</t>
  </si>
  <si>
    <t>an international data communications network</t>
  </si>
  <si>
    <t>What injury did Thomas Davis suffer in the NFC Championship?</t>
  </si>
  <si>
    <t>What satellite enabled Sky Digital to launch an all new digital service?</t>
  </si>
  <si>
    <t>What happened to the AS-205 mission originally?</t>
  </si>
  <si>
    <t>How many G3P molecules leave the cycle?</t>
  </si>
  <si>
    <t>glowed even when turned off</t>
  </si>
  <si>
    <t>belonging to Warsz</t>
  </si>
  <si>
    <t>In 2005, parts of the Amazon basin experienced the worst drought in one hundred years, and there were indications that 2006 could have been a second successive year of drought. A July 23, 2006 article in the UK newspaper The Independent reported Woods Hole Research Center results showing that the forest in its present form could survive only three years of drought. Scientists at the Brazilian National Institute of Amazonian Research argue in the article that this drought response, coupled with the effects of deforestation on regional climate, are pushing the rainforest towards a "tipping point" where it would irreversibly start to die. It concludes that the forest is on the brink of being turned into savanna or desert, with catastrophic consequences for the world's climate.</t>
  </si>
  <si>
    <t>pharmacy health care</t>
  </si>
  <si>
    <t>many elderly people are now taking numerous medications but continue to live outside of institutional settings</t>
  </si>
  <si>
    <t>What present-day area was this settlement near?</t>
  </si>
  <si>
    <t>What are the attacks on teachers causing?</t>
  </si>
  <si>
    <t>names</t>
  </si>
  <si>
    <t>under the temporal sovereign</t>
  </si>
  <si>
    <t>In 1749 the British government gave land to the Ohio Company of Virginia for the purpose of developing trade and settlements in the Ohio Country. The grant required that it settle 100 families in the territory, and construct a fort for their protection. But, as the territory was also claimed by Pennsylvania, both colonies began pushing for action to improve their respective claims. In 1750 Christopher Gist, acting on behalf of both Virginia and the company, explored the Ohio territory and opened negotiations with the Indian tribes at Logstown. He completed the 1752 Treaty of Logstown in which the local Indians, through their "Half-King" Tanacharison and an Iroquois representative, agreed to terms that included permission to build a "strong house" at the mouth of the Monongahela River (the site of present-day Pittsburgh, Pennsylvania). By the late 17th century, the Iroquois had pushed many tribes out of the Ohio Valley, and kept it as hunting ground by right of conquest.</t>
  </si>
  <si>
    <t>United Methodist Church (UMC)</t>
  </si>
  <si>
    <t>turbulent history of the city and country</t>
  </si>
  <si>
    <t>What is a main duty of the GPhC?</t>
  </si>
  <si>
    <t>September 1971</t>
  </si>
  <si>
    <t>The rainforest contains several species that can pose a hazard. Among the largest predatory creatures are the black caiman, jaguar, cougar, and anaconda. In the river, electric eels can produce an electric shock that can stun or kill, while piranha are known to bite and injure humans. Various species of poison dart frogs secrete lipophilic alkaloid toxins through their flesh. There are also numerous parasites and disease vectors. Vampire bats dwell in the rainforest and can spread the rabies virus. Malaria, yellow fever and Dengue fever can also be contracted in the Amazon region.</t>
  </si>
  <si>
    <t>more than half</t>
  </si>
  <si>
    <t>innate immune system versus the adaptive immune system</t>
  </si>
  <si>
    <t>commensal flora</t>
  </si>
  <si>
    <t>both the government and the National Assembly and the Senate</t>
  </si>
  <si>
    <t>shocked</t>
  </si>
  <si>
    <t>broken arm</t>
  </si>
  <si>
    <t>red algal derived</t>
  </si>
  <si>
    <t>six quadrangles</t>
  </si>
  <si>
    <t>Warfare and the long occupation</t>
  </si>
  <si>
    <t>Each year</t>
  </si>
  <si>
    <t>At first, what did oxygen and iron combine to form?</t>
  </si>
  <si>
    <t>What is the name of Mongolia's largest airport?</t>
  </si>
  <si>
    <t>An algorithm for X which reduces to C would us to do what?</t>
  </si>
  <si>
    <t>ring theory</t>
  </si>
  <si>
    <t>One of the earliest surviving examples of European quilting, the late 14th-century Sicilian Tristan Quilt, is also held by the collection. The collection has numerous examples of various types of textiles designed by William Morris, including, embroidery, woven fabrics, tapestries (Including 'The Forest' tapestry of 1887), rugs and carpets, as well as pattern books and paper designs. The art deco period is covered by rugs and fabrics designed by Marion Dorn. From the same period there is a rug designed by Serge Chermayeff.</t>
  </si>
  <si>
    <t>Newcastle_upon_Tyne</t>
  </si>
  <si>
    <t>prosperity</t>
  </si>
  <si>
    <t>In 1993, for the franchise's 30th anniversary, another charity special, titled Dimensions in Time was produced for Children in Need, featuring all of the surviving actors who played the Doctor and a number of previous companions. It also featured a crossover with the soap opera EastEnders, the action taking place in the latter's Albert Square location and around Greenwich. The special was one of several special 3D programmes the BBC produced at the time, using a 3D system that made use of the Pulfrich effect requiring glasses with one darkened lens; the picture would look normal to those viewers who watched without the glasses.</t>
  </si>
  <si>
    <t>What can proplastids become?</t>
  </si>
  <si>
    <t>zeolite molecular sieves</t>
  </si>
  <si>
    <t>What is  the time rate of change of electric charge?</t>
  </si>
  <si>
    <t>three study contracts</t>
  </si>
  <si>
    <t>the flail of God</t>
  </si>
  <si>
    <t>Mean monthly temperatures range from around 53 F in January to 82 F in July. High temperatures average 64 to 92 °F (18 to 33 °C) throughout the year. High heat indices are common for the summer months in the area, with indices above 110 °F (43.3 °C) possible. The highest temperature recorded was 104 °F (40 °C) on July 11, 1879 and July 28, 1872. It is common for thunderstorms to erupt during a typical summer afternoon. These are caused by the rapid heating of the land relative to the water, combined with extremely high humidity.</t>
  </si>
  <si>
    <t>For some decades prior to the First Palestine Intifada in 1987, the Muslim Brotherhood in Palestine took a "quiescent" stance towards Israel, focusing on preaching, education and social services, and benefiting from Israel's "indulgence" to build up a network of mosques and charitable organizations. As the First Intifada gathered momentum and Palestinian shopkeepers closed their shops in support of the uprising, the Brotherhood announced the formation of HAMAS ("zeal"), devoted to Jihad against Israel. Rather than being more moderate than the PLO, the 1988 Hamas charter took a more uncompromising stand, calling for the destruction of Israel and the establishment of an Islamic state in Palestine. It was soon competing with and then overtaking the PLO for control of the intifada. The Brotherhood's base of devout middle class found common cause with the impoverished youth of the intifada in their cultural conservatism and antipathy for activities of the secular middle class such as drinking alcohol and going about without hijab.</t>
  </si>
  <si>
    <t>disciples</t>
  </si>
  <si>
    <t>What is an example of a problem that rests within the NP complexity class?</t>
  </si>
  <si>
    <t>the industrialized nations increased their reserves</t>
  </si>
  <si>
    <t>the Society of St Pius X</t>
  </si>
  <si>
    <t>This was the first Super Bowl to feature a quarterback on both teams who was the #1 pick in their draft classes. Manning was the #1 selection of the 1998 NFL draft, while Newton was picked first in 2011. The matchup also pits the top two picks of the 2011 draft against each other: Newton for Carolina and Von Miller for Denver. Manning and Newton also set the record for the largest age difference between opposing Super Bowl quarterbacks at 13 years and 48 days (Manning was 39, Newton was 26).</t>
  </si>
  <si>
    <t>What Philadelphia institution did Tesla give a demonstration to?</t>
  </si>
  <si>
    <t>ice-sheets</t>
  </si>
  <si>
    <t>What do ctenophore use to capture their prey?</t>
  </si>
  <si>
    <t>What is the public library seen as to Kenyans?</t>
  </si>
  <si>
    <t>stabilize the rest of the chloroplast</t>
  </si>
  <si>
    <t>What has caused Oxfam's findings to be questioned?</t>
  </si>
  <si>
    <t>In 1755, six colonial governors in North America met with General Edward Braddock, the newly arrived British Army commander, and planned a four-way attack on the French. None succeeded and the main effort by Braddock was a disaster; he was defeated in the Battle of the Monongahela on July 9, 1755 and died a few days later. British operations in 1755, 1756 and 1757 in the frontier areas of Pennsylvania and New York all failed, due to a combination of poor management, internal divisions, and effective Canadian scouts, French regular forces, and Indian warrior allies. In 1755, the British captured Fort Beauséjour on the border separating Nova Scotia from Acadia; soon afterward they ordered the expulsion of the Acadians. Orders for the deportation were given by William Shirley, Commander-in-Chief, North America, without direction from Great Britain. The Acadians, both those captured in arms and those who had sworn the loyalty oath to His Britannic Majesty, were expelled. Native Americans were likewise driven off their land to make way for settlers from New England.</t>
  </si>
  <si>
    <t>1 October 1998</t>
  </si>
  <si>
    <t>immunomodulators</t>
  </si>
  <si>
    <t>How did Luther describe his time in the order?</t>
  </si>
  <si>
    <t>What flows between Bingen and Bonn?</t>
  </si>
  <si>
    <t xml:space="preserve">What are some of scientists arguments? </t>
  </si>
  <si>
    <t>the United Nations Framework Convention on Climate Change (UNFCCC),</t>
  </si>
  <si>
    <t>mass production</t>
  </si>
  <si>
    <t>Cambrian period.</t>
  </si>
  <si>
    <t>Where is the Jazz Jamboree hosted?</t>
  </si>
  <si>
    <t>What happened when cyanobacteria was assimilated?</t>
  </si>
  <si>
    <t>Sports programming is also provided on some weekend afternoons at any time from 12:00 to 6:00 p.m. Eastern Time (9:00 a.m. to 3:00 p.m. Pacific) and, during college football season, during prime time on Saturday nights as part of the Saturday Night Football package. Due to the erratic and (outside of college football season) highly inconsistent scheduling of sports programming on weekend afternoons since ESPN took over responsibilities for ABC's sports division in 2006, ABC carries the ESPN Sports Saturday block on Saturday late afternoons (featuring various ESPN-produced documentaries), and on Sundays either encores of primetime reality series, cancelled series being burned off that had no room on the primetime schedule, occasional theatrical films which were acquired by the network in the early to mid-2000s that no longer have a primetime slot to air in or more recently, figure skating and gymnastics specials supplied by Disson Skating, when no sports telecasts are scheduled, usually airing between 4:00 and 6:00 p.m. Eastern and Pacific Time. During the summer, ABC airs ESPN-produced highlight compilation programs for The Open Championship golf and The Wimbledon tennis tournaments to provide some presence for both events on American broadcast television. ABC also carries various X Games weekend events not broadcast by ESPN. ABC airs NBA games on Sundays, normally starting in January as "NBA Sunday Showcase" during the regular season, and shows Christmas Day games, regularly between 2–7 PM ET, and NBA playoff games during the weekends, and exclusive rights to the NBA Finals.</t>
  </si>
  <si>
    <t>AUSTPAC was an Australian public X.25 network operated by Telstra</t>
  </si>
  <si>
    <t>How much food does a ctenophora eat in a day?</t>
  </si>
  <si>
    <t>August 1944</t>
  </si>
  <si>
    <t>the three-region point of view</t>
  </si>
  <si>
    <t>support an attack</t>
  </si>
  <si>
    <t>The issues of what era did Tesla's article talk about?</t>
  </si>
  <si>
    <t>heat shield</t>
  </si>
  <si>
    <t>Europe itself.</t>
  </si>
  <si>
    <t>the Song dynasty</t>
  </si>
  <si>
    <t>Who conceptualized the aeolipile?</t>
  </si>
  <si>
    <t>the Moon</t>
  </si>
  <si>
    <t>by experience</t>
  </si>
  <si>
    <t>July 20, 1969</t>
  </si>
  <si>
    <t>What kind of economy did northern California start to grow in the 2000s?</t>
  </si>
  <si>
    <t>about the disposition of prisoners' personal effects</t>
  </si>
  <si>
    <t>higher economic inequality</t>
  </si>
  <si>
    <t>Treaties apply as soon as they enter into force, unless stated otherwise, and are generally concluded for an unlimited period</t>
  </si>
  <si>
    <t>glucose monomers</t>
  </si>
  <si>
    <t>Super Bowl 50 was an American football game to determine the champion of the National Football League (NFL) for the 2015 season. The American Football Conference (AFC) champion Denver Broncos defeated the National Football Conference (NFC) champion Carolina Panthers 24–10 to earn their third Super Bowl title. The game was played on February 7, 2016, at Levi's Stadium in the San Francisco Bay Area at Santa Clara, California. As this was the 50th Super Bowl, the league emphasized the "golden anniversary" with various gold-themed initiatives, as well as temporarily suspending the tradition of naming each Super Bowl game with Roman numerals (under which the game would have been known as "Super Bowl L"), so that the logo could prominently feature the Arabic numerals 50.</t>
  </si>
  <si>
    <t>What is Pedanius Dioscorides known for?</t>
  </si>
  <si>
    <t>best teachers</t>
  </si>
  <si>
    <t>In the United States, the industry in 2014 has around $960 billion in annual revenue according to statistics tracked by the Census Bureau, of which $680 billion is private (split evenly between residential and nonresidential) and the remainder is government. As of 2005, there were about 667,000 firms employing 1 million contractors (200,000 general contractors, 38,000 heavy, and 432,000 specialty); the average contractor employed fewer than 10 employees. As a whole, the industry employed an estimated 5.8 million as of April 2013, with a 13.2% unemployment rate. In the United States, approximately 828,000 women were employed in the construction industry as of 2011.</t>
  </si>
  <si>
    <t>What type of vote must the Parliament have to either block or suggest changes to the Commission's proposals?</t>
  </si>
  <si>
    <t>Each sitting day, normally at 5 pm, MSPs decide on all the motions and amendments that have been moved that day. This "Decision Time" is heralded by the sounding of the division bell, which is heard throughout the Parliamentary campus and alerts MSPs who are not in the chamber to return and vote. At Decision Time, the Presiding Officer puts questions on the motions and amendments by reading out the name of the motion or amendment as well as the proposer and asking "Are we all agreed?", to which the chamber first votes orally. If there is audible dissent, the Presiding Officer announces "There will be a division" and members vote by means of electronic consoles on their desks. Each MSP has a unique access card with a microchip which, when inserted into the console, identifies them and allows them to vote. As a result, the outcome of each division is known in seconds.</t>
  </si>
  <si>
    <t>relation to the state and its laws</t>
  </si>
  <si>
    <t>Who did Carolina beat in the NFC championship game?</t>
  </si>
  <si>
    <t>What did he claim the weapon would end?</t>
  </si>
  <si>
    <t>Ku band</t>
  </si>
  <si>
    <t>Which episode featured the return of William Hartnell?</t>
  </si>
  <si>
    <t>It became clear that managing the Apollo program would exceed the capabilities of Robert R. Gilruth's Space Task Group, which had been directing the nation's manned space program from NASA's Langley Research Center. So Gilruth was given authority to grow his organization into a new NASA center, the Manned Spacecraft Center (MSC). A site was chosen in Houston, Texas, on land donated by Rice University, and Administrator Webb announced the conversion on September 19, 1961. It was also clear NASA would soon outgrow its practice of controlling missions from its Cape Canaveral Air Force Station launch facilities in Florida, so a new Mission Control Center would be included in the MSC.</t>
  </si>
  <si>
    <t>School for Naval Architects</t>
  </si>
  <si>
    <t>Fielding H. Garrison believes that the science of geology can be traced to where?</t>
  </si>
  <si>
    <t>Their local rivals, Polonia Warsaw, have significantly fewer supporters, yet they managed to win Ekstraklasa Championship in 2000. They also won the country’s championship in 1946, and won the cup twice as well. Polonia's home venue is located at Konwiktorska Street, a ten-minute walk north from the Old Town. Polonia was relegated from the country's top flight in 2013 because of their disastrous financial situation. They are now playing in the 4th league (5th tier in Poland) -the bottom professional league in the National – Polish Football Association (PZPN) structure.</t>
  </si>
  <si>
    <t>What change in conditions may make the Amazon rainforest unsustainable?</t>
  </si>
  <si>
    <t>poles</t>
  </si>
  <si>
    <t>innate immune system</t>
  </si>
  <si>
    <t>Members of which organizations are disqualified from sitting in the SP as elected MSPs?</t>
  </si>
  <si>
    <t>last mission,</t>
  </si>
  <si>
    <t>modern soils</t>
  </si>
  <si>
    <t>eight</t>
  </si>
  <si>
    <t>the Mission Council (usually consisting of church bishops)</t>
  </si>
  <si>
    <t>what did tesla do at his old school in 1879?</t>
  </si>
  <si>
    <t>from giving her brother Polynices a proper burial</t>
  </si>
  <si>
    <t>When did President Uhuru Kenyatta sign a Security Law Amendment Bill?</t>
  </si>
  <si>
    <t>small islands</t>
  </si>
  <si>
    <t>What are auricles?</t>
  </si>
  <si>
    <t>making ARPANET technology public</t>
  </si>
  <si>
    <t>Song dynasty</t>
  </si>
  <si>
    <t>gambling</t>
  </si>
  <si>
    <t>SAP Center in San Jose.</t>
  </si>
  <si>
    <t>continued application of a force</t>
  </si>
  <si>
    <t>the Chinese dynasties to the south</t>
  </si>
  <si>
    <t>being methodical and exceptionally detailed in their Bible study, opinions and disciplined lifestyle.</t>
  </si>
  <si>
    <t>a rock concert</t>
  </si>
  <si>
    <t>shipping toxic waste</t>
  </si>
  <si>
    <t>What the marginal utility of wealth per income per person do as that person becomes richer?</t>
  </si>
  <si>
    <t>Who was responsible for the new building projects in Jacksonville?</t>
  </si>
  <si>
    <t>that a delay costs money, and in cases of bottlenecks, the delay can be extremely expensive</t>
  </si>
  <si>
    <t>to attend school</t>
  </si>
  <si>
    <t>What are two official bodies of the UMC governing coalition?</t>
  </si>
  <si>
    <t>All actions by EU institutions can be subject to judicial review</t>
  </si>
  <si>
    <t>flax cultivation</t>
  </si>
  <si>
    <t>severely reduced rainfall and increased temperatures</t>
  </si>
  <si>
    <t>the Old Town Hall,</t>
  </si>
  <si>
    <t>"cellular" and "humoral"</t>
  </si>
  <si>
    <t>What element makes up almost half of the earth's crust by mass?</t>
  </si>
  <si>
    <t>Liquid oxygen</t>
  </si>
  <si>
    <t>Oxygen is more soluble in water than nitrogen is. Water in equilibrium with air contains approximately 1 molecule of dissolved O
2 for every 2 molecules of N
2, compared to an atmospheric ratio of approximately 1:4. The solubility of oxygen in water is temperature-dependent, and about twice as much (14.6 mg·L−1) dissolves at 0 °C than at 20 °C (7.6 mg·L−1). At 25 °C and 1 standard atmosphere (101.3 kPa) of air, freshwater contains about 6.04 milliliters (mL) of oxygen per liter, whereas seawater contains about 4.95 mL per liter. At 5 °C the solubility increases to 9.0 mL (50% more than at 25 °C) per liter for water and 7.2 mL (45% more) per liter for sea water.</t>
  </si>
  <si>
    <t>chief electrician</t>
  </si>
  <si>
    <t>What are presented to parliament in addition to the bill itself?</t>
  </si>
  <si>
    <t>After World War II, under a Communist regime set up by the conquering Soviets, the "Bricks for Warsaw" campaign was initiated, and large prefabricated housing projects were erected in Warsaw to address the housing shortage, along with other typical buildings of an Eastern Bloc city, such as the Palace of Culture and Science, a gift from the Soviet Union. The city resumed its role as the capital of Poland and the country's centre of political and economic life. Many of the historic streets, buildings, and churches were restored to their original form. In 1980, Warsaw's historic Old Town was inscribed onto UNESCO's World Heritage list.</t>
  </si>
  <si>
    <t>Trinity-St. Paul's Episcopal Church</t>
  </si>
  <si>
    <t>What word was Luther criticized for adding in Romans3:28?</t>
  </si>
  <si>
    <t>What will a society with more equality have?</t>
  </si>
  <si>
    <t>triplet-stacked</t>
  </si>
  <si>
    <t>warm and humid tropical climate</t>
  </si>
  <si>
    <t>What is the KNLS responsible for?</t>
  </si>
  <si>
    <t>Most of the Chinese works of art in the Far Eastern collections date from which two dynasties?</t>
  </si>
  <si>
    <t>seconds</t>
  </si>
  <si>
    <t>the sixteenth century</t>
  </si>
  <si>
    <t>the Liao, Jin, and Song</t>
  </si>
  <si>
    <t xml:space="preserve">What is the conventional measurement of the Rhine? </t>
  </si>
  <si>
    <t>Who decides who gets to speak in the chamber debates?</t>
  </si>
  <si>
    <t>Which two governing bodies have legislative veto power?</t>
  </si>
  <si>
    <t>after the end of the Mexican War.</t>
  </si>
  <si>
    <t>The Ten Commandments, and the beginnings of the renewed life of Christians accorded to them by the sacrament of baptism, are a present foreshadowing of the believers' future angel-like life in heaven in the midst of this life. Luther's teaching of the Ten Commandments, therefore, has clear eschatological overtones, which, characteristically for Luther, do not encourage world-flight but direct the Christian to service to the neighbor in the common, daily vocations of this perishing world.</t>
  </si>
  <si>
    <t>Where is the border of Swiss and Austria?</t>
  </si>
  <si>
    <t>parallel to the canalized Rhine into the lake.</t>
  </si>
  <si>
    <t>a recurring decimal</t>
  </si>
  <si>
    <t>The chloroplasts of some hornworts and algae contain structures called pyrenoids. They are not found in higher plants. Pyrenoids are roughly spherical and highly refractive bodies which are a site of starch accumulation in plants that contain them. They consist of a matrix opaque to electrons, surrounded by two hemispherical starch plates. The starch is accumulated as the pyrenoids mature. In algae with carbon concentrating mechanisms, the enzyme rubisco is found in the pyrenoids. Starch can also accumulate around the pyrenoids when CO2 is scarce. Pyrenoids can divide to form new pyrenoids, or be produced "de novo".</t>
  </si>
  <si>
    <t>time and space hierarchy theorems</t>
  </si>
  <si>
    <t>Where did Temüjin hide during his escape from the Tayichi'ud?</t>
  </si>
  <si>
    <t>deficiencies existed in Command Module design, workmanship and quality control</t>
  </si>
  <si>
    <t>reduction</t>
  </si>
  <si>
    <t>It is uncertain how ctenophores control their buoyancy, but experiments have shown that some species rely on osmotic pressure to adapt to water of different densities. Their body fluids are normally as concentrated as seawater. If they enter less dense brackish water, the ciliary rosettes in the body cavity may pump this into the mesoglea to increase its bulk and decrease its density, to avoid sinking. Conversely if they move from brackish to full-strength seawater, the rosettes may pump water out of the mesoglea to reduce its volume and increase its density.</t>
  </si>
  <si>
    <t>dummy upper stages filled with water</t>
  </si>
  <si>
    <t>What do government's run that affects teachers?</t>
  </si>
  <si>
    <t>the prime number theorem</t>
  </si>
  <si>
    <t>When is the Wianki festival held?</t>
  </si>
  <si>
    <t>How many chloroplasts are in a square mm of a leaf?</t>
  </si>
  <si>
    <t>What issue plagues the literature about civil disobedience?</t>
  </si>
  <si>
    <t>significantly milder than some other locations</t>
  </si>
  <si>
    <t>Since its foundation</t>
  </si>
  <si>
    <t>broken wing and leg</t>
  </si>
  <si>
    <t>What was the general consensus Johnson came to regarding America's progress on going to space and reaching a position of leadership?</t>
  </si>
  <si>
    <t>What is another name for an immune system's improved response?</t>
  </si>
  <si>
    <t>What is the axis of Warsaw which divides it into two parts?</t>
  </si>
  <si>
    <t>pump hydrogen ions into the thylakoid space</t>
  </si>
  <si>
    <t>What approach did Oppenheimer advocate?</t>
  </si>
  <si>
    <t>How is the process of allocating seats repeated until all available seats have been determined?</t>
  </si>
  <si>
    <t>on 22 May 2006</t>
  </si>
  <si>
    <t>the name was incorrect</t>
  </si>
  <si>
    <t>a delay costs money</t>
  </si>
  <si>
    <t>What reasons cause failure of the disobedience with authorities?</t>
  </si>
  <si>
    <t>San Jose State practice facility</t>
  </si>
  <si>
    <t>What degree is now mandatory in the U.S. in order to be a licensed pharmacist?</t>
  </si>
  <si>
    <t>What are the two symbols that signify pharmacy in English-speaking countries?</t>
  </si>
  <si>
    <t>unknown</t>
  </si>
  <si>
    <t>What site is located in the San Francisco Bay Area?</t>
  </si>
  <si>
    <t>talking to criminal investigators</t>
  </si>
  <si>
    <t>a citizen's relation to the state and its laws</t>
  </si>
  <si>
    <t>Other important complexity classes include BPP, ZPP and RP, which are defined using probabilistic Turing machines; AC and NC, which are defined using Boolean circuits; and BQP and QMA, which are defined using quantum Turing machines. #P is an important complexity class of counting problems (not decision problems). Classes like IP and AM are defined using Interactive proof systems. ALL is the class of all decision problems.</t>
  </si>
  <si>
    <t>Where might the doctor's self-interest be at odds with the patient's self-interest?</t>
  </si>
  <si>
    <t>Where is Doctor Who the record holder for most successful science fiction series of all time?</t>
  </si>
  <si>
    <t>the warmest months from May through September</t>
  </si>
  <si>
    <t>Beginning how many years ago did the amazon rainforest extend 45 degrees south?</t>
  </si>
  <si>
    <t>What type of defense is sometimes used in court by protestors?</t>
  </si>
  <si>
    <t>What are teachers expected to give their students?</t>
  </si>
  <si>
    <t>European People's Party</t>
  </si>
  <si>
    <t>formal education</t>
  </si>
  <si>
    <t>government officials and climate change experts</t>
  </si>
  <si>
    <t>Kumbum Monastery or Ta'er Shi near Xining</t>
  </si>
  <si>
    <t xml:space="preserve">Who are the oldest villains from the Doctor Who series? </t>
  </si>
  <si>
    <t>Which is one of the park features located in North Fresno?</t>
  </si>
  <si>
    <t>wool</t>
  </si>
  <si>
    <t>What is to blame for the burdens in health care in Kenya?</t>
  </si>
  <si>
    <t>What are some proposals to connect campuses?</t>
  </si>
  <si>
    <t>Santa Clara University</t>
  </si>
  <si>
    <t>In what process is singlet oxygen usually formed?</t>
  </si>
  <si>
    <t>redistributive taxation</t>
  </si>
  <si>
    <t>students</t>
  </si>
  <si>
    <t>musicians</t>
  </si>
  <si>
    <t>human reason</t>
  </si>
  <si>
    <t>vote</t>
  </si>
  <si>
    <t>What would change the rotational inertia of a body under Newton's First Law of Motion?</t>
  </si>
  <si>
    <t>Religious and spiritual teachers, such as gurus, mullahs, rabbis, pastors/youth pastors and lamas, may teach religious texts such as the Quran, Torah or Bible.</t>
  </si>
  <si>
    <t>Which c1622-23 sculpture by Bernini are included in the sculpture collection?</t>
  </si>
  <si>
    <t>In 1872, the Central Pacific Railroad established a station near Easterby's—by now a hugely productive wheat farm—for its new Southern Pacific line. Soon there was a store around the station and the store grew the town of Fresno Station, later called Fresno. Many Millerton residents, drawn by the convenience of the railroad and worried about flooding, moved to the new community. Fresno became an incorporated city in 1885. By 1931 the Fresno Traction Company operated 47 streetcars over 49 miles of track.</t>
  </si>
  <si>
    <t>Chinese and Japanese ceramics</t>
  </si>
  <si>
    <t>Newcastle served as a northern fortress for which country during the Middle Ages?</t>
  </si>
  <si>
    <t>The election produced a majority SNP government, making this the first time in the Scottish Parliament where a party has commanded a parliamentary majority. The SNP took 16 seats from Labour, with many of their key figures not returned to parliament, although Labour leader Iain Gray retained East Lothian by 151 votes. The SNP took a further eight seats from the Liberal Democrats and one seat from the Conservatives. The SNP overall majority meant that there was sufficient support in the Scottish Parliament to hold a referendum on Scottish independence.</t>
  </si>
  <si>
    <t>Like sponges and cnidarians, ctenophores have two main layers of cells that sandwich a middle layer of jelly-like material, which is called the mesoglea in cnidarians and ctenophores; more complex animals have three main cell layers and no intermediate jelly-like layer. Hence ctenophores and cnidarians have traditionally been labelled diploblastic, along with sponges. Both ctenophores and cnidarians have a type of muscle that, in more complex animals, arises from the middle cell layer, and as a result some recent text books classify ctenophores as triploblastic, while others still regard them as diploblastic.</t>
  </si>
  <si>
    <t>twice as much</t>
  </si>
  <si>
    <t>one way</t>
  </si>
  <si>
    <t>What types of organizations are on a decline in the US which adversely effects economic mobility?</t>
  </si>
  <si>
    <t>Which Germans could understand the language Luther used?</t>
  </si>
  <si>
    <t>Last Glacial Maximum</t>
  </si>
  <si>
    <t>Continual motion along the fault</t>
  </si>
  <si>
    <t>On the Computational Complexity of Algorithms</t>
  </si>
  <si>
    <t>orphans</t>
  </si>
  <si>
    <t xml:space="preserve">Was the Use of the DATANET 1 name correct </t>
  </si>
  <si>
    <t>each stage of photosynthesis</t>
  </si>
  <si>
    <t>René-Robert Cavelier, Sieur de La Salle had explored the Ohio Country nearly a century earlier</t>
  </si>
  <si>
    <t>Victoria (abbreviated as Vic) is a state in the south-east of Australia. Victoria is Australia's most densely populated state and its second-most populous state overall. Most of its population is concentrated in the area surrounding Port Phillip Bay, which includes the metropolitan area of its capital and largest city, Melbourne, which is Australia's second-largest city. Geographically the smallest state on the Australian mainland, Victoria is bordered by Bass Strait and Tasmania to the south,[note 1] New South Wales to the north, the Tasman Sea to the east, and South Australia to the west.</t>
  </si>
  <si>
    <t>high-gain S-band antenna</t>
  </si>
  <si>
    <t>How much windblown dust leaves the Sahara each year?</t>
  </si>
  <si>
    <t>specific</t>
  </si>
  <si>
    <t>Mission Council</t>
  </si>
  <si>
    <t>Who approved of this plan?</t>
  </si>
  <si>
    <t xml:space="preserve">What is an example of an NP-intermediate problem not known to exist in P or NP-complete? </t>
  </si>
  <si>
    <t>Daytime programming is also provided from 11:00 a.m. to 3:00 p.m. weekdays (with a one-hour break at 12:00 p.m. Eastern/Pacific for stations to air newscasts, other locally produced programming such as talk shows, or syndicated programs) featuring the talk/lifestyle shows The View and The Chew and the soap opera General Hospital. ABC News programming includes Good Morning America from 7:00 to 9:00 a.m. weekdays (along with one-hour weekend editions); nightly editions of ABC World News Tonight (whose weekend editions are occasionally subject to abbreviation or preemption due to sports telecasts overrunning into the program's timeslot), the Sunday political talk show This Week, early morning news programs World News Now and America This Morning and the late night newsmagazine Nightline. Late nights feature the weeknight talk show Jimmy Kimmel Live!.</t>
  </si>
  <si>
    <t>social unrest and violence</t>
  </si>
  <si>
    <t>philanthropy</t>
  </si>
  <si>
    <t>Rice University</t>
  </si>
  <si>
    <t>around $200 million</t>
  </si>
  <si>
    <t>pivotal event</t>
  </si>
  <si>
    <t>What mechanism can be used to make oxygen?</t>
  </si>
  <si>
    <t>Where did the Song dynasty continue to cause problems for Kublai?</t>
  </si>
  <si>
    <t>38–41 °C</t>
  </si>
  <si>
    <t>What field involves the study of the immune system?</t>
  </si>
  <si>
    <t>where voters were supposed to line up behind their favoured candidates instead of a secret ballot</t>
  </si>
  <si>
    <t>BSkyB's direct-to-home satellite service became available in 10 million homes in 2010, Europe's first pay-TV platform in to achieve that milestone. Confirming it had reached its target, the broadcaster said its reach into 36% of households in the UK represented an audience of more than 25m people. The target was first announced in August 2004, since then an additional 2.4m customers had subscribed to BSkyB's direct-to-home service. Media commentators had debated whether the figure could be reached as the growth in subscriber numbers elsewhere in Europe flattened.</t>
  </si>
  <si>
    <t>Behind the Sofa</t>
  </si>
  <si>
    <t>What is another term for shortening the admission event?</t>
  </si>
  <si>
    <t>silver and inlaid with gold</t>
  </si>
  <si>
    <t>local</t>
  </si>
  <si>
    <t>What is the most snow Fresno has ever had?</t>
  </si>
  <si>
    <t>Müntzer's execution,</t>
  </si>
  <si>
    <t>Polynomial time reductions are an example of what?</t>
  </si>
  <si>
    <t>between 1621 and 1629</t>
  </si>
  <si>
    <t>Daniel 8:9–12, 23–25</t>
  </si>
  <si>
    <t>the Church of St Thomas</t>
  </si>
  <si>
    <t>homicides</t>
  </si>
  <si>
    <t>has little foundation in truth</t>
  </si>
  <si>
    <t>What is the term given to algorithms that utilize random bits?</t>
  </si>
  <si>
    <t>December 31, 1999</t>
  </si>
  <si>
    <t xml:space="preserve">What month, day and year did Super Bowl 50 take place? </t>
  </si>
  <si>
    <t>pigment-filled plastids responsible for the bright colors seen in flowers and ripe fruit</t>
  </si>
  <si>
    <t>the easterly flow</t>
  </si>
  <si>
    <t>over 40,000 pounds</t>
  </si>
  <si>
    <t>What is the name of the university's core curriculum?</t>
  </si>
  <si>
    <t>One of FIS' agenda items was to force women to start doing what?</t>
  </si>
  <si>
    <t>a carboxysome</t>
  </si>
  <si>
    <t>What is something that teacher's are at a high risk for?</t>
  </si>
  <si>
    <t>the mitochondrial double membrane</t>
  </si>
  <si>
    <t>In the 1890s, the University of Chicago, fearful that its vast resources would injure smaller schools by drawing away good students, affiliated with several regional colleges and universities: Des Moines College, Kalamazoo College, Butler University, and Stetson University. In 1896, the university affiliated with Shimer College in Mount Carroll, Illinois. Under the terms of the affiliation, the schools were required to have courses of study comparable to those at the university, to notify the university early of any contemplated faculty appointments or dismissals, to make no faculty appointment without the university's approval, and to send copies of examinations for suggestions. The University of Chicago agreed to confer a degree on any graduating senior from an affiliated school who made a grade of A for all four years, and on any other graduate who took twelve weeks additional study at the University of Chicago. A student or faculty member of an affiliated school was entitled to free tuition at the University of Chicago, and Chicago students were eligible to attend an affiliated school on the same terms and receive credit for their work. The University of Chicago also agreed to provide affiliated schools with books and scientific apparatus and supplies at cost; special instructors and lecturers without cost except travel expenses; and a copy of every book and journal published by the University of Chicago Press at no cost. The agreement provided that either party could terminate the affiliation on proper notice. Several University of Chicago professors disliked the program, as it involved uncompensated additional labor on their part, and they believed it cheapened the academic reputation of the university. The program passed into history by 1910.</t>
  </si>
  <si>
    <t>What did the Edict do for Huguenots in France?</t>
  </si>
  <si>
    <t>In which case were French vigilantes sabotaging shipments of Spanish Strawberries?</t>
  </si>
  <si>
    <t>Survivial is at the heart of what concept for workers?</t>
  </si>
  <si>
    <t>thermal expansion</t>
  </si>
  <si>
    <t>The UMC supports federal funding for research on embryos created for IVF that remain after the procreative efforts have ceased, if the embryos were provided for research instead of being destroyed, were not obtained by sale, and those donating had given prior informed consent for the research purposes. The UMC stands in "opposition to the creation of embryos for the sake of research" as "a human embryo, even at its earliest stages, commands our reverence." It supports research on stem cells retrieved from umbilical cords and adult stem cells, stating that there are "few moral questions" raised by this issue.</t>
  </si>
  <si>
    <t>Transform</t>
  </si>
  <si>
    <t>In September 1760, and before any hostilities erupted, Governor Vaudreuil negotiated from Montreal a capitulation with General Amherst. Amherst granted Vaudreuil's request that any French residents who chose to remain in the colony would be given freedom to continue worshiping in their Roman Catholic tradition, continued ownership of their property, and the right to remain undisturbed in their homes. The British provided medical treatment for the sick and wounded French soldiers and French regular troops were returned to France aboard British ships with an agreement that they were not to serve again in the present war.</t>
  </si>
  <si>
    <t>a post-secondary degree Bachelor's Degree</t>
  </si>
  <si>
    <t>What virus did Walter Reed discover?</t>
  </si>
  <si>
    <t>three-carbon molecules called 3-phosphoglyceric acid, or 3-PGA</t>
  </si>
  <si>
    <t>June 1862</t>
  </si>
  <si>
    <t>What was Tesla's friends' theory as to what became of him?</t>
  </si>
  <si>
    <t>Commensal flora can change what specific conditions of their environment in the gastrointestinal tract?</t>
  </si>
  <si>
    <t>the lamprey and hagfish</t>
  </si>
  <si>
    <t>In which case did the Court of Justice hold that a German court couldn't deny a Dutch building company the right to enforce a contract based in Germany?</t>
  </si>
  <si>
    <t>an unbalanced torque</t>
  </si>
  <si>
    <t>dummy upper stages</t>
  </si>
  <si>
    <t>What councils assign tasks to the IPCC?</t>
  </si>
  <si>
    <t>Along with admission, exhaust and compression, what is an event in the engine cycle?</t>
  </si>
  <si>
    <t>the New Collegiate Division</t>
  </si>
  <si>
    <t>Along with toys, where are oscillating cylinder steam engines typically used?</t>
  </si>
  <si>
    <t>stratigraphic sequence</t>
  </si>
  <si>
    <t>the North Sea in the Netherlands</t>
  </si>
  <si>
    <t>ceramic stoves</t>
  </si>
  <si>
    <t>supplant it</t>
  </si>
  <si>
    <t>During which years was the plague present in Islamic countries?</t>
  </si>
  <si>
    <t>electrical effects</t>
  </si>
  <si>
    <t>the Little Horn</t>
  </si>
  <si>
    <t>Jacksonville, like most large cities in the United States, suffered from negative effects of rapid urban sprawl after World War II. The construction of highways led residents to move to newer housing in the suburbs. After World War II, the government of the city of Jacksonville began to increase spending to fund new public building projects in the boom that occurred after the war. Mayor W. Haydon Burns' Jacksonville Story resulted in the construction of a new city hall, civic auditorium, public library and other projects that created a dynamic sense of civic pride. However, the development of suburbs and a subsequent wave of middle class "white flight" left Jacksonville with a much poorer population than before. The city's most populous ethnic group, non-Hispanic white, declined from 75.8% in 1970 to 55.1% by 2010.</t>
  </si>
  <si>
    <t>1330 Avenue of the Americas in Manhattan</t>
  </si>
  <si>
    <t>Olympic</t>
  </si>
  <si>
    <t>How many passengers a year does the rail network in Newcastle carry?</t>
  </si>
  <si>
    <t>What is the name of the property where the media event was held for Super Bowl 50?</t>
  </si>
  <si>
    <t>phased basis</t>
  </si>
  <si>
    <t>the rat population was insufficient</t>
  </si>
  <si>
    <t>What military impact did Huguenot immigration have on Frederick's army?</t>
  </si>
  <si>
    <t>In February 2010, in response to controversies regarding claims in the Fourth Assessment Report, five climate scientists – all contributing or lead IPCC report authors – wrote in the journal Nature calling for changes to the IPCC. They suggested a range of new organizational options, from tightening the selection of lead authors and contributors, to dumping it in favor of a small permanent body, or even turning the whole climate science assessment process into a moderated "living" Wikipedia-IPCC. Other recommendations included that the panel employ a full-time staff and remove government oversight from its processes to avoid political interference.</t>
  </si>
  <si>
    <t>Brocard's</t>
  </si>
  <si>
    <t>£76 million</t>
  </si>
  <si>
    <t>What is the Super Bowl program called that gives local companies business opportunities for the Super Bowl?</t>
  </si>
  <si>
    <t>Steam_engine</t>
  </si>
  <si>
    <t>the southeast of the garden (the site of the "Brompton Boilers"),</t>
  </si>
  <si>
    <t>ideal strings that are massless, frictionless, unbreakable, and unstretchable</t>
  </si>
  <si>
    <t>What did Bach base entirely on Luther chorales?</t>
  </si>
  <si>
    <t>What can significantly contribute to the continuing inequality in a society over time?</t>
  </si>
  <si>
    <t>The right to create private schools in Germany is in Article 7, Paragraph 4 of the Grundgesetz and cannot be suspended even in a state of emergency. It is also not possible to abolish these rights. This unusual protection of private schools was implemented to protect these schools from a second Gleichschaltung or similar event in the future. Still, they are less common than in many other countries. Overall, between 1992 and 2008 the percent of pupils in such schools in Germany increased from 6.1% to 7.8% (including rise from 0.5% to 6.1% in the former GDR). Percent of students in private high schools reached 11.1%.</t>
  </si>
  <si>
    <t>decrease in wages</t>
  </si>
  <si>
    <t>What is a mechanism that can help plants block virus replication?</t>
  </si>
  <si>
    <t>What runs from the riverside to higher parts of the city center?</t>
  </si>
  <si>
    <t>the currently known fundamental forces</t>
  </si>
  <si>
    <t>St. Johns</t>
  </si>
  <si>
    <t>What was Galileo Ferraris?</t>
  </si>
  <si>
    <t>many times</t>
  </si>
  <si>
    <t>What happens first if a Directive's deadline for implementation is not met?</t>
  </si>
  <si>
    <t>Who was the ruling class ahead of the Normans?</t>
  </si>
  <si>
    <t>What nationality are researchers Richard G. Wilkinson and Kate Pickett?</t>
  </si>
  <si>
    <t>Other theories of the word's origin can be generally classed as what?</t>
  </si>
  <si>
    <t>What caused the spread of the Jacksonville fire in 1901?</t>
  </si>
  <si>
    <t>zygote</t>
  </si>
  <si>
    <t>Who pays Australian pharmacists for doing Home Medicines Reviews?</t>
  </si>
  <si>
    <t>drive shaft</t>
  </si>
  <si>
    <t>Oxygen toxicity to the lungs and central nervous system</t>
  </si>
  <si>
    <t>To better illustrate this idea, Bassett focuses his analysis of the role of nineteenth-century maps during the "scramble for Africa". He states that maps "contributed to empire by promoting, assisting, and legitimizing the extension of French and British power into West Africa". During his analysis of nineteenth-century cartographic techniques, he highlights the use of blank space to denote unknown or unexplored territory. This provided incentives for imperial and colonial powers to obtain "information to fill in blank spaces on contemporary maps".</t>
  </si>
  <si>
    <t>theology of the cross,</t>
  </si>
  <si>
    <t>What protects the statocyst?</t>
  </si>
  <si>
    <t>gold rushes</t>
  </si>
  <si>
    <t>the Working Group chairs</t>
  </si>
  <si>
    <t>chlorophyll</t>
  </si>
  <si>
    <t>A → G deamination gradients</t>
  </si>
  <si>
    <t>Who are likely participants in creating an overall plan for the financial management of the building construction project?</t>
  </si>
  <si>
    <t>How did france differ from Britain in managing its colonies?</t>
  </si>
  <si>
    <t>significantly slowed the animal's metabolism</t>
  </si>
  <si>
    <t>the canalized Rhine</t>
  </si>
  <si>
    <t>How do bills pass through Parliament?</t>
  </si>
  <si>
    <t>three years before</t>
  </si>
  <si>
    <t>a conquest over an area</t>
  </si>
  <si>
    <t>Vγ9/Vδ2 T cells</t>
  </si>
  <si>
    <t>Which Super Bowl did Roger Goodell speak about?</t>
  </si>
  <si>
    <t xml:space="preserve">What supplanted Frame Relay and X.25 </t>
  </si>
  <si>
    <t>ranked above</t>
  </si>
  <si>
    <t>captive import</t>
  </si>
  <si>
    <t>dispatched six regiments to New France under the command of Baron Dieskau in 1755.</t>
  </si>
  <si>
    <t>Any subcontractor has a direct contractual relationship with who?</t>
  </si>
  <si>
    <t>7 to 10 percent</t>
  </si>
  <si>
    <t>Civil_disobedience</t>
  </si>
  <si>
    <t>a million</t>
  </si>
  <si>
    <t>religious freedom in the Polish–Lithuanian Commonwealth</t>
  </si>
  <si>
    <t>the official declaration of war in 1756 to the signing of the peace treaty in 1763</t>
  </si>
  <si>
    <t>The English name "Normans" comes from the French words Normans/Normanz, plural of Normant, modern French normand, which is itself borrowed from Old Low Franconian Nortmann "Northman" or directly from Old Norse Norðmaðr, Latinized variously as Nortmannus, Normannus, or Nordmannus (recorded in Medieval Latin, 9th century) to mean "Norseman, Viking".</t>
  </si>
  <si>
    <t>1969</t>
  </si>
  <si>
    <t>Besides countries of origin and date of production, how are the textiles classified?</t>
  </si>
  <si>
    <t>While most chloroplasts originate from that first set of endosymbiotic events, Paulinella chromatophora is an exception that acquired a photosynthetic cyanobacterial endosymbiont more recently. It is not clear whether that symbiont is closely related to the ancestral chloroplast of other eukaryotes. Being in the early stages of endosymbiosis, Paulinella chromatophora can offer some insights into how chloroplasts evolved. Paulinella cells contain one or two sausage shaped blue-green photosynthesizing structures called chromatophores, descended from the cyanobacterium Synechococcus. Chromatophores cannot survive outside their host. Chromatophore DNA is about a million base pairs long, containing around 850 protein encoding genes—far less than the three million base pair Synechococcus genome, but much larger than the approximately 150,000 base pair genome of the more assimilated chloroplast. Chromatophores have transferred much less of their DNA to the nucleus of their host. About 0.3–0.8% of the nuclear DNA in Paulinella is from the chromatophore, compared with 11–14% from the chloroplast in plants.</t>
  </si>
  <si>
    <t>What is missing a theory on quantum gravity?</t>
  </si>
  <si>
    <t>What title did Iroquois give Johnson?</t>
  </si>
  <si>
    <t>there are more poor people in the United States and Western Europe than in China</t>
  </si>
  <si>
    <t>the Mojave Desert</t>
  </si>
  <si>
    <t>technological innovation</t>
  </si>
  <si>
    <t>an illustration of the Ten Commandments</t>
  </si>
  <si>
    <t>safety of the translunar environment</t>
  </si>
  <si>
    <t>University of Erfurt</t>
  </si>
  <si>
    <t>the Theatre Royal</t>
  </si>
  <si>
    <t>What is the largest medical school in Poland?</t>
  </si>
  <si>
    <t>torn down in 1904</t>
  </si>
  <si>
    <t>Why did Tesla avoid by fleeing Smiljan?</t>
  </si>
  <si>
    <t>What is another word for the Earth's upper mantle?</t>
  </si>
  <si>
    <t>Egyptian President Anwar Sadat – whose policies included opening Egypt to Western investment (infitah); transferring Egypt's allegiance from the Soviet Union to the United States; and making peace with Israel – released Islamists from prison and welcomed home exiles in tacit exchange for political support in his struggle against leftists. His "encouraging of the emergence of the Islamist movement" was said to have been "imitated by many other Muslim leaders in the years that followed."  This "gentlemen's agreement" between Sadat and Islamists broke down in 1975 but not before Islamists came to completely dominate university student unions. Sadat was later assassinated and a formidable insurgency was formed in Egypt in the 1990s. The French government has also been reported to have promoted Islamist preachers "in the hope of channeling Muslim energies into zones of piety and charity."</t>
  </si>
  <si>
    <t>What do rules about conflict of interest involving doctors diagnosing patients resemble?</t>
  </si>
  <si>
    <t>installed electrical arc light based illumination systems designed by Tesla and also had designs for dynamo electric machine commutators</t>
  </si>
  <si>
    <t>Kenya's services sector, which contributes 61% of GDP, is dominated by tourism. The tourism sector has exhibited steady growth in most years since independence and by the late 1980s had become the country's principal source of foreign exchange. Tourists, the largest number being from Germany and the United Kingdom, are attracted mainly to the coastal beaches and the game reserves, notably, the expansive East and West Tsavo National Park 20,808 square kilometres (8,034 sq mi) in the southeast. Tourism has seen a substantial revival over the past several years and is the major contributor to the pick-up in the country's economic growth. Tourism is now Kenya's largest foreign exchange earning sector, followed by flowers, tea, and coffee. In 2006 tourism generated US$803 million, up from US$699 million the previous year. Presently, there are also numerous Shopping Malls in Kenya. In addition, there are four main hypermarket chains in Kenya.</t>
  </si>
  <si>
    <t>organic</t>
  </si>
  <si>
    <t>mid-Cambrian period</t>
  </si>
  <si>
    <t>What side effect of these type of protests is unfortunate?</t>
  </si>
  <si>
    <t>the Turing machine</t>
  </si>
  <si>
    <t>private ownership of the means of production</t>
  </si>
  <si>
    <t>in cellular respiration</t>
  </si>
  <si>
    <t>the top row of windows</t>
  </si>
  <si>
    <t>double membrane</t>
  </si>
  <si>
    <t>17th</t>
  </si>
  <si>
    <t>an imaginative geography</t>
  </si>
  <si>
    <t>atmospheric electricity</t>
  </si>
  <si>
    <t>What are white blood cells known as?</t>
  </si>
  <si>
    <t>it voted to seek observer status</t>
  </si>
  <si>
    <t>General Electric</t>
  </si>
  <si>
    <t>expanding the horizons</t>
  </si>
  <si>
    <t>various allied groups from Central Asia and the western end of the empire</t>
  </si>
  <si>
    <t>Where was Evan Washburn located while announcing during the game?</t>
  </si>
  <si>
    <t>What does political pressure push to extend to compensate for stagnating purchasing power?</t>
  </si>
  <si>
    <t>yellow fever virus</t>
  </si>
  <si>
    <t>pathogens, an allograft</t>
  </si>
  <si>
    <t>Effects of inequality researchers have found include higher rates of health and social problems, and lower rates of social goods, a lower level of economic utility in society from resources devoted on high-end consumption, and even a lower level of economic growth when human capital is neglected for high-end consumption. For the top 21 industrialised countries, counting each person equally, life expectancy is lower in more unequal countries (r = -.907). A similar relationship exists among US states (r = -.620).</t>
  </si>
  <si>
    <t>the uprights</t>
  </si>
  <si>
    <t>Massachusetts Bay Colony</t>
  </si>
  <si>
    <t>What was Kublai Khan's relation to Genghis Khan?</t>
  </si>
  <si>
    <t>God's resting place</t>
  </si>
  <si>
    <t>City of Malindi</t>
  </si>
  <si>
    <t>2013 Economics Nobel prize winner Robert J. Shiller said that rising inequality in the United States and elsewhere is the most important problem. Increasing inequality harms economic growth. High and persistent unemployment, in which inequality increases, has a negative effect on subsequent long-run economic growth. Unemployment can harm growth not only because it is a waste of resources, but also because it generates redistributive pressures and subsequent distortions, drives people to poverty, constrains liquidity limiting labor mobility, and erodes self-esteem promoting social dislocation, unrest and conflict. Policies aiming at controlling unemployment and in particular at reducing its inequality-associated effects support economic growth.</t>
  </si>
  <si>
    <t>infinitely many</t>
  </si>
  <si>
    <t>if the Treaty provisions have a direct effect and they are sufficiently clear, precise and unconditional.</t>
  </si>
  <si>
    <t>convecting</t>
  </si>
  <si>
    <t>education</t>
  </si>
  <si>
    <t>They lost money from the beginning, and Sinback, a high-level marketing manager, was given the job of turning the business around</t>
  </si>
  <si>
    <t>What did Luther use the hymn to encourage colleagues to do?</t>
  </si>
  <si>
    <t>four levels</t>
  </si>
  <si>
    <t>What was one location the noise readings in Newcastle were taken at?</t>
  </si>
  <si>
    <t>week</t>
  </si>
  <si>
    <t>more equality</t>
  </si>
  <si>
    <t>perceived difficulty of its tune</t>
  </si>
  <si>
    <t>Why has there been controversy in Kenyan athletics?</t>
  </si>
  <si>
    <t>teacher</t>
  </si>
  <si>
    <t>four variants</t>
  </si>
  <si>
    <t>Earth must be much older than had previously been supposed</t>
  </si>
  <si>
    <t>can interpret the Treaties, but it cannot rule on their validity</t>
  </si>
  <si>
    <t>send aid and sometimes to go themselves to fight for their faith</t>
  </si>
  <si>
    <t>Irish linen industry</t>
  </si>
  <si>
    <t>What new series continues the plot of the original Doctor Who?</t>
  </si>
  <si>
    <t>prefabricated</t>
  </si>
  <si>
    <t>When was Operation Market Garden?</t>
  </si>
  <si>
    <t>the Brotherhood</t>
  </si>
  <si>
    <t>the conservative European People's Party</t>
  </si>
  <si>
    <t>What is the common term for the loss of key members of French society to Huguenot emigration?</t>
  </si>
  <si>
    <t>July 31, 1995</t>
  </si>
  <si>
    <t>Cow Counties</t>
  </si>
  <si>
    <t>inciting internal revolt among Kuchlug's supporters</t>
  </si>
  <si>
    <t>rational and progressive</t>
  </si>
  <si>
    <t>white blood cells</t>
  </si>
  <si>
    <t>$20,000</t>
  </si>
  <si>
    <t>deportation of the French-speaking Acadian population from the area.</t>
  </si>
  <si>
    <t>most of the chemical energy</t>
  </si>
  <si>
    <t>In how many places is oxygen stored in its cycle?</t>
  </si>
  <si>
    <t>within a few hundred feet of each other</t>
  </si>
  <si>
    <t>What do those in the field do to ensure a positive outcome?</t>
  </si>
  <si>
    <t>beginning of the 20th century</t>
  </si>
  <si>
    <t>What was the Black Cloister?</t>
  </si>
  <si>
    <t>everything that smacks of sacrifice</t>
  </si>
  <si>
    <t>tight closure streamlines the front of the animal</t>
  </si>
  <si>
    <t>Lunar Roving Vehicle (LRV)</t>
  </si>
  <si>
    <t>Was the school officially associated with any denomination?</t>
  </si>
  <si>
    <t>coach</t>
  </si>
  <si>
    <t>Where did the movement that would become The United Methodist Church begin?</t>
  </si>
  <si>
    <t>Who were the defending Super Bowl champions?</t>
  </si>
  <si>
    <t>Indigenous territories are largely being destroyed in what two ways?</t>
  </si>
  <si>
    <t>What award was Michelle Gomez nominated for?</t>
  </si>
  <si>
    <t>right", "just", or "true",</t>
  </si>
  <si>
    <t>To whom was Johann Eck the assistant?</t>
  </si>
  <si>
    <t>What dynasty came after the Yuan?</t>
  </si>
  <si>
    <t>First Minister</t>
  </si>
  <si>
    <t>Mandatory Committees</t>
  </si>
  <si>
    <t>Of what mathematical nature is the Basel problem?</t>
  </si>
  <si>
    <t>In addition to those actors who have headlined the series, others have portrayed versions of the Doctor in guest roles. Notably, in 2013, John Hurt guest-starred as a hitherto unknown incarnation of the Doctor known as the War Doctor in the run-up to the show's 50th anniversary special "The Day of the Doctor". He is shown in mini-episode "The Night of the Doctor" to have been retroactively inserted into the show's fictional chronology between McGann and Eccleston's Doctors, although his introduction was written so as not to disturb the established numerical naming of the Doctors. Another example is from the 1986 serial The Trial of a Time Lord, where Michael Jayston portrayed the Valeyard, who is described as an amalgamation of the darker sides of the Doctor's nature, somewhere between his twelfth and final incarnation.</t>
  </si>
  <si>
    <t>between 1.4 and 5.8 °C above 1990 levels</t>
  </si>
  <si>
    <t>six years</t>
  </si>
  <si>
    <t>ensure that the prescription is valid</t>
  </si>
  <si>
    <t>What proclamation gave Huguenots special privileges in Brandenburg?</t>
  </si>
  <si>
    <t>Command Module</t>
  </si>
  <si>
    <t>a finite value</t>
  </si>
  <si>
    <t>What spacecraft contained data to determine the oxygen content of the Sun?</t>
  </si>
  <si>
    <t>metamorphic processes</t>
  </si>
  <si>
    <t>What is the source of oxygen production through electrocatalytic means?</t>
  </si>
  <si>
    <t>into the thylakoid space</t>
  </si>
  <si>
    <t>adviser</t>
  </si>
  <si>
    <t>In a purely capitalist mode of production (i.e. where professional and labor organizations cannot limit the number of workers) the workers wages will not be controlled by these organizations, or by the employer, but rather by the market. Wages work in the same way as prices for any other good. Thus, wages can be considered as a function of market price of skill. And therefore, inequality is driven by this price. Under the law of supply and demand, the price of skill is determined by a race between the demand for the skilled worker and the supply of the skilled worker. "On the other hand, markets can also concentrate wealth, pass environmental costs on to society, and abuse workers and consumers." "Markets, by themselves, even when they are stable, often lead to high levels of inequality, outcomes that are widely viewed as unfair." Employers who offer a below market wage will find that their business is chronically understaffed. Their competitors will take advantage of the situation by offering a higher wage the best of their labor. For a businessman who has the profit motive as the prime interest, it is a losing proposition to offer below or above market wages to workers.</t>
  </si>
  <si>
    <t>What was the occupation of Doctor Who's other (non-related) companions?</t>
  </si>
  <si>
    <t>What did Warsz own?</t>
  </si>
  <si>
    <t>Yuan dynasty</t>
  </si>
  <si>
    <t>wheel series</t>
  </si>
  <si>
    <t>What did frozen subsoil and expanded alpine glaciers begin to do?</t>
  </si>
  <si>
    <t>more efficient solutions</t>
  </si>
  <si>
    <t>Basic formal education starts at age six years and lasts 12 years comprising eight years in primary school and four years in high school or secondary school. Primary school is free in public schools and those who exit at this level can join a vocational youth/village polytechnic or make their own arrangements for an apprenticeship program and learn a trade such as tailoring, carpentry, motor vehicle repair, brick-laying and masonry for about two years. Those who complete high school can join a polytechnic or other technical college and study for three years or proceed directly to the university and study for four years. Graduates from the polytechnics and colleges can then join the workforce and later obtain a specialised higher diploma qualification after a further one to two years of training, or join the university – usually in the second or third year of their respective course. The higher diploma is accepted by many employers in place of a bachelor's degree and direct or accelerated admission to post-graduate studies is possible in some universities.</t>
  </si>
  <si>
    <t>between</t>
  </si>
  <si>
    <t>Qara Khitai, Caucasus, Khwarezmid Empire, Western Xia and Jin</t>
  </si>
  <si>
    <t>Who do gurus control?</t>
  </si>
  <si>
    <t>essentially holy people</t>
  </si>
  <si>
    <t>8–15 per cell</t>
  </si>
  <si>
    <t>telecommunications</t>
  </si>
  <si>
    <t>What two railroads have railyards in the city of Fresno?</t>
  </si>
  <si>
    <t>In late November 2015, reports surfaced stating that "multiple acts" would perform during the halftime show. On December 3, the league confirmed that the show would be headlined by the British rock group Coldplay. On January 7, 2016, Pepsi confirmed to the Associated Press that Beyoncé, who headlined the Super Bowl XLVII halftime show and collaborated with Coldplay on the single "Hymn for the Weekend", would be making an appearance. Bruno Mars, who headlined the Super Bowl XLVIII halftime show, and Mark Ronson also performed.</t>
  </si>
  <si>
    <t>carbohydrates</t>
  </si>
  <si>
    <t>National School</t>
  </si>
  <si>
    <t>Issues dealt with at Westminster are not ones who is able to deal with?</t>
  </si>
  <si>
    <t>What festival is held in October in Newcastle?</t>
  </si>
  <si>
    <t>fled</t>
  </si>
  <si>
    <t>thunderstorms</t>
  </si>
  <si>
    <t>pre-Columbian</t>
  </si>
  <si>
    <t>redistribution mechanisms</t>
  </si>
  <si>
    <t>General Sejm</t>
  </si>
  <si>
    <t xml:space="preserve">What is the most recent example of financial fault lines? </t>
  </si>
  <si>
    <t>governing body for pharmacy health care professionals</t>
  </si>
  <si>
    <t>Informal learning</t>
  </si>
  <si>
    <t>Who had military control during the Yuan?</t>
  </si>
  <si>
    <t>What did Joseph Haas say in his email?</t>
  </si>
  <si>
    <t>How much did Capital Cities Communications purchase ABC and its properties for?</t>
  </si>
  <si>
    <t>to select their students</t>
  </si>
  <si>
    <t>What did Biraben say about the plague in Europe?</t>
  </si>
  <si>
    <t>Europe, North America, Asia and North Africa</t>
  </si>
  <si>
    <t>Tesla was renowned for his achievements and showmanship, eventually earning him a reputation in popular culture as an archetypal "mad scientist". His patents earned him a considerable amount of money, much of which was used to finance his own projects with varying degrees of success.:121,154 He lived most of his life in a series of New York hotels, through his retirement. Tesla died on 7 January 1943. His work fell into relative obscurity after his death, but in 1960 the General Conference on Weights and Measures named the SI unit of magnetic flux density the tesla in his honor. There has been a resurgence in popular interest in Tesla since the 1990s.</t>
  </si>
  <si>
    <t>The Commission's President</t>
  </si>
  <si>
    <t>After the Oligocene period, under what period did the amazon rainforest begin to expand?</t>
  </si>
  <si>
    <t>turbine type</t>
  </si>
  <si>
    <t>evolution of the German language and literature</t>
  </si>
  <si>
    <t>What party forms the Scottish Parliament?</t>
  </si>
  <si>
    <t>two official bodies of the United Methodist Church</t>
  </si>
  <si>
    <t>Evidence for what types of structures were found in 2003?</t>
  </si>
  <si>
    <t>less than two percent per year</t>
  </si>
  <si>
    <t>Near Tamins-Reichenau the Anterior Rhine and the Posterior Rhine join and form the Rhine. The river makes a distinctive turn to the north near Chur. This section is nearly 86 km long, and descends from a height of 599 m to 396 m. It flows through a wide glacial alpine valley known as the Rhine Valley (German: Rheintal). Near Sargans a natural dam, only a few metres high, prevents it from flowing into the open Seeztal valley and then through Lake Walen and Lake Zurich into the river Aare. The Alpine Rhine begins in the most western part of the Swiss canton of Graubünden, and later forms the border between Switzerland to the West and Liechtenstein and later Austria to the East.</t>
  </si>
  <si>
    <t>belt animals</t>
  </si>
  <si>
    <t>What does the bolinopsis generally eat?</t>
  </si>
  <si>
    <t>What is it called when people in society rebel against laws they think are unfair?</t>
  </si>
  <si>
    <t>Which type of livestock was the argricultural region known for?</t>
  </si>
  <si>
    <t>"informal" imperialism</t>
  </si>
  <si>
    <t>When did ABC first start?</t>
  </si>
  <si>
    <t>Warsaw's mixture of architectural styles reflects the turbulent history of the city and country. During the Second World War, Warsaw was razed to the ground by bombing raids and planned destruction. After liberation, rebuilding began as in other cities of the communist-ruled PRL. Most of the historical buildings were thoroughly reconstructed. However, some of the buildings from the 19th century that had been preserved in reasonably reconstructible form were nonetheless eradicated in the 1950s and 1960s (e.g. Leopold Kronenberg Palace). Mass residential blocks were erected, with basic design typical of Eastern bloc countries.</t>
  </si>
  <si>
    <t>a new investigation into the role of Yersinia pestis in the Black Death</t>
  </si>
  <si>
    <t>complete list of primes up to  is known</t>
  </si>
  <si>
    <t>What other two famous performers were part of the Super Bowl 50 halftime?</t>
  </si>
  <si>
    <t>Like mitochondria, chloroplasts use the potential energy stored in an H+, or hydrogen ion gradient to generate ATP energy. The two photosystems capture light energy to energize electrons taken from water, and release them down an electron transport chain. The molecules between the photosystems harness the electrons' energy to pump hydrogen ions into the thylakoid space, creating a concentration gradient, with more hydrogen ions (up to a thousand times as many) inside the thylakoid system than in the stroma. The hydrogen ions in the thylakoid space then diffuse back down their concentration gradient, flowing back out into the stroma through ATP synthase. ATP synthase uses the energy from the flowing hydrogen ions to phosphorylate adenosine diphosphate into adenosine triphosphate, or ATP. Because chloroplast ATP synthase projects out into the stroma, the ATP is synthesized there, in position to be used in the dark reactions.</t>
  </si>
  <si>
    <t>exothermic reaction</t>
  </si>
  <si>
    <t>What type of climate does Kenya have?</t>
  </si>
  <si>
    <t>ivory</t>
  </si>
  <si>
    <t>independent schools</t>
  </si>
  <si>
    <t>architectural</t>
  </si>
  <si>
    <t>How much retail activity does the neighborhood have?</t>
  </si>
  <si>
    <t>What issues may prevent women from working outside the home or receiving education?</t>
  </si>
  <si>
    <t>What events are often associated with volcanism and igneous activity?</t>
  </si>
  <si>
    <t>the Knights Templar</t>
  </si>
  <si>
    <t>shopping</t>
  </si>
  <si>
    <t>Muqali, Jebe and Subutai</t>
  </si>
  <si>
    <t>Which three famous British potters are represented the the V&amp;A ceramics collection?</t>
  </si>
  <si>
    <t>What did al-Gama'a al-Islamiyya use to get its way?</t>
  </si>
  <si>
    <t xml:space="preserve">Recently a more detailed model of the Earth was developed. Seismologists were able to create this using images of what from the interior of the Earth? </t>
  </si>
  <si>
    <t>In Gebhard v Consiglio...Milano, the requirements to be registered in Milan before being able to practice law would be allowed under what conditions?</t>
  </si>
  <si>
    <t>The Panthers beat the Seattle Seahawks in the divisional round, running up a 31–0 halftime lead and then holding off a furious second half comeback attempt to win 31–24, avenging their elimination from a year earlier. The Panthers then blew out the Arizona Cardinals in the NFC Championship Game, 49–15, racking up 487 yards and forcing seven turnovers.</t>
  </si>
  <si>
    <t>What kind of war did Luther support against the Turks, even if he did not oppose a religious war?</t>
  </si>
  <si>
    <t>most radically anti-Semitic tract ever published</t>
  </si>
  <si>
    <t>The Swahili</t>
  </si>
  <si>
    <t>After the Greeks, little happened with the study of prime numbers until the 17th century. In 1640 Pierre de Fermat stated (without proof) Fermat's little theorem (later proved by Leibniz and Euler). Fermat also conjectured that all numbers of the form 22n + 1 are prime (they are called Fermat numbers) and he verified this up to n = 4 (or 216 + 1). However, the very next Fermat number 232 + 1 is composite (one of its prime factors is 641), as Euler discovered later, and in fact no further Fermat numbers are known to be prime. The French monk Marin Mersenne looked at primes of the form 2p − 1, with p a prime. They are called Mersenne primes in his honor.</t>
  </si>
  <si>
    <t>German</t>
  </si>
  <si>
    <t>to explore computer networking between three of Michigan's public universities</t>
  </si>
  <si>
    <t>judicial branch</t>
  </si>
  <si>
    <t>DTIME(n2)</t>
  </si>
  <si>
    <t>rapid combustion</t>
  </si>
  <si>
    <t>excerpts from the Doctor Who Confidential documentary</t>
  </si>
  <si>
    <t>Tesla coil</t>
  </si>
  <si>
    <t>rock crystallizes from melt (magma and/or lava)</t>
  </si>
  <si>
    <t>every four years</t>
  </si>
  <si>
    <t>Doctor Who first appeared on BBC TV at 17:16:20 GMT, eighty seconds after the scheduled programme time, 5:15 pm, on Saturday, 23 November 1963. It was to be a regular weekly programme, each episode 25 minutes of transmission length. Discussions and plans for the programme had been in progress for a year. The head of drama, Canadian Sydney Newman, was mainly responsible for developing the programme, with the first format document for the series being written by Newman along with the head of the script department (later head of serials) Donald Wilson and staff writer C. E. Webber. Writer Anthony Coburn, story editor David Whitaker and initial producer Verity Lambert also heavily contributed to the development of the series.[note 1] The programme was originally intended to appeal to a family audience, as an educational programme using time travel as a means to explore scientific ideas and famous moments in history. On 31 July 1963 Whitaker commissioned Terry Nation to write a story under the title The Mutants. As originally written, the Daleks and Thals were the victims of an alien neutron bomb attack but Nation later dropped the aliens and made the Daleks the aggressors. When the script was presented to Newman and Wilson it was immediately rejected as the programme was not permitted to contain any "bug-eyed monsters". The first serial had been completed and the BBC believed it was crucial that the next one be a success, but The Mutants was the only script ready to go, so the show had little choice but to use it. According to producer Verity Lambert; "We didn't have a lot of choice — we only had the Dalek serial to go ... We had a bit of a crisis of confidence because Donald [Wilson] was so adamant that we shouldn't make it. Had we had anything else ready we would have made that." Nation's script became the second Doctor Who serial – The Daleks (a.k.a. The Mutants). The serial introduced the eponymous aliens that would become the series' most popular monsters, and was responsible for the BBC's first merchandising boom.</t>
  </si>
  <si>
    <t>Where were Schirra, Eisele and Cunningham relocated to after different astronauts were selected for the AS-258 mission?</t>
  </si>
  <si>
    <t>The merger between ITT and ABC was suspended after a complaint was filed by whom in July 1967?</t>
  </si>
  <si>
    <t>if the Treaty provisions have a direct effect and they are sufficiently clear, precise and unconditional</t>
  </si>
  <si>
    <t>Prussia</t>
  </si>
  <si>
    <t>jury nullification</t>
  </si>
  <si>
    <t>Because speakers are drawn from across Scotland, what do the represent the balance of?</t>
  </si>
  <si>
    <t>In July 1977, General Zia-ul-Haq overthrew Prime Minister Zulfiqar Ali Bhutto's regime in Pakistan. Ali Bhutto, a leftist in democratic competition with Islamists, had announced banning alcohol and nightclubs within six months, shortly before he was overthrown. Zia-ul-Haq was much more committed to Islamism, and "Islamization" or implementation of Islamic law, became a cornerstone of his eleven-year military dictatorship and Islamism became his "official state ideology". Zia ul Haq was an admirer of Mawdudi and Mawdudi's party Jamaat-e-Islami became the "regime's ideological and political arm". In Pakistan this Islamization from above was "probably" more complete "than under any other regime except those in Iran and Sudan," but Zia-ul-Haq was also criticized by many Islamists for imposing "symbols" rather than substance, and using Islamization to legitimize his means of seizing power. Unlike neighboring Iran, Zia-ul-Haq's policies were intended to "avoid revolutionary excess", and not to strain relations with his American and Persian Gulf state allies. Zia-ul-Haq was killed in 1988 but Islamization remains an important element in Pakistani society.</t>
  </si>
  <si>
    <t>What was another use for the weapon?</t>
  </si>
  <si>
    <t>new residents willing to pay higher market rate</t>
  </si>
  <si>
    <t>Bento de Moura Portugal</t>
  </si>
  <si>
    <t>A Turing machine is a mathematical model of a general computing machine. It is a theoretical device that manipulates symbols contained on a strip of tape. Turing machines are not intended as a practical computing technology, but rather as a thought experiment representing a computing machine—anything from an advanced supercomputer to a mathematician with a pencil and paper. It is believed that if a problem can be solved by an algorithm, there exists a Turing machine that solves the problem. Indeed, this is the statement of the Church–Turing thesis. Furthermore, it is known that everything that can be computed on other models of computation known to us today, such as a RAM machine, Conway's Game of Life, cellular automata or any programming language can be computed on a Turing machine. Since Turing machines are easy to analyze mathematically, and are believed to be as powerful as any other model of computation, the Turing machine is the most commonly used model in complexity theory.</t>
  </si>
  <si>
    <t>Time</t>
  </si>
  <si>
    <t>What underground railways cover much of Tyne and Wear?</t>
  </si>
  <si>
    <t>worst</t>
  </si>
  <si>
    <t>Guanabara Confession of Faith</t>
  </si>
  <si>
    <t>What did Carolina face in the opening drive that they had not faced the entire postseason?</t>
  </si>
  <si>
    <t>varied</t>
  </si>
  <si>
    <t>What does it mean for a disease to be enzootic?</t>
  </si>
  <si>
    <t>the Pope and the doctrine of transubstantiation</t>
  </si>
  <si>
    <t>How are chloroplasts similar to mitochondria?</t>
  </si>
  <si>
    <t>British failures in North America, combined with other failures in the European theater</t>
  </si>
  <si>
    <t>Liao, Jin, and Song</t>
  </si>
  <si>
    <t>pigment-filled plastids</t>
  </si>
  <si>
    <t>Taskforce of United Methodists on Abortion and Sexuality (</t>
  </si>
  <si>
    <t>uprights</t>
  </si>
  <si>
    <t>Philip Webb and William Morris</t>
  </si>
  <si>
    <t>Central Bridge</t>
  </si>
  <si>
    <t>What are some examples of undesirable end results of a project?</t>
  </si>
  <si>
    <t>Many conferences have taking a position by voting in favor of what?</t>
  </si>
  <si>
    <t>Since its invention in 1269, the 'Phags-pa script, a unified script for spelling Mongolian, Tibetan, and Chinese languages, was preserved in the court until the end of the dynasty. Most of the Emperors could not master written Chinese, but they could generally converse well in the language. The Mongol custom of long standing quda/marriage alliance with Mongol clans, the Onggirat, and the Ikeres, kept the imperial blood purely Mongol until the reign of Tugh Temur, whose mother was a Tangut concubine. The Mongol Emperors had built large palaces and pavilions, but some still continued to live as nomads at times. Nevertheless, a few other Yuan emperors actively sponsored cultural activities; an example is Tugh Temur (Emperor Wenzong), who wrote poetry, painted, read Chinese classical texts, and ordered the compilation of books.</t>
  </si>
  <si>
    <t>beginning in early September and ending in mid-May</t>
  </si>
  <si>
    <t>December 2014</t>
  </si>
  <si>
    <t>What occurs when electron clouds overlap from different atoms?</t>
  </si>
  <si>
    <t>When have Lutheran Churches repudiated Luther's statements about the Jews?</t>
  </si>
  <si>
    <t>With Istanbul as its capital and control of lands around the Mediterranean basin, the Ottoman Empire was at the center of interactions between the Eastern and Western worlds for six centuries. Following a long period of military setbacks against European powers, the Ottoman Empire gradually declined into the late nineteenth century. The empire allied with Germany in the early 20th century, with the imperial ambition of recovering its lost territories, but it dissolved in the aftermath of World War I, leading to the emergence of the new state of Turkey in the Ottoman Anatolian heartland, as well as the creation of modern Balkan and Middle Eastern states, thus ending Turkish colonial ambitions.</t>
  </si>
  <si>
    <t>Pakistan movement</t>
  </si>
  <si>
    <t>What put a hierarchical structure in place?</t>
  </si>
  <si>
    <t>continuous input of sediment</t>
  </si>
  <si>
    <t>the Cathedral of Saint John the Divine</t>
  </si>
  <si>
    <t>Proper safety equipment such as harnesses and guardrails and procedures such as securing ladders and inspecting scaffolding</t>
  </si>
  <si>
    <t>What river separates Jacksonville?</t>
  </si>
  <si>
    <t>because of tensions over slavery and the power of bishops in the denomination.</t>
  </si>
  <si>
    <t>After asking if the books were his, what else did Eck ask Luther?</t>
  </si>
  <si>
    <t>When did Kenya gain independance?</t>
  </si>
  <si>
    <t>To calculate instant angular acceleration of a rigid body what would you use?</t>
  </si>
  <si>
    <t>Other than the curriculum led learning, there are also National and Public Library Services led by the Kenya National Library Service (KNLS). KNLS is the body mandated to establish, equip, manage and maintain national and public libraries in the country. In addition, some of the counties within the country have either established or taken over libraries within their regions. Nairobi County operates four libraries within their network, which included the McMillan Memorial Library located at the central business district of Nairobi. A public library is seen as a peoples university since it is open to all irrespective of age, literacy level and has materials relevant to people of all walks of life.</t>
  </si>
  <si>
    <t>What does quadratic reciprocity seek to achieve?</t>
  </si>
  <si>
    <t>What is one of the largest city center shopping complexes in the UK?</t>
  </si>
  <si>
    <t>a phylum of animals</t>
  </si>
  <si>
    <t>St. Lawrence</t>
  </si>
  <si>
    <t>main silverware gallery</t>
  </si>
  <si>
    <t>kidney and bladder stones, and arthritis,</t>
  </si>
  <si>
    <t>second Gleichschaltung</t>
  </si>
  <si>
    <t>After the defeat of the Khwarezmian Empire in 1220, Genghis Khan gathered his forces in Persia and Armenia to return to the Mongolian steppes. Under the suggestion of Subutai, the Mongol army was split into two forces. Genghis Khan led the main army on a raid through Afghanistan and northern India towards Mongolia, while another 20,000 (two tumen) contingent marched through the Caucasus and into Russia under generals Jebe and Subutai. They pushed deep into Armenia and Azerbaijan. The Mongols destroyed the kingdom of Georgia, sacked the Genoese trade-fortress of Caffa in Crimea and overwintered near the Black Sea. Heading home, Subutai's forces attacked the allied forces of the Cuman–Kipchaks and the poorly coordinated 80,000 Kievan Rus' troops led by Mstislav the Bold of Halych and Mstislav III of Kiev who went out to stop the Mongols' actions in the area. Subutai sent emissaries to the Slavic princes calling for a separate peace, but the emissaries were executed. At the Battle of Kalka River in 1223, Subutai's forces defeated the larger Kievan force. They also may have fought against the neighboring Volga Bulgars. There is no historical record except a short account by the Arab historian Ibn al-Athir, writing in Mosul some 1100 miles away from the event. Various historical secondary sources - Morgan, Chambers, Grousset - state that the Mongols actually defeated the Bulgars, Chambers even going so far as to say that the Bulgars had made up stories to tell the (recently crushed) Russians that they had beaten the Mongols and driven them from their territory. The Russian princes then sued for peace. Subutai agreed but was in no mood to pardon the princes. As was customary in Mongol society for nobility, the Russian princes were given a bloodless death. Subutai had a large wooden platform constructed on which he ate his meals along with his other generals. Six Russian princes, including Mstislav III of Kiev, were put under this platform and crushed to death.</t>
  </si>
  <si>
    <t>red</t>
  </si>
  <si>
    <t>entertainment</t>
  </si>
  <si>
    <t>What two fields of theoretical computer science closely mirror computational complexity theory?</t>
  </si>
  <si>
    <t>Rhine Valley</t>
  </si>
  <si>
    <t>The historical measure of a steam engine's energy efficiency was its "duty". The concept of duty was first introduced by Watt in order to illustrate how much more efficient his engines were over the earlier Newcomen designs. Duty is the number of foot-pounds of work delivered by burning one bushel (94 pounds) of coal. The best examples of Newcomen designs had a duty of about 7 million, but most were closer to 5 million. Watt's original low-pressure designs were able to deliver duty as high as 25 million, but averaged about 17. This was a three-fold improvement over the average Newcomen design. Early Watt engines equipped with high-pressure steam improved this to 65 million.</t>
  </si>
  <si>
    <t>The V&amp;A has the world's most comprehensive collection of sculptures from which period?</t>
  </si>
  <si>
    <t>4 weeks paid holidays each year</t>
  </si>
  <si>
    <t>What did Luther write as an outline of the new faith?</t>
  </si>
  <si>
    <t>The city of Bukhara was not heavily fortified, with a moat and a single wall, and the citadel typical of Khwarezmi cities. The city leaders opened the gates to the Mongols, though a unit of Turkish defenders held the city's citadel for another twelve days. Survivors from the citadel were executed, artisans and craftsmen were sent back to Mongolia, young men who had not fought were drafted into the Mongolian army and the rest of the population was sent into slavery. As the Mongol soldiers looted the city, a fire broke out, razing most of the city to the ground. Genghis Khan had the city's surviving population assemble in the main mosque of the town, where he declared that he was the flail of God, sent to punish them for their sins.</t>
  </si>
  <si>
    <t>lesson plan</t>
  </si>
  <si>
    <t>The Dalek race</t>
  </si>
  <si>
    <t>increase local producer prices by 20–25%</t>
  </si>
  <si>
    <t>there are now numerous such communities across the United States</t>
  </si>
  <si>
    <t>reduce</t>
  </si>
  <si>
    <t>closed Huguenot schools and excluded them from favored professions</t>
  </si>
  <si>
    <t>What is another term for x-ray imaging?</t>
  </si>
  <si>
    <t>its chloroplast, and sometimes its cell membrane and nucleus</t>
  </si>
  <si>
    <t>the way of military action</t>
  </si>
  <si>
    <t>an open work crown surmounted by a statue of fame</t>
  </si>
  <si>
    <t>bans on foreign popular culture, control of the internet and unauthorised satellite dishes</t>
  </si>
  <si>
    <t>What do platyctenida use their pharynx for?</t>
  </si>
  <si>
    <t>a diatom (heterokontophyte) derived chloroplast</t>
  </si>
  <si>
    <t>increasingly aggressively</t>
  </si>
  <si>
    <t>What did Mueller have experience with prior to joining the space program?</t>
  </si>
  <si>
    <t>On the Councils</t>
  </si>
  <si>
    <t>suspected to have a supporting function</t>
  </si>
  <si>
    <t>What is the UN's climate change treaty?</t>
  </si>
  <si>
    <t>colonel of the Iroquois</t>
  </si>
  <si>
    <t>wood</t>
  </si>
  <si>
    <t>There is growing interest in what indigenous group in the Amazon?</t>
  </si>
  <si>
    <t>What session is the Scottish Parliament in?</t>
  </si>
  <si>
    <t>dams</t>
  </si>
  <si>
    <t>William and Judith Bollinger</t>
  </si>
  <si>
    <t>"dephlogisticated air</t>
  </si>
  <si>
    <t>What does the phrase "taking coals to Newcastle" mean?</t>
  </si>
  <si>
    <t>overseas</t>
  </si>
  <si>
    <t>The analysis of a specific algorithm is typically assigned to what field of computational science?</t>
  </si>
  <si>
    <t>the traditional Mongolian aristocracy</t>
  </si>
  <si>
    <t>"zip" the mouth shut when the animal is not feeding</t>
  </si>
  <si>
    <t>Ludwig Krapf recorded the name as both Kenia and Kegnia believed by most to be a corruption of the Kamba version. Others say that this was—on the contrary—a very precise notation of a correct African pronunciation /ˈkɛnjə/. An 1882 map drawn by Joseph Thompsons, a Scottish geologist and naturalist, indicated Mt. Kenya as Mt. Kenia, 1862. Controversy over the actual meaning of the word Kenya notwithstanding, it is clear that the mountain's name became widely accepted, pars pro toto, as the name of the country.</t>
  </si>
  <si>
    <t>Which Doctors were featured in The Four Doctors?</t>
  </si>
  <si>
    <t>a hundred</t>
  </si>
  <si>
    <t>29 February 2008</t>
  </si>
  <si>
    <t>from the constitutional traditions common to the member states</t>
  </si>
  <si>
    <t>How was Luther presented as an image to spread Protestantism?</t>
  </si>
  <si>
    <t>What are some of the accepted general principles of European Union law?</t>
  </si>
  <si>
    <t>What difficulties was Shirly having?</t>
  </si>
  <si>
    <t>the Sunday Service of the Methodists in North America</t>
  </si>
  <si>
    <t>Stadtholder William III of Orange</t>
  </si>
  <si>
    <t>The S-IVB orbital workshop was the only one of these plans to make it off the drawing board. Dubbed Skylab, it was constructed complete on the ground rather than in space, and launched in 1973 using the two lower stages of a Saturn V. It was equipped with an Apollo Telescope Mount, the solar telescope that would have been used on the Apollo Telescope Missions. Skylab's last crew departed the station on February 8, 1974, and the station itself re-entered the atmosphere in 1979, by which time it had become the oldest operational Apollo-Saturn component.</t>
  </si>
  <si>
    <t>deselected as official party candidates</t>
  </si>
  <si>
    <t>, 23–16,</t>
  </si>
  <si>
    <t>It is uncertain</t>
  </si>
  <si>
    <t>3.55 inches</t>
  </si>
  <si>
    <t>What were the first two destinations of Huguenot emigres?</t>
  </si>
  <si>
    <t>the Ministry of War</t>
  </si>
  <si>
    <t>Who found that a culture had developed where few Commissioners had any sense of responsibility?</t>
  </si>
  <si>
    <t>metamorphic</t>
  </si>
  <si>
    <t>defense and justification of empire-building based on seemingly rational grounds</t>
  </si>
  <si>
    <t>However, attempting to reconcile electromagnetic theory with two observations, the photoelectric effect, and the nonexistence of the ultraviolet catastrophe, proved troublesome. Through the work of leading theoretical physicists, a new theory of electromagnetism was developed using quantum mechanics. This final modification to electromagnetic theory ultimately led to quantum electrodynamics (or QED), which fully describes all electromagnetic phenomena as being mediated by wave–particles known as photons. In QED, photons are the fundamental exchange particle, which described all interactions relating to electromagnetism including the electromagnetic force.[Note 4]</t>
  </si>
  <si>
    <t>What kind of disorders are the result of an overactive immune response?</t>
  </si>
  <si>
    <t>Which caused the reform to never come into force?</t>
  </si>
  <si>
    <t>What did the NFL do to the playing field at Levi's Stadium before the Super Bowl?</t>
  </si>
  <si>
    <t>By decreasing resistance to blood flow in the lungs, what organ's workload  can be eased?</t>
  </si>
  <si>
    <t>What tool has measured the amount of dust that travels from the Sahara to the Amazon?</t>
  </si>
  <si>
    <t>as grubs underground</t>
  </si>
  <si>
    <t>The objective is typically a course of study, lesson plan, or a practical skill. A teacher may follow standardized curricula as determined by the relevant authority. The teacher may interact with students of different ages, from infants to adults, students with different abilities and students with learning disabilities.</t>
  </si>
  <si>
    <t>eight-year term</t>
  </si>
  <si>
    <t>oceanic species</t>
  </si>
  <si>
    <t>world's economy</t>
  </si>
  <si>
    <t>about four men attending Harvard College for every woman studying at Radcliffe</t>
  </si>
  <si>
    <t>Braddock (with George Washington as one of his aides) led about 1,500 army troops and provincial militia on an expedition in June 1755 to take Fort Duquesne. The expedition was a disaster. It was attacked by French and Indian soldiers ambushing them from up in trees and behind logs. Braddock called for a retreat. He was killed. Approximately 1,000 British soldiers were killed or injured. The remaining 500 British troops, led by George Washington, retreated to Virginia. Two future opponents in the American Revolutionary War, Washington and Thomas Gage, played key roles in organizing the retreat.</t>
  </si>
  <si>
    <t>chromoplasts</t>
  </si>
  <si>
    <t>congresses and presidents</t>
  </si>
  <si>
    <t>What did Newton's mechanics affect?</t>
  </si>
  <si>
    <t>By how much did Labour lead Lain Gray retain East Lothian?</t>
  </si>
  <si>
    <t>10 million</t>
  </si>
  <si>
    <t>better health and longer lives</t>
  </si>
  <si>
    <t>a few</t>
  </si>
  <si>
    <t>Colin Baker and Sylvester McCoy</t>
  </si>
  <si>
    <t>in their stroma</t>
  </si>
  <si>
    <t>other parts of an object</t>
  </si>
  <si>
    <t>NASA's CALIPSO satellite</t>
  </si>
  <si>
    <t>French irregular forces (Canadian scouts and Indians)</t>
  </si>
  <si>
    <t>constituency seats</t>
  </si>
  <si>
    <t>The British spirit of imperialism</t>
  </si>
  <si>
    <t>it focuses attention on the threat of punishment and not the moral reasons to follow this law</t>
  </si>
  <si>
    <t>The notion "force" keeps its meaning in quantum mechanics, though one is now dealing with operators instead of classical variables and though the physics is now described by the Schrödinger equation instead of Newtonian equations. This has the consequence that the results of a measurement are now sometimes "quantized", i.e. they appear in discrete portions. This is, of course, difficult to imagine in the context of "forces". However, the potentials V(x,y,z) or fields, from which the forces generally can be derived, are treated similar to classical position variables, i.e., .</t>
  </si>
  <si>
    <t>25 minutes</t>
  </si>
  <si>
    <t>The most recent episodes of the network's shows are usually made available on WATCH ABC, Hulu and ABC on Demand the day after their original broadcast. In addition, ABC on Demand (like the video-on-demand television services provided by the other U.S. broadcast networks) disallows fast forwarding of accessed content. Restrictions implemented by Disney–ABC Television Group on January 7, 2014 restrict streaming of the most recent episode of any ABC program on Hulu and WATCH ABC until eight days after their initial broadcast, in order to encourage live or same-week (via both DVR and cable on demand) viewing, with day-after-air streaming on either service limited to subscribers of participating pay television providers (such as Comcast, Verizon FiOS and Time Warner Cable) using an ISP account via an authenticated user login.</t>
  </si>
  <si>
    <t>least prejudiced</t>
  </si>
  <si>
    <t>In Berlin, the Huguenots created two new neighbourhoods: Dorotheenstadt and Friedrichstadt. By 1700, one-fifth of the city's population was French speaking. The Berlin Huguenots preserved the French language in their church services for nearly a century. They ultimately decided to switch to German in protest against the occupation of Prussia by Napoleon in 1806-07. Many of their descendents rose to positions of prominence. Several congregations were founded, such as those of Fredericia (Denmark), Berlin, Stockholm, Hamburg, Frankfurt, Helsinki, and Emden.</t>
  </si>
  <si>
    <t>Jean De Rely's illustrated French-language scriptures were first published in what city?</t>
  </si>
  <si>
    <t>a Commission proposal</t>
  </si>
  <si>
    <t>topographic</t>
  </si>
  <si>
    <t>areas controlled by Russia</t>
  </si>
  <si>
    <t>What group bought Cyprus after the Norman conquest?</t>
  </si>
  <si>
    <t>The invasions of Baghdad, Samarkand, Urgench, Kiev, Vladimir among others caused mass murders, such as when portions of southern Khuzestan were completely destroyed. His descendant Hulagu Khan destroyed much of Iran's northern part and sacked Baghdad although his forces were halted by the Mamluks of Egypt, but Hulagu's descendant Ghazan Khan would return to beat the Egyptian Mamluks right out of Levant, Palestine and even Gaza. According to the works of the Persian historian Rashid-al-Din Hamadani, the Mongols killed more than 70,000 people in Merv and more than 190,000 in Nishapur. In 1237 Batu Khan, a grandson of Genghis Khan, launched an invasion into Kievan Rus'. Over the course of three years, the Mongols destroyed and annihilated all of the major cities of Eastern Europe with the exceptions of Novgorod and Pskov.</t>
  </si>
  <si>
    <t>What does the Armagnac manuscript in the V&amp;A library archive depict?</t>
  </si>
  <si>
    <t>Polignac's</t>
  </si>
  <si>
    <t>What allows the adaptive immune system to react faster and more strongly each subsequent time a pathogen is encountered?</t>
  </si>
  <si>
    <t>phycobilin-containing chloroplast</t>
  </si>
  <si>
    <t>blue</t>
  </si>
  <si>
    <t>On the other hand, in the late 1980s the Western Atlantic ctenophore Mnemiopsis leidyi was accidentally introduced into the Black Sea and Sea of Azov via the ballast tanks of ships, and has been blamed for causing sharp drops in fish catches by eating both fish larvae and small crustaceans that would otherwise feed the adult fish. Mnemiopsis is well equipped to invade new territories (although this was not predicted until after it so successfully colonized the Black Sea), as it can breed very rapidly and tolerate a wide range of water temperatures and salinities. The impact was increased by chronic overfishing, and by eutrophication that gave the entire ecosystem a short-term boost, causing the Mnemiopsis population to increase even faster than normal – and above all by the absence of efficient predators on these introduced ctenophores. Mnemiopsis populations in those areas were eventually brought under control by the accidental introduction of the Mnemiopsis-eating North American ctenophore Beroe ovata, and by a cooling of the local climate from 1991 to 1993, which significantly slowed the animal's metabolism. However the abundance of plankton in the area seems unlikely to be restored to pre-Mnemiopsis levels.</t>
  </si>
  <si>
    <t>Cape of Good Hope</t>
  </si>
  <si>
    <t>Many faults are able to produce a magnitude 6.7+ earthquake, such as the San Andreas Fault, which can produce a magnitude 8.0 event. Other faults include the San Jacinto Fault, the Puente Hills Fault, and the Elsinore Fault Zone. The USGS has released a California Earthquake forecast which models Earthquake occurrence in California.</t>
  </si>
  <si>
    <t>the entire length of the lake</t>
  </si>
  <si>
    <t>first century AD</t>
  </si>
  <si>
    <t>Who helped develop the first man-made self-sustaining nuclear reaction?</t>
  </si>
  <si>
    <t>What did Alec Shelbrooke propose payments of benefits to be made on?</t>
  </si>
  <si>
    <t>passenger volume</t>
  </si>
  <si>
    <t>What was Tesla's father afraid would happen to him in school?</t>
  </si>
  <si>
    <t>the danger</t>
  </si>
  <si>
    <t>The French Wars of Religion in the 16th century and French Revolution in the 18th successively destroyed much of what existed in the way of the architectural and artistic remnant of this Norman creativity. The former, with their violence, caused the wanton destruction of many Norman edifices; the latter, with its assault on religion, caused the purposeful destruction of religious objects of any type, and its destabilisation of society resulted in rampant pillaging.</t>
  </si>
  <si>
    <t>How are green chloroplasts' Plastoglobuli arranged?</t>
  </si>
  <si>
    <t>What are the independant components of a vector sum that has been determined by scalar addition of individual vectors?</t>
  </si>
  <si>
    <t>its dominance in middle-distance and long-distance athletics</t>
  </si>
  <si>
    <t>coining the modern name packet switching and inspiring numerous packet switching networks</t>
  </si>
  <si>
    <t>along the frontiers</t>
  </si>
  <si>
    <t>A computational problem can be viewed as an infinite collection of instances together with a solution for every instance. The input string for a computational problem is referred to as a problem instance, and should not be confused with the problem itself. In computational complexity theory, a problem refers to the abstract question to be solved. In contrast, an instance of this problem is a rather concrete utterance, which can serve as the input for a decision problem. For example, consider the problem of primality testing. The instance is a number (e.g. 15) and the solution is "yes" if the number is prime and "no" otherwise (in this case "no"). Stated another way, the instance is a particular input to the problem, and the solution is the output corresponding to the given input.</t>
  </si>
  <si>
    <t>Immigrants arrived from all over the world to search for gold, especially from Ireland and China. Many Chinese miners worked in Victoria, and their legacy is particularly strong in Bendigo and its environs. Although there was some racism directed at them, there was not the level of anti-Chinese violence that was seen at the Lambing Flat riots in New South Wales. However, there was a riot at Buckland Valley near Bright in 1857. Conditions on the gold fields were cramped and unsanitary; an outbreak of typhoid at Buckland Valley in 1854 killed over 1,000 miners.</t>
  </si>
  <si>
    <t>What did the benefits agency think sports channels on a TV bill meant?</t>
  </si>
  <si>
    <t>tracks, signalling and overhead wires</t>
  </si>
  <si>
    <t>proud of it</t>
  </si>
  <si>
    <t>fall of 1937</t>
  </si>
  <si>
    <t>turbo-electric transmission</t>
  </si>
  <si>
    <t>cellular respiration</t>
  </si>
  <si>
    <t>Who did Tesla think would run the world of the future?</t>
  </si>
  <si>
    <t>Subject Committees are established at the beginning of each parliamentary session, and again the members on each committee reflect the balance of parties across Parliament. Typically each committee corresponds with one (or more) of the departments (or ministries) of the Scottish Government. The current Subject Committees in the fourth Session are: Economy, Energy and Tourism; Education and Culture; Health and Sport; Justice; Local Government and Regeneration; Rural Affairs, Climate Change and Environment; Welfare Reform; and Infrastructure and Capital Investment.</t>
  </si>
  <si>
    <t>What's the name of the United Kingdom's sole remaining news cinema?</t>
  </si>
  <si>
    <t>powers that are "reserved" to the Parliament of the United Kingdom</t>
  </si>
  <si>
    <t>from sea level</t>
  </si>
  <si>
    <t xml:space="preserve">Classification of resources is contingent on determining the upper and lower bounds of minimum time required by what?  </t>
  </si>
  <si>
    <t>the object's weight</t>
  </si>
  <si>
    <t>surface condensers</t>
  </si>
  <si>
    <t>What is the name of the river that is completely contained inside Jacksonville?</t>
  </si>
  <si>
    <t>Neoclassical economics</t>
  </si>
  <si>
    <t>a key requirement for admission to Standard One (First Grade)</t>
  </si>
  <si>
    <t>What phenomenon has led to criticism?</t>
  </si>
  <si>
    <t>The following four timelines show the geologic time scale. The first shows the entire time from the formation of the Earth to the present, but this compresses the most recent eon. Therefore, the second scale shows the most recent eon with an expanded scale. The second scale compresses the most recent era, so the most recent era is expanded in the third scale. Since the Quaternary is a very short period with short epochs, it is further expanded in the fourth scale. The second, third, and fourth timelines are therefore each subsections of their preceding timeline as indicated by asterisks. The Holocene (the latest epoch) is too small to be shown clearly on the third timeline on the right, another reason for expanding the fourth scale. The Pleistocene (P) epoch. Q stands for the Quaternary period.</t>
  </si>
  <si>
    <t>Apollo ran from 1961 to 1972</t>
  </si>
  <si>
    <t>a two-page statement</t>
  </si>
  <si>
    <t>How many people did the Islamic State control the territory of as of March 2015?</t>
  </si>
  <si>
    <t>In December 2014, President Uhuru Kenyatta signed a Security Laws Amendment Bill, which supporters of the law suggested was necessary to guard against armed groups. Opposition politicians, human rights groups, and nine Western countries criticised the security bill, arguing that it infringed on democratic freedoms. The governments of the United States, Britain, Germany and France also collectively issued a press statement cautioning about the law's potential impact. Through the Jubillee Coalition, the Bill was later passed on 19 December in the National Assembly under acrimonious circumstances.</t>
  </si>
  <si>
    <t>How do platyctenids reproduce?</t>
  </si>
  <si>
    <t>What doesn't change from being at rest to movement at a constant velocity?</t>
  </si>
  <si>
    <t>In the final years of the apartheid era, parents at white government schools were given the option to convert to a "semi-private" form called Model C, and many of these schools changed their admissions policies to accept children of other races. Following the transition to democracy, the legal form of "Model C" was abolished, however, the term continues to be used to describe government schools formerly reserved for white children.. These schools tend to produce better academic results than government schools formerly reserved for other race groups . Former "Model C" schools are not private schools, as they are state-controlled. All schools in South Africa (including both independent schools and public schools) have the right to set compulsory school fees, and formerly model C schools tend to set much higher school fees than other public schools.</t>
  </si>
  <si>
    <t>Second World War</t>
  </si>
  <si>
    <t>The Harvard University Library System is centered in Widener Library in Harvard Yard and comprises nearly 80 individual libraries holding over 18 million volumes. According to the American Library Association, this makes it the largest academic library in the United States, and one of the largest in the world. Cabot Science Library, Lamont Library, and Widener Library are three of the most popular libraries for undergraduates to use, with easy access and central locations. There are rare books, manuscripts and other special collections throughout Harvard's libraries; Houghton Library, the Arthur and Elizabeth Schlesinger Library on the History of Women in America, and the Harvard University Archives consist principally of rare and unique materials. America's oldest collection of maps, gazetteers, and atlases both old and new is stored in Pusey Library and open to the public. The largest collection of East-Asian language material outside of East Asia is held in the Harvard-Yenching Library.</t>
  </si>
  <si>
    <t>Chagatai and Jochi</t>
  </si>
  <si>
    <t>as a function of the size of the instance</t>
  </si>
  <si>
    <t>1.4 times normal</t>
  </si>
  <si>
    <t>feeder materials</t>
  </si>
  <si>
    <t>What does the 9 +3 pattern of cilia thought to do?</t>
  </si>
  <si>
    <t>What was the image of Luther a contrast to the life of?</t>
  </si>
  <si>
    <t>ectrical fire</t>
  </si>
  <si>
    <t>Thanks to numerous musical venues, including the Teatr Wielki, the Polish National Opera, the Chamber Opera, the National Philharmonic Hall and the National Theatre, as well as the Roma and Buffo music theatres and the Congress Hall in the Palace of Culture and Science, Warsaw hosts many events and festivals. Among the events worth particular attention are: the International Frédéric Chopin Piano Competition, the International Contemporary Music Festival Warsaw Autumn, the Jazz Jamboree, Warsaw Summer Jazz Days, the International Stanisław Moniuszko Vocal Competition, the Mozart Festival, and the Festival of Old Music.</t>
  </si>
  <si>
    <t>1960s</t>
  </si>
  <si>
    <t>27 August 2010</t>
  </si>
  <si>
    <t>CYCLADES packet switching network</t>
  </si>
  <si>
    <t>When did delegates to the World Methodist Council vote to adopt the joint Declaration on the Doctrine of Justification?"</t>
  </si>
  <si>
    <t>The most basic method of checking the primality of a given integer n is called trial division. This routine consists of dividing n by each integer m that is greater than 1 and less than or equal to the square root of n. If the result of any of these divisions is an integer, then n is not a prime, otherwise it is a prime. Indeed, if  is composite (with a and b ≠ 1) then one of the factors a or b is necessarily at most . For example, for , the trial divisions are by m = 2, 3, 4, 5, and 6. None of these numbers divides 37, so 37 is prime. This routine can be implemented more efficiently if a complete list of primes up to  is known—then trial divisions need to be checked only for those m that are prime. For example, to check the primality of 37, only three divisions are necessary (m = 2, 3, and 5), given that 4 and 6 are composite.</t>
  </si>
  <si>
    <t>fluid inclusion data</t>
  </si>
  <si>
    <t>depressurization</t>
  </si>
  <si>
    <t>Steam engines frequently possess two independent mechanisms for ensuring that the pressure in the boiler does not go too high; one may be adjusted by the user, the second is typically designed as an ultimate fail-safe. Such safety valves traditionally used a simple lever to restrain a plug valve in the top of a boiler. One end of the lever carried a weight or spring that restrained the valve against steam pressure. Early valves could be adjusted by engine drivers, leading to many accidents when a driver fastened the valve down to allow greater steam pressure and more power from the engine. The more recent type of safety valve uses an adjustable spring-loaded valve, which is locked such that operators may not tamper with its adjustment unless a seal illegally is broken. This arrangement is considerably safer.[citation needed]</t>
  </si>
  <si>
    <t>When the law is a direct target of the protest, what is this called?</t>
  </si>
  <si>
    <t>a body of treaties and legislation, such as Regulations and Directives, which have direct effect or indirect effect on the laws of European Union member states</t>
  </si>
  <si>
    <t>shock</t>
  </si>
  <si>
    <t>What else contributes to Jacksonville's summer storms other than land heating beside the water?</t>
  </si>
  <si>
    <t>Greenhouse Gas Inventories</t>
  </si>
  <si>
    <t>Ukraine</t>
  </si>
  <si>
    <t>Reserved matters</t>
  </si>
  <si>
    <t>Supplies from Jacksonville were in support of which faction in the Civil War?</t>
  </si>
  <si>
    <t>Pope Leo X was used to reformers and heretics, and he responded slowly, "with great care as is proper." Over the next three years he deployed a series of papal theologians and envoys against Luther, which served only to harden the reformer's anti-papal theology. First, the Dominican theologian Sylvester Mazzolini drafted a heresy case against Luther, whom Leo then summoned to Rome. The Elector Frederick persuaded the pope to have Luther examined at Augsburg, where the Imperial Diet was held. There, in October 1518, under questioning by papal legate Cardinal Cajetan Luther stated that he did not consider the papacy part of the biblical Church because historistical interpretation of Bible prophecy concluded that the papacy was the Antichrist. The prophecies concerning the Antichrist soon became the center of controversy. The hearings degenerated into a shouting match. More than his writing the 95 Theses, Luther's confrontation with the church cast him as an enemy of the pope. Cajetan's original instructions had been to arrest Luther if he failed to recant, but the legate desisted from doing so. Luther slipped out of the city at night, unbeknownst to Cajetan.</t>
  </si>
  <si>
    <t>In Nepalese private schools, what is the primary language of instruction?</t>
  </si>
  <si>
    <t>eleven</t>
  </si>
  <si>
    <t>Natural killer cells recognize cells that should be targeted by a condition known as what?</t>
  </si>
  <si>
    <t>4 kilometers</t>
  </si>
  <si>
    <t>operators</t>
  </si>
  <si>
    <t>the relevant authority</t>
  </si>
  <si>
    <t>more expensive</t>
  </si>
  <si>
    <t>relativity</t>
  </si>
  <si>
    <t>What is the process of removing trees from a forest known as?</t>
  </si>
  <si>
    <t>Derek Wolfe and Malik Jackson</t>
  </si>
  <si>
    <t>deterministic algorithms</t>
  </si>
  <si>
    <t>What event followed the battle?</t>
  </si>
  <si>
    <t>Funding for private schools is generally provided through student tuition, endowments, scholarship/voucher funds, and donations and grants from religious organizations or private individuals. Government funding for religious schools is either subject to restrictions or possibly forbidden, according to the courts' interpretation of the Establishment Clause of the First Amendment or individual state Blaine Amendments. Non-religious private schools theoretically could qualify for such funding without hassle, preferring the advantages of independent control of their student admissions and course content instead of the public funding they could get with charter status.</t>
  </si>
  <si>
    <t>dispatched six regiments to New France</t>
  </si>
  <si>
    <t>Alien Property Custodian</t>
  </si>
  <si>
    <t>In what part of the 19th century were steam turbines introduced?</t>
  </si>
  <si>
    <t>more like true larvae</t>
  </si>
  <si>
    <t>Which section of the Rhine is most factories found?</t>
  </si>
  <si>
    <t>a cryptophyte</t>
  </si>
  <si>
    <t>How are packets normally forwarded</t>
  </si>
  <si>
    <t>All Italian chocolate is made from what alone?</t>
  </si>
  <si>
    <t>human capital is neglected</t>
  </si>
  <si>
    <t>Besides rivers, what shapes the sedimentation of the rivers?</t>
  </si>
  <si>
    <t>Mary Leakey and Louis Leakey</t>
  </si>
  <si>
    <t>What is a quarter of Warsaw filled with?</t>
  </si>
  <si>
    <t>After the 1940s, the Gothic style on campus began to give way to modern styles. In 1955, Eero Saarinen was contracted to develop a second master plan, which led to the construction of buildings both north and south of the Midway, including the Laird Bell Law Quadrangle (a complex designed by Saarinen); a series of arts buildings; a building designed by Ludwig Mies van der Rohe for the university's School of Social Service Administration;, a building which is to become the home of the Harris School of Public Policy Studies by Edward Durrell Stone, and the Regenstein Library, the largest building on campus, a brutalist structure designed by Walter Netsch of the Chicago firm Skidmore, Owings &amp; Merrill. Another master plan, designed in 1999 and updated in 2004, produced the Gerald Ratner Athletics Center (2003), the Max Palevsky Residential Commons (2001), South Campus Residence Hall and dining commons (2009), a new children's hospital, and other construction, expansions, and restorations. In 2011, the university completed the glass dome-shaped Joe and Rika Mansueto Library, which provides a grand reading room for the university library and prevents the need for an off-campus book depository.</t>
  </si>
  <si>
    <t>Disney–ABC Domestic Television</t>
  </si>
  <si>
    <t>Governor Vaudreuil, who harboured ambitions to become the French commander in chief (in addition to his role as governor), acted during the winter of 1756 before those reinforcements arrived. Scouts had reported the weakness of the British supply chain, so he ordered an attack against the forts Shirley had erected at the Oneida Carry. In the March Battle of Fort Bull, French forces destroyed the fort and large quantities of supplies, including 45,000 pounds of gunpowder. They set back any British hopes for campaigns on Lake Ontario, and endangered the Oswego garrison, already short on supplies. French forces in the Ohio valley also continued to intrigue with Indians throughout the area, encouraging them to raid frontier settlements. This led to ongoing alarms along the western frontiers, with streams of refugees returning east to get away from the action.</t>
  </si>
  <si>
    <t>In cpDNA, there are several A → G deamination gradients. DNA becomes susceptible to deamination events when it is single stranded. When replication forks form, the strand not being copied is single stranded, and thus at risk for A → G deamination. Therefore, gradients in deamination indicate that replication forks were most likely present and the direction that they initially opened (the highest gradient is most likely nearest the start site because it was single stranded for the longest amount of time). This mechanism is still the leading theory today; however, a second theory suggests that most cpDNA is actually linear and replicates through homologous recombination. It further contends that only a minority of the genetic material is kept in circular chromosomes while the rest is in branched, linear, or other complex structures.</t>
  </si>
  <si>
    <t>the bigamy of the Philip of Hesse incident</t>
  </si>
  <si>
    <t>The agreements include fixed annual carriage fees of £30m for the channels with both channel suppliers able to secure additional capped payments if their channels meet certain performance-related targets. Currently there is no indication as to whether the new deal includes the additional Video On Demand and High Definition content which had previously been offered by BSkyB. As part of the agreements, both BSkyB and Virgin Media agreed to terminate all High Court proceedings against each other relating to the carriage of their respective basic channels.</t>
  </si>
  <si>
    <t>ocean liners</t>
  </si>
  <si>
    <t>What product was notably shipped in vessels equipped with double and triple expansion engines?</t>
  </si>
  <si>
    <t>What department did Kublai create to train doctors?</t>
  </si>
  <si>
    <t>Which court is the highest court in the European Union?</t>
  </si>
  <si>
    <t>HD channels</t>
  </si>
  <si>
    <t>What did the Amazon rainforest do during the Middle Miocene?</t>
  </si>
  <si>
    <t>In what direction does the mountain system extend?</t>
  </si>
  <si>
    <t>black and white,</t>
  </si>
  <si>
    <t>complete the modules to earn Chartered Teacher Status</t>
  </si>
  <si>
    <t>The neighborhood of Sunnyside is on Fresno's far southeast side, bounded by Chestnut Avenue to the West. Its major thoroughfares are Kings Canyon Avenue and Clovis Avenue. Although parts of Sunnyside are within the City of Fresno, much of the neighborhood is a "county island" within Fresno County. Largely developed in the 1950s through the 1970s, it has recently experienced a surge in new home construction. It is also the home of the Sunnyside Country Club, which maintains a golf course designed by William P. Bell.</t>
  </si>
  <si>
    <t>significant new evidence or events that change our understanding</t>
  </si>
  <si>
    <t>When was the article published?</t>
  </si>
  <si>
    <t xml:space="preserve">Who did internet2 partner with </t>
  </si>
  <si>
    <t>0.5–1.4 m</t>
  </si>
  <si>
    <t>mosaics</t>
  </si>
  <si>
    <t>Immediately after Decision Time</t>
  </si>
  <si>
    <t>When was Martin Luther born?</t>
  </si>
  <si>
    <t>How much did the IPCC Third Assessment Report say sea levels will rise from 1990 to 2100?</t>
  </si>
  <si>
    <t>Why did Harvard end its early admission program?</t>
  </si>
  <si>
    <t>What was the importance of the congress?</t>
  </si>
  <si>
    <t>What type of surnames is their a strong presence of?</t>
  </si>
  <si>
    <t>Three-Year Plan</t>
  </si>
  <si>
    <t>twin-cylinder</t>
  </si>
  <si>
    <t>formal language</t>
  </si>
  <si>
    <t>What did Tesla claim to perfect while at the exchange?</t>
  </si>
  <si>
    <t>more than 28 days</t>
  </si>
  <si>
    <t>To what century did the idea of ether belong?</t>
  </si>
  <si>
    <t>spring reaction</t>
  </si>
  <si>
    <t>the basic channels</t>
  </si>
  <si>
    <t>host computers (servers)at thousands of large companies, educational institutions, and government agencies</t>
  </si>
  <si>
    <t>deprived of earning as much</t>
  </si>
  <si>
    <t>How much money did Dillon, Read &amp; Co offer Mark Woods for NBC Blue?</t>
  </si>
  <si>
    <t>private research university</t>
  </si>
  <si>
    <t>What was Martin Parry's role in the IPCC?</t>
  </si>
  <si>
    <t>What countries are used as an example of harsher discipline with successful education?</t>
  </si>
  <si>
    <t>Children's Memorial Health Institute</t>
  </si>
  <si>
    <t>Anglo-Saxon populations</t>
  </si>
  <si>
    <t>west</t>
  </si>
  <si>
    <t>What is the largest item from Italy that is part of the sculpture collection?</t>
  </si>
  <si>
    <t>As of 2010[update], there were 366,273 households out of which 11.8% were vacant. 23.9% of households had children under the age of 18 living with them, 43.8% were married couples, 15.2% had a female householder with no husband present, and 36.4% were non-families. 29.7% of all households were made up of individuals and 7.9% had someone living alone who was 65 years of age or older. The average household size was 2.55 and the average family size was 3.21. In the city, the population was spread out with 23.9% under the age of 18, 10.5% from 18 to 24, 28.5% from 25 to 44, 26.2% from 45 to 64, and 10.9% who were 65 years of age or older. The median age was 35.5 years. For every 100 females there were 94.1 males. For every 100 females age 18 and over, there were 91.3 males.</t>
  </si>
  <si>
    <t xml:space="preserve">Who made up 19% of the student body in the 2012 Spring Quarter? </t>
  </si>
  <si>
    <t>August 1914</t>
  </si>
  <si>
    <t>Charleston Orange district</t>
  </si>
  <si>
    <t>By mass, oxygen is the third-most abundant element in the universe, after hydrogen and helium.</t>
  </si>
  <si>
    <t>imaginative geography</t>
  </si>
  <si>
    <t>Which university did Tesla audit in 1880?</t>
  </si>
  <si>
    <t>His poor physical health made him short-tempered and even harsher in his writings and comments. His wife Katharina was overheard saying, "Dear husband, you are too rude," and he responded, "They are teaching me to be rude." In 1545 and 1546 Luther preached three times in the Market Church in Halle, staying with his friend Justus Jonas during Christmas.</t>
  </si>
  <si>
    <t>Ugly Betty's ratings fell dramatically after the series movie to what night?</t>
  </si>
  <si>
    <t>wide sidewalks</t>
  </si>
  <si>
    <t>pass on their signal to an unknown second messenger molecule</t>
  </si>
  <si>
    <t>In the aftermath of generally poor French results in most theaters of the Seven Years' War in 1758, France's new foreign minister, the duc de Choiseul, decided to focus on an invasion of Britain, to draw British resources away from North America and the European mainland. The invasion failed both militarily and politically, as Pitt again planned significant campaigns against New France, and sent funds to Britain's ally on the mainland, Prussia, and the French Navy failed in the 1759 naval battles at Lagos and Quiberon Bay. In one piece of good fortune, some French supply ships managed to depart France, eluding the British blockade of the French coast.</t>
  </si>
  <si>
    <t>An important factor in the creation of inequality is variation in individuals' access to education. Education, especially in an area where there is a high demand for workers, creates high wages for those with this education, however, increases in education first increase and then decrease growth as well as income inequality. As a result, those who are unable to afford an education, or choose not to pursue optional education, generally receive much lower wages. The justification for this is that a lack of education leads directly to lower incomes, and thus lower aggregate savings and investment. Conversely, education raises incomes and promotes growth because it helps to unleash the productive potential of the poor.</t>
  </si>
  <si>
    <t>What kind of chloroplasts do diatoms have?</t>
  </si>
  <si>
    <t>Where does a private school get funding to operate?</t>
  </si>
  <si>
    <t>What does pharmacy legislation mandate?</t>
  </si>
  <si>
    <t>a board of trustees</t>
  </si>
  <si>
    <t>Cretaceous–Paleogene extinction event</t>
  </si>
  <si>
    <t>Which theory states that slow geological processes are still occurring today, and have occurred throughout Earth's history?</t>
  </si>
  <si>
    <t>What does CBD stand for?</t>
  </si>
  <si>
    <t>What prize did Peter Higgs win?</t>
  </si>
  <si>
    <t>the original message/data is reassembled in the correct order, based on the packet sequence number</t>
  </si>
  <si>
    <t>How many ACL injuries has Thomas Davis had during his career?</t>
  </si>
  <si>
    <t>chloroplasts and other plastids can turn back into proplastids</t>
  </si>
  <si>
    <t>When could a teacher act in the role of a parent?</t>
  </si>
  <si>
    <t>the Pacific</t>
  </si>
  <si>
    <t>as parish churches</t>
  </si>
  <si>
    <t>Where do platycenida live?</t>
  </si>
  <si>
    <t>How much resources were French placing in North America?</t>
  </si>
  <si>
    <t>What is the most important item for civil disobedience to follow through?</t>
  </si>
  <si>
    <t>the legitimacy of any government</t>
  </si>
  <si>
    <t>Where was Dyrrachium located?</t>
  </si>
  <si>
    <t>An Unearthly Child</t>
  </si>
  <si>
    <t>suspended planktonic prey</t>
  </si>
  <si>
    <t>identified change orders or project changes that increased costs</t>
  </si>
  <si>
    <t>dimensional constant</t>
  </si>
  <si>
    <t>over $2,000</t>
  </si>
  <si>
    <t xml:space="preserve">In cases with shared medium how is it delivered </t>
  </si>
  <si>
    <t>What architecture type came after Norman in England?</t>
  </si>
  <si>
    <t>How long did Julia Butterfly Hill live in a tree?</t>
  </si>
  <si>
    <t>News of the two battles reached England in August. After several months of negotiations, the government of the Duke of Newcastle decided to send an army expedition the following year to dislodge the French. They chose Major General Edward Braddock to lead the expedition. Word of the British military plans leaked to France well before Braddock's departure for North America. In response, King Louis XV dispatched six regiments to New France under the command of Baron Dieskau in 1755. The British, intending to blockade French ports, sent out their fleet in February 1755, but the French fleet had already sailed. Admiral Edward Hawke detached a fast squadron to North America in an attempt to intercept the French.</t>
  </si>
  <si>
    <t>What country initially received the largest number of Huguenot refugees?</t>
  </si>
  <si>
    <t>In a report, published in early February 2007 by the Ear Institute at the University College London, and Widex, a Danish hearing aid manufacturer, Newcastle was named as the noisiest city in the whole of the UK, with an average level of 80.4 decibels. The report claimed that these noise levels would have a negative long-term impact on the health of the city's residents. The report was criticized, however, for attaching too much weight to readings at arbitrarily selected locations, which in Newcastle's case included a motorway underpass without pedestrian access.</t>
  </si>
  <si>
    <t>painting, mathematics, calligraphy, poetry, and theater</t>
  </si>
  <si>
    <t>from 4 August 1915 until November 1918</t>
  </si>
  <si>
    <t>girls</t>
  </si>
  <si>
    <t>closed Huguenot schools</t>
  </si>
  <si>
    <t>What did Luther contend the Jews to be?</t>
  </si>
  <si>
    <t>Egyptians against the British occupation in the 1919 Revolution.</t>
  </si>
  <si>
    <t>What time do they normally have tea?</t>
  </si>
  <si>
    <t>government.</t>
  </si>
  <si>
    <t>Rutherford Grammar School</t>
  </si>
  <si>
    <t>Higher Real Gymnasium</t>
  </si>
  <si>
    <t>Reports document that how many Parisien Protestants were killed by September 17?</t>
  </si>
  <si>
    <t>How similar was the Lisbon Treaty to the constitutional treaty?</t>
  </si>
  <si>
    <t>courts of member states and the Court of Justice of the European Union</t>
  </si>
  <si>
    <t>When are inequalities in wealth justified, according to John Rawls?</t>
  </si>
  <si>
    <t>How many affiliates did ABC have in 1949?</t>
  </si>
  <si>
    <t>Why is the current sea level rising?</t>
  </si>
  <si>
    <t>Tesla Polyphase System</t>
  </si>
  <si>
    <t>What effect did the plague have on the Middle East?</t>
  </si>
  <si>
    <t>most became nonfunctional pseudogenes</t>
  </si>
  <si>
    <t>In 1934, Mutual filed a complaint with the Federal Communications Commission (FCC) regarding its difficulties in establishing new stations, in a radio market that was already being saturated by NBC and CBS. In 1938, the FCC began a series of investigations into the practices of radio networks and published its report on the broadcasting of network radio programs in 1940. The report recommended that RCA give up control of either NBC Red or NBC Blue. At that time, the NBC Red Network was the principal radio network in the United States and, according to the FCC, RCA was using NBC Blue to eliminate any hint of competition. Having no power over the networks themselves, the FCC established a regulation forbidding licenses to be issued for radio stations if they were affiliated with a network which already owned multiple networks that provided content of public interest.</t>
  </si>
  <si>
    <t>preached eight sermons</t>
  </si>
  <si>
    <t>universal Ku band</t>
  </si>
  <si>
    <t>the MetroCentre</t>
  </si>
  <si>
    <t>lower level</t>
  </si>
  <si>
    <t>imperialism often divides countries by using which technique?</t>
  </si>
  <si>
    <t>130 million cubic foot</t>
  </si>
  <si>
    <t>passed</t>
  </si>
  <si>
    <t>would do more harm than good</t>
  </si>
  <si>
    <t>a vital part of marine food chains</t>
  </si>
  <si>
    <t>high pressure shock waves</t>
  </si>
  <si>
    <t>At the end of 1949, movie theater operator United Paramount Theatres (UPT) was forced by the U.S. Supreme Court to become an independent entity, separating itself from Paramount Pictures. For its part, ABC was on the verge of bankruptcy, with only five owned-and-operated stations and nine full-time affiliates. Its revenues, which were related to advertising and were indexed compared to the number of listeners/viewers, failed to compensate for its heavy investments in purchasing and building stations. In 1951, a rumor even mentioned that the network would be sold to CBS. In 1951, Noble held a 58% ownership stake in ABC, giving him $5 million with which to prevent ABC from going bankrupt; as banks refused further credit, that amount was obtained through a loan from the Prudential Insurance Company of America.</t>
  </si>
  <si>
    <t>T cell</t>
  </si>
  <si>
    <t>How many large public parks does Fresno have?</t>
  </si>
  <si>
    <t>lipid-bilayer membranes</t>
  </si>
  <si>
    <t>30,000</t>
  </si>
  <si>
    <t>chemical</t>
  </si>
  <si>
    <t>residency registration</t>
  </si>
  <si>
    <t>public order,</t>
  </si>
  <si>
    <t>the Annual Conference Cabinet</t>
  </si>
  <si>
    <t>What effect does trade with poorer countries have on the workers in richer countries?</t>
  </si>
  <si>
    <t>armed</t>
  </si>
  <si>
    <t>Who is most likely to teach a child at home?</t>
  </si>
  <si>
    <t>is that grace of God which sustains the believers in the journey toward Christian Perfection</t>
  </si>
  <si>
    <t>What other projectiles did Tesla compare the electric particles to?</t>
  </si>
  <si>
    <t>What kind of weapons did Tesla's treatise concern?</t>
  </si>
  <si>
    <t>6 March 1522</t>
  </si>
  <si>
    <t>What type of undergarment, if any, was included into the Apollo spacesuit?</t>
  </si>
  <si>
    <t>Where did Turabi place students sympathetic to his views?</t>
  </si>
  <si>
    <t>What countries use a red stylized A to signify pharmacy?</t>
  </si>
  <si>
    <t>cyclic photophosphorylation</t>
  </si>
  <si>
    <t>government schools formerly reserved for white children</t>
  </si>
  <si>
    <t>In ring theory, the notion of number is generally replaced with that of ideal. Prime ideals, which generalize prime elements in the sense that the principal ideal generated by a prime element is a prime ideal, are an important tool and object of study in commutative algebra, algebraic number theory and algebraic geometry. The prime ideals of the ring of integers are the ideals (0), (2), (3), (5), (7), (11), … The fundamental theorem of arithmetic generalizes to the Lasker–Noether theorem, which expresses every ideal in a Noetherian commutative ring as an intersection of primary ideals, which are the appropriate generalizations of prime powers.</t>
  </si>
  <si>
    <t>violent civil disobedience</t>
  </si>
  <si>
    <t>What did Queen Elizabeth II open in Newcastle in 1981?</t>
  </si>
  <si>
    <t>Robert Koch and Emil von Behring,</t>
  </si>
  <si>
    <t>What was the first problem astronauts encountered during the plugs-out test?</t>
  </si>
  <si>
    <t>Catholic schismatic</t>
  </si>
  <si>
    <t xml:space="preserve">What did DECnet phase 2 become </t>
  </si>
  <si>
    <t>hotel room</t>
  </si>
  <si>
    <t>support an attack on the upper classes</t>
  </si>
  <si>
    <t>a plug valve</t>
  </si>
  <si>
    <t>groups of large, stiffened cilia</t>
  </si>
  <si>
    <t>What do the Devonshire Hunting Tapestries depict?</t>
  </si>
  <si>
    <t>Upper and lower bounds are usually stated using the big O notation, which hides constant factors and smaller terms. This makes the bounds independent of the specific details of the computational model used. For instance, if T(n) = 7n2 + 15n + 40, in big O notation one would write T(n) = O(n2).</t>
  </si>
  <si>
    <t>deportation</t>
  </si>
  <si>
    <t>Mongol peace</t>
  </si>
  <si>
    <t>pound-force</t>
  </si>
  <si>
    <t>for its popular beaches</t>
  </si>
  <si>
    <t>Turks</t>
  </si>
  <si>
    <t>the sidelines</t>
  </si>
  <si>
    <t>judges</t>
  </si>
  <si>
    <t>What is a Hauptlied?</t>
  </si>
  <si>
    <t>a personal concept</t>
  </si>
  <si>
    <t>Manned Spacecraft Center</t>
  </si>
  <si>
    <t>Why do some people purposely resist officers of the law?</t>
  </si>
  <si>
    <t>freedom of ceremony</t>
  </si>
  <si>
    <t>When is the oldest recorded incident of civil disobedience?</t>
  </si>
  <si>
    <t>nineteenth</t>
  </si>
  <si>
    <t>What decade marked ABC's transition to color programming?</t>
  </si>
  <si>
    <t>steam escapes</t>
  </si>
  <si>
    <t>How many intercpetions did Newton have in Super Bowl 50?</t>
  </si>
  <si>
    <t>Stage 3</t>
  </si>
  <si>
    <t>What foreign bodies, which are older than the rocks themselves, occur igneous rocks?</t>
  </si>
  <si>
    <t>what did the UK parliment hear that a subscription to BSkyB was?</t>
  </si>
  <si>
    <t>Why  might the temperature affect the theory of plague spreading?</t>
  </si>
  <si>
    <t>Who can enforce the European Union law when member states provide lesser rights?</t>
  </si>
  <si>
    <t>second Prime Minister</t>
  </si>
  <si>
    <t>What fields of study did Martin Luther prefer?</t>
  </si>
  <si>
    <t>What is the largest traveling fair in Europe?</t>
  </si>
  <si>
    <t>What were the "great Forces" mentioned in the article's title?</t>
  </si>
  <si>
    <t>Socialists attribute the vast disparities in wealth to the private ownership of the means of production by a class of owners, creating a situation where a small portion of the population lives off unearned property income by virtue of ownership titles in capital equipment, financial assets and corporate stock. By contrast, the vast majority of the population is dependent on income in the form of a wage or salary. In order to rectify this situation, socialists argue that the means of production should be socially owned so that income differentials would be reflective of individual contributions to the social product.</t>
  </si>
  <si>
    <t>three pads</t>
  </si>
  <si>
    <t>the referendum in France and the referendum in the Netherlands</t>
  </si>
  <si>
    <t>Victoria Constitution Act 1855</t>
  </si>
  <si>
    <t>Invocavit Sermons</t>
  </si>
  <si>
    <t>allowed to worship freely</t>
  </si>
  <si>
    <t>soluble components (molecules)</t>
  </si>
  <si>
    <t>Who wanted to acquire patents an AC motor.</t>
  </si>
  <si>
    <t>allowed local area networks to be established ad hoc without the requirement for a centralized router or server</t>
  </si>
  <si>
    <t>How many botanical gardens does Warsaw have?</t>
  </si>
  <si>
    <t>Because of the complexity of medications including specific indications, effectiveness of treatment regimens, safety of medications (i.e., drug interactions) and patient compliance issues (in the hospital and at home) many pharmacists practicing in hospitals gain more education and training after pharmacy school through a pharmacy practice residency and sometimes followed by another residency in a specific area. Those pharmacists are often referred to as clinical pharmacists and they often specialize in various disciplines of pharmacy. For example, there are pharmacists who specialize in hematology/oncology, HIV/AIDS, infectious disease, critical care, emergency medicine, toxicology, nuclear pharmacy, pain management, psychiatry, anti-coagulation clinics, herbal medicine, neurology/epilepsy management, pediatrics, neonatal pharmacists and more.</t>
  </si>
  <si>
    <t>As a result, chloroplasts in C4 mesophyll cells and bundle sheath cells are specialized for each stage of photosynthesis. In mesophyll cells, chloroplasts are specialized for the light reactions, so they lack rubisco, and have normal grana and thylakoids, which they use to make ATP and NADPH, as well as oxygen. They store CO2 in a four-carbon compound, which is why the process is called C4 photosynthesis. The four-carbon compound is then transported to the bundle sheath chloroplasts, where it drops off CO2 and returns to the mesophyll. Bundle sheath chloroplasts do not carry out the light reactions, preventing oxygen from building up in them and disrupting rubisco activity. Because of this, they lack thylakoids organized into grana stacks—though bundle sheath chloroplasts still have free-floating thylakoids in the stroma where they still carry out cyclic electron flow, a light-driven method of synthesizing ATP to power the Calvin cycle without generating oxygen. They lack photosystem II, and only have photosystem I—the only protein complex needed for cyclic electron flow. Because the job of bundle sheath chloroplasts is to carry out the Calvin cycle and make sugar, they often contain large starch grains.</t>
  </si>
  <si>
    <t>four stories</t>
  </si>
  <si>
    <t>This means that in a closed system of particles, there are no internal forces that are unbalanced. That is, the action-reaction force shared between any two objects in a closed system will not cause the center of mass of the system to accelerate. The constituent objects only accelerate with respect to each other, the system itself remains unaccelerated. Alternatively, if an external force acts on the system, then the center of mass will experience an acceleration proportional to the magnitude of the external force divided by the mass of the system.:19-1</t>
  </si>
  <si>
    <t>Who was made rich and prosperous prior to World War 1</t>
  </si>
  <si>
    <t>Hong Kong in 1894</t>
  </si>
  <si>
    <t>Where were French North Americans settled?</t>
  </si>
  <si>
    <t>Shiphrah and Puah</t>
  </si>
  <si>
    <t>lower-pressure boiler feed water</t>
  </si>
  <si>
    <t>until the second quarter of the 19th century</t>
  </si>
  <si>
    <t>the mass of the system</t>
  </si>
  <si>
    <t>What does ABC on Demand disallow for online viewers?</t>
  </si>
  <si>
    <t>Where are bills typically gestated in Stage 1?</t>
  </si>
  <si>
    <t>his mother's genetics and influence</t>
  </si>
  <si>
    <t>refusal to pay</t>
  </si>
  <si>
    <t>a new lighting system</t>
  </si>
  <si>
    <t>The Colorado experiments had prepared Tesla for the establishment of the trans-Atlantic wireless telecommunications facility known as Wardenclyffe near Shoreham, Long Island.</t>
  </si>
  <si>
    <t>What is the name of an algebraic structure in which addition, subtraction and multiplication are defined?</t>
  </si>
  <si>
    <t>Arizona Cardinals</t>
  </si>
  <si>
    <t>The construction of highways</t>
  </si>
  <si>
    <t>Budget cuts</t>
  </si>
  <si>
    <t>February 8, 1974</t>
  </si>
  <si>
    <t>glaucophyte chloroplasts</t>
  </si>
  <si>
    <t>within the borders of Warsaw</t>
  </si>
  <si>
    <t>sexual</t>
  </si>
  <si>
    <t>Tesla noted the hazards of working with his circuit and single-node X-ray-producing devices. In his many notes on the early investigation of this phenomenon, he attributed the skin damage to various causes. He believed early on that damage to the skin was not caused by the Roentgen rays, but by the ozone generated in contact with the skin, and to a lesser extent, by nitrous acid. Tesla incorrectly believed that X-rays were longitudinal waves, such as those produced in waves in plasmas. These plasma waves can occur in force-free magnetic fields.</t>
  </si>
  <si>
    <t>What day was the game played on?</t>
  </si>
  <si>
    <t>Doctor Who – The Ultimate Adventure</t>
  </si>
  <si>
    <t>A vote clerk</t>
  </si>
  <si>
    <t>paid professionals</t>
  </si>
  <si>
    <t>"distributive efficiency"</t>
  </si>
  <si>
    <t>How did war start?</t>
  </si>
  <si>
    <t>Tibetan art from which period is represented in the V&amp;A collection?</t>
  </si>
  <si>
    <t>It was not until the 1965–66 season that color became the dominant format for the three broadcast television networks. ABC, meanwhile, remained in third place and still needed money to grow itself into a major competitor. However, ABC's issues with its transition to color became secondary compared to the network's financial problems; in 1964, the network found itself, as Goldenson later wrote in the 1991 book "Beating the Odds: The Untold Story Behind the Rise of ABC", "in the middle of a war [where] the battlefield was Wall Street". Many companies sought to take over ABC, including Norton Simon, General Electric, International Telephone and Telegraph and Litton Industries.</t>
  </si>
  <si>
    <t>pattern recognition receptors</t>
  </si>
  <si>
    <t>the Conservatives</t>
  </si>
  <si>
    <t>one year</t>
  </si>
  <si>
    <t>The Royal Geographical Society of London and other geographical societies in Europe had great influence and were able to fund travelers who would come back with tales of their discoveries. These societies also served as a space for travellers to share these stories.Political geographers such as Friedrich Ratzel of Germany and Halford Mackinder of Britain also supported imperialism. Ratzel believed expansion was necessary for a state’s survival while Mackinder supported Britain’s imperial expansion; these two arguments dominated the discipline for decades.</t>
  </si>
  <si>
    <t>What did the Court of Justice reason were controlled in all member states in Josemans v Burgemeester van Maastricht?</t>
  </si>
  <si>
    <t>How long would the invasion of the Middle East have to last in order to develop renewable resources?</t>
  </si>
  <si>
    <t>less than $1,000</t>
  </si>
  <si>
    <t>the Red Turban Rebellion</t>
  </si>
  <si>
    <t>a Galilean transformation</t>
  </si>
  <si>
    <t>healthy</t>
  </si>
  <si>
    <t>same-gender marriages</t>
  </si>
  <si>
    <t>How did the revocation restrict Huguenot travel?</t>
  </si>
  <si>
    <t>What did the Lunar Module provide to help get the Apollo 13 home safely?</t>
  </si>
  <si>
    <t>use of the name was incorrect all these services were managed by the same people within one department of KPN contributed to the confusion</t>
  </si>
  <si>
    <t>world revolution.</t>
  </si>
  <si>
    <t>40,000 pounds (18,100 kg)</t>
  </si>
  <si>
    <t>What was Brown's job?</t>
  </si>
  <si>
    <t>How many lead authors does an IPCC report chapter have?</t>
  </si>
  <si>
    <t>Adolf Hitler's rise to power</t>
  </si>
  <si>
    <t>concept of distributed adaptive message block switching</t>
  </si>
  <si>
    <t>What type of theater do the neighborhoods feature?</t>
  </si>
  <si>
    <t>electric lighting</t>
  </si>
  <si>
    <t>1963 to 1989</t>
  </si>
  <si>
    <t>What was formed to introduce changes that would reflect the nation's sovereignty?</t>
  </si>
  <si>
    <t>8:10 p.m</t>
  </si>
  <si>
    <t>a two-membraned chloroplast</t>
  </si>
  <si>
    <t>1 million</t>
  </si>
  <si>
    <t>argued against resisting</t>
  </si>
  <si>
    <t>deforestation has declined</t>
  </si>
  <si>
    <t>"Social Chapter"</t>
  </si>
  <si>
    <t>Only a little time</t>
  </si>
  <si>
    <t>Voice in the Wilderness</t>
  </si>
  <si>
    <t>What body in India provides policy directions to schools?</t>
  </si>
  <si>
    <t>What did Lavoisier perceive the air had lost as much as the tin had gained</t>
  </si>
  <si>
    <t>detective shows</t>
  </si>
  <si>
    <t>34 million years</t>
  </si>
  <si>
    <t>Sultan Muhammad was already dead in 1223</t>
  </si>
  <si>
    <t>When was the European portion of the Seven Years War complete?</t>
  </si>
  <si>
    <t>Where can you find more information on a country's practices?</t>
  </si>
  <si>
    <t>Engineering News-Record (ENR) is a trade magazine for the construction industry. Each year, ENR compiles and reports on data about the size of design and construction companies. They publish a list of the largest companies in the United States (Top-40) and also a list the largest global firms (Top-250, by amount of work they are doing outside their home country). In 2014, ENR compiled the data in nine market segments. It was divided as transportation, petroleum, buildings, power, industrial, water, manufacturing, sewer/waste, telecom, hazardous waste plus a tenth category for other projects. In their reporting on the Top 400, they used data on transportation, sewer, hazardous waste and water to rank firms as heavy contractors.</t>
  </si>
  <si>
    <t>What translation of Luther's is still used today?</t>
  </si>
  <si>
    <t>in areas that are being actively deformed</t>
  </si>
  <si>
    <t>botany and chemistry</t>
  </si>
  <si>
    <t>Dutch Cape Colony</t>
  </si>
  <si>
    <t>Southern Border Region</t>
  </si>
  <si>
    <t>What did Martin Luther do during 1510 to 1520?</t>
  </si>
  <si>
    <t>NP-intermediate problems</t>
  </si>
  <si>
    <t>Martin Luther (/ˈluːθər/ or /ˈluːðər/; German: [ˈmaɐ̯tiːn ˈlʊtɐ] ( listen); 10 November 1483 – 18 February 1546) was a German professor of theology, composer, priest, former monk and a seminal figure in the Protestant Reformation. Luther came to reject several teachings and practices of the Late Medieval Catholic Church. He strongly disputed the claim that freedom from God's punishment for sin could be purchased with money. He proposed an academic discussion of the power and usefulness of indulgences in his Ninety-Five Theses of 1517. His refusal to retract all of his writings at the demand of Pope Leo X in 1520 and the Holy Roman Emperor Charles V at the Diet of Worms in 1521 resulted in his excommunication by the Pope and condemnation as an outlaw by the Emperor.</t>
  </si>
  <si>
    <t>cone</t>
  </si>
  <si>
    <t>much land and housing</t>
  </si>
  <si>
    <t>In what language did ESPN Deportes broadcast the game?</t>
  </si>
  <si>
    <t>If you were to take a train west or south out of the city of Fresno, which railroad would you take?</t>
  </si>
  <si>
    <t>when it is single stranded</t>
  </si>
  <si>
    <t>punish the Miami people of Pickawillany for not following Céloron's orders</t>
  </si>
  <si>
    <t>What is an annual meeting of all the officers of the church and any interested members?</t>
  </si>
  <si>
    <t>What English law made that country more welcoming to Huguenots?</t>
  </si>
  <si>
    <t>Conservation is responsible for the long-term preservation of the collections, and covers all the collections held by the V&amp;A and the V&amp;A Museum of Childhood. The conservators specialise in particular areas of conservation. Areas covered by conservator's work include "preventive" conservation this includes: performing surveys, assessments and providing advice on the handling of items, correct packaging, mounting and handling procedures during movement and display to reduce risk of damaging objects. Activities include controlling the museum environment (for example, temperature and light) and preventing pests (primarily insects) from damaging artefacts. The other major category is "interventive" conservation, this includes: cleaning and reintegration to strengthen fragile objects, reveal original surface decoration, and restore shape. Interventive treatment makes an object more stable, but also more attractive and comprehensible to the viewer. It is usually undertaken on items that are to go on public display.</t>
  </si>
  <si>
    <t>How many followers does The Presbyterian Church of East Africa have?</t>
  </si>
  <si>
    <t>to write psalm-hymns</t>
  </si>
  <si>
    <t>most seats in the Legislative Assembly</t>
  </si>
  <si>
    <t>affiliated with other Protestant denominations</t>
  </si>
  <si>
    <t>"Southern California" is not a formal geographic designation, and definitions of what constitutes southern California vary. Geographically, California's north-south midway point lies at exactly 37° 9' 58.23" latitude, around 11 miles (18 km) south of San Jose; however, this does not coincide with popular use of the term. When the state is divided into two areas (northern and southern California), the term "southern California" usually refers to the ten southern-most counties of the state. This definition coincides neatly with the county lines at 35° 47′ 28″ north latitude, which form the northern borders of San Luis Obispo, Kern, and San Bernardino counties. Another definition for southern California uses Point Conception and the Tehachapi Mountains as the northern boundary.</t>
  </si>
  <si>
    <t>Battle of Hastings</t>
  </si>
  <si>
    <t>multi-member proportional representation system</t>
  </si>
  <si>
    <t>force-free magnetic fields</t>
  </si>
  <si>
    <t>heat or a spark</t>
  </si>
  <si>
    <t>Messiaen says that composition with prime numbers was inspired by what?</t>
  </si>
  <si>
    <t>The BBC drama department's serials division produced the programme for 26 seasons, broadcast on BBC 1. Falling viewing numbers, a decline in the public perception of the show and a less-prominent transmission slot saw production suspended in 1989 by Jonathan Powell, controller of BBC 1. Although (as series co-star Sophie Aldred reported in the documentary Doctor Who: More Than 30 Years in the TARDIS) it was effectively, if not formally, cancelled with the decision not to commission a planned 27th series of the show for transmission in 1990, the BBC repeatedly affirmed that the series would return.</t>
  </si>
  <si>
    <t>Which article allows the European Council to govern mergers between firms?</t>
  </si>
  <si>
    <t>primality</t>
  </si>
  <si>
    <t>The flow of cold, gray mountain water continues for some distance into the lake. The cold water flows near the surface and at first doesn't mix with the warmer, green waters of Upper Lake. But then, at the so-called Rheinbrech, the Rhine water abruptly falls into the depths because of the greater density of cold water. The flow reappears on the surface at the northern (German) shore of the lake, off the island of Lindau. The water then follows the northern shore until Hagnau am Bodensee. A small fraction of the flow is diverted off the island of Mainau into Lake Überlingen. Most of the water flows via the Constance hopper into the Rheinrinne ("Rhine Gutter") and Seerhein. Depending on the water level, this flow of the Rhine water is clearly visible along the entire length of the lake.</t>
  </si>
  <si>
    <t>In modern particle physics, forces and the acceleration of particles are explained as a mathematical by-product of exchange of momentum-carrying gauge bosons. With the development of quantum field theory and general relativity, it was realized that force is a redundant concept arising from conservation of momentum (4-momentum in relativity and momentum of virtual particles in quantum electrodynamics). The conservation of momentum can be directly derived from the homogeneity or symmetry of space and so is usually considered more fundamental than the concept of a force. Thus the currently known fundamental forces are considered more accurately to be "fundamental interactions".:199–128 When particle A emits (creates) or absorbs (annihilates) virtual particle B, a momentum conservation results in recoil of particle A making impression of repulsion or attraction between particles A A' exchanging by B. This description applies to all forces arising from fundamental interactions. While sophisticated mathematical descriptions are needed to predict, in full detail, the accurate result of such interactions, there is a conceptually simple way to describe such interactions through the use of Feynman diagrams. In a Feynman diagram, each matter particle is represented as a straight line (see world line) traveling through time, which normally increases up or to the right in the diagram. Matter and anti-matter particles are identical except for their direction of propagation through the Feynman diagram. World lines of particles intersect at interaction vertices, and the Feynman diagram represents any force arising from an interaction as occurring at the vertex with an associated instantaneous change in the direction of the particle world lines. Gauge bosons are emitted away from the vertex as wavy lines and, in the case of virtual particle exchange, are absorbed at an adjacent vertex.</t>
  </si>
  <si>
    <t>Some priests and former religious had already married, including Andreas Karlstadt and Justus Jonas, but Luther's wedding set the seal of approval on clerical marriage. He had long condemned vows of celibacy on Biblical grounds, but his decision to marry surprised many, not least Melanchthon, who called it reckless. Luther had written to George Spalatin on 30 November 1524, "I shall never take a wife, as I feel at present. Not that I am insensible to my flesh or sex (for I am neither wood nor stone); but my mind is averse to wedlock because I daily expect the death of a heretic." Before marrying, Luther had been living on the plainest food, and, as he admitted himself, his mildewed bed was not properly made for months at a time.</t>
  </si>
  <si>
    <t>An oscillating cylinder steam engine is a variant of the simple expansion steam engine which does not require valves to direct steam into and out of the cylinder. Instead of valves, the entire cylinder rocks, or oscillates, such that one or more holes in the cylinder line up with holes in a fixed port face or in the pivot mounting (trunnion). These engines are mainly used in toys and models, because of their simplicity, but have also been used in full size working engines, mainly on ships where their compactness is valued.[citation needed]</t>
  </si>
  <si>
    <t>plans leaked to France well before Braddock's departure</t>
  </si>
  <si>
    <t>green algal derived</t>
  </si>
  <si>
    <t>The views of Ali Shariati, ideologue of the Iranian Revolution, had resemblance with Mohammad Iqbal, ideological father of the State of Pakistan, but Khomeini's beliefs is perceived to be placed somewhere between beliefs of Sunni Islamic thinkers like Mawdudi and Qutb. He believed that complete imitation of the Prophet Mohammad and his successors such as Ali for restoration of Sharia law was essential to Islam, that many secular, Westernizing Muslims were actually agents of the West serving Western interests, and that the acts such as "plundering" of Muslim lands was part of a long-term conspiracy against Islam by the Western governments.</t>
  </si>
  <si>
    <t>gradient of potentials.</t>
  </si>
  <si>
    <t>field candidates</t>
  </si>
  <si>
    <t>sworn brother</t>
  </si>
  <si>
    <t>he may have intercepted Marconi's European experiments in July 1899</t>
  </si>
  <si>
    <t>Not only the work of British artists and craftspeople is on display, but also work produced by European artists that was purchased or commissioned by British patrons, as well as imports from Asia, including porcelain, cloth and wallpaper. Designers and artists whose work is on display in the galleries include Gian Lorenzo Bernini, Grinling Gibbons, Daniel Marot, Louis Laguerre, Antonio Verrio, Sir James Thornhill, William Kent, Robert Adam, Josiah Wedgwood, Matthew Boulton, Canova, Thomas Chippendale, Pugin, William Morris. Patrons who have influenced taste are also represented by works of art from their collections, these include: Horace Walpole (a major influence on the Gothic Revival), William Thomas Beckford and Thomas Hope.</t>
  </si>
  <si>
    <t>Where did Tesla live for much of his life?</t>
  </si>
  <si>
    <t>leaf-shaped buildings</t>
  </si>
  <si>
    <t>What service did Verizon customers need to use to stream the game on their smartphones?</t>
  </si>
  <si>
    <t>Upon learning of a French scounting party in the area, what did Washington do?</t>
  </si>
  <si>
    <t>What term best describes southern California's collection of landscapes?</t>
  </si>
  <si>
    <t>historians</t>
  </si>
  <si>
    <t>a telegraph company</t>
  </si>
  <si>
    <t>What area of Brookhaven is still known for its high levels of crime?</t>
  </si>
  <si>
    <t>to ruin him</t>
  </si>
  <si>
    <t>May 1, 1953</t>
  </si>
  <si>
    <t>the concept of force</t>
  </si>
  <si>
    <t>Time and space are both examples of what type of resource?</t>
  </si>
  <si>
    <t>6th century BC</t>
  </si>
  <si>
    <t>classroom</t>
  </si>
  <si>
    <t>What first opened in 1837?</t>
  </si>
  <si>
    <t>Guinness World Records</t>
  </si>
  <si>
    <t>between 1000 and 1900</t>
  </si>
  <si>
    <t>the key bed</t>
  </si>
  <si>
    <t>evening</t>
  </si>
  <si>
    <t>the machines operate deterministically</t>
  </si>
  <si>
    <t>to punish the Miami people of Pickawillany</t>
  </si>
  <si>
    <t>Who conducted this survey?</t>
  </si>
  <si>
    <t>What's the climate like in Newcastle?</t>
  </si>
  <si>
    <t>Systemic acquired resistance (SAR)</t>
  </si>
  <si>
    <t>civil disobedience is only justified against governmental entities</t>
  </si>
  <si>
    <t>Society of Jesus</t>
  </si>
  <si>
    <t>Presbyterian Church</t>
  </si>
  <si>
    <t>The majority may be powerful but it is not necessarily right</t>
  </si>
  <si>
    <t>often</t>
  </si>
  <si>
    <t>secularism</t>
  </si>
  <si>
    <t>There are eleven LEA-funded 11 to 18 schools and seven independent schools with sixth forms in Newcastle. There are a number of successful state schools, including Walker Technology College, Gosforth High School, Heaton Manor School, St Cuthbert's High School, St. Mary's Catholic Comprehensive School, Kenton School, George Stephenson High School, Sacred Heart and Benfield School. The largest co-ed independent school is the Royal Grammar School. The largest girls' independent school is Newcastle High School for Girls. Both schools are located on the same street in Jesmond. Newcastle School for Boys is the only independent boys' only school in the city and is situated in Gosforth. Newcastle College is the largest general further education college in the North East and is a beacon status college; there are two smaller colleges in the Newcastle area. St Cuthbert's High School and Sacred Heart are the two primary state-Catholic run high schools, and are both achieving results on par with the independent schools in Newcastle.</t>
  </si>
  <si>
    <t>half a mile northwest of the Yard</t>
  </si>
  <si>
    <t>When did French learn about Braddock's plans?</t>
  </si>
  <si>
    <t>Who was in charge of the papal army in the War of Barbastro?</t>
  </si>
  <si>
    <t>What Jewish practice did the Yuan ban?</t>
  </si>
  <si>
    <t>What are Ctenophora commonly known as?</t>
  </si>
  <si>
    <t>twin prime conjecture</t>
  </si>
  <si>
    <t>conservative Muslims</t>
  </si>
  <si>
    <t>What is the lower house of the Victorian parliament called?</t>
  </si>
  <si>
    <t>UK's biggest national collection of material about live performance in the UK</t>
  </si>
  <si>
    <t>A statement made by Chris Keates caused issues with whom?</t>
  </si>
  <si>
    <t>Based on population alone, what is Jacksonville's ranking in the United States?</t>
  </si>
  <si>
    <t>between September and November 1946,</t>
  </si>
  <si>
    <t>Which two treaties provided more formal institutions of the European Union?</t>
  </si>
  <si>
    <t>What day of the week does the Time for Reflection take place?</t>
  </si>
  <si>
    <t>seismic</t>
  </si>
  <si>
    <t>Josiah Wedgwood, William De Morgan and Bernard Leach</t>
  </si>
  <si>
    <t>host interface to X.25 and the terminal interface to X.29</t>
  </si>
  <si>
    <t>What molecule does the Sun have in higher proportion than Earth?</t>
  </si>
  <si>
    <t>Fifth, Sixth and Seventh Doctors</t>
  </si>
  <si>
    <t>Often rules apply to all goods neutrally, but may have a greater practical effect on imports than domestic products. For such "indirect" discriminatory (or "indistinctly applicable") measures the Court of Justice has developed more justifications: either those in article 36, or additional "mandatory" or "overriding" requirements such as consumer protection, improving labour standards, protecting the environment, press diversity, fairness in commerce, and more: the categories are not closed. In the most famous case Rewe-Zentral AG v Bundesmonopol für Branntwein, the Court of Justice found that a German law requiring all spirits and liqueurs (not just imported ones) to have a minimum alcohol content of 25 per cent was contrary to TFEU article 34, because it had a greater negative effect on imports. German liqueurs were over 25 per cent alcohol, but Cassis de Dijon, which Rewe-Zentrale AG wished to import from France, only had 15 to 20 per cent alcohol. The Court of Justice rejected the German government's arguments that the measure proportionately protected public health under TFEU article 36, because stronger beverages were available and adequate labelling would be enough for consumers to understand what they bought. This rule primarily applies to requirements about a product's content or packaging. In Walter Rau Lebensmittelwerke v De Smedt PVBA the Court of Justice found that a Belgian law requiring all margarine to be in cube shaped packages infringed article 34, and was not justified by the pursuit of consumer protection. The argument that Belgians would believe it was butter if it was not cube shaped was disproportionate: it would "considerably exceed the requirements of the object in view" and labelling would protect consumers "just as effectively". In a 2003 case, Commission v Italy Italian law required that cocoa products that included other vegetable fats could not be labelled as "chocolate". It had to be "chocolate substitute". All Italian chocolate was made from cocoa butter alone, but British, Danish and Irish manufacturers used other vegetable fats. They claimed the law infringed article 34. The Court of Justice held that a low content of vegetable fat did not justify a "chocolate substitute" label. This was derogatory in the consumers' eyes. A ‘neutral and objective statement’ was enough to protect consumers. If member states place considerable obstacles on the use of a product, this can also infringe article 34. So, in a 2009 case, Commission v Italy, the Court of Justice held that an Italian law prohibiting motorcycles or mopeds pulling trailers infringed article 34. Again, the law applied neutrally to everyone, but disproportionately affected importers, because Italian companies did not make trailers. This was not a product requirement, but the Court reasoned that the prohibition would deter people from buying it: it would have "a considerable influence on the behaviour of consumers" that "affects the access of that product to the market". It would require justification under article 36, or as a mandatory requirement.</t>
  </si>
  <si>
    <t>total number of state transitions, or steps, the machine makes before it halts and outputs the answer</t>
  </si>
  <si>
    <t>What impact did this loss have on Abercrombie?</t>
  </si>
  <si>
    <t>What did the astronauts on the moon send back to Earth live via signals?</t>
  </si>
  <si>
    <t>In many countries, what kind of pay gap is there?</t>
  </si>
  <si>
    <t>rules that conflict with morality</t>
  </si>
  <si>
    <t>fish larvae and organisms that would otherwise have fed the fish</t>
  </si>
  <si>
    <t>Fresno is the largest U.S. city not directly linked to an Interstate highway. When the Interstate Highway System was created in the 1950s, the decision was made to build what is now Interstate 5 on the west side of the Central Valley, and thus bypass many of the population centers in the region, instead of upgrading what is now State Route 99. Due to rapidly raising population and traffic in cities along SR 99, as well as the desirability of Federal funding, much discussion has been made to upgrade it to interstate standards and eventually incorporate it into the interstate system, most likely as Interstate 9. Major improvements to signage, lane width, median separation, vertical clearance, and other concerns are currently underway.</t>
  </si>
  <si>
    <t>ships</t>
  </si>
  <si>
    <t>Western</t>
  </si>
  <si>
    <t>What does Colonia Agrippina's original name translate into?</t>
  </si>
  <si>
    <t>allowing the lander spacecraft to be used as a "lifeboat"</t>
  </si>
  <si>
    <t>What test is especially useful for numbers of the form 2p - 1?</t>
  </si>
  <si>
    <t>Rhine-kilometers"</t>
  </si>
  <si>
    <t>solvability of quadratic equations</t>
  </si>
  <si>
    <t>Where were ABC's international networks mainly situated in the 1970s?</t>
  </si>
  <si>
    <t xml:space="preserve">The business allowed for private companies to do what </t>
  </si>
  <si>
    <t>Various gold-themed promotions and initiatives were held throughout the 2015 NFL season to tie into the "Golden Super Bowl"; gold-tinted logos were implemented across the NFL's properties and painted on fields, the numbering of the 50-yard line on fields was colored gold, and beginning on week 7, all sideline jackets and hats featured gold-trimmed logos. Gold footballs were given to each high school that has had a player or coach appear in the Super Bowl, and "homecoming" events were also held by Super Bowl-winning teams at games.</t>
  </si>
  <si>
    <t>repeatedly burned out</t>
  </si>
  <si>
    <t>During withdrawal from Fort William Henry, what did some Indian allies of French do?</t>
  </si>
  <si>
    <t>the City of Edinburgh Council</t>
  </si>
  <si>
    <t>t to render certain laws ineffective, to cause their repeal, or to exert pressure to get one's political wishes on some other issue</t>
  </si>
  <si>
    <t>a ciliary groove</t>
  </si>
  <si>
    <t>What was the purpose of the Turks in Luther's mind?</t>
  </si>
  <si>
    <t>The state is most commonly divided and promoted by its regional tourism groups as consisting of northern, central, and southern California regions. The two AAA Auto Clubs of the state, the California State Automobile Association and the Automobile Club of Southern California, choose to simplify matters by dividing the state along the lines where their jurisdictions for membership apply, as either northern or southern California, in contrast to the three-region point of view. Another influence is the geographical phrase South of the Tehachapis, which would split the southern region off at the crest of that transverse range, but in that definition, the desert portions of north Los Angeles County and eastern Kern and San Bernardino Counties would be included in the southern California region due to their remoteness from the central valley and interior desert landscape.</t>
  </si>
  <si>
    <t>How many of the richest 400 Americans grew up in substantial privilege?</t>
  </si>
  <si>
    <t>What theorem remains valid in unique factorization domains?</t>
  </si>
  <si>
    <t>What does someone who completes the Initial Teacher Education (ITE) program get?</t>
  </si>
  <si>
    <t>Other than land laws, what else were the Californios dissatisfied with?</t>
  </si>
  <si>
    <t>advanced research and education networking</t>
  </si>
  <si>
    <t>semantical problems</t>
  </si>
  <si>
    <t>death in body and soul</t>
  </si>
  <si>
    <t>What did he think was everywhere in the universe?</t>
  </si>
  <si>
    <t>ctenophores and cnidarians</t>
  </si>
  <si>
    <t>United Methodist Book of Worship</t>
  </si>
  <si>
    <t>eventually split the earth in two</t>
  </si>
  <si>
    <t>more positive</t>
  </si>
  <si>
    <t>the south-east of Australia</t>
  </si>
  <si>
    <t>the BBC Radiophonic Workshop</t>
  </si>
  <si>
    <t>How near to his death was the work published?</t>
  </si>
  <si>
    <t>What was the starting cost for a TV commercial lasting 30 seconds and airing during Super Bowl 50?</t>
  </si>
  <si>
    <t>What does LGM stands for?</t>
  </si>
  <si>
    <t>Mandatory</t>
  </si>
  <si>
    <t>Hugues hypothesis</t>
  </si>
  <si>
    <t>In the 1970s, the city was the subject of a song, "Walking Into Fresno", written by Hall Of Fame guitarist Bill Aken and recorded by Bob Gallion of the world-famous "WWVA Jamboree" radio and television show in Wheeling, West Virginia. Aken, adopted by Mexican movie actress Lupe Mayorga, grew up in the neighboring town of Madera and his song chronicled the hardships faced by the migrant farm workers he saw as a child. Aken also made his first TV appearance playing guitar on the old country-western show at The Fresno Barn.</t>
  </si>
  <si>
    <t>Japan and Latin America</t>
  </si>
  <si>
    <t>What are clades?</t>
  </si>
  <si>
    <t>ABC bought 20 acres of land in Hollwood in 1949 that would become what studio?</t>
  </si>
  <si>
    <t>Fresno Traction Company</t>
  </si>
  <si>
    <t>How many years must a local pastor attend a course of study at United Methodist approved seminary?</t>
  </si>
  <si>
    <t>How often are elections held for the Victorian Parliament?</t>
  </si>
  <si>
    <t>How are Victorian cabinet members chosen?</t>
  </si>
  <si>
    <t>What type of architecture is represented in the majestic churches?</t>
  </si>
  <si>
    <t>What do larger fortunes generate?</t>
  </si>
  <si>
    <t>immediate and fair punishment for misbehavior</t>
  </si>
  <si>
    <t>"West Side"</t>
  </si>
  <si>
    <t>an 8–4–4 system</t>
  </si>
  <si>
    <t>Structural geologists use microscopic analysis of oriented thin sections of geologic samples to observe the fabric within the rocks which gives information about strain within the crystalline structure of the rocks. They also plot and combine measurements of geological structures in order to better understand the orientations of faults and folds in order to reconstruct the history of rock deformation in the area. In addition, they perform analog and numerical experiments of rock deformation in large and small settings.</t>
  </si>
  <si>
    <t>The UMC prohibits the celebration of what type of unions?</t>
  </si>
  <si>
    <t>In which case was it held that the provisions of the treaties are directly effective if they are clear, unconditional, and don't require further action by EU or national authorities?</t>
  </si>
  <si>
    <t>amyloplasts</t>
  </si>
  <si>
    <t>⅓ to Tesla, ⅓ to Peck and Brown, and ⅓ to fund development</t>
  </si>
  <si>
    <t>What nominal title did Yuan emperors have?</t>
  </si>
  <si>
    <t>A reaction against industrialiazation contributed to the development of what artistic movement in the late 19th centurY</t>
  </si>
  <si>
    <t>The filling pharmacy has a corresponding responsibility to ensure that the prescription is valid</t>
  </si>
  <si>
    <t>after sustaining an injury</t>
  </si>
  <si>
    <t>What kind of water body is rumored to be obscuring Genghis Khan's burial site?</t>
  </si>
  <si>
    <t>When was an extended episode of Doctor Who shown?</t>
  </si>
  <si>
    <t xml:space="preserve">According to geographic scholars under colonizing empires, the world could be split into climatic zones. These scholars believed that Northern Europe and the Mid-Atlantic temperate climate produced a hard-working, moral, and upstanding human being. Alternatively, tropical climates yielded lazy attitudes, sexual promiscuity, exotic culture, and moral degeneracy. The people of these climates were believed to be in need of guidance and intervention from the European empire to aid in the governing of a more evolved social structure; they were seen as incapable of such a feat. Similarly, orientalism is a view of a people based on their geographical location. </t>
  </si>
  <si>
    <t>car</t>
  </si>
  <si>
    <t>How many tons of dust remains in the air?</t>
  </si>
  <si>
    <t>enzyme called rubisco</t>
  </si>
  <si>
    <t>How much of a voting majority must there be to effectively censure the Commission?</t>
  </si>
  <si>
    <t>his health</t>
  </si>
  <si>
    <t>prescribe and dispense prescription-only medicines to their patients from within their practices</t>
  </si>
  <si>
    <t>What is a statocyst?</t>
  </si>
  <si>
    <t>unification</t>
  </si>
  <si>
    <t>How many interactions are all of the universal forces based on?</t>
  </si>
  <si>
    <t>What does private ownership create a situation of?</t>
  </si>
  <si>
    <t>Nearly 3,000</t>
  </si>
  <si>
    <t>a series of elaborately ornamented ceramic stoves</t>
  </si>
  <si>
    <t>avoid the "inconvenience" of visiting a doctor or to obtain medications which their doctors were unwilling to prescribe</t>
  </si>
  <si>
    <t>not benefitting Scotland as much as they should</t>
  </si>
  <si>
    <t>geological period</t>
  </si>
  <si>
    <t>Mutual filed</t>
  </si>
  <si>
    <t>charging their students tuition</t>
  </si>
  <si>
    <t>Who can enforce European Union law?</t>
  </si>
  <si>
    <t>He never graduated</t>
  </si>
  <si>
    <t>Tumors that are able to evade the body's immune response can become what?</t>
  </si>
  <si>
    <t>Historically, Victoria has been the base for the manufacturing plants of the major car brands Ford, Toyota and Holden; however, closure announcements by all three companies in the 21st century will mean that Australia will no longer be a base for the global car industry, with Toyota's statement in February 2014 outlining a closure year of 2017. Holden's announcement occurred in May 2013, followed by Ford's decision in December of the same year (Ford's Victorian plants—in Broadmeadows and Geelong—will close in October 2016).</t>
  </si>
  <si>
    <t>The UMC maintains that war is incompatible with what?</t>
  </si>
  <si>
    <t>18 February</t>
  </si>
  <si>
    <t>What are phycobilisomes?</t>
  </si>
  <si>
    <t>Several procedures enable the Scottish Parliament to scrutinise the Government. The First Minister or members of the cabinet can deliver statements to Parliament upon which MSPs are invited to question. For example, at the beginning of each parliamentary year, the First Minister delivers a statement to the chamber setting out the Government's legislative programme for the forthcoming year. After the statement has been delivered, the leaders of the opposition parties and other MSPs question the First Minister on issues related to the substance of the statement.</t>
  </si>
  <si>
    <t>What is a twin prime?</t>
  </si>
  <si>
    <t>1, 2, and n</t>
  </si>
  <si>
    <t>Official corporal punishment, often by caning, remains commonplace in schools in some Asian, African and Caribbean countries. For details of individual countries see School corporal punishment.</t>
  </si>
  <si>
    <t>Despite their soft, gelatinous bodies, fossils thought to represent ctenophores, apparently with no tentacles but many more comb-rows than modern forms, have been found in lagerstätten as far back as the early Cambrian, about 515 million years ago. The position of the ctenophores in the evolutionary family tree of animals has long been debated, and the majority view at present, based on molecular phylogenetics, is that cnidarians and bilaterians are more closely related to each other than either is to ctenophores. A recent molecular phylogenetics analysis concluded that the common ancestor of all modern ctenophores was cydippid-like, and that all the modern groups appeared relatively recently, probably after the Cretaceous–Paleogene extinction event 66 million years ago. Evidence accumulating since the 1980s indicates that the "cydippids" are not monophyletic, in other words do not include all and only the descendants of a single common ancestor, because all the other traditional ctenophore groups are descendants of various cydippids.</t>
  </si>
  <si>
    <t>everyday clothing from previous eras has not generally survived</t>
  </si>
  <si>
    <t>15 miles away</t>
  </si>
  <si>
    <t>in commerce, schooling and government</t>
  </si>
  <si>
    <t>On October 6, 2004, a joint Japanese-Mongolian archaeological dig uncovered what is believed to be Genghis Khan's palace in rural Mongolia, which raises the possibility of actually locating the ruler's long-lost burial site. Folklore says that a river was diverted over his grave to make it impossible to find (the same manner of burial as the Sumerian King Gilgamesh of Uruk and Atilla the Hun). Other tales state that his grave was stampeded over by many horses, and that trees were then planted over the site, and the permafrost also did its part in hiding the burial site.</t>
  </si>
  <si>
    <t>The addition of new rock units, both depositionally and intrusively, often occurs during deformation. Faulting and other deformational processes result in the creation of topographic gradients, causing material on the rock unit that is increasing in elevation to be eroded by hillslopes and channels. These sediments are deposited on the rock unit that is going down. Continual motion along the fault maintains the topographic gradient in spite of the movement of sediment, and continues to create accommodation space for the material to deposit. Deformational events are often also associated with volcanism and igneous activity. Volcanic ashes and lavas accumulate on the surface, and igneous intrusions enter from below. Dikes, long, planar igneous intrusions, enter along cracks, and therefore often form in large numbers in areas that are being actively deformed. This can result in the emplacement of dike swarms, such as those that are observable across the Canadian shield, or rings of dikes around the lava tube of a volcano.</t>
  </si>
  <si>
    <t>Afghanistan</t>
  </si>
  <si>
    <t>attacked the British column</t>
  </si>
  <si>
    <t>lack of remorse</t>
  </si>
  <si>
    <t>What are the eight comb rows on the outer surface called?</t>
  </si>
  <si>
    <t>The Calvin cycle</t>
  </si>
  <si>
    <t>What is another word for centripetal force?</t>
  </si>
  <si>
    <t>Ethernet attached hosts, and eventually TCP/IP and additional public universities in Michigan join the network</t>
  </si>
  <si>
    <t>What did Houghton say is necessary for any changes to the SPM?</t>
  </si>
  <si>
    <t xml:space="preserve">Stephen Eildmann cites the oldest known example of civil disobedience in what part of the bible? </t>
  </si>
  <si>
    <t>successfully cut off the French frontier forts</t>
  </si>
  <si>
    <t>What is the effect on humans of oxygen?</t>
  </si>
  <si>
    <t>some paintings</t>
  </si>
  <si>
    <t>How much of the European population did the black death kill?</t>
  </si>
  <si>
    <t>What practice do some internet pharmacies engage in?</t>
  </si>
  <si>
    <t>What types of discipline did the teacher have access to?</t>
  </si>
  <si>
    <t>faster</t>
  </si>
  <si>
    <t>What articles state that unless conferred, powers remain with member states?</t>
  </si>
  <si>
    <t>undifferentiated proplastids</t>
  </si>
  <si>
    <t xml:space="preserve">What did Tesla work as after dropping out? </t>
  </si>
  <si>
    <t>the peptidoglycan wall</t>
  </si>
  <si>
    <t>Why did he fire the secretary?</t>
  </si>
  <si>
    <t>During the Second World War</t>
  </si>
  <si>
    <t>New Rochelle, located in the county of Westchester on the north shore of Long Island Sound, seemed to be the great location of the Huguenots in New York. It is said that they landed on the coastline peninsula of Davenports Neck called "Bauffet's Point" after traveling from England where they had previously taken refuge on account of religious persecution, four years before the revocation of the Edict of Nantes. They purchased from John Pell, Lord of Pelham Manor, a tract of land consisting of six thousand one hundred acres with the help of Jacob Leisler. It was named New Rochelle after La Rochelle, their former strong-hold in France. A small wooden church was first erected in the community, followed by a second church that built of stone. Previous to the erection of it, the strong men would often walk twenty-three miles on Saturday evening, the distance by the road from New Rochelle to New York, to attend the Sunday service. The church was eventually replaced by a third, Trinity-St. Paul's Episcopal Church, which contains heirlooms including the original bell from the French Huguenot Church "Eglise du St. Esperit" on Pine Street in New York City, which is preserved as a relic in the tower room. The Huguenot cemetery, or "Huguenot Burial Ground", has since been recognized as a historic cemetery that is the final resting place for a wide range of the Huguenot founders, early settlers and prominent citizens dating back more than three centuries.</t>
  </si>
  <si>
    <t>How did the 2001 IPCC report compare to reality on sea levels?</t>
  </si>
  <si>
    <t>Holocene</t>
  </si>
  <si>
    <t>ENR used data on what to rank Top 400 firms as heavy contractors?</t>
  </si>
  <si>
    <t>What did Hamas win in the January 2006 legislative election?</t>
  </si>
  <si>
    <t>not to talk</t>
  </si>
  <si>
    <t>28 ABC affiliates and two additional subchannel-only affiliates</t>
  </si>
  <si>
    <t>inform the jury and the public of the political circumstances</t>
  </si>
  <si>
    <t>How were Huguenot settlers assimilated into North American society at large?</t>
  </si>
  <si>
    <t>How many tons of dust are blown from the Sahara each year?</t>
  </si>
  <si>
    <t>the established Church</t>
  </si>
  <si>
    <t>Who did Genghis Khan charge with finding and punishing the Shah?</t>
  </si>
  <si>
    <t>What did Lavoisier conclude was consumed by combustion in his experiments?</t>
  </si>
  <si>
    <t>What remain unsolved problems with the Kyoto Protocol?</t>
  </si>
  <si>
    <t>time complexity</t>
  </si>
  <si>
    <t>What life process produces oxygen in the presence of light?</t>
  </si>
  <si>
    <t>Who do coordinating lead authors report to?</t>
  </si>
  <si>
    <t>internal migration and urbanisation</t>
  </si>
  <si>
    <t>reciprocating</t>
  </si>
  <si>
    <t>Algeria</t>
  </si>
  <si>
    <t>a somewhat larger number</t>
  </si>
  <si>
    <t>What do lobates feed on?</t>
  </si>
  <si>
    <t>AAA Auto Clubs</t>
  </si>
  <si>
    <t>What Yuan policies did Muslims dislike?</t>
  </si>
  <si>
    <t>The Electronic Frontier Foundation</t>
  </si>
  <si>
    <t>What academy did Tugh Temur found?</t>
  </si>
  <si>
    <t>In 2010 the Amazon rainforest experienced another severe drought, in some ways more extreme than the 2005 drought. The affected region was approximate 1,160,000 square miles (3,000,000 km2) of rainforest, compared to 734,000 square miles (1,900,000 km2) in 2005. The 2010 drought had three epicenters where vegetation died off, whereas in 2005 the drought was focused on the southwestern part. The findings were published in the journal Science. In a typical year the Amazon absorbs 1.5 gigatons of carbon dioxide; during 2005 instead 5 gigatons were released and in 2010 8 gigatons were released.</t>
  </si>
  <si>
    <t>introduction of Beroe</t>
  </si>
  <si>
    <t>Hospital pharmacies can often be found within the premises of the hospital. Hospital pharmacies usually stock a larger range of medications, including more specialized medications, than would be feasible in the community setting. Most hospital medications are unit-dose, or a single dose of medicine. Hospital pharmacists and trained pharmacy technicians compound sterile products for patients including total parenteral nutrition (TPN), and other medications given intravenously. This is a complex process that requires adequate training of personnel, quality assurance of products, and adequate facilities. Several hospital pharmacies have decided to outsource high risk preparations and some other compounding functions to companies who specialize in compounding. The high cost of medications and drug-related technology, combined with the potential impact of medications and pharmacy services on patient-care outcomes and patient safety, make it imperative that hospital pharmacies perform at the highest level possible.</t>
  </si>
  <si>
    <t>How much of normal is the oxygen breathed in space suits?</t>
  </si>
  <si>
    <t>locomotion</t>
  </si>
  <si>
    <t>Highly combustible materials that leave little residue, such as wood or coal, were thought to be made mostly of phlogiston; whereas non-combustible substances that corrode, such as iron, contained very little. Air did not play a role in phlogiston theory, nor were any initial quantitative experiments conducted to test the idea; instead, it was based on observations of what happens when something burns, that most common objects appear to become lighter and seem to lose something in the process. The fact that a substance like wood gains overall weight in burning was hidden by the buoyancy of the gaseous combustion products. Indeed, one of the first clues that the phlogiston theory was incorrect was that metals, too, gain weight in rusting (when they were supposedly losing phlogiston).</t>
  </si>
  <si>
    <t>experience and extra responsibilities</t>
  </si>
  <si>
    <t>houses the offices and board room etc. and is not open to the public</t>
  </si>
  <si>
    <t>ownership of private industries</t>
  </si>
  <si>
    <t>mad scientist</t>
  </si>
  <si>
    <t>the most common</t>
  </si>
  <si>
    <t>December 28, 2015</t>
  </si>
  <si>
    <t>three-dimensional objects</t>
  </si>
  <si>
    <t>DC traction motor</t>
  </si>
  <si>
    <t>Gaussian integers Z[i]</t>
  </si>
  <si>
    <t>What have Muslims praised Hamas for doing?</t>
  </si>
  <si>
    <t>its chloroplast</t>
  </si>
  <si>
    <t>12:00 to 6:00 p.m. Eastern Time</t>
  </si>
  <si>
    <t>the University of Chicago College Bowl Team</t>
  </si>
  <si>
    <t>unpaired electrons in the molecule</t>
  </si>
  <si>
    <t>What act set out the Parliament's powers as a devolved legislature?</t>
  </si>
  <si>
    <t>Supreme Court case of FCC v. Pacifica Foundation</t>
  </si>
  <si>
    <t>In 1735, who did John and Charles Wesley teach the gospel to in America?</t>
  </si>
  <si>
    <t>Each chapter has a number of authors who are responsible for writing and editing the material. A chapter typically has two "coordinating lead authors", ten to fifteen "lead authors", and a somewhat larger number of "contributing authors". The coordinating lead authors are responsible for assembling the contributions of the other authors, ensuring that they meet stylistic and formatting requirements, and reporting to the Working Group chairs. Lead authors are responsible for writing sections of chapters. Contributing authors prepare text, graphs or data for inclusion by the lead authors.</t>
  </si>
  <si>
    <t>When did the colonization of India occur?</t>
  </si>
  <si>
    <t>Where is the airport located?</t>
  </si>
  <si>
    <t>Newtonian</t>
  </si>
  <si>
    <t>hydrocarbon</t>
  </si>
  <si>
    <t>In what states are pharmacist clinicians given prescriptive and diagnostic authority?</t>
  </si>
  <si>
    <t>low wage</t>
  </si>
  <si>
    <t>the lack of reliable statistics</t>
  </si>
  <si>
    <t>the most rigorous, intense</t>
  </si>
  <si>
    <t>Which outbreak was associated with troops in the thirty years war?</t>
  </si>
  <si>
    <t>The French Protestant Church of London was established by Royal Charter in 1550. It is now located at Soho Square. Huguenot refugees flocked to Shoreditch, London. They established a major weaving industry in and around Spitalfields (see Petticoat Lane and the Tenterground) in East London. In Wandsworth, their gardening skills benefited the Battersea market gardens. The Old Truman Brewery, then known as the Black Eagle Brewery, was founded in 1724. The flight of Huguenot refugees from Tours, France drew off most of the workers of its great silk mills which they had built.[citation needed] Some of these immigrants moved to Norwich, which had accommodated an earlier settlement of Walloon weavers. The French added to the existing immigrant population, then comprising about a third of the population of the city.</t>
  </si>
  <si>
    <t>What did the early entrant program do for potential students?</t>
  </si>
  <si>
    <t>many of the nomadic tribes of Northeast Asia.</t>
  </si>
  <si>
    <t>freight services</t>
  </si>
  <si>
    <t>When were the French wars of religion?</t>
  </si>
  <si>
    <t>Emperor</t>
  </si>
  <si>
    <t>The General Conference of the United Methodist Church</t>
  </si>
  <si>
    <t>biological structures and processes within an organism</t>
  </si>
  <si>
    <t>What doctrine did the doctrine of the Principles of Geology successfully promote?</t>
  </si>
  <si>
    <t>What had Luther's community done to Jews years earlier?</t>
  </si>
  <si>
    <t>The success of pathogens is predicated on their ability to do what?</t>
  </si>
  <si>
    <t>The Apollo program succeeded in achieving its goal of manned lunar landing, despite the major setback of a 1967 Apollo 1 cabin fire that killed the entire crew during a prelaunch test. After the first landing, sufficient flight hardware remained for nine follow-on landings with a plan for extended lunar geological and astrophysical exploration. Budget cuts forced the cancellation of three of these. Five of the remaining six missions achieved successful landings, but the Apollo 13 landing was prevented by an oxygen tank explosion in transit to the Moon, which disabled the command spacecraft's propulsion and life support. The crew returned to Earth safely by using the Lunar Module as a "lifeboat" for these functions.</t>
  </si>
  <si>
    <t xml:space="preserve">Who operated the vBSN network </t>
  </si>
  <si>
    <t>justification rather depends only on such faith as is active in charity and good works</t>
  </si>
  <si>
    <t>Khuruldai</t>
  </si>
  <si>
    <t>26 seconds off the modern Gregorian calendar</t>
  </si>
  <si>
    <t>How did the 2001 IPCC report compare to reality on temperature levels?</t>
  </si>
  <si>
    <t>Endosymbiotic gene transfer is how we know about the lost chloroplasts in many chromalveolate lineages. Even if a chloroplast is eventually lost, the genes it donated to the former host's nucleus persist, providing evidence for the lost chloroplast's existence. For example, while diatoms (a heterokontophyte) now have a red algal derived chloroplast, the presence of many green algal genes in the diatom nucleus provide evidence that the diatom ancestor (probably the ancestor of all chromalveolates too) had a green algal derived chloroplast at some point, which was subsequently replaced by the red chloroplast.</t>
  </si>
  <si>
    <t>Opposition politicians, human rights groups, and nine Western countries</t>
  </si>
  <si>
    <t>What does the film of oxide on metals delay?</t>
  </si>
  <si>
    <t>biochemical oxygen demand</t>
  </si>
  <si>
    <t>New Guinea</t>
  </si>
  <si>
    <t>jet of expelled water drives them backwards very quickly</t>
  </si>
  <si>
    <t>establish, equip, manage and maintain national and public libraries in the country</t>
  </si>
  <si>
    <t>What describes the proportionality of acceleration to force and mass?</t>
  </si>
  <si>
    <t>a report</t>
  </si>
  <si>
    <t>By what name is that first Huguenot church known today?</t>
  </si>
  <si>
    <t>Which two importers claimed that under a French competition law, they were prevented from selling Picon beer under wholesale price?</t>
  </si>
  <si>
    <t>What was Luther's force within the Reformation?</t>
  </si>
  <si>
    <t>strong</t>
  </si>
  <si>
    <t>whether the bill is within the legislative competence of the Parliament</t>
  </si>
  <si>
    <t>stereoscopic</t>
  </si>
  <si>
    <t>What cataloging system was used by the National Art Library from the 1980s to the 1990s?</t>
  </si>
  <si>
    <t>What is generally considered to be the most basic iteration of a Turing machine?</t>
  </si>
  <si>
    <t>Latin Mass</t>
  </si>
  <si>
    <t>Throughout its history, the United Methodist Church has placed great emphasis on the importance of education. As such, the United Methodist Church established and is affiliated with around one hundred colleges and universities in the United States, including Syracuse University, Boston University, Emory University, Duke University, Drew University, University of Denver, University of Evansville, and Southern Methodist University. Most are members of the International Association of Methodist-related Schools, Colleges, and Universities. The church operates three hundred sixty schools and institutions overseas.</t>
  </si>
  <si>
    <t>March 2008</t>
  </si>
  <si>
    <t>American Indians</t>
  </si>
  <si>
    <t>all populated continents</t>
  </si>
  <si>
    <t>What college is Jake Rosenfield associated with?</t>
  </si>
  <si>
    <t>Who governed the Central Region in the Yuan?</t>
  </si>
  <si>
    <t>patient care skills</t>
  </si>
  <si>
    <t>The waxy cuticle</t>
  </si>
  <si>
    <t>more equally distributed</t>
  </si>
  <si>
    <t>How much gold did Victoria produce in the years of 1851-1860?</t>
  </si>
  <si>
    <t>the Moscone Center</t>
  </si>
  <si>
    <t>one hundred</t>
  </si>
  <si>
    <t>Which coastline does Southern California touch?</t>
  </si>
  <si>
    <t>theory of general relativity</t>
  </si>
  <si>
    <t>What were the astronauts wearing during the dual mission AS-278?</t>
  </si>
  <si>
    <t>What was the color of the jerseys in Super Bowl XXXII when Elway was quarterback?</t>
  </si>
  <si>
    <t>Amazonia: Man and Culture in a Counterfeit Paradise.</t>
  </si>
  <si>
    <t>What did he believe the ether did?</t>
  </si>
  <si>
    <t>firm, clear</t>
  </si>
  <si>
    <t>orange</t>
  </si>
  <si>
    <t>McGann and Eccleston's</t>
  </si>
  <si>
    <t>between 150,000 and 200,000</t>
  </si>
  <si>
    <t>How many names of Ghengis Khan's daughters are known?</t>
  </si>
  <si>
    <t>her weight</t>
  </si>
  <si>
    <t>stimulating the growth of local seed production</t>
  </si>
  <si>
    <t>Members of the United Methodist Church who identify with the pro-life position have organized into the Taskforce of United Methodists on Abortion and Sexuality (TUMAS) to further their position within the denomination. There was an attempt to withdraw the United Methodist Church membership in the Religious Coalition for Reproductive Choice at their General Conference, held in May 2012, with a petition that passed through the legislative subcommittee and committee votes, but was not given a floor vote. Rev. Paul T. Stallsworth, president of the Taskforce of United Methodists on Abortion and Sexuality said he "had every reason to believe" that pro-life delegates would have won a floor vote.</t>
  </si>
  <si>
    <t>elementary school education certificate</t>
  </si>
  <si>
    <t>the poor soil</t>
  </si>
  <si>
    <t>Disney–ABC Television Group</t>
  </si>
  <si>
    <t>light</t>
  </si>
  <si>
    <t>glasses with one darkened lens</t>
  </si>
  <si>
    <t>What is the time period represented in the museum's textiles collection?</t>
  </si>
  <si>
    <t>What is consultant pharmacy mainly concerned with?</t>
  </si>
  <si>
    <t>What type of wages do people unable to afford an education receive?</t>
  </si>
  <si>
    <t>Which book discussed the theory about low populations in the Amazon rainforest?</t>
  </si>
  <si>
    <t>war</t>
  </si>
  <si>
    <t>more assertive and confrontational</t>
  </si>
  <si>
    <t>Nonconservative forces other than friction</t>
  </si>
  <si>
    <t>the UK</t>
  </si>
  <si>
    <t>Leukocytes</t>
  </si>
  <si>
    <t>between June and September</t>
  </si>
  <si>
    <t>One of the principal advantages the Rankine cycle holds over others is that during the compression stage relatively little work is required to drive the pump, the working fluid being in its liquid phase at this point. By condensing the fluid, the work required by the pump consumes only 1% to 3% of the turbine power and contributes to a much higher efficiency for a real cycle. The benefit of this is lost somewhat due to the lower heat addition temperature. Gas turbines, for instance, have turbine entry temperatures approaching 1500 °C. Nonetheless, the efficiencies of actual large steam cycles and large modern gas turbines are fairly well matched.[citation needed]</t>
  </si>
  <si>
    <t>Who do clinical pharmacists work with much of the time?</t>
  </si>
  <si>
    <t>That does TARDIS stand for?</t>
  </si>
  <si>
    <t>What public policy school found it's home in the building that Ludwig Mies van der Rohe designed?</t>
  </si>
  <si>
    <t>necessary for a state’s survival</t>
  </si>
  <si>
    <t>Division I</t>
  </si>
  <si>
    <t xml:space="preserve">What equals the spring reaction force on an object suspended on a spring reaction scale? </t>
  </si>
  <si>
    <t>For how long did the plague stick around?</t>
  </si>
  <si>
    <t>British patrons</t>
  </si>
  <si>
    <t>the metal locking screw</t>
  </si>
  <si>
    <t>fans</t>
  </si>
  <si>
    <t>How do you avoid problems when determining forces involved on an object from two or more sources?</t>
  </si>
  <si>
    <t>a peoples university</t>
  </si>
  <si>
    <t>Which company provided streetcar connections between downtown and the hospital?</t>
  </si>
  <si>
    <t>Doctor Who has appeared on stage numerous times. In the early 1970s, Trevor Martin played the role in Doctor Who and the Daleks in the Seven Keys to Doomsday. In the late 1980s, Jon Pertwee and Colin Baker both played the Doctor at different times during the run of a play titled Doctor Who – The Ultimate Adventure. For two performances, while Pertwee was ill, David Banks (better known for playing Cybermen) played the Doctor. Other original plays have been staged as amateur productions, with other actors playing the Doctor, while Terry Nation wrote The Curse of the Daleks, a stage play mounted in the late 1960s, but without the Doctor.</t>
  </si>
  <si>
    <t>an international data communications network headquartered in San Jose, CA</t>
  </si>
  <si>
    <t>What we now call gravity was not identified as a universal force until the work of Isaac Newton. Before Newton, the tendency for objects to fall towards the Earth was not understood to be related to the motions of celestial objects. Galileo was instrumental in describing the characteristics of falling objects by determining that the acceleration of every object in free-fall was constant and independent of the mass of the object. Today, this acceleration due to gravity towards the surface of the Earth is usually designated as  and has a magnitude of about 9.81 meters per second squared (this measurement is taken from sea level and may vary depending on location), and points toward the center of the Earth. This observation means that the force of gravity on an object at the Earth's surface is directly proportional to the object's mass. Thus an object that has a mass of  will experience a force:</t>
  </si>
  <si>
    <t>Other green spaces in the city include the Botanic Garden and the University Library garden. They have extensive botanical collection of rare domestic and foreign plants, while a palm house in the New Orangery displays plants of subtropics from all over the world. Besides, within the city borders, there are also: Pole Mokotowskie (a big park in the northern Mokotów, where was the first horse racetrack and then the airport), Park Ujazdowski (close to the Sejm and John Lennon street), Park of Culture and Rest in Powsin, by the southern city border, Park Skaryszewski by the right Vistula bank, in Praga. The oldest park in Praga, the Praga Park, was established in 1865–1871 and designed by Jan Dobrowolski. In 1927 a zoological garden (Ogród Zoologiczny) was established on the park grounds, and in 1952 a bear run, still open today.</t>
  </si>
  <si>
    <t>retain their original colors</t>
  </si>
  <si>
    <t>The Age of Imperialism, a time period beginning around 1700, saw (generally European) industrializing nations engaging in the process of colonizing, influencing, and annexing other parts of the world in order to gain political power.[citation needed] Although imperialist practices have existed for thousands of years, the term "Age of Imperialism" generally refers to the activities of European powers from the early 18th century through to the middle of the 20th century, for example, the "The Great Game" in Persian lands, the "Scramble for Africa" and the "Open Door Policy" in China.</t>
  </si>
  <si>
    <t>a bright red-orange carotenoid</t>
  </si>
  <si>
    <t>simulate a launch countdown</t>
  </si>
  <si>
    <t>Who assembles the authors' contributions?</t>
  </si>
  <si>
    <t>During the period in which the negotiations were being conducted, Tesla said that efforts had been made to steal the invention. His room had been entered and his papers had been scrutinized, but the thieves, or spies, left empty-handed. He said that there was no danger that his invention could be stolen, for he had at no time committed any part of it to paper; the blueprint for the teleforce weapon was all in his mind.</t>
  </si>
  <si>
    <t>On what day were images of the moon's surface transmitted to Earth via television images?</t>
  </si>
  <si>
    <t>Who cannot be employed by a school in any manner?</t>
  </si>
  <si>
    <t>young and the elderly</t>
  </si>
  <si>
    <t>miniature cydippids</t>
  </si>
  <si>
    <t>When was the Edict of Worms presented?</t>
  </si>
  <si>
    <t>Fresno,_California</t>
  </si>
  <si>
    <t>The official opening by Queen Victoria was on 22 June 1857. In the following year, late night openings were introduced, made possible by the use of gas lighting. This was to enable in the words of Cole "to ascertain practically what hours are most convenient to the working classes"—this was linked to the use of the collections of both applied art and science as educational resources to help boost productive industry. In these early years the practical use of the collection was very much emphasised as opposed to that of "High Art" at the National Gallery and scholarship at the British Museum. George Wallis (1811–1891), the first Keeper of Fine Art Collection, passionately promoted the idea of wide art education through the museum collections. This led to the transfer to the museum of the School of Design that had been founded in 1837 at Somerset House; after the transfer it was referred to as the Art School or Art Training School, later to become the Royal College of Art which finally achieved full independence in 1949. From the 1860s to the 1880s the scientific collections had been moved from the main museum site to various improvised galleries to the west of Exhibition Road. In 1893 the "Science Museum" had effectively come into existence when a separate director was appointed.</t>
  </si>
  <si>
    <t>not a Scottish minister</t>
  </si>
  <si>
    <t>the Tyne and Wear Metro</t>
  </si>
  <si>
    <t>data on transportation, sewer, hazardous waste and water</t>
  </si>
  <si>
    <t>planning,[citation needed] design, and financing</t>
  </si>
  <si>
    <t>pressure physical experiments</t>
  </si>
  <si>
    <t>Fringe or splinter movements</t>
  </si>
  <si>
    <t>generally unfounded and also marginal to the assessment</t>
  </si>
  <si>
    <t>first increases</t>
  </si>
  <si>
    <t>manage the pharmacy department</t>
  </si>
  <si>
    <t>"Hiding behind (or 'watching from behind') the sofa"</t>
  </si>
  <si>
    <t>the assassination of John F. Kennedy</t>
  </si>
  <si>
    <t>the Battle of Hastings</t>
  </si>
  <si>
    <t>What do some believe the Treaty of Versailles assisted in?</t>
  </si>
  <si>
    <t>shelters, educational assistance, free or low cost medical clinics, housing assistance</t>
  </si>
  <si>
    <t>the American Institute of Electrical Engineers</t>
  </si>
  <si>
    <t>political poem</t>
  </si>
  <si>
    <t>. The Book of Discipline</t>
  </si>
  <si>
    <t>The system limited the price of "old oil"</t>
  </si>
  <si>
    <t>Second</t>
  </si>
  <si>
    <t>What is the taskforce that was organized to identify with the pro-life position?</t>
  </si>
  <si>
    <t>Commission v Austria</t>
  </si>
  <si>
    <t>The acme of the horizontal engine was the Corliss steam engine, patented in 1849, which was a four-valve counter flow engine with separate steam admission and exhaust valves and automatic variable steam cutoff. When Corliss was given the Rumford medal the committee said that "no one invention since Watt's time has so enhanced the efficiency of the steam engine". In addition to using 30% less steam, it provided more uniform speed due to variable steam cut off, making it well suited to manufacturing, especially cotton spinning.</t>
  </si>
  <si>
    <t>in the direction in which the mouth is pointing,</t>
  </si>
  <si>
    <t>What could someone be investigated for?</t>
  </si>
  <si>
    <t>How well did Kenya do in the Beijing Olympics?</t>
  </si>
  <si>
    <t>Southern California includes the heavily built-up urban area stretching along the Pacific coast from Ventura, through the Greater Los Angeles Area and the Inland Empire, and down to Greater San Diego. Southern California's population encompasses seven metropolitan areas, or MSAs: the Los Angeles metropolitan area, consisting of Los Angeles and Orange counties; the Inland Empire, consisting of Riverside and San Bernardino counties; the San Diego metropolitan area; the Oxnard–Thousand Oaks–Ventura metropolitan area; the Santa Barbara metro area; the San Luis Obispo metropolitan area; and the El Centro area. Out of these, three are heavy populated areas: the Los Angeles area with over 12 million inhabitants, the Riverside-San Bernardino area with over four million inhabitants, and the San Diego area with over 3 million inhabitants. For CSA metropolitan purposes, the five counties of Los Angeles, Orange, Riverside, San Bernardino, and Ventura are all combined to make up the Greater Los Angeles Area with over 17.5 million people. With over 22 million people, southern California contains roughly 60 percent of California's population.</t>
  </si>
  <si>
    <t>100–5,000</t>
  </si>
  <si>
    <t>14th century</t>
  </si>
  <si>
    <t>public agencies</t>
  </si>
  <si>
    <t>use in the ARPANET</t>
  </si>
  <si>
    <t>expelled Jews</t>
  </si>
  <si>
    <t>What was Tugh Temur known for?</t>
  </si>
  <si>
    <t>The region was a leader in what event between 2001 - 2007?</t>
  </si>
  <si>
    <t>depending on each party's strength in Parliament</t>
  </si>
  <si>
    <t>Type II</t>
  </si>
  <si>
    <t>the expendable nature of the worker in relation to his or her particular job</t>
  </si>
  <si>
    <t>Is the Pope's confessor a Bishop?</t>
  </si>
  <si>
    <t>How long was he in bed from cholera?</t>
  </si>
  <si>
    <t>In 1968, ABC took advantage of new FCC ownership regulations that allowed broadcasting companies to own a maximum of seven radio stations nationwide in order to purchase Houston radio stations KXYZ and KXYZ-FM for $1 million in shares and $1.5 million in bonds. That year, Roone Arledge was named president of ABC Sports; the company also founded ABC Pictures, a film production company which released its first picture that year, the Ralph Nelson-directed Charly. It was renamed ABC Motion Pictures in 1979; the unit was dissolved in 1985. The studio also operated two subsidiaries, Palomar Pictures International and Selmur Pictures. In July 1968, ABC continued its acquisitions in the amusement parks sector with the opening of ABC Marine World in Redwood City, California; that park was sold in 1972 and demolished in 1986, with the land that occupied the park later becoming home to the headquarters of Oracle Corporation.</t>
  </si>
  <si>
    <t>oxygen chambers</t>
  </si>
  <si>
    <t>The flags on the moon left by the U.S. manned Apollo missions are all still standing save for which mission's flag?</t>
  </si>
  <si>
    <t>Turkish defenders</t>
  </si>
  <si>
    <t>Conrad of Montferrat</t>
  </si>
  <si>
    <t>What happens to waste heat in the Rankine cycle?</t>
  </si>
  <si>
    <t>In 2004, the V&amp;A alongside Royal Institute of British Architects opened the first permanent gallery in the UK covering the history of architecture with displays using models, photographs, elements from buildings and original drawings. With the opening of the new gallery, the RIBA Drawings and Archives Collection has been transferred to the museum, joining the already extensive collection held by the V&amp;A. With over 600,000 drawings, over 750,000 papers and paraphernalia, and over 700,000 photographs from around the world, together they form the world's most comprehensive architectural resource.</t>
  </si>
  <si>
    <t>What are the molecular outputs for photosynthesis?</t>
  </si>
  <si>
    <t>friction</t>
  </si>
  <si>
    <t>High Sheriff</t>
  </si>
  <si>
    <t>black jerseys with silver pants.</t>
  </si>
  <si>
    <t>Emperor Ningzong</t>
  </si>
  <si>
    <t>basic design typical of Eastern bloc countries</t>
  </si>
  <si>
    <t>minimal</t>
  </si>
  <si>
    <t>the Alps</t>
  </si>
  <si>
    <t>environmental determinism</t>
  </si>
  <si>
    <t>What type of item is the mostly likely to show in the V&amp;A computer system?</t>
  </si>
  <si>
    <t>Article 102</t>
  </si>
  <si>
    <t>vitamin D receptor</t>
  </si>
  <si>
    <t>The annual NFL Experience was held at the Moscone Center in San Francisco. In addition, "Super Bowl City" opened on January 30 at Justin Herman Plaza on The Embarcadero, featuring games and activities that will highlight the Bay Area's technology, culinary creations, and cultural diversity. More than 1 million people are expected to attend the festivities in San Francisco during Super Bowl Week. San Francisco mayor Ed Lee said of the highly visible homeless presence in this area "they are going to have to leave". San Francisco city supervisor Jane Kim unsuccessfully lobbied for the NFL to reimburse San Francisco for city services in the amount of $5 million.</t>
  </si>
  <si>
    <t>San Fernando Valley</t>
  </si>
  <si>
    <t>Exceptional examples of the bourgeois architecture of the later periods were not restored by the communist authorities after the war (like mentioned Kronenberg Palace and Insurance Company Rosja building) or they were rebuilt in socialist realism style (like Warsaw Philharmony edifice originally inspired by Palais Garnier in Paris). Despite that the Warsaw University of Technology building (1899–1902) is the most interesting of the late 19th-century architecture. Some 19th-century buildings in the Praga district (the Vistula’s right bank) have been restored although many have been poorly maintained. Warsaw’s municipal government authorities have decided to rebuild the Saxon Palace and the Brühl Palace, the most distinctive buildings in prewar Warsaw.</t>
  </si>
  <si>
    <t>young men who had not fought</t>
  </si>
  <si>
    <t>Magdalen Tower</t>
  </si>
  <si>
    <t>they must be recommended by their pastor and Church Council or Charge Conference, and complete the basic course for lay servant</t>
  </si>
  <si>
    <t>the Victoria Constitution Act 1855</t>
  </si>
  <si>
    <t>greater equality but not per capita income</t>
  </si>
  <si>
    <t>In bays</t>
  </si>
  <si>
    <t>issues</t>
  </si>
  <si>
    <t>Tesla served as a vice president of the American Institute of Electrical Engineers, the forerunner (along with the Institute of Radio Engineers) of the modern-day IEEE, from 1892 to 1894.</t>
  </si>
  <si>
    <t>West Side</t>
  </si>
  <si>
    <t>How were some modern economic inequalities created?</t>
  </si>
  <si>
    <t>its unpaired electrons</t>
  </si>
  <si>
    <t>country</t>
  </si>
  <si>
    <t>anyone with knowledge or skills</t>
  </si>
  <si>
    <t>In addition to arguing that the rat population was insufficient to account for a bubonic plague pandemic, sceptics of the bubonic plague theory point out that the symptoms of the Black Death are not unique (and arguably in some accounts may differ from bubonic plague); that transference via fleas in goods was likely to be of marginal significance; and that the DNA results may be flawed and might not have been repeated elsewhere, despite extensive samples from other mass graves. Other arguments include the lack of accounts of the death of rats before outbreaks of plague between the 14th and 17th centuries; temperatures that are too cold in northern Europe for the survival of fleas; that, despite primitive transport systems, the spread of the Black Death was much faster than that of modern bubonic plague; that mortality rates of the Black Death appear to be very high; that, while modern bubonic plague is largely endemic as a rural disease, the Black Death indiscriminately struck urban and rural areas; and that the pattern of the Black Death, with major outbreaks in the same areas separated by 5 to 15 years, differs from modern bubonic plague—which often becomes endemic for decades with annual flare-ups.</t>
  </si>
  <si>
    <t>discouraged development of alternative energies</t>
  </si>
  <si>
    <t>electrical, water, sewage, phone, and cable facilities</t>
  </si>
  <si>
    <t>farming</t>
  </si>
  <si>
    <t>Japan</t>
  </si>
  <si>
    <t>What day was Super Bowl 50 media day switched to?</t>
  </si>
  <si>
    <t>Whose former headquarters was the WSE located in until 2000?</t>
  </si>
  <si>
    <t>Krasiński Palace Garden</t>
  </si>
  <si>
    <t>What is the country known for?</t>
  </si>
  <si>
    <t>What kind of forest is the Amazon rainforest?</t>
  </si>
  <si>
    <t>architect's client and the main contractor</t>
  </si>
  <si>
    <t>half</t>
  </si>
  <si>
    <t>Private Bill Committees</t>
  </si>
  <si>
    <t>chorale cantatas</t>
  </si>
  <si>
    <t>gravitational</t>
  </si>
  <si>
    <t>What will maidens be able to predict by floating their wreaths down the Vistula?</t>
  </si>
  <si>
    <t>a luncheon in his honor</t>
  </si>
  <si>
    <t>Before which military campaign did Chagatai publicly dispute Jochi's paternity?</t>
  </si>
  <si>
    <t>seclude himself with his work</t>
  </si>
  <si>
    <t>In Mongolia today, Genghis Khan's name and likeness are endorsed on products, streets, buildings, and other places. His face can be found on everyday commodities, from liquor bottles to candy products, and on the largest denominations of 500, 1,000, 5,000, 10,000, and 20,000 Mongolian tögrög (₮). Mongolia's main international airport in Ulaanbaatar is named Chinggis Khaan International Airport. Major Genghis Khan statues have been erected before the parliament and near Ulaanbaatar. There have been repeated discussions about regulating the use of his name and image to avoid trivialization.</t>
  </si>
  <si>
    <t>Nestorianism and Roman Catholicism</t>
  </si>
  <si>
    <t>Jochi died in 1226, during his father's lifetime. Some scholars, notably Ratchnevsky, have commented on the possibility that Jochi was secretly poisoned by an order from Genghis Khan. Rashid al-Din reports that the great Khan sent for his sons in the spring of 1223, and while his brothers heeded the order, Jochi remained in Khorasan. Juzjani suggests that the disagreement arose from a quarrel between Jochi and his brothers in the siege of Urgench. Jochi had attempted to protect Urgench from destruction, as it belonged to territory allocated to him as a fief. He concludes his story with the clearly apocryphal statement by Jochi: "Genghis Khan is mad to have massacred so many people and laid waste so many lands. I would be doing a service if I killed my father when he is hunting, made an alliance with Sultan Muhammad, brought this land to life and gave assistance and support to the Muslims." Juzjani claims that it was in response to hearing of these plans that Genghis Khan ordered his son secretly poisoned; however, as Sultan Muhammad was already dead in 1223, the accuracy of this story is questionable.</t>
  </si>
  <si>
    <t>What was the name for the imaging campaign ABC began in 2007?</t>
  </si>
  <si>
    <t>Land-based steam engines could exhaust much of their steam, as feed water was usually readily available. Prior to and during World War I, the expansion engine dominated marine applications where high vessel speed was not essential. It was however superseded by the British invention steam turbine where speed was required, for instance in warships, such as the dreadnought battleships, and ocean liners. HMS Dreadnought of 1905 was the first major warship to replace the proven technology of the reciprocating engine with the then-novel steam turbine.[citation needed]</t>
  </si>
  <si>
    <t>empty land</t>
  </si>
  <si>
    <t>preschool teachers</t>
  </si>
  <si>
    <t>he explored</t>
  </si>
  <si>
    <t>What type of wages does mechanization and automation lead to?</t>
  </si>
  <si>
    <t>not restored by the communist authorities after the war</t>
  </si>
  <si>
    <t>22,000 years ago</t>
  </si>
  <si>
    <t>What does Paul Krugmen think has had an observable effect on inequality in the U.S.?</t>
  </si>
  <si>
    <t>Grainger Town area</t>
  </si>
  <si>
    <t>What was the name of the legislation passed in 1850?</t>
  </si>
  <si>
    <t>What is the break down of years at different level of education?</t>
  </si>
  <si>
    <t>Who was Count of Melfi</t>
  </si>
  <si>
    <t>What type of medicine did Mongol shamans use?</t>
  </si>
  <si>
    <t xml:space="preserve">WHat were features of Apple Talk </t>
  </si>
  <si>
    <t>loss of biodiversity</t>
  </si>
  <si>
    <t>What do the membership of the committees reflect?</t>
  </si>
  <si>
    <t>What is one criminal behavior that is hard to stop by authorities?</t>
  </si>
  <si>
    <t>the relevant cross-sectional area for the volume for which the stress-tensor is being calculated</t>
  </si>
  <si>
    <t>Kong Duancao</t>
  </si>
  <si>
    <t>What is an example of a pump component?</t>
  </si>
  <si>
    <t>co-chair of the IPCC working group II</t>
  </si>
  <si>
    <t>What are chromoplasts?</t>
  </si>
  <si>
    <t>What did Tesla's investors do to him?</t>
  </si>
  <si>
    <t>Who are some of the best rally drivers that have won the rally?</t>
  </si>
  <si>
    <t>Against what does reactive oxygen play in plant defense?</t>
  </si>
  <si>
    <t>How did Morgan react to the request?</t>
  </si>
  <si>
    <t>What is the increased rates of self-employment based on?</t>
  </si>
  <si>
    <t>How man people gather along the banks of the Vistula for the Wianki festival?</t>
  </si>
  <si>
    <t>Biblical grounds,</t>
  </si>
  <si>
    <t>around 11.5 inches</t>
  </si>
  <si>
    <t>What kind of coronation happened?</t>
  </si>
  <si>
    <t>US$10 a week raise</t>
  </si>
  <si>
    <t>a person or group of people</t>
  </si>
  <si>
    <t>What governing body appoints commissioners and the board of European Central Bank?</t>
  </si>
  <si>
    <t>a placebo effect</t>
  </si>
  <si>
    <t>Who deployed its army into Afghanistan in 1979?</t>
  </si>
  <si>
    <t>The College of the University of Chicago grants Bachelor of Arts and Bachelor of Science degrees in 50 academic majors and 28 minors. The college's academics are divided into five divisions: the Biological Sciences Collegiate Division, the Physical Sciences Collegiate Division, the Social Sciences Collegiate Division, the Humanities Collegiate Division, and the New Collegiate Division. The first four are sections within their corresponding graduate divisions, while the New Collegiate Division administers interdisciplinary majors and studies which do not fit in one of the other four divisions.</t>
  </si>
  <si>
    <t>Why were the 2011 Special Reports issued?</t>
  </si>
  <si>
    <t>when the present amount of funding cannot cover the current costs for labour and materials</t>
  </si>
  <si>
    <t>"Huguenot Street Historic District" in New Paltz</t>
  </si>
  <si>
    <t>18 February 1546</t>
  </si>
  <si>
    <t>arrow wound</t>
  </si>
  <si>
    <t>365.2425 days of the year</t>
  </si>
  <si>
    <t>public sector corruption</t>
  </si>
  <si>
    <t>how graphs are encoded as binary strings</t>
  </si>
  <si>
    <t>Kenya won several medals during the Beijing Olympics, six gold, four silver and four bronze, making it Africa's most successful nation in the 2008 Olympics. New athletes gained attention, such as Pamela Jelimo, the women's 800m gold medalist who went ahead to win the IAAF Golden League jackpot, and Samuel Wanjiru who won the men's marathon. Retired Olympic and Commonwealth Games champion Kipchoge Keino helped usher in Kenya's ongoing distance dynasty in the 1970s and was followed by Commonwealth Champion Henry Rono's spectacular string of world record performances. Lately, there has been controversy in Kenyan athletics circles, with the defection of a number of Kenyan athletes to represent other countries, chiefly Bahrain and Qatar. The Kenyan Ministry of Sports has tried to stop the defections, but they have continued anyway, with Bernard Lagat the latest, choosing to represent the United States. Most of these defections occur because of economic or financial factors. Some elite Kenyan runners who cannot qualify for their country's strong national team find it easier to qualify by running for other countries.[citation needed]</t>
  </si>
  <si>
    <t>BSkyB initially charged additional subscription fees for using a Sky+ PVR with their service; waiving the charge for subscribers whose package included two or more premium channels. This changed as from 1 July 2007, and now customers that have Sky+ and subscribe to any BSkyB subscription package get Sky+ included at no extra charge. Customers that do not subscribe to BSkyB's channels can still pay a monthly fee to enable Sky+ functions. In January 2010 BSkyB discontinued the Sky+ Box, limited the standard Sky Box to Multiroom upgrade only and started to issue the Sky+HD Box as standard, thus giving all new subscribers the functions of Sky+. In February 2011 BSkyB discontinued the non-HD variant of its Multiroom box, offering a smaller version of the SkyHD box without Sky+ functionality. In September 2007, Sky launched a new TV advertising campaign targeting Sky+ at women. As of 31 March 2008, Sky had 3,393,000 Sky+ users.</t>
  </si>
  <si>
    <t>newer satellite data</t>
  </si>
  <si>
    <t>liquid oxygen</t>
  </si>
  <si>
    <t>3D printing technology</t>
  </si>
  <si>
    <t>Where do other tourist events happen in Victoria outside of Melbourne?</t>
  </si>
  <si>
    <t>What did Tesla accidentally cause?</t>
  </si>
  <si>
    <t>While Qutb's ideas became increasingly radical during his imprisonment prior to his execution in 1966, the leadership of the Brotherhood, led by Hasan al-Hudaybi, remained moderate and interested in political negotiation and activism. Fringe or splinter movements inspired by the final writings of Qutb in the mid-1960s (particularly the manifesto Milestones, a.k.a. Ma'alim fi-l-Tariq) did, however, develop and they pursued a more radical direction. By the 1970s, the Brotherhood had renounced violence as a means of achieving its goals.</t>
  </si>
  <si>
    <t>his last statement</t>
  </si>
  <si>
    <t>Although most are non-aligned, some of the best known independent schools also belong to the large, long-established religious foundations, such as the Anglican Church, Uniting Church and Presbyterian Church, but in most cases, they do not insist on their students’ religious allegiance. These schools are typically viewed as 'elite schools'. Many of the 'grammar schools' also fall in this category. They are usually expensive schools that tend to be up-market and traditional in style, some Catholic schools fall into this category as well, e.g. St Joseph's College, Gregory Terrace, Saint Ignatius' College, Riverview, St Gregory's College, Campbelltown, St Aloysius' College (Sydney) and St Joseph's College, Hunters Hill, as well as Loreto Kirribilli, Monte Sant Angelo Mercy College, St Ursula's College and Loreto Normanhurst for girls.</t>
  </si>
  <si>
    <t>the Hostmen</t>
  </si>
  <si>
    <t>8,000 years ago</t>
  </si>
  <si>
    <t>What was the final score of Super Bowl XXXIII?</t>
  </si>
  <si>
    <t>German Nazi colonial administration</t>
  </si>
  <si>
    <t>second and third run movies, along with classic films</t>
  </si>
  <si>
    <t>higher than teachers who didn't show much enthusiasm</t>
  </si>
  <si>
    <t>Rather than Roman numerals, what did the NFL decide to use?</t>
  </si>
  <si>
    <t>issues which may be of interest to a particular area such as a member's own constituency</t>
  </si>
  <si>
    <t>What is one issue that adds to the complexity of a pharmacist's job?</t>
  </si>
  <si>
    <t>What work is useful for pastors?</t>
  </si>
  <si>
    <t>middle period of classical antiquity</t>
  </si>
  <si>
    <t>What type of beings does Doctor Who usually take with him on his travels?</t>
  </si>
  <si>
    <t>destroy invading microbes</t>
  </si>
  <si>
    <t>132 million</t>
  </si>
  <si>
    <t>From which period did the objects in the Soulages collection come from?</t>
  </si>
  <si>
    <t>lives by faith</t>
  </si>
  <si>
    <t>Guo Shoujing applied mathematics to the construction of calendars. He was one of the first mathematicians in China to work on spherical trigonometry. Gou derived a cubic interpolation formula for his astronomical calculations. His calendar, the Shoushi Li (授時暦) or Calendar for Fixing the Seasons, was disseminated in 1281 as the official calendar of the Yuan dynasty. The calendar may have been influenced solely by the work of Song dynasty astronomer Shen Kuo or possibly by the work of Arab astronomers. There are no explicit signs of Muslim influences in the Shoushi calendar, but Mongol rulers were known to be interested in Muslim calendars. Mathematical knowledge from the Middle East was introduced to China under the Mongols, and Muslim astronomers brought Arabic numerals to China in the 13th century.</t>
  </si>
  <si>
    <t>Stalin was hostile to the idea of an independent Poland</t>
  </si>
  <si>
    <t>How quickly is the sea level rising?</t>
  </si>
  <si>
    <t>a data network based on this voice-phone network was designed to connect GE's four computer sales and service centers</t>
  </si>
  <si>
    <t>large cars</t>
  </si>
  <si>
    <t>If Parliament agrees in a vote to the general principle of a bill, what does it then proceed to?</t>
  </si>
  <si>
    <t xml:space="preserve">Purpose of Telnet </t>
  </si>
  <si>
    <t>St. George's United Methodist Church,</t>
  </si>
  <si>
    <t>unfair laws.</t>
  </si>
  <si>
    <t>What kind of experiments of rock deformation do structural geologists perform?</t>
  </si>
  <si>
    <t>When Tesla attempted to photograph Mark Twain, what was the only thing that showed up on the image?</t>
  </si>
  <si>
    <t>high growth rates</t>
  </si>
  <si>
    <t>The inverted repeat regions</t>
  </si>
  <si>
    <t>Seine</t>
  </si>
  <si>
    <t>The population of Newcastle was 189,863 according to what year's census?</t>
  </si>
  <si>
    <t>Egypt</t>
  </si>
  <si>
    <t>primary endosymbiont</t>
  </si>
  <si>
    <t>What did the particle do to Tesla?</t>
  </si>
  <si>
    <t>What are examples of clinical services that pharmacists can provide?</t>
  </si>
  <si>
    <t>Given the strength of French forces at Louisbourg, what did Loudoun do?</t>
  </si>
  <si>
    <t>Classic</t>
  </si>
  <si>
    <t>What goal do many of these protests have?</t>
  </si>
  <si>
    <t>What is a commonly used measurement used to determine the complexity of a computational problem?</t>
  </si>
  <si>
    <t>Karluk Kara-Khanid</t>
  </si>
  <si>
    <t>What type of authority do Sudbury schools prefer?</t>
  </si>
  <si>
    <t>What other catalysts can be used to produce oxygen?</t>
  </si>
  <si>
    <t>Bacteria often secrete what kind of proteins to ingest a physical barrier?</t>
  </si>
  <si>
    <t>Where was Melanchthon at the time?</t>
  </si>
  <si>
    <t>The name Rijn, from here on, is used only for smaller streams farther to the north, which together formed the main river Rhine in Roman times. Though they retained the name, these streams no longer carry water from the Rhine, but are used for draining the surrounding land and polders. From Wijk bij Duurstede, the old north branch of the Rhine is called Kromme Rijn ("Bent Rhine") past Utrecht, first Leidse Rijn ("Rhine of Leiden") and then, Oude Rijn ("Old Rhine"). The latter flows west into a sluice at Katwijk, where its waters can be discharged into the North Sea. This branch once formed the line along which the Limes Germanicus were built. During periods of lower sea levels within the various ice ages, the Rhine took a left turn, creating the Channel River, the course of which now lies below the English Channel.</t>
  </si>
  <si>
    <t>Pathogens can rapidly evolve and adapt</t>
  </si>
  <si>
    <t>a means of making ARPANET technology public</t>
  </si>
  <si>
    <t>the actual sea level rise was above the top of the range</t>
  </si>
  <si>
    <t>heavy/highway, heavy civil or heavy engineering</t>
  </si>
  <si>
    <t>When did the UMC's General Board of Church and Society call on all United Methodists to abstain from alcohol for Lent?</t>
  </si>
  <si>
    <t>Tesla invented a steam-powered mechanical oscillator—Tesla's oscillator. While experimenting with mechanical oscillators at his Houston Street lab, Tesla allegedly generated a resonance of several buildings. As the speed grew, it is said that the machine oscillated at the resonance frequency of his own building and, belatedly realizing the danger, he was forced to use a sledge hammer to terminate the experiment, just as the police arrived.:162–164 In February 1912, an article—"Nikola Tesla, Dreamer" by Allan L. Benson—was published in World Today, in which an artist's illustration appears showing the entire earth cracking in half with the caption, "Tesla claims that in a few weeks he could set the earth's crust into such a state of vibration that it would rise and fall hundreds of feet and practically destroy civilization. A continuation of this process would, he says, eventually split the earth in two."</t>
  </si>
  <si>
    <t>What is Michael Carrick and Alan Shearer's profession?</t>
  </si>
  <si>
    <t>had to be successfully accomplished</t>
  </si>
  <si>
    <t>What other areas did the Apollo missions help spur advancements in?</t>
  </si>
  <si>
    <t>Site conditions, local regulations, economies of scale and the availability of skilled tradespeople all affect what?</t>
  </si>
  <si>
    <t>prototype for confederation</t>
  </si>
  <si>
    <t>equality</t>
  </si>
  <si>
    <t>ABC currently holds the broadcast rights to the Academy Awards, Emmy Awards (which are rotated across all four major networks on a year-to-year basis), American Music Awards, Disney Parks Christmas Day Parade, Tournament of Roses Parade, Country Music Association Awards and the CMA Music Festival. Since 2000, ABC has also owned the television rights to most of the Peanuts television specials, having acquired the broadcast rights from CBS, which originated the specials in 1965 with the debut of A Charlie Brown Christmas (other Peanuts specials broadcast annually by ABC, including A Charlie Brown Christmas, include It's the Great Pumpkin, Charlie Brown and A Charlie Brown Thanksgiving).</t>
  </si>
  <si>
    <t xml:space="preserve">What was the Marburg Colloquy meant to establish? </t>
  </si>
  <si>
    <t>What is the main defense mechanism of bacteria known as?</t>
  </si>
  <si>
    <t>a seal</t>
  </si>
  <si>
    <t>Sea of Japan</t>
  </si>
  <si>
    <t>What kind of needlework was used in the creation of the Bayeux Tapestry?</t>
  </si>
  <si>
    <t>In the immediate post-war years there was little money available for other than essential repairs. The 1950s and early 1960s saw little in the way of building work; the first major work was the creation of new storage space for books in the Art Library in 1966 and 1967. This involved flooring over Aston Webb's main hall to form the book stacks, with a new medieval gallery on the ground floor (now the shop, opened in 2006). Then the lower ground-floor galleries in the south-west part of the museum were redesigned, opening in 1978 to form the new galleries covering Continental art 1600–1800 (late Renaissance, Baroque through Rococo and neo-Classical). In 1974 the museum had acquired what is now the Henry Cole wing from the Royal College of Science. In order to adapt the building as galleries, all the Victorian interiors except for the staircase were recast during the remodelling. To link this to the rest of the museum, a new entrance building was constructed on the site of the former boiler house, the intended site of the Spiral, between 1978 and 1982. This building is of concrete and very functional, the only embellishment being the iron gates by Christopher Hay and Douglas Coyne of the Royal College of Art. These are set in the columned screen wall designed by Aston Webb that forms the façade.</t>
  </si>
  <si>
    <t>What storm had the most significant impact on Jacksonville?</t>
  </si>
  <si>
    <t>Approximately how many items are in the costume collection of the V&amp;A?</t>
  </si>
  <si>
    <t>What was the style of Luther's salute at the end of his speech?</t>
  </si>
  <si>
    <t>Conservative Islam classifies Muslims who follow Shia interpretation as what?</t>
  </si>
  <si>
    <t>What is essential for the successful execution of a project?</t>
  </si>
  <si>
    <t>How far is Fresno City College from the Tower District?</t>
  </si>
  <si>
    <t>early 1990s</t>
  </si>
  <si>
    <t>Luther's disappearance during his return trip back to Wittenberg was planned. Frederick III had him intercepted on his way home in the forest near Wittenberg by masked horsemen who were made to appear as armed highwaymen. They escorted Luther to the security of the Wartburg Castle at Eisenach. During his stay at Wartburg, which he referred to as "my Patmos", Luther translated the New Testament from Greek into German and poured out doctrinal and polemical writings. These included a renewed attack on Archbishop Albrecht of Mainz, whom he shamed into halting the sale of indulgences in his episcopates, and a "Refutation of the Argument of Latomus," in which he expounded the principle of justification to Jacobus Latomus, an orthodox theologian from Louvain.</t>
  </si>
  <si>
    <t>What is one example of what a clinical pharmacist's duties entail?</t>
  </si>
  <si>
    <t>gaseous oxygen</t>
  </si>
  <si>
    <t>When did the Rhine Straightening program begin?</t>
  </si>
  <si>
    <t>herbal</t>
  </si>
  <si>
    <t>God's wrath to Christians</t>
  </si>
  <si>
    <t>What is the legislature of the European Union comprised of?</t>
  </si>
  <si>
    <t>money from foreign Islamist banking systems</t>
  </si>
  <si>
    <t>On what did Tesla blame for the loss of the initial money?</t>
  </si>
  <si>
    <t>nine factors</t>
  </si>
  <si>
    <t>What are the two major subtypes of T cells?</t>
  </si>
  <si>
    <t>Apollo 1 backup crew.</t>
  </si>
  <si>
    <t>Why do these defections occur?</t>
  </si>
  <si>
    <t>The outer surface bears usually eight comb rows, called swimming-plates, which are used for swimming. The rows are oriented to run from near the mouth (the "oral pole") to the opposite end (the "aboral pole"), and are spaced more or less evenly around the body, although spacing patterns vary by species and in most species the comb rows extend only part of the distance from the aboral pole towards the mouth. The "combs" (also called "ctenes" or "comb plates") run across each row, and each consists of thousands of unusually long cilia, up to 2 millimeters (0.079 in). Unlike conventional cilia and flagella, which has a filament structure arranged in a 9 + 2 pattern, these cilia are arranged in a 9 + 3 pattern, where the extra compact filament is suspected to have a supporting function. These normally beat so that the propulsion stroke is away from the mouth, although they can also reverse direction. Hence ctenophores usually swim in the direction in which the mouth is pointing, unlike jellyfish. When trying to escape predators, one species can accelerate to six times its normal speed; some other species reverse direction as part of their escape behavior, by reversing the power stroke of the comb plate cilia.</t>
  </si>
  <si>
    <t>Controlled, experimental studies</t>
  </si>
  <si>
    <t>'Licensed Local Pastor</t>
  </si>
  <si>
    <t>Antigen specificity  allows responses that are specific to certain types of what?</t>
  </si>
  <si>
    <t>Both before and after the 1708 passage of the Foreign Protestants Naturalization Act, an estimated 50,000 Protestant Walloons and Huguenots fled to England, with many moving on to Ireland and elsewhere. In relative terms, this was one of the largest waves of immigration ever of a single ethnic community to Britain. Andrew Lortie (born André Lortie), a leading Huguenot theologian and writer who led the exiled community in London, became known for articulating their criticism of the Pope and the doctrine of transubstantiation during Mass.</t>
  </si>
  <si>
    <t>World Heritage Site</t>
  </si>
  <si>
    <t>10th</t>
  </si>
  <si>
    <t>How many species of Ctenophora have been validated?</t>
  </si>
  <si>
    <t>an official school sport</t>
  </si>
  <si>
    <t>By 1998, the vBNS had grown to connect more than 100 universities and research and engineering institutions via 12 national points of presence with DS-3</t>
  </si>
  <si>
    <t>It also became clear that Apollo would outgrow the Canaveral launch facilities in Florida. The two newest launch complexes were already being built for the Saturn I and IB rockets at the northernmost end: LC-34 and LC-37. But an even bigger facility would be needed for the mammoth rocket required for the manned lunar mission, so land acquisition was started in July 1961 for a Launch Operations Center (LOC) immediately north of Canaveral at Merritt Island. The design, development and construction of the center was conducted by Kurt H. Debus, a member of Dr. Wernher von Braun's original V-2 rocket engineering team. Debus was named the LOC's first Director. Construction began in November 1962. Upon Kennedy's death, President Johnson issued an executive order on November 29, 1963, to rename the LOC and Cape Canaveral in honor of Kennedy.</t>
  </si>
  <si>
    <t>What is the approximate condenser temperature in a turbine?</t>
  </si>
  <si>
    <t>Along with solar, coal and nuclear, what sort of plants notable use the Rankine process?</t>
  </si>
  <si>
    <t>What kind of interethnic marriage became common in the Jin dynasty?</t>
  </si>
  <si>
    <t>What is the Catholic doctrine of fides caritate formata?</t>
  </si>
  <si>
    <t>Who wrote "Walking in Fresno?"</t>
  </si>
  <si>
    <t>a week</t>
  </si>
  <si>
    <t>prohibits the celebration of same-sex unions.</t>
  </si>
  <si>
    <t>What group did Luther want to understand his works?</t>
  </si>
  <si>
    <t>Catholic Church</t>
  </si>
  <si>
    <t>515 million years ago</t>
  </si>
  <si>
    <t>first major work to challenge the bubonic plague theory directly,</t>
  </si>
  <si>
    <t>Around 1685, Huguenot refugees found a safe haven in the Lutheran and Reformed states in Germany and Scandinavia. Nearly 50,000 Huguenots established themselves in Germany, 20,000 of whom were welcomed in Brandenburg-Prussia, where they were granted special privileges (Edict of Potsdam) and churches in which to worship (such as the Church of St. Peter and St. Paul, Angermünde) by Frederick William, Elector of Brandenburg and Duke of Prussia. The Huguenots furnished two new regiments of his army: the Altpreußische Infantry Regiments No. 13 (Regiment on foot Varenne) and 15 (Regiment on foot Wylich). Another 4,000 Huguenots settled in the German territories of Baden, Franconia (Principality of Bayreuth, Principality of Ansbach), Landgraviate of Hesse-Kassel, Duchy of Württemberg, in the Wetterau Association of Imperial Counts, in the Palatinate and Palatinate-Zweibrücken, in the Rhine-Main-Area (Frankfurt), in modern-day Saarland; and 1,500 found refuge in Hamburg, Bremen and Lower Saxony. Three hundred refugees were granted asylum at the court of George William, Duke of Brunswick-Lüneburg in Celle.</t>
  </si>
  <si>
    <t>ABC also owns the Times Square Studios at 1500 Broadway on land in Times Square owned by a development fund for the 42nd Street Project; opened in 1999, Good Morning America and Nightline are broadcast from this particular facility. ABC News has premises a little further on West 66th Street, in a six-story building occupying a 196 feet (60 m) × 379 feet (116 m) plot at 121–135 West End Avenue. The block of West End Avenue housing the ABC News building was renamed Peter Jennings Way in 2006 in honor of the recently deceased longtime ABC News chief anchor and anchor of World News Tonight.</t>
  </si>
  <si>
    <t>two of Tesla's uncles</t>
  </si>
  <si>
    <t>my Patmos</t>
  </si>
  <si>
    <t>What are the three sectors of construction?</t>
  </si>
  <si>
    <t>How did the principle treaties that form the European Union begin?</t>
  </si>
  <si>
    <t>sea gooseberry</t>
  </si>
  <si>
    <t>entrepreneurship rates</t>
  </si>
  <si>
    <t>What was the horsepower put out by the turbines in Waterside Power Station</t>
  </si>
  <si>
    <t>nonverbal expressions of enthusiasm</t>
  </si>
  <si>
    <t>50 fund</t>
  </si>
  <si>
    <t>The chloroplastidan chloroplasts, or green chloroplasts, are another large, highly diverse primary chloroplast lineage. Their host organisms are commonly known as the green algae and land plants. They differ from glaucophyte and red algal chloroplasts in that they have lost their phycobilisomes, and contain chlorophyll b instead. Most green chloroplasts are (obviously) green, though some aren't, like some forms of Hæmatococcus pluvialis, due to accessory pigments that override the chlorophylls' green colors. Chloroplastidan chloroplasts have lost the peptidoglycan wall between their double membrane, and have replaced it with an intermembrane space. Some plants seem to have kept the genes for the synthesis of the peptidoglycan layer, though they've been repurposed for use in chloroplast division instead.</t>
  </si>
  <si>
    <t>Who were the Semuren?</t>
  </si>
  <si>
    <t>a series of strikes by coal miners and railroad workers</t>
  </si>
  <si>
    <t>Luther was a prolific hymn-writer, authoring hymns such as "Ein feste Burg ist unser Gott" ("A Mighty Fortress Is Our God"), based on Psalm 46, and "Vom Himmel hoch, da komm ich her" ("From Heaven Above to Earth I Come"), based on Luke 2:11–12. Luther connected high art and folk music, also all classes, clergy and laity, men, women and children. His tool of choice for this connection was the singing of German hymns in connection with worship, school, home, and the public arena. He often accompanied the sung hymns with a lute, later recreated as the waldzither that became a national instrument of Germany in the 20th century.</t>
  </si>
  <si>
    <t>papacy</t>
  </si>
  <si>
    <t>outdated</t>
  </si>
  <si>
    <t>What are the three sources of European Union law?</t>
  </si>
  <si>
    <t>anaerobic</t>
  </si>
  <si>
    <t>confirmed</t>
  </si>
  <si>
    <t>seven radio stations</t>
  </si>
  <si>
    <t>East African Community</t>
  </si>
  <si>
    <t>a proprietary suite of networking protocols developed by Apple Inc. in 1985</t>
  </si>
  <si>
    <t>How does Kenya curb coruption?</t>
  </si>
  <si>
    <t>How far did he claim the mechanical energy could be transmitted?</t>
  </si>
  <si>
    <t>Where did a bloody civil war break out?</t>
  </si>
  <si>
    <t>Tower Theatre</t>
  </si>
  <si>
    <t>kilometres</t>
  </si>
  <si>
    <t>From the death of Augustus in AD 14 until after AD 70, Rome accepted as her Germanic frontier the water-boundary of the Rhine and upper Danube. Beyond these rivers she held only the fertile plain of Frankfurt, opposite the Roman border fortress of Moguntiacum (Mainz), the southernmost slopes of the Black Forest and a few scattered bridge-heads. The northern section of this frontier, where the Rhine is deep and broad, remained the Roman boundary until the empire fell. The southern part was different. The upper Rhine and upper Danube are easily crossed. The frontier which they form is inconveniently long, enclosing an acute-angled wedge of foreign territory between the modern Baden and Württemberg. The Germanic populations of these lands seem in Roman times to have been scanty, and Roman subjects from the modern Alsace-Lorraine had drifted across the river eastwards.</t>
  </si>
  <si>
    <t>Who wrote the paper that the "Millennial Northern Hemisphere temperature reconstruction" graph was based on?</t>
  </si>
  <si>
    <t>one out of every six</t>
  </si>
  <si>
    <t>permit ministers to officiate same-sex weddings</t>
  </si>
  <si>
    <t>They viewed the economic value of the Caribbean islands' sugar cane to be greater</t>
  </si>
  <si>
    <t>performance</t>
  </si>
  <si>
    <t>the goals he receives from his superior.</t>
  </si>
  <si>
    <t>is the defense and justification of empire-building based on seemingly rational grounds</t>
  </si>
  <si>
    <t>the late 1980s</t>
  </si>
  <si>
    <t>warming influence</t>
  </si>
  <si>
    <t>On 17 December 1941, seven Protestant regional church confederations issued a statement agreeing with the policy of forcing Jews to wear the yellow badge, "since after his bitter experience Luther had already suggested preventive measures against the Jews and their expulsion from German territory." According to Daniel Goldhagen, Bishop Martin Sasse, a leading Protestant churchman, published a compendium of Luther's writings shortly after Kristallnacht, for which Diarmaid MacCulloch, Professor of the History of the Church in the University of Oxford argued that Luther's writing was a "blueprint." Sasse applauded the burning of the synagogues and the coincidence of the day, writing in the introduction, "On 10 November 1938, on Luther's birthday, the synagogues are burning in Germany." The German people, he urged, ought to heed these words "of the greatest antisemite of his time, the warner of his people against the Jews."</t>
  </si>
  <si>
    <t>for the King</t>
  </si>
  <si>
    <t>Which neighborhood lies west of the 41 freeway?</t>
  </si>
  <si>
    <t>What is a derogatory term for the Christian academies that arose in the wake of school desegregation?</t>
  </si>
  <si>
    <t>What collection was transferred to the museum when the new architectural history gallery opened?</t>
  </si>
  <si>
    <t>How much of the IPCC attendees are government representatives?</t>
  </si>
  <si>
    <t>internal strife</t>
  </si>
  <si>
    <t>Did the plague spread in Scandinavia or Germany first?</t>
  </si>
  <si>
    <t>endowments</t>
  </si>
  <si>
    <t>In what century did Mayow and Boyle perform their experiments?</t>
  </si>
  <si>
    <t>On what theorem is the formula that frequently generates the number 2 and all other primes precisely once based on?</t>
  </si>
  <si>
    <t>cut off the French frontier forts</t>
  </si>
  <si>
    <t>Upper Rhine</t>
  </si>
  <si>
    <t>Was the Skylab assembled on Earth's surface or in space?</t>
  </si>
  <si>
    <t>Which countries use the green Greek cross as a symbol of pharmacy?</t>
  </si>
  <si>
    <t>Luther's education</t>
  </si>
  <si>
    <t>According to agreement between Iroquois and British, where was a strong house to be built?</t>
  </si>
  <si>
    <t>General Hospital</t>
  </si>
  <si>
    <t>the sex offenders register</t>
  </si>
  <si>
    <t>What caused Luther to write hymns?</t>
  </si>
  <si>
    <t>What U.S. entity said that corporal punishment was Constitutional?</t>
  </si>
  <si>
    <t>in his mind</t>
  </si>
  <si>
    <t>What memorial was built years after Genghis Khan's death and burial?</t>
  </si>
  <si>
    <t>weak labor movements</t>
  </si>
  <si>
    <t>What role does John Elway currently have in the Broncos franchise?</t>
  </si>
  <si>
    <t>The Sunday Service of the Methodists in North America was a revised version of what book?</t>
  </si>
  <si>
    <t>betray a man's presence in the household</t>
  </si>
  <si>
    <t>Ten</t>
  </si>
  <si>
    <t>The Book of Discipline</t>
  </si>
  <si>
    <t>Where was the burial site used for testing located?</t>
  </si>
  <si>
    <t>What does less education lead to when working?</t>
  </si>
  <si>
    <t>rapid apoptosis</t>
  </si>
  <si>
    <t>11,700 years ago</t>
  </si>
  <si>
    <t>What does it mean for a knot to be considered indecomposable?</t>
  </si>
  <si>
    <t>Oxygen exists in the atmosphere by way of what?</t>
  </si>
  <si>
    <t>international footballers</t>
  </si>
  <si>
    <t>Where can Tesla's theories as to what caused the skin damage be found?</t>
  </si>
  <si>
    <t>The Literary and Philosophical Society of Newcastle upon Tyne</t>
  </si>
  <si>
    <t>How long is the term of a Judicial Council member?</t>
  </si>
  <si>
    <t>Who were the two lay preachers that Wesley ordained as presbyters?</t>
  </si>
  <si>
    <t>St. Elizabeth's flood</t>
  </si>
  <si>
    <t>What types of responsibilities might a pharmacy technician have?</t>
  </si>
  <si>
    <t>Almost all ctenophores are predators</t>
  </si>
  <si>
    <t>What is the name of San Francisco's stadium when looked at as a possibility for Super Bowl 50?</t>
  </si>
  <si>
    <t>up to 3 pence in the pound</t>
  </si>
  <si>
    <t>1950s</t>
  </si>
  <si>
    <t>A wide selection of serials are available from BBC Video on DVD, on sale in the United Kingdom, Australia, Canada and the United States. Every fully extant serial has been released on VHS, and BBC Worldwide continues to regularly release serials on DVD. The 2005 series is also available in its entirety on UMD for the PlayStation Portable. Eight original series serials have been released on Laserdisc and many have also been released on Betamax tape and Video 2000. One episode of Doctor Who (The Infinite Quest) was released on VCD. Only the series from 2009 onwards are available on Blu-ray, except for the 1970 story Spearhead from Space, released in July 2013. Many early releases have been re-released as special editions, with more bonus features.</t>
  </si>
  <si>
    <t>What needs to be made to ensure poorer members of society can participate in economic growth?</t>
  </si>
  <si>
    <t>adjacency matrices</t>
  </si>
  <si>
    <t>What is the Yuan dynasty's official name?</t>
  </si>
  <si>
    <t>Due to its central location</t>
  </si>
  <si>
    <t>What authority enforced the ban on the 95 Theses?</t>
  </si>
  <si>
    <t>How many weight rooms are in the Malkin Athletic Center</t>
  </si>
  <si>
    <t>What are two examples of different types of reduction?</t>
  </si>
  <si>
    <t>the Red Turban rebels</t>
  </si>
  <si>
    <t>What is the group called that does not agree with government at all?</t>
  </si>
  <si>
    <t>spacecraft to be used as a "lifeboat"</t>
  </si>
  <si>
    <t>Economist Intelligence Unit</t>
  </si>
  <si>
    <t>the University Athletic Association</t>
  </si>
  <si>
    <t>In what decades was Dudley Simpson most active in contributing to Doctor Who?</t>
  </si>
  <si>
    <t>300 m3/s (11,000 cu ft/s)</t>
  </si>
  <si>
    <t>When finally Edward the Confessor returned from his father's refuge in 1041, at the invitation of his half-brother Harthacnut, he brought with him a Norman-educated mind. He also brought many Norman counsellors and fighters, some of whom established an English cavalry force. This concept never really took root, but it is a typical example of the attitudes of Edward. He appointed Robert of Jumièges archbishop of Canterbury and made Ralph the Timid earl of Hereford. He invited his brother-in-law Eustace II, Count of Boulogne to his court in 1051, an event which resulted in the greatest of early conflicts between Saxon and Norman and ultimately resulted in the exile of Earl Godwin of Wessex.</t>
  </si>
  <si>
    <t>lines or a punishment essay</t>
  </si>
  <si>
    <t>with or without intermediate forwarding nodes</t>
  </si>
  <si>
    <t>4-week period</t>
  </si>
  <si>
    <t>mechanical ventilators</t>
  </si>
  <si>
    <t>economic activity</t>
  </si>
  <si>
    <t>What commission was censured in 1999, and paved the way for Commissioners to abuse their power?</t>
  </si>
  <si>
    <t>Labor</t>
  </si>
  <si>
    <t>revolution</t>
  </si>
  <si>
    <t>Type I</t>
  </si>
  <si>
    <t>What kind of field is necessary to produce a magnet effect in oxygen molecules?</t>
  </si>
  <si>
    <t>melts</t>
  </si>
  <si>
    <t>The United Methodist Church</t>
  </si>
  <si>
    <t>What award was given to Corliss?</t>
  </si>
  <si>
    <t>does not carry out research nor does it monitor climate related data</t>
  </si>
  <si>
    <t>What planet seemed to buck Newton's gravitational laws?</t>
  </si>
  <si>
    <t>What was the average cost of a 30-second commercial?</t>
  </si>
  <si>
    <t>a single animal can produce both eggs and sperm</t>
  </si>
  <si>
    <t>likelihood of repeating her illegal actions</t>
  </si>
  <si>
    <t>When were the public housing developments built in the neighborhood?</t>
  </si>
  <si>
    <t>the General Conference</t>
  </si>
  <si>
    <t>The success of any pathogen depends on its ability to elude host immune responses. Therefore, pathogens evolved several methods that allow them to successfully infect a host, while evading detection or destruction by the immune system. Bacteria often overcome physical barriers by secreting enzymes that digest the barrier, for example, by using a type II secretion system. Alternatively, using a type III secretion system, they may insert a hollow tube into the host cell, providing a direct route for proteins to move from the pathogen to the host. These proteins are often used to shut down host defenses.</t>
  </si>
  <si>
    <t>incorrectly</t>
  </si>
  <si>
    <t>Search the Collections,</t>
  </si>
  <si>
    <t>it consumes ATP and oxygen, releases CO2, and produces no sugar</t>
  </si>
  <si>
    <t>US</t>
  </si>
  <si>
    <t>through increasing functionings</t>
  </si>
  <si>
    <t>When did the Plos Pathogens paper come out?</t>
  </si>
  <si>
    <t>no indication</t>
  </si>
  <si>
    <t>science</t>
  </si>
  <si>
    <t>water, coal, and hydrocarbon extraction</t>
  </si>
  <si>
    <t>The Parish Church of St Andrew</t>
  </si>
  <si>
    <t>What was the date of the very first episode of Doctor Who?</t>
  </si>
  <si>
    <t>a computational problem</t>
  </si>
  <si>
    <t>Co-teaching</t>
  </si>
  <si>
    <t>human papillomavirus</t>
  </si>
  <si>
    <t>When did Temur rule?</t>
  </si>
  <si>
    <t>they were nomads</t>
  </si>
  <si>
    <t>"apostate" leaders of Muslim states,</t>
  </si>
  <si>
    <t>increase the chloroplast's surface area for cross-membrane transport between its stroma and the cell cytoplasm</t>
  </si>
  <si>
    <t>What is the second largest contrubtor to Kenyas GDP?</t>
  </si>
  <si>
    <t>What is the bad air theory officially known as?</t>
  </si>
  <si>
    <t>five phases</t>
  </si>
  <si>
    <t>divide</t>
  </si>
  <si>
    <t>orthogonal components</t>
  </si>
  <si>
    <t>many important problems can be shown to have more efficient solutions</t>
  </si>
  <si>
    <t>Continual motion</t>
  </si>
  <si>
    <t>was a disaster</t>
  </si>
  <si>
    <t>October 19, 2005</t>
  </si>
  <si>
    <t>accessory pigments that override the chlorophylls' green colors</t>
  </si>
  <si>
    <t>What is an important catalyst of economic growth?</t>
  </si>
  <si>
    <t>eighteenth century</t>
  </si>
  <si>
    <t>the Bayeux Tapestry</t>
  </si>
  <si>
    <t>What does AFC stand for?</t>
  </si>
  <si>
    <t>Who does a gender pay gap tend to favor?</t>
  </si>
  <si>
    <t>intracellular pathogenesis</t>
  </si>
  <si>
    <t>the Mi'kmaq and the Abenaki</t>
  </si>
  <si>
    <t>What can be seen between hadrons?</t>
  </si>
  <si>
    <t>God's wrath</t>
  </si>
  <si>
    <t>the packets may be delivered according to a multiple access scheme</t>
  </si>
  <si>
    <t>Secular Arab nationalism was blamed for both the defeat of Arab troops as well as what type of stagnation?</t>
  </si>
  <si>
    <t>all age groups</t>
  </si>
  <si>
    <t>vBNS installed one of the first ever production OC-48c (2.5 Gbit/s) IP links in February 1999 and went on to upgrade the entire backbone to OC-48c</t>
  </si>
  <si>
    <t>How can the deposition of compliment kill invader cells directly?</t>
  </si>
  <si>
    <t>extra costs</t>
  </si>
  <si>
    <t>What do MSPs who are not in the chamber when the division bell rings return to do?</t>
  </si>
  <si>
    <t>the public</t>
  </si>
  <si>
    <t>George, Margrave of Brandenburg-Ansbach</t>
  </si>
  <si>
    <t>In order to be considered in the top percentile, a person would need to amass how much money each year?</t>
  </si>
  <si>
    <t>negative long-term</t>
  </si>
  <si>
    <t>What is the application of prime numbers used in information technology which utilizes the fact that factoring very large prime numbers is very challenging?</t>
  </si>
  <si>
    <t>Brazil</t>
  </si>
  <si>
    <t>When did BSkyB discontinue the Sky+ Box?</t>
  </si>
  <si>
    <t>Upon what chemical characteristic is oxygen's solubility dependent?</t>
  </si>
  <si>
    <t>eliminate the position of Prime Minister and simultaneously reduce the powers of the President</t>
  </si>
  <si>
    <t>Is a problem instance typically characterized as abstract or concrete?</t>
  </si>
  <si>
    <t>Groton School</t>
  </si>
  <si>
    <t>2011 and 2012</t>
  </si>
  <si>
    <t>became the prototype for confederation during the War of Independence</t>
  </si>
  <si>
    <t>notorious intransigence</t>
  </si>
  <si>
    <t>The Late Late Show with James Corden</t>
  </si>
  <si>
    <t>The Super Bowl 50 Host Committee has vowed to be "the most giving Super Bowl ever", and will dedicate 25 percent of all money it raises for philanthropic causes in the Bay Area. The committee created the 50 fund as its philanthropic initiative and focuses on providing grants to aid with youth development, community investment and sustainable environments.</t>
  </si>
  <si>
    <t>There is no known case</t>
  </si>
  <si>
    <t>When did Europe slowly begin to warm up from the last Ice Age?</t>
  </si>
  <si>
    <t>How many nations are within the Amazon Basin?</t>
  </si>
  <si>
    <t>The Tyneside flat</t>
  </si>
  <si>
    <t>inequality</t>
  </si>
  <si>
    <t>American Revolution</t>
  </si>
  <si>
    <t>The modern trend in design is toward integration of what?</t>
  </si>
  <si>
    <t>they can take shelter behind each other</t>
  </si>
  <si>
    <t>How many UK viewers watched the Doctor Who film?</t>
  </si>
  <si>
    <t>an alternating current system to power the city's streetcars</t>
  </si>
  <si>
    <t>Where does HAMAS want to establish an Islamic state?</t>
  </si>
  <si>
    <t>17th century</t>
  </si>
  <si>
    <t>some debate that there is a correlation between capitalism, imperialism, and what?</t>
  </si>
  <si>
    <t>hymn-writer</t>
  </si>
  <si>
    <t>his writings and comments</t>
  </si>
  <si>
    <t>What color was used to emphasize the 50th anniversary of the Super Bowl?</t>
  </si>
  <si>
    <t>win an acquittal and avoid imprisonment or a fine</t>
  </si>
  <si>
    <t>The V&amp;A covers 12.5 acres (51,000 m2) and 145 galleries. Its collection spans 5,000 years of art, from ancient times to the present day, from the cultures of Europe, North America, Asia and North Africa. The holdings of ceramics, glass, textiles, costumes, silver, ironwork, jewellery, furniture, medieval objects, sculpture, prints and printmaking, drawings and photographs are among the largest and most comprehensive in the world. The museum owns the world's largest collection of post-classical sculpture, with the holdings of Italian Renaissance items being the largest outside Italy. The departments of Asia include art from South Asia, China, Japan, Korea and the Islamic world. The East Asian collections are among the best in Europe, with particular strengths in ceramics and metalwork, while the Islamic collection is amongst the largest in the Western world. Overall, it is one of the largest museums in the world.</t>
  </si>
  <si>
    <t>the devolved competencies</t>
  </si>
  <si>
    <t>Luther was the most widely read author of his generation, and within Germany he acquired the status of a prophet. According to the prevailing view among historians, his anti-Jewish rhetoric contributed significantly to the development of antisemitism in Germany, and in the 1930s and 1940s provided an "ideal underpinning" for the Nazis' attacks on Jews. Reinhold Lewin writes that anybody who "wrote against the Jews for whatever reason believed he had the right to justify himself by triumphantly referring to Luther." According to Michael, just about every anti-Jewish book printed in the Third Reich contained references to and quotations from Luther. Heinrich Himmler wrote admiringly of his writings and sermons on the Jews in 1940. The city of Nuremberg presented a first edition of On the Jews and their Lies to Julius Streicher, editor of the Nazi newspaper Der Stürmer, on his birthday in 1937; the newspaper described it as the most radically anti-Semitic tract ever published. It was publicly exhibited in a glass case at the Nuremberg rallies and quoted in a 54-page explanation of the Aryan Law by Dr. E.H. Schulz and Dr. R. Frercks.</t>
  </si>
  <si>
    <t>What art forms did Luther use to connect his hymns?</t>
  </si>
  <si>
    <t>Han Chinese</t>
  </si>
  <si>
    <t>How did some suspect that Polo learned about China instead of by actually visiting it?</t>
  </si>
  <si>
    <t>By far the most famous work of Norman art is the Bayeux Tapestry, which is not a tapestry but a work of embroidery. It was commissioned by Odo, the Bishop of Bayeux and first Earl of Kent, employing natives from Kent who were learned in the Nordic traditions imported in the previous half century by the Danish Vikings.</t>
  </si>
  <si>
    <t>Sinclair Broadcast Group</t>
  </si>
  <si>
    <t>six to nine percent</t>
  </si>
  <si>
    <t>Why did the exiled Polish government in London order the underground Home Army to seize control of Warsaw prior to the arrival of the Red Army?</t>
  </si>
  <si>
    <t>The Grainger Market replaced an earlier market originally built in 1808 called the Butcher Market. The Grainger Market itself, was opened in 1835 and was Newcastle's first indoor market. At the time of its opening in 1835 it was said to be one of the largest and most beautiful markets in Europe. The opening was celebrated with a grand dinner attended by 2000 guests, and the Laing Art Gallery has a painting of this event. With the exception of the timber roof which was destroyed by a fire in 1901 and replaced by latticed-steel arches the Market is largely in its original condition. The Grainger Market architecture, like most in Grainger Town, which are either grade I or II listed, was listed grade I in 1954 by English Heritage.</t>
  </si>
  <si>
    <t>the Port of Los Angeles</t>
  </si>
  <si>
    <t>What type of cells engulf or eat pathogens and foreign particles?</t>
  </si>
  <si>
    <t>in collenchyma tissue</t>
  </si>
  <si>
    <t>How many teams has Manning played for that reached the Super Bowl, while he was on their team?</t>
  </si>
  <si>
    <t>What generally does not allow citizens to sue other citizens?</t>
  </si>
  <si>
    <t>consciously determined to be reborn</t>
  </si>
  <si>
    <t>the project coordinator</t>
  </si>
  <si>
    <t>algorithms have been written</t>
  </si>
  <si>
    <t>the southeast part of Khwarzemia</t>
  </si>
  <si>
    <t>caused lasting damage</t>
  </si>
  <si>
    <t>is to switch suddenly to a spirit of subservience</t>
  </si>
  <si>
    <t>When did building activity occur on St. Kazimierz Church?</t>
  </si>
  <si>
    <t>What did the  fossils found in the Burgess Shale lack?</t>
  </si>
  <si>
    <t>What slogan accompanied the 40th anniversary logo for ABC?</t>
  </si>
  <si>
    <t>the 20th century</t>
  </si>
  <si>
    <t>western</t>
  </si>
  <si>
    <t>demographics and economic ties</t>
  </si>
  <si>
    <t>During what time period did income inequality decrease in the United States?</t>
  </si>
  <si>
    <t>In May 2002, where would you go to address the Parliament?</t>
  </si>
  <si>
    <t>plan for an invasion of Western Europe</t>
  </si>
  <si>
    <t>What does the Urban Education Institute help run?</t>
  </si>
  <si>
    <t>What was the name of the time the Upper Rhine form a border between France and Germany?</t>
  </si>
  <si>
    <t>Rudyard Kipling was an influential spokesman for what?</t>
  </si>
  <si>
    <t>191.766 billion PLN</t>
  </si>
  <si>
    <t>What is an example of a problem to which effective algorithms have provided a solution in spite of the intractability associated with the breadth of sizes?</t>
  </si>
  <si>
    <t>somewhere in Mongolia at an unknown location</t>
  </si>
  <si>
    <t>What kind of programs can be credited for ABC's success in the late 1950s?</t>
  </si>
  <si>
    <t>When was the prime number theorem proven?</t>
  </si>
  <si>
    <t>The further decline of Byzantine state-of-affairs paved the road to a third attack in 1185, when a large Norman army invaded Dyrrachium, owing to the betrayal of high Byzantine officials. Some time later, Dyrrachium—one of the most important naval bases of the Adriatic—fell again to Byzantine hands.</t>
  </si>
  <si>
    <t>Economist</t>
  </si>
  <si>
    <t>a free state</t>
  </si>
  <si>
    <t>the square root of n</t>
  </si>
  <si>
    <t>What kind of audience share did MNF allow ABC to attain according to Goldenson?</t>
  </si>
  <si>
    <t>Inherited wealth</t>
  </si>
  <si>
    <t>What American actor is also a university graduate?</t>
  </si>
  <si>
    <t>Abercrombie was recalled and replaced by Jeffery Amherst,</t>
  </si>
  <si>
    <t>In another incident, around 1177, he was captured in a raid and held prisoner by his father's former allies, the Tayichi'ud. The Tayichi'ud enslaved Temüjin (reportedly with a cangue, a sort of portable stocks), but with the help of a sympathetic guard, the father of Chilaun (who later became a general of Genghis Khan), he was able to escape from the ger (yurt) in the middle of the night by hiding in a river crevice.[citation needed] It was around this time that Jelme and Bo'orchu, two of Genghis Khan's future generals, joined forces with him. Temüjin's reputation also became widespread after his escape from the Tayichi'ud.</t>
  </si>
  <si>
    <t>student-teacher relationships</t>
  </si>
  <si>
    <t>organic composition of capital</t>
  </si>
  <si>
    <t>What came into force after the new constitution was herald?</t>
  </si>
  <si>
    <t>the world's economy</t>
  </si>
  <si>
    <t>Up until 1990, Saudi Arabia played an important role in restraining what groups?</t>
  </si>
  <si>
    <t>What is Tesla's home country?</t>
  </si>
  <si>
    <t>The third law</t>
  </si>
  <si>
    <t>What sin were the leaders the extremists attacked guilty of?</t>
  </si>
  <si>
    <t>Thursday</t>
  </si>
  <si>
    <t>a lower level of economic utility in society</t>
  </si>
  <si>
    <t>a lack of remorse</t>
  </si>
  <si>
    <t>The Education Service Contracting scheme of the government provides financial assistance for tuition and other school fees of students turned away from public high schools because of enrollment overflows. The Tuition Fee Supplement is geared to students enrolled in priority courses in post-secondary and non-degree programmes, including vocational and technical courses. The Private Education Student Financial Assistance is made available to underprivileged, but deserving high school graduates, who wish to pursue college/technical education in private colleges and universities.</t>
  </si>
  <si>
    <t>the primary endosymbiont</t>
  </si>
  <si>
    <t>More in the present prevalence of civil disobedience has turned and said to be?</t>
  </si>
  <si>
    <t>What percentage of the vote for a Scottish Assembly in favor of it?</t>
  </si>
  <si>
    <t>Michael P. Millardi</t>
  </si>
  <si>
    <t>What motivation is opportunity-based entrepreneurship driven by?</t>
  </si>
  <si>
    <t>last 7000 years</t>
  </si>
  <si>
    <t>marginal</t>
  </si>
  <si>
    <t>bacteriophage T4.</t>
  </si>
  <si>
    <t>How did Celeron handle business on trip?</t>
  </si>
  <si>
    <t>laws</t>
  </si>
  <si>
    <t>Under the Mongols</t>
  </si>
  <si>
    <t>What concept explains why objects continue in constant motion?</t>
  </si>
  <si>
    <t>electrified</t>
  </si>
  <si>
    <t>Undergraduate admission to Harvard is characterized by the Carnegie Foundation as "more selective, lower transfer-in". Harvard College accepted 5.3% of applicants for the class of 2019, a record low and the second lowest acceptance rate among all national universities. Harvard College ended its early admissions program in 2007 as the program was believed to disadvantage low-income and under-represented minority applicants applying to selective universities, yet for the class of 2016 an Early Action program was reintroduced.</t>
  </si>
  <si>
    <t>What is the most common cause of injury on site?</t>
  </si>
  <si>
    <t>What was the Soviet Union trying to suppress with its army?</t>
  </si>
  <si>
    <t>encoding</t>
  </si>
  <si>
    <t>What states that United Methodist theology is at once "catholic, evangelical and reformed?"</t>
  </si>
  <si>
    <t>Genghis Khan is regarded as one of the prominent leaders in Mongolia's history. He is responsible for the emergence of the Mongols as a political and ethnic identity because there was no unified identity between the tribes that had cultural similarity. He reinforced many Mongol traditions and provided stability and unity during a time of almost endemic warfare between tribes. He is also given credit for the introduction of the traditional Mongolian script and the creation of the Ikh Zasag (Great Administration), the first written Mongolian law. "Ikh Zasag law adopted during Genghis Khan’s time in Mongolia had points to punish illegal matters related to corruption and bribery very heavily," Mongolian President Tsakhiagiin Elbegdorj noted. President Elbegdorj sees Genghis Khan as a leader from whom to learn for anti-corruption efforts as Genghis Khan sought equal protection under the law for all citizens regardless of status or wealth. "Chinggis (Genghis Khan)...was a man who deeply realized that the justice begins and consolidates with the equality of law, and not with the distinctions between people. He was a man who knew that the good laws and rules lived longer than fancy palaces," Elbegdorj said in his speech on the 850th anniversary of Chinggis Khaan's birth. In summary, Mongolians see him as the fundamental figure in the founding of the Mongol Empire and therefore the basis for Mongolia as a country.</t>
  </si>
  <si>
    <t>the Israelis</t>
  </si>
  <si>
    <t>The capture of Warũhiũ Itote (aka General China) on 15 January 1954 and the subsequent interrogation led to a better understanding of the Mau Mau command structure. Operation Anvil opened on 24 April 1954, after weeks of planning by the army with the approval of the War Council. The operation effectively placed Nairobi under military siege, and the occupants were screened and the Mau Mau supporters moved to detention camps. The Home Guard formed the core of the government's strategy as it was composed of loyalist Africans, not foreign forces like the British Army and King's African Rifles. By the end of the emergency, the Home Guard had killed 4,686 Mau Mau, amounting to 42% of the total insurgents. The capture of Dedan Kimathi on 21 October 1956 in Nyeri signified the ultimate defeat of the Mau Mau and essentially ended the military offensive. During this period, substantial governmental changes to land tenure occurred. The most important of these was the Swynnerton Plan, which was used to both reward loyalists and punish Mau Mau.</t>
  </si>
  <si>
    <t>the formation of starch-storing amyloplasts</t>
  </si>
  <si>
    <t>a declining state of mind</t>
  </si>
  <si>
    <t>One computer model of future climate change caused by greenhouse gas emissions shows that the Amazon rainforest could become unsustainable under conditions of severely reduced rainfall and increased temperatures, leading to an almost complete loss of rainforest cover in the basin by 2100. However, simulations of Amazon basin climate change across many different models are not consistent in their estimation of any rainfall response, ranging from weak increases to strong decreases. The result indicates that the rainforest could be threatened though the 21st century by climate change in addition to deforestation.</t>
  </si>
  <si>
    <t>On 17 May 1899, Tesla moved to Colorado Springs, where he would have room for his high-voltage, high-frequency experiments; his lab was located near Foote Ave. and Kiowa St. He chose this location because the polyphase alternating current power distribution system had been introduced there and he had associates who were willing to give him all the power he needed without charging for it. Upon his arrival, he told reporters that he was conducting wireless telegraphy experiments, transmitting signals from Pikes Peak to Paris.[citation needed] The 1978 book Colorado Springs Notes, 1899–1900 contains descriptions of Tesla's experiments. On 15 June 1899, Tesla performed his first experiments at his Colorado Springs lab; he recorded his initial spark length at five inches long, but very thick and noisy.</t>
  </si>
  <si>
    <t>What is the process of adding structure to real property or construction of buildings?</t>
  </si>
  <si>
    <t>that grace of God which sustains the believers in the journey toward Christian Perfection</t>
  </si>
  <si>
    <t>The most widely accepted estimate for the Middle East, including Iraq, Iran and Syria, during this time, is for a death rate of about a third. The Black Death killed about 40% of Egypt's population. Half of Paris's population of 100,000 people died. In Italy, the population of Florence was reduced from 110–120 thousand inhabitants in 1338 down to 50 thousand in 1351. At least 60% of the population of Hamburg and Bremen perished, and a similar percentage of Londoners may have died from the disease as well. Interestingly while contemporary reports account of mass burial pits being created in response to the large numbers of dead, recent scientific investigations of a burial pit in Central London found well-preserved individuals to be buried in isolated, evenly spaced graves, suggesting at least some pre-planning and Christian burials at this time. Before 1350, there were about 170,000 settlements in Germany, and this was reduced by nearly 40,000 by 1450. In 1348, the plague spread so rapidly that before any physicians or government authorities had time to reflect upon its origins, about a third of the European population had already perished. In crowded cities, it was not uncommon for as much as 50% of the population to die. The disease bypassed some areas, and the most isolated areas were less vulnerable to contagion. Monks and priests were especially hard hit since they cared for victims of the Black Death.</t>
  </si>
  <si>
    <t>On 8 February 2007, BSkyB announced its intention to replace its three free-to-air digital terrestrial channels with four subscription channels. It was proposed that these channels would offer a range of content from the BSkyB portfolio including sport (including English Premier League Football), films, entertainment and news. The announcement came a day after Setanta Sports confirmed that it would launch in March as a subscription service on the digital terrestrial platform, and on the same day that NTL's services re-branded as Virgin Media. However, industry sources believe BSkyB will be forced to shelve plans to withdraw its channels from Freeview and replace them with subscription channels, due to possible lost advertising revenue.</t>
  </si>
  <si>
    <t>What did Distributed Adaptive Message Block Switching do</t>
  </si>
  <si>
    <t>On 18 November 2015, Sky announced Sky Q, a range of products and services to be available in 2016. The Sky Q range consists of three set top boxes (Sky Q, Sky Q Silver and Sky Q Mini), a broadband router (Sky Q Hub) and mobile applications. The Sky Q set top boxes introduce a new user interface, Wi-Fi hotspot functionality, Power-line and Bluetooth connectivity and a new touch-sensitive remote control. The Sky Q Mini set top boxes connect to the Sky Q Silver set top boxes with a Wi-Fi or Power-line connection rather than receive their own satellite feeds. This allows all set top boxes in a household to share recordings and other media. The Sky Q Silver set top box is capable of receiving and displaying UHD broadcasts, which Sky will introduce later in 2016.</t>
  </si>
  <si>
    <t>idealism and philanthropy</t>
  </si>
  <si>
    <t>The annual NFL Experience</t>
  </si>
  <si>
    <t>catastrophism</t>
  </si>
  <si>
    <t>What led to the production of tea paraphernalia such as china and caddies during the Georgian period?</t>
  </si>
  <si>
    <t>French Louisiana</t>
  </si>
  <si>
    <t>four</t>
  </si>
  <si>
    <t>no way contributes</t>
  </si>
  <si>
    <t>Huguenots furnished two new regiments</t>
  </si>
  <si>
    <t>What is the average weight of the biomass per hectare in the Amazon?</t>
  </si>
  <si>
    <t>defection of a number of Kenyan athletes</t>
  </si>
  <si>
    <t>low-band VHF</t>
  </si>
  <si>
    <t>What impacts gender inequality in wages?</t>
  </si>
  <si>
    <t>The legendary religious zeal of the Normans was exercised in religious wars long before the First Crusade carved out a Norman principality in Antioch. They were major foreign participants in the Reconquista in Iberia. In 1018, Roger de Tosny travelled to the Iberian Peninsula to carve out a state for himself from Moorish lands, but failed. In 1064, during the War of Barbastro, William of Montreuil led the papal army and took a huge booty.</t>
  </si>
  <si>
    <t>an inauspicious typhoon</t>
  </si>
  <si>
    <t>independent</t>
  </si>
  <si>
    <t>tentilla-bearing tentacles</t>
  </si>
  <si>
    <t>What must a project adhere to?</t>
  </si>
  <si>
    <t>Private schools in Australia may be favoured for many reasons: prestige and the social status of the 'old school tie'; better quality physical infrastructure and more facilities (e.g. playing fields, swimming pools, etc.), higher-paid teachers; and/or the belief that private schools offer a higher quality of education. Some schools offer the removal of the purported distractions of co-education; the presence of boarding facilities; or stricter discipline based on their power of expulsion, a tool not readily available to government schools. Student uniforms for Australian private schools are generally stricter and more formal than in government schools - for example, a compulsory blazer. Private schools in Australia are always more expensive than their public counterparts.[citation needed]</t>
  </si>
  <si>
    <t>How much does 17.7% of the population live on a day?</t>
  </si>
  <si>
    <t>Caspian Sea to the Sea of Japan</t>
  </si>
  <si>
    <t>words spoken by Jesus</t>
  </si>
  <si>
    <t>catalytic</t>
  </si>
  <si>
    <t>a secretary</t>
  </si>
  <si>
    <t>scientific papers and independently documented results</t>
  </si>
  <si>
    <t>What did these flights test on the CM?</t>
  </si>
  <si>
    <t>Antibody-dependent hypersensitivity belongs to what class of hypersensitivity?</t>
  </si>
  <si>
    <t>sports</t>
  </si>
  <si>
    <t>it obscures the fact that Indians fought on both sides of the conflict</t>
  </si>
  <si>
    <t>markets</t>
  </si>
  <si>
    <t>minimality</t>
  </si>
  <si>
    <t>Southern California, often abbreviated SoCal, is a geographic and cultural region that generally comprises California's southernmost 10 counties. The region is traditionally described as "eight counties", based on demographics and economic ties: Imperial, Los Angeles, Orange, Riverside, San Bernardino, San Diego, Santa Barbara, and Ventura. The more extensive 10-county definition, including Kern and San Luis Obispo counties, is also used based on historical political divisions. Southern California is a major economic center for the state of California and the United States.</t>
  </si>
  <si>
    <t>relatively little work is required to drive the pump,</t>
  </si>
  <si>
    <t>Which is older the British Empire or the Ethiopian Empire?</t>
  </si>
  <si>
    <t>gravitational force</t>
  </si>
  <si>
    <t>helicosproidia</t>
  </si>
  <si>
    <t>the BBC</t>
  </si>
  <si>
    <t>Whenever he encountered British merchants or fur-traders, Céloron informed them of the French claims on the territory and told them to leave</t>
  </si>
  <si>
    <t>What story has little foundation in truth?</t>
  </si>
  <si>
    <t>Tech Coast</t>
  </si>
  <si>
    <t>pre-game and halftime coverage.</t>
  </si>
  <si>
    <t>Oxygen storage methods include high pressure oxygen tanks, cryogenics and chemical compounds. For reasons of economy, oxygen is often transported in bulk as a liquid in specially insulated tankers, since one liter of liquefied oxygen is equivalent to 840 liters of gaseous oxygen at atmospheric pressure and 20 °C (68 °F). Such tankers are used to refill bulk liquid oxygen storage containers, which stand outside hospitals and other institutions with a need for large volumes of pure oxygen gas. Liquid oxygen is passed through heat exchangers, which convert the cryogenic liquid into gas before it enters the building. Oxygen is also stored and shipped in smaller cylinders containing the compressed gas; a form that is useful in certain portable medical applications and oxy-fuel welding and cutting.</t>
  </si>
  <si>
    <t>upper bound</t>
  </si>
  <si>
    <t>Thomas Edison and Nikola Tesla</t>
  </si>
  <si>
    <t>The "European Council"</t>
  </si>
  <si>
    <t>Luther treated Jews in a like way as he treated what group?</t>
  </si>
  <si>
    <t>How many bodies of water makes up Lake Constance?</t>
  </si>
  <si>
    <t>tour of Thuringia</t>
  </si>
  <si>
    <t>From whom did Genghis Khan learn seige warfare?</t>
  </si>
  <si>
    <t>What injury did Manning suffer the summer before the season started?</t>
  </si>
  <si>
    <t>If a detention asks the student to write, what do they write?</t>
  </si>
  <si>
    <t>Who transported Tesla's ashes from the US.</t>
  </si>
  <si>
    <t>remove government oversight</t>
  </si>
  <si>
    <t>the world's oceans</t>
  </si>
  <si>
    <t>The economy of Victoria is highly diversified: service sectors including financial and property services, health, education, wholesale, retail, hospitality and manufacturing constitute the majority of employment. Victoria's total gross state product (GSP) is ranked second in Australia, although Victoria is ranked fourth in terms of GSP per capita because of its limited mining activity. Culturally, Melbourne is home to a number of museums, art galleries and theatres and is also described as the "sporting capital of Australia". The Melbourne Cricket Ground is the largest stadium in Australia, and the host of the 1956 Summer Olympics and the 2006 Commonwealth Games. The ground is also considered the "spiritual home" of Australian cricket and Australian rules football, and hosts the grand final of the Australian Football League (AFL) each year, usually drawing crowds of over 95,000 people. Victoria includes eight public universities, with the oldest, the University of Melbourne, having been founded in 1853.</t>
  </si>
  <si>
    <t>What did Luther tell monks and nuns about their vows?</t>
  </si>
  <si>
    <t>home schooling</t>
  </si>
  <si>
    <t>Southern California is divided culturally, politically, and economically into distinctive regions, each containing its own culture and atmosphere, anchored usually by a city with both national and sometimes global recognition, which are often the hub of economic activity for its respective region and being home to many tourist destinations. Each region is further divided into many culturally distinct areas but as a whole combine to create the southern California atmosphere.</t>
  </si>
  <si>
    <t>What comedy featuring stand up comedian Tim Allen debuted in 1991?</t>
  </si>
  <si>
    <t>200,000 Danish krone</t>
  </si>
  <si>
    <t>many of the Canadians, including their commanding officer, Joseph Coulon de Jumonville</t>
  </si>
  <si>
    <t>What impact does workers working harder have on productivity of a business?</t>
  </si>
  <si>
    <t>The main gallery was redesigned in 1994, the glass balustrade on the staircase and mezzanine are the work of Danny Lane, the gallery covering contemporary glass opened in 2004 and the sacred silver and stained-glass gallery in 2005. In this latter gallery stained glass is displayed alongside silverware starting in the 12th century and continuing to the present. Some of the most outstanding stained glass, dated 1243–48 comes from the Sainte-Chapelle, is displayed along with other examples in the new Medieval &amp; Renaissance galleries. The important 13th-century glass beaker known as the Luck of Edenhall is also displayed in these galleries. Examples of British stained glass are displayed in the British Galleries. One of the most spectacular items in the collection is the chandelier by Dale Chihuly in the rotunda at the Museum's main entrance.</t>
  </si>
  <si>
    <t>What were the national elections in 1991 canceled by?</t>
  </si>
  <si>
    <t>railroad</t>
  </si>
  <si>
    <t>3 million</t>
  </si>
  <si>
    <t>9 March 1508</t>
  </si>
  <si>
    <t>trespassing at a nuclear-missile installation</t>
  </si>
  <si>
    <t>environment in which they lived</t>
  </si>
  <si>
    <t>two points</t>
  </si>
  <si>
    <t>What has increased sediment and delta growth also produced in the Rhine?</t>
  </si>
  <si>
    <t>By what century did researchers see that they could liquefy air?</t>
  </si>
  <si>
    <t>Better Jacksonville Plan</t>
  </si>
  <si>
    <t>private confession and absolution</t>
  </si>
  <si>
    <t>standard of pastoral care and Christian education</t>
  </si>
  <si>
    <t>How did Chinese medicine spread?</t>
  </si>
  <si>
    <t>One of the most prominent Huguenot refugees in the Netherlands was Pierre Bayle. He started teaching in Rotterdam, where he finished writing and publishing his multi-volume masterpiece, Historical and Critical Dictionary. It became one of the 100 foundational texts of the US Library of Congress. Some Huguenot descendants in the Netherlands may be noted by French family names, although they typically use Dutch given names. Due to the Huguenots' early ties with the leadership of the Dutch Revolt and their own participation, some of the Dutch patriciate are of part-Huguenot descent. Some Huguenot families have kept alive various traditions, such as the celebration and feast of their patron Saint Nicolas, similar to the Dutch Sint Nicolaas (Sinterklaas) feast.</t>
  </si>
  <si>
    <t>prevent growth</t>
  </si>
  <si>
    <t>conversion, "accepting Jesus as your personal Lord and Savior," or being "born again</t>
  </si>
  <si>
    <t>What were high court proceedings being held about?</t>
  </si>
  <si>
    <t>What does Newcastle still contain many of?</t>
  </si>
  <si>
    <t>One of competing model for cpDNA replication asserts that most cpDNA is linear and participates in homologous recombination and replication structures similar to bacteriophage T4. It has been established that some plants have linear cpDNA, such as maize, and that more species still contain complex structures that scientists do not yet understand. When the original experiments on cpDNA were performed, scientists did notice linear structures; however, they attributed these linear forms to broken circles. If the branched and complex structures seen in cpDNA experiments are real and not artifacts of concatenated circular DNA or broken circles, then a D-loop mechanism of replication is insufficient to explain how those structures would replicate. At the same time, homologous recombination does not expand the multiple A --&gt; G gradients seen in plastomes. Because of the failure to explain the deamination gradient as well as the numerous plant species that have been shown to have circular cpDNA, the predominant theory continues to hold that most cpDNA is circular and most likely replicates via a D loop mechanism.</t>
  </si>
  <si>
    <t>What kind of people attend the IPCC meetings?</t>
  </si>
  <si>
    <t>What do unstable 6-carbon molecules become?</t>
  </si>
  <si>
    <t>FBI ordered the Alien Property Custodian to seize Tesla's belongings</t>
  </si>
  <si>
    <t>What percentage of oxygen is usually supplied by a medical mask?</t>
  </si>
  <si>
    <t>On what date did the Florida legislature decide against the plan to renovate the Miami stadium?</t>
  </si>
  <si>
    <t>Internet2 Network</t>
  </si>
  <si>
    <t>What plant cells have chloroplasts in them?</t>
  </si>
  <si>
    <t>What would a community member need to teach informally?</t>
  </si>
  <si>
    <t>Deacons serve a term of how many years as provisional deacons?</t>
  </si>
  <si>
    <t>Late Show with Stephen Colbert</t>
  </si>
  <si>
    <t>What areas did French recruit natives from?</t>
  </si>
  <si>
    <t>According to the wealth concentration theory, what advantage do the wealthy have in accumulating new wealth?</t>
  </si>
  <si>
    <t>In terms of housing stock, the authority is one of few authorities to see the proportion of detached homes rise in the 2010 Census (to 7.8%), in this instance this was coupled with a similar rise in flats and waterside apartments to 25.6%, and the proportion of converted or shared houses in 2011 renders this dwelling type within the highest of the five colour-coded brackets at 5.9%, and on a par with Oxford and Reading, greater than Manchester and Liverpool and below a handful of historic densely occupied, arguably overinflated markets in the local authorities: Harrogate, Cheltenham, Bath, inner London, Hastings, Brighton and Tunbridge Wells.</t>
  </si>
  <si>
    <t>fault-tolerant, efficient routing method</t>
  </si>
  <si>
    <t>bits of metal</t>
  </si>
  <si>
    <t>his protection</t>
  </si>
  <si>
    <t>Diatomic oxygen</t>
  </si>
  <si>
    <t>The Command Module (CM) was the conical crew cabin, designed to carry three astronauts from launch to lunar orbit and back to an Earth ocean landing. It was the only component of the Apollo spacecraft to survive without major configuration changes as the program evolved from the early Apollo study designs. Its exterior was covered with an ablative heat shield, and had its own reaction control system (RCS) engines to control its attitude and steer its atmospheric entry path. Parachutes were carried to slow its descent to splashdown. The module was 11.42 feet (3.48 m) tall, 12.83 feet (3.91 m) in diameter, and weighed approximately 12,250 pounds (5,560 kg).</t>
  </si>
  <si>
    <t>mathematical models of computation</t>
  </si>
  <si>
    <t>General Conference</t>
  </si>
  <si>
    <t>British colonists.</t>
  </si>
  <si>
    <t>Who published Tesla's writings?</t>
  </si>
  <si>
    <t>slowed the animal's metabolism</t>
  </si>
  <si>
    <t>What church is organized into conferences?</t>
  </si>
  <si>
    <t>sunlight</t>
  </si>
  <si>
    <t>How many lines run out of Downtown Los Angeles?</t>
  </si>
  <si>
    <t>London Exhibition</t>
  </si>
  <si>
    <t>the American Medical Association (AMA)</t>
  </si>
  <si>
    <t>the high risk of a conflict of interest and/or the avoidance of absolute powers</t>
  </si>
  <si>
    <t>Who sets the agenda for the EU's work?</t>
  </si>
  <si>
    <t>Who may introduce new laws or amendments to laws already on the books as a bill?</t>
  </si>
  <si>
    <t>King Sigimund's Column is an example of what kind of attraction in Warsaw?</t>
  </si>
  <si>
    <t>Deforestation</t>
  </si>
  <si>
    <t>The plague repeatedly returned to haunt Europe and the Mediterranean throughout the 14th to 17th centuries. According to Biraben, the plague was present somewhere in Europe in every year between 1346 and 1671. The Second Pandemic was particularly widespread in the following years: 1360–63; 1374; 1400; 1438–39; 1456–57; 1464–66; 1481–85; 1500–03; 1518–31; 1544–48; 1563–66; 1573–88; 1596–99; 1602–11; 1623–40; 1644–54; and 1664–67. Subsequent outbreaks, though severe, marked the retreat from most of Europe (18th century) and northern Africa (19th century). According to Geoffrey Parker, "France alone lost almost a million people to the plague in the epidemic of 1628–31."</t>
  </si>
  <si>
    <t>What river is larger than the Rhine?</t>
  </si>
  <si>
    <t>compound engines</t>
  </si>
  <si>
    <t>Kenya National Dialogue and Reconciliation</t>
  </si>
  <si>
    <t>southwestern France</t>
  </si>
  <si>
    <t>the University of California, Irvine</t>
  </si>
  <si>
    <t>flattened</t>
  </si>
  <si>
    <t>9.1 million</t>
  </si>
  <si>
    <t>death of a heretic</t>
  </si>
  <si>
    <t>The United Methodist Church upholds the sanctity of human life both of the child and the mother. As a result, the church is "reluctant to affirm abortion as an acceptable practice," and condemns the use of late-term or partial birth abortion except as a medical necessity. The denomination as a whole is committed to "assist[ing] the ministry of crisis pregnancy centers and pregnancy resource centers that compassionately help women find feasible alternatives to abortion." Still, the denomination is pro-choice and also "was a founding member of the Religious Coalition for Reproductive Choice...[and] 2008 General Conference [went] on record in support of the work of the Religious Coalition for Reproductive Choice".</t>
  </si>
  <si>
    <t>death and divine judgment,</t>
  </si>
  <si>
    <t>Peace of Westphalia</t>
  </si>
  <si>
    <t>secondary school teachers</t>
  </si>
  <si>
    <t>What feature normally allows the TARDIS to disguise itself?</t>
  </si>
  <si>
    <t>in less than quadratic time</t>
  </si>
  <si>
    <t>Ethics and Anti-Corruption Commission</t>
  </si>
  <si>
    <t>Edward Burne-Jones</t>
  </si>
  <si>
    <t>How do Mongolians sometime describe their relationship to Genghis Khan?</t>
  </si>
  <si>
    <t>a sanction for murder.</t>
  </si>
  <si>
    <t>Wesleyan theology</t>
  </si>
  <si>
    <t>color confinement</t>
  </si>
  <si>
    <t>To what place did he bring the injured pigeons to take care of them?</t>
  </si>
  <si>
    <t>old prescription books and antique drugs</t>
  </si>
  <si>
    <t>"entrenched" provisions</t>
  </si>
  <si>
    <t>The crew of Apollo 8 sent the first live televised pictures of the Earth and the Moon back to Earth, and read from the creation story in the Book of Genesis, on Christmas Eve, 1968. An estimated one-quarter of the population of the world saw—either live or delayed—the Christmas Eve transmission during the ninth orbit of the Moon. The mission and Christmas provided an inspiring end to 1968, which had been a troubled year for the US, marked by Vietnam War protests, race riots, and the assassinations of civil rights leader Martin Luther King, Jr., and Senator Robert F. Kennedy.</t>
  </si>
  <si>
    <t>Which material is the Becket Casket made from?</t>
  </si>
  <si>
    <t>Africa</t>
  </si>
  <si>
    <t>by staying with the same group of peers for all classes</t>
  </si>
  <si>
    <t>his arrest was not covered in any newspapers</t>
  </si>
  <si>
    <t>How did the BBC get audio versions of the lost episodes?</t>
  </si>
  <si>
    <t>less than a year</t>
  </si>
  <si>
    <t>symbiotic</t>
  </si>
  <si>
    <t>flammable cabin and space suit materials</t>
  </si>
  <si>
    <t>performance of three to five million viewers was seen as poor</t>
  </si>
  <si>
    <t>programmes</t>
  </si>
  <si>
    <t>What does the Ten Commandments ask of the Christians?</t>
  </si>
  <si>
    <t>hunting</t>
  </si>
  <si>
    <t>Where do nucleomorph genes transfer to?</t>
  </si>
  <si>
    <t>The chloroplasts of plant and algal cells can orient themselves to best suit the available light. In low-light conditions, they will spread out in a sheet—maximizing the surface area to absorb light. Under intense light, they will seek shelter by aligning in vertical columns along the plant cell's cell wall or turning sideways so that light strikes them edge-on. This reduces exposure and protects them from photooxidative damage. This ability to distribute chloroplasts so that they can take shelter behind each other or spread out may be the reason why land plants evolved to have many small chloroplasts instead of a few big ones. Chloroplast movement is considered one of the most closely regulated stimulus-response systems that can be found in plants. Mitochondria have also been observed to follow chloroplasts as they move.</t>
  </si>
  <si>
    <t>academic</t>
  </si>
  <si>
    <t>would be killed through overwork</t>
  </si>
  <si>
    <t>take evidence from witnesses, conduct inquiries and scrutinise legislation</t>
  </si>
  <si>
    <t>Ctenophores, cnidarians and what other group are labelled diploblastic?</t>
  </si>
  <si>
    <t xml:space="preserve">What did Davies call the System </t>
  </si>
  <si>
    <t>Theories on imperialism use which country as a model?</t>
  </si>
  <si>
    <t>Local Pastors are called by God, affirmed by the church, and appointed by a bishop to a ministry of Word, Sacrament, Order and Service within the church. The Local Pastor are given the authority to preach the Word of God, administer the sacraments of the church, to provide care and counseling, and to order the life of the church for ministry and mission, but are not ordained. When elders are not available to be appointed to a local church, either through shortage of personnel or financial hardship of a pastoral charge, the bishop may appoint a "local pastor" to serve the pastoral appointment. Local Pastors are often bi-vocational, living out their ministerial call in the local church and in their field of employment. Full-time and part-time licensed local pastors under appointment are clergy and hold membership in the annual conference and not in the local church. A Local Pastor's official title is 'Licensed Local Pastor' and is appointed as clergy to the local church where they preach, conduct divine worship and perform the regular duties of a pastor. The licensed local pastor has the authority of a pastor only within the context and during the time of the appointment and shall not extend beyond it. Local pastors are not required to have advanced degrees but are required to attend licensing school and attend and pass an approved five-year course of study at an approved United Methodist seminary or course of study school, successfully complete written and oral examinations, and appear before the District Committee on Ministry and the Conference Board of Ordained Ministry. They may continue towards Associate Membership allowing them to retire as clergy. They also may continue towards ordination if they complete their bachelor's degree, requirements of their particular Conference Board of Ordained Ministry, as well as an advanced course or study or prescribed seminary courses at an approved seminary. Upon retirement, local pastors return to their charge conference as lay members.</t>
  </si>
  <si>
    <t>Why would one want to give more punishment?</t>
  </si>
  <si>
    <t>What served as a justification for imposing imperialistic policies on certain peoples or regions?</t>
  </si>
  <si>
    <t>the green chloroplast lineage</t>
  </si>
  <si>
    <t>the laboratory</t>
  </si>
  <si>
    <t>18 million</t>
  </si>
  <si>
    <t>Why was the Dutch lawyer who moved to Belgium while advising a client in a social society case told he couldn't continue?</t>
  </si>
  <si>
    <t>electric motors</t>
  </si>
  <si>
    <t>the adaptive immune system</t>
  </si>
  <si>
    <t>What country did the Rhine continue to rise during the holocene?</t>
  </si>
  <si>
    <t>Independence Day: Resurgence</t>
  </si>
  <si>
    <t>mannerist architecture</t>
  </si>
  <si>
    <t>connect host computers (servers)at thousands of large companies, educational institutions, and government agencies</t>
  </si>
  <si>
    <t>In what compound is oxygen found in small amounts in the atmosphere?</t>
  </si>
  <si>
    <t>new and enlarged bridges, a shuttle service and/or a tram</t>
  </si>
  <si>
    <t>The amazon rainforest became a mostly inland forest around which global event?</t>
  </si>
  <si>
    <t>NASA also had to make funds available</t>
  </si>
  <si>
    <t>at elevated partial pressures</t>
  </si>
  <si>
    <t>Reactive oxygen species, such as superoxide ion (O−
2) and hydrogen peroxide (H
2O
2), are dangerous by-products of oxygen use in organisms. Parts of the immune system of higher organisms create peroxide, superoxide, and singlet oxygen to destroy invading microbes. Reactive oxygen species also play an important role in the hypersensitive response of plants against pathogen attack. Oxygen is toxic to obligately anaerobic organisms, which were the dominant form of early life on Earth until O
2 began to accumulate in the atmosphere about 2.5 billion years ago during the Great Oxygenation Event, about a billion years after the first appearance of these organisms.</t>
  </si>
  <si>
    <t>Polish and international artists</t>
  </si>
  <si>
    <t>the 2008–2010 specials</t>
  </si>
  <si>
    <t>1493–1500,</t>
  </si>
  <si>
    <t>An increase in imported cars</t>
  </si>
  <si>
    <t>What are the main threats facing the Amazon rainforest in the current century?</t>
  </si>
  <si>
    <t>relatively large protein complexes</t>
  </si>
  <si>
    <t>What can often be predicted beforehand?</t>
  </si>
  <si>
    <t>Many locals and tourists frequent the southern California coast for its popular beaches, and the desert city of Palm Springs is popular for its resort feel and nearby open spaces.</t>
  </si>
  <si>
    <t>Who do most jurisdictions say can give scheduled drugs to the public?</t>
  </si>
  <si>
    <t>What other series mentioned returned with a plot continuation?</t>
  </si>
  <si>
    <t>It has been claimed that the transmission of the first episode was delayed by ten minutes due to extended news coverage of the assassination of US President John F. Kennedy the previous day; whereas in fact it went out after a delay of eighty seconds. The BBC believed that many viewers had missed this introduction to a new series due to the coverage of the assassination, as well as a series of power blackouts across the country, and they broadcast it again on 30 November 1963, just before episode two.</t>
  </si>
  <si>
    <t>from 1294 to 1307</t>
  </si>
  <si>
    <t>suspected to be unequal</t>
  </si>
  <si>
    <t>planktonic prey</t>
  </si>
  <si>
    <t>1996 General Conference</t>
  </si>
  <si>
    <t>Traveling south on Interstate 5, the main gap to continued urbanization is Camp Pendleton. The cities and communities along Interstate 15 and Interstate 215 are so inter-related that Temecula and Murrieta have as much connection with the San Diego metropolitan area as they do with the Inland Empire. To the east, the United States Census Bureau considers the San Bernardino and Riverside County areas, Riverside-San Bernardino area as a separate metropolitan area from Los Angeles County. While many commute to L.A. and Orange Counties, there are some differences in development, as most of San Bernardino and Riverside Counties (the non-desert portions) were developed in the 1980s and 1990s. Newly developed exurbs formed in the Antelope Valley north of Los Angeles, the Victor Valley and the Coachella Valley with the Imperial Valley. Also, population growth was high in the Bakersfield-Kern County, Santa Maria and San Luis Obispo areas.</t>
  </si>
  <si>
    <t>not-for-profit United States computer networking consortium</t>
  </si>
  <si>
    <t>How is most plants' cpDNA arranged?</t>
  </si>
  <si>
    <t>6 feet 2 inches</t>
  </si>
  <si>
    <t>The region is home to about 2.5 million insect species, tens of thousands of plants, and some 2,000 birds and mammals. To date, at least 40,000 plant species, 2,200 fishes, 1,294 birds, 427 mammals, 428 amphibians, and 378 reptiles have been scientifically classified in the region. One in five of all the bird species in the world live in the rainforests of the Amazon, and one in five of the fish species live in Amazonian rivers and streams. Scientists have described between 96,660 and 128,843 invertebrate species in Brazil alone.</t>
  </si>
  <si>
    <t>As of 2012, quality private schools in the United States charged substantial tuition, close to $40,000 annually for day schools in New York City, and nearly $50,000 for boarding schools. However, tuition did not cover operating expenses, particularly at boarding schools. The leading schools such as the Groton School had substantial endowments running to hundreds of millions of dollars supplemented by fundraising drives. Boarding schools with a reputation for quality in the United States have a student body drawn from throughout the country, indeed the globe, and a list of applicants which far exceeds their capacity.</t>
  </si>
  <si>
    <t>ten times their own weight</t>
  </si>
  <si>
    <t>form business partnerships with physicians</t>
  </si>
  <si>
    <t>Where did Tesla teach in Gospic?</t>
  </si>
  <si>
    <t>very low tuition fees</t>
  </si>
  <si>
    <t>Well represented in the collection is Meissen porcelain, from the first factory in Europe to discover the Chinese method of making porcelain. Among the finest examples are the Meissen Vulture from 1731 and the Möllendorff Dinner Service, designed in 1762 by Frederick II the Great. Ceramics from the Manufacture nationale de Sèvres are extensive, especially from the 18th and 19th centuries. The collection of 18th-century British porcelain is the largest and finest in the world. Examples from every factory are represented, the collections of Chelsea porcelain and Worcester Porcelain being especially fine. All the major 19th-century British factories are also represented. A major boost to the collections was the Salting Bequest made in 1909, which enriched the museum's stock of Chinese and Japanese ceramics. This bequest forms part of the finest collection of East Asian pottery and porcelain in the world, including Kakiemon ware.</t>
  </si>
  <si>
    <t>What did electromagnetic theory  finally lead to?</t>
  </si>
  <si>
    <t>International Association of Methodist-related Schools, Colleges, and Universities</t>
  </si>
  <si>
    <t>four men attending Harvard College for every woman studying at Radcliffe</t>
  </si>
  <si>
    <t>In the United States especially, several high-profile cases such as Debra LaFave, Pamela Rogers, and Mary Kay Letourneau have caused increased scrutiny on teacher misconduct.</t>
  </si>
  <si>
    <t>strange odor</t>
  </si>
  <si>
    <t>What issue has been plaguing the civil disobedience movement.</t>
  </si>
  <si>
    <t>What was NewcastleGateshead voted in 2006?</t>
  </si>
  <si>
    <t>lithosphere</t>
  </si>
  <si>
    <t>What type of antenna was used for communication on the lunar flights?</t>
  </si>
  <si>
    <t>The centre-left Australian Labor Party (ALP), the centre-right Liberal Party of Australia, the rural-based National Party of Australia, and the environmentalist Australian Greens are Victoria's main political parties. Traditionally, Labor is strongest in Melbourne's working class western and northern suburbs, and the regional cities of Ballarat, Bendigo and Geelong. The Liberals' main support lies in Melbourne's more affluent eastern and outer suburbs, and some rural and regional centres. The Nationals are strongest in Victoria's North Western and Eastern rural regional areas. The Greens, who won their first lower house seats in 2014, are strongest in inner Melbourne.</t>
  </si>
  <si>
    <t>banned the growing of coffee, introduced a hut tax, and the landless were granted less and less land</t>
  </si>
  <si>
    <t>southern China withstood and fought to the last</t>
  </si>
  <si>
    <t>May 21, 2013</t>
  </si>
  <si>
    <t>divide to form new pyrenoids, or be produced "de novo"</t>
  </si>
  <si>
    <t>xenoliths</t>
  </si>
  <si>
    <t>"Bairn" and "hyem", meaning "child" and "home", respectively, are examples of Geordie words with origins in Scandinavia; barn and hjem are the corresponding modern Norwegian and Danish words. Some words used in the Geordie dialect are used elsewhere in the Northern United Kingdom. The words "bonny" (meaning "pretty"), "howay" ("come on"), "stot" ("bounce") and "hadaway" ("go away" or "you're kidding"), all appear to be used in Scots; "aye" ("yes") and "nowt" (IPA://naʊt/, rhymes with out,"nothing") are used elsewhere in Northern England. Many words, however, appear to be used exclusively in Newcastle and the surrounding area, such as "Canny" (a versatile word meaning "good", "nice" or "very"), "hacky" ("dirty"), "netty" ("toilet"), "hoy" ("throw", from the Dutch gooien, via West Frisian), "hockle" ("spit").</t>
  </si>
  <si>
    <t>What two other rulers had their graves hidden under a river?</t>
  </si>
  <si>
    <t>What was developed from Watt's measurements on a model steam engine?</t>
  </si>
  <si>
    <t>What is Kenya a founding member of?</t>
  </si>
  <si>
    <t>a roof extension</t>
  </si>
  <si>
    <t>The network was engineered and operated by MCI Telecommunications under a cooperative agreement with the NSF</t>
  </si>
  <si>
    <t>In what complexity class do complement problems of NP problems exist?</t>
  </si>
  <si>
    <t>Prime ideals are the points of algebro-geometric objects, via the notion of the spectrum of a ring. Arithmetic geometry also benefits from this notion, and many concepts exist in both geometry and number theory. For example, factorization or ramification of prime ideals when lifted to an extension field, a basic problem of algebraic number theory, bears some resemblance with ramification in geometry. Such ramification questions occur even in number-theoretic questions solely concerned with integers. For example, prime ideals in the ring of integers of quadratic number fields can be used in proving quadratic reciprocity, a statement that concerns the solvability of quadratic equations</t>
  </si>
  <si>
    <t>Religious Coalition for Reproductive Choice</t>
  </si>
  <si>
    <t>Whose theory did Tesla disagree with?</t>
  </si>
  <si>
    <t>Where is the mouth located on the pleuobrachia located?</t>
  </si>
  <si>
    <t>Woods Hole Research Center</t>
  </si>
  <si>
    <t>Which country is not badly hit by the embargo?</t>
  </si>
  <si>
    <t>What kind of allegations were brought after the 2007 election?</t>
  </si>
  <si>
    <t>In Sweden, pupils are free to choose a private school and the private school gets paid the same amount as municipal schools. Over 10% of Swedish pupils were enrolled in private schools in 2008. Sweden is internationally known for this innovative school voucher model that provides Swedish pupils with the opportunity to choose the school they prefer. For instance, the biggest school chain, Kunskapsskolan (“The Knowledge School”), offers 30 schools and a web-based environment, has 700 employees and teaches nearly 10,000 pupils. The Swedish system has been recommended to Barack Obama.</t>
  </si>
  <si>
    <t>What did Paul Rose say Luther added to German thought?</t>
  </si>
  <si>
    <t>two innermost lipid-bilayer membranes</t>
  </si>
  <si>
    <t>books and articles</t>
  </si>
  <si>
    <t>When did the Rhine become borders with Francia?</t>
  </si>
  <si>
    <t>How did Celeron handle meeting with Old Briton?</t>
  </si>
  <si>
    <t>7:00 to 9:00 a.m. weekdays</t>
  </si>
  <si>
    <t>the Parliament</t>
  </si>
  <si>
    <t>A resurgence came in the late 19th century, with the Scramble for Africa and major additions in Asia and the Middle East. The British spirit of imperialism was expressed by Joseph Chamberlain and Lord Rosebury, and implemented in Africa by Cecil Rhodes. The pseudo-sciences of Social Darwinism and theories of race formed an ideological underpinning during this time. Other influential spokesmen included Lord Cromer, Lord Curzon, General Kitchner, Lord Milner, and the writer Rudyard Kipling. The British Empire was the largest Empire that the world has ever seen both in terms of landmass and population. Its power, both military and economic, remained unmatched.</t>
  </si>
  <si>
    <t>shaping ideas about the free market</t>
  </si>
  <si>
    <t>In which case did the Court of Justice hold that requiring Italian lawyers to comply with maximum tariffs unless there was an agreement with a client was not a restriction?</t>
  </si>
  <si>
    <t>any great amount of it would undermine the law</t>
  </si>
  <si>
    <t>Which region began to grow and assert itself in the 2000s?</t>
  </si>
  <si>
    <t>joy</t>
  </si>
  <si>
    <t>What is the name of a Time Lord that Doctor Who has fought?</t>
  </si>
  <si>
    <t>infidels</t>
  </si>
  <si>
    <t>judged "wrong" by an individual conscience</t>
  </si>
  <si>
    <t>Who specifically does HT target to change the opinion of?</t>
  </si>
  <si>
    <t>When is the Members Debate held?</t>
  </si>
  <si>
    <t>"Wise up or die."</t>
  </si>
  <si>
    <t>railway locomotives</t>
  </si>
  <si>
    <t>public interest</t>
  </si>
  <si>
    <t>How many French people were lost to plague between 1628-31?</t>
  </si>
  <si>
    <t>Before the St. Elizabeth's flood (1421), the Meuse flowed just south of today's line Merwede-Oude Maas to the North Sea and formed an archipelago-like estuary with Waal and Lek. This system of numerous bays, estuary-like extended rivers, many islands and constant changes of the coastline, is hard to imagine today. From 1421 to 1904, the Meuse and Waal merged further upstream at Gorinchem to form Merwede. For flood protection reasons, the Meuse was separated from the Waal through a lock and diverted into a new outlet called "Bergse Maas", then Amer and then flows into the former bay Hollands Diep.</t>
  </si>
  <si>
    <t>Who ruled the duchy of Normandy</t>
  </si>
  <si>
    <t>the Charleston Orange district</t>
  </si>
  <si>
    <t>What is the second most abundant element?</t>
  </si>
  <si>
    <t>Sir William Henry Bragg and William Lawrence Bragg</t>
  </si>
  <si>
    <t>What geologic feature is composed of oxygen oxides?</t>
  </si>
  <si>
    <t>Knights Templar</t>
  </si>
  <si>
    <t>oxides and oxoacids</t>
  </si>
  <si>
    <t>a second Bachelor's Degree</t>
  </si>
  <si>
    <t>complicated definitions</t>
  </si>
  <si>
    <t>the South</t>
  </si>
  <si>
    <t>At this time where was Luther's focus centered?</t>
  </si>
  <si>
    <t>When were theories developed suggesting inequality may have some positive effect on economic development?</t>
  </si>
  <si>
    <t>What is Engineering News-Record?</t>
  </si>
  <si>
    <t>What cancer researchers were also apart of the university's faculty?</t>
  </si>
  <si>
    <t>Polish Academy of Sciences</t>
  </si>
  <si>
    <t>static discs)</t>
  </si>
  <si>
    <t>What was one of theories as to what caused Tesla's father's unspecified illness?</t>
  </si>
  <si>
    <t>environmental factors</t>
  </si>
  <si>
    <t>due to their higher oxygen content</t>
  </si>
  <si>
    <t>The Literary and Philosophical Society of Newcastle upon Tyne (popularly known as the 'Lit &amp; Phil') is the largest independent library outside London, housing more than 150,000 books. Its music library contains 8000 CDs and 10,000 LPs. The current Lit and Phil premises were built in 1825 and the building was designed by John and Benjamin Green. Operating since 1793 and founded as a ‘conversation club,’ its lecture theatre was the first public building to be lit by electric light, during a lecture by Joseph Swan on 20 October 1880.</t>
  </si>
  <si>
    <t>Who may not require that its teachers be certified?</t>
  </si>
  <si>
    <t>antisemitism</t>
  </si>
  <si>
    <t>nonviolent civil disobedience</t>
  </si>
  <si>
    <t>jump through the windings and destroy the insulation</t>
  </si>
  <si>
    <t>As opposed to broadcasts of primetime series, CBS broadcast special episodes of its late night talk shows as its lead-out programs for Super Bowl 50, beginning with a special episode of The Late Show with Stephen Colbert following the game. Following a break for late local programming, CBS also aired a special episode of The Late Late Show with James Corden.</t>
  </si>
  <si>
    <t>What led to protests and open discrediting of the ECK?</t>
  </si>
  <si>
    <t>Renmin University</t>
  </si>
  <si>
    <t>are prime for any natural number n. Here  represents the floor function, i.e., largest integer not greater than the number in question. The latter formula can be shown using Bertrand's postulate (proven first by Chebyshev), which states that there always exists at least one prime number p with n &lt; p &lt; 2n − 2, for any natural number n &gt; 3. However, computing A or μ requires the knowledge of infinitely many primes to begin with. Another formula is based on Wilson's theorem and generates the number 2 many times and all other primes exactly once.</t>
  </si>
  <si>
    <t>The earlier they surrendered to the Mongols, the higher they were placed</t>
  </si>
  <si>
    <t>chastity</t>
  </si>
  <si>
    <t>wheel series Warner Bros. Presents</t>
  </si>
  <si>
    <t>Austrian Polytechnic</t>
  </si>
  <si>
    <t>the mass of the CSM and LM</t>
  </si>
  <si>
    <t>What other entity was established at the same time as the European Convention on Human Rights?</t>
  </si>
  <si>
    <t>13th-century</t>
  </si>
  <si>
    <t>mitochondrial double membrane</t>
  </si>
  <si>
    <t>What part of the innate immune system identifies microbes and triggers immune response?</t>
  </si>
  <si>
    <t>Ps. 31:5</t>
  </si>
  <si>
    <t>What country did the Normans invade in 1169?</t>
  </si>
  <si>
    <t>the clinical pharmacy movement initially began inside hospitals and clinics</t>
  </si>
  <si>
    <t>negative effect</t>
  </si>
  <si>
    <t>What did ABC do that was special in 2003?</t>
  </si>
  <si>
    <t>green alga</t>
  </si>
  <si>
    <t>English Premier League Football</t>
  </si>
  <si>
    <t>England's</t>
  </si>
  <si>
    <t>poor quality green light</t>
  </si>
  <si>
    <t>What omen was Genghis Khan reported to have seen assuring his coming victory against the Tanguts?</t>
  </si>
  <si>
    <t>Napoleon's</t>
  </si>
  <si>
    <t>integral calculus</t>
  </si>
  <si>
    <t>static equilibrium</t>
  </si>
  <si>
    <t>socialism</t>
  </si>
  <si>
    <t>Hong Kong</t>
  </si>
  <si>
    <t>about 50% oxygen composition at standard pressure</t>
  </si>
  <si>
    <t>their finances</t>
  </si>
  <si>
    <t>18 July 2000</t>
  </si>
  <si>
    <t>courtyard</t>
  </si>
  <si>
    <t>females</t>
  </si>
  <si>
    <t>This combination of cancellations and σ and π overlaps results in dioxygen's double bond character and reactivity, and a triplet electronic ground state. An electron configuration with two unpaired electrons as found in dioxygen (see the filled π* orbitals in the diagram), orbitals that are of equal energy—i.e., degenerate—is a configuration termed a spin triplet state. Hence, the ground state of the O
2 molecule is referred to as triplet oxygen.[b] The highest energy, partially filled orbitals are antibonding, and so their filling weakens the bond order from three to two. Because of its unpaired electrons, triplet oxygen reacts only slowly with most organic molecules, which have paired electron spins; this prevents spontaneous combustion.</t>
  </si>
  <si>
    <t>Article 17(3)</t>
  </si>
  <si>
    <t>In 1928, Tesla received his last patent, U.S. Patent 1,655,114, for a biplane capable of taking off vertically (VTOL aircraft) and then be "gradually tilted through manipulation of the elevator devices" in flight until it was flying like a conventional plane. Tesla thought the plane would sell for less than $1,000.:251 Although the aircraft was probably impractical, it may be the earliest known design for what became the tiltrotor/tilt-wing concept as well as the earliest proposal for the use of turbine engines in rotor aircraft.[improper synthesis?]</t>
  </si>
  <si>
    <t>a fee per unit of information transmitted</t>
  </si>
  <si>
    <t>What program that aired between Last Man Standing and Shark Tank was cancelled by ABC in 2013?</t>
  </si>
  <si>
    <t>Gamma delta T cells have a different version of what receptor?</t>
  </si>
  <si>
    <t>University of Aberdeen</t>
  </si>
  <si>
    <t>Geology</t>
  </si>
  <si>
    <t>What fields may pharmacy informatics also work in?</t>
  </si>
  <si>
    <t>Why does the Rhine water fall into depths at the Rheinbrech?</t>
  </si>
  <si>
    <t>What century did the name of the Rhine come from?</t>
  </si>
  <si>
    <t>"internal colonialism"</t>
  </si>
  <si>
    <t>The internal cavity forms: a mouth that can usually be closed by muscles; a pharynx ("throat"); a wider area in the center that acts as a stomach; and a system of internal canals. These branch through the mesoglea to the most active parts of the animal: the mouth and pharynx; the roots of the tentacles, if present; all along the underside of each comb row; and four branches round the sensory complex at the far end from the mouth – two of these four branches terminate in anal pores. The inner surface of the cavity is lined with an epithelium, the gastrodermis. The mouth and pharynx have both cilia and well-developed muscles. In other parts of the canal system, the gastrodermis is different on the sides nearest to and furthest from the organ that it supplies. The nearer side is composed of tall nutritive cells that store nutrients in vacuoles (internal compartments), germ cells that produce eggs or sperm, and photocytes that produce bioluminescence. The side furthest from the organ is covered with ciliated cells that circulate water through the canals, punctuated by ciliary rosettes, pores that are surrounded by double whorls of cilia and connect to the mesoglea.</t>
  </si>
  <si>
    <t>There are some common misconceptions about the outer and inner chloroplast membranes. The fact that chloroplasts are surrounded by a double membrane is often cited as evidence that they are the descendants of endosymbiotic cyanobacteria. This is often interpreted as meaning the outer chloroplast membrane is the product of the host's cell membrane infolding to form a vesicle to surround the ancestral cyanobacterium—which is not true—both chloroplast membranes are homologous to the cyanobacterium's original double membranes.</t>
  </si>
  <si>
    <t>What is the grace that "goes before us?"</t>
  </si>
  <si>
    <t>What applies to equally to constant velocity motion as it does to rest.</t>
  </si>
  <si>
    <t>By the 1970s</t>
  </si>
  <si>
    <t>intermediate network nodes</t>
  </si>
  <si>
    <t>rediscovery of "Christ and His salvation"</t>
  </si>
  <si>
    <t>ambiguity</t>
  </si>
  <si>
    <t xml:space="preserve">This network influenced  later models of </t>
  </si>
  <si>
    <t>What is the land area of Jacksonville?</t>
  </si>
  <si>
    <t>1.4 and 5.8 °C</t>
  </si>
  <si>
    <t>polynomial time</t>
  </si>
  <si>
    <t>What are the two integer responses to a decision problem?</t>
  </si>
  <si>
    <t>assassination of US President John F. Kennedy</t>
  </si>
  <si>
    <t>Who allegedly haunted the gate?</t>
  </si>
  <si>
    <t>Catch Me Who Can</t>
  </si>
  <si>
    <t>A study by the World Institute for Development Economics Research at United Nations University reports that the richest 1% of adults alone owned 40% of global assets in the year 2000. The three richest people in the world possess more financial assets than the lowest 48 nations combined. The combined wealth of the "10 million dollar millionaires" grew to nearly $41 trillion in 2008. A January 2014 report by Oxfam claims that the 85 wealthiest individuals in the world have a combined wealth equal to that of the bottom 50% of the world's population, or about 3.5 billion people. According to a Los Angeles Times analysis of the report, the wealthiest 1% owns 46% of the world's wealth; the 85 richest people, a small part of the wealthiest 1%, own about 0.7% of the human population's wealth, which is the same as the bottom half of the population. More recently, in January 2015, Oxfam reported that the wealthiest 1 percent will own more than half of the global wealth by 2016. An October 2014 study by Credit Suisse also claims that the top 1% now own nearly half of the world's wealth and that the accelerating disparity could trigger a recession. In October 2015, Credit Suisse published a study which shows global inequality continues to increase, and that half of the world's wealth is now in the hands of those in the top percentile, whose assets each exceed $759,900. A 2016 report by Oxfam claims that the 62 wealthiest individuals own as much wealth as the poorer half of the global population combined. 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debts).[unreliable source?][unreliable source?] Anthony Shorrocks, the lead author of the Credit Suisse report which is one of the sources of Oxfam's data, considers the criticism about debt to be a "silly argument" and "a non-issue . . . a diversion."</t>
  </si>
  <si>
    <t>kilogram-force (kgf)</t>
  </si>
  <si>
    <t>mild euphoric</t>
  </si>
  <si>
    <t>(Exodus 1: 15-19)</t>
  </si>
  <si>
    <t>Boomer Esiason and Dan Fouts</t>
  </si>
  <si>
    <t>three weight rooms</t>
  </si>
  <si>
    <t>When did ABC begin making family-oriented series?</t>
  </si>
  <si>
    <t>the datagram model</t>
  </si>
  <si>
    <t xml:space="preserve">Gandhi often referenced Shelley's poem in his efforts to do what? </t>
  </si>
  <si>
    <t>What is happening to the average age of teachers in Wales?</t>
  </si>
  <si>
    <t>Why was Tetzel seeking money in Germany?</t>
  </si>
  <si>
    <t>Scottish Government.</t>
  </si>
  <si>
    <t>What drew would-be Jacksonville tourists to other Florida destinations?</t>
  </si>
  <si>
    <t>What kind of company is Sky UK Limited?</t>
  </si>
  <si>
    <t>join a vocational youth/village polytechnic</t>
  </si>
  <si>
    <t>overweight people</t>
  </si>
  <si>
    <t>particular closure temperature</t>
  </si>
  <si>
    <t>Germany and Austria</t>
  </si>
  <si>
    <t>What are the most abundant kind of phagocyte?</t>
  </si>
  <si>
    <t>the translation</t>
  </si>
  <si>
    <t>remove massive numbers of magnetic tapes from the National Archives and Records Administration to be recorded over</t>
  </si>
  <si>
    <t>How many original treaties establishing the EU protected fundamental rights?</t>
  </si>
  <si>
    <t>As a euphoric how is oxygen used in bars?</t>
  </si>
  <si>
    <t>What is an important personal decision for civil disobedients?</t>
  </si>
  <si>
    <t>Apollo 1 crew</t>
  </si>
  <si>
    <t>essentials</t>
  </si>
  <si>
    <t>popularly based</t>
  </si>
  <si>
    <t>a malfunction in the chameleon circuit</t>
  </si>
  <si>
    <t>over the issue of laity having a voice and vote in the administration of the church</t>
  </si>
  <si>
    <t>In what type of work was Luther prolific?</t>
  </si>
  <si>
    <t>The European Court of Justice cannot uphold measures that are incompatible with what?</t>
  </si>
  <si>
    <t>In the fall of 1949, ABC found itself in the position of an outsider, with less coverage than two of its competing networks, CBS and NBC, even though it was on par with them in some major cities and had a headstart over its third rival at the time, the DuMont Television Network. Before the freeze ended in 1952, there were only 108 existing television stations in the United States; a few major cities (such as Boston) had only two television stations, many other cities (such as Pittsburgh and St. Louis) had only one, and still many others (such as Denver and Portland) did not yet have any television service. The result was a strange period where television flourished in certain areas and network radio remained the main source of broadcast entertainment and news in others.</t>
  </si>
  <si>
    <t>not to grant a consent search</t>
  </si>
  <si>
    <t>diatomic gas</t>
  </si>
  <si>
    <t>Tesla, like many of his era, became a proponent of an imposed selective breeding version of eugenics. His opinion stemmed from the belief that humans' "pity" had interfered with the natural "ruthless workings of nature," rather than from conceptions of a "master race" or inherent superiority of one person over another. His advocacy of it was, however, to push it further. In a 1937 interview, he stated:</t>
  </si>
  <si>
    <t>At what rate is Orange County developing its business centers?</t>
  </si>
  <si>
    <t>repulsion of like charges under the influence of the electromagnetic force</t>
  </si>
  <si>
    <t>What process attributes new wealth to those that already have it?</t>
  </si>
  <si>
    <t>gain information about past climate</t>
  </si>
  <si>
    <t>What is the highest court in European Union law?</t>
  </si>
  <si>
    <t>increasingly</t>
  </si>
  <si>
    <t>Who was drawn to Jacksonville in the 1910s?</t>
  </si>
  <si>
    <t>prophecy of the Little Horn</t>
  </si>
  <si>
    <t>Genghis Khan put absolute trust in his generals, such as Muqali, Jebe and Subutai, and regarded them as close advisors, often extending them the same privileges and trust normally reserved for close family members. He allowed them to make decisions on their own when they embarked on campaigns far from the Mongol Empire capital Karakorum. Muqali, a trusted lieutenant, was given command of the Mongol forces against the Jin dynasty while Genghis Khan was fighting in Central Asia, and Subutai and Jebe were allowed to pursue the Great Raid into the Caucasus and Kievan Rus', an idea they had presented to the Khagan on their own initiative. While granting his generals a great deal of autonomy in making command decisions, Genghis Khan also expected unwavering loyalty from them.</t>
  </si>
  <si>
    <t>In 1900, the Los Angeles Times defined southern California as including "the seven counties of Los Angeles, San Bernardino, Orange, Riverside, San Diego, Ventura and Santa Barbara." In 1999, the Times added a newer county—Imperial—to that list.</t>
  </si>
  <si>
    <t>Where is the most successful agricultural prodcution regions?</t>
  </si>
  <si>
    <t>curving parabolic path</t>
  </si>
  <si>
    <t>Who had established the Russian empire to its former glory prior to 1921?</t>
  </si>
  <si>
    <t>Aside from being located on the coast, what contributes to Jacksonville's lack of cold weather?</t>
  </si>
  <si>
    <t>Lake Balkhash</t>
  </si>
  <si>
    <t>a system of internal canals</t>
  </si>
  <si>
    <t>Other than the desert city why do many locals and tourists frequent southern California?</t>
  </si>
  <si>
    <t>University Athletic Association (UAA)</t>
  </si>
  <si>
    <t>Where did the first shipment of minerals ship from?</t>
  </si>
  <si>
    <t>How many hours can one expect to ride the train from Newcastle to King's Cross?</t>
  </si>
  <si>
    <t>To what can the use of prolonged breathing of oxygen at 60 kPa lead?</t>
  </si>
  <si>
    <t>Clergy are members of what group rather than of any local congregation?</t>
  </si>
  <si>
    <t>the Diffie–Hellman key exchange</t>
  </si>
  <si>
    <t>the Rhine</t>
  </si>
  <si>
    <t>The Beroida, also known as Nuda, have no feeding appendages, but their large pharynx, just inside the large mouth and filling most of the saclike body, bears "macrocilia" at the oral end. These fused bundles of several thousand large cilia are able to "bite" off pieces of prey that are too large to swallow whole – almost always other ctenophores. In front of the field of macrocilia, on the mouth "lips" in some species of Beroe, is a pair of narrow strips of adhesive epithelial cells on the stomach wall that "zip" the mouth shut when the animal is not feeding, by forming intercellular connections with the opposite adhesive strip. This tight closure streamlines the front of the animal when it is pursuing prey.</t>
  </si>
  <si>
    <t>2 metres (6 ft 7 in)</t>
  </si>
  <si>
    <t>What enzymes in saliva are antibacterial in nature?</t>
  </si>
  <si>
    <t>How much has global mean surface air temperature changed in the last century?</t>
  </si>
  <si>
    <t xml:space="preserve">Xenoliths are picked up by what and deposited into the matrix of igneous rocks? </t>
  </si>
  <si>
    <t>What is the least number of members a board of trustees can have?</t>
  </si>
  <si>
    <t>the Department of State Affairs</t>
  </si>
  <si>
    <t>Whose army liberated Warsaw in 1806?</t>
  </si>
  <si>
    <t>Along with 10 Cloverfield Lane, what Paramount trailer appeared during the Super Bowl?</t>
  </si>
  <si>
    <t>£15–100,000</t>
  </si>
  <si>
    <t>How long was the longest Doctor Who Christmas Special?</t>
  </si>
  <si>
    <t>Where do pharmacists acquire more preparation following pharmacy school?</t>
  </si>
  <si>
    <t>What museum specializes in cultural history and civilizations of the Western Hemisphere?</t>
  </si>
  <si>
    <t>What does the euplokamis use the three types of movement for?</t>
  </si>
  <si>
    <t>Is the focus on spiritual mentorship in Hinduism high or low?</t>
  </si>
  <si>
    <t>fund his Colorado Springs experiments</t>
  </si>
  <si>
    <t>internal fertilization</t>
  </si>
  <si>
    <t>beaches</t>
  </si>
  <si>
    <t>complex silicates</t>
  </si>
  <si>
    <t>What was required of Huguenot children after the Edict was revoked?</t>
  </si>
  <si>
    <t>What region does use the term 'private schools' to refer to universities?</t>
  </si>
  <si>
    <t>What was the proposed solution to Jacksonville's tax issues?</t>
  </si>
  <si>
    <t>the revenues from the oil were not benefitting Scotland as much as they should</t>
  </si>
  <si>
    <t>Fermat primality test</t>
  </si>
  <si>
    <t>Who oversees a Pharmacy Technician in the UK?</t>
  </si>
  <si>
    <t>What is the moniker that is being used to describe the region's diversified technology?</t>
  </si>
  <si>
    <t>private</t>
  </si>
  <si>
    <t>Red Turban rebels</t>
  </si>
  <si>
    <t>Due to its electronegativity, oxygen forms chemical bonds with almost all other elements to give corresponding oxides. The surface of most metals, such as aluminium and titanium, are oxidized in the presence of air and become coated with a thin film of oxide that passivates the metal and slows further corrosion. Many oxides of the transition metals are non-stoichiometric compounds, with slightly less metal than the chemical formula would show. For example, the mineral FeO (wüstite) is written as Fe
1 − xO, where x is usually around 0.05.</t>
  </si>
  <si>
    <t>Royal Institute of British Architects</t>
  </si>
  <si>
    <t>What techniques did Chinese medicine include?</t>
  </si>
  <si>
    <t>apoptosis</t>
  </si>
  <si>
    <t>$200 million</t>
  </si>
  <si>
    <t>The Catholic Church in France and many of its members opposed the Huguenots. Some Huguenot preachers and congregants were attacked as they attempted to meet for worship. The height of this persecution was the St. Bartholomew's Day massacre when 5,000 to 30,000 were killed, although there were also underlying political reasons for this as well, as some of the Huguenots were nobles trying to establish separate centers of power in southern France. Retaliating against the French Catholics, the Huguenots had their own militia.</t>
  </si>
  <si>
    <t>a genuine love of God with heart, soul, mind</t>
  </si>
  <si>
    <t>wars and "violent economic and political shocks"</t>
  </si>
  <si>
    <t>both sides withdrawing from the field</t>
  </si>
  <si>
    <t>simple people</t>
  </si>
  <si>
    <t xml:space="preserve">What did this concept contradict </t>
  </si>
  <si>
    <t>What position did Luther have in Wittenberg?</t>
  </si>
  <si>
    <t>spread of diseases from Europe</t>
  </si>
  <si>
    <t>to share recordings and other media</t>
  </si>
  <si>
    <t>South</t>
  </si>
  <si>
    <t>effectiveness of treatment regimens</t>
  </si>
  <si>
    <t>While in Limassol, Richard the Lion-Heart married Berengaria of Navarre, first-born daughter of King Sancho VI of Navarre. The wedding was held on 12 May 1191 at the Chapel of St. George and it was attended by Richard's sister Joan, whom he had brought from Sicily. The marriage was celebrated with great pomp and splendor. Among other grand ceremonies was a double coronation: Richard caused himself to be crowned King of Cyprus, and Berengaria Queen of England and Queen of Cyprus as well.</t>
  </si>
  <si>
    <t xml:space="preserve">What finite hierarchy implies that the graph isomorphism problem is NP-complete? </t>
  </si>
  <si>
    <t>How accurate did Guo make the reformed lunisolar calendar?</t>
  </si>
  <si>
    <t>The "Big Five" game animals of Africa, that is the lion, leopard, buffalo, rhinoceros, and elephant, can be found in Kenya and in the Masai Mara in particular. A significant population of other wild animals, reptiles and birds can be found in the national parks and game reserves in the country. The annual animal migration occurs between June and September with millions of animals taking part, attracting valuable foreign tourism. Two million wildebeest migrate a distance of 2,900 kilometres (1,802 mi) from the Serengeti in neighbouring Tanzania to the Masai Mara in Kenya, in a constant clockwise fashion, searching for food and water supplies. This Serengeti Migration of the wildebeest is a curious spectacle listed among the 10 Natural Wonders of Africa.</t>
  </si>
  <si>
    <t>Confederate</t>
  </si>
  <si>
    <t>well before Braddock's departure for North America</t>
  </si>
  <si>
    <t>itself</t>
  </si>
  <si>
    <t>lost</t>
  </si>
  <si>
    <t>the Muslim</t>
  </si>
  <si>
    <t>On what date did the NFL announce that Coldplay would headline the halftime show?</t>
  </si>
  <si>
    <t>2.5 billion years ago during the Great Oxygenation Event</t>
  </si>
  <si>
    <t>What did Luther do at the end of his speech?</t>
  </si>
  <si>
    <t>through contact with Persian traders</t>
  </si>
  <si>
    <t>one another</t>
  </si>
  <si>
    <t>the papacy</t>
  </si>
  <si>
    <t>biogeochemical cycle</t>
  </si>
  <si>
    <t>digital terrestrial</t>
  </si>
  <si>
    <t>The first direct elections for native Kenyans to the Legislative Council took place in 1957. Despite British hopes of handing power to "moderate" local rivals, it was the Kenya African National Union (KANU) of Jomo Kenyatta that formed a government. The Colony of Kenya and the Protectorate of Kenya each came to an end on 12 December 1963 with independence being conferred on all of Kenya. The United Kingdom ceded sovereignty over the Colony of Kenya and, under an agreement dated 8 October 1963, the Sultan of Zanzibar agreed that simultaneous with independence for the Colony of Kenya, the Sultan would cease to have sovereignty over the Protectorate of Kenya so that all of Kenya would be one sovereign, independent state. In this way, Kenya became an independent country under the Kenya Independence Act 1963 of the United Kingdom. Exactly 12 months later on 12 December 1964, Kenya became a republic under the name "Republic of Kenya".</t>
  </si>
  <si>
    <t>commune</t>
  </si>
  <si>
    <t>Stockton and Darlington Railway</t>
  </si>
  <si>
    <t>What device is used to treat various conditions such as carbon monoxide poisoning?</t>
  </si>
  <si>
    <t>infinitely many prime numbers</t>
  </si>
  <si>
    <t>state or government schools</t>
  </si>
  <si>
    <t>practical limitations of working in the rainforest</t>
  </si>
  <si>
    <t>writing a five volume book in his native Greek</t>
  </si>
  <si>
    <t>at least 90%</t>
  </si>
  <si>
    <t>What is violating a law which is not the goal of the protest called?</t>
  </si>
  <si>
    <t>by store and forward switching</t>
  </si>
  <si>
    <t>connecting the same string multiple times to the same object through the use of a set-up that uses movable pulleys,</t>
  </si>
  <si>
    <t>steam turbine plant</t>
  </si>
  <si>
    <t>as irrational and backward</t>
  </si>
  <si>
    <t>antibodies</t>
  </si>
  <si>
    <t>a gift</t>
  </si>
  <si>
    <t>What is important for a teacher to enjoy?</t>
  </si>
  <si>
    <t>mosaic floors</t>
  </si>
  <si>
    <t>When did the DFDS ferry service to Sweden case operation?</t>
  </si>
  <si>
    <t>increase in the land available for cultivation</t>
  </si>
  <si>
    <t>What kind of region can be found inside the urban area of southern California?</t>
  </si>
  <si>
    <t>June 6, 1951</t>
  </si>
  <si>
    <t>marginally more</t>
  </si>
  <si>
    <t>Quaternary</t>
  </si>
  <si>
    <t>1,600</t>
  </si>
  <si>
    <t>the police and the armed forces</t>
  </si>
  <si>
    <t>The first full-scale working railway steam locomotive was built by Richard Trevithick in the United Kingdom and, on 21 February 1804, the world's first railway journey took place as Trevithick's unnamed steam locomotive hauled a train along the tramway from the Pen-y-darren ironworks, near Merthyr Tydfil to Abercynon in south Wales. The design incorporated a number of important innovations that included using high-pressure steam which reduced the weight of the engine and increased its efficiency. Trevithick visited the Newcastle area later in 1804 and the colliery railways in north-east England became the leading centre for experimentation and development of steam locomotives.</t>
  </si>
  <si>
    <t>How is lap provided by overlapping the admission side port?</t>
  </si>
  <si>
    <t>Which army attacked and destroyed this colony?</t>
  </si>
  <si>
    <t>wealth from future possible war spoils</t>
  </si>
  <si>
    <t>around one hundred</t>
  </si>
  <si>
    <t>How many teams has Manning won the Super Bowl with?</t>
  </si>
  <si>
    <t>What company did Worldvision sell a portion of it's catalogue to in 1990?</t>
  </si>
  <si>
    <t>League of Nations</t>
  </si>
  <si>
    <t>cut in half</t>
  </si>
  <si>
    <t>unnatural</t>
  </si>
  <si>
    <t>support from China for a planned $2.5 billion railway from the southern Kenyan port of Mombasa to neighboring Uganda</t>
  </si>
  <si>
    <t>What was the number of times the Denver Broncos played in a Super Bowl by the time they reached Super Bowl 50?</t>
  </si>
  <si>
    <t>computational problem</t>
  </si>
  <si>
    <t>Prince Albert appears within the main arch above the twin entrances, Queen Victoria above the frame around the arches and entrance, sculpted by Alfred Drury. These façades surround four levels of galleries. Other areas designed by Webb include the Entrance Hall and Rotunda, the East and West Halls, the areas occupied by the shop and Asian Galleries as well as the Costume Gallery. The interior makes much use of marble in the entrance hall and flanking staircases, although the galleries as originally designed were white with restrained classical detail and mouldings, very much in contrast to the elaborate decoration of the Victorian galleries, although much of this decoration was removed in the early 20th century.</t>
  </si>
  <si>
    <t>Pharmacists provide direct patient care services that optimizes the use of medication and promotes health, wellness, and disease prevention. Clinical pharmacists care for patients in all health care settings, but the clinical pharmacy movement initially began inside hospitals and clinics. Clinical pharmacists often collaborate with physicians and other healthcare professionals to improve pharmaceutical care. Clinical pharmacists are now an integral part of the interdisciplinary approach to patient care. They often participate in patient care rounds drug product selection.</t>
  </si>
  <si>
    <t>The Yuan was the first time all of China was ruled by whom?</t>
  </si>
  <si>
    <t>What are teachers considered to be in Germany?</t>
  </si>
  <si>
    <t>The V&amp;A library's collection of illuminated manuscripts are dated to which centuries?</t>
  </si>
  <si>
    <t>In what geographical portion of Wales is Abercynon located?</t>
  </si>
  <si>
    <t>a vitamin D receptor</t>
  </si>
  <si>
    <t>How were most city officials elected in the 1960s?</t>
  </si>
  <si>
    <t>What show aired on CBS after late local programming?</t>
  </si>
  <si>
    <t>What chloroplast lineage is Cyanophora in?</t>
  </si>
  <si>
    <t>Cristian Bay's encyclopedia concludes that civil disobedience does not only include what behavior?</t>
  </si>
  <si>
    <t>The descendants of Rollo's Vikings and their Frankish wives would replace the Norse religion and Old Norse language with Catholicism (Christianity) and the Gallo-Romance language of the local people, blending their maternal Frankish heritage with Old Norse traditions and customs to synthesize a unique "Norman" culture in the north of France. The Norman language was forged by the adoption of the indigenous langue d'oïl branch of Romance by a Norse-speaking ruling class, and it developed into the regional language that survives today.</t>
  </si>
  <si>
    <t>The Warsaw Citadel</t>
  </si>
  <si>
    <t>What did the acronym AAP stand for?</t>
  </si>
  <si>
    <t>How many of the Pitt's planned expeditions were successful?</t>
  </si>
  <si>
    <t>What does the lobata have pair of?</t>
  </si>
  <si>
    <t>whether or not to plead guilty.</t>
  </si>
  <si>
    <t>Ergänzungsschulen are secondary or post-secondary (non-tertiary) schools, which are run by private individuals, private organizations or rarely, religious groups and offer a type of education which is not available at public schools. Most of these schools are vocational schools. However, these vocational schools are not part of the German dual education system. Ergänzungsschulen have the freedom to operate outside of government regulation and are funded in whole by charging their students tuition fees.</t>
  </si>
  <si>
    <t>How many times has Polonia won the cup?</t>
  </si>
  <si>
    <t>The second main legislative body is the Council, which is composed of different ministers of the member states. The heads of government of member states also convene a "European Council" (a distinct body) that the TEU article 15 defines as providing the 'necessary impetus for its development and shall define the general political directions and priorities'. It meets each six months and its President (currently former Poland Prime Minister Donald Tusk) is meant to 'drive forward its work', but it does not itself 'legislative functions'. The Council does this: in effect this is the governments of the member states, but there will be a different minister at each meeting, depending on the topic discussed (e.g. for environmental issues, the member states' environment ministers attend and vote; for foreign affairs, the foreign ministers, etc.). The minister must have the authority to represent and bin the member states in decisions. When voting takes place it is weighted inversely to member state size, so smaller member states are not dominated by larger member states. In total there are 352 votes, but for most acts there must be a qualified majority vote, if not consensus. TEU article 16(4) and TFEU article 238(3) define this to mean at least 55 per cent of the Council members (not votes) representing 65 per cent of the population of the EU: currently this means around 74 per cent, or 260 of the 352 votes. This is critical during the legislative process.</t>
  </si>
  <si>
    <t>ABC maintains several video on demand services for delayed viewing of the network's programming, including a traditional VOD service called ABC on Demand, which is carried on most traditional cable and IPTV providers. The Walt Disney Company is also a part-owner of Hulu (as part of a consortium that includes, among other parties, the respective parent companies of NBC and Fox, NBCUniversal and 21st Century Fox), and has offered full-length episodes of most of ABC's programming through the streaming service since July 6, 2009 (which are available for viewing on Hulu's website and mobile app), as part of an agreement reached in April that year that also allowed Disney to acquire a 27% ownership stake in Hulu.</t>
  </si>
  <si>
    <t>cattle were brought across the river there.</t>
  </si>
  <si>
    <t>the Faroe Islands</t>
  </si>
  <si>
    <t>In the process of vaccination, what is introduced in order to develop a specific immunity?</t>
  </si>
  <si>
    <t>What is the only form potential energy can change into?</t>
  </si>
  <si>
    <t>proplastids may develop into an etioplast stage before becoming chloroplasts</t>
  </si>
  <si>
    <t>Immunology</t>
  </si>
  <si>
    <t>What does the local council hope will help cut down traffic congestion in Newcastle?</t>
  </si>
  <si>
    <t>acted increasingly aggressively to force the Huguenots to convert</t>
  </si>
  <si>
    <t>In which months does Fresno experience increased wind coming from the southeastern direction?</t>
  </si>
  <si>
    <t>When do bathyctena chuni, euplokamis stationis and eurhamphaea vexilligera  excrete secretions?</t>
  </si>
  <si>
    <t>successfully cut off the French frontier forts further to the west and south</t>
  </si>
  <si>
    <t>ea, coffee, sisal, pyrethrum, corn, and wheat</t>
  </si>
  <si>
    <t>colonizing empires</t>
  </si>
  <si>
    <t>(Roman) Catholic, (Eastern) Orthodox Catholic, and Protestant/Non-Denominational</t>
  </si>
  <si>
    <t>How much did Silas B. Cobb pledge to the university?</t>
  </si>
  <si>
    <t>What did Tesla do for a job that paid two dollars a day?</t>
  </si>
  <si>
    <t>1920s</t>
  </si>
  <si>
    <t>After al-Nimeiry was overthrown in 1985 the party did poorly in national elections, but in 1989 it was able to overthrow the elected post-al-Nimeiry government with the help of the military. Turabi was noted for proclaiming his support for the democratic process and a liberal government before coming to power, but strict application of sharia law, torture and mass imprisonment of the opposition, and an intensification of the long-running war in southern Sudan, once in power. The NIF regime also harbored Osama bin Laden for a time (before 9/11), and worked to unify Islamist opposition to the American attack on Iraq in the 1991 Gulf War.</t>
  </si>
  <si>
    <t>industrialized nations increased their reserves (by expanding their money supplies) in amounts far greater than before</t>
  </si>
  <si>
    <t>lives of their disciples</t>
  </si>
  <si>
    <t>It is now possible to convert old relative ages into what type of ages using isotopic dating?</t>
  </si>
  <si>
    <t>Which logo had the DW Tardis insignia removed?</t>
  </si>
  <si>
    <t>erosion</t>
  </si>
  <si>
    <t>23 June 2005</t>
  </si>
  <si>
    <t>What country has higher scores on standardized tests than the U.S.?</t>
  </si>
  <si>
    <t>religion from politics</t>
  </si>
  <si>
    <t>Where is this housing style being developed recently?</t>
  </si>
  <si>
    <t>Where did the water in the Amazon Basin flow towards when moving west?</t>
  </si>
  <si>
    <t>In September 1967, Mueller approved a sequence of mission types which had to be successfully accomplished in order to achieve the manned lunar landing. Each step had to be successfully accomplished before the next ones could be performed, and it was unknown how many tries of each mission would be necessary; therefore letters were used instead of numbers. The A missions were unmanned Saturn V validation; B was unmanned LM validation using the Saturn IB; C was manned CSM Earth orbit validation using the Saturn IB; D was the first manned CSM/LM flight (this replaced AS-258, using a single Saturn V launch); E would be a higher Earth orbit CSM/LM flight; F would be the first lunar mission, testing the LM in lunar orbit but without landing (a "dress rehearsal"); and G would be the first manned landing. The list of types covered follow-on lunar exploration to include H lunar landings, I for lunar orbital survey missions, and J for extended-stay lunar landings.</t>
  </si>
  <si>
    <t>What is more often seen in root tip maristems?</t>
  </si>
  <si>
    <t>Which airport is home to the busiest single runway in the world?</t>
  </si>
  <si>
    <t>How long does it take for new areas to have significant oil production?</t>
  </si>
  <si>
    <t>as a structural force</t>
  </si>
  <si>
    <t>National Electric Light Association</t>
  </si>
  <si>
    <t>What does a student's academic goals include?</t>
  </si>
  <si>
    <t>Who released a disco version of the Doctor Who theme?</t>
  </si>
  <si>
    <t>What suffered considerably for Warsaw when it had an Eastern Bloc economy?</t>
  </si>
  <si>
    <t>the relationship between teachers and children.</t>
  </si>
  <si>
    <t>What term was used for the second regeneration?</t>
  </si>
  <si>
    <t>Approximately how many objects comprise the museum's collections of South and South-East Asian art?</t>
  </si>
  <si>
    <t>standardized</t>
  </si>
  <si>
    <t>Prime_number</t>
  </si>
  <si>
    <t>a second Bachelor's Degree such as a Bachelor of Education</t>
  </si>
  <si>
    <t>Scottish or Irish describe the type of what people in Newcastle have?</t>
  </si>
  <si>
    <t>forces as being due to gradient of potentials</t>
  </si>
  <si>
    <t>food in the form of sugars</t>
  </si>
  <si>
    <t>Han and Jurchen</t>
  </si>
  <si>
    <t>Bills</t>
  </si>
  <si>
    <t>What did objects in forced motion contain according to the late Medieval idea that influence Aristotle?</t>
  </si>
  <si>
    <t>How many Huguenots emigrated to North America as colonists?</t>
  </si>
  <si>
    <t>What was the score for the 2015 NFC championship game?</t>
  </si>
  <si>
    <t>South American</t>
  </si>
  <si>
    <t>optimal health outcomes</t>
  </si>
  <si>
    <t>What profession does Zbigniew Badowski have?</t>
  </si>
  <si>
    <t>warming of the Earth's surface</t>
  </si>
  <si>
    <t>eliminate the accusing law</t>
  </si>
  <si>
    <t>MHC antigens on normal body cells are recognized by what receptor on NK cells?</t>
  </si>
  <si>
    <t>What differs about secondary chloroplasts' membranes?</t>
  </si>
  <si>
    <t>high supply</t>
  </si>
  <si>
    <t>What do photocytes produce?</t>
  </si>
  <si>
    <t>18th century</t>
  </si>
  <si>
    <t>Newton's First Law of Motion states that objects continue to move in a state of constant velocity unless acted upon by an external net force or resultant force. This law is an extension of Galileo's insight that constant velocity was associated with a lack of net force (see a more detailed description of this below). Newton proposed that every object with mass has an innate inertia that functions as the fundamental equilibrium "natural state" in place of the Aristotelian idea of the "natural state of rest". That is, the first law contradicts the intuitive Aristotelian belief that a net force is required to keep an object moving with constant velocity. By making rest physically indistinguishable from non-zero constant velocity, Newton's First Law directly connects inertia with the concept of relative velocities. Specifically, in systems where objects are moving with different velocities, it is impossible to determine which object is "in motion" and which object is "at rest". In other words, to phrase matters more technically, the laws of physics are the same in every inertial frame of reference, that is, in all frames related by a Galilean transformation.</t>
  </si>
  <si>
    <t>At the time of the Marburg Colloquy, Suleiman the Magnificent was besieging Vienna with a vast Ottoman army. Luther had argued against resisting the Turks in his 1518 Explanation of the Ninety-five Theses, provoking accusations of defeatism. He saw the Turks as a scourge sent to punish Christians by God, as agents of the Biblical apocalypse that would destroy the antichrist, whom Luther believed to be the papacy, and the Roman Church. He consistently rejected the idea of a Holy War, "as though our people were an army of Christians against the Turks, who were enemies of Christ. This is absolutely contrary to Christ's doctrine and name". On the other hand, in keeping with his doctrine of the two kingdoms, Luther did support non-religious war against the Turks. In 1526, he argued in Whether Soldiers can be in a State of Grace that national defence is reason for a just war. By 1529, in On War against the Turk, he was actively urging Emperor Charles V and the German people to fight a secular war against the Turks. He made clear, however, that the spiritual war against an alien faith was separate, to be waged through prayer and repentance. Around the time of the Siege of Vienna, Luther wrote a prayer for national deliverance from the Turks, asking God to "give to our emperor perpetual victory over our enemies".</t>
  </si>
  <si>
    <t>100% oxygen</t>
  </si>
  <si>
    <t>temperatures increased on the basis of documentary evidence of Medieval vineyards in England</t>
  </si>
  <si>
    <t>clergyman</t>
  </si>
  <si>
    <t>input size</t>
  </si>
  <si>
    <t>the Oriental Institute</t>
  </si>
  <si>
    <t>Where does Hamas originate?</t>
  </si>
  <si>
    <t>According to Wilson's theorem, what factorial must be divisible by p if some integer p &gt; 1 is to be considered prime?</t>
  </si>
  <si>
    <t>As the designated home team in the annual rotation between AFC and NFC teams, the Broncos elected to wear their road white jerseys with matching white pants. Elway stated, "We've had Super Bowl success in our white uniforms." The Broncos last wore matching white jerseys and pants in the Super Bowl in Super Bowl XXXIII, Elway's last game as Denver QB, when they defeated the Atlanta Falcons 34–19. In their only other Super Bowl win in Super Bowl XXXII, Denver wore blue jerseys, which was their primary color at the time. They also lost Super Bowl XXI when they wore white jerseys, but they are 0-4 in Super Bowls when wearing orange jerseys, losing in Super Bowl XII, XXII, XXIV, and XLVIII. The only other AFC champion team to have worn white as the designated home team in the Super Bowl was the Pittsburgh Steelers; they defeated the Seattle Seahawks 21–10 in Super Bowl XL 10 seasons prior. The Broncos' decision to wear white meant the Panthers would wear their standard home uniform: black jerseys with silver pants.</t>
  </si>
  <si>
    <t>higher education</t>
  </si>
  <si>
    <t>prasinophyte</t>
  </si>
  <si>
    <t>Before World War I, Tesla sought overseas investors. After the war started, Tesla lost the funding he was receiving from his patents in European countries. Eventually, he sold Wardenclyffe for $20,000 ($472,500 in today's dollars). In 1917, around the time that the Wardenclyffe Tower was demolished by Boldt to make the land a more viable real estate asset, Tesla received AIEE's highest honor, the Edison Medal.</t>
  </si>
  <si>
    <t>Magnetophon tape recorder</t>
  </si>
  <si>
    <t>What country has such unmanageable students that many teachers do not discipline them?</t>
  </si>
  <si>
    <t>What has been getting much better in the most recent years?</t>
  </si>
  <si>
    <t>deficiencies</t>
  </si>
  <si>
    <t>Besides fats, fatty acids, and amino acids,what other organic compounds contain oxygen?</t>
  </si>
  <si>
    <t>Which leaders did the Islamic extremists attack?</t>
  </si>
  <si>
    <t>The Judicial Council</t>
  </si>
  <si>
    <t>areas controlled by Russia in 1914</t>
  </si>
  <si>
    <t>1,600 miles</t>
  </si>
  <si>
    <t>To what level would the polynomial time hierarchy collapse if graph isomorphism is NP-complete?</t>
  </si>
  <si>
    <t>division</t>
  </si>
  <si>
    <t>mediaeval</t>
  </si>
  <si>
    <t>What is Prevenient grace?</t>
  </si>
  <si>
    <t>Education Service Contracting</t>
  </si>
  <si>
    <t>How much was the emergency aid to Israel?</t>
  </si>
  <si>
    <t>A teacher's role may vary among cultures. Teachers may provide instruction in literacy and numeracy, craftsmanship or vocational training, the arts, religion, civics, community roles, or life skills.</t>
  </si>
  <si>
    <t>What did Tesla do in Tomingaj?</t>
  </si>
  <si>
    <t>power steering</t>
  </si>
  <si>
    <t>What is colonialism's core meaning?</t>
  </si>
  <si>
    <t>arrow</t>
  </si>
  <si>
    <t>What seldom mutates?</t>
  </si>
  <si>
    <t>pre-allocates dedicated network bandwidth specifically for each communication session</t>
  </si>
  <si>
    <t>What helps to unleash the productivity ability of the poor?</t>
  </si>
  <si>
    <t>Preachers</t>
  </si>
  <si>
    <t>Flung to the Heedless Winds</t>
  </si>
  <si>
    <t>Why is it preferred that civil disobedience is non violent?</t>
  </si>
  <si>
    <t>his positive role is underrated</t>
  </si>
  <si>
    <t>Oxygen is released in cellular respiration by?</t>
  </si>
  <si>
    <t>igneous, sedimentary, and metamorphic</t>
  </si>
  <si>
    <t>nomadic tribes of Northeast Asia</t>
  </si>
  <si>
    <t>crust and rigid uppermost portion of the upper mantle</t>
  </si>
  <si>
    <t xml:space="preserve">How many major ice ages have occurred? </t>
  </si>
  <si>
    <t>What does it mean when currencies are left to "float?"</t>
  </si>
  <si>
    <t>red algal endosymbiont's original cell membrane</t>
  </si>
  <si>
    <t>deterministic Turing machine</t>
  </si>
  <si>
    <t>four classes (Type I – IV)</t>
  </si>
  <si>
    <t>whiteness</t>
  </si>
  <si>
    <t>lack of reliable statistics</t>
  </si>
  <si>
    <t>below 0 °C (32 °F)</t>
  </si>
  <si>
    <t>What body constitutes the supreme legislature of Scotland?</t>
  </si>
  <si>
    <t>Into what language did Marlee Matlin translate the national anthem?</t>
  </si>
  <si>
    <t>theta intermediary form</t>
  </si>
  <si>
    <t>the state (including the judges)</t>
  </si>
  <si>
    <t>The costume collection is the most comprehensive in Britain, containing over 14,000 outfits plus accessories, mainly dating from 1600 to the present. Costume sketches, design notebooks, and other works on paper are typically held by the Word and Image department. Because everyday clothing from previous eras has not generally survived, the collection is dominated by fashionable clothes made for special occasions. One of the first significant gifts of costume came in 1913 when the V&amp;A received the Talbot Hughes collection containing 1,442 costumes and items as a gift from Harrods following its display at the nearby department store.</t>
  </si>
  <si>
    <t>Gothic architecture is represented in the majestic churches but also at the burgher houses and fortifications. The most significant buildings are St. John's Cathedral (14th century), the temple is a typical example of the so-called Masovian gothic style, St. Mary's Church (1411), a town house of Burbach family (14th century), Gunpowder Tower (after 1379) and the Royal Castle Curia Maior (1407–1410). The most notable examples of Renaissance architecture in the city are the house of Baryczko merchant family (1562), building called "The Negro" (early 17th century) and Salwator tenement (1632). The most interesting examples of mannerist architecture are the Royal Castle (1596–1619) and the Jesuit Church (1609–1626) at Old Town. Among the first structures of the early baroque the most important are St. Hyacinth's Church (1603–1639) and Sigismund's Column (1644).</t>
  </si>
  <si>
    <t>construction engineer or project manager</t>
  </si>
  <si>
    <t>What is the name of the trophy given to anyone who plays on the winning team in a Super Bowl?</t>
  </si>
  <si>
    <t>straight</t>
  </si>
  <si>
    <t>Normally silver, what color was used for the number 50?</t>
  </si>
  <si>
    <t>Who did Luther call on to stop the revolt?</t>
  </si>
  <si>
    <t>images of different animals and humans performimg various actions</t>
  </si>
  <si>
    <t>Gothic Revival</t>
  </si>
  <si>
    <t>What trading route joined Khwarezmia and the Mongol Empire?</t>
  </si>
  <si>
    <t>What types of pharmacy functions have begun to be outsourced?</t>
  </si>
  <si>
    <t>Is the Lisbon Treaty one that would alter existing treaties or replace them?</t>
  </si>
  <si>
    <t>Originating as the Jama'at al-Tawhid wal-Jihad in 1999, it pledged allegiance to al-Qaeda in 2004, participated in the Iraqi insurgency that followed the March 2003 invasion of Iraq by Western forces, joined the fight in the Syrian Civil War beginning in March 2011, and was expelled from al-Qaeda in early 2014, (which complained of its failure to consult and "notorious intransigence"). The group gained prominence after it drove Iraqi government forces out of key cities in western Iraq in a 2014 offensive. The group is adept at social media, posting Internet videos of beheadings of soldiers, civilians, journalists and aid workers, and is known for its destruction of cultural heritage sites. The United Nations has held ISIL responsible for human rights abuses and war crimes, and Amnesty International has reported ethnic cleansing by the group on a "historic scale". The group has been designated a terrorist organisation by the United Nations, the European Union and member states, the United States, India, Indonesia, Turkey, Saudi Arabia, Syria and other countries.</t>
  </si>
  <si>
    <t>checks and balances system of the U.S. and many other governments</t>
  </si>
  <si>
    <t>What would type of activities would require a teacher to take on a supervisor role?</t>
  </si>
  <si>
    <t>the chosen machine model</t>
  </si>
  <si>
    <t>organisms</t>
  </si>
  <si>
    <t>1st</t>
  </si>
  <si>
    <t>contemporary Orient, "</t>
  </si>
  <si>
    <t>the ghost of le roi Huguet</t>
  </si>
  <si>
    <t>They lost money</t>
  </si>
  <si>
    <t>post-World War I</t>
  </si>
  <si>
    <t>Rates of sea-level rise</t>
  </si>
  <si>
    <t>BSkyB launched its HDTV service, Sky+ HD, on 22 May 2006. Prior to its launch, BSkyB claimed that 40,000 people had registered to receive the HD service. In the week before the launch, rumours started to surface that BSkyB was having supply issues with its set top box (STB) from manufacturer Thomson. On Thursday 18 May 2006, and continuing through the weekend before launch, people were reporting that BSkyB had either cancelled or rescheduled its installation. Finally, the BBC reported that 17,000 customers had yet to receive the service due to failed deliveries. On 31 March 2012, Sky announced the total number of homes with Sky+HD was 4,222,000.</t>
  </si>
  <si>
    <t>journalism</t>
  </si>
  <si>
    <t>measuring the water's biochemical oxygen demand</t>
  </si>
  <si>
    <t>unfairly biased</t>
  </si>
  <si>
    <t>The steps around the water feature can be drained for what uses?</t>
  </si>
  <si>
    <t>For the 2012–13 school year annual tuition was $38,000, with a total cost of attendance of $57,000. Beginning 2007, families with incomes below $60,000 pay nothing for their children to attend, including room and board. Families with incomes between $60,000 to $80,000 pay only a few thousand dollars per year, and families earning between $120,000 and $180,000 pay no more than 10% of their annual incomes. In 2009, Harvard offered grants totaling $414 million across all eleven divisions;[further explanation needed] $340 million came from institutional funds, $35 million from federal support, and $39 million from other outside support. Grants total 88% of Harvard's aid for undergraduate students, with aid also provided by loans (8%) and work-study (4%).</t>
  </si>
  <si>
    <t>worst-case</t>
  </si>
  <si>
    <t>What is the expression used to identify any given series of problems capable of being solved within time on a deterministic Turing machine?</t>
  </si>
  <si>
    <t>For what occasion was he put on the cover?</t>
  </si>
  <si>
    <t>drainage channels</t>
  </si>
  <si>
    <t>three cinemas</t>
  </si>
  <si>
    <t>as better</t>
  </si>
  <si>
    <t>occupational stress among teachers</t>
  </si>
  <si>
    <t>savings and investment</t>
  </si>
  <si>
    <t>What does Kuznets' curve predict about income inequality given time?</t>
  </si>
  <si>
    <t>the 11th</t>
  </si>
  <si>
    <t>What is the name of the supposition that any number larger than 2 can be represented as the sum of two primes?</t>
  </si>
  <si>
    <t>The new British command was not in place until July. When he arrived in Albany, Abercrombie refused to take any significant actions until Loudoun approved them. Montcalm took bold action against his inertia. Building on Vaudreuil's work harassing the Oswego garrison, Montcalm executed a strategic feint by moving his headquarters to Ticonderoga, as if to presage another attack along Lake George. With Abercrombie pinned down at Albany, Montcalm slipped away and led the successful attack on Oswego in August. In the aftermath, Montcalm and the Indians under his command disagreed about the disposition of prisoners' personal effects. The Europeans did not consider them prizes and prevented the Indians from stripping the prisoners of their valuables, which angered the Indians.</t>
  </si>
  <si>
    <t>The poor and the middle class</t>
  </si>
  <si>
    <t>Who is Antigone's father in the play?</t>
  </si>
  <si>
    <t>sacrament of the Lord's Supper</t>
  </si>
  <si>
    <t>blood–brain barrier, blood–cerebrospinal fluid barrier, and similar fluid–brain barriers</t>
  </si>
  <si>
    <t>Earth</t>
  </si>
  <si>
    <t>Extension</t>
  </si>
  <si>
    <t>one of the richest</t>
  </si>
  <si>
    <t>What might the fees to attend an Irish boarding school rise to?</t>
  </si>
  <si>
    <t xml:space="preserve">Survival needs such as income for food and shelter motivates what type of entrepreneurship? </t>
  </si>
  <si>
    <t>16th and 17th centuries</t>
  </si>
  <si>
    <t>Calendar of Saints</t>
  </si>
  <si>
    <t>Where does southern California's megalopolis standard in terms of population nationwide?</t>
  </si>
  <si>
    <t>increasingly expected to be compensated for their patient care skills</t>
  </si>
  <si>
    <t>Main Quadrangles</t>
  </si>
  <si>
    <t>7.9 million in the U.S</t>
  </si>
  <si>
    <t>the Great Dividing Range</t>
  </si>
  <si>
    <t>Swynnerton Plan</t>
  </si>
  <si>
    <t>What was the name of the first Doctor Who story released as an LP?</t>
  </si>
  <si>
    <t>What provided for the creation of new orders known as "provisional elder?"</t>
  </si>
  <si>
    <t>embroidery</t>
  </si>
  <si>
    <t>diseases from Europe</t>
  </si>
  <si>
    <t>According to polynomial time reduction squaring can ultimately be logically reduced to what?</t>
  </si>
  <si>
    <t>What denomination is the Diocesan School for Girls in Auckland affiliated with?</t>
  </si>
  <si>
    <t>The Talons of Weng-Chiang</t>
  </si>
  <si>
    <t>Despite the Presburger problem, and in view of intractability, what has been done to establish solutions in reasonable periods of time?</t>
  </si>
  <si>
    <t>Emergency Highway Energy Conservation Act</t>
  </si>
  <si>
    <t>influential</t>
  </si>
  <si>
    <t>three hundred sixty schools and institutions overseas.</t>
  </si>
  <si>
    <t>angle is the rotational equivalent for position</t>
  </si>
  <si>
    <t>How many ways are available to help reduce the stress of teaching?</t>
  </si>
  <si>
    <t>Why was the Dalek script rejected at first?</t>
  </si>
  <si>
    <t>Prevenient grace,</t>
  </si>
  <si>
    <t>from about 400 AD to 1914</t>
  </si>
  <si>
    <t>In the summer of 1521, Luther widened his target from individual pieties like indulgences and pilgrimages to doctrines at the heart of Church practices. In On the Abrogation of the Private Mass, he condemned as idolatry the idea that the mass is a sacrifice, asserting instead that it is a gift, to be received with thanksgiving by the whole congregation. His essay On Confession, Whether the Pope has the Power to Require It rejected compulsory confession and encouraged private confession and absolution, since "every Christian is a confessor." In November, Luther wrote The Judgement of Martin Luther on Monastic Vows. He assured monks and nuns that they could break their vows without sin, because vows were an illegitimate and vain attempt to win salvation.</t>
  </si>
  <si>
    <t>Masovian gothic</t>
  </si>
  <si>
    <t>the American Baptist Education Society</t>
  </si>
  <si>
    <t>What else did Tesla do for work at this time?</t>
  </si>
  <si>
    <t>continental art 1600–1800</t>
  </si>
  <si>
    <t>Tesla wrote a number of books and articles for magazines and journals. Among his books are My Inventions: The Autobiography of Nikola Tesla, compiled and edited by Ben Johnston; The Fantastic Inventions of Nikola Tesla, compiled and edited by David Hatcher Childress; and The Tesla Papers.</t>
  </si>
  <si>
    <t>What did the non-Afghan veterans returning home have in addition to their prestige?</t>
  </si>
  <si>
    <t>How many cathedrals does Newcastle have?</t>
  </si>
  <si>
    <t>Who in Warsaw has the power of legislative action?</t>
  </si>
  <si>
    <t>Orientalism refers to how the West developed a what of the East?</t>
  </si>
  <si>
    <t>All My Children and One Life to Live</t>
  </si>
  <si>
    <t>All humans are sinners by nature, he explained, and God's grace (which cannot be earned) alone can make them just.</t>
  </si>
  <si>
    <t>For the complexity classes defined in this way, it is desirable to prove that relaxing the requirements on (say) computation time indeed defines a bigger set of problems. In particular, although DTIME(n) is contained in DTIME(n2), it would be interesting to know if the inclusion is strict. For time and space requirements, the answer to such questions is given by the time and space hierarchy theorems respectively. They are called hierarchy theorems because they induce a proper hierarchy on the classes defined by constraining the respective resources. Thus there are pairs of complexity classes such that one is properly included in the other. Having deduced such proper set inclusions, we can proceed to make quantitative statements about how much more additional time or space is needed in order to increase the number of problems that can be solved.</t>
  </si>
  <si>
    <t>______ In both liquid and gas form can fastly result in an exlposion.</t>
  </si>
  <si>
    <t>What is an additional meaning intended when the word prime is used?</t>
  </si>
  <si>
    <t>immunological memory</t>
  </si>
  <si>
    <t>Two</t>
  </si>
  <si>
    <t>How long did it take Johnson to respond to Kennedy?</t>
  </si>
  <si>
    <t>Kenya ranks low on Transparency International's Corruption Perception Index (CPI), a metric which attempts to gauge the prevalence of public sector corruption in various countries. In 2012, the nation placed 139th out of 176 total countries in the CPI, with a score of 27/100. However, there are several rather significant developments with regards to curbing corruption from the Kenyan government, for instance, the establishment of a new and independent Ethics and Anti-Corruption Commission (EACC).</t>
  </si>
  <si>
    <t>On what show did Bill Aiken make is television debut?</t>
  </si>
  <si>
    <t>The Newcastle Beer Festival</t>
  </si>
  <si>
    <t>"cellular" and "humoral" theories of immunity</t>
  </si>
  <si>
    <t>Who was given land by British goovernment for development of Ohio Country?</t>
  </si>
  <si>
    <t>The Yuan dynasty is considered both a successor to the Mongol Empire and an imperial Chinese dynasty. It was the khanate ruled by the successors of Möngke Khan after the division of the Mongol Empire. In official Chinese histories, the Yuan dynasty bore the Mandate of Heaven, following the Song dynasty and preceding the Ming dynasty. The dynasty was established by Kublai Khan, yet he placed his grandfather Genghis Khan on the imperial records as the official founder of the dynasty as Taizu.[b] In the Proclamation of the Dynastic Name (《建國號詔》), Kublai announced the name of the new dynasty as Great Yuan and claimed the succession of former Chinese dynasties from the Three Sovereigns and Five Emperors to the Tang dynasty.</t>
  </si>
  <si>
    <t>over 100%</t>
  </si>
  <si>
    <t>Edict of Potsdam</t>
  </si>
  <si>
    <t>by undulating their bodies as well as by the beating of their comb-rows</t>
  </si>
  <si>
    <t>Aristotelian cosmology</t>
  </si>
  <si>
    <t>When was the new constitution promulgated?</t>
  </si>
  <si>
    <t>Almost all species are hermaphrodites, in other words they function as both males and females at the same time – except that in two species of the genus Ocryopsis individuals remain of the same single sex all their lives. The gonads are located in the parts of the internal canal network under the comb rows, and eggs and sperm are released via pores in the epidermis. Fertilization is external in most species, but platyctenids use internal fertilization and keep the eggs in brood chambers until they hatch. Self-fertilization has occasionally been seen in species of the genus Mnemiopsis, and it is thought that most of the hermaphroditic species are self-fertile.</t>
  </si>
  <si>
    <t>How many Grade One listed railway stations are in the UK?</t>
  </si>
  <si>
    <t>plague of Athens in 430 BC</t>
  </si>
  <si>
    <t>to fund his Colorado Springs experiments.</t>
  </si>
  <si>
    <t>a nationwide network</t>
  </si>
  <si>
    <t>Who does not take a position on the canonicity of Doctor Who stories by other media?</t>
  </si>
  <si>
    <t>Wednesdays</t>
  </si>
  <si>
    <t xml:space="preserve">What principle relates to the formation of faults and the age of the sequences through which they cut? </t>
  </si>
  <si>
    <t>three bodies of water:</t>
  </si>
  <si>
    <t>What does stong force act upon?</t>
  </si>
  <si>
    <t>workers wages</t>
  </si>
  <si>
    <t>graph isomorphism problem, the discrete logarithm problem and the integer factorization problem</t>
  </si>
  <si>
    <t>a problem instance</t>
  </si>
  <si>
    <t>Kenya is a presidential representative democratic republic. The President is both the head of state and head of government, and of a multi-party system. Executive power is exercised by the government. Legislative power is vested in both the government and the National Assembly and the Senate. The Judiciary is independent of the executive and the legislature. There was growing concern especially during former president Daniel arap Moi's tenure that the executive was increasingly meddling with the affairs of the judiciary.[citation needed]</t>
  </si>
  <si>
    <t>Wise up or die</t>
  </si>
  <si>
    <t>10 November 1483</t>
  </si>
  <si>
    <t>How many people attended the funeral?</t>
  </si>
  <si>
    <t>What dynasty did Zhang Rhou help attack?</t>
  </si>
  <si>
    <t>Another major division within Islamism is between what Graham E. Fuller has described as the fundamentalist "guardians of the tradition" (Salafis, such as those in the Wahhabi movement) and the "vanguard of change and Islamic reform" centered around the Muslim Brotherhood. Olivier Roy argues that "Sunni pan-Islamism underwent a remarkable shift in the second half of the 20th century" when the Muslim Brotherhood movement and its focus on Islamisation of pan-Arabism was eclipsed by the Salafi movement with its emphasis on "sharia rather than the building of Islamic institutions," and rejection of Shia Islam. Following the Arab Spring, Roy has described Islamism as "increasingly interdependent" with democracy in much of the Arab Muslim world, such that "neither can now survive without the other." While Islamist political culture itself may not be democratic, Islamists need democratic elections to maintain their legitimacy. At the same time, their popularity is such that no government can call itself democratic that excludes mainstream Islamist groups.</t>
  </si>
  <si>
    <t>Where was Luther buried?</t>
  </si>
  <si>
    <t>made a grade of A for all four years</t>
  </si>
  <si>
    <t>the SI unit of magnetic flux density</t>
  </si>
  <si>
    <t>Scots</t>
  </si>
  <si>
    <t>In this work, one of his most emphatic statements on faith, he argued that every good work designed to attract God's favor is a sin. All humans are sinners by nature, he explained, and God's grace (which cannot be earned) alone can make them just. On 1 August 1521, Luther wrote to Melanchthon on the same theme: "Be a sinner, and let your sins be strong, but let your trust in Christ be stronger, and rejoice in Christ who is the victor over sin, death, and the world. We will commit sins while we are here, for this life is not a place where justice resides."</t>
  </si>
  <si>
    <t>What can scales and spring balances measure between two forces by using static equilibrium?</t>
  </si>
  <si>
    <t>recurring and life-threatening infections.</t>
  </si>
  <si>
    <t>refusals to pay taxes</t>
  </si>
  <si>
    <t>if they were non-discriminatory, "justified by imperative requirements in the general interest" and proportionately applied</t>
  </si>
  <si>
    <t>A BBC audience research survey conducted in 1972 found that, by their own definition of violence ("any act[s] which may cause physical and/or psychological injury, hurt or death to persons, animals or property, whether intentional or accidental") Doctor Who was the most violent of the drama programmes the corporation produced at the time. The same report found that 3% of the surveyed audience regarded the show as "very unsuitable" for family viewing. Responding to the findings of the survey in The Times newspaper, journalist Philip Howard maintained that, "to compare the violence of Dr Who, sired by a horse-laugh out of a nightmare, with the more realistic violence of other television series, where actors who look like human beings bleed paint that looks like blood, is like comparing Monopoly with the property market in London: both are fantasies, but one is meant to be taken seriously."</t>
  </si>
  <si>
    <t>In modern times, what is said about civil disobedience?</t>
  </si>
  <si>
    <t>conquering the other state's lands</t>
  </si>
  <si>
    <t>The Annual Conference</t>
  </si>
  <si>
    <t>regional cities</t>
  </si>
  <si>
    <t>What is more fundamental than force in quanton field theory?</t>
  </si>
  <si>
    <t xml:space="preserve">What  things did the network concentrate on </t>
  </si>
  <si>
    <t>What is a recent civil disobedience done in a group form?</t>
  </si>
  <si>
    <t>Mughal emperors</t>
  </si>
  <si>
    <t>relationship contracting where the emphasis is on a co-operative relationship</t>
  </si>
  <si>
    <t>Apollo set several major human spaceflight milestones. It stands alone in sending manned missions beyond low Earth orbit. Apollo 8 was the first manned spacecraft to orbit another celestial body, while the final Apollo 17 mission marked the sixth Moon landing and the ninth manned mission beyond low Earth orbit. The program returned 842 pounds (382 kg) of lunar rocks and soil to Earth, greatly contributing to the understanding of the Moon's composition and geological history. The program laid the foundation for NASA's current human spaceflight capability, and funded construction of its Johnson Space Center and Kennedy Space Center. Apollo also spurred advances in many areas of technology incidental to rocketry and manned spaceflight, including avionics, telecommunications, and computers.</t>
  </si>
  <si>
    <t>lamprey and hagfish</t>
  </si>
  <si>
    <t>Castle Church in Wittenberg</t>
  </si>
  <si>
    <t>shipping</t>
  </si>
  <si>
    <t>European liberalism</t>
  </si>
  <si>
    <t>What is the name of the program that provides contracting work to local companies?</t>
  </si>
  <si>
    <t>July 24.</t>
  </si>
  <si>
    <t>what is the most controversial aspect of imperialism?</t>
  </si>
  <si>
    <t>the force of gravity on an object</t>
  </si>
  <si>
    <t>propose a range of preincident population figures from as high as 7 million to as low as 4 million</t>
  </si>
  <si>
    <t>the Taihō Code (701) and re-stated in the Yōrō Code (718)</t>
  </si>
  <si>
    <t>For exercise, Tesla walked between 8 to 10 miles per day. He squished his toes one hundred times for each foot every night, saying that it stimulated his brain cells.</t>
  </si>
  <si>
    <t>What did Luther promise to do as a concession?</t>
  </si>
  <si>
    <t>What did the initial first stages of the Saturn I tests carry?</t>
  </si>
  <si>
    <t>the mantle</t>
  </si>
  <si>
    <t>decisions of non-governmental agencies</t>
  </si>
  <si>
    <t>Other than the motion picture and television industry, what other major industry is centered in Los Angeles?</t>
  </si>
  <si>
    <t>What date was Super Bowl Opening Night held?</t>
  </si>
  <si>
    <t>since at least the mid-14th century</t>
  </si>
  <si>
    <t>intractable problems</t>
  </si>
  <si>
    <t>three hundred years</t>
  </si>
  <si>
    <t>Episcopal Areas</t>
  </si>
  <si>
    <t>Who did he fire?</t>
  </si>
  <si>
    <t>residual of the force</t>
  </si>
  <si>
    <t>Which two generals raided the Caucasas and Kievan Rus' for Genghis Khan?</t>
  </si>
  <si>
    <t>helps many proteins bind the polypeptide</t>
  </si>
  <si>
    <t>September 1944</t>
  </si>
  <si>
    <t>When was San Francisco voted to be the location for Super Bowl 50?</t>
  </si>
  <si>
    <t>the Kenya National Library Service</t>
  </si>
  <si>
    <t>day after</t>
  </si>
  <si>
    <t>Pharmacy</t>
  </si>
  <si>
    <t>Economy, Energy and Tourism is one of the what?</t>
  </si>
  <si>
    <t>Invertebrates do not generate what type of cells that are a part of the vertebrate adaptive immune system?</t>
  </si>
  <si>
    <t>air</t>
  </si>
  <si>
    <t>extremely high</t>
  </si>
  <si>
    <t>up to four minutes</t>
  </si>
  <si>
    <t>Why did the university eventually leave the conference?</t>
  </si>
  <si>
    <t>WHen did ARPNET and SITA become operational</t>
  </si>
  <si>
    <t>Which theorem can be simplified to the Lasker–Noether theorem?</t>
  </si>
  <si>
    <t>Louis Comfort Tiffany and Émile Gallé</t>
  </si>
  <si>
    <t>Japan Aerospace Exploration Agency's SELENE</t>
  </si>
  <si>
    <t>letters were used instead of numbers</t>
  </si>
  <si>
    <t>Turing machine</t>
  </si>
  <si>
    <t>At what wavelength do the spectrophotometric bands peak?</t>
  </si>
  <si>
    <t>nine seasons</t>
  </si>
  <si>
    <t>became Christians</t>
  </si>
  <si>
    <t>causing fish stocks to collapse</t>
  </si>
  <si>
    <t>two cell membranes</t>
  </si>
  <si>
    <t>dislodge the French</t>
  </si>
  <si>
    <t>castles</t>
  </si>
  <si>
    <t>deforestation</t>
  </si>
  <si>
    <t>A job where there are many workers willing to work a large amount of time (high supply) competing for a job that few require (low demand) will result in a low wage for that job. This is because competition between workers drives down the wage. An example of this would be jobs such as dish-washing or customer service. Competition amongst workers tends to drive down wages due to the expendable nature of the worker in relation to his or her particular job. A job where there are few able or willing workers (low supply), but a large need for the positions (high demand), will result in high wages for that job. This is because competition between employers for employees will drive up the wage. Examples of this would include jobs that require highly developed skills, rare abilities, or a high level of risk. Competition amongst employers tends to drive up wages due to the nature of the job, since there is a relative shortage of workers for the particular position. Professional and labor organizations may limit the supply of workers which results in higher demand and greater incomes for members. Members may also receive higher wages through collective bargaining, political influence, or corruption.</t>
  </si>
  <si>
    <t>Conservatives</t>
  </si>
  <si>
    <t>dispute over control</t>
  </si>
  <si>
    <t>What shape is the water feature in the John Madejski Garden?</t>
  </si>
  <si>
    <t>How was it determined how many from each camp would be appointed?</t>
  </si>
  <si>
    <t>How many intercollegiate sports does Harvard compete in NCAA division I</t>
  </si>
  <si>
    <t>What part of the V&amp;A collection does the Henry Cole Wing houses?</t>
  </si>
  <si>
    <t xml:space="preserve">What is Creon trying to stop Antigone from doing in the play? </t>
  </si>
  <si>
    <t>Warsaw's National Museum is one of the most what?</t>
  </si>
  <si>
    <t>wisdom and prudence of certain decisions</t>
  </si>
  <si>
    <t>Intergovernmental_Panel_on_Climate_Change</t>
  </si>
  <si>
    <t>What paper is commonly considered the bellwether ushering in systematic studies computational complexity?</t>
  </si>
  <si>
    <t>What is included along with gravitational acceration, and mass of the Earth in a formula about rotation about the Earth?</t>
  </si>
  <si>
    <t>What is the full name of the ASER?</t>
  </si>
  <si>
    <t>What distinction does the Bank of America Tower hold?</t>
  </si>
  <si>
    <t>the Commission</t>
  </si>
  <si>
    <t>Which foreign forces often meddled in the Mongolian political scene?</t>
  </si>
  <si>
    <t>What is the Norman architecture idiom?</t>
  </si>
  <si>
    <t>Gothic architecture</t>
  </si>
  <si>
    <t>Focus on what is to ameliorate the many problems that arise from the often highly competitive and adversarial practices within the construction industry.</t>
  </si>
  <si>
    <t>the opening of hostilities</t>
  </si>
  <si>
    <t>the mortar and pestle and the ℞ (recipere) character</t>
  </si>
  <si>
    <t>July 6, 2009</t>
  </si>
  <si>
    <t>When would a person be considered to be excising a constitutional impasse?</t>
  </si>
  <si>
    <t>The city's residents fled to the north</t>
  </si>
  <si>
    <t>newly accessioned</t>
  </si>
  <si>
    <t>In the early 1990s the memory of Genghis Khan with the Mongolian national identity has had a powerful revival partly because of his perception during the Mongolian People's Republic period. Genghis Khan became one of the central figures of the national identity. He is looked upon positively by Mongolians for his role in uniting warring tribes. For example, it is not uncommon for Mongolians to refer to their country as "Genghis Khan's Mongolia", to themselves as "Genghis Khan's children", and to Genghis Khan as the "father of the Mongols" especially among the younger generation. However, there is a chasm in the perception of his brutality. Mongolians maintain that the historical records written by non-Mongolians are unfairly biased against Genghis Khan and that his butchery is exaggerated, while his positive role is underrated.</t>
  </si>
  <si>
    <t>When did WJZ-TV in NYC begin broadcasting?</t>
  </si>
  <si>
    <t>Academy Awards</t>
  </si>
  <si>
    <t>most densely populated</t>
  </si>
  <si>
    <t>Who influenced Bismark besides his neighbors?</t>
  </si>
  <si>
    <t>After what higher learning model was the school designed?</t>
  </si>
  <si>
    <t>Fringe</t>
  </si>
  <si>
    <t>non-self molecules</t>
  </si>
  <si>
    <t>Education in Australia is primarily the responsibility of the individual states and territories. Generally, education in Australia follows the three-tier model which includes primary education (primary schools), followed by secondary education (secondary schools/high schools) and tertiary education (universities and/or TAFE colleges).</t>
  </si>
  <si>
    <t>What characteristic of oxygen causes it to form bonds with other elements?</t>
  </si>
  <si>
    <t>no contest</t>
  </si>
  <si>
    <t>Where did Luther explain his idea of justification?</t>
  </si>
  <si>
    <t>What language did Tesla study while in school?</t>
  </si>
  <si>
    <t>What is unique about  simultaneous hermaphrodites?</t>
  </si>
  <si>
    <t>"Start Here"</t>
  </si>
  <si>
    <t>Are juiveniles capable of reproduction?</t>
  </si>
  <si>
    <t>share recordings</t>
  </si>
  <si>
    <t>Ctenophores are less complex than what other group?</t>
  </si>
  <si>
    <t>How are ergänzungsschulen funded?</t>
  </si>
  <si>
    <t>University of Washington</t>
  </si>
  <si>
    <t>one-fifth</t>
  </si>
  <si>
    <t xml:space="preserve">Packet Switching contrast with what other principal </t>
  </si>
  <si>
    <t>the least onerous must be adopted</t>
  </si>
  <si>
    <t>highways</t>
  </si>
  <si>
    <t>What needs to be avoided with civil disobedience?</t>
  </si>
  <si>
    <t>What does photosynthesis release into the Earth's atmosphere?</t>
  </si>
  <si>
    <t>electric lamps</t>
  </si>
  <si>
    <t>What prohibits atoms from passing through each other?</t>
  </si>
  <si>
    <t>Historically, which movement has the Methodist Church supported?</t>
  </si>
  <si>
    <t>How long does the main façade stretch along Cromwell Gardens?</t>
  </si>
  <si>
    <t>What kind of human T cells respond to common molecules produced by microbes?</t>
  </si>
  <si>
    <t>What areas are pharmacy informatics prepared to work in?</t>
  </si>
  <si>
    <t>discontinued</t>
  </si>
  <si>
    <t>their own militia</t>
  </si>
  <si>
    <t>What organization argued that drought, among other effects, could cause the Amazon forest to reach a "tipping point?"</t>
  </si>
  <si>
    <t>uniquely determined</t>
  </si>
  <si>
    <t>In March 1896, after hearing of Wilhelm Röntgen's discovery of X-ray and X-ray imaging (radiography), Tesla proceeded to do his own experiments in X-ray imaging, developing a high energy single terminal vacuum tube of his own design that had no target electrode and that worked from the output of the Tesla Coil (the modern term for the phenomenon produced by this device is bremsstrahlung or braking radiation). In his research, Tesla devised several experimental setups to produce X-rays. Tesla held that, with his circuits, the "instrument will ... enable one to generate Roentgen rays of much greater power than obtainable with ordinary apparatus."</t>
  </si>
  <si>
    <t>What did the finding of gold in Victoria cause?</t>
  </si>
  <si>
    <t>Who were Temüjin's three full brothers?</t>
  </si>
  <si>
    <t>Which basin does the dust falls over into?</t>
  </si>
  <si>
    <t>Annual Conference Order of Deacons</t>
  </si>
  <si>
    <t>that each side is capable of performing the obligations set out</t>
  </si>
  <si>
    <t>tuition fees</t>
  </si>
  <si>
    <t>unusual resources</t>
  </si>
  <si>
    <t>an ignition event</t>
  </si>
  <si>
    <t>food security</t>
  </si>
  <si>
    <t>Scandinavia and northern Europe,</t>
  </si>
  <si>
    <t>In accordance with his father's wishes, Luther enrolled in law school at the same university that year but dropped out almost immediately, believing that law represented uncertainty. Luther sought assurances about life and was drawn to theology and philosophy, expressing particular interest in Aristotle, William of Ockham, and Gabriel Biel. He was deeply influenced by two tutors, Bartholomaeus Arnoldi von Usingen and Jodocus Trutfetter, who taught him to be suspicious of even the greatest thinkers and to test everything himself by experience. Philosophy proved to be unsatisfying, offering assurance about the use of reason but none about loving God, which to Luther was more important. Reason could not lead men to God, he felt, and he thereafter developed a love-hate relationship with Aristotle over the latter's emphasis on reason. For Luther, reason could be used to question men and institutions, but not God. Human beings could learn about God only through divine revelation, he believed, and Scripture therefore became increasingly important to him.</t>
  </si>
  <si>
    <t>The Internet2 community, in partnership with Qwest</t>
  </si>
  <si>
    <t>This region includes territory belonging to nine nations.</t>
  </si>
  <si>
    <t>In 2009, NASA held a symposium on project costs which presented an estimate of the Apollo program costs in 2005 dollars as roughly $170 billion. This included all research and development costs; the procurement of 15 Saturn V rockets, 16 Command/Service Modules, 12 Lunar Modules, plus program support and management costs; construction expenses for facilities and their upgrading, and costs for flight operations. This was based on a Congressional Budget Office report, A Budgetary Analysis of NASA's New Vision for Space, September 2004. The Space Review estimated in 2010 the cost of Apollo from 1959 to 1973 as $20.4 billion, or $109 billion in 2010 dollars.</t>
  </si>
  <si>
    <t>the Treaty on the Functioning of the European Union</t>
  </si>
  <si>
    <t>Imperialism and colonialism both dictate the political and economic advantage over a land and the indigenous populations they control, yet scholars sometimes find it difficult to illustrate the difference between the two. Although imperialism and colonialism focus on the suppression of an other, if colonialism refers to the process of a country taking physical control of another, imperialism refers to the political and monetary dominance, either formally or informally. Colonialism is seen to be the architect deciding how to start dominating areas and then imperialism can be seen as creating the idea behind conquest cooperating with colonialism. Colonialism is when the imperial nation begins a conquest over an area and then eventually is able to rule over the areas the previous nation had controlled. Colonialism's core meaning is the exploitation of the valuable assets and supplies of the nation that was conquered and the conquering nation then gaining the benefits from the spoils of the war. The meaning of imperialism is to create an empire, by conquering the other state's lands and therefore increasing its own dominance. Colonialism is the builder and preserver of the colonial possessions in an area by a population coming from a foreign region. Colonialism can completely change the existing social structure, physical structure and economics of an area; it is not unusual that the characteristics of the conquering peoples are inherited by the conquered indigenous populations.</t>
  </si>
  <si>
    <t>Africa's most successful nation in the 2008 Olympics</t>
  </si>
  <si>
    <t>pity</t>
  </si>
  <si>
    <t>In anglophone academic works, theories regarding imperialism are often based on the British experience. The term "Imperialism" was originally introduced into English in its present sense in the late 1870s by opponents of the allegedly aggressive and ostentatious imperial policies of British prime Minister Benjamin Disraeli. It was shortly appropriated by supporters of "imperialism" such as Joseph Chamberlain. For some, imperialism designated a policy of idealism and philanthropy; others alleged that it was characterized by political self-interest, and a growing number associated it with capitalist greed. Liberal John A. Hobson and Marxist Vladimir Lenin added a more theoretical macroeconomic connotation to the term. Lenin in particular exerted substantial influence over later Marxist conceptions of imperialism with his work Imperialism, the Highest Stage of Capitalism. In his writings Lenin portrayed Imperialism as a natural extension of capitalism that arose from need for capitalist economies to constantly expand investment, material resources and manpower in such a way that necessitated colonial expansion. This conception of imperialism as a structural feature of capitalism is echoed by later Marxist theoreticians. Many theoreticians on the left have followed in emphasizing the structural or systemic character of "imperialism". Such writers have expanded the time period associated with the term so that it now designates neither a policy, nor a short space of decades in the late 19th century, but a world system extending over a period of centuries, often going back to Christopher Columbus and, in some accounts, to the Crusades. As the application of the term has expanded, its meaning has shifted along five distinct but often parallel axes: the moral, the economic, the systemic, the cultural, and the temporal. Those changes reflect - among other shifts in sensibility - a growing unease, even squeamishness, with the fact of power, specifically, Western power.</t>
  </si>
  <si>
    <t>a series of power blackouts across the country</t>
  </si>
  <si>
    <t>clinical officers, medical officers and medical practitioners</t>
  </si>
  <si>
    <t>By 1897, how much had Tesla, Brown, and Peck received in royalties and licenses over the patents?</t>
  </si>
  <si>
    <t>GTE</t>
  </si>
  <si>
    <t>Misconduct by teachers, especially sexual misconduct, has been getting increased scrutiny from the media and the courts. A study by the American Association of University Women reported that 9.6% of students in the United States claim to have received unwanted sexual attention from an adult associated with education; be they a volunteer, bus driver, teacher, administrator or other adult; sometime during their educational career.</t>
  </si>
  <si>
    <t>the traditional old boy network</t>
  </si>
  <si>
    <t>Taking evidence from witnesses is one of committees' what?</t>
  </si>
  <si>
    <t>Apollo was grounded</t>
  </si>
  <si>
    <t>that power which enables us to love and motivates us to seek a relationship with God through Jesus Christ.</t>
  </si>
  <si>
    <t>supportive ministry with all women,</t>
  </si>
  <si>
    <t>How can you protest against the government in an individual way?</t>
  </si>
  <si>
    <t>nearly 60,000</t>
  </si>
  <si>
    <t>functions</t>
  </si>
  <si>
    <t>How much did Edison offer Tesla to redesign a motor and generators?</t>
  </si>
  <si>
    <t>What has been characterized as Arminian theology with an emphasis on the work of the Holy Spirit?</t>
  </si>
  <si>
    <t>British blockade of the French coastline limited French shipping.</t>
  </si>
  <si>
    <t>In what century did missionaries notably establish church schools in South Africa?</t>
  </si>
  <si>
    <t>Colonies were a sign of what amongst European countries?</t>
  </si>
  <si>
    <t>The loss of biodiversity may be the result of what, according to environmentalists?</t>
  </si>
  <si>
    <t>some form of the ordinary Eastern or bubonic plague</t>
  </si>
  <si>
    <t>The hardest problems in NP can be analogously written as what class of problems?</t>
  </si>
  <si>
    <t>Great Fire of London</t>
  </si>
  <si>
    <t>vast areas</t>
  </si>
  <si>
    <t>What is the English translation of Kunskapsskolan?</t>
  </si>
  <si>
    <t>in March</t>
  </si>
  <si>
    <t>reduced moist tropical vegetation cover in the basin</t>
  </si>
  <si>
    <t>her weight.</t>
  </si>
  <si>
    <t>13 June 1525</t>
  </si>
  <si>
    <t>longitudinal waves, such as those produced in waves in plasmas</t>
  </si>
  <si>
    <t>$20 billion</t>
  </si>
  <si>
    <t>abstract</t>
  </si>
  <si>
    <t>oxidant</t>
  </si>
  <si>
    <t>next day</t>
  </si>
  <si>
    <t>gold-themed</t>
  </si>
  <si>
    <t>the sum of divisors function</t>
  </si>
  <si>
    <t>People who climb mountains or fly in non-pressurized fixed-wing aircraft sometimes have supplemental O
2 supplies.[h] Passengers traveling in (pressurized) commercial airplanes have an emergency supply of O
2 automatically supplied to them in case of cabin depressurization. Sudden cabin pressure loss activates chemical oxygen generators above each seat, causing oxygen masks to drop. Pulling on the masks "to start the flow of oxygen" as cabin safety instructions dictate, forces iron filings into the sodium chlorate inside the canister. A steady stream of oxygen gas is then produced by the exothermic reaction.</t>
  </si>
  <si>
    <t>Killer T cells are a sub-group of T cells that kill cells that are infected with viruses (and other pathogens), or are otherwise damaged or dysfunctional. As with B cells, each type of T cell recognizes a different antigen. Killer T cells are activated when their T cell receptor (TCR) binds to this specific antigen in a complex with the MHC Class I receptor of another cell. Recognition of this MHC:antigen complex is aided by a co-receptor on the T cell, called CD8. The T cell then travels throughout the body in search of cells where the MHC I receptors bear this antigen. When an activated T cell contacts such cells, it releases cytotoxins, such as perforin, which form pores in the target cell's plasma membrane, allowing ions, water and toxins to enter. The entry of another toxin called granulysin (a protease) induces the target cell to undergo apoptosis. T cell killing of host cells is particularly important in preventing the replication of viruses. T cell activation is tightly controlled and generally requires a very strong MHC/antigen activation signal, or additional activation signals provided by "helper" T cells (see below).</t>
  </si>
  <si>
    <t>one (or more) of the departments (or ministries) of the Scottish Government</t>
  </si>
  <si>
    <t>not taking jobs due to marriage or pregnancy</t>
  </si>
  <si>
    <t>help transfer and dissipate excess energy</t>
  </si>
  <si>
    <t>Inner Mongolia region</t>
  </si>
  <si>
    <t>Ediacaran eoandromeda can be regarded to represent what?</t>
  </si>
  <si>
    <t>Indians fought on both sides of the conflict, and that this was part of the Seven Years' War</t>
  </si>
  <si>
    <t>human cosmonauts</t>
  </si>
  <si>
    <t>an equality</t>
  </si>
  <si>
    <t>What commonality do alternate machine models, such as random access machines, share with Turing machines?</t>
  </si>
  <si>
    <t>regeneration</t>
  </si>
  <si>
    <t>statement suggested a lack of remorse</t>
  </si>
  <si>
    <t>granules</t>
  </si>
  <si>
    <t>Arabic numerals</t>
  </si>
  <si>
    <t>object started with a non-zero velocity</t>
  </si>
  <si>
    <t>radius () of the Earth</t>
  </si>
  <si>
    <t>In July 1888, Brown and Peck negotiated a licensing deal with George Westinghouse for Tesla's polyphase induction motor and transformer designs for $60,000 in cash and stock and a royalty of $2.50 per AC horsepower produced by each motor. Westinghouse also hired Tesla for one year for the large fee of $2,000 ($52,700 in today's dollars) per month to be a consultant at the Westinghouse Electric &amp; Manufacturing Company's Pittsburgh labs.</t>
  </si>
  <si>
    <t>What can and old, ill man not do?</t>
  </si>
  <si>
    <t>Some theories argue that civil disobedience is justified in regard to?</t>
  </si>
  <si>
    <t>What was the first international event broadcast by ABC?</t>
  </si>
  <si>
    <t>a lot of waste</t>
  </si>
  <si>
    <t>nucleons in atomic nuclei</t>
  </si>
  <si>
    <t>Gods of Egypt</t>
  </si>
  <si>
    <t>as decision problems</t>
  </si>
  <si>
    <t>Where did Jebe die?</t>
  </si>
  <si>
    <t>How is the plaster replica of Verrocchio's David displayed in the Cast Courts?</t>
  </si>
  <si>
    <t>Muslim</t>
  </si>
  <si>
    <t>Slave craton in northwestern Canada</t>
  </si>
  <si>
    <t>Céloron's expedition force consisted of about 200 Troupes de la marine and 30 Indians. The expedition covered about 3,000 miles (4,800 km) between June and November 1749. It went up the St. Lawrence, continued along the northern shore of Lake Ontario, crossed the portage at Niagara, and followed the southern shore of Lake Erie. At the Chautauqua Portage (near present-day Barcelona, New York), the expedition moved inland to the Allegheny River, which it followed to the site of present-day Pittsburgh. There Céloron buried lead plates engraved with the French claim to the Ohio Country. Whenever he encountered British merchants or fur-traders, Céloron informed them of the French claims on the territory and told them to leave.</t>
  </si>
  <si>
    <t>sending an email to the Lebanon, New Hampshire city councilors</t>
  </si>
  <si>
    <t>What did Gasquet's book blame the plague on?</t>
  </si>
  <si>
    <t>unmanned</t>
  </si>
  <si>
    <t>What network was converted into an independent subsidiary by RCA in 1942?</t>
  </si>
  <si>
    <t>The American Broadcasting Company (ABC) (stylized in its logo as abc since 1957) is an American commercial broadcast television network that is owned by the Disney–ABC Television Group, a subsidiary of Disney Media Networks division of The Walt Disney Company. The network is part of the Big Three television networks. The network is headquartered on Columbus Avenue and West 66th Street in Manhattan, with additional major offices and production facilities in New York City, Los Angeles and Burbank, California.</t>
  </si>
  <si>
    <t>the ring of integers of quadratic number fields</t>
  </si>
  <si>
    <t>Cilia can g ow up too what length?</t>
  </si>
  <si>
    <t>Since students do not pay tuition, what do they have to pay for schooling in Victoria?</t>
  </si>
  <si>
    <t>a major part</t>
  </si>
  <si>
    <t>Episcopal (United States) Calendar of Saints.</t>
  </si>
  <si>
    <t>What can students that complete high school have opportunites to do?</t>
  </si>
  <si>
    <t>if every problem in C can be reduced to X</t>
  </si>
  <si>
    <t>What aspect of Western medicine did the Chinese dislike?</t>
  </si>
  <si>
    <t>What disagreement did Montcalm and Indians have?</t>
  </si>
  <si>
    <t>the Jin dynasty</t>
  </si>
  <si>
    <t xml:space="preserve">What did Davies call his system </t>
  </si>
  <si>
    <t>Who were the announcers of Super Bowl 50?</t>
  </si>
  <si>
    <t>Governon Robert Dinwiddie had an investment in what significan company?</t>
  </si>
  <si>
    <t>2–3 years</t>
  </si>
  <si>
    <t>What cultural festival is the SAMA festival?</t>
  </si>
  <si>
    <t>How many people were in British North American Colonies?</t>
  </si>
  <si>
    <t>"vulgarity and violence</t>
  </si>
  <si>
    <t>Twelve</t>
  </si>
  <si>
    <t>comb jellies</t>
  </si>
  <si>
    <t>What is used to estimate emissions?</t>
  </si>
  <si>
    <t xml:space="preserve">The presence or absence of what can be used to determine the relative age of the formations in which they are found? </t>
  </si>
  <si>
    <t>Why was CBS unable to broadcast the coronation of Queen Elizabeth II?</t>
  </si>
  <si>
    <t>Sanctifying Grace</t>
  </si>
  <si>
    <t>Mstislav the Bold of Halych and Mstislav III of Kiev</t>
  </si>
  <si>
    <t>What is another plague thought to have spread the same way?</t>
  </si>
  <si>
    <t>How far apart are the outer PD ring's filaments?</t>
  </si>
  <si>
    <t>Louis XIV gained the throne in 1643 and acted increasingly aggressively to force the Huguenots to convert. At first he sent missionaries, backed by a fund to financially reward converts to Catholicism. Then he imposed penalties, closed Huguenot schools and excluded them from favored professions. Escalating, he instituted dragonnades, which included the occupation and looting of Huguenot homes by military troops, in an effort to forcibly convert them. In 1685, he issued the Edict of Fontainebleau, revoking the Edict of Nantes and declaring Protestantism illegal.[citation needed]</t>
  </si>
  <si>
    <t>up to a thousand times</t>
  </si>
  <si>
    <t>1596</t>
  </si>
  <si>
    <t>high cost of medications and drug-related technology</t>
  </si>
  <si>
    <t>the accidental introduction of the Mnemiopsis-eating North American ctenophore Beroe ovata, and by a cooling of the local climate from 1991 to 1993</t>
  </si>
  <si>
    <t>What rates of health and social problems are in countries with high inequality?</t>
  </si>
  <si>
    <t>Storybook houses</t>
  </si>
  <si>
    <t>While a child was in school</t>
  </si>
  <si>
    <t>The Rankine cycle</t>
  </si>
  <si>
    <t>five or more seats</t>
  </si>
  <si>
    <t>What color jersey has Denver 0-4?</t>
  </si>
  <si>
    <t>economic stagnation</t>
  </si>
  <si>
    <t>What does the flow of the Rhine being visible depend on?</t>
  </si>
  <si>
    <t>the Chinese</t>
  </si>
  <si>
    <t>detention</t>
  </si>
  <si>
    <t>How long since it's been that geoglyphs were first discovered on deforested land?</t>
  </si>
  <si>
    <t>What theoretical device is attributed to Alan Turing?</t>
  </si>
  <si>
    <t>the Sun</t>
  </si>
  <si>
    <t>article 30</t>
  </si>
  <si>
    <t>What type of protest falls under civil disobedience without aggression?</t>
  </si>
  <si>
    <t>The mountain ranges tail off into what kind of geographical formation?</t>
  </si>
  <si>
    <t>because of the greater density of cold water</t>
  </si>
  <si>
    <t>doomed to perdition</t>
  </si>
  <si>
    <t>Islamist</t>
  </si>
  <si>
    <t>What did Article 12 of the Allied Armistice terms require Germany to withdraw from?</t>
  </si>
  <si>
    <t>What cancels our guilt and empowers us to resist the power of sin and to fully love God and neighbor?</t>
  </si>
  <si>
    <t>What have the two different Islamist movements been described as oscillating between?</t>
  </si>
  <si>
    <t>1524–25,</t>
  </si>
  <si>
    <t>What school did he enroll in during 1875?</t>
  </si>
  <si>
    <t>Name one country that banned boating, driving and flying on Sundays.</t>
  </si>
  <si>
    <t>What is the first line of defense against pathogens that prevents them from entering an organism?</t>
  </si>
  <si>
    <t>thylakoid space</t>
  </si>
  <si>
    <t>What played during the closing credits of the Doctor Who episodes?</t>
  </si>
  <si>
    <t>What two areas in the Republic were first to grant rights to the Huguenots?</t>
  </si>
  <si>
    <t>How many contributing authors does an IPCC report chapter have?</t>
  </si>
  <si>
    <t>January 2, 1971</t>
  </si>
  <si>
    <t>temperature</t>
  </si>
  <si>
    <t>Is the output of a functional problem typically characterized by a simple or complex answer?</t>
  </si>
  <si>
    <t>Glucocorticoids</t>
  </si>
  <si>
    <t>Savannah areas expanded over the last how many years?</t>
  </si>
  <si>
    <t>Civil disobedients' refraining from violence is also said to help preserve society's tolerance of civil disobedience</t>
  </si>
  <si>
    <t>level fell</t>
  </si>
  <si>
    <t>creation of modern Balkan and Middle Eastern states</t>
  </si>
  <si>
    <t>satellite platform</t>
  </si>
  <si>
    <t>the concept of distributed adaptive message block switching</t>
  </si>
  <si>
    <t>Very high-speed Backbone Network Service</t>
  </si>
  <si>
    <t>bacteriophage</t>
  </si>
  <si>
    <t>the innate immune system versus the adaptive immune system</t>
  </si>
  <si>
    <t>the Lisbon Treaty</t>
  </si>
  <si>
    <t>The Northern Pride Festival and Parade</t>
  </si>
  <si>
    <t>What type of engines became popular for power generation after piston steam engines?</t>
  </si>
  <si>
    <t>one of the most influential movements</t>
  </si>
  <si>
    <t>What will have a direct impact of inequality in a system that uses a progressive tax?</t>
  </si>
  <si>
    <t>The interpretation of Islam promoted by this funding was the strict, conservative Saudi-based Wahhabism or Salafism. In its harshest form it preached that Muslims should not only "always oppose" infidels "in every way," but "hate them for their religion ... for Allah's sake," that democracy "is responsible for all the horrible wars of the 20th century," that Shia and other non-Wahhabi Muslims were infidels, etc. While this effort has by no means converted all, or even most Muslims to the Wahhabist interpretation of Islam, it has done much to overwhelm more moderate local interpretations, and has set the Saudi-interpretation of Islam as the "gold standard" of religion in minds of some or many Muslims.</t>
  </si>
  <si>
    <t>The Islamic Republic has also maintained its hold on power in Iran in spite of US economic sanctions, and has created or assisted like-minded Shia terrorist groups in Iraq, Egypt, Syria, Jordan (SCIRI) and Lebanon (Hezbollah) (two Muslim countries that also have large Shiite populations). During the 2006 Israel-Lebanon conflict, the Iranian government enjoyed something of a resurgence in popularity amongst the predominantly Sunni "Arab street," due to its support for Hezbollah and to President Mahmoud Ahmadinejad's vehement opposition to the United States and his call that Israel shall vanish.</t>
  </si>
  <si>
    <t>other locations throughout Scotland</t>
  </si>
  <si>
    <t>The adaptive immune system recognizes non-self antigens during a process called what?</t>
  </si>
  <si>
    <t>Milka, Angelina and Marica</t>
  </si>
  <si>
    <t>Zoning requirements, environmental impact, budgeting, and logistics are things who should consider?</t>
  </si>
  <si>
    <t>It was not until January 1518 that friends of Luther translated the 95 Theses from Latin into German and printed and widely copied them, making the controversy one of the first in history to be aided by the printing press. Within two weeks, copies of the theses had spread throughout Germany; within two months, they had spread throughout Europe.</t>
  </si>
  <si>
    <t>How many species were found in the Burgess Shale?</t>
  </si>
  <si>
    <t>Cytotoxic drugs</t>
  </si>
  <si>
    <t>intractable</t>
  </si>
  <si>
    <t>Which religion did Kublai prefer?</t>
  </si>
  <si>
    <t>Two thirds</t>
  </si>
  <si>
    <t>How far from the Yard is the Quad located?</t>
  </si>
  <si>
    <t>Fossils found in Kenya suggest that primates roamed the area more than 20 million years ago. Recent findings near Lake Turkana indicate that hominids such as Homo habilis (1.8 and 2.5 million years ago) and Homo erectus (1.8 million to 350,000 years ago) are possible direct ancestors of modern Homo sapiens, and lived in Kenya in the Pleistocene epoch. During excavations at Lake Turkana in 1984, paleoanthropologist Richard Leakey assisted by Kamoya Kimeu discovered the Turkana Boy, a 1.6-million-year-old fossil belonging to Homo erectus. Previous research on early hominids is particularly identified with Mary Leakey and Louis Leakey, who were responsible for the preliminary archaeological research at Olorgesailie and Hyrax Hill. Later work at the former site was undertaken by Glynn Isaac.</t>
  </si>
  <si>
    <t>What day was the Super Bowl played on?</t>
  </si>
  <si>
    <t>The 1970s and 1980s saw the emergence of many graphical imaging packages for the network in which based the logo's setting mainly on special lighting effects then under development including white, blue, pink, rainbow neon and glittering dotted lines. Among the "ABC Circle" logo's many variants was a 1977 ID sequence that featured a bubble on a black background representing the circle with glossy gold letters, and as such, was the first ABC identification card to have a three-dimensional appearance.</t>
  </si>
  <si>
    <t>lower</t>
  </si>
  <si>
    <t>How many quadrangles does the Main Quadrangles have?</t>
  </si>
  <si>
    <t>the possession of already-wealthy individuals</t>
  </si>
  <si>
    <t>water-cooled undergarment.</t>
  </si>
  <si>
    <t>shortening the cutoff</t>
  </si>
  <si>
    <t>The outcome of most votes can be predicted beforehand since political parties normally instruct members which way to vote. Parties entrust some MSPs, known as whips, with the task of ensuring that party members vote according to the party line. MSPs do not tend to vote against such instructions, since those who do are unlikely to reach higher political ranks in their parties. Errant members can be deselected as official party candidates during future elections, and, in serious cases, may be expelled from their parties outright. Thus, as with many Parliaments, the independence of Members of the Scottish Parliament tends to be low, and backbench rebellions by members who are discontent with their party's policies are rare. In some circumstances, however, parties announce "free votes", which allows Members to vote as they please. This is typically done on moral issues.</t>
  </si>
  <si>
    <t>the Atlantic</t>
  </si>
  <si>
    <t>What do nuclear power plants heat to create electricity?</t>
  </si>
  <si>
    <t>translunar environment by measuring the frequency and severity of micrometeorite impacts.</t>
  </si>
  <si>
    <t>Why might rats not be responsible for the plague?</t>
  </si>
  <si>
    <t>polynomial</t>
  </si>
  <si>
    <t>The normal force is due to repulsive forces of interaction between atoms at close contact. When their electron clouds overlap, Pauli repulsion (due to fermionic nature of electrons) follows resulting in the force that acts in a direction normal to the surface interface between two objects.:93 The normal force, for example, is responsible for the structural integrity of tables and floors as well as being the force that responds whenever an external force pushes on a solid object. An example of the normal force in action is the impact force on an object crashing into an immobile surface.</t>
  </si>
  <si>
    <t>Synthetic aperture radar</t>
  </si>
  <si>
    <t>Under conditions such as high atmospheric CO2 concentrations</t>
  </si>
  <si>
    <t>early Lutheran hymnals</t>
  </si>
  <si>
    <t>many</t>
  </si>
  <si>
    <t>What celestial object eluded efforts to measure oxygen?</t>
  </si>
  <si>
    <t>Apollo Program Director</t>
  </si>
  <si>
    <t>How did the Kikuyu people live?</t>
  </si>
  <si>
    <t>new entrants to the teaching profession</t>
  </si>
  <si>
    <t>Since teachers can affect how students perceive the course materials, it has been found that teachers who showed enthusiasm towards the course materials and students can affect a positive learning experience towards the course materials. On teacher/course evaluations, it was found that teachers who have a positive disposition towards the course content tend to transfer their passion to receptive students. These teachers do not teach by rote but attempt to find new invigoration for the course materials on a daily basis. One of the difficulties in this approach is that teachers may have repeatedly covered a curriculum until they begin to feel bored with the subject which in turn bores the students as well. Students who had enthusiastic teachers tend to rate them higher than teachers who didn't show much enthusiasm for the course materials.</t>
  </si>
  <si>
    <t>descended from an Italo-Norman named Raoul</t>
  </si>
  <si>
    <t>Non-revolutionary</t>
  </si>
  <si>
    <t>The Master is the Doctor's archenemy, a renegade Time Lord who desires to rule the universe. Conceived as "Professor Moriarty to the Doctor's Sherlock Holmes", the character first appeared in 1971. As with the Doctor, the role has been portrayed by several actors, since the Master is a Time Lord as well and able to regenerate; the first of these actors was Roger Delgado, who continued in the role until his death in 1973. The Master was briefly played by Peter Pratt and Geoffrey Beevers until Anthony Ainley took over and continued to play the character until Doctor Who's hiatus in 1989. The Master returned in the 1996 television movie of Doctor Who, and was played by American actor Eric Roberts.</t>
  </si>
  <si>
    <t>capacity to exaggerate</t>
  </si>
  <si>
    <t>In the modern industrialized world, construction usually involves the translation of designs into reality. A formal design team may be assembled to plan the physical proceedings, and to integrate those proceedings with the other parts. The design usually consists of drawings and specifications, usually prepared by a design team including Architect, civil engineers, mechanical engineers, electrical engineers, structural engineers, fire protection engineers, planning consultants, architectural consultants, and archaeological consultants. The design team is most commonly employed by (i.e. in contract with) the property owner. Under this system, once the design is completed by the design team, a number of construction companies or construction management companies may then be asked to make a bid for the work, either based directly on the design, or on the basis of drawings and a bill of quantities provided by a quantity surveyor. Following evaluation of bids, the owner typically awards a contract to the most cost efficient bidder.</t>
  </si>
  <si>
    <t>What conflicts did the ozone mitigation reduce?</t>
  </si>
  <si>
    <t>storage methods</t>
  </si>
  <si>
    <t>Charles W. Eliot, president 1869–1909, eliminated the favored position of Christianity from the curriculum while opening it to student self-direction. While Eliot was the most crucial figure in the secularization of American higher education, he was motivated not by a desire to secularize education, but by Transcendentalist Unitarian convictions. Derived from William Ellery Channing and Ralph Waldo Emerson, these convictions were focused on the dignity and worth of human nature, the right and ability of each person to perceive truth, and the indwelling God in each person.</t>
  </si>
  <si>
    <t>majority of the seats,</t>
  </si>
  <si>
    <t>Sweden v. Russia and allies</t>
  </si>
  <si>
    <t xml:space="preserve">What does computational complexity theory most specifically seek to answer? </t>
  </si>
  <si>
    <t>What did Lepidodinium viride replace their original chloroplast with?</t>
  </si>
  <si>
    <t>Warsaw Escarpment</t>
  </si>
  <si>
    <t>salicylic acid, jasmonic acid, nitric oxide and reactive oxygen species</t>
  </si>
  <si>
    <t>fragmentation</t>
  </si>
  <si>
    <t>What did Mongolian President Tsakhiagian Elbegdorj note was significantly punished by Genghis Khan's laws?</t>
  </si>
  <si>
    <t>lysozyme</t>
  </si>
  <si>
    <t>For most of human history higher material living standards – full stomachs, access to clean water and warmth from fuel – led to better health and longer lives. This pattern of higher incomes-longer lives still holds among poorer countries, where life expectancy increases rapidly as per capita income increases, but in recent decades it has slowed down among middle income countries and plateaued among the richest thirty or so countries in the world. Americans live no longer on average (about 77 years in 2004) than Greeks (78 years) or New Zealanders (78), though the USA has a higher GDP per capita. Life expectancy in Sweden (80 years) and Japan (82) – where income was more equally distributed – was longer.</t>
  </si>
  <si>
    <t>WMO Executive Council and UNEP Governing Council</t>
  </si>
  <si>
    <t>Why is Warsaw's flora very rich in species?</t>
  </si>
  <si>
    <t>undulating their bodies</t>
  </si>
  <si>
    <t>the south side of the garden</t>
  </si>
  <si>
    <t>What is the Rhine Gorge known for?</t>
  </si>
  <si>
    <t>Public-Private Partnering</t>
  </si>
  <si>
    <t>Ohio Company</t>
  </si>
  <si>
    <t>New Testament</t>
  </si>
  <si>
    <t>a period of foreign domination</t>
  </si>
  <si>
    <t>heavy civil or heavy engineering</t>
  </si>
  <si>
    <t>supporting applications such as on-line betting, financial applications</t>
  </si>
  <si>
    <t>greater density of cold water</t>
  </si>
  <si>
    <t>Polish United Workers' Party</t>
  </si>
  <si>
    <t>How many teams have been in the Super Bowl eight times?</t>
  </si>
  <si>
    <t>Where was the V&amp;A transferred to from its original location at Marlborough House?</t>
  </si>
  <si>
    <t>Bishop Lloyd Christ</t>
  </si>
  <si>
    <t>a permanent collection of over 4.5 million objects.</t>
  </si>
  <si>
    <t>Newcastle has three cathedrals, the Anglican St. Nicholas, with its elegant lantern tower of 1474, the Roman Catholic St. Mary's designed by Augustus Welby Pugin and the Coptic Cathedral located in Fenham. All three cathedrals began their lives as parish churches. St Mary's became a cathedral in 1850 and St Nicholas' in 1882. Another prominent church in the city centre is the Church of St Thomas the Martyr which is the only parish church in the Church of England without a parish and which is not a peculiar.</t>
  </si>
  <si>
    <t>to clean them of plants and sediments</t>
  </si>
  <si>
    <t>loss of soil fertility and weed invasion</t>
  </si>
  <si>
    <t>66–34 Mya</t>
  </si>
  <si>
    <t>Who fought in the great Northern war?</t>
  </si>
  <si>
    <t>Which of Tesla's inventions was used in radio development?</t>
  </si>
  <si>
    <t>bits of metal projected by his "electric gun,"</t>
  </si>
  <si>
    <t>geophysical surveys</t>
  </si>
  <si>
    <t>What soap operas did ABC cancel in 2011?</t>
  </si>
  <si>
    <t>US$1,000,000</t>
  </si>
  <si>
    <t>frail Catholic saints</t>
  </si>
  <si>
    <t>Where have herbivorous fishes been seen feeding on gelatinous zooplankton?</t>
  </si>
  <si>
    <t>Since its foundation, the Treaties sought to enable people to pursue their life goals in any country through free movement. Reflecting the economic nature of the project, the European Community originally focused upon free movement of workers: as a "factor of production". However, from the 1970s, this focus shifted towards developing a more "social" Europe. Free movement was increasingly based on "citizenship", so that people had rights to empower them to become economically and socially active, rather than economic activity being a precondition for rights. This means the basic "worker" rights in TFEU article 45 function as a specific expression of the general rights of citizens in TFEU articles 18 to 21. According to the Court of Justice, a "worker" is anybody who is economically active, which includes everyone in an employment relationship, "under the direction of another person" for "remuneration". A job, however, need not be paid in money for someone to be protected as a worker. For example, in Steymann v Staatssecretaris van Justitie, a German man claimed the right to residence in the Netherlands, while he volunteered plumbing and household duties in the Bhagwan community, which provided for everyone's material needs irrespective of their contributions. The Court of Justice held that Mr Steymann was entitled to stay, so long as there was at least an "indirect quid pro quo" for the work he did. Having "worker" status means protection against all forms of discrimination by governments, and employers, in access to employment, tax, and social security rights. By contrast a citizen, who is "any person having the nationality of a Member State" (TFEU article 20(1)), has rights to seek work, vote in local and European elections, but more restricted rights to claim social security. In practice, free movement has become politically contentious as nationalist political parties have manipulated fears about immigrants taking away people's jobs and benefits (paradoxically at the same time). Nevertheless, practically "all available research finds little impact" of "labour mobility on wages and employment of local workers".</t>
  </si>
  <si>
    <t>random noise</t>
  </si>
  <si>
    <t>Who took control of Edison's company.</t>
  </si>
  <si>
    <t>What is the best QB ranking that Cam Newton holds?</t>
  </si>
  <si>
    <t>professional misconduct</t>
  </si>
  <si>
    <t>What two radio networks did RCA own?</t>
  </si>
  <si>
    <t>Necessity-based entrepreneurship</t>
  </si>
  <si>
    <t>Air Force missile projects</t>
  </si>
  <si>
    <t>What is the name of the movement that seeks renewed use of steam power in the modern era?</t>
  </si>
  <si>
    <t>Geochronologists</t>
  </si>
  <si>
    <t>predators</t>
  </si>
  <si>
    <t>lack of understanding of the legal ramifications, or due to a fear of seeming rude.</t>
  </si>
  <si>
    <t>What type of intervention would changing the work environment be?</t>
  </si>
  <si>
    <t>Who ranked Warsaw as the 32nd most liveable city in the world?</t>
  </si>
  <si>
    <t>The Art Noveau style of glassware is represented by which two artists?</t>
  </si>
  <si>
    <t>the unjust forms of authority</t>
  </si>
  <si>
    <t xml:space="preserve">2 differences betwen X.25 and ARPNET CITA technologies </t>
  </si>
  <si>
    <t>code-word describing the activities of muggers, arsonists, draft evaders</t>
  </si>
  <si>
    <t>wage or salary</t>
  </si>
  <si>
    <t>Tesla's patent would probably control the market</t>
  </si>
  <si>
    <t>anti-colonial movements</t>
  </si>
  <si>
    <t xml:space="preserve">How is circuit switching charecterized </t>
  </si>
  <si>
    <t>make detailed plans and maintain careful oversight</t>
  </si>
  <si>
    <t>compounds of oxygen</t>
  </si>
  <si>
    <t>There are a variety of bodies designed to instill, preserve and update the knowledge and professional standing of teachers. Around the world many governments operate teacher's colleges, which are generally established to serve and protect the public interest through certifying, governing and enforcing the standards of practice for the teaching profession.</t>
  </si>
  <si>
    <t>Highly concentrated sources of oxygen promote rapid combustion. Fire and explosion hazards exist when concentrated oxidants and fuels are brought into close proximity; an ignition event, such as heat or a spark, is needed to trigger combustion. Oxygen is the oxidant, not the fuel, but nevertheless the source of most of the chemical energy released in combustion. Combustion hazards also apply to compounds of oxygen with a high oxidative potential, such as peroxides, chlorates, nitrates, perchlorates, and dichromates because they can donate oxygen to a fire.</t>
  </si>
  <si>
    <t>The functions of the teacher's colleges may include setting out clear standards of practice, providing for the ongoing education of teachers, investigating complaints involving members, conducting hearings into allegations of professional misconduct and taking appropriate disciplinary action and accrediting teacher education programs. In many situations teachers in publicly funded schools must be members in good standing with the college, and private schools may also require their teachers to be college peoples. In other areas these roles may belong to the State Board of Education, the Superintendent of Public Instruction, the State Education Agency or other governmental bodies. In still other areas Teaching Unions may be responsible for some or all of these duties.</t>
  </si>
  <si>
    <t>those who already hold wealth</t>
  </si>
  <si>
    <t xml:space="preserve">What do a and b represent in a Gaussian integer expression? </t>
  </si>
  <si>
    <t>alcohol and nightclubs</t>
  </si>
  <si>
    <t>effective</t>
  </si>
  <si>
    <t>Scientists disagree with how the Amazon rainforest changed over time with some arguing that it was reduced to isolated refugia seperated by what?</t>
  </si>
  <si>
    <t>Geneva</t>
  </si>
  <si>
    <t>What was the theme of Super Bowl 50?</t>
  </si>
  <si>
    <t>Routing a packet requires the node to look up the connection id in a table</t>
  </si>
  <si>
    <t>Who decides the fate of protesters most of the time?</t>
  </si>
  <si>
    <t>How did Luther's writings sound as he became less healthy?</t>
  </si>
  <si>
    <t>Silk Road</t>
  </si>
  <si>
    <t>legal equality of all individuals, including women</t>
  </si>
  <si>
    <t>almost 25,000</t>
  </si>
  <si>
    <t>What do people with lower income have less access to?</t>
  </si>
  <si>
    <t>The Cestida ("belt animals") are ribbon-shaped planktonic animals, with the mouth and aboral organ aligned in the middle of opposite edges of the ribbon. There is a pair of comb-rows along each aboral edge, and tentilla emerging from a groove all along the oral edge, which stream back across most of the wing-like body surface. Cestids can swim by undulating their bodies as well as by the beating of their comb-rows. There are two known species, with worldwide distribution in warm, and warm-temperate waters: Cestum veneris ("Venus' girdle") is among the largest ctenophores – up to 1.5 meters (4.9 ft) long, and can undulate slowly or quite rapidly. Velamen parallelum, which is typically less than 20 centimeters (0.66 ft) long, can move much faster in what has been described as a "darting motion".</t>
  </si>
  <si>
    <t>What is evidence chloroplasts descended from endosymbiotic cyanobacteria?</t>
  </si>
  <si>
    <t>crust and lithosphere</t>
  </si>
  <si>
    <t>Until the oil shock</t>
  </si>
  <si>
    <t>Climate fluctuations during the last 34 million years have allowed savanna regions to expand into the tropics.</t>
  </si>
  <si>
    <t>the Arctic</t>
  </si>
  <si>
    <t>legalize importation of medications from Canada and other countries</t>
  </si>
  <si>
    <t>the judges</t>
  </si>
  <si>
    <t>the Edict of Nantes</t>
  </si>
  <si>
    <t>The Social Charter was subsequently adopted in 1989 by 11 of the then 12 member states. The UK refused to sign the Social Charter and was exempt from the legislation covering Social Charter issues unless it agreed to be bound by the legislation. The UK subsequently was the only member state to veto the Social Charter being included as the "Social Chapter" of the 1992 Maastricht Treaty - instead, an Agreement on Social Policy was added as a protocol. Again, the UK was exempt from legislation arising from the protocol, unless it agreed to be bound by it. The protocol was to become known as "Social Chapter", despite not actually being a chapter of the Maastricht Treaty. To achieve aims of the Agreement on Social Policy the European Union was to "support and complement" the policies of member states. The aims of the Agreement on Social Policy are:</t>
  </si>
  <si>
    <t>some extra costs are levied</t>
  </si>
  <si>
    <t>What was the name of the play performed in the 1970's?</t>
  </si>
  <si>
    <t>a motorway underpass</t>
  </si>
  <si>
    <t>40 nanometers across</t>
  </si>
  <si>
    <t>complex</t>
  </si>
  <si>
    <t>time or space</t>
  </si>
  <si>
    <t>ten seasons</t>
  </si>
  <si>
    <t>logistical</t>
  </si>
  <si>
    <t>Where was Friedrich Ratzel born?</t>
  </si>
  <si>
    <t>EU Regulations are the same as Treaty provisions in this sense, because as TFEU article 288 states, they are ‘directly applicable in all Member States’</t>
  </si>
  <si>
    <t>The adaptive immune system must distinguish between what types of molecules?</t>
  </si>
  <si>
    <t>to reduce costs and maximize profits</t>
  </si>
  <si>
    <t>What else did Pamela Jelimo win after the Olympics?</t>
  </si>
  <si>
    <t>Who did the Ottoman empire ally with in WW I?</t>
  </si>
  <si>
    <t>When was the Britain Can Make It exhibition held?</t>
  </si>
  <si>
    <t>the NP-complete Boolean satisfiability problem</t>
  </si>
  <si>
    <t>Calendar for Fixing the Seasons</t>
  </si>
  <si>
    <t>What do redistribution mechanisms lead to?</t>
  </si>
  <si>
    <t>the ‘combs’</t>
  </si>
  <si>
    <t>breaches of law in protest against international organizations and foreign governments</t>
  </si>
  <si>
    <t>What have peridinin-type chloroplasts lost?</t>
  </si>
  <si>
    <t>post-classical European</t>
  </si>
  <si>
    <t>Castle Church in Wittenberg,</t>
  </si>
  <si>
    <t>German Peasants' War</t>
  </si>
  <si>
    <t>lawful protest demonstration, nonviolent civil disobedience, and violent civil disobedience</t>
  </si>
  <si>
    <t>What is the redundant concept coming from momentum conservation?</t>
  </si>
  <si>
    <t>Edict of Fontainebleau</t>
  </si>
  <si>
    <t>Which group did not agree to sign these agreements?</t>
  </si>
  <si>
    <t>51.6%</t>
  </si>
  <si>
    <t>the floor function</t>
  </si>
  <si>
    <t>Who has the power to initiate legislation within the European Union?</t>
  </si>
  <si>
    <t>From 1530 a royal act restricted all shipments of coal from Tyneside to Newcastle Quayside, giving a monopoly in the coal trade to a cartel of Newcastle burgesses known as the Hostmen. This monopoly, which lasted for a considerable time, helped Newcastle prosper and develop into a major town. The phrase taking coals to Newcastle was first recorded contextually in 1538. The phrase itself means a pointless pursuit. In the 18th century American Timothy Dexter, an entrepreneur, widely regarded as an eccentric, defied this idiom. He was persuaded to sail a shipment of coal to Newcastle by merchants plotting to ruin him; however his shipment arrived on the Tyne during a strike that had crippled local production; unexpectedly he made a considerable profit.</t>
  </si>
  <si>
    <t>Evangelical Lutheran Church</t>
  </si>
  <si>
    <t>rise and fall according to market demand</t>
  </si>
  <si>
    <t>What form of oxygen do marine animals acquire in greater amounts during cooler climatic conditions?</t>
  </si>
  <si>
    <t>revolve a balance</t>
  </si>
  <si>
    <t>How many other important people sent letters?</t>
  </si>
  <si>
    <t>organizational change, relationships with students, fellow teachers, and administrative personnel, working environment, expectations to substitute</t>
  </si>
  <si>
    <t>Chinese dynasties to the south</t>
  </si>
  <si>
    <t>decreases</t>
  </si>
  <si>
    <t>the Tehachapi Mountains</t>
  </si>
  <si>
    <t>Throughout its existence, Warsaw has been a multi-cultural city. According to the 1901 census, out of 711,988 inhabitants 56.2% were Catholics, 35.7% Jews, 5% Greek orthodox Christians and 2.8% Protestants. Eight years later, in 1909, there were 281,754 Jews (36.9%), 18,189 Protestants (2.4%) and 2,818 Mariavites (0.4%). This led to construction of hundreds of places of religious worship in all parts of the town. Most of them were destroyed in the aftermath of the Warsaw Uprising of 1944. After the war, the new communist authorities of Poland discouraged church construction and only a small number were rebuilt.</t>
  </si>
  <si>
    <t>Larry Roberts</t>
  </si>
  <si>
    <t>The league announced on October 16, 2012, that the two finalists were Sun Life Stadium and Levi's Stadium. The South Florida/Miami area has previously hosted the event 10 times (tied for most with New Orleans), with the most recent one being Super Bowl XLIV in 2010. The San Francisco Bay Area last hosted in 1985 (Super Bowl XIX), held at Stanford Stadium in Stanford, California, won by the home team 49ers. The Miami bid depended on whether the stadium underwent renovations. However, on May 3, 2013, the Florida legislature refused to approve the funding plan to pay for the renovations, dealing a significant blow to Miami's chances.</t>
  </si>
  <si>
    <t>18</t>
  </si>
  <si>
    <t>Liberal Party</t>
  </si>
  <si>
    <t>What was a long term goal of French foreign policy along the Rhine?</t>
  </si>
  <si>
    <t>What type of layout does Newcastle's streets have in many parts?</t>
  </si>
  <si>
    <t>Storybook</t>
  </si>
  <si>
    <t>How might gravity effects be observed differently according to Newton?</t>
  </si>
  <si>
    <t>a man's presence</t>
  </si>
  <si>
    <t>In 1500 AD how many people were believed to have lived in the Amazon region?</t>
  </si>
  <si>
    <t>Who funded the new jewelry gallery that opened in 2008?</t>
  </si>
  <si>
    <t>rebellion</t>
  </si>
  <si>
    <t>type of committee</t>
  </si>
  <si>
    <t>What does China's investment mean for Kenya?</t>
  </si>
  <si>
    <t>increased wages</t>
  </si>
  <si>
    <t>What has the lower rainfall in the Amazon during the LGM been attributed to?</t>
  </si>
  <si>
    <t>What dual titles did Frederick William hold?</t>
  </si>
  <si>
    <t>Ugali with vegetables, sour milk, meat, fish or any other stew</t>
  </si>
  <si>
    <t>Gaelic</t>
  </si>
  <si>
    <t>Where is English spoken the most?</t>
  </si>
  <si>
    <t>toughest rallies in the world.</t>
  </si>
  <si>
    <t>What disease did Tesla catch?</t>
  </si>
  <si>
    <t>western portions of the Great Lakes</t>
  </si>
  <si>
    <t>affiliated with other Protestant denominations with more numerous members</t>
  </si>
  <si>
    <t>educational process or da'wah</t>
  </si>
  <si>
    <t>What was compounding seen as being in the locomotive construction industry?</t>
  </si>
  <si>
    <t>combination of poor management, internal divisions, and effective Canadian scouts, French regular forces, and Indian warrior allies</t>
  </si>
  <si>
    <t>Tesla read many works, memorizing complete books, and supposedly possessed a photographic memory.:33 He was a polyglot, speaking eight languages: Serbo-Croatian, Czech, English, French, German, Hungarian, Italian, and Latin.:282 Tesla related in his autobiography that he experienced detailed moments of inspiration. During his early life, Tesla was repeatedly stricken with illness. He suffered a peculiar affliction in which blinding flashes of light would appear before his eyes, often accompanied by visions.:33 Often, the visions were linked to a word or idea he might have come across; at other times they would provide the solution to a particular problem he had encountered. Just by hearing the name of an item, he would be able to envision it in realistic detail.:33 Tesla would visualize an invention in his mind with extreme precision, including all dimensions, before moving to the construction stage, a technique sometimes known as picture thinking. He typically did not make drawings by hand but worked from memory. Beginning in his childhood, Tesla had frequent flashbacks to events that had happened previously in his life.:33</t>
  </si>
  <si>
    <t>Singing Revolution</t>
  </si>
  <si>
    <t>What is the highest reference hospital in all of Poland?</t>
  </si>
  <si>
    <t>What did the museum acquire from the Royal College of Science?</t>
  </si>
  <si>
    <t>What do we call the empire that Genghis Khan founded?</t>
  </si>
  <si>
    <t>pharmacists practicing in hospitals</t>
  </si>
  <si>
    <t>20th Century Fox, Lionsgate, Paramount Pictures, Universal Studios and Walt Disney Studios paid for movie trailers to be aired during the Super Bowl. Fox paid for Deadpool, X-Men: Apocalypse, Independence Day: Resurgence and Eddie the Eagle, Lionsgate paid for Gods of Egypt, Paramount paid for Teenage Mutant Ninja Turtles: Out of the Shadows and 10 Cloverfield Lane, Universal paid for The Secret Life of Pets and the debut trailer for Jason Bourne and Disney paid for Captain America: Civil War, The Jungle Book and Alice Through the Looking Glass.[citation needed]</t>
  </si>
  <si>
    <t>How many balls did Josh Norman intercept?</t>
  </si>
  <si>
    <t>The Min system</t>
  </si>
  <si>
    <t>£1</t>
  </si>
  <si>
    <t>What is the name of one type of computing method that is used to find prime numbers?</t>
  </si>
  <si>
    <t>The last glacial ran from ~74,000 (BP = Before Present), until the end of the Pleistocene (~11,600 BP). In northwest Europe, it saw two very cold phases, peaking around 70,000 BP and around 29,000–24,000 BP. The last phase slightly predates the global last ice age maximum (Last Glacial Maximum). During this time, the lower Rhine flowed roughly west through the Netherlands and extended to the southwest, through the English Channel and finally, to the Atlantic Ocean. The English Channel, the Irish Channel and most of the North Sea were dry land, mainly because sea level was approximately 120 m (390 ft) lower than today.</t>
  </si>
  <si>
    <t>What does Phosphorylation do?</t>
  </si>
  <si>
    <t>microscopic analysis of oriented thin sections</t>
  </si>
  <si>
    <t>What is impact melt that some samples of moon rocks show?</t>
  </si>
  <si>
    <t>was lost in the 5th Avenue laboratory fire of March 1895</t>
  </si>
  <si>
    <t>France Antarctique</t>
  </si>
  <si>
    <t>In the arts and entertainment, minimalist composer Philip Glass, dancer, choreographer and leader in the field of dance anthropology Katherine Dunham, Bungie founder and developer of the Halo video game series Alex Seropian, Serial host Sarah Koenig, actor Ed Asner, Pulitzer Prize for Criticism winning film critic and the subject of the 2014 documentary film Life Itself Roger Ebert, director, writer, and comedian Mike Nichols, film director and screenwriter Philip Kaufman, and Carl Van Vechten, photographer and writer, are graduates.</t>
  </si>
  <si>
    <t>Anarchists do not want to accept punishment for what reason?</t>
  </si>
  <si>
    <t>kitchen fire</t>
  </si>
  <si>
    <t>League of Augsburg</t>
  </si>
  <si>
    <t>late</t>
  </si>
  <si>
    <t>While constitutional law concerns the European Union's governance structure, administrative law binds EU institutions and member states to follow the law. Both member states and the Commission have a general legal right or "standing" (locus standi) to bring claims against EU institutions and other member states for breach of the treaties. From the EU's foundation, the Court of Justice also held that the Treaties allowed citizens or corporations to bring claims against EU and member state institutions for violation of the Treaties and Regulations, if they were properly interpreted as creating rights and obligations. However, under Directives, citizens or corporations were said in 1986 to not be allowed to bring claims against other non-state parties. This meant courts of member states were not bound to apply an EU law where a national rule conflicted, even though the member state government could be sued, if it would impose an obligation on another citizen or corporation. These rules on "direct effect" limit the extent to which member state courts are bound to administer EU law. All actions by EU institutions can be subject to judicial review, and judged by standards of proportionality, particularly where general principles of law, or fundamental rights are engaged. The remedy for a claimant where there has been a breach of the law is often monetary damages, but courts can also require specific performance or will grant an injunction, in order to ensure the law is effective as possible.</t>
  </si>
  <si>
    <t>use the arrest as an opportunity</t>
  </si>
  <si>
    <t>The mechanisms used to evade the adaptive immune system are more complicated. The simplest approach is to rapidly change non-essential epitopes (amino acids and/or sugars) on the surface of the pathogen, while keeping essential epitopes concealed. This is called antigenic variation. An example is HIV, which mutates rapidly, so the proteins on its viral envelope that are essential for entry into its host target cell are constantly changing. These frequent changes in antigens may explain the failures of vaccines directed at this virus. The parasite Trypanosoma brucei uses a similar strategy, constantly switching one type of surface protein for another, allowing it to stay one step ahead of the antibody response. Masking antigens with host molecules is another common strategy for avoiding detection by the immune system. In HIV, the envelope that covers the virion is formed from the outermost membrane of the host cell; such "self-cloaked" viruses make it difficult for the immune system to identify them as "non-self" structures.</t>
  </si>
  <si>
    <t>What day of the week did Shark Tank debut on?</t>
  </si>
  <si>
    <t>relationship of the number to its corresponding value of Euler's totient function</t>
  </si>
  <si>
    <t>How many cinemas are currently housed at one site?</t>
  </si>
  <si>
    <t>against Prussia and its allies in the European theatre of the war.</t>
  </si>
  <si>
    <t>He came to power by uniting many of the nomadic tribes of Northeast Asia. After founding the Mongol Empire and being proclaimed "Genghis Khan", he started the Mongol invasions that resulted in the conquest of most of Eurasia. These included raids or invasions of the Qara Khitai, Caucasus, Khwarezmid Empire, Western Xia and Jin dynasties. These campaigns were often accompanied by wholesale massacres of the civilian populations – especially in the Khwarezmian and Xia controlled lands. By the end of his life, the Mongol Empire occupied a substantial portion of Central Asia and China.</t>
  </si>
  <si>
    <t>rainfall in the basin during the LGM was lower</t>
  </si>
  <si>
    <t>Dikes</t>
  </si>
  <si>
    <t>UNESCO's World Heritage</t>
  </si>
  <si>
    <t>not</t>
  </si>
  <si>
    <t>Sumerian King Gilgamesh of Uruk and Atilla the Hun</t>
  </si>
  <si>
    <t>present amount of funding cannot cover the current costs for labour and materials</t>
  </si>
  <si>
    <t>Russian</t>
  </si>
  <si>
    <t>normal forms of parental discipline</t>
  </si>
  <si>
    <t>from January 1964, until it achieved the first manned landing in July 1969</t>
  </si>
  <si>
    <t>In large parts, Newcastle still retains a medieval street layout. Narrow alleys or 'chares', most of which can only be traversed by foot, still exist in abundance, particularly around the riverside. Stairs from the riverside to higher parts of the city centre and the extant Castle Keep, originally recorded in the 14th century, remain intact in places. Close, Sandhill and Quayside contain modern buildings as well as structures dating from the 15th–18th centuries, including Bessie Surtees House, the Cooperage and Lloyds Quayside Bars, Derwentwater House and "House of Tides", a restaurant situated at a Grade I-listed 16th century merchant's house at 28–30 Close.</t>
  </si>
  <si>
    <t>Infrastructure</t>
  </si>
  <si>
    <t>An important decision for civil disobedients is whether or not to plead guilty. There is much debate on this point, as some believe that it is a civil disobedient's duty to submit to the punishment prescribed by law, while others believe that defending oneself in court will increase the possibility of changing the unjust law. It has also been argued that either choice is compatible with the spirit of civil disobedience. ACT-UP's Civil Disobedience Training handbook states that a civil disobedient who pleads guilty is essentially stating, "Yes, I committed the act of which you accuse me. I don't deny it; in fact, I am proud of it. I feel I did the right thing by violating this particular law; I am guilty as charged," but that pleading not guilty sends a message of, "Guilt implies wrong-doing. I feel I have done no wrong. I may have violated some specific laws, but I am guilty of doing no wrong. I therefore plead not guilty." A plea of no contest is sometimes regarded as a compromise between the two. One defendant accused of illegally protesting nuclear power, when asked to enter his plea, stated, "I plead for the beauty that surrounds us"; this is known as a "creative plea," and will usually be interpreted as a plea of not guilty.</t>
  </si>
  <si>
    <t>economist</t>
  </si>
  <si>
    <t>What entities are included in the federal health care system?</t>
  </si>
  <si>
    <t>a third group of pigments found in cyanobacteria, and glaucophyte, red algal, and cryptophyte chloroplasts</t>
  </si>
  <si>
    <t>higher political office</t>
  </si>
  <si>
    <t>bishop</t>
  </si>
  <si>
    <t>in self-study and problem solving</t>
  </si>
  <si>
    <t>a number of qualifications</t>
  </si>
  <si>
    <t>value added</t>
  </si>
  <si>
    <t>How many divisions was ABC radio restructured into in 2005?</t>
  </si>
  <si>
    <t>The V&amp;A owns the largest collection of which period in sculptural art history?</t>
  </si>
  <si>
    <t>How long after a banquet with Tugh Temur did Kusala die?</t>
  </si>
  <si>
    <t>What ended Turkish imperial Ambitions?</t>
  </si>
  <si>
    <t>organic molecules</t>
  </si>
  <si>
    <t>What type of combustion does the slow reaction of triplet oxygen prevent?</t>
  </si>
  <si>
    <t>right</t>
  </si>
  <si>
    <t>immediate</t>
  </si>
  <si>
    <t>The United Methodist Church is one tradition within the Christian Church. The United Methodist Church is active in ecumenical relations with other Christian groups and denominations. It is a member of the National Council of Churches, the World Council of Churches, Churches Uniting in Christ, and Christian Churches Together. In addition, it voted to seek observer status in the National Association of Evangelicals and in the World Evangelical Fellowship. However, there are some in The United Methodist Church who feel that false ecumenism might result in the "blurring of theological and confessional differences in the interests of unity."</t>
  </si>
  <si>
    <t>the university's off-campus rental policies.</t>
  </si>
  <si>
    <t>What does the marginal value added by an economic actor determine?</t>
  </si>
  <si>
    <t>What nationality was Arthur Woolf?</t>
  </si>
  <si>
    <t>26,000 square kilometres</t>
  </si>
  <si>
    <t>Which gender is more populous across all groups in Jacksonville?</t>
  </si>
  <si>
    <t>Who conquered much of England after the end of Roman imperial rule?</t>
  </si>
  <si>
    <t>It expanded again during the Middle Miocene, then retracted to a mostly inland formation at the last glacial maximum.</t>
  </si>
  <si>
    <t>It is a common misconception to ascribe the stiffness and rigidity of solid matter to the repulsion of like charges under the influence of the electromagnetic force. However, these characteristics actually result from the Pauli exclusion principle.[citation needed] Since electrons are fermions, they cannot occupy the same quantum mechanical state as other electrons. When the electrons in a material are densely packed together, there are not enough lower energy quantum mechanical states for them all, so some of them must be in higher energy states. This means that it takes energy to pack them together. While this effect is manifested macroscopically as a structural force, it is technically only the result of the existence of a finite set of electron states.</t>
  </si>
  <si>
    <t>What was faith's greatest enemy according to Luther?</t>
  </si>
  <si>
    <t>value added by different classifications of workers</t>
  </si>
  <si>
    <t>international drug suppliers</t>
  </si>
  <si>
    <t>Why are people who distribute leaflets inside courthouses not been arrested?</t>
  </si>
  <si>
    <t>ten</t>
  </si>
  <si>
    <t>Arts and Crafts</t>
  </si>
  <si>
    <t>Looking beyond the manned lunar landings, NASA investigated several post-lunar applications for Apollo hardware. The Apollo Extension Series (Apollo X,) proposed up to 30 flights to Earth orbit, using the space in the Spacecraft Lunar Module Adapter (SLA) to house a small orbital laboratory (workshop). Astronauts would continue to use the CSM as a ferry to the station. This study was followed by design of a larger orbital workshop to be built in orbit from an empty S-IVB Saturn upper stage, and grew into the Apollo Applications Program (AAP). The workshop was to be supplemented by Apollo Telescope Missions, which would replace the LM's descent stage equipment and engine with a solar telescope observatory. The most ambitious plan called for using an empty S-IVB as an interplanetary spacecraft for a Venus fly-by mission.</t>
  </si>
  <si>
    <t>Zygons</t>
  </si>
  <si>
    <t>In the meantime, on August 1, 1774, an experiment conducted by the British clergyman Joseph Priestley focused sunlight on mercuric oxide (HgO) inside a glass tube, which liberated a gas he named "dephlogisticated air". He noted that candles burned brighter in the gas and that a mouse was more active and lived longer while breathing it. After breathing the gas himself, he wrote: "The feeling of it to my lungs was not sensibly different from that of common air, but I fancied that my breast felt peculiarly light and easy for some time afterwards." Priestley published his findings in 1775 in a paper titled "An Account of Further Discoveries in Air" which was included in the second volume of his book titled Experiments and Observations on Different Kinds of Air. Because he published his findings first, Priestley is usually given priority in the discovery.</t>
  </si>
  <si>
    <t>meeting of the Church's General Assembly</t>
  </si>
  <si>
    <t>$40 per barrel</t>
  </si>
  <si>
    <t>extreme change.</t>
  </si>
  <si>
    <t>inertia</t>
  </si>
  <si>
    <t>very rare</t>
  </si>
  <si>
    <t>was present somewhere in Europe in every year between 1346 and 1671</t>
  </si>
  <si>
    <t>Eicosanoids include what compounds that result in fever and blood vessel dilation?</t>
  </si>
  <si>
    <t>temperature and light</t>
  </si>
  <si>
    <t>Why did Toghun Temur dismiss Toghtogha?</t>
  </si>
  <si>
    <t>What service did BSkyB chare additional subscription fees for?</t>
  </si>
  <si>
    <t>Suleiman the Magnificent,</t>
  </si>
  <si>
    <t>one darkened lens</t>
  </si>
  <si>
    <t>an Australian public X.25 network</t>
  </si>
  <si>
    <t>What did Astor expect the money be used for?</t>
  </si>
  <si>
    <t>prohibited emigration</t>
  </si>
  <si>
    <t>What did Luther's answer to the antinomians reaffirms?</t>
  </si>
  <si>
    <t>conscientious lawbreakers must be punished</t>
  </si>
  <si>
    <t>the superior and the norm</t>
  </si>
  <si>
    <t>Conservative</t>
  </si>
  <si>
    <t>There are 3 main bus companies providing services in the city; Arriva North East, Go North East and Stagecoach North East. There are two major bus stations in the city: Haymarket bus station and Eldon Square bus station. Arriva mainly operates from Haymarket Bus Station providing the majority of services to the north of Newcastle, Northumberland and North Tyneside. Go-Ahead operates from Eldon Square Bus Station, providing the majority of services south of the river in Gateshead, South Tyneside, Sunderland, and County Durham. Stagecoach is the primary operator in the city proper, with cross-city services mainly between both the West and East ends via the city centre with some services extending out to the MetroCentre, Killingworth, Wallsend and Ponteland. Bus Services in Newcastle upon Tyne and the surrounding boroughs part of the Tyne and Wear area are coordinated by Nexus, the Tyne and Wear Passenger Transport Executive.</t>
  </si>
  <si>
    <t>obesity, alcoholism, and drug use</t>
  </si>
  <si>
    <t>Robert Koch and Emil von Behring</t>
  </si>
  <si>
    <t>European Court of Human Rights</t>
  </si>
  <si>
    <t>In what years did the show see audiences as high as 12 million?</t>
  </si>
  <si>
    <t>spin triplet state</t>
  </si>
  <si>
    <t>Harvard's faculty includes scholars such as biologist E. O. Wilson, cognitive scientist Steven Pinker, physicists Lisa Randall and Roy Glauber, chemists Elias Corey, Dudley R. Herschbach and George M. Whitesides, computer scientists Michael O. Rabin and Leslie Valiant, Shakespeare scholar Stephen Greenblatt, writer Louis Menand, critic Helen Vendler, historians Henry Louis Gates, Jr. and Niall Ferguson, economists Amartya Sen, N. Gregory Mankiw, Robert Barro, Stephen A. Marglin, Don M. Wilson III and Martin Feldstein, political philosophers Harvey Mansfield, Baroness Shirley Williams and Michael Sandel, Fields Medalist mathematician Shing-Tung Yau, political scientists Robert Putnam, Joseph Nye, and Stanley Hoffmann, scholar/composers Robert Levin and Bernard Rands, astrophysicist Alyssa A. Goodman, and legal scholars Alan Dershowitz and Lawrence Lessig.</t>
  </si>
  <si>
    <t>How successful was initial effort by Braddock?</t>
  </si>
  <si>
    <t>Which provinces in Canada limit the rights of pharmacists in prescribing?</t>
  </si>
  <si>
    <t>Who is Methodism's revered founder?</t>
  </si>
  <si>
    <t>What Doctor Who spin-off only made it as far as a pilot episode?</t>
  </si>
  <si>
    <t>Deacons are called by God, affirmed by the church, and ordained by a bishop to servant leadership within the church.They are ordained to ministries of word, service, compassion, and justice. They may be appointed to ministry within the local church or to an extension ministry that supports the mission of the church. Deacons give leadership, preach the Word, contribute in worship, conduct marriages, bury the dead, and aid the church in embodying its mission within the world. Deacons assist elders in the sacraments of Holy Communion and Baptism, and may be granted sacramental authority if they are appointed as the pastor in a local church. Deacons serve a term of 2–3 years as provisional deacons prior to their ordination.</t>
  </si>
  <si>
    <t>Cells of the site of an infection in a plant undergo what process to prevent spread of the disease?</t>
  </si>
  <si>
    <t>What metal was used in Inalchuq's execution?</t>
  </si>
  <si>
    <t>Who do Priesthood representatives defer to, at times?</t>
  </si>
  <si>
    <t>National Party</t>
  </si>
  <si>
    <t>December, January and February</t>
  </si>
  <si>
    <t>In what country is Normandy located?</t>
  </si>
  <si>
    <t>though the 21st century</t>
  </si>
  <si>
    <t>Pattern recognition receptors</t>
  </si>
  <si>
    <t>alternative licensing programs</t>
  </si>
  <si>
    <t>Decision tree is an example of what type of measure?</t>
  </si>
  <si>
    <t>Teachers in Wales can be registered members of trade unions such as ATL, NUT or NASUWT and reports in recent years suggest that the average age of teachers in Wales is falling with teachers being younger than in previous years. A growing cause of concern are that attacks on teachers in Welsh schools which reached an all-time high between 2005 and 2010.</t>
  </si>
  <si>
    <t>reduced consumer demand</t>
  </si>
  <si>
    <t>democratic changes</t>
  </si>
  <si>
    <t>quantum electrodynamics (or QED)</t>
  </si>
  <si>
    <t>NP-complete knapsack problem</t>
  </si>
  <si>
    <t>Jesus</t>
  </si>
  <si>
    <t>What became the foundation of the Reformation?</t>
  </si>
  <si>
    <t>anarchists</t>
  </si>
  <si>
    <t>From which country did the Rococo Augustus Rex Bureau Cabinet come from?</t>
  </si>
  <si>
    <t>What kind of universities is the region famous for?</t>
  </si>
  <si>
    <t>bassett focuses on what to illustrate his idea?</t>
  </si>
  <si>
    <t>What has presented problems to the US economy more than other nations?</t>
  </si>
  <si>
    <t>What percent of the Muslim population lives in Kenya's Coastal Region?</t>
  </si>
  <si>
    <t>Which arts were often practiced together by the same artists?</t>
  </si>
  <si>
    <t>Tesla was 6 feet 2 inches (1.88 m) tall and weighed 142 pounds (64 kg), with almost no weight variance from 1888 to about 1926.:292 He was an elegant, stylish figure in New York City, meticulous in his grooming, clothing, and regimented in his daily activities.</t>
  </si>
  <si>
    <t>multiplication</t>
  </si>
  <si>
    <t>co-NP</t>
  </si>
  <si>
    <t>What areas did Genghis Khan control at the end of his life?</t>
  </si>
  <si>
    <t>craftsmanship</t>
  </si>
  <si>
    <t>Non-revolutionary civil disobedience</t>
  </si>
  <si>
    <t>How many Doctor Who Christmas Specials have been shown?</t>
  </si>
  <si>
    <t>a quantity surveyor</t>
  </si>
  <si>
    <t>over 200</t>
  </si>
  <si>
    <t>Tesla was a good friend of Francis Marion Crawford, Robert Underwood Johnson, Stanford White, Fritz Lowenstein, George Scherff, and Kenneth Swezey. In middle age, Tesla became a close friend of Mark Twain; they spent a lot of time together in his lab and elsewhere. Twain notably described Tesla's induction motor invention as "the most valuable patent since the telephone." In the late 1920s, Tesla also befriended George Sylvester Viereck, a poet, writer, mystic, and later, a Nazi propagandist. Tesla occasionally attended dinner parties held by Viereck and his wife.</t>
  </si>
  <si>
    <t>Are there any other aviation communities such as Sierra Sky Park in the United States?</t>
  </si>
  <si>
    <t>September 8, 2007</t>
  </si>
  <si>
    <t>Whose goals often still oppose the IPCC?</t>
  </si>
  <si>
    <t>Thomas</t>
  </si>
  <si>
    <t>8 mm cine film</t>
  </si>
  <si>
    <t>rocks, algae, or the body surfaces of other invertebrates</t>
  </si>
  <si>
    <t>Western Xia</t>
  </si>
  <si>
    <t>lower global temperatures</t>
  </si>
  <si>
    <t>asynchronously</t>
  </si>
  <si>
    <t>What religion did Henry renounce upon ascending the throne?</t>
  </si>
  <si>
    <t>How can pyrenoids replicate?</t>
  </si>
  <si>
    <t>French Huguenot explorer Jean Ribault charted the St. Johns River in 1562 calling it the River of May because he discovered it in May. Ribault erected a stone column near present-day Jacksonville claiming the newly discovered land for France. In 1564, René Goulaine de Laudonnière established the first European settlement, Fort Caroline, on the St. Johns near the main village of the Saturiwa. Philip II of Spain ordered Pedro Menéndez de Avilés to protect the interest of Spain by attacking the French presence at Fort Caroline. On September 20, 1565, a Spanish force from the nearby Spanish settlement of St. Augustine attacked Fort Caroline, and killed nearly all the French soldiers defending it. The Spanish renamed the fort San Mateo, and following the ejection of the French, St. Augustine's position as the most important settlement in Florida was solidified. The location of Fort Caroline is subject to debate but a reconstruction of the fort was established on the St. Johns River in 1964.</t>
  </si>
  <si>
    <t>"philosophy of counterprogramming against its competitors"</t>
  </si>
  <si>
    <t>Orthodox Christians</t>
  </si>
  <si>
    <t>the Treaties establishing the European Union</t>
  </si>
  <si>
    <t>How old are the fossils found that represent ctenophhores ?</t>
  </si>
  <si>
    <t>over large areas</t>
  </si>
  <si>
    <t>What is Harvard's total financial aid reserves?</t>
  </si>
  <si>
    <t>nearly $12</t>
  </si>
  <si>
    <t>Southeastern U.S.</t>
  </si>
  <si>
    <t>nonphotosynthetic eukaryote engulfed a chloroplast-containing alga but failed to digest it</t>
  </si>
  <si>
    <t>When did the formation of the Holocene Rhine-Meuse delta begin?</t>
  </si>
  <si>
    <t>A complexity resource can also be described as what other type of resource?</t>
  </si>
  <si>
    <t>Episcopal</t>
  </si>
  <si>
    <t>to avoid prohibitively costly dowry demands</t>
  </si>
  <si>
    <t>Immunodeficiencies occur when one or more of the components of the immune system are inactive. The ability of the immune system to respond to pathogens is diminished in both the young and the elderly, with immune responses beginning to decline at around 50 years of age due to immunosenescence. In developed countries, obesity, alcoholism, and drug use are common causes of poor immune function. However, malnutrition is the most common cause of immunodeficiency in developing countries. Diets lacking sufficient protein are associated with impaired cell-mediated immunity, complement activity, phagocyte function, IgA antibody concentrations, and cytokine production. Additionally, the loss of the thymus at an early age through genetic mutation or surgical removal results in severe immunodeficiency and a high susceptibility to infection.</t>
  </si>
  <si>
    <t>neuroimmune system</t>
  </si>
  <si>
    <t>The shape of the Rhine delta is determined by two bifurcations: first, at Millingen aan de Rijn, the Rhine splits into Waal and Pannerdens Kanaal, which changes its name to Nederrijn at Angeren, and second near Arnhem, the IJssel branches off from the Nederrijn. This creates three main flows, two of which change names rather often. The largest and southern main branch begins as Waal and continues as Boven Merwede ("Upper Merwede"), Beneden Merwede ("Lower Merwede"), Noord River ("North River"), Nieuwe Maas ("New Meuse"), Het Scheur ("the Rip") and Nieuwe Waterweg ("New Waterway"). The middle flow begins as Nederrijn, then changes into Lek, then joins the Noord, thereby forming Nieuwe Maas. The northern flow keeps the name IJssel until it flows into Lake IJsselmeer. Three more flows carry significant amounts of water: the Nieuwe Merwede ("New Merwede"), which branches off from the southern branch where it changes from Boven to Beneden Merwede; the Oude Maas ("Old Meuse"), which branches off from the southern branch where it changes from Beneden Merwede into Noord, and Dordtse Kil, which branches off from Oude Maas.</t>
  </si>
  <si>
    <t>What movement did the fair held in June have its origins in?</t>
  </si>
  <si>
    <t>electron</t>
  </si>
  <si>
    <t>contain their own DNA,</t>
  </si>
  <si>
    <t>What was the Genghis Khan's characteristic approach to religious diversity?</t>
  </si>
  <si>
    <t>few</t>
  </si>
  <si>
    <t>Harvard has the largest university endowment in the world. As of September 2011[update], it had nearly regained the loss suffered during the 2008 recession. It was worth $32 billion in 2011, up from $28 billion in September 2010 and $26 billion in 2009. It suffered about 30% loss in 2008-09. In December 2008, Harvard announced that its endowment had lost 22% (approximately $8 billion) from July to October 2008, necessitating budget cuts. Later reports suggest the loss was actually more than double that figure, a reduction of nearly 50% of its endowment in the first four months alone. Forbes in March 2009 estimated the loss to be in the range of $12 billion. One of the most visible results of Harvard's attempt to re-balance its budget was their halting of construction of the $1.2 billion Allston Science Complex that had been scheduled to be completed by 2011, resulting in protests from local residents. As of 2012[update], Harvard University had a total financial aid reserve of $159 million for students, and a Pell Grant reserve of $4.093 million available for disbursement.</t>
  </si>
  <si>
    <t>hundreds</t>
  </si>
  <si>
    <t>What was Shrewsbury's conclusion?</t>
  </si>
  <si>
    <t>On 7 January 1943, at the age of 86, Tesla died alone in room 3327 of the New Yorker Hotel. His body was later found by maid Alice Monaghan after she had entered Tesla's room, ignoring the "do not disturb" sign that Tesla had placed on his door two days earlier. Assistant medical examiner H.W. Wembly examined the body and ruled that the cause of death had been coronary thrombosis. Tesla's remains were taken to the Frank E. Campbell Funeral Home at Madison Ave. and 81st St. A long-time friend and supporter of Tesla, Hugo Gernsback, commissioned a sculptor to create a death mask, now displayed in the Nikola Tesla Museum.</t>
  </si>
  <si>
    <t>Duke Richard II</t>
  </si>
  <si>
    <t>On April 30, 2000, as a result of a carriage dispute with ABC, Time Warner Cable removed ABC owned-and-operated stations from the cable provider's systems in four markets (WABC-TV in New York City, KABC-TV in Los Angeles, KTRK in Houston and WTVD in Raleigh-Durham). The network had earlier reached an eleventh-hour deal to renew its carriage agreement with the provider on December 31, 1999. ABC filed an emergency petition to the Federal Communications Commission on May 1 to force TWC to restore the affected stations; the FCC ruled in favor of ABC, ordering Time Warner Cable to restore the stations, doing so on the afternoon of May 2. ABC ended the 2000–01 season as the most-watched network, ahead of NBC.</t>
  </si>
  <si>
    <t>When is Luther commemorated by the Church of England?</t>
  </si>
  <si>
    <t>citizenship</t>
  </si>
  <si>
    <t>John Madejski Garden</t>
  </si>
  <si>
    <t>When was the Rhine fully within the Holy Roman Empire?</t>
  </si>
  <si>
    <t>“wid[en] people’s choices and the level of their achieved well-being”</t>
  </si>
  <si>
    <t>Who is on the IPCC Panel?</t>
  </si>
  <si>
    <t>After the Lisbon treaty, the Charter and the Convention now co-exist under what?</t>
  </si>
  <si>
    <t>pseudo-sciences</t>
  </si>
  <si>
    <t xml:space="preserve">What is one way in which graphs can be encoded? </t>
  </si>
  <si>
    <t>What is notable about the Amazon forest when it is seen from space?</t>
  </si>
  <si>
    <t>[256kn + 1, 256k(n + 1) − 1]</t>
  </si>
  <si>
    <t>Plants have two main immune responses—the hypersensitive response, in which infected cells seal themselves off and undergo programmed cell death, and systemic acquired resistance, where infected cells release signals warning the rest of the plant of a pathogen's presence. Chloroplasts stimulate both responses by purposely damaging their photosynthetic system, producing reactive oxygen species. High levels of reactive oxygen species will cause the hypersensitive response. The reactive oxygen species also directly kill any pathogens within the cell. Lower levels of reactive oxygen species initiate systemic acquired resistance, triggering defense-molecule production in the rest of the plant.</t>
  </si>
  <si>
    <t xml:space="preserve">What does Packet switching contrast with </t>
  </si>
  <si>
    <t>reducing poverty</t>
  </si>
  <si>
    <t>What is left of the Dinophysis chloroplasts?</t>
  </si>
  <si>
    <t>To measure the difficulty of solving a computational problem, one may wish to see how much time the best algorithm requires to solve the problem. However, the running time may, in general, depend on the instance. In particular, larger instances will require more time to solve. Thus the time required to solve a problem (or the space required, or any measure of complexity) is calculated as a function of the size of the instance. This is usually taken to be the size of the input in bits. Complexity theory is interested in how algorithms scale with an increase in the input size. For instance, in the problem of finding whether a graph is connected, how much more time does it take to solve a problem for a graph with 2n vertices compared to the time taken for a graph with n vertices?</t>
  </si>
  <si>
    <t>more wealth</t>
  </si>
  <si>
    <t>declining state of mind</t>
  </si>
  <si>
    <t>Israel</t>
  </si>
  <si>
    <t>infantry</t>
  </si>
  <si>
    <t>stroke</t>
  </si>
  <si>
    <t>capability of the Command Module's heat shield to survive a trans-lunar reentry</t>
  </si>
  <si>
    <t>by limiting aggregate demand</t>
  </si>
  <si>
    <t>In what episode did Dudley Simpson play a music conductor?</t>
  </si>
  <si>
    <t>What did DFDS cite as the reasons it terminated operations?</t>
  </si>
  <si>
    <t>defense and justification of empire-building</t>
  </si>
  <si>
    <t>Forces act in a particular direction and have sizes dependent upon how strong the push or pull is. Because of these characteristics, forces are classified as "vector quantities". This means that forces follow a different set of mathematical rules than physical quantities that do not have direction (denoted scalar quantities). For example, when determining what happens when two forces act on the same object, it is necessary to know both the magnitude and the direction of both forces to calculate the result. If both of these pieces of information are not known for each force, the situation is ambiguous. For example, if you know that two people are pulling on the same rope with known magnitudes of force but you do not know which direction either person is pulling, it is impossible to determine what the acceleration of the rope will be. The two people could be pulling against each other as in tug of war or the two people could be pulling in the same direction. In this simple one-dimensional example, without knowing the direction of the forces it is impossible to decide whether the net force is the result of adding the two force magnitudes or subtracting one from the other. Associating forces with vectors avoids such problems.</t>
  </si>
  <si>
    <t>Subject Committees</t>
  </si>
  <si>
    <t>Five of the remaining six missions</t>
  </si>
  <si>
    <t>What two scientists were proponents of the humoral theory of immunity?</t>
  </si>
  <si>
    <t>Which languages used the Phags-pa script?</t>
  </si>
  <si>
    <t>petrographic microscope</t>
  </si>
  <si>
    <t>as feeder materials</t>
  </si>
  <si>
    <t>Grissom, White, and Chaffee decided to name their flight Apollo 1 as a motivational focus on the first manned flight. They trained and conducted tests of their spacecraft at North American, and in the altitude chamber at the Kennedy Space Center. A "plugs-out" test was planned for January, which would simulate a launch countdown on LC-34 with the spacecraft transferring from pad-supplied to internal power. If successful, this would be followed by a more rigorous countdown simulation test closer to the February 21 launch, with both spacecraft and launch vehicle fueled.</t>
  </si>
  <si>
    <t>rebelled against what they deem to be unfair</t>
  </si>
  <si>
    <t>Who was Cromwell's allies?</t>
  </si>
  <si>
    <t>over $40 million</t>
  </si>
  <si>
    <t>What was Tesla's father's original plans for Tesla?</t>
  </si>
  <si>
    <t>the outbreak of the First World War</t>
  </si>
  <si>
    <t>the Seljuk Turks</t>
  </si>
  <si>
    <t>it ensured a high income and medical ethics were compatible with Confucian virtues</t>
  </si>
  <si>
    <t>to gain the support of the British and regain authority over his own people</t>
  </si>
  <si>
    <t>Which theory of Einstein's did Tesla speak critically toward?</t>
  </si>
  <si>
    <t>René-Robert Cavelier, Sieur de La Salle had explored the Ohio Country nearly a century earlier.</t>
  </si>
  <si>
    <t>What type of sentences were the protesters given?</t>
  </si>
  <si>
    <t>Arctic</t>
  </si>
  <si>
    <t>What conditions must be met for a prescription for a controlled substance to be valid?</t>
  </si>
  <si>
    <t>the working fluid</t>
  </si>
  <si>
    <t>What is reduced by using plastid transformation for gene modification?</t>
  </si>
  <si>
    <t>did not want disloyal men in his army</t>
  </si>
  <si>
    <t>by intermediate network nodes asynchronously using first-in, first-out buffering, but may be forwarded according to some scheduling discipline for fair queuing</t>
  </si>
  <si>
    <t>a background check and psychiatric evaluation</t>
  </si>
  <si>
    <t>When did the world's population finally recover from the black death?</t>
  </si>
  <si>
    <t>What is the minimum distance between a patient's home and the nearest pharmacy that allows a physician in Austria to give out medicine?</t>
  </si>
  <si>
    <t>Panic of 1901</t>
  </si>
  <si>
    <t>Martin Luther married Katharina von Bora, one of 12 nuns he had helped escape from the Nimbschen Cistercian convent in April 1523, when he arranged for them to be smuggled out in herring barrels. "Suddenly, and while I was occupied with far different thoughts," he wrote to Wenceslaus Link, "the Lord has plunged me into marriage." At the time of their marriage, Katharina was 26 years old and Luther was 41 years old.</t>
  </si>
  <si>
    <t>diseases like malaria, HIV/AIDS, pneumonia, diarrhoea and malnutrition</t>
  </si>
  <si>
    <t>What was the cost for a half minute ad?</t>
  </si>
  <si>
    <t>Graz, Austria</t>
  </si>
  <si>
    <t>new entrance building</t>
  </si>
  <si>
    <t>People’s Republic of China</t>
  </si>
  <si>
    <t>staying home to alleviate the high rate of unemployment among young Algerian men</t>
  </si>
  <si>
    <t>Merit Network, Inc., an independent non-profit 501(c)(3) corporation governed by Michigan's public universities, was formed in 1966 as the Michigan Educational Research Information Triad to explore computer networking between three of Michigan's public universities as a means to help the state's educational and economic development. With initial support from the State of Michigan and the National Science Foundation (NSF), the packet-switched network was first demonstrated in December 1971 when an interactive host to host connection was made between the IBM mainframe computer systems at the University of Michigan in Ann Arbor and Wayne State University in Detroit. In October 1972 connections to the CDC mainframe at Michigan State University in East Lansing completed the triad. Over the next several years in addition to host to host interactive connections the network was enhanced to support terminal to host connections, host to host batch connections (remote job submission, remote printing, batch file transfer), interactive file transfer, gateways to the Tymnet and Telenet public data networks, X.25 host attachments, gateways to X.25 data networks, Ethernet attached hosts, and eventually TCP/IP and additional public universities in Michigan join the network. All of this set the stage for Merit's role in the NSFNET project starting in the mid-1980s.</t>
  </si>
  <si>
    <t>What directions the local church to offer membership preparation to all people?</t>
  </si>
  <si>
    <t>residential and non-residential</t>
  </si>
  <si>
    <t>senior pharmacy technicians</t>
  </si>
  <si>
    <t>for fear of their lives</t>
  </si>
  <si>
    <t>Börte had three more sons, Chagatai (1187—1241), Ögedei (1189—1241), and Tolui (1190–1232). Genghis Khan also had many other children with his other wives, but they were excluded from the succession. While the names of sons were documented, daughters were not. The names of at least six daughters are known, and while they played significant roles behind the scenes during his lifetime, no documents have survived that definitively provide the number or names of daughters born to the consorts of Genghis Khan.</t>
  </si>
  <si>
    <t>phycobilin-containing</t>
  </si>
  <si>
    <t>bilaterians</t>
  </si>
  <si>
    <t xml:space="preserve">What does critically tapered mean? </t>
  </si>
  <si>
    <t>a great deal of utility</t>
  </si>
  <si>
    <t>idolatry</t>
  </si>
  <si>
    <t>What is defined as the majority vote?</t>
  </si>
  <si>
    <t>What does Salafism in its harshest form encourage its followers to view the religion of others with?</t>
  </si>
  <si>
    <t>divergence</t>
  </si>
  <si>
    <t>4 weeks paid</t>
  </si>
  <si>
    <t>Were the restored tapes able to have color added to them to enhance the picture or did they remain black and white?</t>
  </si>
  <si>
    <t>Individual Huguenots settled at the Cape of Good Hope from as early as 1671 with the arrival of François Villion (Viljoen). The first Huguenot to arrive at the Cape of Good Hope was however Maria de la Queillerie, wife of commander Jan van Riebeeck (and daughter of a Walloon church minister), who arrived on 6 April 1652 to establish a settlement at what is today Cape Town. The couple left for the Far East ten years later. On 31 December 1687 the first organised group of Huguenots set sail from the Netherlands to the Dutch East India Company post at the Cape of Good Hope. The largest portion of the Huguenots to settle in the Cape arrived between 1688 and 1689 in seven ships as part of the organised migration, but quite a few arrived as late as 1700; thereafter, the numbers declined and only small groups arrived at a time.</t>
  </si>
  <si>
    <t>micrometeorite impacts.</t>
  </si>
  <si>
    <t>What is one example of an instance that the quantitative answer to the traveling salesman problem fails to answer?</t>
  </si>
  <si>
    <t>Seven Years' War</t>
  </si>
  <si>
    <t>A fine tribute to the fall of Warsaw and history of Poland can be found in the Warsaw Uprising Museum and in the Katyń Museum which preserves the memory of the crime. The Warsaw Uprising Museum also operates a rare preserved and operating historic stereoscopic theatre, the Warsaw Fotoplastikon. The Museum of Independence preserves patriotic and political objects connected with Poland's struggles for independence. Dating back to 1936 Warsaw Historical Museum contains 60 rooms which host a permanent exhibition of the history of Warsaw from its origins until today.</t>
  </si>
  <si>
    <t>What was Maxwell's job?</t>
  </si>
  <si>
    <t>What is the name of the region that is not defined by the eight or 10 county definitions?</t>
  </si>
  <si>
    <t>What is one main reason that civil disobedience is not recognized?</t>
  </si>
  <si>
    <t>What is the most common length of Doctor Who episodes?</t>
  </si>
  <si>
    <t>its energy content</t>
  </si>
  <si>
    <t>growth and investment</t>
  </si>
  <si>
    <t>What kind of self-consistent models are physicists trying to make that would create a theory of everything?</t>
  </si>
  <si>
    <t>While many homes in the neighborhood date back to the 1930s or before, the neighborhood is also home to several public housing developments built between the 1960s and 1990s by the Fresno Housing Authority. The US Department of Housing and Urban Development has also built small subdivisions of single-family homes in the area for purchase by low-income working families. There have been numerous attempts to revitalize the neighborhood, including the construction of a modern shopping center on the corner of Fresno and B streets, an aborted attempt to build luxury homes and a golf course on the western edge of the neighborhood, and some new section 8 apartments have been built along Church Ave west of Elm St. Cargill Meat Solutions and Foster Farms both have large processing facilities in the neighborhood, and the stench from these (and other small industrial facilities) has long plagued area residents. The Fresno Chandler Executive Airport is also on the West Side. Due to its position on the edge of the city and years of neglect by developers, is not a true "inner-city" neighborhood, and there are many vacant lots, strawberry fields and vineyards throughout the neighborhood. The neighborhood has very little retail activity, aside from the area near Fresno Street and State Route 99 Freeway (Kearney Palm Shopping Center, built in the late 1990s) and small corner markets scattered throughout.</t>
  </si>
  <si>
    <t>if 1 were considered a prime</t>
  </si>
  <si>
    <t>guidance and intervention</t>
  </si>
  <si>
    <t>Where is corporal punishment no longer practiced?</t>
  </si>
  <si>
    <t>The Sarah Jane Adventures, starring Elisabeth Sladen who reprised her role as investigative journalist Sarah Jane Smith, was developed by CBBC; a special aired on New Year's Day 2007 and a full series began on 24 September 2007. A second series followed in 2008, notable for (as noted above) featuring the return of Brigadier Lethbridge-Stewart. A third in 2009 featured a crossover appearance from the main show by David Tennant as the Tenth Doctor. In 2010, a further such appearance featured Matt Smith as the Eleventh Doctor alongside former companion actress Katy Manning reprising her role as Jo Grant. A final, three-story fifth series was transmitted in autumn 2011 – uncompleted due to the death of Elisabeth Sladen in early 2011.</t>
  </si>
  <si>
    <t>matrix diagonals of the tensor)</t>
  </si>
  <si>
    <t>add O2 instead of CO2 to RuBP</t>
  </si>
  <si>
    <t>What was the definition of professionals, for this study?</t>
  </si>
  <si>
    <t>On 23 June 2005, Rep. Joe Barton, chairman of the House Committee on Energy and Commerce wrote joint letters with Ed Whitfield, Chairman of the Subcommittee on Oversight and Investigations demanding full records on climate research, as well as personal information about their finances and careers, from Mann, Bradley and Hughes. Sherwood Boehlert, chairman of the House Science Committee, said this was a "misguided and illegitimate investigation" apparently aimed at intimidating scientists, and at his request the U.S. National Academy of Sciences arranged for its National Research Council to set up a special investigation. The National Research Council's report agreed that there were some statistical failings, but these had little effect on the graph, which was generally correct. In a 2006 letter to Nature, Mann, Bradley, and Hughes pointed out that their original article had said that "more widespread high-resolution data are needed before more confident conclusions can be reached" and that the uncertainties were "the point of the article".</t>
  </si>
  <si>
    <t>briefing B-265</t>
  </si>
  <si>
    <t>the West Lothian question</t>
  </si>
  <si>
    <t>cooler</t>
  </si>
  <si>
    <t>Chinese physicians were brought along military campaigns by the Mongols</t>
  </si>
  <si>
    <t>Hendrix v Employee</t>
  </si>
  <si>
    <t>Besides the analytic property of numbers, what other property of numbers does number theory focus on?</t>
  </si>
  <si>
    <t>In July 1973, as part of its outreach programme to young people, the V&amp;A became the first museum in Britain to present a rock concert. The V&amp;A presented a combined concert/lecture by British progressive folk-rock band Gryphon, who explored the lineage of mediaeval music and instrumentation and related how those contributed to contemporary music 500 years later. This innovative approach to bringing young people to museums was a hallmark of the directorship of Roy Strong and was subsequently emulated by some other British museums.</t>
  </si>
  <si>
    <t>Economic_inequality</t>
  </si>
  <si>
    <t xml:space="preserve">What contributed to water pollution in the Rhine? </t>
  </si>
  <si>
    <t>areas cleared of forest are visible to the naked eye</t>
  </si>
  <si>
    <t>How fast do objects fall on Earth?</t>
  </si>
  <si>
    <t>very similar</t>
  </si>
  <si>
    <t>four days</t>
  </si>
  <si>
    <t>lion, leopard, buffalo, rhinoceros, and elephant</t>
  </si>
  <si>
    <t>difficulty</t>
  </si>
  <si>
    <t>What type of landscapes other than geologic and natural ecosystem landscapes can be found in southern California?</t>
  </si>
  <si>
    <t>lack of understanding</t>
  </si>
  <si>
    <t>you don't understand our American humor</t>
  </si>
  <si>
    <t>a two-thirds majority</t>
  </si>
  <si>
    <t>vaccination</t>
  </si>
  <si>
    <t>the Council</t>
  </si>
  <si>
    <t>What plans of the British did this attach on Oneida Carry set back?</t>
  </si>
  <si>
    <t>Kenyans generally have three meals in a day – breakfast in the morning (kiamsha kinywa), lunch in the afternoon (chakula cha mchana) and supper in the evening (chakula cha jioni or known simply as "chajio"). In between, they have the 10 o'clock tea (chai ya saa nne) and 4 pm tea (chai ya saa kumi). Breakfast is usually tea or porridge with bread, chapati, mahamri, boiled sweet potatoes or yams. Ugali with vegetables, sour milk, meat, fish or any other stew is generally eaten by much of the population for lunch or supper. Regional variations and dishes also exist.</t>
  </si>
  <si>
    <t xml:space="preserve"> what is Internet2</t>
  </si>
  <si>
    <t>neither zero nor a unit</t>
  </si>
  <si>
    <t>What is one tradition within the Christian Church?</t>
  </si>
  <si>
    <t>What is the most rainfall recorded in a 24 hour period in Fresno?</t>
  </si>
  <si>
    <t>At the beginning of the 20th century, important advancement in geological science was facilitated by the ability to obtain accurate absolute dates to geologic events using radioactive isotopes and other methods. This changed the understanding of geologic time. Previously, geologists could only use fossils and stratigraphic correlation to date sections of rock relative to one another. With isotopic dates it became possible to assign absolute ages to rock units, and these absolute dates could be applied to fossil sequences in which there was datable material, converting the old relative ages into new absolute ages.</t>
  </si>
  <si>
    <t>the European Convention on Human Rights</t>
  </si>
  <si>
    <t>corrosion</t>
  </si>
  <si>
    <t>Liberals</t>
  </si>
  <si>
    <t>types of reductions</t>
  </si>
  <si>
    <t>"It's Scotland's oil"</t>
  </si>
  <si>
    <t>In November 1969, Gemini veteran Charles "Pete" Conrad and rookie Alan L. Bean made a precision landing on Apollo 12 within walking distance of the Surveyor 3 unmanned lunar probe, which had landed in April 1967 on the Ocean of Storms. The Command Module Pilot was Gemini veteran Richard F. Gordon, Jr. Conrad and Bean carried the first lunar surface color television camera, but it was damaged when accidentally pointed into the Sun. They made two EVAs totaling 7 hours and 45 minutes. On one, they walked to the Surveyor, photographed it, and removed some parts which they returned to Earth.</t>
  </si>
  <si>
    <t>arguing that it infringed on democratic freedoms</t>
  </si>
  <si>
    <t>to cause their repeal</t>
  </si>
  <si>
    <t>What happened to NASA's budget after the first successful moon landing?</t>
  </si>
  <si>
    <t>On 28 February 2008, Kibaki and Odinga signed an agreement on the formation of a coalition government in which Odinga would become Kenya's second Prime Minister. Under the deal, the president would appoint cabinet ministers from both PNU and ODM camps depending on each party's strength in Parliament. The agreement stipulated that the cabinet would include a vice-president and two deputy Prime Ministers. After debates, it was passed by Parliament, the coalition would hold until the end of the current Parliament or if either of the parties withdraws from the deal before then.</t>
  </si>
  <si>
    <t>What kind of membrane do primary chloroplasts have?</t>
  </si>
  <si>
    <t>What are members who have been baptized as an infant or child but who have not subsequently professed their own faith?</t>
  </si>
  <si>
    <t>In the Rankine cycle, in what state is the working fluid received in the condenser?</t>
  </si>
  <si>
    <t>almost a million people</t>
  </si>
  <si>
    <t>Studies on income inequality and growth have sometimes found evidence confirming the Kuznets curve hypothesis, which states that with economic development, inequality first increases, then decreases. Economist Thomas Piketty challenges this notion, claiming that from 1914 to 1945 wars and "violent economic and political shocks" reduced inequality. Moreover, Piketty argues that the "magical" Kuznets curve hypothesis, with its emphasis on the balancing of economic growth in the long run, cannot account for the significant increase in economic inequality throughout the developed world since the 1970s.</t>
  </si>
  <si>
    <t>worker, capitalist/business owner, landlord</t>
  </si>
  <si>
    <t>more time interacting and working directly with students</t>
  </si>
  <si>
    <t>Why was this short termed organization created?</t>
  </si>
  <si>
    <t>15 January 1954</t>
  </si>
  <si>
    <t>Sociologist</t>
  </si>
  <si>
    <t>one can include arbitrarily many instances of 1 in any factorization</t>
  </si>
  <si>
    <t>Who were the ESPN Deportes commentators for Super Bowl 50?</t>
  </si>
  <si>
    <t>Tesla worked every day from 9:00 a.m. until 6:00 p.m. or later, with dinner from exactly 8:10 p.m., at Delmonico's restaurant and later the Waldorf-Astoria Hotel. Tesla would telephone his dinner order to the headwaiter, who also could be the only one to serve him. "The meal was required to be ready at eight o'clock ... He dined alone, except on the rare occasions when he would give a dinner to a group to meet his social obligations. Tesla would then resume his work, often until 3:00 a.m.":283, 286</t>
  </si>
  <si>
    <t>the first network to make the hosts responsible for reliable delivery of data</t>
  </si>
  <si>
    <t>a specially made wooden paddle</t>
  </si>
  <si>
    <t>electronegativity</t>
  </si>
  <si>
    <t>the Singing Revolution</t>
  </si>
  <si>
    <t>the profession of faith</t>
  </si>
  <si>
    <t>Thomas Edison and George Westinghouse</t>
  </si>
  <si>
    <t>What exists between fundamentalist Islamism and reformist Islamism?</t>
  </si>
  <si>
    <t>buildings, infrastructure and industrial</t>
  </si>
  <si>
    <t>A user or host could call a host on a foreign network by including the DNIC of the remote network as part of the destination address</t>
  </si>
  <si>
    <t>sleeps</t>
  </si>
  <si>
    <t>apoplectic stroke</t>
  </si>
  <si>
    <t>The Greens</t>
  </si>
  <si>
    <t>If law breaking is not done in a public manor it is not considered what term?</t>
  </si>
  <si>
    <t>international organizations and foreign governments</t>
  </si>
  <si>
    <t>Oxygen therapy</t>
  </si>
  <si>
    <t>What's one factor in eroding self-esteem?</t>
  </si>
  <si>
    <t>Where was Luther mostly concentrating his efforts on reform?</t>
  </si>
  <si>
    <t>What is lower in countries with more inequality for the top 21 industrialized countries?</t>
  </si>
  <si>
    <t>substantially increasing the atmospheric concentrations of the greenhouse gases</t>
  </si>
  <si>
    <t>Eight original series serials</t>
  </si>
  <si>
    <t>lysozyme and phospholipase A2</t>
  </si>
  <si>
    <t>water pollution</t>
  </si>
  <si>
    <t>Who was Frédéric Chopin?</t>
  </si>
  <si>
    <t>$15.5</t>
  </si>
  <si>
    <t>300–600 nanometers in diameter</t>
  </si>
  <si>
    <t>n &lt; p &lt; 2n − 2</t>
  </si>
  <si>
    <t>North County</t>
  </si>
  <si>
    <t>devastating loss</t>
  </si>
  <si>
    <t>end of October 2006</t>
  </si>
  <si>
    <t>MCI Telecommunications</t>
  </si>
  <si>
    <t>After 1935, who would be forbidden to enter Rhineland?</t>
  </si>
  <si>
    <t>How many variants is the new ABC logo currently displayed in?</t>
  </si>
  <si>
    <t>What did the BankAmericard allow customers do to that they couldn't do with previous financial instruments?</t>
  </si>
  <si>
    <t>During the 1970s</t>
  </si>
  <si>
    <t>New broadcast regulations from the FCC in 1968 allowed companies to own a maximum of how many radio stations?</t>
  </si>
  <si>
    <t>music from the 2008–2010 specials</t>
  </si>
  <si>
    <t>coast of Denmark</t>
  </si>
  <si>
    <t>manned lunar landing.</t>
  </si>
  <si>
    <t>Maududi also believed that Muslim society could not be Islamic without Sharia, and Islam required the establishment of an Islamic state. This state should be a "theo-democracy," based on the principles of: tawhid (unity of God), risala (prophethood) and khilafa (caliphate). Although Maududi talked about Islamic revolution, by "revolution" he meant not the violence or populist policies of the Iranian Revolution, but the gradual changing the hearts and minds of individuals from the top of society downward through an educational process or da'wah.</t>
  </si>
  <si>
    <t>How many PD rings are there?</t>
  </si>
  <si>
    <t>is incompatible with Christ's message and teachings.</t>
  </si>
  <si>
    <t>What was the cartel of Newcastle burgesses known as?</t>
  </si>
  <si>
    <t>attend school at the Higher Real Gymnasium</t>
  </si>
  <si>
    <t>Tesla was generally antagonistic towards theories about the conversion of matter into energy.:247 He was also critical of Einstein's theory of relativity, saying:</t>
  </si>
  <si>
    <t>probabilistic</t>
  </si>
  <si>
    <t>Army</t>
  </si>
  <si>
    <t>Whose wall has fragments visible in places around Newcastle even today?</t>
  </si>
  <si>
    <t>In July 2013</t>
  </si>
  <si>
    <t>a not-for-profit United States computer networking consortium led by members from the research and education communities, industry, and government</t>
  </si>
  <si>
    <t>thylakoid network</t>
  </si>
  <si>
    <t>drug choice, dose, route, frequency, and duration of therapy</t>
  </si>
  <si>
    <t>July 2013</t>
  </si>
  <si>
    <t>What was Abu Hamaz al-Masri charged with when he was arrested?</t>
  </si>
  <si>
    <t>When people take on debt, it leads potentially to what?</t>
  </si>
  <si>
    <t>stream capture</t>
  </si>
  <si>
    <t>Competition amongst workers</t>
  </si>
  <si>
    <t>When did Luther return to Wittenberg?</t>
  </si>
  <si>
    <t>about 1820</t>
  </si>
  <si>
    <t>rejected</t>
  </si>
  <si>
    <t>in the Brompton district of the Royal Borough of Kensington and Chelsea</t>
  </si>
  <si>
    <t>Apollo ran from 1961 to 1972, and was supported by the two-man Gemini program which ran concurrently with it from 1962 to 1966. Gemini missions developed some of the space travel techniques that were necessary for the success of the Apollo missions. Apollo used Saturn family rockets as launch vehicles. Apollo/Saturn vehicles were also used for an Apollo Applications Program, which consisted of Skylab, a space station that supported three manned missions in 1973–74, and the Apollo–Soyuz Test Project, a joint Earth orbit mission with the Soviet Union in 1975.</t>
  </si>
  <si>
    <t>the Justinian plague that was prevalent in the Eastern Roman Empire from 541 to 700 CE.</t>
  </si>
  <si>
    <t>In education, teachers facilitate student learning, often in a school or academy or perhaps in another environment such as outdoors. A teacher who teaches on an individual basis may be described as a tutor.</t>
  </si>
  <si>
    <t>about 300–600 nanometers in diameter</t>
  </si>
  <si>
    <t>Who inspects the building periodically to ensure that the construction adheres to the approved plans and the local building code?</t>
  </si>
  <si>
    <t>The main use for steam turbines is in electricity generation (in the 1990s about 90% of the world's electric production was by use of steam turbines) however the recent widespread application of large gas turbine units and typical combined cycle power plants has resulted in reduction of this percentage to the 80% regime for steam turbines. In electricity production, the high speed of turbine rotation matches well with the speed of modern electric generators, which are typically direct connected to their driving turbines. In marine service, (pioneered on the Turbinia), steam turbines with reduction gearing (although the Turbinia has direct turbines to propellers with no reduction gearbox) dominated large ship propulsion throughout the late 20th century, being more efficient (and requiring far less maintenance) than reciprocating steam engines. In recent decades, reciprocating Diesel engines, and gas turbines, have almost entirely supplanted steam propulsion for marine applications.</t>
  </si>
  <si>
    <t>quickly</t>
  </si>
  <si>
    <t>yellow fever outbreaks</t>
  </si>
  <si>
    <t>Currently, New Jersey, Rhode Island and Delaware are the only U.S. states where ABC does not have a locally licensed affiliate (New Jersey is served by New York City O&amp;O WABC-TV and Philadelphia O&amp;O WPVI-TV; Rhode Island is served by New Bedford, Massachusetts-licensed WLNE; and Delaware is served by WPVI and Salisbury, Maryland affiliate WMDT). ABC maintains affiliations with low-power stations (broadcasting either in analog or digital) in a few markets, such as Birmingham, Alabama (WBMA-LD), Lima, Ohio (WLQP-LP) and South Bend, Indiana (WBND-LD). In some markets, including the former two mentioned, these stations also maintain digital simulcasts on a subchannel of a co-owned/co-managed full-power television station.</t>
  </si>
  <si>
    <t>What Chinese-style name did Rinchinbal use?</t>
  </si>
  <si>
    <t>What was Tesla's idea regarding Earth?</t>
  </si>
  <si>
    <t>Roman Empire</t>
  </si>
  <si>
    <t>FMCG manufacturing</t>
  </si>
  <si>
    <t>over five million passengers</t>
  </si>
  <si>
    <t>What is the function of the TARDIS?</t>
  </si>
  <si>
    <t>Emperor Charles V</t>
  </si>
  <si>
    <t>the Huguenots had their own militia</t>
  </si>
  <si>
    <t>eight General Education categories</t>
  </si>
  <si>
    <t>What system has an impact on income inequality?</t>
  </si>
  <si>
    <t>sent small numbers of settlers to its colonies,</t>
  </si>
  <si>
    <t>What did Luther's translation of the Bible promote in the German language?</t>
  </si>
  <si>
    <t>assimilation</t>
  </si>
  <si>
    <t>international data communications network</t>
  </si>
  <si>
    <t>Nairobi, Mombasa and Kisumu</t>
  </si>
  <si>
    <t>The concept of legal certainty is recognised one of the general principles of European Union law by the European Court of Justice since the 1960s. It is an important general principle of international law and public law, which predates European Union law. As a general principle in European Union law it means that the law must be certain, in that it is clear and precise, and its legal implications foreseeable, specially when applied to financial obligations. The adoption of laws which will have legal effect in the European Union must have a proper legal basis. Legislation in member states which implements European Union law must be worded so that it is clearly understandable by those who are subject to the law. In European Union law the general principle of legal certainty prohibits Ex post facto laws, i.e. laws should not take effect before they are published. The doctrine of legitimate expectation, which has its roots in the principles of legal certainty and good faith, is also a central element of the general principle of legal certainty in European Union law. The legitimate expectation doctrine holds that and that "those who act in good faith on the basis of law as it is or seems to be should not be frustrated in their expectations".</t>
  </si>
  <si>
    <t>to orbit the Moon</t>
  </si>
  <si>
    <t>NP-complete problems</t>
  </si>
  <si>
    <t>In the capabilities approach, grow and income are considered a means to an end rather than what?</t>
  </si>
  <si>
    <t>Where in South Carolina did Huguenot nobility settle?</t>
  </si>
  <si>
    <t>Which empire was the last one Genghis Khan conquered before he died?</t>
  </si>
  <si>
    <t>within the chloroplast's stroma</t>
  </si>
  <si>
    <t>What do statements from the PO and member in charge of the bill also indicate?</t>
  </si>
  <si>
    <t>Which material is the Gloucester Candlestick made from?</t>
  </si>
  <si>
    <t>friendship</t>
  </si>
  <si>
    <t>Tuesday</t>
  </si>
  <si>
    <t>What is the duration of Harvard Academic year?</t>
  </si>
  <si>
    <t>Kenya has been a dominant force in women's volleyball within Africa, with both the clubs and the national team winning various continental championships in the past decade.[citation needed] The women's team has competed at the Olympics and World Championships but without any notable success. Cricket is another popular and the most successful team sport. Kenya has competed in the Cricket World Cup since 1996. They upset some of the World's best teams and reached semi-finals of the 2003 tournament. They won the inaugural World Cricket League Division 1 hosted in Nairobi and participated in the World T20. Their current captain is Rakep Patel. They participated in the ICC Cricket World Cup 2011. Kenya is represented by Lucas Onyango as a professional rugby league player who plays with Oldham Roughyeds. Besides the former European Super League team, he has played for Widnes Vikings and rugby union with Sale Sharks. Rugby union is increasing in popularity, especially with the annual Safari Sevens tournament. Kenya sevens team ranked 9th in IRB Sevens World Series for the 2006 season. Kenya was also a regional powerhouse in soccer. However, its dominance has been eroded by wrangles within the now defunct Kenya Football Federation, leading to a suspension by FIFA which was lifted in March 2007.</t>
  </si>
  <si>
    <t>What did Luther's degree in 1509 concern?</t>
  </si>
  <si>
    <t>What colors was the 2001 ABC logo?</t>
  </si>
  <si>
    <t>cyclic electron flow</t>
  </si>
  <si>
    <t>Where did Tesla go upon leaving Gospic?</t>
  </si>
  <si>
    <t>undermining the communist ideology</t>
  </si>
  <si>
    <t>Newton's Second Law asserts the direct proportionality of acceleration to force and the inverse proportionality of acceleration to mass. Accelerations can be defined through kinematic measurements. However, while kinematics are well-described through reference frame analysis in advanced physics, there are still deep questions that remain as to what is the proper definition of mass. General relativity offers an equivalence between space-time and mass, but lacking a coherent theory of quantum gravity, it is unclear as to how or whether this connection is relevant on microscales. With some justification, Newton's second law can be taken as a quantitative definition of mass by writing the law as an equality; the relative units of force and mass then are fixed.</t>
  </si>
  <si>
    <t>27 September 2001</t>
  </si>
  <si>
    <t>their Annual Conference</t>
  </si>
  <si>
    <t>Apollo TV camera</t>
  </si>
  <si>
    <t>logistical difficulties</t>
  </si>
  <si>
    <t>contain their own DNA</t>
  </si>
  <si>
    <t>None</t>
  </si>
  <si>
    <t>his siblings' families</t>
  </si>
  <si>
    <t>chares'</t>
  </si>
  <si>
    <t>All Recognized Student Organizations, from the University of Chicago Scavenger Hunt to Model UN, in addition to academic teams, sports club, arts groups, and more are funded by The University of Chicago Student Government. Student Government is made up of graduate and undergraduate students elected to represent members from their respective academic unit. It is led by an Executive Committee, chaired by a President with the assistance of two Vice Presidents, one for Administration and the other for Student Life, elected together as a slate by the student body each spring. Its annual budget is greater than $2 million.</t>
  </si>
  <si>
    <t>What was Tesla's belief as to the selling price of the biplane?</t>
  </si>
  <si>
    <t>Hymn for the Weekend</t>
  </si>
  <si>
    <t>What is European Union Law?</t>
  </si>
  <si>
    <t>eight years in primary school and four years in high school</t>
  </si>
  <si>
    <t>cattle were brought across the river there</t>
  </si>
  <si>
    <t>Gateshead Council</t>
  </si>
  <si>
    <t>interacting and working directly with students</t>
  </si>
  <si>
    <t>What does chlorophyll absorb?</t>
  </si>
  <si>
    <t>How much money did John Jacob Astor IV provide Tesla with?</t>
  </si>
  <si>
    <t>Archbishop of Trier</t>
  </si>
  <si>
    <t>to the American Indians</t>
  </si>
  <si>
    <t>indigenous</t>
  </si>
  <si>
    <t>EAT! NewcastleGateshead</t>
  </si>
  <si>
    <t>The idea of acquired immunity in jawed vertebrates is the basis of what medical treatment?</t>
  </si>
  <si>
    <t>political unity</t>
  </si>
  <si>
    <t>What Aaron Sorkin created show did ABC debut in 1998?</t>
  </si>
  <si>
    <t>framework</t>
  </si>
  <si>
    <t>What is a ctenophora?</t>
  </si>
  <si>
    <t>Leukocytes (white blood cells) act like independent, single-celled organisms and are the second arm of the innate immune system. The innate leukocytes include the phagocytes (macrophages, neutrophils, and dendritic cells), mast cells, eosinophils, basophils, and natural killer cells. These cells identify and eliminate pathogens, either by attacking larger pathogens through contact or by engulfing and then killing microorganisms. Innate cells are also important mediators in the activation of the adaptive immune system.</t>
  </si>
  <si>
    <t>anti-Jewish rhetoric</t>
  </si>
  <si>
    <t>The Kuznets curve says with economic development, inequality will decrease after what?</t>
  </si>
  <si>
    <t>The earliest known movie featuring some exterior scenes filmed in the city is On the Night of the Fire (1939), though by and large the action is studio-bound. Later came The Clouded Yellow (1951) and Payroll (1961), both of which feature more extensive scenes filmed in the city. The 1971 film Get Carter was shot on location in and around Newcastle and offers an opportunity to see what Newcastle looked like in the 1960s and early 1970s. The city was also backdrop to another gangster film, the 1988 film noir thriller Stormy Monday, directed by Mike Figgis and starring Tommy Lee Jones, Melanie Griffith, Sting and Sean Bean.</t>
  </si>
  <si>
    <t>Where did he claim the blueprint was stored?</t>
  </si>
  <si>
    <t>Swahili</t>
  </si>
  <si>
    <t>What is sometimes more effective than civil disobedience at times?</t>
  </si>
  <si>
    <t>many elements</t>
  </si>
  <si>
    <t>asphyxiated</t>
  </si>
  <si>
    <t>Ohio Company of Virginia</t>
  </si>
  <si>
    <t>Killer T cells can only recognize antigens coupled to what kind of molecules?</t>
  </si>
  <si>
    <t>theory of races</t>
  </si>
  <si>
    <t>it can fertilize its own egg</t>
  </si>
  <si>
    <t>What is the term for a meeting of Mongol chiefs?</t>
  </si>
  <si>
    <t>kinematic measurements</t>
  </si>
  <si>
    <t>99.4.</t>
  </si>
  <si>
    <t>over five million</t>
  </si>
  <si>
    <t>What is the most common cause of immunodeficiency in developing nations?</t>
  </si>
  <si>
    <t>South Pacific</t>
  </si>
  <si>
    <t>The Broncos defeated the Pittsburgh Steelers in the divisional round, 23–16, by scoring 11 points in the final three minutes of the game. They then beat the defending Super Bowl XLIX champion New England Patriots in the AFC Championship Game, 20–18, by intercepting a pass on New England's 2-point conversion attempt with 17 seconds left on the clock. Despite Manning's problems with interceptions during the season, he didn't throw any in their two playoff games.</t>
  </si>
  <si>
    <t>chromalveolates</t>
  </si>
  <si>
    <t>How many central conferences are outside of the United States?</t>
  </si>
  <si>
    <t>One strategy of Islamization is to seize power by what methods?</t>
  </si>
  <si>
    <t>What is an example of a measurement within a complexity class that would create a bigger set of problems if the bounds were relaxed?</t>
  </si>
  <si>
    <t>adult plant's apical meristems</t>
  </si>
  <si>
    <t>What other doctrines did Luther disavow about saints?</t>
  </si>
  <si>
    <t>representatives</t>
  </si>
  <si>
    <t>$5,000,000,</t>
  </si>
  <si>
    <t>What is terra preta called?</t>
  </si>
  <si>
    <t>3.55 inches (90.2 mm)</t>
  </si>
  <si>
    <t>co-operation</t>
  </si>
  <si>
    <t>his chastity</t>
  </si>
  <si>
    <t>The Intergovernmental Panel on Climate Change (IPCC) is a scientific intergovernmental body under the auspices of the United Nations, set up at the request of member governments. It was first established in 1988 by two United Nations organizations, the World Meteorological Organization (WMO) and the United Nations Environment Programme (UNEP), and later endorsed by the United Nations General Assembly through Resolution 43/53. Membership of the IPCC is open to all members of the WMO and UNEP. The IPCC produces reports that support the United Nations Framework Convention on Climate Change (UNFCCC), which is the main international treaty on climate change. The ultimate objective of the UNFCCC is to "stabilize greenhouse gas concentrations in the atmosphere at a level that would prevent dangerous anthropogenic [i.e., human-induced] interference with the climate system". IPCC reports cover "the scientific, technical and socio-economic information relevant to understanding the scientific basis of risk of human-induced climate change, its potential impacts and options for adaptation and mitigation."</t>
  </si>
  <si>
    <t>1493–1500</t>
  </si>
  <si>
    <t>The flagship stations of each station in the markets of each team will carry their local play-by-play calls. In Denver, KOA (850 AM) and KRFX (103.5 FM) will carry the game, with Dave Logan on play-by-play and Ed McCaffrey on color commentary. In North Carolina, WBT (1110 AM) will carry the game, with Mick Mixon on play-by-play and Eugene Robinson and Jim Szoke on color commentary. WBT will also simulcast the game on its sister station WBT-FM (99.3 FM), which is based in Chester, South Carolina. As KOA and WBT are both clear-channel stations, the local broadcasts will be audible over much of the western United States after sunset (for Denver) and the eastern United States throughout the game (for Carolina). In accordance with contractual rules, the rest of the stations in the Broncos and Panthers radio networks will either carry the Westwood One feed or not carry the game at all.</t>
  </si>
  <si>
    <t>What type of musical instruments did the Yuan bring to China?</t>
  </si>
  <si>
    <t>to protect their tribal lands from commercial interests</t>
  </si>
  <si>
    <t>he sent missionaries, backed by a fund to financially reward converts</t>
  </si>
  <si>
    <t>working through Turkish modernist Mustafa Kemal Atatürk</t>
  </si>
  <si>
    <t>How many total volumes are in the Harvard library system?</t>
  </si>
  <si>
    <t>a power outage</t>
  </si>
  <si>
    <t>While experimenting, Tesla inadvertently faulted a power station generator, causing a power outage. In August 1917, Tesla explained what had happened in The Electrical Experimenter: "As an example of what has been done with several hundred kilowatts of high frequency energy liberated, it was found that the dynamos in a power house six miles away were repeatedly burned out, due to the powerful high frequency currents set up in them, and which caused heavy sparks to jump through the windings and destroy the insulation!"</t>
  </si>
  <si>
    <t>The invasion failed both militarily and politically</t>
  </si>
  <si>
    <t>chloroplasts are not inherited from the male parent</t>
  </si>
  <si>
    <t>arrows</t>
  </si>
  <si>
    <t>In the coming decades, pharmacists are expected to become more integral within the health care system. Rather than simply dispensing medication, pharmacists are increasingly expected to be compensated for their patient care skills. In particular, Medication Therapy Management (MTM) includes the clinical services that pharmacists can provide for their patients. Such services include the thorough analysis of all medication (prescription, non-prescription, and herbals) currently being taken by an individual. The result is a reconciliation of medication and patient education resulting in increased patient health outcomes and decreased costs to the health care system.</t>
  </si>
  <si>
    <t>the General Pharmaceutical Council (GPhC) register</t>
  </si>
  <si>
    <t>saw them as too Chinese</t>
  </si>
  <si>
    <t>Which group seeks to reconceive and promote Biblical holiness in today's church?</t>
  </si>
  <si>
    <t>What does ATP store?</t>
  </si>
  <si>
    <t>glucose monomers in the chloroplast</t>
  </si>
  <si>
    <t>What logo was modified and reused for the 50th Anniversary special?</t>
  </si>
  <si>
    <t>the Black Sea</t>
  </si>
  <si>
    <t>How many tons of Saharan dust falls on the Amazon Basin each year?</t>
  </si>
  <si>
    <t>What was the nationality of Jerónimo de Ayanz y Beaumont?</t>
  </si>
  <si>
    <t>In some plants such as cacti, chloroplasts are found in the stems, though in most plants, chloroplasts are concentrated in the leaves. One square millimeter of leaf tissue can contain half a million chloroplasts. Within a leaf, chloroplasts are mainly found in the mesophyll layers of a leaf, and the guard cells of stomata. Palisade mesophyll cells can contain 30–70 chloroplasts per cell, while stomatal guard cells contain only around 8–15 per cell, as well as much less chlorophyll. Chloroplasts can also be found in the bundle sheath cells of a leaf, especially in C4 plants, which carry out the Calvin cycle in their bundle sheath cells. They are often absent from the epidermis of a leaf.</t>
  </si>
  <si>
    <t>semi-private</t>
  </si>
  <si>
    <t>member state courts</t>
  </si>
  <si>
    <t>Why is the collection dominated by fashionable clothes made for special occasions?</t>
  </si>
  <si>
    <t>popularly based authority</t>
  </si>
  <si>
    <t>starch</t>
  </si>
  <si>
    <t>In 2007, BSkyB and Virgin Media became involved in a dispute over the carriage of Sky channels on cable TV. The failure to renew the existing carriage agreements negotiated with NTL and Telewest resulted in Virgin Media removing the basic channels from the network on 1 March 2007. Virgin Media claimed that BSkyB had substantially increased the asking price for the channels, a claim which BSkyB denied, on the basis that their new deal offered "substantially more value" by including HD channels and Video On Demand content which was not previously carried by cable.</t>
  </si>
  <si>
    <t>Natural killer cells, or NK cells, are a component of the innate immune system which does not directly attack invading microbes. Rather, NK cells destroy compromised host cells, such as tumor cells or virus-infected cells, recognizing such cells by a condition known as "missing self." This term describes cells with low levels of a cell-surface marker called MHC I (major histocompatibility complex) – a situation that can arise in viral infections of host cells. They were named "natural killer" because of the initial notion that they do not require activation in order to kill cells that are "missing self." For many years it was unclear how NK cells recognize tumor cells and infected cells. It is now known that the MHC makeup on the surface of those cells is altered and the NK cells become activated through recognition of "missing self". Normal body cells are not recognized and attacked by NK cells because they express intact self MHC antigens. Those MHC antigens are recognized by killer cell immunoglobulin receptors (KIR) which essentially put the brakes on NK cells.</t>
  </si>
  <si>
    <t>What was dificult to reconcile the photoelectric effect and the missing ultraviolet catastrophe?</t>
  </si>
  <si>
    <t>The National Science Foundation Network (NSFNET) was a program of coordinated, evolving projects sponsored by the National Science Foundation (NSF) beginning in 1985 to promote advanced research and education networking in the United States. NSFNET was also the name given to several nationwide backbone networks operating at speeds of 56 kbit/s, 1.5 Mbit/s (T1), and 45 Mbit/s (T3) that were constructed to support NSF's networking initiatives from 1985-1995. Initially created to link researchers to the nation's NSF-funded supercomputing centers, through further public funding and private industry partnerships it developed into a major part of the Internet backbone.</t>
  </si>
  <si>
    <t>their disciples</t>
  </si>
  <si>
    <t>How many children did Luther and his wife have?</t>
  </si>
  <si>
    <t>detailed</t>
  </si>
  <si>
    <t>What kind of missions are the armed forces regularly deployed for?</t>
  </si>
  <si>
    <t>What increased in the Rhine because of the land clearance in the upland areas?</t>
  </si>
  <si>
    <t>What was the ratio of men to women at Harvard/Radcliffe?</t>
  </si>
  <si>
    <t>King Sigismund III Vasa</t>
  </si>
  <si>
    <t>Similarly, it is not known if L (the set of all problems that can be solved in logarithmic space) is strictly contained in P or equal to P. Again, there are many complexity classes between the two, such as NL and NC, and it is not known if they are distinct or equal classes.</t>
  </si>
  <si>
    <t>black and white</t>
  </si>
  <si>
    <t>Where is the coldest section of Victoria?</t>
  </si>
  <si>
    <t>most reliable</t>
  </si>
  <si>
    <t>What was redesigned during the Apollo program being grounded during 1970?</t>
  </si>
  <si>
    <t>Sports Programs, Inc.</t>
  </si>
  <si>
    <t>multi-stage centrifugal pumps</t>
  </si>
  <si>
    <t>some Asian, African and Caribbean countries</t>
  </si>
  <si>
    <t>Peterloo massacre</t>
  </si>
  <si>
    <t>hymnals</t>
  </si>
  <si>
    <t>British colonists would not be safe</t>
  </si>
  <si>
    <t>What powers does the Court of Justice of the European Union have in regards to treaties?</t>
  </si>
  <si>
    <t>Fryderyk Chopin University of Music</t>
  </si>
  <si>
    <t>pedagogy</t>
  </si>
  <si>
    <t>civil rebellion are justified by appeal to constitutional defects, rebellion is much more</t>
  </si>
  <si>
    <t>end of the Mexican War</t>
  </si>
  <si>
    <t>The Small Catechism</t>
  </si>
  <si>
    <t>What are the core treaties that the primary law of the EU consists of?</t>
  </si>
  <si>
    <t>How can function problems typically be restated?</t>
  </si>
  <si>
    <t>What type of sanctions has the US directed at Iran?</t>
  </si>
  <si>
    <t>from 1321 to 1323</t>
  </si>
  <si>
    <t>constitutional law</t>
  </si>
  <si>
    <t>design build</t>
  </si>
  <si>
    <t>What led to Newcastle's fall from power as military advisor?</t>
  </si>
  <si>
    <t>What do bundle sheath chloroplasts specialize in?</t>
  </si>
  <si>
    <t>What is controled by the market and economy?</t>
  </si>
  <si>
    <t>incentive for the democratic changes</t>
  </si>
  <si>
    <t>ignoring Christ's counsel</t>
  </si>
  <si>
    <t>What was the first true engine that was commercially successful?</t>
  </si>
  <si>
    <t>At what age did British Gas plc force their workers to retire?</t>
  </si>
  <si>
    <t>What organization offers monetary awards for identifying primes with at least 100 million digits?</t>
  </si>
  <si>
    <t>This vibrant and culturally diverse area of retail businesses and residences experienced a renewal after a significant decline in the late 1960s and 1970s.[citation needed] After decades of neglect and suburban flight, the neighborhood revival followed the re-opening of the Tower Theatre in the late 1970s, which at that time showed second and third run movies, along with classic films. Roger Rocka's Dinner Theater &amp; Good Company Players also opened nearby in 1978,[citation needed] at Olive and Wishon Avenues. Fresno native Audra McDonald performed in the leading roles of Evita and The Wiz at the theater while she was a high school student. McDonald subsequently became a leading performer on Broadway in New York City and a Tony award winning actress. Also in the Tower District is Good Company Players' 2nd Space Theatre.</t>
  </si>
  <si>
    <t>phagosome</t>
  </si>
  <si>
    <t>enabling some farmers to buy assets</t>
  </si>
  <si>
    <t>ministers in departments that are selected for questioning that sitting day</t>
  </si>
  <si>
    <t>An example of a decision problem is the following. The input is an arbitrary graph. The problem consists in deciding whether the given graph is connected, or not. The formal language associated with this decision problem is then the set of all connected graphs—of course, to obtain a precise definition of this language, one has to decide how graphs are encoded as binary strings.</t>
  </si>
  <si>
    <t>£304m</t>
  </si>
  <si>
    <t>During which season did ABC first take the lead spot in television rating?</t>
  </si>
  <si>
    <t>pH or available iron</t>
  </si>
  <si>
    <t>Conservative researchers have argued that income inequality is not significant because consumption, rather than income should be the measure of inequality, and inequality of consumption is less extreme than inequality of income in the US. Will Wilkinson of the libertarian Cato Institute states that "the weight of the evidence shows that the run-up in consumption inequality has been considerably less dramatic than the rise in income inequality," and consumption is more important than income. According to Johnson, Smeeding, and Tory, consumption inequality was actually lower in 2001 than it was in 1986. The debate is summarized in "The Hidden Prosperity of the Poor" by journalist Thomas B. Edsall. Other studies have not found consumption inequality less dramatic than household income inequality, and the CBO's study found consumption data not "adequately" capturing "consumption by high-income households" as it does their income, though it did agree that household consumption numbers show more equal distribution than household income.</t>
  </si>
  <si>
    <t>family member</t>
  </si>
  <si>
    <t>On the other hand, Luther also points out that the Ten Commandments – when considered not as God's condemning judgment but as an expression of his eternal will, that is, of the natural law – also positively teach how the Christian ought to live. This has traditionally been called the "third use of the law." For Luther, also Christ's life, when understood as an example, is nothing more than an illustration of the Ten Commandments, which a Christian should follow in his or her vocations on a daily basis.</t>
  </si>
  <si>
    <t>forced Tesla out</t>
  </si>
  <si>
    <t>What Doctor was first referred to as "his secret"?</t>
  </si>
  <si>
    <t>social exclusion</t>
  </si>
  <si>
    <t>successfully preventing it from being cut down</t>
  </si>
  <si>
    <t>On what other calendar is Luther commemorated?</t>
  </si>
  <si>
    <t>What words to they think are linked to the work Kenya?</t>
  </si>
  <si>
    <t>Jacques Legardeur de Saint-Pierre</t>
  </si>
  <si>
    <t>In what area did the 1996 television film premier?</t>
  </si>
  <si>
    <t>What river did Genghis Khan cross before defeating the main Tangut army?</t>
  </si>
  <si>
    <t>has the ability to expand and develop the law according to the principles it deems to be appropriate</t>
  </si>
  <si>
    <t>Huguenot Street Historic District</t>
  </si>
  <si>
    <t>manufacturing</t>
  </si>
  <si>
    <t>What book did Martin Luther translate to impact German culture?</t>
  </si>
  <si>
    <t>Firstly, certain costs are difficult to avoid and are shared by everyone, such as the costs of housing, pensions, education and health care. If the state does not provide these services, then for those on lower incomes, the costs must be borrowed and often those on lower incomes are those who are worse equipped to manage their finances. Secondly, aspirational consumption describes the process of middle income earners aspiring to achieve the standards of living enjoyed by their wealthier counterparts and one method of achieving this aspiration is by taking on debt. The result leads to even greater inequality and potential economic instability.</t>
  </si>
  <si>
    <t>What was the trend of female student population from 1970s and deyond?</t>
  </si>
  <si>
    <t>How does the secondary theory say most cpDNA replicates?</t>
  </si>
  <si>
    <t>Was the bubonic plague spread faster or slower than modern bubonic plague?</t>
  </si>
  <si>
    <t>What property of the harmonic series 1 + 1/2 + 1/3 + 1/4 + ... shows that there is an infinite number of primes?</t>
  </si>
  <si>
    <t>spiritual cures</t>
  </si>
  <si>
    <t>kick back</t>
  </si>
  <si>
    <t>universities</t>
  </si>
  <si>
    <t>What were the first local stations to offer streams of their programming on WATCH ABC?</t>
  </si>
  <si>
    <t>Linux</t>
  </si>
  <si>
    <t>refusing to make a commitment</t>
  </si>
  <si>
    <t>Where is Kenya located?</t>
  </si>
  <si>
    <t>Though there is no official definition for the northern boundary of southern California, such a division has existed from the time when Mexico ruled California, and political disputes raged between the Californios of Monterey in the upper part and Los Angeles in the lower part of Alta California. Following the acquisition of California by the United States, the division continued as part of the attempt by several pro-slavery politicians to arrange the division of Alta California at 36 degrees, 30 minutes, the line of the Missouri Compromise. Instead, the passing of the Compromise of 1850 enabled California to be admitted to the Union as a free state, preventing southern California from becoming its own separate slave state.</t>
  </si>
  <si>
    <t>the helmeted honeyeater</t>
  </si>
  <si>
    <t>tension force on a load can be multiplied</t>
  </si>
  <si>
    <t>multiple revisions</t>
  </si>
  <si>
    <t>Who could be the subjects of a teacher's college investigation?</t>
  </si>
  <si>
    <t>The rotational inertia of planet Earth</t>
  </si>
  <si>
    <t>Which theory states that Earth's features remained unchanged after forming in one single catastrophic event?</t>
  </si>
  <si>
    <t>Mount Bogong</t>
  </si>
  <si>
    <t>kill</t>
  </si>
  <si>
    <t>Because oil was priced in dollars, oil producers' real income decreased.</t>
  </si>
  <si>
    <t>the trial and rehabilitation of Joan of Arc</t>
  </si>
  <si>
    <t>university and military academy</t>
  </si>
  <si>
    <t>The Mongols' extensive West Asian and European contacts</t>
  </si>
  <si>
    <t>Why did oil start getting priced in terms of gold?</t>
  </si>
  <si>
    <t>higher levels</t>
  </si>
  <si>
    <t>his observation of fossil animal shells</t>
  </si>
  <si>
    <t>produce both eggs and sperm at the same time</t>
  </si>
  <si>
    <t>gets smaller</t>
  </si>
  <si>
    <t>What work of Luther's is seen as a clear religious teaching?</t>
  </si>
  <si>
    <t>What happened to the Apollo program in for the rest of 1970 after the incident regarding Apollo 13?</t>
  </si>
  <si>
    <t>Many machine models different from the standard multi-tape Turing machines have been proposed in the literature, for example random access machines. Perhaps surprisingly, each of these models can be converted to another without providing any extra computational power. The time and memory consumption of these alternate models may vary. What all these models have in common is that the machines operate deterministically.</t>
  </si>
  <si>
    <t>economic development programme</t>
  </si>
  <si>
    <t>States or departments in four nations contain "Amazonas" in their names.</t>
  </si>
  <si>
    <t>What happened with the ground water level with the Rhine straightening program?</t>
  </si>
  <si>
    <t>via the ballast tanks of ships</t>
  </si>
  <si>
    <t>Supreme Court of the United Kingdom</t>
  </si>
  <si>
    <t>assuming the task of interpreting the treaties, and accelerating economic and political integration</t>
  </si>
  <si>
    <t>British merchants or fur-traders, Céloron informed them of the French claims on the territory and told them to leave.</t>
  </si>
  <si>
    <t>What type of steam engine doesn't need valves to direct steam?</t>
  </si>
  <si>
    <t>the 1970s</t>
  </si>
  <si>
    <t>Approximately how many items comprise the jewelry collection of the V&amp;A?</t>
  </si>
  <si>
    <t>woodblocks</t>
  </si>
  <si>
    <t>Which country was thinking about going to war to forcibly take Middle Eastern oil fields?</t>
  </si>
  <si>
    <t>What is one function that prime numbers have that 1 does not?</t>
  </si>
  <si>
    <t>aerobic</t>
  </si>
  <si>
    <t>20.4 billion,</t>
  </si>
  <si>
    <t>compensation pools</t>
  </si>
  <si>
    <t>newly accessioned into the collection</t>
  </si>
  <si>
    <t>The term "imperialism" is often conflated with "colonialism", however many scholars have argued that each have their own distinct definition. Imperialism and colonialism have been used in order to describe one's superiority, domination and influence upon a person or group of people. Robert Young writes that while imperialism operates from the center, is a state policy and is developed for ideological as well as financial reasons, colonialism is simply the development for settlement or commercial intentions. Colonialism in modern usage also tends to imply a degree of geographic separation between the colony and the imperial power. Particularly, Edward Said distinguishes the difference between imperialism and colonialism by stating; "imperialism involved 'the practice, the theory and the attitudes of a dominating metropolitan center ruling a distant territory', while colonialism refers to the 'implanting of settlements on a distant territory.' Contiguous land empires such as the Russian or Ottoman are generally excluded from discussions of colonialism.:116 Thus it can be said that imperialism includes some form of colonialism, but colonialism itself does not automatically imply imperialism, as it lacks a political focus.[further explanation needed]</t>
  </si>
  <si>
    <t>What type of special Doctor Who shows have been shown each year since 2005?</t>
  </si>
  <si>
    <t>The question of whether P equals NP is one of the most important open questions in theoretical computer science because of the wide implications of a solution. If the answer is yes, many important problems can be shown to have more efficient solutions. These include various types of integer programming problems in operations research, many problems in logistics, protein structure prediction in biology, and the ability to find formal proofs of pure mathematics theorems. The P versus NP problem is one of the Millennium Prize Problems proposed by the Clay Mathematics Institute. There is a US$1,000,000 prize for resolving the problem.</t>
  </si>
  <si>
    <t>What music did the fourth soundtrack feature?</t>
  </si>
  <si>
    <t xml:space="preserve">What was the domain name of the site that streamed the Super Bowl 50 game? </t>
  </si>
  <si>
    <t>Whilst this is the consensus viewpoint amongst the majority of academics, some teachers and parents advocate a more assertive and confrontational style of discipline.[citation needed] Such individuals claim that many problems with modern schooling stem from the weakness in school discipline and if teachers exercised firm control over the classroom they would be able to teach more efficiently. This viewpoint is supported by the educational attainment of countries—in East Asia for instance—that combine strict discipline with high standards of education.[citation needed]</t>
  </si>
  <si>
    <t>a few millimeters to 1.5 m (4 ft 11 in) in size.</t>
  </si>
  <si>
    <t>deformations</t>
  </si>
  <si>
    <t>the building is ready to occupy.</t>
  </si>
  <si>
    <t>Where is the George W. Bush Presidential library?</t>
  </si>
  <si>
    <t>Western Imperialism divided the globe according to which theory?</t>
  </si>
  <si>
    <t>Where is cyclic photophosphorylation common?</t>
  </si>
  <si>
    <t>Why did the European nations and Japan separated themselves from United States during the crisis?</t>
  </si>
  <si>
    <t xml:space="preserve">How is packet mode communication implemented </t>
  </si>
  <si>
    <t>4 weeks</t>
  </si>
  <si>
    <t>unbalanced centripetal force</t>
  </si>
  <si>
    <t>What does co-teaching get the students to focus on?</t>
  </si>
  <si>
    <t>Western Cape province</t>
  </si>
  <si>
    <t>When did Western governments support fledgling Islamists?</t>
  </si>
  <si>
    <t>On which date was Genghis Khan's palace rediscovered by archeaologists?</t>
  </si>
  <si>
    <t>What did Luther believe that the soul does after death?</t>
  </si>
  <si>
    <t>late 19th century.</t>
  </si>
  <si>
    <t>2p − 1, with p a prime</t>
  </si>
  <si>
    <t>Eldon Square Shopping Centre,</t>
  </si>
  <si>
    <t>What other CBS talk show played, after the main one that began immediately after Super Bowl 50?</t>
  </si>
  <si>
    <t>around half</t>
  </si>
  <si>
    <t>Natural killer cells</t>
  </si>
  <si>
    <t>What is Kenya the home of?</t>
  </si>
  <si>
    <t>Following a lengthy legal battle with the European Commission, which deemed the exclusivity of the rights to be against the interests of competition and the consumer, BSkyB's monopoly came to an end from the 2007–08 season. In May 2006, the Irish broadcaster Setanta Sports was awarded two of the six Premier League packages that the English FA offered to broadcasters. Sky picked up the remaining four for £1.3bn. In February 2015, Sky bid £4.2bn for a package of 120 premier league games across the three seasons from 2016. This represented an increase of 70% on the previous contract and was said to be £1bn more than the company had expected to pay. The move has been followed by staff cuts, increased subscription prices (including 9% in Sky's family package) and the dropping of the 3D channel.</t>
  </si>
  <si>
    <t>little</t>
  </si>
  <si>
    <t>three-stage</t>
  </si>
  <si>
    <t>sacrifice</t>
  </si>
  <si>
    <t>limited coercion</t>
  </si>
  <si>
    <t>Saxon chancellery</t>
  </si>
  <si>
    <t>Stress</t>
  </si>
  <si>
    <t>What does  mnemiopsis eat?</t>
  </si>
  <si>
    <t>What does Kitab Rudjdjar mean in English?</t>
  </si>
  <si>
    <t>second scale shows the most recent eon with an expanded scale</t>
  </si>
  <si>
    <t>Four</t>
  </si>
  <si>
    <t>bachelor's</t>
  </si>
  <si>
    <t>In 1529, Warsaw for the first time became the seat of the General Sejm, permanent from 1569. In 1573 the city gave its name to the Warsaw Confederation, formally establishing religious freedom in the Polish–Lithuanian Commonwealth. Due to its central location between the Commonwealth's capitals of Kraków and Vilnius, Warsaw became the capital of the Commonwealth and the Crown of the Kingdom of Poland when King Sigismund III Vasa moved his court from Kraków to Warsaw in 1596. In the following years the town expanded towards the suburbs. Several private independent districts were established, the property of aristocrats and the gentry, which were ruled by their own laws. Three times between 1655–1658 the city was under siege and three times it was taken and pillaged by the Swedish, Brandenburgian and Transylvanian forces.</t>
  </si>
  <si>
    <t>at least four</t>
  </si>
  <si>
    <t>chloroplasts have a third plastid-dividing ring located in the chloroplast's intermembrane space</t>
  </si>
  <si>
    <t>In humans, this response is activated by complement binding to antibodies that have attached to these microbes or the binding of complement proteins to carbohydrates on the surfaces of microbes. This recognition signal triggers a rapid killing response. The speed of the response is a result of signal amplification that occurs following sequential proteolytic activation of complement molecules, which are also proteases. After complement proteins initially bind to the microbe, they activate their protease activity, which in turn activates other complement proteases, and so on. This produces a catalytic cascade that amplifies the initial signal by controlled positive feedback. The cascade results in the production of peptides that attract immune cells, increase vascular permeability, and opsonize (coat) the surface of a pathogen, marking it for destruction. This deposition of complement can also kill cells directly by disrupting their plasma membrane.</t>
  </si>
  <si>
    <t>Miasma theory</t>
  </si>
  <si>
    <t>What type of jihad does HT avoid engaging in?</t>
  </si>
  <si>
    <t>first FCC-licensed public data network</t>
  </si>
  <si>
    <t>DTIME(f(n))</t>
  </si>
  <si>
    <t>combustible</t>
  </si>
  <si>
    <t>When does the largest traveling fair in Europe take place?</t>
  </si>
  <si>
    <t>can produce both eggs and sperm at the same time</t>
  </si>
  <si>
    <t>Which country was the last to receive the disease?</t>
  </si>
  <si>
    <t>Southern California is also home to the Port of Los Angeles, the United States' busiest commercial port; the adjacent Port of Long Beach, the United States' second busiest container port; and the Port of San Diego.</t>
  </si>
  <si>
    <t>How are chloroplasts in land plants usually shaped?</t>
  </si>
  <si>
    <t>males in the labor market</t>
  </si>
  <si>
    <t>Analogous definitions can be made for space requirements. Although time and space are the most well-known complexity resources, any complexity measure can be viewed as a computational resource. Complexity measures are very generally defined by the Blum complexity axioms. Other complexity measures used in complexity theory include communication complexity, circuit complexity, and decision tree complexity.</t>
  </si>
  <si>
    <t>common organic molecules</t>
  </si>
  <si>
    <t>Mainichi Broadcasting System</t>
  </si>
  <si>
    <t>a balance sensor</t>
  </si>
  <si>
    <t>What would a teacher do for someone who is cocky?</t>
  </si>
  <si>
    <t>The Rankine cycle is the fundamental thermodynamic underpinning of the steam engine. The cycle is an arrangement of components as is typically used for simple power production, and utilizes the phase change of water (boiling water producing steam, condensing exhaust steam, producing liquid water)) to provide a practical heat/power conversion system. The heat is supplied externally to a closed loop with some of the heat added being converted to work and the waste heat being removed in a condenser. The Rankine cycle is used in virtually all steam power production applications. In the 1990s, Rankine steam cycles generated about 90% of all electric power used throughout the world, including virtually all solar, biomass, coal and nuclear power plants. It is named after William John Macquorn Rankine, a Scottish polymath.</t>
  </si>
  <si>
    <t>along the coast, the settlements were growing into the interior</t>
  </si>
  <si>
    <t>While many United Methodist congregations operate in the evangelical tradition, others reflect the mainline Protestant traditions. Although United Methodist practices and interpretation of beliefs have evolved over time, these practices and beliefs can be traced to the writings of the church's founders, especially John Wesley and Charles Wesley (Anglicans), but also Philip William Otterbein and Martin Boehm (United Brethren), and Jacob Albright (Evangelical Association). With the formation of The United Methodist Church in 1968, theologian Albert C. Outler led the team which systematized denominational doctrine. Outler's work proved pivotal in the work of union, and he is largely considered the first United Methodist theologian.</t>
  </si>
  <si>
    <t>The party, or parties, that hold the majority of seats in the Parliament</t>
  </si>
  <si>
    <t>Japan took part of Sakhalin Island from Russia</t>
  </si>
  <si>
    <t>24 March 1879</t>
  </si>
  <si>
    <t>What is an example of a machine model that deviates from a generally accepted multi-tape Turing machine?</t>
  </si>
  <si>
    <t>responding to investigators' questions</t>
  </si>
  <si>
    <t>What did Luther think that faith could not be understood by?</t>
  </si>
  <si>
    <t>Which end of the Saxon Garden is the Tom of the Unknown Soldier located at?</t>
  </si>
  <si>
    <t>What ended the need for ABC to maintain interests in other countries?</t>
  </si>
  <si>
    <t>collecting resources from colonies</t>
  </si>
  <si>
    <t>fatty acids, isopentenyl pyrophosphate, iron-sulfur clusters</t>
  </si>
  <si>
    <t>iteratively</t>
  </si>
  <si>
    <t>the United Nations Environment Programme (UNEP) and the World Meteorological Organization (WMO),</t>
  </si>
  <si>
    <t>What did Paul Baran develop in the late 1950's</t>
  </si>
  <si>
    <t>At what point in Luther's sermons did Schurf write to the elector?</t>
  </si>
  <si>
    <t>What years saw the most loss of old shows in the BBC archives?</t>
  </si>
  <si>
    <t>Further south the Southeast interior was dominated by Siouan-speaking Catawba, Muskogee-speaking Creek and Choctaw, and the Iroquoian-speaking Cherokee tribes. When war broke out, the French used their trading connections to recruit fighters from tribes in western portions of the Great Lakes region (an area not directly subject to the conflict between the French and British), including the Huron, Mississauga, Ojibwa, Winnebago, and Potawatomi. The British were supported in the war by the Iroquois Six Nations, and also by the Cherokee – until differences sparked the Anglo-Cherokee War in 1758. In 1758 the Pennsylvania government successfully negotiated the Treaty of Easton, in which a number of tribes in the Ohio Country promised neutrality in exchange for land concessions and other considerations. Most of the other northern tribes sided with the French, their primary trading partner and supplier of arms. The Creek and Cherokee were subject to diplomatic efforts by both the French and British to gain either their support or neutrality in the conflict. It was not uncommon for small bands to participate on the "other side" of the conflict from formally negotiated agreements, as most tribes were decentralized and bands made their own decisions about warfare.</t>
  </si>
  <si>
    <t>Historically, forces were first quantitatively investigated in conditions of static equilibrium where several forces canceled each other out. Such experiments demonstrate the crucial properties that forces are additive vector quantities: they have magnitude and direction. 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The magnitude of the resultant varies from the difference of the magnitudes of the two forces to their sum, depending on the angle between their lines of action. However, if the forces are acting on an extended body, their respective lines of application must also be specified in order to account for their effects on the motion of the body.</t>
  </si>
  <si>
    <t>wars</t>
  </si>
  <si>
    <t>William III of Orange</t>
  </si>
  <si>
    <t>major business</t>
  </si>
  <si>
    <t>Who were the secondary companions of the Ninth and Tenth Doctors?</t>
  </si>
  <si>
    <t>What lies between L and P that prevents a definitive determination of the relationship between L and P?</t>
  </si>
  <si>
    <t>Lothian Regional Council</t>
  </si>
  <si>
    <t>top</t>
  </si>
  <si>
    <t>freshwater lake</t>
  </si>
  <si>
    <t>forceful</t>
  </si>
  <si>
    <t>mathematical by-product of exchange</t>
  </si>
  <si>
    <t>an ash leaf</t>
  </si>
  <si>
    <t>In 1873, Tesla returned to his birthtown, Smiljan. Shortly after he arrived, Tesla contracted cholera; he was bedridden for nine months and was near death multiple times. Tesla's father, in a moment of despair, promised to send him to the best engineering school if he recovered from the illness (his father had originally wanted him to enter the priesthood).</t>
  </si>
  <si>
    <t>What is the name of the process which confirms the primality of a number n?</t>
  </si>
  <si>
    <t>are disturbed</t>
  </si>
  <si>
    <t>prokaryotes</t>
  </si>
  <si>
    <t>8 November 2010</t>
  </si>
  <si>
    <t>What entity is created if the three different institutions cannot come to a consensus at any stage?</t>
  </si>
  <si>
    <t>power</t>
  </si>
  <si>
    <t>What is the newer, more widely accepted theory behind the spread of the plague?</t>
  </si>
  <si>
    <t>result of its colouring</t>
  </si>
  <si>
    <t>Where do IPCC reports get their information?</t>
  </si>
  <si>
    <t>Who along with Russia supported post WW-II communist movements?</t>
  </si>
  <si>
    <t>the original message/data is reassembled in the correct order</t>
  </si>
  <si>
    <t>American Sign Language</t>
  </si>
  <si>
    <t>How many species of Ctenophores have been validated?</t>
  </si>
  <si>
    <t>Asian, African and Caribbean</t>
  </si>
  <si>
    <t>an antigen from a pathogen</t>
  </si>
  <si>
    <t>in granules found in the periplastid space</t>
  </si>
  <si>
    <t>Published at a time of rising demand for German-language publications, Luther's version quickly became a popular and influential Bible translation. As such, it made a significant contribution to the evolution of the German language and literature. Furnished with notes and prefaces by Luther, and with woodcuts by Lucas Cranach that contained anti-papal imagery, it played a major role in the spread of Luther's doctrine throughout Germany. The Luther Bible influenced other vernacular translations, such as William Tyndale's English Bible (1525 forward), a precursor of the King James Bible.</t>
  </si>
  <si>
    <t>French irregular forces (Canadian scouts and Indians) harassed Fort William Henry throughout the first half of 1757. In January they ambushed British rangers near Ticonderoga. In February they launched a daring raid against the position across the frozen Lake George, destroying storehouses and buildings outside the main fortification. In early August, Montcalm and 7,000 troops besieged the fort, which capitulated with an agreement to withdraw under parole. When the withdrawal began, some of Montcalm's Indian allies, angered at the lost opportunity for loot, attacked the British column, killing and capturing several hundred men, women, children, and slaves. The aftermath of the siege may have contributed to the transmission of smallpox into remote Indian populations; as some Indians were reported to have traveled from beyond the Mississippi to participate in the campaign and returned afterward having been exposed to European carriers.</t>
  </si>
  <si>
    <t>15 June 1899</t>
  </si>
  <si>
    <t>help preserve society's tolerance of civil disobedience</t>
  </si>
  <si>
    <t>a pointless pursuit</t>
  </si>
  <si>
    <t>When did BSkyB first announce their target goal?</t>
  </si>
  <si>
    <t>What did the LMP acronym stand for regarding the Block II launch positions?</t>
  </si>
  <si>
    <t>What is another term for rotors?</t>
  </si>
  <si>
    <t>Only a few</t>
  </si>
  <si>
    <t>General relativity</t>
  </si>
  <si>
    <t>in which it can make laws</t>
  </si>
  <si>
    <t>the Court of Justice</t>
  </si>
  <si>
    <t>gold</t>
  </si>
  <si>
    <t>from 1888 to about 1926</t>
  </si>
  <si>
    <t>How many residents were recorded in the 2010 census of Jacksonville?</t>
  </si>
  <si>
    <t>On 11 July 1934, the New York Herald Tribune published an article on Tesla, in which he recalled an event that would occasionally take place while experimenting with his single-electrode vacuum tubes; a minute particle would break off the cathode, pass out of the tube, and physically strike him. "Tesla said he could feel a sharp stinging pain where it entered his body, and again at the place where it passed out." In comparing these particles with the bits of metal projected by his "electric gun," Tesla said, "The particles in the beam of force ... will travel much faster than such particles ... and they will travel in concentrations."</t>
  </si>
  <si>
    <t>countries with bigger income inequalities</t>
  </si>
  <si>
    <t>How cold does this region of Victoria get in the winner?</t>
  </si>
  <si>
    <t>Turner Broadcasting System</t>
  </si>
  <si>
    <t>What has partical physics made to describe sub-atomic forces?</t>
  </si>
  <si>
    <t>An architect</t>
  </si>
  <si>
    <t>When did the four rightly guided Caliphs die?</t>
  </si>
  <si>
    <t>declare martial law</t>
  </si>
  <si>
    <t>writing a five volume book</t>
  </si>
  <si>
    <t>What is the term used to identify a deterministic Turing machine that has additional random bits?</t>
  </si>
  <si>
    <t>What characteristic identifies the French ancestry of some South Africans?</t>
  </si>
  <si>
    <t>centripetal</t>
  </si>
  <si>
    <t>What did European empires rely on to supply them with resources?</t>
  </si>
  <si>
    <t>John Schmitt and Ben Zipperer (2006) of the CEPR point to economic liberalism and the reduction of business regulation along with the decline of union membership as one of the causes of economic inequality. In an analysis of the effects of intensive Anglo-American liberal policies in comparison to continental European liberalism, where unions have remained strong, they concluded "The U.S. economic and social model is associated with substantial levels of social exclusion, including high levels of income inequality, high relative and absolute poverty rates, poor and unequal educational outcomes, poor health outcomes, and high rates of crime and incarceration. At the same time, the available evidence provides little support for the view that U.S.-style labor-market flexibility dramatically improves labor-market outcomes. Despite popular prejudices to the contrary, the U.S. economy consistently affords a lower level of economic mobility than all the continental European countries for which data is available."</t>
  </si>
  <si>
    <t>What is dramatic gesturing an example of?</t>
  </si>
  <si>
    <t>March 1896</t>
  </si>
  <si>
    <t>expanded</t>
  </si>
  <si>
    <t>American aid to Israel</t>
  </si>
  <si>
    <t>In what century was the Yarrow-Schlick-Tweedy balancing system used?</t>
  </si>
  <si>
    <t>Where will the 2009 International Arts Fair be held?</t>
  </si>
  <si>
    <t>half of Naples' 300,000 inhabitants</t>
  </si>
  <si>
    <t>Various princes of the Holy Land arrived in Limassol at the same time, in particular Guy de Lusignan. All declared their support for Richard provided that he support Guy against his rival Conrad of Montferrat. The local barons abandoned Isaac, who considered making peace with Richard, joining him on the crusade, and offering his daughter in marriage to the person named by Richard. But Isaac changed his mind and tried to escape. Richard then proceeded to conquer the whole island, his troops being led by Guy de Lusignan. Isaac surrendered and was confined with silver chains, because Richard had promised that he would not place him in irons. By 1 June, Richard had conquered the whole island. His exploit was well publicized and contributed to his reputation; he also derived significant financial gains from the conquest of the island. Richard left for Acre on 5 June, with his allies. Before his departure, he named two of his Norman generals, Richard de Camville and Robert de Thornham, as governors of Cyprus.</t>
  </si>
  <si>
    <t>enhanced transit infrastructure, possible shuttles open to the public, and park space which will also be publicly accessible</t>
  </si>
  <si>
    <t>Emmerich Rhine Bridge</t>
  </si>
  <si>
    <t>Imperialism and colonialism</t>
  </si>
  <si>
    <t>What was the Brazilian French colony called?</t>
  </si>
  <si>
    <t>healthcare professionals with specialised education</t>
  </si>
  <si>
    <t>after their second year</t>
  </si>
  <si>
    <t>fossil animal shells</t>
  </si>
  <si>
    <t>value of the Caribbean islands' sugar cane to be greater and easier to defend than the furs from the continent</t>
  </si>
  <si>
    <t>The Middle and Modern Family</t>
  </si>
  <si>
    <t>Variable lymphocyte receptors</t>
  </si>
  <si>
    <t>focused on identity and unity</t>
  </si>
  <si>
    <t>How many times did Newcastle fight off the Scots during the 14th century?</t>
  </si>
  <si>
    <t>the mass () and the radius () of the Earth</t>
  </si>
  <si>
    <t>unification models</t>
  </si>
  <si>
    <t>function problem</t>
  </si>
  <si>
    <t>How much energy loss did he expect would occur?</t>
  </si>
  <si>
    <t>unit-dose</t>
  </si>
  <si>
    <t>Where was the centrifugal governor first observed by Boulton?</t>
  </si>
  <si>
    <t>In what model do grana look like pancakes?</t>
  </si>
  <si>
    <t>The capabilities approach – sometimes called the human development approach – looks at income inequality and poverty as form of “capability deprivation”. Unlike neoliberalism, which “defines well-being as utility maximization”, economic growth and income are considered a means to an end rather than the end itself. Its goal is to “wid[en] people’s choices and the level of their achieved well-being” through increasing functionings (the things a person values doing), capabilities (the freedom to enjoy functionings) and agency (the ability to pursue valued goals).</t>
  </si>
  <si>
    <t>What did Luther devise to teach  Christianity to the congregation?</t>
  </si>
  <si>
    <t>nonviolent protest</t>
  </si>
  <si>
    <t>the 1855 colonial constitution</t>
  </si>
  <si>
    <t>skill</t>
  </si>
  <si>
    <t>Hendrix v Employee Insurance Institute</t>
  </si>
  <si>
    <t>tourist promotion</t>
  </si>
  <si>
    <t>crust</t>
  </si>
  <si>
    <t>central Europe</t>
  </si>
  <si>
    <t>$3.5 billion</t>
  </si>
  <si>
    <t>How is the time needed to obtain the solution to a problem calculated?</t>
  </si>
  <si>
    <t>began to shrink</t>
  </si>
  <si>
    <t>What force changes an objects direction of travel?</t>
  </si>
  <si>
    <t>What was Kenneth Swezey's job?</t>
  </si>
  <si>
    <t>the European Anti-fraud Office</t>
  </si>
  <si>
    <t>When was the heyday of secular Arab nationalism?</t>
  </si>
  <si>
    <t>Along with wear, what development makes it difficult to seal the rotors in an engine that lacks pistons?</t>
  </si>
  <si>
    <t>Temüjin and his brother Khasar</t>
  </si>
  <si>
    <t>self-consistent unification</t>
  </si>
  <si>
    <t>to guard against armed groups</t>
  </si>
  <si>
    <t>Trajan's Column</t>
  </si>
  <si>
    <t>What did the Mongol elites wish Buyantu didn't do?</t>
  </si>
  <si>
    <t>regional burden sharing conflicts</t>
  </si>
  <si>
    <t>wine</t>
  </si>
  <si>
    <t>roughly spherical and highly refractive</t>
  </si>
  <si>
    <t>its humoral system</t>
  </si>
  <si>
    <t>Genghis Khan and his family</t>
  </si>
  <si>
    <t>Service Module (SM)</t>
  </si>
  <si>
    <t>for not having a residence permit.</t>
  </si>
  <si>
    <t>Whatare the electrostatic and magnetic force awritten as the sum of?</t>
  </si>
  <si>
    <t>three members</t>
  </si>
  <si>
    <t>The Rankine cycle and most practical steam engines have a water pump to recycle or top up the boiler water, so that they may be run continuously. Utility and industrial boilers commonly use multi-stage centrifugal pumps; however, other types are used. Another means of supplying lower-pressure boiler feed water is an injector, which uses a steam jet usually supplied from the boiler. Injectors became popular in the 1850s but are no longer widely used, except in applications such as steam locomotives.</t>
  </si>
  <si>
    <t>Following the utilitarian principle of seeking the greatest good for the greatest number – economic inequality is problematic. A house that provides less utility to a millionaire as a summer home than it would to a homeless family of five, is an example of reduced "distributive efficiency" within society, that decreases marginal utility of wealth and thus the sum total of personal utility. An additional dollar spent by a poor person will go to things providing a great deal of utility to that person, such as basic necessities like food, water, and healthcare; while, an additional dollar spent by a much richer person will very likely go to luxury items providing relatively less utility to that person. Thus, the marginal utility of wealth per person ("the additional dollar") decreases as a person becomes richer. From this standpoint, for any given amount of wealth in society, a society with more equality will have higher aggregate utility. Some studies have found evidence for this theory, noting that in societies where inequality is lower, population-wide satisfaction and happiness tend to be higher.</t>
  </si>
  <si>
    <t>Burlington Northern Santa Fe Railway and Union Pacific Railroad</t>
  </si>
  <si>
    <t>What were shipbuilding and engineering important to Newcastle for in the 19th century?</t>
  </si>
  <si>
    <t>Voters outside the city limits</t>
  </si>
  <si>
    <t>Where was Tracy Wolfson announcing from during the Super Bowl 50 game?</t>
  </si>
  <si>
    <t>poor harvest</t>
  </si>
  <si>
    <t>What did Luther say would allow the Jews to stay?</t>
  </si>
  <si>
    <t>Charles River</t>
  </si>
  <si>
    <t>dispensing substandard products</t>
  </si>
  <si>
    <t>in branched, linear, or other complex structures</t>
  </si>
  <si>
    <t>Which duty do some people believe civil disobedients have?</t>
  </si>
  <si>
    <t>suspended sentences</t>
  </si>
  <si>
    <t>4.6 billion</t>
  </si>
  <si>
    <t>Church and the Methodist-Christian theological tradition</t>
  </si>
  <si>
    <t>earn Chartered Teacher Status</t>
  </si>
  <si>
    <t>United Paramount Theatres (UPT)</t>
  </si>
  <si>
    <t>it must be issued for a legitimate medical purpose by a licensed practitioner acting in the course of legitimate doctor-patient relationship</t>
  </si>
  <si>
    <t>From 2005 to 2014, there were two Major League Soccer teams in Los Angeles — the LA Galaxy and Chivas USA — that both played at the StubHub Center and were local rivals. However, Chivas were suspended following the 2014 MLS season, with a second MLS team scheduled to return in 2018.</t>
  </si>
  <si>
    <t>Macroeconomic</t>
  </si>
  <si>
    <t>Ctenophores used to be regarded as "dead ends" in marine food chains because it was thought their low ratio of organic matter to salt and water made them a poor diet for other animals. It is also often difficult to identify the remains of ctenophores in the guts of possible predators, although the combs sometimes remain intact long enough to provide a clue. Detailed investigation of chum salmon, Oncorhynchus keta, showed that these fish digest ctenophores 20 times as fast as an equal weight of shrimps, and that ctenophores can provide a good diet if there are enough of them around. Beroids prey mainly on other ctenophores. Some jellyfish and turtles eat large quantities of ctenophores, and jellyfish may temporarily wipe out ctenophore populations. Since ctenophores and jellyfish often have large seasonal variations in population, most fish that prey on them are generalists, and may have a greater effect on populations than the specialist jelly-eaters. This is underlined by an observation of herbivorous fishes deliberately feeding on gelatinous zooplankton during blooms in the Red Sea. The larvae of some sea anemones are parasites on ctenophores, as are the larvae of some flatworms that parasitize fish when they reach adulthood.</t>
  </si>
  <si>
    <t>What kind of chloroplasts did diatoms have but lost?</t>
  </si>
  <si>
    <t>What types of pumps are typically used in industrial boilers?</t>
  </si>
  <si>
    <t>Why has the Rhine been shortened?</t>
  </si>
  <si>
    <t>chloroplast</t>
  </si>
  <si>
    <t>What may be possible for multiple Kuznets' cycles to be in at any given time?</t>
  </si>
  <si>
    <t>achieving crime control via incapacitation and deterrence</t>
  </si>
  <si>
    <t>What religions did Tugh Temur follow?</t>
  </si>
  <si>
    <t>his brutality</t>
  </si>
  <si>
    <t>Building printing is making it possible to flexibly construct small commercial buildings and private habitations in what amount of time?</t>
  </si>
  <si>
    <t>surrogate</t>
  </si>
  <si>
    <t>9th century</t>
  </si>
  <si>
    <t>The network's troubles with sustaining existing series and gaining new hits spilled over into its 2010–11 schedule: ABC's dramas during that season continued to fail, with the midseason forensic investigation drama Body of Proof being the only one that was renewed for a second season. The network also struggled to establish new comedies to support the previous year's debuts, with only late-season premiere Happy Endings earning a second season. Meanwhile, the new lows hit by Brothers &amp; Sisters led to its cancellation, and the previous year's only drama renewal, V, also failed to earn another season after a low-rated midseason run. Despite this and another noticeable ratings decline, ABC would manage to outrate NBC for third place by a larger margin than the previous year.</t>
  </si>
  <si>
    <t>sports tourism</t>
  </si>
  <si>
    <t>dendritic cells</t>
  </si>
  <si>
    <t>to one another</t>
  </si>
  <si>
    <t>Where are these dams located?</t>
  </si>
  <si>
    <t>to recover market share</t>
  </si>
  <si>
    <t>Education</t>
  </si>
  <si>
    <t>How many membranes does the haptophyte chloroplast have?</t>
  </si>
  <si>
    <t>direct</t>
  </si>
  <si>
    <t>the Han Chinese</t>
  </si>
  <si>
    <t>What is another term for university-preparatory schools?</t>
  </si>
  <si>
    <t>over three days</t>
  </si>
  <si>
    <t>What educational study did Luther start to pursue and immediately  drop?</t>
  </si>
  <si>
    <t>What do some sources say Nikola's brother died from?</t>
  </si>
  <si>
    <t>the city's prosperity</t>
  </si>
  <si>
    <t>they are judged "wrong" by an individual conscience</t>
  </si>
  <si>
    <t>increased communication and trade</t>
  </si>
  <si>
    <t>average teacher salaries</t>
  </si>
  <si>
    <t>What network showed a Doctor Who film?</t>
  </si>
  <si>
    <t>What is the average discharge of the Moselle to the Rhine?</t>
  </si>
  <si>
    <t xml:space="preserve">What are the three major types of rock? </t>
  </si>
  <si>
    <t>Teacher</t>
  </si>
  <si>
    <t>What sea bordered Genghis Khan's empire to the east when he died?</t>
  </si>
  <si>
    <t>How much did Westinghouse pay to license Tesla's designs?</t>
  </si>
  <si>
    <t>Electorate of Brandenburg and Electorate of the Palatinate</t>
  </si>
  <si>
    <t>deep-level tunnels</t>
  </si>
  <si>
    <t>the statistical behaviour</t>
  </si>
  <si>
    <t>Where did Tesla begin working in 1884?</t>
  </si>
  <si>
    <t>reach locations not on the private network</t>
  </si>
  <si>
    <t>Generally speaking, what size are the earthquakes that hit southern California?</t>
  </si>
  <si>
    <t>the chlorophyll in them</t>
  </si>
  <si>
    <t>How does the D-loop finish replicating?</t>
  </si>
  <si>
    <t>This concept contrasted and contradicted the theretofore established principles of pre-allocation of network bandwidth</t>
  </si>
  <si>
    <t>The centrifugal governor was adopted by James Watt for use on a steam engine in 1788 after Watt’s partner Boulton saw one at a flour mill Boulton &amp; Watt were building. The governor could not actually hold a set speed, because it would assume a new constant speed in response to load changes. The governor was able to handle smaller variations such as those caused by fluctuating heat load to the boiler. Also, there was a tendency for oscillation whenever there was a speed change. As a consequence, engines equipped only with this governor were not suitable for operations requiring constant speed, such as cotton spinning. The governor was improved over time and coupled with variable steam cut off, good speed control in response to changes in load was attainable near the end of the 19th century.</t>
  </si>
  <si>
    <t>every five years</t>
  </si>
  <si>
    <t>local-global principle</t>
  </si>
  <si>
    <t>Who was reintroduced for the 50th Anniversary special?</t>
  </si>
  <si>
    <t>the Roman Catholic Church</t>
  </si>
  <si>
    <t>MHC class I molecules</t>
  </si>
  <si>
    <t>at various locations throughout the world.</t>
  </si>
  <si>
    <t>What would be Odinga's role in the government?</t>
  </si>
  <si>
    <t>24 April 1954</t>
  </si>
  <si>
    <t>Where was Parliament temporarily relocated to in May of 2000?</t>
  </si>
  <si>
    <t>Why does Oxfam and Credit Suisse believe their findings are being doubted?</t>
  </si>
  <si>
    <t>In Ireland, private schools (Irish: scoil phríobháideach) are unusual because a certain number of teacher's salaries are paid by the State. If the school wishes to employ extra teachers they are paid for with school fees, which tend to be relatively low in Ireland compared to the rest of the world. There is, however, a limited element of state assessment of private schools, because of the requirement that the state ensure that children receive a certain minimum education; Irish private schools must still work towards the Junior Certificate and the Leaving Certificate, for example. Many private schools in Ireland also double as boarding schools. The average fee is around €5,000 annually for most schools, but some of these schools also provide boarding and the fees may then rise up to €25,000 per year. The fee-paying schools are usually run by a religious order, i.e., the Society of Jesus or Congregation of Christian Brothers, etc.</t>
  </si>
  <si>
    <t>A teacher must be a member in good standing with what entity in many situations?</t>
  </si>
  <si>
    <t>What did Tesla call his electrical effects in 1893?</t>
  </si>
  <si>
    <t>southern Chinese manufacturers and merchants</t>
  </si>
  <si>
    <t>promoted</t>
  </si>
  <si>
    <t>a citizen may rely on the Directive in such an action</t>
  </si>
  <si>
    <t>Into what religion was Martin Luther baptized?</t>
  </si>
  <si>
    <t>children</t>
  </si>
  <si>
    <t>Art Library</t>
  </si>
  <si>
    <t>What was published in February of 2007?</t>
  </si>
  <si>
    <t>To avoid interference with existing VHF television stations in the San Francisco Bay Area and those planned for Chico, Sacramento, Salinas, and Stockton, the Federal Communications Commission decided that Fresno would only have UHF television stations. The very first Fresno television station to begin broadcasting was KMJ-TV, which debuted on June 1, 1953. KMJ is now known as NBC affiliate KSEE. Other Fresno stations include ABC O&amp;O KFSN, CBS affiliate KGPE, CW affiliate KFRE, FOX affiliate KMPH, MNTV affiliate KAIL, PBS affiliate KVPT, Telemundo O&amp;O KNSO, Univision O&amp;O KFTV, and MundoFox and Azteca affiliate KGMC-DT.</t>
  </si>
  <si>
    <t>translation initiation</t>
  </si>
  <si>
    <t>major cities</t>
  </si>
  <si>
    <t>the day after their original broadcast</t>
  </si>
  <si>
    <t>Institute of Radio Engineers</t>
  </si>
  <si>
    <t>In general, what were teachers paid in the past?</t>
  </si>
  <si>
    <t>As well as creating rights for "workers" who generally lack bargaining power in the market, the Treaty on the Functioning of the European Union also protects the "freedom of establishment" in article 49, and "freedom to provide services" in article 56. In Gebhard v Consiglio dell’Ordine degli Avvocati e Procuratori di Milano the Court of Justice held that to be "established" means to participate in economic life "on a stable and continuous basis", while providing "services" meant pursuing activity more "on a temporary basis". This meant that a lawyer from Stuttgart, who had set up chambers in Milan and was censured by the Milan Bar Council for not having registered, was entitled to bring a claim under for establishment freedom, rather than service freedom. However, the requirements to be registered in Milan before being able to practice would be allowed if they were non-discriminatory, "justified by imperative requirements in the general interest" and proportionately applied. All people or entities that engage in economic activity, particularly the self-employed, or "undertakings" such as companies or firms, have a right to set up an enterprise without unjustified restrictions. The Court of Justice has held that both a member state government and a private party can hinder freedom of establishment, so article 49 has both "vertical" and "horizontal" direct effect. In Reyners v Belgium the Court of Justice held that a refusal to admit a lawyer to the Belgian bar because he lacked Belgian nationality was unjustified. TFEU article 49 says states are exempt from infringing others' freedom of establishment when they exercise "official authority", but this did an advocate's work (as opposed to a court's) was not official. By contrast in Commission v Italy the Court of Justice held that a requirement for lawyers in Italy to comply with maximum tariffs unless there was an agreement with a client was not a restriction. The Grand Chamber of the Court of Justice held the Commission had not proven that this had any object or effect of limiting practitioners from entering the market. Therefore, there was no prima facie infringement freedom of establishment that needed to be justified.</t>
  </si>
  <si>
    <t>380 years</t>
  </si>
  <si>
    <t>a two-phased system</t>
  </si>
  <si>
    <t>Manning finished the game 13 of 23 for 141 yards with one interception and zero touchdowns. Sanders was his top receiver with six receptions for 83 yards. Anderson was the game's leading rusher with 90 yards and a touchdown, along with four receptions for 10 yards. Miller had six total tackles (five solo), 2½ sacks, and two forced fumbles. Ware had five total tackles and two sacks. Ward had seven total tackles, a fumble recovery, and an interception. McManus made all four of his field goals, making him perfect on all 11 attempts during the post-season. Newton completed 18 of 41 passes for 265 yards, with one interception. He was also the team's leading rusher with 45 yards on six carries. Brown caught four passes for 80 yards, while Ginn had four receptions for 74. Ealy was the top defensive performer for Carolina with four total tackles, three sacks, a forced fumble, a fumble recovery, and an interception. Defensive End Charles Johnson had four total tackles, a sack, and a forced fumble. Linebacker Luke Kuechly had 11 total tackles, while Thomas Davis had seven, despite playing just two weeks after breaking his right arm in the NFC title game.</t>
  </si>
  <si>
    <t>What did Mongols worship?</t>
  </si>
  <si>
    <t>appeal to constitutional defects</t>
  </si>
  <si>
    <t>What did Robert Koch prove was the cause of infectious disease?</t>
  </si>
  <si>
    <t>After what event did the Spanish concede Florida to Britain?</t>
  </si>
  <si>
    <t>The Mongols attacked Samarkand using captured enemies as body shields. After several days only a few remaining soldiers, loyal supporters of the Shah, held out in the citadel. After the fortress fell, Genghis supposedly reneged on his surrender terms and executed every soldier that had taken arms against him at Samarkand. The people of Samarkand were ordered to evacuate and assemble in a plain outside the city, where they were killed and pyramids of severed heads raised as a symbol of victory. Ata-Malik Juvayni, a high official in the service of the Mongol empire, wrote that in Termez, on the Oxus, "all the people, both men and women, were driven out onto the plain, and divided in accordance with their usual custom, then they were all slain".</t>
  </si>
  <si>
    <t>by conquering the other state's lands</t>
  </si>
  <si>
    <t>antithetical</t>
  </si>
  <si>
    <t>Sweden</t>
  </si>
  <si>
    <t>What talk show followed immediately after Super Bowl 50 on CBS?</t>
  </si>
  <si>
    <t>_____ Helps the biospher from UV.</t>
  </si>
  <si>
    <t>While the Commission has a monopoly on initiating legislation, the European Parliament and the Council of the European Union have powers of amendment and veto during the legislative process. According to the Treaty on European Union articles 9 and 10, the EU observes "the principle of equality of its citizens" and is meant to be founded on "representative democracy". In practice, equality and democracy are deficient because the elected representatives in the Parliament cannot initiate legislation against the Commission's wishes, citizens of smallest countries have ten times the voting weight in Parliament as citizens of the largest countries, and "qualified majorities" or consensus of the Council are required to legislate. The justification for this "democratic deficit" under the Treaties is usually thought to be that completion integration of the European economy and political institutions required the technical coordination of experts, while popular understanding of the EU developed and nationalist sentiments declined post-war. Over time, this has meant the Parliament gradually assumed more voice: from being an unelected assembly, to its first direct elections in 1979, to having increasingly more rights in the legislative process. Citizens' rights are therefore limited compared to the democratic polities within all European member states: under TEU article 11 citizens and associations have the rights such as publicising their views and submit an initiative that must be considered by the Commission with one million signatures. TFEU article 227 contains a further right for citizens to petition the Parliament on issues which affect them. Parliament elections, take place every five years, and votes for Members of the European Parliament in member states must be organised by proportional representation or a single transferable vote. There are 750 MEPs and their numbers are "degressively proportional" according to member state size. This means - although the Council is meant to be the body representing member states - in the Parliament citizens of smaller member states have more voice than citizens in larger member states. MEPs divide, as they do in national Parliaments, along political party lines: the conservative European People's Party is currently the largest, and the Party of European Socialists leads the opposition. Parties do not receive public funds from the EU, as the Court of Justice held in Parti écologiste "Les Verts" v Parliament that this was entirely an issue to be regulated by the member states. The Parliament's powers include calling inquiries into maladministration or appoint an Ombudsman pending any court proceedings. It can require the Commission respond to questions and by a two-thirds majority can censure the whole Commission (as happened to the Santer Commission in 1999). In some cases, the Parliament has explicit consultation rights, which the Commission must genuinely follow. However its role participation in the legislative process still remains limited because no member can actually or pass legislation without the Commission and Council, meaning power ("kratia") is not in the hands of directly elected representatives of the people ("demos"): in the EU it is not yet true that "the administration is in the hands of the many and not of the few."</t>
  </si>
  <si>
    <t>As far as programming is concerned, four of ABC's marquee shows of the 1970s ended their runs during the mid-1980s: Laverne &amp; Shirley ended its run in 1983, Happy Days and Three's Company ended in 1984 (with the latter producing a short-lived spinoff that year), while The Love Boat ended its run in 1986. After nearly a decade of ratings trouble, NBC had regained the ratings lead among the Big Three networks in 1984 on the success of series such as The Cosby Show, Cheers and Miami Vice. To counteract NBC, ABC decided to refocus itself on comedies and family-oriented series beginning in the mid-1980s including Mr. Belvedere, Roseanne, Who's the Boss?, Just the Ten of Us, The Wonder Years, Full House and Perfect Strangers.</t>
  </si>
  <si>
    <t>Nikola Tesla (Serbian Cyrillic: Никола Тесла; 10 July 1856 – 7 January 1943) was a Serbian American inventor, electrical engineer, mechanical engineer, physicist, and futurist best known for his contributions to the design of the modern alternating current (AC) electricity supply system.</t>
  </si>
  <si>
    <t>When did Mechlin lace develop?</t>
  </si>
  <si>
    <t>5 to 15 years</t>
  </si>
  <si>
    <t>Who were the Super Bowl 50 sideline announcers?</t>
  </si>
  <si>
    <t>Despite his victory in Wittenberg, Luther was unable to stifle radicalism further afield. Preachers such as Zwickau prophet Nicholas Storch and Thomas Müntzer helped instigate the German Peasants' War of 1524–25, during which many atrocities were committed, often in Luther's name. There had been revolts by the peasantry on a smaller scale since the 15th century. Luther's pamphlets against the Church and the hierarchy, often worded with "liberal" phraseology, now led many peasants to believe he would support an attack on the upper classes in general. Revolts broke out in Franconia, Swabia, and Thuringia in 1524, even drawing support from disaffected nobles, many of whom were in debt. Gaining momentum under the leadership of radicals such as Müntzer in Thuringia and Michael Gaismair in Tyrol, the revolts turned into war.</t>
  </si>
  <si>
    <t>Prophet Mohammad and his successors</t>
  </si>
  <si>
    <t>The needs of soy farmers have been used to justify many of the controversial transportation projects that are currently developing in the Amazon. The first two highways successfully opened up the rainforest and led to increased settlement and deforestation. The mean annual deforestation rate from 2000 to 2005 (22,392 km2 or 8,646 sq mi per year) was 18% higher than in the previous five years (19,018 km2 or 7,343 sq mi per year). Although deforestation has declined significantly in the Brazilian Amazon between 2004 and 2014, there has been an increase to the present day.</t>
  </si>
  <si>
    <t>the logo used for the Third and Eighth Doctors</t>
  </si>
  <si>
    <t>October 2011</t>
  </si>
  <si>
    <t>a museum</t>
  </si>
  <si>
    <t>Where are many hospital pharmacies located?</t>
  </si>
  <si>
    <t>innate force of impetus</t>
  </si>
  <si>
    <t>Oxford's Magdalen Tower</t>
  </si>
  <si>
    <t>Where did France focus its efforts to rebuild its empire?</t>
  </si>
  <si>
    <t>teachers</t>
  </si>
  <si>
    <t>able to fund travelers</t>
  </si>
  <si>
    <t>As an incentive for absolute obedience and following his rule of law, the Yassa code, Temüjin promised civilians and soldiers wealth from future possible war spoils. As he defeated rival tribes, he did not drive away enemy soldiers and abandon the rest. Instead, he took the conquered tribe under his protection and integrated its members into his own tribe. He would even have his mother adopt orphans from the conquered tribe, bringing them into his family. These political innovations inspired great loyalty among the conquered people, making Temüjin stronger with each victory.</t>
  </si>
  <si>
    <t>Jacques Legardeur de Saint-Pierre, who succeeded Marin as commander of the French forces after the latter died on October 29, invited Washington to dine with him. Over dinner, Washington presented Saint-Pierre with the letter from Dinwiddie demanding an immediate French withdrawal from the Ohio Country. Saint-Pierre said, "As to the Summons you send me to retire, I do not think myself obliged to obey it." He told Washington that France's claim to the region was superior to that of the British, since René-Robert Cavelier, Sieur de La Salle had explored the Ohio Country nearly a century earlier.</t>
  </si>
  <si>
    <t>There were many religions practiced during the Yuan dynasty, such as Buddhism, Islam, and Christianity. The establishment of the Yuan dynasty had dramatically increased the number of Muslims in China. However, unlike the western khanates, the Yuan dynasty never converted to Islam. Instead, Kublai Khan, the founder of the Yuan dynasty, favored Buddhism, especially the Tibetan variants. As a result, Tibetan Buddhism was established as the de facto state religion. The top-level department and government agency known as the Bureau of Buddhist and Tibetan Affairs (Xuanzheng Yuan) was set up in Khanbaliq (modern Beijing) to supervise Buddhist monks throughout the empire. Since Kublai Khan only esteemed the Sakya sect of Tibetan Buddhism, other religions became less important. He and his successors kept a Sakya Imperial Preceptor (Dishi) at court. Before the end of the Yuan dynasty, 14 leaders of the Sakya sect had held the post of Imperial Preceptor, thereby enjoying special power. Furthermore, Mongol patronage of Buddhism resulted in a number of monuments of Buddhist art. Mongolian Buddhist translations, almost all from Tibetan originals, began on a large scale after 1300. Many Mongols of the upper class such as the Jalayir and the Oronar nobles as well as the emperors also patronized Confucian scholars and institutions. A considerable number of Confucian and Chinese historical works were translated into the Mongolian language.</t>
  </si>
  <si>
    <t>The armed forces are regularly deployed in peacekeeping missions around the world. Further, in the aftermath of the national elections of December 2007 and the violence that subsequently engulfed the country, a commission of inquiry, the Waki Commission, commended its readiness and adjudged it to "have performed its duty well." Nevertheless, there have been serious allegations of human rights violations, most recently while conducting counter-insurgency operations in the Mt Elgon area and also in the district of Mandera central.</t>
  </si>
  <si>
    <t xml:space="preserve">Why was this bill nessecary? </t>
  </si>
  <si>
    <t>Besides Death Wish Coffee, how many other competitors participated in the contest?</t>
  </si>
  <si>
    <t>only three divisions</t>
  </si>
  <si>
    <t>oxygen tank explosion in transit</t>
  </si>
  <si>
    <t>What countries is corporal punishment still a normal practice?</t>
  </si>
  <si>
    <t>John Hurt</t>
  </si>
  <si>
    <t>After cancelling the show, what did the BBC tell the public?</t>
  </si>
  <si>
    <t>How much of Australia's milk is produced in Victoria?</t>
  </si>
  <si>
    <t>In contrast how were Catholic saints portrayed?</t>
  </si>
  <si>
    <t>Another factor in the early 1990s that worked to radicalize the Islamist movement was the Gulf War, which brought several hundred thousand US and allied non-Muslim military personnel to Saudi Arabian soil to put an end to Saddam Hussein's occupation of Kuwait. Prior to 1990 Saudi Arabia played an important role in restraining the many Islamist groups that received its aid. But when Saddam, secularist and Ba'athist dictator of neighboring Iraq, attacked Saudi Arabia (his enemy in the war), western troops came to protect the Saudi monarchy. Islamists accused the Saudi regime of being a puppet of the west.</t>
  </si>
  <si>
    <t>Another of the Egyptian groups which employed violence in their struggle for Islamic order was al-Gama'a al-Islamiyya (Islamic Group). Victims of their campaign against the Egyptian state in the 1990s included the head of the counter-terrorism police (Major General Raouf Khayrat), a parliamentary speaker (Rifaat al-Mahgoub), dozens of European tourists and Egyptian bystanders, and over 100 Egyptian police. Ultimately the campaign to overthrow the government was unsuccessful, and the major jihadi group, Jamaa Islamiya (or al-Gama'a al-Islamiyya), renounced violence in 2003. Other lesser known groups include the Islamic Liberation Party, Salvation from Hell and Takfir wal-Hijra, and these groups have variously been involved in activities such as attempted assassinations of political figures, arson of video shops and attempted takeovers of government buildings.</t>
  </si>
  <si>
    <t>time</t>
  </si>
  <si>
    <t>those who proceed to secondary school or vocational training</t>
  </si>
  <si>
    <t>only had the Dalek serial to go</t>
  </si>
  <si>
    <t>the priesthood</t>
  </si>
  <si>
    <t>connection id</t>
  </si>
  <si>
    <t>is considered essential for translation initiation in most chloroplasts and prokaryotes</t>
  </si>
  <si>
    <t>the oxygen cycle</t>
  </si>
  <si>
    <t>Apollo 17 was significant for what reason?</t>
  </si>
  <si>
    <t>Proper safety equipment</t>
  </si>
  <si>
    <t>charity and good works</t>
  </si>
  <si>
    <t>NP-complete Boolean satisfiability</t>
  </si>
  <si>
    <t>explaining their actions</t>
  </si>
  <si>
    <t>The Panthers offense, which led the NFL in scoring (500 points), was loaded with talent, boasting six Pro Bowl selections. Pro Bowl quarterback Cam Newton had one of his best seasons, throwing for 3,837 yards and rushing for 636, while recording a career-high and league-leading 45 total touchdowns (35 passing, 10 rushing), a career-low 10 interceptions, and a career-best quarterback rating of 99.4. Newton's leading receivers were tight end Greg Olsen, who caught a career-high 77 passes for 1,104 yards and seven touchdowns, and wide receiver Ted Ginn, Jr., who caught 44 passes for 739 yards and 10 touchdowns; Ginn also rushed for 60 yards and returned 27 punts for 277 yards. Other key receivers included veteran Jerricho Cotchery (39 receptions for 485 yards), rookie Devin Funchess (31 receptions for 473 yards and five touchdowns), and second-year receiver Corey Brown (31 receptions for 447 yards). The Panthers backfield featured Pro Bowl running back Jonathan Stewart, who led the team with 989 rushing yards and six touchdowns in 13 games, along with Pro Bowl fullback Mike Tolbert, who rushed for 256 yards and caught 18 passes for another 154 yards. Carolina's offensive line also featured two Pro Bowl selections: center Ryan Kalil and guard Trai Turner.</t>
  </si>
  <si>
    <t>serve and protect the public</t>
  </si>
  <si>
    <t>Bronze Age agriculture</t>
  </si>
  <si>
    <t>What was William Johnson's role in British military?</t>
  </si>
  <si>
    <t>What was the name of the imperialistic policy in China?</t>
  </si>
  <si>
    <t>orogenic wedges</t>
  </si>
  <si>
    <t>Which group of ctenophore are are hardest to study?</t>
  </si>
  <si>
    <t>every eight years</t>
  </si>
  <si>
    <t>Philippines</t>
  </si>
  <si>
    <t>Konwiktorska Street</t>
  </si>
  <si>
    <t>were not restored</t>
  </si>
  <si>
    <t>What are chares?</t>
  </si>
  <si>
    <t>First Law</t>
  </si>
  <si>
    <t>late 14th-century</t>
  </si>
  <si>
    <t>What was the most important governmental change to land tenure?</t>
  </si>
  <si>
    <t>In 1990, what was the longest running primetime entertainment program in ABC's history?</t>
  </si>
  <si>
    <t>over 3 days</t>
  </si>
  <si>
    <t>banded iron formations</t>
  </si>
  <si>
    <t>The Trial of a Time Lord</t>
  </si>
  <si>
    <t>What did Luther try to avoid in setting up his church?</t>
  </si>
  <si>
    <t>Mayor W. Haydon Burns'</t>
  </si>
  <si>
    <t>What type of engines does the American car typically have?</t>
  </si>
  <si>
    <t>What did NSFNET eventually provide</t>
  </si>
  <si>
    <t>Moderate and reformist Islamists who accept and work within the democratic process include parties like the Tunisian Ennahda Movement. Jamaat-e-Islami of Pakistan is basically a socio-political and democratic Vanguard party but has also gained political influence through military coup d'état in past. The Islamist groups like Hezbollah in Lebanon and Hamas in Palestine participate in democratic and political process as well as armed attacks, seeking to abolish the state of Israel. Radical Islamist organizations like al-Qaeda and the Egyptian Islamic Jihad, and groups such as the Taliban, entirely reject democracy, often declaring as kuffar those Muslims who support it (see takfirism), as well as calling for violent/offensive jihad or urging and conducting attacks on a religious basis.</t>
  </si>
  <si>
    <t>Pittsburgh, Pennsylvania</t>
  </si>
  <si>
    <t>rat population was insufficient</t>
  </si>
  <si>
    <t>president of NBC's entertainment division</t>
  </si>
  <si>
    <t>What is typically used to broadly define complexity measures?</t>
  </si>
  <si>
    <t>What type of membership will allow local pastors to retire as clergy?</t>
  </si>
  <si>
    <t>In what decade did the Rankine cycle create 90% of electric power?</t>
  </si>
  <si>
    <t>Church of England's Calendar of Saints</t>
  </si>
  <si>
    <t>dephlogisticated air</t>
  </si>
  <si>
    <t>What was the only region in Europe not conquered by the Germanic tribes?</t>
  </si>
  <si>
    <t>parallel importers like Mr Dassonville</t>
  </si>
  <si>
    <t>Kingdom of Prussia</t>
  </si>
  <si>
    <t>Distributed Adaptive Message Block Switching</t>
  </si>
  <si>
    <t>When a plant is injured, what can become proplastids?</t>
  </si>
  <si>
    <t>The corruption found by the Committee of Independent Experts resulted to the creation of what office?</t>
  </si>
  <si>
    <t>Where did Tetzel overstate his teachings?</t>
  </si>
  <si>
    <t>constructed the King's Road</t>
  </si>
  <si>
    <t>Where can the Treatise be found?</t>
  </si>
  <si>
    <t>Religiously affiliated and denominational schools form a subcategory of private schools. Some such schools teach religious education, together with the usual academic subjects to impress their particular faith's beliefs and traditions in the students who attend. Others use the denomination as more of a general label to describe on what the founders based their belief, while still maintaining a fine distinction between academics and religion. They include parochial schools, a term which is often used to denote Roman Catholic schools. Other religious groups represented in the K-12 private education sector include Protestants, Jews, Muslims and the Orthodox Christians.</t>
  </si>
  <si>
    <t>seal</t>
  </si>
  <si>
    <t>Yassa code</t>
  </si>
  <si>
    <t>What is the repulsive force of close range atom interaction?</t>
  </si>
  <si>
    <t xml:space="preserve">What was the overly generous royalty amount that Tesla had been receiving? </t>
  </si>
  <si>
    <t>a Muslim state</t>
  </si>
  <si>
    <t>Westwood One will carry the game throughout North America, with Kevin Harlan as play-by-play announcer, Boomer Esiason and Dan Fouts as color analysts, and James Lofton and Mark Malone as sideline reporters. Jim Gray will anchor the pre-game and halftime coverage.</t>
  </si>
  <si>
    <t>the oil shock</t>
  </si>
  <si>
    <t>motorcycles or mopeds pulling trailers</t>
  </si>
  <si>
    <t>Sandwich, Faversham and Maidstone</t>
  </si>
  <si>
    <t>tidal delta</t>
  </si>
  <si>
    <t>mercantilism</t>
  </si>
  <si>
    <t>the mortgage banker</t>
  </si>
  <si>
    <t>The design team is most commonly employed by who?</t>
  </si>
  <si>
    <t>a supporting function</t>
  </si>
  <si>
    <t>California State Automobile Association</t>
  </si>
  <si>
    <t>Britain's imperialist ambitions can be seen as early as the sixteenth century. In 1599 the British East India Company was established and was chartered by Queen Elizabeth in the following year. With the establishment of trading posts in India, the British were able to maintain strength relative to others empires such as the Portuguese who already had set up trading posts in India. In 1767 political activity caused exploitation of the East India Company causing the plundering of the local economy, almost bringing the company into bankruptcy.</t>
  </si>
  <si>
    <t>What did the Industrial Revolution cause to happen to Newcastle?</t>
  </si>
  <si>
    <t>More than 1 million</t>
  </si>
  <si>
    <t>What can hurt a teacher's mental and physical health?</t>
  </si>
  <si>
    <t>European theatre</t>
  </si>
  <si>
    <t>What is different about Cyanidioschyzon merolæ?</t>
  </si>
  <si>
    <t>What promoted the growrth of Mnemiposis in the Black Sea?</t>
  </si>
  <si>
    <t>On June 4, 2014, the NFL announced that the practice of branding Super Bowl games with Roman numerals, a practice established at Super Bowl V, would be temporarily suspended, and that the game would be named using Arabic numerals as Super Bowl 50 as opposed to Super Bowl L. The use of Roman numerals will be reinstated for Super Bowl LI. Jaime Weston, the league's vice president of brand and creative, explained that a primary reason for the change was the difficulty of designing an aesthetically pleasing logo with the letter "L" using the standardized logo template introduced at Super Bowl XLV. The logo also deviates from the template by featuring large numerals, colored in gold, behind the Vince Lombardi Trophy, instead of underneath and in silver as in the standard logo.</t>
  </si>
  <si>
    <t>Which membrane was lost in euglenophyte chloroplasts?</t>
  </si>
  <si>
    <t>What kind of system of infection involves inserting a hollow tube into a host cell?</t>
  </si>
  <si>
    <t>largest Filipino American community</t>
  </si>
  <si>
    <t>Whose role is to design the works, prepare the specifications and produce construction drawings, administer the contract, tender the works, and manage the works from inception to completion</t>
  </si>
  <si>
    <t>the Florida legislature</t>
  </si>
  <si>
    <t>With what body must a pharmacy technician register?</t>
  </si>
  <si>
    <t>What material's weight gain during rusting was an early clue that philogiston theory was wrong?</t>
  </si>
  <si>
    <t>when the immune system is less active than normal</t>
  </si>
  <si>
    <t>British Empire</t>
  </si>
  <si>
    <t>thermodynamic</t>
  </si>
  <si>
    <t>What compounds are released by injured or infected cells, triggering inflammation?</t>
  </si>
  <si>
    <t>Teacher enthusiasm</t>
  </si>
  <si>
    <t>university or college</t>
  </si>
  <si>
    <t>that they convert</t>
  </si>
  <si>
    <t>What does legend say Genghis Khan used to obliterate the Kharezmid emporer's place of birth?</t>
  </si>
  <si>
    <t>What ends at this bend in the Rhine?</t>
  </si>
  <si>
    <t>For many geologic applications, isotope ratios of radioactive elements are measured in minerals that give the amount of time that has passed since a rock passed through its particular closure temperature, the point at which different radiometric isotopes stop diffusing into and out of the crystal lattice. These are used in geochronologic and thermochronologic studies. Common methods include uranium-lead dating, potassium-argon dating, argon-argon dating and uranium-thorium dating. These methods are used for a variety of applications. Dating of lava and volcanic ash layers found within a stratigraphic sequence can provide absolute age data for sedimentary rock units which do not contain radioactive isotopes and calibrate relative dating techniques. These methods can also be used to determine ages of pluton emplacement. Thermochemical techniques can be used to determine temperature profiles within the crust, the uplift of mountain ranges, and paleotopography.</t>
  </si>
  <si>
    <t>passenger</t>
  </si>
  <si>
    <t>What experiences acceleration when external force is applied to a system?</t>
  </si>
  <si>
    <t>work sorrow over sin</t>
  </si>
  <si>
    <t>the Franklin Institute</t>
  </si>
  <si>
    <t>What kind of university is the California Institute of Technology?</t>
  </si>
  <si>
    <t>What type of venue is the Teatr Wielki?</t>
  </si>
  <si>
    <t>involving orogenic wedges</t>
  </si>
  <si>
    <t>How are the particle forces and accelerations explained as by gauge bosons exchange?</t>
  </si>
  <si>
    <t>To make new legislation, TFEU article 294 defines the "ordinary legislative procedure" that applies for most EU acts. The essence is there are three readings, starting with a Commission proposal, where the Parliament must vote by a majority of all MEPs (not just those present) to block or suggest changes, and the Council must vote by qualified majority to approve changes, but by unanimity to block Commission amendment. Where the different institutions cannot agree at any stage, a "Conciliation Committee" is convened, representing MEPs, ministers and the Commission to try and get agreement on a joint text: if this works, it will be sent back to the Parliament and Council to approve by absolute and qualified majority. This means, legislation can be blocked by a majority in Parliament, a minority in the Council, and a majority in the Commission: it is harder to change EU law than stay the same. A different procedure exists for budgets. For "enhanced cooperation" among a sub-set of at least member states, authorisation must be given by the Council. Member state governments should be informed by the Commission at the outset before any proposals start the legislative procedure. The EU as a whole can only act within its power set out in the Treaties. TEU articles 4 and 5 state that powers remain with the member states unless they have been conferred, although there is a debate about the Kompetenz-Kompetenz question: who ultimately has the "competence" to define the EU's "competence". Many member state courts believe they decide, other member state Parliaments believe they decide, while within the EU, the Court of Justice believes it has the final say.</t>
  </si>
  <si>
    <t>What were some of Tesla's experiments?</t>
  </si>
  <si>
    <t>an educational process</t>
  </si>
  <si>
    <t>"macrocilia"</t>
  </si>
  <si>
    <t>What type of theatre is the Warsaw Fotoplastikon?</t>
  </si>
  <si>
    <t>arrows, swords, and leather shields</t>
  </si>
  <si>
    <t>What was suggested at the Symposium in 1967</t>
  </si>
  <si>
    <t>What did Tesla's father promise him while he were bedridden?</t>
  </si>
  <si>
    <t>What has been the main reason for the shift to the view that income inequality harms growth?</t>
  </si>
  <si>
    <t>Where did Luther say that the soul doesn't sleep, but rather has visions?</t>
  </si>
  <si>
    <t>lawbreaking</t>
  </si>
  <si>
    <t>Who issued the Royal Proclamation of 1763?</t>
  </si>
  <si>
    <t>The term Annual Conference is often used to refer to what?</t>
  </si>
  <si>
    <t xml:space="preserve">Tymnet was an international data communications network headquartered in San Jose, CA that utilized virtual call packet switched technology and used X.25, SNA/SDLC, BSC and ASCII interfaces to connect host computers (servers)at thousands of large companies, educational institutions, and government agencies. Users typically connected via dial-up connections or dedicated async connections. The business consisted of a large public network that supported dial-up users and a private network business that allowed government agencies and large companies (mostly banks and airlines) to build their own dedicated networks. The private networks were often connected via gateways to the public network to reach locations not on the private network. Tymnet was also connected to dozens of other public networks in the U.S. and internationally via X.25/X.75 gateways. (Interesting note: Tymnet was not named after Mr. Tyme. Another employee suggested the name.)  </t>
  </si>
  <si>
    <t>What does Doctor Who do when his body is mortally damaged?</t>
  </si>
  <si>
    <t>to ensure that the prescription is valid</t>
  </si>
  <si>
    <t>he worked as a draftsman</t>
  </si>
  <si>
    <t>Historically, the Methodist Church has supported the temperance movement. John Wesley warned against the dangers of drinking in his famous sermon, "The Use of Money," and in his letter to an alcoholic. At one time, Methodist ministers had to take a pledge not to drink and encouraged their congregations to do the same. Today the United Methodist Church states that it "affirms our long-standing support of abstinence from alcohol as a faithful witness to God's liberating and redeeming love for persons." In fact, the United Methodist Church uses unfermented grape juice in the sacrament of Holy Communion, thus "expressing pastoral concern for recovering alcoholics, enabling the participation of children and youth, and supporting the church's witness of abstinence." Moreover, in 2011 and 2012, The United Methodist Church's General Board of Church and Society called on all United Methodists to abstain from alcohol for Lent.</t>
  </si>
  <si>
    <t>Art Deco style</t>
  </si>
  <si>
    <t>establishing relationships with other necessary participants</t>
  </si>
  <si>
    <t>cut off the French frontier forts further to the west and south</t>
  </si>
  <si>
    <t>the holy catholic (or universal) church</t>
  </si>
  <si>
    <t>until the 19th century</t>
  </si>
  <si>
    <t>founding of new Protestant churches in Catholic-controlled regions</t>
  </si>
  <si>
    <t>contractor identified change orders or project changes that increased costs</t>
  </si>
  <si>
    <t>new converts</t>
  </si>
  <si>
    <t>Wiesner kept up the pressure, even making the disagreement public during a two-day September visit by the President to Marshall Space Flight Center. Wiesner blurted out "No, that's no good" in front of the press, during a presentation by von Braun. Webb jumped in and defended von Braun, until Kennedy ended the squabble by stating that the matter was "still subject to final review". Webb held firm, and issued a request for proposal to candidate Lunar Excursion Module (LEM) contractors. Wiesner finally relented, unwilling to settle the dispute once and for all in Kennedy's office, because of the President's involvement with the October Cuban missile crisis, and fear of Kennedy's support for Webb. NASA announced the selection of Grumman as the LEM contractor in November 1962.</t>
  </si>
  <si>
    <t>What does Article 102 of the Treaty of Lisbon prohibit?</t>
  </si>
  <si>
    <t>Dating of lava and volcanic ash layers found within a stratigraphic sequence</t>
  </si>
  <si>
    <t>organizational change, relationships with students, fellow teachers, and administrative personnel, working environment, expectations to substitute, long hours</t>
  </si>
  <si>
    <t>Where on the side are the two Cast Courts located?</t>
  </si>
  <si>
    <t>many of its genes were lost or transferred</t>
  </si>
  <si>
    <t>Parliament typically sits Tuesdays, Wednesdays and Thursdays from early January to late June and from early September to mid December, with two-week recesses in April and October. Plenary meetings in the debating chamber usually take place on Wednesday afternoons from 2 pm to 6 pm and on Thursdays from 9:15 am to 6 pm. Chamber debates and committee meetings are open to the public. Entry is free, but booking in advance is recommended due to limited space. Meetings are broadcast on the Parliament's own channel Holyrood.tv and on the BBC's parliamentary channel BBC Parliament. Proceedings are also recorded in text form, in print and online, in the Official Report, which is the substantially verbatim transcript of parliamentary debates.</t>
  </si>
  <si>
    <t>the death of a heretic</t>
  </si>
  <si>
    <t>punish Christians by God</t>
  </si>
  <si>
    <t>What did the radical reformers cause in the new order?</t>
  </si>
  <si>
    <t>In what kind of fluid are pressure differences caused by direction of forces over gradients?</t>
  </si>
  <si>
    <t>the Church of England</t>
  </si>
  <si>
    <t>$200,000</t>
  </si>
  <si>
    <t>expelled water drives them backwards very quickly</t>
  </si>
  <si>
    <t>specialized mushroom-shaped cells in the outer layer of the epidermis</t>
  </si>
  <si>
    <t>What is God's expression of eternal will, according to Luther?</t>
  </si>
  <si>
    <t>Liu Bingzhong and Yao Shu</t>
  </si>
  <si>
    <t>What is ATP synthase similar to?</t>
  </si>
  <si>
    <t>what way they could be brought back</t>
  </si>
  <si>
    <t>What's the name of the green space north of the center of Newcastle?</t>
  </si>
  <si>
    <t>45–60 nanometers across</t>
  </si>
  <si>
    <t>What other clashes were involved in taking Louisbourg?</t>
  </si>
  <si>
    <t>At Millingen aan de Rijn where the Rhine splits, what does it change it's name to?</t>
  </si>
  <si>
    <t>second-most populous</t>
  </si>
  <si>
    <t>principles of pre-allocation of network bandwidth</t>
  </si>
  <si>
    <t>Huguenot numbers peaked near an estimated two million by 1562, concentrated mainly in the southern and central parts of France, about one-eighth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 The wars finally ended with the granting of the Edict of Nantes, which granted the Huguenots substantial religious, political and military autonomy.</t>
  </si>
  <si>
    <t>First Amendment</t>
  </si>
  <si>
    <t>Who is expected to lead the family in spiritual mentorship?</t>
  </si>
  <si>
    <t>What did the Soviets intend to use in spacecraft after the success of Zond 5?</t>
  </si>
  <si>
    <t>Muslims in the semu class</t>
  </si>
  <si>
    <t>What type of treaty was the Lisbon Treaty?</t>
  </si>
  <si>
    <t>By the first millennium AD</t>
  </si>
  <si>
    <t>How did the project encourage the commercialisation of legumes?</t>
  </si>
  <si>
    <t>The Use of Money,</t>
  </si>
  <si>
    <t>reduces</t>
  </si>
  <si>
    <t>suburbs</t>
  </si>
  <si>
    <t>helper T cells</t>
  </si>
  <si>
    <t>What is an important Swahili settlement along the coast?</t>
  </si>
  <si>
    <t>What kinds of growth did Kublai encourage?</t>
  </si>
  <si>
    <t>penance and righteousness</t>
  </si>
  <si>
    <t>typical of Eastern bloc countries</t>
  </si>
  <si>
    <t>Colony of Victoria Act</t>
  </si>
  <si>
    <t>What did they want the educational system to be?</t>
  </si>
  <si>
    <t>What can be considered as a function of market price of skill?</t>
  </si>
  <si>
    <t>with common rules for coal and steel</t>
  </si>
  <si>
    <t>in protest against the occupation of Prussia by Napoleon</t>
  </si>
  <si>
    <t>What did Tesla do with his patents causing him to lose them?</t>
  </si>
  <si>
    <t>Where was the funeral held?</t>
  </si>
  <si>
    <t>the river's natural course due to number of canalisation projects completed in the 19th and 20th century</t>
  </si>
  <si>
    <t>How many turnovers did the Panthers force during the NFC Championship game?</t>
  </si>
  <si>
    <t>When is the Warsaw Gallery Weekend held?</t>
  </si>
  <si>
    <t>The smaller streams are used for what?</t>
  </si>
  <si>
    <t>"The Bill for this Act of the Scottish Parliament was passed by the Parliament on [Date] and received royal assent on [Date]".</t>
  </si>
  <si>
    <t>Jules Ferry thought that the "higher races" have a duty to what?</t>
  </si>
  <si>
    <t>What are construction managers?</t>
  </si>
  <si>
    <t>usually humans</t>
  </si>
  <si>
    <t>"Reducibility Among Combinatorial Problems"</t>
  </si>
  <si>
    <t>the Philippines</t>
  </si>
  <si>
    <t>Which country's imports became the de facto mass market leaders?</t>
  </si>
  <si>
    <t>balance of parties across Parliament</t>
  </si>
  <si>
    <t>Which task force states that pornography is harmful?</t>
  </si>
  <si>
    <t>What increases with the increase of income inequality?</t>
  </si>
  <si>
    <t>For the next several years, Hoelun and her children lived in poverty, surviving primarily on wild fruits and ox carcasses, marmots, and other small game killed by Temüjin and his brothers. Begter, Temujin's older half-brother, began to exercise the power of the eldest male in the family and eventually Temujin's mother Hoelun (not Begter's mother) would have to accept him as her husband if and when he became an adult. Temujin's resentment erupted during one hunting excursion that Temüjin and his brother Khasar killed their half-brother Begter.</t>
  </si>
  <si>
    <t>Which entities were originally concerned with preventing violation of human rights?</t>
  </si>
  <si>
    <t>their soft, gelatinous bodies</t>
  </si>
  <si>
    <t>different viewpoints and political parties</t>
  </si>
  <si>
    <t>When did BSkyB end their analogue service?</t>
  </si>
  <si>
    <t>What is economic liberalism one of the causes of?</t>
  </si>
  <si>
    <t>when they improve society as a whole</t>
  </si>
  <si>
    <t>obligately anaerobic organisms</t>
  </si>
  <si>
    <t>The Mongol military was also successful in siege warfare, cutting off resources for cities and towns by diverting certain rivers, taking enemy prisoners and driving them in front of the army, and adopting new ideas, techniques and tools from the people they conquered, particularly in employing Muslim and Chinese siege engines and engineers to aid the Mongol cavalry in capturing cities. Another standard tactic of the Mongol military was the commonly practiced feigned retreat to break enemy formations and to lure small enemy groups away from the larger group and defended position for ambush and counterattack.</t>
  </si>
  <si>
    <t>European_Union_law</t>
  </si>
  <si>
    <t>Does BSkyB carry any control over the picture quality of a channel?</t>
  </si>
  <si>
    <t>stabilize greenhouse gas concentrations in the atmosphere</t>
  </si>
  <si>
    <t>different epistemological spheres.</t>
  </si>
  <si>
    <t>in May 1888</t>
  </si>
  <si>
    <t>What is used to figure the relative strengh of gravity?</t>
  </si>
  <si>
    <t>3.7 million cubic meter</t>
  </si>
  <si>
    <t>Who matters the most for economic growth?</t>
  </si>
  <si>
    <t>What was the name of the 3D system effect in Dimension in Time?</t>
  </si>
  <si>
    <t>a commune</t>
  </si>
  <si>
    <t>There are two types of thylakoids—granal thylakoids, which are arranged in grana, and stromal thylakoids, which are in contact with the stroma. Granal thylakoids are pancake-shaped circular disks about 300–600 nanometers in diameter. Stromal thylakoids are helicoid sheets that spiral around grana. The flat tops and bottoms of granal thylakoids contain only the relatively flat photosystem II protein complex. This allows them to stack tightly, forming grana with many layers of tightly appressed membrane, called granal membrane, increasing stability and surface area for light capture.</t>
  </si>
  <si>
    <t>January 1, 1968</t>
  </si>
  <si>
    <t>In what year was the Interstate Highway System created?</t>
  </si>
  <si>
    <t>European Union law is applied by the courts of member states and the Court of Justice of the European Union. Where the laws of member states provide for lesser rights European Union law can be enforced by the courts of member states. In case of European Union law which should have been transposed into the laws of member states, such as Directives, the European Commission can take proceedings against the member state under the Treaty on the Functioning of the European Union. The European Court of Justice is the highest court able to interpret European Union law. Supplementary sources of European Union law include case law by the Court of Justice, international law and general principles of European Union law.</t>
  </si>
  <si>
    <t>What does ctenophore mean in Greek?</t>
  </si>
  <si>
    <t>How do you determine the acceleration of a rope when two people are pulling it?</t>
  </si>
  <si>
    <t>Song</t>
  </si>
  <si>
    <t>What did Edison offer Tesla after completing the project?</t>
  </si>
  <si>
    <t>foreign</t>
  </si>
  <si>
    <t>Revolutionary</t>
  </si>
  <si>
    <t>the kingdom</t>
  </si>
  <si>
    <t>liquid</t>
  </si>
  <si>
    <t>Jerusalem</t>
  </si>
  <si>
    <t>How long has the concept of legal certainty been recognized as one of the general principles by the EU law?</t>
  </si>
  <si>
    <t>Parliament Square</t>
  </si>
  <si>
    <t>After 1945, what challenged the French empire?</t>
  </si>
  <si>
    <t>the European Court of Human Rights</t>
  </si>
  <si>
    <t>Transform boundaries</t>
  </si>
  <si>
    <t>German New Guinea</t>
  </si>
  <si>
    <t>The first European to travel the length of the Amazon River was Francisco de Orellana in 1542. The BBC's Unnatural Histories presents evidence that Orellana, rather than exaggerating his claims as previously thought, was correct in his observations that a complex civilization was flourishing along the Amazon in the 1540s. It is believed that the civilization was later devastated by the spread of diseases from Europe, such as smallpox. Since the 1970s, numerous geoglyphs have been discovered on deforested land dating between AD 0–1250, furthering claims about Pre-Columbian civilizations. Ondemar Dias is accredited with first discovering the geoglyphs in 1977 and Alceu Ranzi with furthering their discovery after flying over Acre. The BBC's Unnatural Histories presented evidence that the Amazon rainforest, rather than being a pristine wilderness, has been shaped by man for at least 11,000 years through practices such as forest gardening and terra preta.</t>
  </si>
  <si>
    <t>prevent the installation of pagan images</t>
  </si>
  <si>
    <t>top tax rate</t>
  </si>
  <si>
    <t>In 1846, the natural history lectures of Louis Agassiz were acclaimed both in New York and on the campus at Harvard College. Agassiz's approach was distinctly idealist and posited Americans' "participation in the Divine Nature" and the possibility of understanding "intellectual existences". Agassiz's perspective on science combined observation with intuition and the assumption that a person can grasp the "divine plan" in all phenomena. When it came to explaining life-forms, Agassiz resorted to matters of shape based on a presumed archetype for his evidence. This dual view of knowledge was in concert with the teachings of Common Sense Realism derived from Scottish philosophers Thomas Reid and Dugald Stewart, whose works were part of the Harvard curriculum at the time. The popularity of Agassiz's efforts to "soar with Plato" probably also derived from other writings to which Harvard students were exposed, including Platonic treatises by Ralph Cudworth, John Norrisand, in a Romantic vein, Samuel Coleridge. The library records at Harvard reveal that the writings of Plato and his early modern and Romantic followers were almost as regularly read during the 19th century as those of the "official philosophy" of the more empirical and more deistic Scottish school.</t>
  </si>
  <si>
    <t>sixteenth century</t>
  </si>
  <si>
    <t>Gender</t>
  </si>
  <si>
    <t>What is the unproven assumption generally ascribed to the value of complexity classes?</t>
  </si>
  <si>
    <t>undifferentiated proplastids found in the zygote, or fertilized egg</t>
  </si>
  <si>
    <t>exponential-time</t>
  </si>
  <si>
    <t>Which theory suggested people in the tropics were uncivilized?</t>
  </si>
  <si>
    <t>St Thomas Becket</t>
  </si>
  <si>
    <t>ranges from 53% in Botswana to -40% in Bahrain</t>
  </si>
  <si>
    <t>compounding/dispensing medications</t>
  </si>
  <si>
    <t>St. Lawrence and Mississippi</t>
  </si>
  <si>
    <t>What may be presented to Parliament in various ways?</t>
  </si>
  <si>
    <t>the John Madejski Garden</t>
  </si>
  <si>
    <t>several years</t>
  </si>
  <si>
    <t>German-language publications,</t>
  </si>
  <si>
    <t>While the concept of a "social market economy" was only introduced into EU law in 2007, free movement and trade were central to European development since the Treaty of Rome 1957. According to the standard theory of comparative advantage, two countries can both benefit from trade even if one of them has a less productive economy in all respects. Like in other regional organisations such as the North American Free Trade Association, or the World Trade Organisation, breaking down barriers to trade, and enhancing free movement of goods, services, labour and capital, is meant to reduce consumer prices. It was originally theorised that a free trade area had a tendency to give way to a customs union, which led to a common market, then monetary union, then union of monetary and fiscal policy, political and eventually a full union characteristic of a federal state. In Europe, however, those stages were considerably mixed, and it remains unclear whether the "endgame" should be the same as a state, traditionally understood. In practice free trade, without standards to ensure fair trade, can benefit some people and groups within countries (particularly big business) much more than others, but will burden people who lack bargaining power in an expanding market, particularly workers, consumers, small business, developing industries, and communities. The Treaty on the Functioning of the European Union articles 28 to 37 establish the principle of free movement of goods in the EU, while articles 45 to 66 require free movement of persons, services and capital. These so-called "four freedoms" were thought to be inhibited by physical barriers (e.g. customs), technical barriers (e.g. differing laws on safety, consumer or environmental standards) and fiscal barriers (e.g. different Value Added Tax rates). The tension in the law is that the free movement and trade is not supposed to spill over into a licence for unrestricted commercial profit. The Treaties limit free trade, to prioritise other values such as public health, consumer protection, labour rights, fair competition, and environmental improvement. Increasingly the Court of Justice has taken the view that the specific goals of free trade are underpinned by the general aims of the treaty for improvement of people's well being.</t>
  </si>
  <si>
    <t>Nairobi's Harambee House</t>
  </si>
  <si>
    <t>Travels of Marco Polo</t>
  </si>
  <si>
    <t>child protection and parental rights groups</t>
  </si>
  <si>
    <t>conditions of static equilibrium</t>
  </si>
  <si>
    <t>Why is breathing oxygen in space craft not dangerous to health?</t>
  </si>
  <si>
    <t>higher oxygen content</t>
  </si>
  <si>
    <t>Super Bowl Opening Night</t>
  </si>
  <si>
    <t>18-karat gold-plated</t>
  </si>
  <si>
    <t>What did the Polish citizens understand the subtext of John Paul II's words to be?</t>
  </si>
  <si>
    <t>their disastrous financial situation</t>
  </si>
  <si>
    <t>In what venue did the NFL Experience take place?</t>
  </si>
  <si>
    <t>What rank for most populous city in the European Union does Warsaw hold?</t>
  </si>
  <si>
    <t>What was causing New France to have issues with resupplying?</t>
  </si>
  <si>
    <t>Which type of law makes EU institutions and its member states follow the law?</t>
  </si>
  <si>
    <t>49–15,</t>
  </si>
  <si>
    <t>the assassination of US President John F. Kennedy</t>
  </si>
  <si>
    <t>What does Graham Twigg propose about the spread of disease?</t>
  </si>
  <si>
    <t>D&amp;B contractors</t>
  </si>
  <si>
    <t>being drafted into the Austro-Hungarian Army</t>
  </si>
  <si>
    <t>In between French and British, what groups controlled land?</t>
  </si>
  <si>
    <t>symbolic illegal protests</t>
  </si>
  <si>
    <t>The area is also known for its early twentieth century homes, many of which have been restored in recent decades. The area includes many California Bungalow and American Craftsman style homes, Spanish Colonial Revival Style architecture, Mediterranean Revival Style architecture, Mission Revival Style architecture, and many Storybook houses designed by Fresno architects, Hilliard, Taylor &amp; Wheeler. The residential architecture of the Tower District contrasts with the newer areas of tract homes urban sprawl in north and east areas of Fresno.</t>
  </si>
  <si>
    <t>How long did it take to improve on Sir Isaac Newton's laws of motion?</t>
  </si>
  <si>
    <t>Passenger Transport Executive</t>
  </si>
  <si>
    <t>What were X-rays known as at the time?</t>
  </si>
  <si>
    <t>Section 30</t>
  </si>
  <si>
    <t>electroweak interaction</t>
  </si>
  <si>
    <t>Late Late Show with James Corden</t>
  </si>
  <si>
    <t>What important legislation was passed by Congress for the television industry in 1961?</t>
  </si>
  <si>
    <t>medicine use reviews</t>
  </si>
  <si>
    <t>Complexity measures</t>
  </si>
  <si>
    <t>rotational inertia of planet</t>
  </si>
  <si>
    <t>mild and sunny</t>
  </si>
  <si>
    <t>Early Gothic</t>
  </si>
  <si>
    <t>Where are America's oldest collection of maps, gazettes, and atlases housed?</t>
  </si>
  <si>
    <t>To whom did Luther send a letter containing his 95 Theses?</t>
  </si>
  <si>
    <t>Who contributes to Members Business in addition to the proposer?</t>
  </si>
  <si>
    <t>Dorotheenstadt and Friedrichstadt</t>
  </si>
  <si>
    <t>According to the Secret History, Temüjin again offered his friendship to Jamukha, asking him to return to his side. Temüjin had killed the men who betrayed Jamukha, stating that he did not want disloyal men in his army. Jamukha refused the offer of friendship and reunion, saying that there can only be one sun in the sky, and he asked for a noble death. The custom is to die without spilling blood, which is granted by breaking the back. Jamukha requested this form of death, despite the fact that in the past Jamukha had been known to have boiled his opponents' generals alive.</t>
  </si>
  <si>
    <t>the worst-case time complexity</t>
  </si>
  <si>
    <t>kteis 'comb' and φέρω pherō 'carry'</t>
  </si>
  <si>
    <t>In what years did Bach use more of Luther's hymns in his compositions?</t>
  </si>
  <si>
    <t>Egyptian Islamic Jihad</t>
  </si>
  <si>
    <t>What type of ratios are used in geochronologic and thermochronologic studies?</t>
  </si>
  <si>
    <t>Germany doesn't have an imperialistic past until when?</t>
  </si>
  <si>
    <t>What can result in more equal distribution of income?</t>
  </si>
  <si>
    <t>January 2003</t>
  </si>
  <si>
    <t>The Fresno Barn</t>
  </si>
  <si>
    <t>Besides Germany and Switzerland, where else is Lake Constance?</t>
  </si>
  <si>
    <t>Inventions, Researches and Writings of Nikola Tesla.</t>
  </si>
  <si>
    <t>How often does the European Council meet?</t>
  </si>
  <si>
    <t>a setup phase in each involved node before any packet is transferred to establish the parameters of communication</t>
  </si>
  <si>
    <t>What was the first steam powered device used commercially?</t>
  </si>
  <si>
    <t>Bishop Reuben H. Mueller</t>
  </si>
  <si>
    <t>Polymerase Chain Reaction (PCR) techniques</t>
  </si>
  <si>
    <t>designs into reality</t>
  </si>
  <si>
    <t>over 6000</t>
  </si>
  <si>
    <t>When did the accident occur?</t>
  </si>
  <si>
    <t>mad dogs</t>
  </si>
  <si>
    <t>None of the original treaties establishing the European Union mention protection for fundamental rights. It was not envisaged for European Union measures, that is legislative and administrative actions by European Union institutions, to be subject to human rights. At the time the only concern was that member states should be prevented from violating human rights, hence the establishment of the European Convention on Human Rights in 1950 and the establishment of the European Court of Human Rights. The European Court of Justice recognised fundamental rights as general principle of European Union law as the need to ensure that European Union measures are compatible with the human rights enshrined in member states' constitution became ever more apparent. In 1999 the European Council set up a body tasked with drafting a European Charter of Human Rights, which could form the constitutional basis for the European Union and as such tailored specifically to apply to the European Union and its institutions. The Charter of Fundamental Rights of the European Union draws a list of fundamental rights from the European Convention on Human Rights and Fundamental Freedoms, the Declaration on Fundamental Rights produced by the European Parliament in 1989 and European Union Treaties.</t>
  </si>
  <si>
    <t>extremist militant</t>
  </si>
  <si>
    <t>What major crop was brought to China from the west?</t>
  </si>
  <si>
    <t>closed</t>
  </si>
  <si>
    <t>Noble acquired a loan from what entity to keep ABC solvent in 1951?</t>
  </si>
  <si>
    <t>What program did Red Cross put together in 2011?</t>
  </si>
  <si>
    <t>struggle, famine, and bitterness</t>
  </si>
  <si>
    <t>Nikola Tesla Museum</t>
  </si>
  <si>
    <t>Hamas</t>
  </si>
  <si>
    <t>The UMC condemns what type of punishment?</t>
  </si>
  <si>
    <t>There are many forms of spiritual or religious teachers in Christianity, across all three major traditions - (Roman) Catholic, (Eastern) Orthodox Catholic, and Protestant/Non-Denominational, with a stronger tradition of spiritual formation in the more historic and authoritarian/hierarchical Christian traditions with a long tradition of "discernment of spirits", of vocations, and other aspects of spiritual life, especially the Roman and Orthodox Catholic Churches. These positions include: the honoured but informal position of starets or elder - a man (or, less often, woman), often a monastic, considered to be graced by God with certain gifts for the guidance of souls and the detection and correction of prelest (spiritual pride or deception) - who acts as a spiritual guide or father in the Orthodox Catholic tradition, especially Russian Orthodoxy (see Optina Monastery, which had a long line of said starets); the Priest or Confessor in Roman Catholicism, who is often a man in Holy Orders but may be a monastic or other person respected for his spiritual accomplishments or acumen (even the Pope of Rome has a Confessor, who is not always a bishop, and, due to the hierarchical structure of the Roman Church, can not be his equal in authority), which is often a semi-official to official position, as opposed to the unofficial positions of spiritual guides in the Orthodox Catholic and Protestant traditions; and the almost-exclusively informal arrangements (generally formal only in members who are under some form of church discipline) of mentorship (both of adults and children, in the latter case often a youth pastor) in the Protestant and Non-Denominational traditions, which boundaries can be blurred with the more typically Roman "confessor" position in some of the more historic and conservative Reformation Churches, such as some of the Lutheran and Anglican. In keeping with the individualistic nature of most Protestant denominations, the emphasis on being guided in spiritual development is small, with a heavy emphasis placed on heavy reading and personal, Spirit-enlightened interpretation of the Holy Bible.</t>
  </si>
  <si>
    <t>In ring theory</t>
  </si>
  <si>
    <t>to avoid trivialization</t>
  </si>
  <si>
    <t>since the Sui and Tang dynasties</t>
  </si>
  <si>
    <t>British blockade</t>
  </si>
  <si>
    <t>Central Asia</t>
  </si>
  <si>
    <t>increasing importance of human capital</t>
  </si>
  <si>
    <t>not recorded in witness accounts</t>
  </si>
  <si>
    <t>direct repeats</t>
  </si>
  <si>
    <t>It is tempting to think that the notion of function problems is much richer than the notion of decision problems. However, this is not really the case, since function problems can be recast as decision problems. For example, the multiplication of two integers can be expressed as the set of triples (a, b, c) such that the relation a × b = c holds. Deciding whether a given triple is a member of this set corresponds to solving the problem of multiplying two numbers.</t>
  </si>
  <si>
    <t>Holy Roman Empire</t>
  </si>
  <si>
    <t>In early 2012, Goodell said that Super Bowl 50 would be what?</t>
  </si>
  <si>
    <t>African-American</t>
  </si>
  <si>
    <t>What kind of state was the Khwarezmia?</t>
  </si>
  <si>
    <t>role of Yersinia pestis in the Black Death</t>
  </si>
  <si>
    <t>The Museum's collections of South and South-East Asian art are the most comprehensive and important in the West comprising nearly 60,000 objects, including about 10,000 textiles and 6000 paintings, the range of the collection is immense. The Jawaharlal Nehru gallery of Indian art, opened in 1991, contains art from about 500 BC to the 19th century. There is an extensive collection of sculpture, mainly of a religious nature, Hindu, Buddhist and Jain. The gallery is richly endowed with art of the Mughal Empire and the Marathas, including fine portraits of the emperors and other paintings and drawings, jade wine cups and gold spoons inset with emeralds, diamonds and rubies, also from this period are parts of buildings such as a jaali and pillars. India was a large producer of textiles, from dyed cotton chintz, muslin to rich embroidery work using gold and silver thread, coloured sequins and beads is displayed, as are carpets from Agra and Lahore. Examples of clothing are also displayed.</t>
  </si>
  <si>
    <t>Where were the Kikuyu people located?</t>
  </si>
  <si>
    <t>Which directive mentioned was created in 1994?</t>
  </si>
  <si>
    <t>What extinction event might have created some conditions allowing the expansion of the amazon rainforest?</t>
  </si>
  <si>
    <t>How soon after the cabin fire incident did NASA create its accident review board?</t>
  </si>
  <si>
    <t>tallest precast, post-tensioned concrete structure</t>
  </si>
  <si>
    <t>The church states that, as Christians, they are aware that neither the way of what is righteous before God?"</t>
  </si>
  <si>
    <t xml:space="preserve">What were X.25 and Frame relay used for </t>
  </si>
  <si>
    <t>Scotland Act</t>
  </si>
  <si>
    <t>The results of the Haensch study have since been confirmed and amended. Based on genetic evidence derived from Black Death victims in the East Smithfield burial site in England, Schuenemann et al. concluded in 2011 "that the Black Death in medieval Europe was caused by a variant of Y. pestis that may no longer exist." A study published in Nature in October 2011 sequenced the genome of Y. pestis from plague victims and indicated that the strain that caused the Black Death is ancestral to most modern strains of the disease.</t>
  </si>
  <si>
    <t>What is one general concept that applies to elements of commutative rings?</t>
  </si>
  <si>
    <t>Zwickau prophets</t>
  </si>
  <si>
    <t>Income not from the creation of wealth but by grabbing a larger share of it is know to economists by what term?</t>
  </si>
  <si>
    <t>In what years did Doctor Who originally show on TV?</t>
  </si>
  <si>
    <t>propose a range of preincident population figures</t>
  </si>
  <si>
    <t>What causes the symptoms of inflammation?</t>
  </si>
  <si>
    <t>Besides drugs, what else do specialty pharmacies provide?</t>
  </si>
  <si>
    <t>Starting in 1965, Donald Davies at the National Physical Laboratory, UK, independently developed the same message routing methodology as developed by Baran. He called it packet switching, a more accessible name than Baran's, and proposed to build a nationwide network in the UK. He gave a talk on the proposal in 1966, after which a person from the Ministry of Defence (MoD) told him about Baran's work. A member of Davies' team (Roger Scantlebury) met Lawrence Roberts at the 1967 ACM Symposium on Operating System Principles and suggested it for use in the ARPANET.</t>
  </si>
  <si>
    <t>finite</t>
  </si>
  <si>
    <t>2,900 kilometres</t>
  </si>
  <si>
    <t>That there currently exists no known integer factorization problem underpins what commonly used system?</t>
  </si>
  <si>
    <t>When did Augustus die?</t>
  </si>
  <si>
    <t>French Louisiana west of the Mississippi River (including New Orleans)</t>
  </si>
  <si>
    <t xml:space="preserve">In cases of shared physical medium how are they delivered </t>
  </si>
  <si>
    <t>What is the most important thing apicoplasts do?</t>
  </si>
  <si>
    <t>number theory</t>
  </si>
  <si>
    <t>After an unmanned LM test flight AS-206, a crew would fly the first Block II CSM and LM in a dual mission known as AS-207/208, or AS-278 (each spacecraft would be launched on a separate Saturn IB.) The Block II crew positions were titled Commander (CDR) Command Module Pilot (CMP) and Lunar Module Pilot (LMP). The astronauts would begin wearing a new Apollo spacesuit, designed to accommodate lunar extravehicular activity (EVA). The traditional visor helmet was replaced with a clear "fishbowl" type for greater visibility, and the lunar surface EVA suit would include a water-cooled undergarment.</t>
  </si>
  <si>
    <t>What did Gasquet think the plague was?</t>
  </si>
  <si>
    <t>In some rural areas in the United Kingdom</t>
  </si>
  <si>
    <t>Gamma delta T cells share the characteristics of what other types of T cells?</t>
  </si>
  <si>
    <t>reckless</t>
  </si>
  <si>
    <t>In October 1529, Philip I, Landgrave of Hesse, convoked an assembly of German and Swiss theologians at the Marburg Colloquy, to establish doctrinal unity in the emerging Protestant states. Agreement was achieved on fourteen points out of fifteen, the exception being the nature of the Eucharist – the sacrament of the Lord's Supper—an issue crucial to Luther.</t>
  </si>
  <si>
    <t>What are environmentalists concerned about having released from the Amazon region?</t>
  </si>
  <si>
    <t>ongoing tectonic subsidence</t>
  </si>
  <si>
    <t>an economic development programme it hopes will put the country in the same league as the Asian Economic Tigers by the year 2030</t>
  </si>
  <si>
    <t>Catholic Church in France</t>
  </si>
  <si>
    <t>What happened during the Apollo 7 test mission to elicit them a lesser version of the DSM?</t>
  </si>
  <si>
    <t>Republic of Kenya</t>
  </si>
  <si>
    <t>What physical quantities do not have direction?</t>
  </si>
  <si>
    <t>Where is the Congress Hall located?</t>
  </si>
  <si>
    <t>college</t>
  </si>
  <si>
    <t>Who receives higher salaries at private schools that charge higher tuition?</t>
  </si>
  <si>
    <t>Before World War II, Fresno had many ethnic neighborhoods, including Little Armenia, German Town, Little Italy, and Chinatown. In 1940, the Census Bureau reported Fresno's population as 94.0% white, 3.3% black and 2.7% Asian. (Incongruously, Chinatown was primarily a Japanese neighborhood and today Japanese-American businesses still remain). During 1942, Pinedale, in what is now North Fresno, was the site of the Pinedale Assembly Center, an interim facility for the relocation of Fresno area Japanese Americans to internment camps. The Fresno Fairgrounds was also utilized as an assembly center.</t>
  </si>
  <si>
    <t>What film did Lionsgate pay to have the trailer aired during the Super Bowl?</t>
  </si>
  <si>
    <t>internal canal network under the comb rows</t>
  </si>
  <si>
    <t>a river crevice</t>
  </si>
  <si>
    <t>special Apollo TV camera</t>
  </si>
  <si>
    <t>Which type of climate may have allowed the rainforest to spread across the continent?</t>
  </si>
  <si>
    <t>What is similar to vocational training?</t>
  </si>
  <si>
    <t>second</t>
  </si>
  <si>
    <t>an occupancy permit</t>
  </si>
  <si>
    <t>the urbanization of the city</t>
  </si>
  <si>
    <t>an attempt to emphasize academics over athletics</t>
  </si>
  <si>
    <t xml:space="preserve">What was DATANET 1 </t>
  </si>
  <si>
    <t>by purposely damaging their photosynthetic system</t>
  </si>
  <si>
    <t>Miasma theory.</t>
  </si>
  <si>
    <t>during the plague of Athens in 430 BC</t>
  </si>
  <si>
    <t>authoring hymns</t>
  </si>
  <si>
    <t>attacked the British column, killing and capturing several hundred men, women, children, and slaves.</t>
  </si>
  <si>
    <t>How is Newport's airport connected to the city?</t>
  </si>
  <si>
    <t>the need for alliances</t>
  </si>
  <si>
    <t>Tesla Coil</t>
  </si>
  <si>
    <t>Many counties offer alternative licensing programs to attract people into teaching, especially for hard-to-fill positions. Excellent job opportunities are expected as retirements, especially among secondary school teachers, outweigh slowing enrollment growth; opportunities will vary by geographic area and subject taught.[citation needed]</t>
  </si>
  <si>
    <t>What caused Jacksonville's tourism to become less desirable at the latter half of the 19th century?</t>
  </si>
  <si>
    <t>3 and 14 hours a week</t>
  </si>
  <si>
    <t>novel medications that need to be properly stored, administered, carefully monitored, and clinically managed</t>
  </si>
  <si>
    <t>What do a plant's chloroplasts descend from?</t>
  </si>
  <si>
    <t>Seismologists can use the arrival times of seismic waves in reverse to image the interior of the Earth. Early advances in this field showed the existence of a liquid outer core (where shear waves were not able to propagate) and a dense solid inner core. These advances led to the development of a layered model of the Earth, with a crust and lithosphere on top, the mantle below (separated within itself by seismic discontinuities at 410 and 660 kilometers), and the outer core and inner core below that. More recently, seismologists have been able to create detailed images of wave speeds inside the earth in the same way a doctor images a body in a CT scan. These images have led to a much more detailed view of the interior of the Earth, and have replaced the simplified layered model with a much more dynamic model.</t>
  </si>
  <si>
    <t>How long did it take for the Theses printing to spread thought Germany?</t>
  </si>
  <si>
    <t>afternoon of May 2</t>
  </si>
  <si>
    <t>after he is announced a winner</t>
  </si>
  <si>
    <t>Earth's mantle</t>
  </si>
  <si>
    <t>40 to 50 students,</t>
  </si>
  <si>
    <t>Where CHP is not used, steam turbines in power stations use surface condensers as a cold sink. The condensers are cooled by water flow from oceans, rivers, lakes, and often by cooling towers which evaporate water to provide cooling energy removal. The resulting condensed hot water output from the condenser is then put back into the boiler via a pump. A dry type cooling tower is similar to an automobile radiator and is used in locations where water is costly. Evaporative (wet) cooling towers use the rejected heat to evaporate water; this water is kept separate from the condensate, which circulates in a closed system and returns to the boiler. Such towers often have visible plumes due to the evaporated water condensing into droplets carried up by the warm air. Evaporative cooling towers need less water flow than "once-through" cooling by river or lake water; a 700 megawatt coal-fired power plant may use about 3600 cubic metres of make-up water every hour for evaporative cooling, but would need about twenty times as much if cooled by river water.[citation needed]</t>
  </si>
  <si>
    <t>nearly a million and a half visitors</t>
  </si>
  <si>
    <t>Dirichlet's</t>
  </si>
  <si>
    <t>all four</t>
  </si>
  <si>
    <t>1368–1644</t>
  </si>
  <si>
    <t>Noetherian</t>
  </si>
  <si>
    <t>When did Obama finally visit Kenya?</t>
  </si>
  <si>
    <t>broken</t>
  </si>
  <si>
    <t>it is open to all irrespective of age, literacy level and has materials relevant to people of all walks of life</t>
  </si>
  <si>
    <t>few drops</t>
  </si>
  <si>
    <t>Full size working engines on what vehicles sometimes use oscillating cylinder steam engines?</t>
  </si>
  <si>
    <t>the European Court</t>
  </si>
  <si>
    <t>Sonia Shankman Orthogenic School</t>
  </si>
  <si>
    <t>dispute over control of the confluence of the Allegheny and Monongahela rivers</t>
  </si>
  <si>
    <t>What is the nature of the relationship between T-cells and vitamin D?</t>
  </si>
  <si>
    <t>blue police box</t>
  </si>
  <si>
    <t>breaking the back</t>
  </si>
  <si>
    <t>LM engines were successfully test-fired and restarted</t>
  </si>
  <si>
    <t>How many extended metropolitan areas are there?</t>
  </si>
  <si>
    <t>The movements of the lobates combs are controlled by what?</t>
  </si>
  <si>
    <t>the solvability of quadratic equations</t>
  </si>
  <si>
    <t>Some in the UMC feel that false ecumenism might result in what?</t>
  </si>
  <si>
    <t>How much did Tesla spend on the injured pigeon?</t>
  </si>
  <si>
    <t>In many parts of the United States, after the 1954 decision in the landmark court case Brown v. Board of Education of Topeka that demanded United States schools desegregate "with all deliberate speed", local families organized a wave of private "Christian academies". In much of the U.S. South, many white students migrated to the academies, while public schools became in turn more heavily concentrated with African-American students (see List of private schools in Mississippi). The academic content of the academies was usually College Preparatory. Since the 1970s, many of these "segregation academies" have shut down, although some continue to operate.[citation needed]</t>
  </si>
  <si>
    <t xml:space="preserve">Why is it important to precisely date rocks within the stratigraphic section? </t>
  </si>
  <si>
    <t>the disposition of prisoners' personal effects</t>
  </si>
  <si>
    <t>study of positions of rock units and their deformation</t>
  </si>
  <si>
    <t>period of compression</t>
  </si>
  <si>
    <t>on foundational constitutional questions affecting democracy and human rights</t>
  </si>
  <si>
    <t>How many seats did the SNP take from the Liberal Democrats?</t>
  </si>
  <si>
    <t>Fears of being labelled a pedophile</t>
  </si>
  <si>
    <t>Who is the executive power?</t>
  </si>
  <si>
    <t>On 31 October 1517, Luther wrote to his bishop, Albert of Mainz, protesting the sale of indulgences. He enclosed in his letter a copy of his "Disputation of Martin Luther on the Power and Efficacy of Indulgences", which came to be known as The Ninety-Five Theses. Hans Hillerbrand writes that Luther had no intention of confronting the church, but saw his disputation as a scholarly objection to church practices, and the tone of the writing is accordingly "searching, rather than doctrinaire." Hillerbrand writes that there is nevertheless an undercurrent of challenge in several of the theses, particularly in Thesis 86, which asks: "Why does the pope, whose wealth today is greater than the wealth of the richest Crassus, build the basilica of St. Peter with the money of poor believers rather than with his own money?"</t>
  </si>
  <si>
    <t>Tana River, as well as the Turkwel Gorge Dam</t>
  </si>
  <si>
    <t>part of the trapped air</t>
  </si>
  <si>
    <t>What kind of electricity was Tesla investigating?</t>
  </si>
  <si>
    <t>about 9.81 meters per second squared</t>
  </si>
  <si>
    <t>What has replaced lower skilled workers in the United States?</t>
  </si>
  <si>
    <t>between 8 to 10 miles per day</t>
  </si>
  <si>
    <t>role of nineteenth-century maps</t>
  </si>
  <si>
    <t>consumer prices</t>
  </si>
  <si>
    <t>What is the force between nucleons?</t>
  </si>
  <si>
    <t>phylum of animals that live in marine waters</t>
  </si>
  <si>
    <t>the Presiding Officer</t>
  </si>
  <si>
    <t>not have any standing forces</t>
  </si>
  <si>
    <t>Luther justified his opposition to the rebels on three grounds. First, in choosing violence over lawful submission to the secular government, they were ignoring Christ's counsel to "Render unto Caesar the things that are Caesar's"; St. Paul had written in his epistle to the Romans 13:1–7 that all authorities are appointed by God and therefore should not be resisted. This reference from the Bible forms the foundation for the doctrine known as the Divine Right of Kings, or, in the German case, the divine right of the princes. Second, the violent actions of rebelling, robbing, and plundering placed the peasants "outside the law of God and Empire", so they deserved "death in body and soul, if only as highwaymen and murderers." Lastly, Luther charged the rebels with blasphemy for calling themselves "Christian brethren" and committing their sinful acts under the banner of the Gospel.</t>
  </si>
  <si>
    <t>deteriorated</t>
  </si>
  <si>
    <t>a modern context</t>
  </si>
  <si>
    <t>Between May and September 2005, rumors circulated that Disney–ABC was considering a sale of ABC Radio, with Clear Channel Communications and Westwood One (which had earlier purchased NBC's radio division, as well as the distribution rights to CBS's, and the Mutual Broadcasting System during the 1990s) as potential buyers. On October 19, 2005, ABC announced the restructuring of the group into six divisions: Entertainment Communications, Communications Resources, Kids Communications, News Communications, Corporate Communications, and International Communications.</t>
  </si>
  <si>
    <t>What did Jamukha request from Temüjin instead of friendship?</t>
  </si>
  <si>
    <t>same-sex unions</t>
  </si>
  <si>
    <t>the offices and board room etc.</t>
  </si>
  <si>
    <t>pathogen</t>
  </si>
  <si>
    <t>What type of rock is found at the Grand Canyon?</t>
  </si>
  <si>
    <t>French 18th-century art and furnishings</t>
  </si>
  <si>
    <t>programmes to avoid similar disasters in the future</t>
  </si>
  <si>
    <t>noisiest</t>
  </si>
  <si>
    <t>Baltimore-Washington Conference of the UMC</t>
  </si>
  <si>
    <t>cylindrical Service Module</t>
  </si>
  <si>
    <t>How many Offensive players from the Panthers were selected to play in the Pro Bowl?</t>
  </si>
  <si>
    <t>rotary</t>
  </si>
  <si>
    <t>grandson</t>
  </si>
  <si>
    <t>a six membraned chloroplast</t>
  </si>
  <si>
    <t>quality of a country's institutions</t>
  </si>
  <si>
    <t>What is a trait of sequential hermaphrodites?</t>
  </si>
  <si>
    <t>100–106 °F</t>
  </si>
  <si>
    <t>What religion were the Normans</t>
  </si>
  <si>
    <t>What agreement was made for trade with natives and British?</t>
  </si>
  <si>
    <t>could be profitable</t>
  </si>
  <si>
    <t>Mount Kenya</t>
  </si>
  <si>
    <t>receive no jail time</t>
  </si>
  <si>
    <t>printing press.</t>
  </si>
  <si>
    <t>What resource was mined in the Newcastle area?</t>
  </si>
  <si>
    <t>meets twice a year at</t>
  </si>
  <si>
    <t>the least onerous</t>
  </si>
  <si>
    <t>What did Gou use for astronomy?</t>
  </si>
  <si>
    <t>dangerous enemies</t>
  </si>
  <si>
    <t>What are the factors that are contributing to the desire to have SR 99 improved to be of interstate standards?</t>
  </si>
  <si>
    <t>bachelor's degree</t>
  </si>
  <si>
    <t>What characteristic did Tesla say helped his scientific abilities?</t>
  </si>
  <si>
    <t>Warsaw was occupied by Germany from 4 August 1915 until November 1918. The Allied Armistice terms required in Article 12 that Germany withdraw from areas controlled by Russia in 1914, which included Warsaw. Germany did so, and underground leader Piłsudski returned to Warsaw on 11 November and set up what became the Second Polish Republic, with Warsaw the capital. In the course of the Polish-Bolshevik War of 1920, the huge Battle of Warsaw was fought on the eastern outskirts of the city in which the capital was successfully defended and the Red Army defeated. Poland stopped by itself the full brunt of the Red Army and defeated an idea of the "export of the revolution".</t>
  </si>
  <si>
    <t>result of the American Revolution</t>
  </si>
  <si>
    <t>Elector of Saxony</t>
  </si>
  <si>
    <t>What is the weather type of Mallee and upper Wimmera?</t>
  </si>
  <si>
    <t>12th</t>
  </si>
  <si>
    <t>Is it easier or harder to change EU law than stay the same?</t>
  </si>
  <si>
    <t>What is the name of the residential treatment program the university runs?</t>
  </si>
  <si>
    <t>On the Freedom of a Christian.</t>
  </si>
  <si>
    <t>To which trading route did Genghis Khan bring a stable political climate?</t>
  </si>
  <si>
    <t>What art historical style was used in the decoration for the northern part of the museum?</t>
  </si>
  <si>
    <t>Passenger rail service is provided by Amtrak San Joaquins. The main passenger rail station is the recently renovated historic Santa Fe Railroad Depot in Downtown Fresno. The Bakersfield-Stockton mainlines of the Burlington Northern Santa Fe Railway and Union Pacific Railroad railroads cross in Fresno, and both railroads maintain railyards within the city; the San Joaquin Valley Railroad also operates former Southern Pacific branchlines heading west and south out of the city. The city of Fresno is planned to serve the future California High Speed Rail.</t>
  </si>
  <si>
    <t>What kind of non-peer-reviewed sources does the IPCC use?</t>
  </si>
  <si>
    <t>circuit switching is characterized by a fee per unit of connection time</t>
  </si>
  <si>
    <t>What other terminology is considered much more destructive?</t>
  </si>
  <si>
    <t>Who captured Fort Beausejour?</t>
  </si>
  <si>
    <t>What position did Fred Silverman leave ABC to take in 1978?</t>
  </si>
  <si>
    <t>expansion</t>
  </si>
  <si>
    <t>misguided agitation</t>
  </si>
  <si>
    <t>successfully</t>
  </si>
  <si>
    <t>principle of equivalence</t>
  </si>
  <si>
    <t>without markings</t>
  </si>
  <si>
    <t>What action by Luther added to antisemitism in Germany?</t>
  </si>
  <si>
    <t>agriculture and silviculture</t>
  </si>
  <si>
    <t>private citizen</t>
  </si>
  <si>
    <t>in order to reduce consumer costs</t>
  </si>
  <si>
    <t>Near the end of his life, Tesla walked to the park every day to feed the pigeons and even brought injured ones into his hotel room to nurse back to health. He said that he had been visited by a specific injured white pigeon daily. Tesla spent over $2,000, including building a device that comfortably supported her so her bones could heal, to fix her broken wing and leg. Tesla stated,</t>
  </si>
  <si>
    <t>competition between workers</t>
  </si>
  <si>
    <t>International Criminal Court trial dates</t>
  </si>
  <si>
    <t>$41 trillion</t>
  </si>
  <si>
    <t>Some of the combs in the V&amp;A collection of South East Asian art is made of what material?</t>
  </si>
  <si>
    <t>oxides</t>
  </si>
  <si>
    <t>What danger did the IPCC understate?</t>
  </si>
  <si>
    <t>the completed (or local) fields</t>
  </si>
  <si>
    <t>Industry and manufacturing</t>
  </si>
  <si>
    <t>Treaties apply as soon as they enter into force, unless stated otherwise</t>
  </si>
  <si>
    <t>Tesla would be killed through overwork</t>
  </si>
  <si>
    <t>ideas</t>
  </si>
  <si>
    <t>What are frets?</t>
  </si>
  <si>
    <t>capturing prey</t>
  </si>
  <si>
    <t>to constantly expand investment, material resources and manpower</t>
  </si>
  <si>
    <t>Who are FDA laws against importing medications aimed at?</t>
  </si>
  <si>
    <t>Whwn forces are at right ngles to each other what can they be broken down to?</t>
  </si>
  <si>
    <t>the date</t>
  </si>
  <si>
    <t>Deformational events</t>
  </si>
  <si>
    <t>a number of Kenyan athletes to represent other countries</t>
  </si>
  <si>
    <t>What profession does Simon Kuznets have?</t>
  </si>
  <si>
    <t>in protest</t>
  </si>
  <si>
    <t>The crisis had a major impact on international relations and created a rift within NATO. Some European nations and Japan sought to disassociate themselves from United States foreign policy in the Middle East to avoid being targeted by the boycott. Arab oil producers linked any future policy changes to peace between the belligerents. To address this, the Nixon Administration began multilateral negotiations with the combatants. They arranged for Israel to pull back from the Sinai Peninsula and the Golan Heights. By January 18, 1974, US Secretary of State Henry Kissinger had negotiated an Israeli troop withdrawal from parts of the Sinai Peninsula. The promise of a negotiated settlement between Israel and Syria was enough to convince Arab oil producers to lift the embargo in March 1974.</t>
  </si>
  <si>
    <t>Great Exhibition</t>
  </si>
  <si>
    <t>proposed to build a nationwide network in the UK</t>
  </si>
  <si>
    <t>During the mid-Eocene</t>
  </si>
  <si>
    <t>liquid oxygen tank exploded, disabling the Service Module</t>
  </si>
  <si>
    <t>tool of the devil,</t>
  </si>
  <si>
    <t>430 BC</t>
  </si>
  <si>
    <t>What three things are needed for construction to take place?</t>
  </si>
  <si>
    <t>non-governmental agencies</t>
  </si>
  <si>
    <t>Who took up the path of violence?</t>
  </si>
  <si>
    <t>World War II</t>
  </si>
  <si>
    <t>siblings' families continuing in their father Hans Luther's copper mining</t>
  </si>
  <si>
    <t>biogeochemical</t>
  </si>
  <si>
    <t>helium</t>
  </si>
  <si>
    <t>2:45 a.m</t>
  </si>
  <si>
    <t xml:space="preserve">Who developed the same technology as Baran </t>
  </si>
  <si>
    <t>This is true throughout most of the United States as well. However, alternative approaches for primary education do exist. One of these, sometimes referred to as a "platoon" system, involves placing a group of students together in one class that moves from one specialist to another for every subject. The advantage here is that students learn from teachers who specialize in one subject and who tend to be more knowledgeable in that one area than a teacher who teaches many subjects. Students still derive a strong sense of security by staying with the same group of peers for all classes.</t>
  </si>
  <si>
    <t>When did the Syrian Civil War begin?</t>
  </si>
  <si>
    <t>What type of numeral did the latest Super Bowl use to designate the game number?</t>
  </si>
  <si>
    <t>The objective is typically accomplished through either an informal or formal approach to learning, including a course of study and lesson plan that teaches skills, knowledge and/or thinking skills. Different ways to teach are often referred to as pedagogy. When deciding what teaching method to use teachers consider students' background knowledge, environment, and their learning goals as well as standardized curricula as determined by the relevant authority. Many times, teachers assist in learning outside of the classroom by accompanying students on field trips. The increasing use of technology, specifically the rise of the internet over the past decade, has begun to shape the way teachers approach their roles in the classroom.</t>
  </si>
  <si>
    <t>&gt;500 Da</t>
  </si>
  <si>
    <t>at least one advanced course every three years</t>
  </si>
  <si>
    <t>occurrence</t>
  </si>
  <si>
    <t>Where did Kublai build his administration's strength?</t>
  </si>
  <si>
    <t>What dynasties inspired the Chinese-like elements of Kublai's government?</t>
  </si>
  <si>
    <t>Colonel Monckton</t>
  </si>
  <si>
    <t>What is the main judicial body of the EU?</t>
  </si>
  <si>
    <t>What decreased in number between 1984 and 1991?</t>
  </si>
  <si>
    <t>In what part of the United States did many students migrate to Christian academies during the desegregation period?</t>
  </si>
  <si>
    <t>Decisions in-between the four-year meetings are made by the Mission Council (usually consisting of church bishops). One of the most high profile decisions in recent years by one of the councils was a decision by the Mission Council of the South Central Jurisdiction which in March 2007 approved a 99-year lease of 36 acres (150,000 m2) at Southern Methodist University for the George W. Bush Presidential Library. The decision generated controversy in light of Bush's support of the Iraq War which the church bishops have criticized. A debate over whether the decision should or could be submitted for approval by the Southern Jurisdictional Conference at its July 2008 meeting in Dallas, Texas, remains unresolved.</t>
  </si>
  <si>
    <t>How significant was the transfer of disease through fleas?</t>
  </si>
  <si>
    <t>School of Social Service Administration</t>
  </si>
  <si>
    <t>Six soundtrack releases have been released since 2005. The first featured tracks from the first two series, the second and third featured music from the third and fourth series respectively. The fourth was released on 4 October 2010 as a two disc special edition and contained music from the 2008–2010 specials (The Next Doctor to End of Time Part 2). The soundtrack for Series 5 was released on 8 November 2010. In February 2011, a soundtrack was released for the 2010 Christmas special: "A Christmas Carol", and in December 2011 the soundtrack for Series 6 was released, both by Silva Screen Records.</t>
  </si>
  <si>
    <t>multi-member proportional</t>
  </si>
  <si>
    <t>wider community</t>
  </si>
  <si>
    <t>Where did Martin Luther go to school?</t>
  </si>
  <si>
    <t>in line</t>
  </si>
  <si>
    <t>his friendship</t>
  </si>
  <si>
    <t>47°39′N 9°19′E﻿ / ﻿47.650°N 9.317°E﻿ / 47.650; 9.317</t>
  </si>
  <si>
    <t>Where on Earth is free oxygen found?</t>
  </si>
  <si>
    <t>questions and answers</t>
  </si>
  <si>
    <t>What venue hosted Super Bowl Opening Night?</t>
  </si>
  <si>
    <t>What kind of markets did NBC Red serve?</t>
  </si>
  <si>
    <t>red-algal derived</t>
  </si>
  <si>
    <t>market</t>
  </si>
  <si>
    <t>What former building is currently known as Grand 1401?</t>
  </si>
  <si>
    <t>new fleet of trains</t>
  </si>
  <si>
    <t>How long will the event at Santa Clara Convention Center last?</t>
  </si>
  <si>
    <t>How was religion handled in the Mongol Empire?</t>
  </si>
  <si>
    <t>Although the European Union does not have a codified constitution, like every political body it has laws which "constitute" its basic governance structure. The EU's primary constitutional sources are the Treaty on European Union (TEU) and the Treaty on the Functioning of the European Union (TFEU), which have been agreed or adhered to among the governments of all 28 member states. The Treaties establish the EU's institutions, list their powers and responsibilities, and explain the areas in which the EU can legislate with Directives or Regulations. The European Commission has the initiative to propose legislation. During the ordinary legislative procedure, the Council (which are ministers from member state governments) and the European Parliament (elected by citizens) can make amendments and must give their consent for laws to pass. The Commission oversees departments and various agencies that execute or enforce EU law. The "European Council" (rather than the Council, made up of different government Ministers) is composed of the Prime Ministers or executive Presidents of the member states. It appoints the Commissioners and the board of the European Central Bank. The European Court of Justice is the supreme judicial body which interprets EU law, and develops it through precedent. The Court can review the legality of the EU institutions' actions, in compliance with the Treaties. It can also decide upon claims for breach of EU laws from member states and citizens.</t>
  </si>
  <si>
    <t>exponential-time algorithms</t>
  </si>
  <si>
    <t>What plants create most electric power?</t>
  </si>
  <si>
    <t>Why did Confucians like the medical field?</t>
  </si>
  <si>
    <t>Who won the battle near the Helan mountains?</t>
  </si>
  <si>
    <t>expansions</t>
  </si>
  <si>
    <t>What was Zia-ul-Haq's official state ideology?</t>
  </si>
  <si>
    <t>What type of Turing machine is capable of multiple actions and extends into a variety of computational paths?</t>
  </si>
  <si>
    <t>using sickles to deflate one of the large domes covering two satellite dishes</t>
  </si>
  <si>
    <t>What was wrong with the pigeon?</t>
  </si>
  <si>
    <t>the Scots</t>
  </si>
  <si>
    <t>nobleman</t>
  </si>
  <si>
    <t>Who is responsible for education in the country of Australia?</t>
  </si>
  <si>
    <t>an increase</t>
  </si>
  <si>
    <t>In what color was the dot represented in ABC's 1977 ID sequence?</t>
  </si>
  <si>
    <t>On September 3, 1958, the Disneyland anthology series was retitled Walt Disney Presents as it became disassociated with the theme park of the same name. The movement in westerns, which ABC is credited for having started, represented a fifth of all primetime series on American television in January 1959, at which point detective shows were beginning to rise in popularity as well. ABC requested additional productions from Disney. In late 1958, Desilu Productions pitched its detective series The Untouchables to CBS; after that network rejected the show because of its use of violence, Desilu then presented it to ABC, which agreed to pick up the show, and debuted The Untouchables in April 1959. The series went on to quickly become "immensely popular".</t>
  </si>
  <si>
    <t>nitrogen/oxygen mixture</t>
  </si>
  <si>
    <t>criminalized behavior</t>
  </si>
  <si>
    <t>ARPA IPTO director Larry Roberts</t>
  </si>
  <si>
    <t>The Rhine emerges from Lake Constance, flows generally westward, as the Hochrhein, passes the Rhine Falls, and is joined by its major tributary, the river Aare. The Aare more than doubles the Rhine's water discharge, to an average of nearly 1,000 m3/s (35,000 cu ft/s), and provides more than a fifth of the discharge at the Dutch border. The Aare also contains the waters from the 4,274 m (14,022 ft) summit of Finsteraarhorn, the highest point of the Rhine basin. The Rhine roughly forms the German-Swiss border from Lake Constance with the exceptions of the canton of Schaffhausen and parts of the cantons of Zürich and Basel-Stadt, until it turns north at the so-called Rhine knee at Basel, leaving Switzerland.</t>
  </si>
  <si>
    <t>The earthquake forecast models what features of earthquakes in California?</t>
  </si>
  <si>
    <t>The two AAA clubs divided the state into a northern and southern California as opposed to what point of view?</t>
  </si>
  <si>
    <t>reduced rainfall and increased temperatures</t>
  </si>
  <si>
    <t>How many geomorphologic formations is Warsaw on?</t>
  </si>
  <si>
    <t>Greek</t>
  </si>
  <si>
    <t>What was the title of ABC's broadcast film program that debuted on Sundays in 1962?</t>
  </si>
  <si>
    <t>The city developed around the Roman settlement Pons Aelius and was named after the castle built in 1080 by Robert Curthose, William the Conqueror's eldest son. The city grew as an important centre for the wool trade in the 14th century, and later became a major coal mining area. The port developed in the 16th century and, along with the shipyards lower down the River Tyne, was amongst the world's largest shipbuilding and ship-repairing centres. Newcastle's economy includes corporate headquarters, learning, digital technology, retail, tourism and cultural centres, from which the city contributes £13 billion towards the United Kingdom's GVA. Among its icons are Newcastle Brown Ale; Newcastle United football club; and the Tyne Bridge. It has hosted the world's most popular half marathon, the Great North Run, since it began in 1981.</t>
  </si>
  <si>
    <t>What is the name of the third, permanent Huguenot church in New Rochelle?</t>
  </si>
  <si>
    <t>What aid is available to underprivileged students seeking to attend a private university?</t>
  </si>
  <si>
    <t>The graph isomorphism problem</t>
  </si>
  <si>
    <t>What kind of memory was Tesla thought to have?</t>
  </si>
  <si>
    <t>What position did the tax collector that arrested Thoreau get?</t>
  </si>
  <si>
    <t>to stay, so long as there was at least an "indirect quid pro quo" for the work he did</t>
  </si>
  <si>
    <t>The Victorian Alps in the northeast are the coldest part of Victoria. The Alps are part of the Great Dividing Range mountain system extending east-west through the centre of Victoria. Average temperatures are less than 9 °C (48 °F) in winter and below 0 °C (32 °F) in the highest parts of the ranges. The state's lowest minimum temperature of −11.7 °C (10.9 °F) was recorded at Omeo on 13 June 1965, and again at Falls Creek on 3 July 1970. Temperature extremes for the state are listed in the table below:</t>
  </si>
  <si>
    <t>What kind of representational system does the Victorian Legislative Council have?</t>
  </si>
  <si>
    <t>rates of mortality in rural areas during the 14th-century pandemic were inconsistent with the modern bubonic plague</t>
  </si>
  <si>
    <t>The alga Cyanophora, a glaucophyte, is thought to be one of the first organisms to contain a chloroplast. The glaucophyte chloroplast group is the smallest of the three primary chloroplast lineages, being found in only 13 species, and is thought to be the one that branched off the earliest. Glaucophytes have chloroplasts that retain a peptidoglycan wall between their double membranes, like their cyanobacterial parent. For this reason, glaucophyte chloroplasts are also known as muroplasts. Glaucophyte chloroplasts also contain concentric unstacked thylakoids, which surround a carboxysome - an icosahedral structure that glaucophyte chloroplasts and cyanobacteria keep their carbon fixation enzyme rubisco in. The starch that they synthesize collects outside the chloroplast. Like cyanobacteria, glaucophyte chloroplast thylakoids are studded with light collecting structures called phycobilisomes. For these reasons, glaucophyte chloroplasts are considered a primitive intermediate between cyanobacteria and the more evolved chloroplasts in red algae and plants.</t>
  </si>
  <si>
    <t>biennial</t>
  </si>
  <si>
    <t>the metal locking screw on the camera lens</t>
  </si>
  <si>
    <t>When had the Brotherhood renounced violence as a means of achieving its goals?</t>
  </si>
  <si>
    <t>What is Victoria's highest monthly temperature?</t>
  </si>
  <si>
    <t>What contains a nearly verbatim of parliamentary debates?</t>
  </si>
  <si>
    <t>Homes from the early 20th century line this boulevard in the heart of the historic Alta Vista Tract. The section of Huntington Boulevard between First Street on the west to Cedar Avenue on the east is the home to many large, stately homes. The original development of this area began circa 1910, on 190 acres of what had been an alfalfa field. The Alta Vista Tract, as the land would become known, was mapped by William Stranahan for the Pacific Improvement Corporation, and was officially platted in 1911. The tract's boundaries were Balch Avenue on the south, Cedar Avenue on the east, the rear property line of Platt Avenue (east of Sixth Street) and Platt Avenue (west of Sixth Street) on the north, and First Street on the west. The subdivision was annexed to the City in January 1912, in an election that was the first in which women voted in the community. At the time of its admission to the City, the Alta Vista Tract was uninhabited but landscaped, although the trees had to be watered by tank wagon. In 1914 developers Billings &amp; Meyering acquired the tract, completed street development, provided the last of the necessary municipal improvements including water service, and began marketing the property with fervor. A mere half decade later the tract had 267 homes. This rapid development was no doubt hastened by the Fresno Traction Company right-of-way along Huntington Boulevard, which provided streetcar connections between downtown and the County Hospital.</t>
  </si>
  <si>
    <t>phowa and siddhi</t>
  </si>
  <si>
    <t>What did Watt add to the steam engine in 1788?</t>
  </si>
  <si>
    <t>Who would the occupation alienate?</t>
  </si>
  <si>
    <t>Central business districts</t>
  </si>
  <si>
    <t>Where are the gonads located?</t>
  </si>
  <si>
    <t>interconnection of national X.25 networks</t>
  </si>
  <si>
    <t>traditional Mongolian aristocracy</t>
  </si>
  <si>
    <t>However, this oft-quoted saying of Tetzel was by no means representative of contemporary Catholic teaching on indulgences, but rather a reflection of his capacity to exaggerate. Yet if Tetzel overstated the matter in regard to indulgences for the dead, his teaching on indulgences for the living was in line with Catholic dogma of the time.</t>
  </si>
  <si>
    <t>How do competing businesses attract workers?</t>
  </si>
  <si>
    <t>Who had Toghtogha tried to defeat?</t>
  </si>
  <si>
    <t xml:space="preserve">What is the usual form of the government's wealth redistribution? </t>
  </si>
  <si>
    <t>How high was the stone wall built around Newcastle in the 13th century?</t>
  </si>
  <si>
    <t>the majority of the seats</t>
  </si>
  <si>
    <t>20 minutes</t>
  </si>
  <si>
    <t>In Sept 1760 who negotiated a capitulation from Montreal?</t>
  </si>
  <si>
    <t>red algal chloroplast</t>
  </si>
  <si>
    <t>post-classical European sculpture</t>
  </si>
  <si>
    <t>In U.S. states, what happens to the life expectancy in less economically equal ones?</t>
  </si>
  <si>
    <t>Protestantism</t>
  </si>
  <si>
    <t>Train operator Virgin Trains East Coast provides a half-hourly frequency of trains to London King's Cross, with a journey time of about three hours, these services call at Durham, Darlington, York, Doncaster, Newark North Gate and Peterborough and north to Scotland with all trains calling at Edinburgh and a small number of trains extended to Glasgow, Aberdeen and Inverness. CrossCountry trains serve destinations in Yorkshire, the Midlands and the South West. First TransPennine Express operates services to Manchester and Liverpool. Northern Rail provides local and regional services.</t>
  </si>
  <si>
    <t>An increase in imported cars into North America</t>
  </si>
  <si>
    <t>offices and board room</t>
  </si>
  <si>
    <t>systematic economic inequalities</t>
  </si>
  <si>
    <t>The British Parliament</t>
  </si>
  <si>
    <t>the revocation of the Edict of Nantes</t>
  </si>
  <si>
    <t>How much money was Francovich allowed to claim from the Italian goverment in damages?</t>
  </si>
  <si>
    <t>Red ribbons in the logo were used to represent which division of ABC?</t>
  </si>
  <si>
    <t>Which theorem states that all large odd integers can be expressed as a sum of three primes?</t>
  </si>
  <si>
    <t>What is the confusion of the French and Indian war?</t>
  </si>
  <si>
    <t>Irish</t>
  </si>
  <si>
    <t>In what form is oxygen transported in smaller containers?</t>
  </si>
  <si>
    <t>In organizing a new church, what did Luther find to be unworkable for congregations?</t>
  </si>
  <si>
    <t>secular leanings</t>
  </si>
  <si>
    <t>How many teams up to Super Bowl 50 have been to the championship game eight times?</t>
  </si>
  <si>
    <t>Design Event festival</t>
  </si>
  <si>
    <t>The Victoria and Albert Museum’s Word and Image Department was under the same pressure being felt in archives around the world, to digitize their collection. A large scale digitization project began in 2007 in that department. That project was entitled the Factory Project to reference Andy Warhol and to create a factory to completely digitize the collection. The first step of the Factory Project was to take photographs utilizing digital cameras. The Word and Image Department had a collection of old photos but they were in black and white and in variant conditions, so new photos were shot. Those new photographs will be accessible to researchers to the Victoria and Albert Museum web-site. 15,000 images were taken during the first year of the Factory Project, including drawings, watercolors, computer-generated art, photographs, posters, and woodcuts. The second step of the Factory Project is to catalog everything. The third step of the Factory Project is to audit the collection. All of those items which were photographed and cataloged, must be audited to make sure everything listed as being in the collection was physically found during the creation of the Factory Project. The fourth goal of the Factory Project is conservation, which means performing some basic preventable procedures to those items in the department. There is a "Search the Collections" feature on the Victoria and Albert web-site. The main impetus behind the large-scale digitization project called the Factory Project was to list more items in the collections in those computer databases.</t>
  </si>
  <si>
    <t>How many awards has Doctor Who been nominated for, over the years?</t>
  </si>
  <si>
    <t>terrorist organisation</t>
  </si>
  <si>
    <t>in his mind.</t>
  </si>
  <si>
    <t>undifferentiated proplastids found in the zygote</t>
  </si>
  <si>
    <t>Bob Gallion</t>
  </si>
  <si>
    <t>Supreme Court case</t>
  </si>
  <si>
    <t>At what university is Bellomy Field located?</t>
  </si>
  <si>
    <t>luxurious parks and royal gardens</t>
  </si>
  <si>
    <t>The UK and France had non interruptions in their oil supply as they did not allow which country to use their airfield?</t>
  </si>
  <si>
    <t>What surrounds chloroplasts?</t>
  </si>
  <si>
    <t>What do some people protest against?</t>
  </si>
  <si>
    <t>Luther's writings circulated widely, reaching France, England, and Italy as early as 1519. Students thronged to Wittenberg to hear Luther speak. He published a short commentary on Galatians and his Work on the Psalms. This early part of Luther's career was one of his most creative and productive. Three of his best-known works were published in 1520: To the Christian Nobility of the German Nation, On the Babylonian Captivity of the Church, and On the Freedom of a Christian.</t>
  </si>
  <si>
    <t>Yuan_dynasty</t>
  </si>
  <si>
    <t>mechanism by which Y. pestis was usually transmitted</t>
  </si>
  <si>
    <t>U.S. Supreme Court</t>
  </si>
  <si>
    <t>the Chicago Theological Seminary</t>
  </si>
  <si>
    <t>created</t>
  </si>
  <si>
    <t>How many people may have lived in the Amazon region during AD 1500?</t>
  </si>
  <si>
    <t>Muslim and Chinese</t>
  </si>
  <si>
    <t>There are many concepts of teachers in Islam, ranging from mullahs (the teachers at madrassas) to ulemas, who teach of the laws of Islam for the proper way of Islamic living according to the Sunnah and Ahadith, and can render legal verdicts upon matters of Islamic law in accordance with the teaching of one of the Four Schools of Jurisprudence. 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t>
  </si>
  <si>
    <t>wrecking</t>
  </si>
  <si>
    <t>What did Luther use to celebrate worship?</t>
  </si>
  <si>
    <t>What field type is usually chosen for Super Bowl games?</t>
  </si>
  <si>
    <t>What does corporal punishment cause a student?</t>
  </si>
  <si>
    <t>gender inequality in education</t>
  </si>
  <si>
    <t>What type of manufacturing plant is Victoria soon losing?</t>
  </si>
  <si>
    <t>prayer of the dying</t>
  </si>
  <si>
    <t>fish larvae and organisms</t>
  </si>
  <si>
    <t>zip" the mouth shut when the animal is not feeding,</t>
  </si>
  <si>
    <t xml:space="preserve">What is one of the supplementary sources of European Union law? </t>
  </si>
  <si>
    <t>What does the title Gür Khan mean?</t>
  </si>
  <si>
    <t>Gods of Egypt,</t>
  </si>
  <si>
    <t>Other evidence of the Walloons and Huguenots in Canterbury includes a block of houses in Turnagain Lane, where weavers' windows survive on the top floor, as many Huguenots worked as weavers. The Weavers, a half-timbered house by the river, was the site of a weaving school from the late 16th century to about 1830. (It has been adapted as a restaurant—see illustration above. The house derives its name from a weaving school which was moved there in the last years of the 19th century, reviving an earlier use.) Others refugees practised the variety of occupations necessary to sustain the community as distinct from the indigenous population. Such economic separation was the condition of the refugees' initial acceptance in the City. They also settled elsewhere in Kent, particularly Sandwich, Faversham and Maidstone—towns in which there used to be refugee churches.</t>
  </si>
  <si>
    <t>Chemical barriers also protect against infection. The skin and respiratory tract secrete antimicrobial peptides such as the β-defensins. Enzymes such as lysozyme and phospholipase A2 in saliva, tears, and breast milk are also antibacterials. Vaginal secretions serve as a chemical barrier following menarche, when they become slightly acidic, while semen contains defensins and zinc to kill pathogens. In the stomach, gastric acid and proteases serve as powerful chemical defenses against ingested pathogens.</t>
  </si>
  <si>
    <t>social and political action</t>
  </si>
  <si>
    <t>How long was the Summer Theatre in operation?</t>
  </si>
  <si>
    <t>What, when combined with a large workload, can contribute to occupational stress?</t>
  </si>
  <si>
    <t>What don't chloroplastidan chloroplasts have?</t>
  </si>
  <si>
    <t>the old country-western show at The Fresno Barn</t>
  </si>
  <si>
    <t>blind plea</t>
  </si>
  <si>
    <t>large-scale development projects</t>
  </si>
  <si>
    <t>local-global</t>
  </si>
  <si>
    <t>Consultant pharmacy practice focuses more on medication regimen review (i.e. "cognitive services") than on actual dispensing of drugs. Consultant pharmacists most typically work in nursing homes, but are increasingly branching into other institutions and non-institutional settings. Traditionally consultant pharmacists were usually independent business owners, though in the United States many now work for several large pharmacy management companies (primarily Omnicare, Kindred Healthcare and PharMerica). This trend may be gradually reversing as consultant pharmacists begin to work directly with patients, primarily because many elderly people are now taking numerous medications but continue to live outside of institutional settings. Some community pharmacies employ consultant pharmacists and/or provide consulting services.</t>
  </si>
  <si>
    <t>In what sector are jobs beginning to decrease?</t>
  </si>
  <si>
    <t>earth had a resonant frequency</t>
  </si>
  <si>
    <t>various disciplines of pharmacy</t>
  </si>
  <si>
    <t>as an auditor</t>
  </si>
  <si>
    <t>Omnicare, Kindred Healthcare and PharMerica</t>
  </si>
  <si>
    <t>developed</t>
  </si>
  <si>
    <t>offering a higher wage the best of their labor</t>
  </si>
  <si>
    <t>Which region invented the machine gun?</t>
  </si>
  <si>
    <t>lipophilic alkaloid toxins</t>
  </si>
  <si>
    <t>cells release signals</t>
  </si>
  <si>
    <t>Unemployment</t>
  </si>
  <si>
    <t>One theory suggests the name stems from a palatalised version of the Mongolian and Turkic word tenggis, meaning "ocean", "oceanic" or "wide-spreading". (Lake Baikal and ocean were called tenggis by the Mongols. However, it seems that if they had meant to call Genghis tenggis they could have said, and written, "Tenggis Khan", which they did not.) Zhèng (Chinese: 正) meaning "right", "just", or "true", would have received the Mongolian adjectival modifier -s, creating "Jenggis", which in medieval romanization would be written "Genghis". It is likely that the 13th century Mongolian pronunciation would have closely matched "Chinggis".</t>
  </si>
  <si>
    <t>Teaching in Canada requires a post-secondary degree Bachelor's Degree. In most provinces a second Bachelor's Degree such as a Bachelor of Education is required to become a qualified teacher. Salary ranges from $40,000/year to $90,000/yr. Teachers have the option to teach for a public school which is funded by the provincial government or teaching in a private school which is funded by the private sector, businesses and sponsors.</t>
  </si>
  <si>
    <t>What type of technology is the non organic separating of gases?</t>
  </si>
  <si>
    <t>What notable private school has an endowment of several hundred million dollars?</t>
  </si>
  <si>
    <t>What does civil disobedience protest against?</t>
  </si>
  <si>
    <t>phagocytes</t>
  </si>
  <si>
    <t>Rhine knee</t>
  </si>
  <si>
    <t>Reducibility Among Combinatorial Problems</t>
  </si>
  <si>
    <t>Charles and Ray Eames</t>
  </si>
  <si>
    <t>How many US presidents are alumni of the school?</t>
  </si>
  <si>
    <t>oxide</t>
  </si>
  <si>
    <t>Arab</t>
  </si>
  <si>
    <t>What did the popularity of Luther's translation contribute to?</t>
  </si>
  <si>
    <t>Governor Vaudreuil</t>
  </si>
  <si>
    <t>Bolshevik leaders had effectively reestablished a polity with roughly the same extent as that empire by 1921, however with an internationalist ideology: Lenin in particular asserted the right to limited self-determination for national minorities within the new territory. Beginning in 1923, the policy of "Indigenization" [korenizatsiia] was intended to support non-Russians develop their national cultures within a socialist framework. Never formally revoked, it stopped being implemented after 1932. After World War II, the Soviet Union installed socialist regimes modeled on those it had installed in 1919–20 in the old Tsarist Empire in areas its forces occupied in Eastern Europe. The Soviet Union and the People’s Republic of China supported post–World War II communist movements in foreign nations and colonies to advance their own interests, but were not always successful.</t>
  </si>
  <si>
    <t>What two things does pharmacy informatics bring together?</t>
  </si>
  <si>
    <t>What are the antimicrobial peptides that are the main form of invertebrate systemic immunity called?</t>
  </si>
  <si>
    <t>far southeast side</t>
  </si>
  <si>
    <t>National Science Foundation</t>
  </si>
  <si>
    <t>Which entities have powers of amendment and veto during the legislative process?</t>
  </si>
  <si>
    <t>What are some normal breakfast foods?</t>
  </si>
  <si>
    <t>What did he work on refining until the end of his life?</t>
  </si>
  <si>
    <t>What is the resultant force called when two forces act on a particle?</t>
  </si>
  <si>
    <t>kilogram-force</t>
  </si>
  <si>
    <t>power windows</t>
  </si>
  <si>
    <t>EU law has primacy</t>
  </si>
  <si>
    <t>On what date did the first railway trip in the world occur?</t>
  </si>
  <si>
    <t>Women remained segregated at Radcliffe, though more and more took Harvard classes. Nonetheless, Harvard's undergraduate population remained predominantly male, with about four men attending Harvard College for every woman studying at Radcliffe. Following the merger of Harvard and Radcliffe admissions in 1977, the proportion of female undergraduates steadily increased, mirroring a trend throughout higher education in the United States. Harvard's graduate schools, which had accepted females and other groups in greater numbers even before the college, also became more diverse in the post-World War II period.</t>
  </si>
  <si>
    <t>British America and New France</t>
  </si>
  <si>
    <t>What kind of programs did NBC Red test?</t>
  </si>
  <si>
    <t>three hundred</t>
  </si>
  <si>
    <t>almost all biomolecules that are important to (or generated by) life</t>
  </si>
  <si>
    <t>The Book of Common Prayer</t>
  </si>
  <si>
    <t>An evasion strategy used by several pathogens to avoid the innate immune system is to hide within the cells of their host (also called intracellular pathogenesis). Here, a pathogen spends most of its life-cycle inside host cells, where it is shielded from direct contact with immune cells, antibodies and complement. Some examples of intracellular pathogens include viruses, the food poisoning bacterium Salmonella and the eukaryotic parasites that cause malaria (Plasmodium falciparum) and leishmaniasis (Leishmania spp.). Other bacteria, such as Mycobacterium tuberculosis, live inside a protective capsule that prevents lysis by complement. Many pathogens secrete compounds that diminish or misdirect the host's immune response. Some bacteria form biofilms to protect themselves from the cells and proteins of the immune system. Such biofilms are present in many successful infections, e.g., the chronic Pseudomonas aeruginosa and Burkholderia cenocepacia infections characteristic of cystic fibrosis. Other bacteria generate surface proteins that bind to antibodies, rendering them ineffective; examples include Streptococcus (protein G), Staphylococcus aureus (protein A), and Peptostreptococcus magnus (protein L).</t>
  </si>
  <si>
    <t>unmarked grave somewhere in Mongolia</t>
  </si>
  <si>
    <t>evils as genocide, brutal suppression of human rights, and unprovoked international aggression</t>
  </si>
  <si>
    <t>four years in high school</t>
  </si>
  <si>
    <t>What naval battles did France lose in 1759?</t>
  </si>
  <si>
    <t>supported Zhu Xi's Neo-Confucianism and also devoted himself in Buddhism</t>
  </si>
  <si>
    <t>several private and public railway operators</t>
  </si>
  <si>
    <t>What sections of Church dogma did Luther come to view in another way?</t>
  </si>
  <si>
    <t>What class sizes can make keeping order difficult?</t>
  </si>
  <si>
    <t>inherent difficulty</t>
  </si>
  <si>
    <t>a fee per unit of connection time</t>
  </si>
  <si>
    <t>intercepted Marconi's European experiments</t>
  </si>
  <si>
    <t>lighter</t>
  </si>
  <si>
    <t>determines those proceeding to the universities</t>
  </si>
  <si>
    <t>environmental and social problems</t>
  </si>
  <si>
    <t>The Broncos' defense ranked first in the NFL yards allowed (4,530) for the first time in franchise history, and fourth in points allowed (296). Defensive ends Derek Wolfe and Malik Jackson each had 5½ sacks. Pro Bowl linebacker Von Miller led the team with 11 sacks, forced four fumbles, and recovered three. Linebacker DeMarcus Ware was selected to play in the Pro Bowl for the ninth time in his career, ranking second on the team with 7½ sacks. Linebacker Brandon Marshall led the team in total tackles with 109, while Danny Trevathan ranked second with 102. Cornerbacks Aqib Talib (three interceptions) and Chris Harris, Jr. (two interceptions) were the other two Pro Bowl selections from the defense.</t>
  </si>
  <si>
    <t>from the 12th to 16th</t>
  </si>
  <si>
    <t>increasing unemployment</t>
  </si>
  <si>
    <t>$12 billion</t>
  </si>
  <si>
    <t>vector quantities</t>
  </si>
  <si>
    <t>How many professional schools does the University of Chicago have?</t>
  </si>
  <si>
    <t>Rice</t>
  </si>
  <si>
    <t>What type of prime distribution does the Riemann hypothesis propose is also true for short intervals near X?</t>
  </si>
  <si>
    <t>husband</t>
  </si>
  <si>
    <t>In what area is it common for spiritual mentorship to be extremely high?</t>
  </si>
  <si>
    <t>What has a classification system for construction companies?</t>
  </si>
  <si>
    <t>Within the Los Angeles Area are the major business districts of Downtown Burbank, Downtown Santa Monica, Downtown Glendale and Downtown Long Beach. Los Angeles itself has many business districts including the Downtown Los Angeles central business district as well as those lining the Wilshire Boulevard Miracle Mile including Century City, Westwood and Warner Center in the San Fernando Valley.</t>
  </si>
  <si>
    <t>America</t>
  </si>
  <si>
    <t>healthcare</t>
  </si>
  <si>
    <t>Other than for its resort feel, what is Palm Springs popular for?</t>
  </si>
  <si>
    <t>the foot of the mast</t>
  </si>
  <si>
    <t>What does the thylakoid membrane use the energized electrons for?</t>
  </si>
  <si>
    <t>How many schools of medicine were recognized in China?</t>
  </si>
  <si>
    <t>How many were killed by plague in Italy in the 17th century?</t>
  </si>
  <si>
    <t>both the army and the populace</t>
  </si>
  <si>
    <t>Not</t>
  </si>
  <si>
    <t>east of the Mississippi</t>
  </si>
  <si>
    <t>encourage growth</t>
  </si>
  <si>
    <t>If there is a conflict between EU law and national law, which law take precedence?</t>
  </si>
  <si>
    <t>In contrast to the views of John Calvin and Philipp Melanchthon, throughout his life Luther maintained that it was not false doctrine to believe that a Christian's soul sleeps after it is separated from the body in death; and, accordingly, he disputed traditional interpretations of some Bible passages, such as the parable of the rich man and Lazarus. This also led Luther to reject the idea of torments for the saints: "It is enough for us to know that souls do not leave their bodies to be threatened by the torments and punishments of hell, but enter a prepared bedchamber in which they sleep in peace." He also rejected the existence of Purgatory, which involved Christian souls undergoing penitential suffering after death. He affirmed the continuity of one's personal identity beyond death. In his Smalcald Articles, he described the saints as currently residing "in their graves and in heaven."</t>
  </si>
  <si>
    <t>Rugby is also a growing sport in southern California, particularly at the high school level, with increasing numbers of schools adding rugby as an official school sport.</t>
  </si>
  <si>
    <t>brain drain</t>
  </si>
  <si>
    <t>Chloroplasts have their own ribosomes, which they use to synthesize a small fraction of their proteins. Chloroplast ribosomes are about two-thirds the size of cytoplasmic ribosomes (around 17 nm vs 25 nm). They take mRNAs transcribed from the chloroplast DNA and translate them into protein. While similar to bacterial ribosomes, chloroplast translation is more complex than in bacteria, so chloroplast ribosomes include some chloroplast-unique features. Small subunit ribosomal RNAs in several Chlorophyta and euglenid chloroplasts lack motifs for shine-dalgarno sequence recognition, which is considered essential for translation initiation in most chloroplasts and prokaryotes. Such loss is also rarely observed in other plastids and prokaryotes.</t>
  </si>
  <si>
    <t>Before the foundation can be dug, contractors are typically required to verify and have existing utility lines marked, either by the utilities themselves or through a company specializing in such services. This lessens the likelihood of damage to the existing electrical, water, sewage, phone, and cable facilities, which could cause outages and potentially hazardous situations. During the construction of a building, the municipal building inspector inspects the building periodically to ensure that the construction adheres to the approved plans and the local building code. Once construction is complete and a final inspection has been passed, an occupancy permit may be issued.</t>
  </si>
  <si>
    <t>posting on the door</t>
  </si>
  <si>
    <t>being around their students</t>
  </si>
  <si>
    <t>Continuing the style of the earlier buildings, various designers were responsible for the decoration, the terracotta embellishments were again the work of Godfrey Sykes, although sgraffito was used to decorate the east side of the building designed by F. W. Moody, a final embellishment were the wrought iron gates made as late as 1885 designed by Starkie Gardner, these lead to a passage through the building. Scott also designed the two Cast Courts 1870–73 to the southeast of the garden (the site of the "Brompton Boilers"), these vast spaces have ceilings 70 feet (21 m) in height to accommodate the plaster casts of parts of famous buildings, including Trajan's Column (in two separate pieces). The final part of the museum designed by Scott was the Art Library and what is now the sculpture gallery on the south side of the garden, built 1877–83, the exterior mosaic panels in the parapet were designed by Reuben Townroe who also designed the plaster work in the library, Sir John Taylor designed the book shelves and cases, also this was the first part of the museum to have electric lighting. This completed the northern half of the site, creating a quadrangle with the garden at its centre, but left the museum without a proper façade. In 1890 the government launched a competition to design new buildings for the museum, with architect Alfred Waterhouse as one of the judges; this would give the museum a new imposing front entrance.</t>
  </si>
  <si>
    <t>almost half</t>
  </si>
  <si>
    <t>What event took away his ability of speech?</t>
  </si>
  <si>
    <t>the Sovereign</t>
  </si>
  <si>
    <t>disadvantage low-income and under-represented minority applicants</t>
  </si>
  <si>
    <t>When did the Rhine stop being the Roman boundary?</t>
  </si>
  <si>
    <t>How many people were on the test flight of the AS-206?</t>
  </si>
  <si>
    <t>western European</t>
  </si>
  <si>
    <t>Other shopping destinations in Newcastle include Grainger Street and the area around Grey's Monument, the relatively modern Eldon Garden and Monument Mall complexes, the Newgate Centre, Central Arcade and the traditional Grainger Market. Outside the city centre, the largest suburban shopping areas are Gosforth and Byker. The largest Tesco store in the United Kingdom is located in Kingston Park on the edge of Newcastle. Close to Newcastle, the largest indoor shopping centre in Europe, the MetroCentre, is located in Gateshead.</t>
  </si>
  <si>
    <t>Where does the largest part of Kenya's power come from?</t>
  </si>
  <si>
    <t>fast forwarding of accessed content</t>
  </si>
  <si>
    <t>photosynthetic pigments or true thylakoids</t>
  </si>
  <si>
    <t>Euler's totient function</t>
  </si>
  <si>
    <t>What type of process is the oxygen cycle?</t>
  </si>
  <si>
    <t>electronic consoles on their desks</t>
  </si>
  <si>
    <t>Court of Justice of the European Union (CJEU)</t>
  </si>
  <si>
    <t>their belief in the validity of the social contract</t>
  </si>
  <si>
    <t>monkey</t>
  </si>
  <si>
    <t>Baptism</t>
  </si>
  <si>
    <t>marble</t>
  </si>
  <si>
    <t>the Pope</t>
  </si>
  <si>
    <t>phagolysosome</t>
  </si>
  <si>
    <t>farming the land</t>
  </si>
  <si>
    <t>second use of the law</t>
  </si>
  <si>
    <t>small portion of the population lives off unearned property income</t>
  </si>
  <si>
    <t>allegedly corrupt machinations of François Bigot</t>
  </si>
  <si>
    <t>Jelme and Bo'orchu</t>
  </si>
  <si>
    <t>What would income differentials be if individual contributions were relevant to the social product?</t>
  </si>
  <si>
    <t>private sector, businesses and sponsors</t>
  </si>
  <si>
    <t>13 years and 48 days</t>
  </si>
  <si>
    <t>What type of interpretation of Islam does Salafism promote?</t>
  </si>
  <si>
    <t>state transitions</t>
  </si>
  <si>
    <t>one-half mile</t>
  </si>
  <si>
    <t>another problem</t>
  </si>
  <si>
    <t>distributive efficiency</t>
  </si>
  <si>
    <t>North American Aviation</t>
  </si>
  <si>
    <t>"ensure that in the interpretation and application of the Treaties the law is observed"</t>
  </si>
  <si>
    <t>breaking the law for self-gratification</t>
  </si>
  <si>
    <t>What concept was developed by Baran while researching at RAND</t>
  </si>
  <si>
    <t>othering</t>
  </si>
  <si>
    <t>technique</t>
  </si>
  <si>
    <t>1978 Supreme Court case of FCC v. Pacifica Foundation</t>
  </si>
  <si>
    <t>The bulk of Huguenot émigrés relocated to Protestant European nations such as England, Wales, Scotland, Denmark, Sweden, Switzerland, the Dutch Republic, the Electorate of Brandenburg and Electorate of the Palatinate in the Holy Roman Empire, the Duchy of Prussia, the Channel Islands, and Ireland. They also spread beyond Europe to the Dutch Cape Colony in South Africa, the Dutch East Indies, the Caribbean, and several of the English colonies of North America, and Quebec, where they were accepted and allowed to worship freely.</t>
  </si>
  <si>
    <t>Queen Elizabeth</t>
  </si>
  <si>
    <t>30% loss</t>
  </si>
  <si>
    <t>a suspect's talking to criminal investigators</t>
  </si>
  <si>
    <t>Rather than the fuel, what is oxygen to a fire?</t>
  </si>
  <si>
    <t>How much did Tesla sell his AC patents to Westinghouse Electric for?</t>
  </si>
  <si>
    <t>What were the civil wars caused by the Huguenots called?</t>
  </si>
  <si>
    <t>Where did American troops remain stationed after Saddam's defeat?</t>
  </si>
  <si>
    <t>27 June</t>
  </si>
  <si>
    <t>What type of measurements result under Schrodinger equations when using operators instead of Newtonian variables?</t>
  </si>
  <si>
    <t>many of the nomadic tribes of Northeast Asia</t>
  </si>
  <si>
    <t>only marginally more</t>
  </si>
  <si>
    <t>metals</t>
  </si>
  <si>
    <t>What type of civil disobedience is commonly accepted?</t>
  </si>
  <si>
    <t>radio</t>
  </si>
  <si>
    <t>What does the name Fresno mean in Spanish?</t>
  </si>
  <si>
    <t>What is a kind of defense response that makes the entire plant resistant to a particular agent?</t>
  </si>
  <si>
    <t>What additional srevice did BSkyB offer besides HD channels that they claimed offered "substantially more value"?</t>
  </si>
  <si>
    <t>How much dust is blown out of the Sahara each year?</t>
  </si>
  <si>
    <t>How long does it take to get to the middle of Newcastle from its outskirts when riding the rails?</t>
  </si>
  <si>
    <t>distributed adaptive message block switching</t>
  </si>
  <si>
    <t>What is another word for diatom?</t>
  </si>
  <si>
    <t>What group can teachers in Wales register with?</t>
  </si>
  <si>
    <t>to distribute chloroplasts so that they can take shelter behind each other or spread out</t>
  </si>
  <si>
    <t>What is also decided by the Presiding Officer?</t>
  </si>
  <si>
    <t>in solution in the world's water bodies</t>
  </si>
  <si>
    <t>What did Luther consider Christ's life?</t>
  </si>
  <si>
    <t>40,000 pounds</t>
  </si>
  <si>
    <t>Commission v Edith Cresson</t>
  </si>
  <si>
    <t>What mountainous region is Lake Constance by?</t>
  </si>
  <si>
    <t>What season was it when Genghis Khan took Xiliang-fu from the Tanguts?</t>
  </si>
  <si>
    <t>colonizing, influencing, and annexing other parts of the world in order to gain political power</t>
  </si>
  <si>
    <t>younger</t>
  </si>
  <si>
    <t>direct patient care services that optimizes the use of medication and promotes health, wellness, and disease prevention</t>
  </si>
  <si>
    <t>Deacons</t>
  </si>
  <si>
    <t>Level 3 Communications</t>
  </si>
  <si>
    <t>the Pulfrich effect</t>
  </si>
  <si>
    <t>What is the main reason consulting pharmacists are increasingly working directly with patients?</t>
  </si>
  <si>
    <t>the role of Yersinia pestis in the Black Death</t>
  </si>
  <si>
    <t>Road complex</t>
  </si>
  <si>
    <t>somewhere between</t>
  </si>
  <si>
    <t>hard-to-fill</t>
  </si>
  <si>
    <t>24–10</t>
  </si>
  <si>
    <t>the prime number intervals between emergences make it very difficult for predators to evolve</t>
  </si>
  <si>
    <t>At Saint Evroul, a tradition of singing had developed and the choir achieved fame in Normandy. Under the Norman abbot Robert de Grantmesnil, several monks of Saint-Evroul fled to southern Italy, where they were patronised by Robert Guiscard and established a Latin monastery at Sant'Eufemia. There they continued the tradition of singing.</t>
  </si>
  <si>
    <t>material about live performance</t>
  </si>
  <si>
    <t>What spot does Doctor Who hold in the 100 Greatest British TV Programs of the 20th Century?</t>
  </si>
  <si>
    <t>Along with Muslims, Jews and Protestant Christians, what religious group notably operates private schools?</t>
  </si>
  <si>
    <t>the main contractor</t>
  </si>
  <si>
    <t>to catalog everything</t>
  </si>
  <si>
    <t>Doctor Who follows the adventures of the primary character, a rogue Time Lord from the planet Gallifrey, who simply goes by the name "The Doctor". He fled from Gallifrey in a stolen Mark I Type 40 TARDIS – "Time and Relative Dimension in Space" – time machine which allows him to travel across time and space. The TARDIS has a "chameleon circuit" which normally allows the machine to take on the appearance of local objects as a disguise. However, the Doctor's TARDIS remains fixed as a blue British Police box due to a malfunction in the chameleon circuit.</t>
  </si>
  <si>
    <t>in the Palace of Culture and Science</t>
  </si>
  <si>
    <t>What was the name of the approved measure that helped cover the cost of major city projects?</t>
  </si>
  <si>
    <t>first millennium AD</t>
  </si>
  <si>
    <t>What was the eventual final goal of the Apollo projects?</t>
  </si>
  <si>
    <t>Institutionally, the Normans combined the administrative machinery of the Byzantines, Arabs, and Lombards with their own conceptions of feudal law and order to forge a unique government. Under this state, there was great religious freedom, and alongside the Norman nobles existed a meritocratic bureaucracy of Jews, Muslims and Christians, both Catholic and Eastern Orthodox. The Kingdom of Sicily thus became characterized by Norman, Byzantine Greek, Arab, Lombard and "native" Sicilian populations living in harmony, and its Norman rulers fostered plans of establishing an Empire that would have encompassed Fatimid Egypt as well as the Crusader states in the Levant. One of the great geographical treatises of the Middle Ages, the "Tabula Rogeriana", was written by the Andalusian al-Idrisi for king Roger II of Sicily, and entitled "Kitab Rudjdjar" ("The Book of Roger").</t>
  </si>
  <si>
    <t>How did Huguenots evolve their religious beliefs in the New World?</t>
  </si>
  <si>
    <t>Who attends Loreto Normanhurst?</t>
  </si>
  <si>
    <t>the construction of military roads to the area</t>
  </si>
  <si>
    <t>"Bricks for Warsaw"</t>
  </si>
  <si>
    <t>How long does it take to know the outcome of a division?</t>
  </si>
  <si>
    <t>magnetic tape shortage</t>
  </si>
  <si>
    <t>employ consultant pharmacists and/or provide consulting services</t>
  </si>
  <si>
    <t>one year at a time,</t>
  </si>
  <si>
    <t>What was the source of the Rhine in the last Ice Age?</t>
  </si>
  <si>
    <t>What did Luther decide about the Catholic Church?</t>
  </si>
  <si>
    <t>began in the mid-18th century within the Church of England.</t>
  </si>
  <si>
    <t>The entrepreneurs Josiah Wedgwood, Matthew Boulton and Eleanor Coade were influenced by what manufacturing process developed during the Industrial Revolution?</t>
  </si>
  <si>
    <t>marine waters worldwide.</t>
  </si>
  <si>
    <t>Happy Endings</t>
  </si>
  <si>
    <t>Milton Friedman Institute</t>
  </si>
  <si>
    <t>governments also wanted to increase their independence and strengthen legislation</t>
  </si>
  <si>
    <t>world's oceans</t>
  </si>
  <si>
    <t>In addition to the General Assembly Hall, the Parliament also used buildings rented from the City of Edinburgh Council. The former administrative building of Lothian Regional Council on George IV Bridge was used for the MSP's offices. Following the move to Holyrood in 2004 this building was demolished. The former Midlothian County Buildings facing Parliament Square, High Street and George IV Bridge in Edinburgh (originally built as the headquarters of the pre-1975 Midlothian County Council) housed the Parliament's visitors' centre and shop, whilst the main hall was used as the Parliament's principal committee room.</t>
  </si>
  <si>
    <t>What type of numbers are always multiples of 2?</t>
  </si>
  <si>
    <t>liquid phase</t>
  </si>
  <si>
    <t>Cook reductions, Karp reductions</t>
  </si>
  <si>
    <t>Who is the designer of the "50?"</t>
  </si>
  <si>
    <t>the Court of Justice of the European Union</t>
  </si>
  <si>
    <t>disappearance</t>
  </si>
  <si>
    <t>the steam escapes</t>
  </si>
  <si>
    <t>Why did the police bring Tesla back to Gospic?</t>
  </si>
  <si>
    <t>when did tesla begin researching x-ray imaging?</t>
  </si>
  <si>
    <t>What, on the part of a teacher, can result in a decrease in student performance</t>
  </si>
  <si>
    <t>How was Tesla's mechanical oscillator powered?</t>
  </si>
  <si>
    <t>Which border does the Rhine flow from the south?</t>
  </si>
  <si>
    <t>Ludendorff Bridge</t>
  </si>
  <si>
    <t>In 2012, how many stadiums were named as finalists for hosting Super Bowl 50 before the final stadium was chosen?</t>
  </si>
  <si>
    <t>Who decides how land or property is allowed to be used?</t>
  </si>
  <si>
    <t>was lost</t>
  </si>
  <si>
    <t>comb jelly</t>
  </si>
  <si>
    <t>difference in earnings</t>
  </si>
  <si>
    <t>use the proceedings as a forum to inform the jury and the public of the political circumstances</t>
  </si>
  <si>
    <t>the study of positions of rock units and their deformation</t>
  </si>
  <si>
    <t>Residential construction practices, technologies, and resources must conform to local building authority regulations and codes of practice. Materials readily available in the area generally dictate the construction materials used (e.g. brick versus stone, versus timber). Cost of construction on a per square meter (or per square foot) basis for houses can vary dramatically based on site conditions, local regulations, economies of scale (custom designed homes are often more expensive to build) and the availability of skilled tradespeople. As residential construction (as well as all other types of construction) can generate a lot of waste, careful planning again is needed here.</t>
  </si>
  <si>
    <t>know both the magnitude and the direction of both forces to calculate the result</t>
  </si>
  <si>
    <t>What do Beriods use as teeth?</t>
  </si>
  <si>
    <t>Luther's hymns were frequently evoked by particular events in his life and the unfolding Reformation. This behavior started with his learning of the execution of Johann Esch and Heinrich Voes, the first individuals to be martyred by the Roman Catholic Church for Lutheran views, prompting Luther to write the hymn "Ein neues Lied wir heben an" ("A new song we raise"), which is generally known in English by John C. Messenger's translation by the title and first line "Flung to the Heedless Winds" and sung to the tune Ibstone composed in 1875 by Maria C. Tiddeman.</t>
  </si>
  <si>
    <t>What had to happen to each mission before they would continue on to the next mission?</t>
  </si>
  <si>
    <t>workmanship and quality control</t>
  </si>
  <si>
    <t>at most one</t>
  </si>
  <si>
    <t>adjustable spring-loaded</t>
  </si>
  <si>
    <t>Private schools generally prefer to be called independent schools, because of their freedom to operate outside of government and local government control. Some of these are also known as public schools. Preparatory schools in the UK prepare pupils aged up to 13 years old to enter public schools. The name "public school" is based on the fact that the schools were open to pupils from anywhere, and not merely to those from a certain locality, and of any religion or occupation. According to The Good Schools Guide approximately 9 per cent of children being educated in the UK are doing so at fee-paying schools at GSCE level and 13 per cent at A-level.[citation needed] Many independent schools are single-sex (though this is becoming less common). Fees range from under £3,000 to £21,000 and above per year for day pupils, rising to £27,000+ per year for boarders. For details in Scotland, see "Meeting the Cost".</t>
  </si>
  <si>
    <t>Who disliked the affiliate program?</t>
  </si>
  <si>
    <t>How much did the population of Victoria increase in ten years after the discovery of gold?</t>
  </si>
  <si>
    <t>10 billion</t>
  </si>
  <si>
    <t>What was the first point of the Reformation?</t>
  </si>
  <si>
    <t>When do cash flow problems exist?</t>
  </si>
  <si>
    <t>fell significantly</t>
  </si>
  <si>
    <t>In the determination of complexity classes, what are two examples of types of Turing machines?</t>
  </si>
  <si>
    <t>continuation of the Mongol Empire</t>
  </si>
  <si>
    <t>legislation can be blocked by a majority in Parliament, a minority in the Council, and a majority in the Commission</t>
  </si>
  <si>
    <t>An Islamist movement influenced by Salafism and the jihad in Afghanistan, as well as the Muslim Brotherhood, was the FIS or Front Islamique de Salut (the Islamic Salvation Front) in Algeria. Founded as a broad Islamist coalition in 1989 it was led by Abbassi Madani, and a charismatic Islamist young preacher, Ali Belhadj. Taking advantage of economic failure and unpopular social liberalization and secularization by the ruling leftist-nationalist FLN government, it used its preaching to advocate the establishment of a legal system following Sharia law, economic liberalization and development program, education in Arabic rather than French, and gender segregation, with women staying home to alleviate the high rate of unemployment among young Algerian men. The FIS won sweeping victories in local elections and it was going to win national elections in 1991 when voting was canceled by a military coup d'état.</t>
  </si>
  <si>
    <t>birefringence, pleochroism, twinning, and interference</t>
  </si>
  <si>
    <t>materials melted near an impact crater</t>
  </si>
  <si>
    <t>gelatinous projections edged with cilia</t>
  </si>
  <si>
    <t>the Soviet Union</t>
  </si>
  <si>
    <t>aggressively</t>
  </si>
  <si>
    <t>What tool is used in corporal punishment?</t>
  </si>
  <si>
    <t>it cannot be written as the knot sum of two nontrivial knots</t>
  </si>
  <si>
    <t>salvation or redemption is a gift of God's grace, attainable only through faith in Jesus as the Messiah</t>
  </si>
  <si>
    <t>behind the foot of the mast</t>
  </si>
  <si>
    <t>the mouth of the Monongahela River</t>
  </si>
  <si>
    <t>What did this agreement do?</t>
  </si>
  <si>
    <t>Which two British sculptors are now represented with the opening of the new galleries?</t>
  </si>
  <si>
    <t>the New England Patriots</t>
  </si>
  <si>
    <t>Russia</t>
  </si>
  <si>
    <t>anointing with oil</t>
  </si>
  <si>
    <t>Where was Montcalm focusing the defense for New France?</t>
  </si>
  <si>
    <t>Working versions of 3D-printing building technology are already printing how much building material per hour?</t>
  </si>
  <si>
    <t>What was the original name of California State University at Fresno?</t>
  </si>
  <si>
    <t>What natives were displaced by British takeover in Florida?</t>
  </si>
  <si>
    <t>In 2010, Newcastle was positioned ninth in the retail centre expenditure league of the UK. There are several major shopping areas in Newcastle City Centre. The largest of these is the Eldon Square Shopping Centre, one of the largest city centre shopping complexes in the UK. It incorporates a flagship Debenhams store as well as one of the largest John Lewis stores in the UK. John Lewis is still known to many in Newcastle as Bainbridges. Newcastle store Bainbridge's, opened in 1838, is often cited as the world’s first department store. Emerson Bainbridge (1817–1892), a pioneer and the founder of Bainbridges, sold goods via department, a new for merchant custom for that time. The Bainbridge’s official ledgers reported revenue by department, giving birth to the name department store. Eldon Square is currently undergoing a full redevelopment. A new bus station, replacing the old underground bus station, was officially opened in March 2007. The wing of the centre, including the undercover Green Market, near Grainger Street was demolished in 2007 so that the area could be redeveloped. This was completed in February 2010 with the opening of a flagship Debenhams department store as well as other major stores including Apple, Hollister and Guess.</t>
  </si>
  <si>
    <t>pay off a papal dispensation for his tenure</t>
  </si>
  <si>
    <t>the Schrödinger equation</t>
  </si>
  <si>
    <t>What type of teacher is required in the Western Europe model of discipline?</t>
  </si>
  <si>
    <t>effective guerrilla warfare campaign, living off the land, capturing British supplies, and remaining undefeated</t>
  </si>
  <si>
    <t>extracurricular</t>
  </si>
  <si>
    <t>the Quaternary period</t>
  </si>
  <si>
    <t>What injury did the Carolina Panthers lose Kelvin Benjamin to during their preseason?</t>
  </si>
  <si>
    <t>Since its founding, the EU has operated among an increasing plurality of national and globalising legal systems. This has meant both the European Court of Justice and the highest national courts have had to develop principles to resolve conflicts of laws between different systems. Within the EU itself, the Court of Justice's view is that if EU law conflicts with a provision of national law, then EU law has primacy. In the first major case in 1964, Costa v ENEL, a Milanese lawyer, and former shareholder of an energy company, named Mr Costa refused to pay his electricity bill to Enel, as a protest against the nationalisation of the Italian energy corporations. He claimed the Italian nationalisation law conflicted with the Treaty of Rome, and requested a reference be made to both the Italian Constitutional Court and the Court of Justice under TFEU article 267. The Italian Constitutional Court gave an opinion that because the nationalisation law was from 1962, and the treaty was in force from 1958, Costa had no claim. By contrast, the Court of Justice held that ultimately the Treaty of Rome in no way prevented energy nationalisation, and in any case under the Treaty provisions only the Commission could have brought a claim, not Mr Costa. However, in principle, Mr Costa was entitled to plead that the Treaty conflicted with national law, and the court would have a duty to consider his claim to make a reference if there would be no appeal against its decision. The Court of Justice, repeating its view in Van Gend en Loos, said member states "albeit within limited spheres, have restricted their sovereign rights and created a body of law applicable both to their nationals and to themselves" on the "basis of reciprocity". EU law would not "be overridden by domestic legal provisions, however framed... without the legal basis of the community itself being called into question." This meant any "subsequent unilateral act" of the member state inapplicable. Similarly, in Amministrazione delle Finanze v Simmenthal SpA, a company, Simmenthal SpA, claimed that a public health inspection fee under an Italian law of 1970 for importing beef from France to Italy was contrary to two Regulations from 1964 and 1968. In "accordance with the principle of the precedence of Community law," said the Court of Justice, the "directly applicable measures of the institutions" (such as the Regulations in the case) "render automatically inapplicable any conflicting provision of current national law". This was necessary to prevent a "corresponding denial" of Treaty "obligations undertaken unconditionally and irrevocably by member states", that could "imperil the very foundations of the" EU. But despite the views of the Court of Justice, the national courts of member states have not accepted the same analysis.</t>
  </si>
  <si>
    <t>Trioxygen (O
3) is usually known as ozone and is a very reactive allotrope of oxygen that is damaging to lung tissue. Ozone is produced in the upper atmosphere when O
2 combines with atomic oxygen made by the splitting of O
2 by ultraviolet (UV) radiation. Since ozone absorbs strongly in the UV region of the spectrum, the ozone layer of the upper atmosphere functions as a protective radiation shield for the planet. Near the Earth's surface, it is a pollutant formed as a by-product of automobile exhaust. The metastable molecule tetraoxygen (O
4) was discovered in 2001, and was assumed to exist in one of the six phases of solid oxygen. It was proven in 2006 that this phase, created by pressurizing O
2 to 20 GPa, is in fact a rhombohedral O
8 cluster. This cluster has the potential to be a much more powerful oxidizer than either O
2 or O
3 and may therefore be used in rocket fuel. A metallic phase was discovered in 1990 when solid oxygen is subjected to a pressure of above 96 GPa and it was shown in 1998 that at very low temperatures, this phase becomes superconducting.</t>
  </si>
  <si>
    <t>What did Luther speak out about in Saxony?</t>
  </si>
  <si>
    <t>Who provided a philosophical discussion of force?</t>
  </si>
  <si>
    <t>a known client</t>
  </si>
  <si>
    <t>depths of the oceans and seas</t>
  </si>
  <si>
    <t>Why did Tesla sever ties with his family?</t>
  </si>
  <si>
    <t>strict discipline</t>
  </si>
  <si>
    <t>Local church and certified  are two types of what?</t>
  </si>
  <si>
    <t>One of the oldest depictions of civil disobedience is in Sophocles' play Antigone, in which Antigone, one of the daughters of former King of Thebes, Oedipus, defies Creon, the current King of Thebes, who is trying to stop her from giving her brother Polynices a proper burial. She gives a stirring speech in which she tells him that she must obey her conscience rather than human law. She is not at all afraid of the death he threatens her with (and eventually carries out), but she is afraid of how her conscience will smite her if she does not do this.</t>
  </si>
  <si>
    <t>rhetoric</t>
  </si>
  <si>
    <t>Minister of the Interior</t>
  </si>
  <si>
    <t>to render certain laws ineffective, to cause their repeal, or to exert pressure to get one's political wishes on some other issue</t>
  </si>
  <si>
    <t>"Small Business Big Game"</t>
  </si>
  <si>
    <t>the doctrine of transubstantiation</t>
  </si>
  <si>
    <t>European Union law is a body of treaties and legislation, such as Regulations and Directives, which have direct effect or indirect effect on the laws of European Union member states. The three sources of European Union law are primary law, secondary law and supplementary law. The main sources of primary law are the Treaties establishing the European Union. Secondary sources include regulations and directives which are based on the Treaties. The legislature of the European Union is principally composed of the European Parliament and the Council of the European Union, which under the Treaties may establish secondary law to pursue the objective set out in the Treaties.</t>
  </si>
  <si>
    <t>42</t>
  </si>
  <si>
    <t>pre-allocates</t>
  </si>
  <si>
    <t>Vinogradov's</t>
  </si>
  <si>
    <t>What does the Fogg Museum of Art cover?</t>
  </si>
  <si>
    <t>How many representatives does each electorate have?</t>
  </si>
  <si>
    <t>In the 10th week of the 2015 season, what injury was Peyton Manning dealing with?</t>
  </si>
  <si>
    <t>former King of Thebes</t>
  </si>
  <si>
    <t>cholera</t>
  </si>
  <si>
    <t>What administrative division did Kublai leave unmodified?</t>
  </si>
  <si>
    <t>The Book of Discipline of the United Methodist Church</t>
  </si>
  <si>
    <t>successfully accomplished</t>
  </si>
  <si>
    <t>RNA interference pathway</t>
  </si>
  <si>
    <t>What basin was formed when the Andes Mountains rose?</t>
  </si>
  <si>
    <t>Wesel-Datteln Canal</t>
  </si>
  <si>
    <t>the Welsh</t>
  </si>
  <si>
    <t>What is the mace displayed in?</t>
  </si>
  <si>
    <t>white, blue, pink, rainbow neon and glittering</t>
  </si>
  <si>
    <t>What did the result of the SNP majority allow a referendum be held on?</t>
  </si>
  <si>
    <t>When was the settlement which would become Warsaw established?</t>
  </si>
  <si>
    <t>non-Catholics</t>
  </si>
  <si>
    <t>Free movement of goods within the European Union is achieved by a customs union, and the principle of non-discrimination. The EU manages imports from non-member states, duties between member states are prohibited, and imports circulate freely. In addition under the Treaty on the Functioning of the European Union article 34, ‘Quantitative restrictions on imports and all measures having equivalent effect shall be prohibited between Member States’. In Procureur du Roi v Dassonville the Court of Justice held that this rule meant all "trading rules" that are "enacted by Member States" which could hinder trade "directly or indirectly, actually or potentially" would be caught by article 34. This meant that a Belgian law requiring Scotch whisky imports to have a certificate of origin was unlikely to be lawful. It discriminated against parallel importers like Mr Dassonville, who could not get certificates from authorities in France, where they bought the Scotch. This "wide test", to determine what could potentially be an unlawful restriction on trade, applies equally to actions by quasi-government bodies, such as the former "Buy Irish" company that had government appointees. It also means states can be responsible for private actors. For instance, in Commission v France French farmer vigilantes were continually sabotaging shipments of Spanish strawberries, and even Belgian tomato imports. France was liable for these hindrances to trade because the authorities ‘manifestly and persistently abstained' from preventing the sabotage. Generally speaking, if a member state has laws or practices that directly discriminate against imports (or exports under TFEU article 35) then it must be justified under article 36. The justifications include public morality, policy or security, "protection of health and life of humans, animals or plants", "national treasures" of "artistic, historic or archaeological value" and "industrial and commercial property." In addition, although not clearly listed, environmental protection can justify restrictions on trade as an overriding requirement derived from TFEU article 11. More generally, it has been increasingly acknowledged that fundamental human rights should take priority over all trade rules. So, in Schmidberger v Austria the Court of Justice held that Austria did not infringe article 34 by failing to ban a protest that blocked heavy traffic passing over the A13, Brenner Autobahn, en route to Italy. Although many companies, including Mr Schmidberger's German undertaking, were prevented from trading, the Court of Justice reasoned that freedom of association is one of the ‘fundamental pillars of a democratic society’, against which the free movement of goods had to be balanced, and was probably subordinate. If a member state does appeal to the article 36 justification, the measures it takes have to be applied proportionately. This means the rule must be pursue a legitimate aim and (1) be suitable to achieve the aim, (2) be necessary, so that a less restrictive measure could not achieve the same result, and (3) be reasonable in balancing the interests of free trade with interests in article 36.</t>
  </si>
  <si>
    <t>the flail of God,</t>
  </si>
  <si>
    <t>a tool of the devil</t>
  </si>
  <si>
    <t>punish the Miami people of Pickawillany for not following Céloron's orders to cease trading with the British</t>
  </si>
  <si>
    <t>geomorphologic</t>
  </si>
  <si>
    <t>Albany Congress</t>
  </si>
  <si>
    <t>What country does the Moselle take the Rhine to?</t>
  </si>
  <si>
    <t>not equal</t>
  </si>
  <si>
    <t>honorary member of the Iroquois Confederacy</t>
  </si>
  <si>
    <t>modern hatred of the Jews</t>
  </si>
  <si>
    <t>The logo for the Twelfth Doctor</t>
  </si>
  <si>
    <t>The Normans were in contact with England from an early date. Not only were their original Viking brethren still ravaging the English coasts, they occupied most of the important ports opposite England across the English Channel. This relationship eventually produced closer ties of blood through the marriage of Emma, sister of Duke Richard II of Normandy, and King Ethelred II of England. Because of this, Ethelred fled to Normandy in 1013, when he was forced from his kingdom by Sweyn Forkbeard. His stay in Normandy (until 1016) influenced him and his sons by Emma, who stayed in Normandy after Cnut the Great's conquest of the isle.</t>
  </si>
  <si>
    <t>Good Morning America and Nightline</t>
  </si>
  <si>
    <t>A growing number of new forms of procurement involves what?</t>
  </si>
  <si>
    <t>What do clinical pharmacists specialize in?</t>
  </si>
  <si>
    <t>Gamma delta T cells (γδ T cells) possess an alternative T cell receptor (TCR) as opposed to CD4+ and CD8+ (αβ) T cells and share the characteristics of helper T cells, cytotoxic T cells and NK cells. The conditions that produce responses from γδ T cells are not fully understood. Like other 'unconventional' T cell subsets bearing invariant TCRs, such as CD1d-restricted Natural Killer T cells, γδ T cells straddle the border between innate and adaptive immunity. On one hand, γδ T cells are a component of adaptive immunity as they rearrange TCR genes to produce receptor diversity and can also develop a memory phenotype. On the other hand, the various subsets are also part of the innate immune system, as restricted TCR or NK receptors may be used as pattern recognition receptors. For example, large numbers of human Vγ9/Vδ2 T cells respond within hours to common molecules produced by microbes, and highly restricted Vδ1+ T cells in epithelia respond to stressed epithelial cells.</t>
  </si>
  <si>
    <t>2 millimeters</t>
  </si>
  <si>
    <t>CYCLADES</t>
  </si>
  <si>
    <t>westerns and detective series</t>
  </si>
  <si>
    <t>the network</t>
  </si>
  <si>
    <t>promote oil exploration</t>
  </si>
  <si>
    <t>induction motor that ran on alternating current</t>
  </si>
  <si>
    <t>Who did Warsaw serve as the seat for in 1529?</t>
  </si>
  <si>
    <t>The V&amp;A is in discussion with the University of Dundee, University of Abertay, Dundee City Council and the Scottish Government with a view to opening a new £43 million gallery in Dundee that would use the V&amp;A brand although it would be funded through and operated independently. As of 2015, with costs estimated at £76 million, it is the most expensive gallery project ever undertaken in Scotland. The V&amp;A Dundee will be on the city's waterfront and is intended to focus on fashion, architecture, product design, graphic arts and photography. It is planned that it could open within five years. Dundee City Council is expected to pay a major part of the running costs. The V&amp;A is not contributing financially, but will be providing expertise, loans and exhibitions.</t>
  </si>
  <si>
    <t>Following guidelines set in the National Cycling strategy, Newcastle first developed its cycling strategy in 1998. As of 2012, the local council social aims and objectives for cycling include: highlighting the usage of cycling to cut city congestion; educating that cycling promotes healthy living… The authority also has infrastructure aims and objectives which include: developing on road cycle networks on quieter streets; making safer routes on busier streets; innovating and implementing contraflows on one way streets; developing the existing off road cycle route networks and improve signage; joining up routes that are partially or completely isolated; Increase the number of cycle parking facilities; working with employers to integrate cycling into workplace travel plans; link the local networks to national networks.</t>
  </si>
  <si>
    <t>lost the funding</t>
  </si>
  <si>
    <t>By what process can active immunity be generated in an artificial manner?</t>
  </si>
  <si>
    <t>anywhere from two to a hundred</t>
  </si>
  <si>
    <t>a US$10 a week raise over Tesla's US$18 per week salary</t>
  </si>
  <si>
    <t>The West saw the East as what?</t>
  </si>
  <si>
    <t>Where does the pattern of higher income-longer lives still hold true?</t>
  </si>
  <si>
    <t>instances</t>
  </si>
  <si>
    <t>On July 18, 2006</t>
  </si>
  <si>
    <t>one of the first ever production OC-48c (2.5 Gbit/s) IP links</t>
  </si>
  <si>
    <t>temperate zone</t>
  </si>
  <si>
    <t>connecting the same string multiple times to the same object through the use of a set-up that uses movable pulleys</t>
  </si>
  <si>
    <t>Why aren't the examples of bouregois architecture visible today?</t>
  </si>
  <si>
    <t>Teacher's colleges certify, govern and enforce what for teachers?</t>
  </si>
  <si>
    <t>National Islamic Front</t>
  </si>
  <si>
    <t>high wages</t>
  </si>
  <si>
    <t>bigamy of the Philip of Hesse</t>
  </si>
  <si>
    <t>Universities</t>
  </si>
  <si>
    <t>Who besides the british colonized Africa?</t>
  </si>
  <si>
    <t>The Trout River</t>
  </si>
  <si>
    <t>The reasons for the las two counties to be added are based on what?</t>
  </si>
  <si>
    <t>sharia law</t>
  </si>
  <si>
    <t>electric motors and internal combustion</t>
  </si>
  <si>
    <t>shut down host defenses.</t>
  </si>
  <si>
    <t>digital streams of the game</t>
  </si>
  <si>
    <t>immediate and fair punishment for misbehavior and firm, clear boundaries</t>
  </si>
  <si>
    <t>toward the Atlantic</t>
  </si>
  <si>
    <t>fasting, long hours in prayer, pilgrimage, and frequent confession</t>
  </si>
  <si>
    <t>Eisleben, Saxony</t>
  </si>
  <si>
    <t>Always in search of new programs that would help it compete with NBC and CBS, ABC's management believed that sports could be a major catalyst in improving the network's market share. On April 29, 1961, ABC debuted Wide World of Sports, an anthology series created by Edgar Scherick through his company Sports Programs, Inc. and produced by a young Roone Arledge which featured a different sporting event each broadcast. ABC purchased Sports Programs, Inc. in exchange for shares in the company, leading it to become the future core of ABC Sports, with Arledge as the executive producer of that division's shows. Wide World of Sports, in particular, was not merely devoted to a single sport, but rather to generally all sporting events.</t>
  </si>
  <si>
    <t>What were later Yuan emperors disinterested in?</t>
  </si>
  <si>
    <t>What are internet pharmacies also called?</t>
  </si>
  <si>
    <t>ensure that in the interpretation and application of the Treaties the law is observed</t>
  </si>
  <si>
    <t>an innate force of impetus</t>
  </si>
  <si>
    <t>The vast majority of Kenyans are Christian (83%), with 47.7% regarding themselves as Protestant and 23.5% as Roman Catholic of the Latin Rite. The Presbyterian Church of East Africa has 3 million followers in Kenya and the surrounding countries. There are smaller conservative Reformed churches, the Africa Evangelical Presbyterian Church, the Independent Presbyterian Church in Kenya, and the Reformed Church of East Africa. 621,200 of Kenyans are Orthodox Christians. Notably, Kenya has the highest number of Quakers in the world, with around 133,000 members. The only Jewish synagogue in the country is located in the capital, Nairobi.</t>
  </si>
  <si>
    <t>What pushes businesses to increase pressures on workers?</t>
  </si>
  <si>
    <t>How often does the General Conference meet?</t>
  </si>
  <si>
    <t>11–13th century AD</t>
  </si>
  <si>
    <t>What is Jacksonville's hottest recorded temperature?</t>
  </si>
  <si>
    <t>recurring and life-threatening infections</t>
  </si>
  <si>
    <t>devil's work,</t>
  </si>
  <si>
    <t>What is an etioplast?</t>
  </si>
  <si>
    <t>What cells are the second arm of the innate immune system?</t>
  </si>
  <si>
    <t>United Nations Framework Convention on Climate Change</t>
  </si>
  <si>
    <t>Kikuyu, Embu and Kamba</t>
  </si>
  <si>
    <t>Lake Constance consists of three bodies of water: the Obersee ("upper lake"), the Untersee ("lower lake"), and a connecting stretch of the Rhine, called the Seerhein ("Lake Rhine"). The lake is situated in Germany, Switzerland and Austria near the Alps. Specifically, its shorelines lie in the German states of Bavaria and Baden-Württemberg, the Austrian state of Vorarlberg, and the Swiss cantons of Thurgau and St. Gallen. The Rhine flows into it from the south following the Swiss-Austrian border. It is located at approximately 47°39′N 9°19′E﻿ / ﻿47.650°N 9.317°E﻿ / 47.650; 9.317.</t>
  </si>
  <si>
    <t>Peabody Museum of Archaeology and Ethnology</t>
  </si>
  <si>
    <t>What chloroplast structure is similar to the inner mitochondria membrane?</t>
  </si>
  <si>
    <t>five seats</t>
  </si>
  <si>
    <t>T. T. Tsui Gallery of Chinese art</t>
  </si>
  <si>
    <t>25 May 1521</t>
  </si>
  <si>
    <t>The Social Chapter is a chapter of what treaty?</t>
  </si>
  <si>
    <t>1754–1763</t>
  </si>
  <si>
    <t>The mayor of Warsaw is called President. Generally, in Poland, the mayors of bigger cities are called presidents – i.e. such cities, which have over 100,000 people or these, where already was president before 1990. The first Warsaw President was Jan Andrzej Menich (1695–1696). Between 1975 and 1990 the Warsaw Presidents was simultaneously the Warsaw Voivode. Since 1990 the President of Warsaw had been elected by the City council. In the years of 1994–1999 the mayor of the district Centrum automatically was designated as the President of Warsaw: the mayor of Centrum was elected by the district council of Centrum and the council was elected only by the Centrum residents. Since 2002 the President of Warsaw is elected by all of the citizens of Warsaw.</t>
  </si>
  <si>
    <t>non-native Chinese people</t>
  </si>
  <si>
    <t>What body of water sat to the west of the Mongol Empire when Genghis Khan died?</t>
  </si>
  <si>
    <t>glass-making</t>
  </si>
  <si>
    <t>She gives a stirring speech</t>
  </si>
  <si>
    <t>Juveniles will luminesce more brightly</t>
  </si>
  <si>
    <t>in the Castle Church</t>
  </si>
  <si>
    <t>reduced the population of Seville by half</t>
  </si>
  <si>
    <t>the main porch</t>
  </si>
  <si>
    <t>Chloroplasts alone make almost all of a plant cell's amino acids in their stroma except the sulfur-containing ones like cysteine and methionine. Cysteine is made in the chloroplast (the proplastid too) but it is also synthesized in the cytosol and mitochondria, probably because it has trouble crossing membranes to get to where it is needed. The chloroplast is known to make the precursors to methionine but it is unclear whether the organelle carries out the last leg of the pathway or if it happens in the cytosol.</t>
  </si>
  <si>
    <t>coercion</t>
  </si>
  <si>
    <t>transparent dome made of long, immobile cilia</t>
  </si>
  <si>
    <t>How much did Tesla receive from the sale of Wardenclyffe?</t>
  </si>
  <si>
    <t>What does a writer for the International Crisis Group think the concept of political Islam is a creation of?</t>
  </si>
  <si>
    <t>model results</t>
  </si>
  <si>
    <t>Islamist movements such as the Muslim Brotherhood, "are well known for providing shelters, educational assistance, free or low cost medical clinics, housing assistance to students from out of town, student advisory groups, facilitation of inexpensive mass marriage ceremonies to avoid prohibitively costly dowry demands, legal assistance, sports facilities, and women's groups." All this compares very favourably against incompetent, inefficient, or neglectful governments whose commitment to social justice is limited to rhetoric.</t>
  </si>
  <si>
    <t>Wesleyan Holiness Consortium</t>
  </si>
  <si>
    <t>Which courts have a duty to interpret domestic law as far as possible?</t>
  </si>
  <si>
    <t>What is the seating arrangement of the debating chamber?</t>
  </si>
  <si>
    <t>left Graz</t>
  </si>
  <si>
    <t>Who did the Dutch fight in the Dutch Revolt?</t>
  </si>
  <si>
    <t>Céloron threatened "Old Briton"</t>
  </si>
  <si>
    <t>capturing three traders and killing 14 people of the Miami nation</t>
  </si>
  <si>
    <t>east end</t>
  </si>
  <si>
    <t>How did Luther's tutors advise him to test what he learned?</t>
  </si>
  <si>
    <t>In addition to chlorophylls, another group of yellow–orange pigments called carotenoids are also found in the photosystems. There are about thirty photosynthetic carotenoids. They help transfer and dissipate excess energy, and their bright colors sometimes override the chlorophyll green, like during the fall, when the leaves of some land plants change color. β-carotene is a bright red-orange carotenoid found in nearly all chloroplasts, like chlorophyll a. Xanthophylls, especially the orange-red zeaxanthin, are also common. Many other forms of carotenoids exist that are only found in certain groups of chloroplasts.</t>
  </si>
  <si>
    <t>What was the UK governments benefits agenchy checking in 2012?</t>
  </si>
  <si>
    <t>Japanese</t>
  </si>
  <si>
    <t>abuse of dominant position</t>
  </si>
  <si>
    <t>What did Michael Mullet call Luther's speech?</t>
  </si>
  <si>
    <t>more power</t>
  </si>
  <si>
    <t>February 7, 2016</t>
  </si>
  <si>
    <t>destroy the antichrist</t>
  </si>
  <si>
    <t>two Japanese research teams</t>
  </si>
  <si>
    <t>Ein neues Lied wir heben an</t>
  </si>
  <si>
    <t>Hadrian's Wall</t>
  </si>
  <si>
    <t>During the 16th and 17th centuries</t>
  </si>
  <si>
    <t>.6-million-year-old</t>
  </si>
  <si>
    <t>expulsion of the Acadians</t>
  </si>
  <si>
    <t>How many total tackles did Charles Johnson have in Super Bowl 50?</t>
  </si>
  <si>
    <t>How quickly can an algorithm solve an NP-complete knapsack problem?</t>
  </si>
  <si>
    <t>IAAF Golden League jackpot</t>
  </si>
  <si>
    <t>How long was each episode of Doctor Who?</t>
  </si>
  <si>
    <t xml:space="preserve">What has shortened the Rhine river? </t>
  </si>
  <si>
    <t>Who dominates the world of long distance running?</t>
  </si>
  <si>
    <t>the Old Town Hall</t>
  </si>
  <si>
    <t>How did Natives in Logstown take Celeron's information?</t>
  </si>
  <si>
    <t>run proton pumps and carry out oxidative phosphorylation</t>
  </si>
  <si>
    <t>the Grainger Town area</t>
  </si>
  <si>
    <t>What are the biggest burdens?</t>
  </si>
  <si>
    <t>Where did France win a war in the 1950's</t>
  </si>
  <si>
    <t>nationalist differences</t>
  </si>
  <si>
    <t>The Holocene</t>
  </si>
  <si>
    <t>What does a big O notation hide?</t>
  </si>
  <si>
    <t>During the Southern Song dynasty the descendant of Confucius at Qufu, the Duke Yansheng Kong Duanyou fled south with the Song Emperor to Quzhou, while the newly established Jin dynasty (1115–1234) in the north appointed Kong Duanyou's brother Kong Duancao who remained in Qufu as Duke Yansheng. From that time up until the Yuan dynasty, there were two Duke Yanshengs, once in the north in Qufu and the other in the south at Quzhou. During the Yuan dynasty, the Emperor Kublai Khan invited the southern Duke Yansheng Kong Zhu to return to Qufu. Kong Zhu refused, and gave up the title, so the northern branch of the family kept the title of Duke Yansheng. The southern branch still remained in Quzhou where they lived to this day. Confucius's descendants in Quzhou alone number 30,000. During the Yuan dynasty, one of Confucius' descendants moved from China to Goryeo era Korea and established a branch of the family there after marrying a Korean woman.</t>
  </si>
  <si>
    <t>proteolysis</t>
  </si>
  <si>
    <t>What other Northern European cities had Huguenot congregations?</t>
  </si>
  <si>
    <t>oscillating cylinder</t>
  </si>
  <si>
    <t>misguided</t>
  </si>
  <si>
    <t>Trade liberalization may shift economic inequality from a global to a domestic scale. When rich countries trade with poor countries, the low-skilled workers in the rich countries may see reduced wages as a result of the competition, while low-skilled workers in the poor countries may see increased wages. Trade economist Paul Krugman estimates that trade liberalisation has had a measurable effect on the rising inequality in the United States. He attributes this trend to increased trade with poor countries and the fragmentation of the means of production, resulting in low skilled jobs becoming more tradeable. However, he concedes that the effect of trade on inequality in America is minor when compared to other causes, such as technological innovation, a view shared by other experts. Empirical economists Max Roser and Jesus Crespo-Cuaresma find support in the data that international trade is increasing income inequality. They empirically confirm the predictions of the Stolper–Samuelson theorem regarding the effects of international trade on the distribution of incomes. Lawrence Katz estimates that trade has only accounted for 5-15% of rising income inequality. Robert Lawrence argues that technological innovation and automation has meant that low-skilled jobs have been replaced by machine labor in wealthier nations, and that wealthier countries no longer have significant numbers of low-skilled manufacturing workers that could be affected by competition from poor countries.</t>
  </si>
  <si>
    <t>In 2014, economists with the Standard &amp; Poor's rating agency concluded that the widening disparity between the U.S.'s wealthiest citizens and the rest of the nation had slowed its recovery from the 2008-2009 recession and made it more prone to boom-and-bust cycles. To partially remedy the wealth gap and the resulting slow growth, S&amp;P recommended increasing access to education. It estimated that if the average United States worker had completed just one more year of school, it would add an additional $105 billion in growth to the country's economy over five years.</t>
  </si>
  <si>
    <t>What gets the Z-ring in the right place?</t>
  </si>
  <si>
    <t>The G mission was achieved on Apollo 11 in July 1969 by an all-Gemini veteran crew consisting of Neil Armstrong, Michael Collins and Buzz Aldrin. Armstrong and Aldrin performed the first landing at the Sea of Tranquility at 20:17:40 UTC on July 20, 1969. They spent a total of 21 hours, 36 minutes on the surface, and spent 2 hours, 31 minutes outside the spacecraft, walking on the surface, taking photographs, collecting material samples, and deploying automated scientific instruments, while continuously sending black-and-white television back to Earth. The astronauts returned safely on July 24.</t>
  </si>
  <si>
    <t>Mark I Type 40 TARDIS</t>
  </si>
  <si>
    <t>accessory pigments</t>
  </si>
  <si>
    <t>On May 1, 1953, ABC's New York City flagship stations – WJZ, WJZ-FM and WJZ-TV – changed their respective callsigns to WABC, WABC-FM and WABC-TV, and moved their operations to facilities at 7 West 66th Street, one block away from Central Park. The WABC call letters were previously used by the flagship station of CBS Radio (now WCBS (AM)) until 1946. The WJZ calls would later be reassigned to the then-ABC affiliate in Baltimore in 1959, in an historical nod to the fact that WJZ was originally established by the Baltimore station's owner at the time, Westinghouse.</t>
  </si>
  <si>
    <t>Luther's disappearance</t>
  </si>
  <si>
    <t>Mongol Empire</t>
  </si>
  <si>
    <t>entire length of the lake</t>
  </si>
  <si>
    <t>because Dutch law said only people established in the Netherlands could give legal advice</t>
  </si>
  <si>
    <t>Research by Harvard economist Robert Barro, found that there is "little overall relation between income inequality and rates of growth and investment". According to work by Barro in 1999 and 2000, high levels of inequality reduce growth in relatively poor countries but encourage growth in richer countries. A study of Swedish counties between 1960 and 2000 found a positive impact of inequality on growth with lead times of five years or less, but no correlation after ten years. Studies of larger data sets have found no correlations for any fixed lead time, and a negative impact on the duration of growth.</t>
  </si>
  <si>
    <t>What uprising began in 1351?</t>
  </si>
  <si>
    <t>What is the average plant biosmass?</t>
  </si>
  <si>
    <t>What type of studies explored student motivation?</t>
  </si>
  <si>
    <t>Landgrave of Hesse</t>
  </si>
  <si>
    <t>protect the King's land in the Ohio Valley from the British</t>
  </si>
  <si>
    <t>How does HT strive to amass power?</t>
  </si>
  <si>
    <t>Class I MHC</t>
  </si>
  <si>
    <t>What kind of T cells have the purpose of modulating the immune response?</t>
  </si>
  <si>
    <t>The abolition of the Ottoman Caliphate is believed to have ended what system?</t>
  </si>
  <si>
    <t>The rocks collected from the Moon are extremely old compared to rocks found on Earth, as measured by radiometric dating techniques. They range in age from about 3.2 billion years for the basaltic samples derived from the lunar maria, to about 4.6 billion years for samples derived from the highlands crust. As such, they represent samples from a very early period in the development of the Solar System, that are largely absent on Earth. One important rock found during the Apollo Program is dubbed the Genesis Rock, retrieved by astronauts David Scott and James Irwin during the Apollo 15 mission. This anorthosite rock is composed almost exclusively of the calcium-rich feldspar mineral anorthite, and is believed to be representative of the highland crust. A geochemical component called KREEP was discovered, which has no known terrestrial counterpart. KREEP and the anorthositic samples have been used to infer that the outer portion of the Moon was once completely molten (see lunar magma ocean).</t>
  </si>
  <si>
    <t>What are alternate English spelling of Genghis?</t>
  </si>
  <si>
    <t>Chloroplasts</t>
  </si>
  <si>
    <t>When does Doctor Who transition to a new body?</t>
  </si>
  <si>
    <t>earn as much as a healthy young man</t>
  </si>
  <si>
    <t>Warsaw University of Technology</t>
  </si>
  <si>
    <t>In early Pleistocene, what direction did the Rhine flow?</t>
  </si>
  <si>
    <t>rst</t>
  </si>
  <si>
    <t>a commutator</t>
  </si>
  <si>
    <t>to remind the Doctor of his "moral duty"</t>
  </si>
  <si>
    <t>help direct microscopic prey toward the mouth</t>
  </si>
  <si>
    <t>sworn brother or blood brother</t>
  </si>
  <si>
    <t>A probabilistic Turing machine</t>
  </si>
  <si>
    <t>What is the term for an Indian private school?</t>
  </si>
  <si>
    <t>March 1974.</t>
  </si>
  <si>
    <t>What is the central article of the Christian doctrine?</t>
  </si>
  <si>
    <t>Objects of constant density are proportional to volume by what force to define standard weights?.</t>
  </si>
  <si>
    <t>From 2006 Garda vetting has been introduced for new entrants to the teaching profession. These procedures apply to teaching and also to non-teaching posts and those who refuse vetting "cannot be appointed or engaged by the school in any capacity including in a voluntary role". Existing staff will be vetted on a phased basis.</t>
  </si>
  <si>
    <t>The Premier of Victoria is the leader of the political party or coalition with the most seats in the Legislative Assembly. The Premier is the public face of government and, with cabinet, sets the legislative and political agenda. Cabinet consists of representatives elected to either house of parliament. It is responsible for managing areas of government that are not exclusively the Commonwealth's, by the Australian Constitution, such as education, health and law enforcement. The current Premier of Victoria is Daniel Andrews.</t>
  </si>
  <si>
    <t>Hashimoto's thyroiditis</t>
  </si>
  <si>
    <t>promoted Western/foreign ideas and practices into Islamic societies</t>
  </si>
  <si>
    <t>How did the settlers protect their interests?</t>
  </si>
  <si>
    <t>Of the 129 MSPs, 73 are elected to represent first past the post constituencies and are known as "Constituency MSPs". Voters choose one member to represent the constituency, and the member with most votes is returned as a constituency MSP. The 73 Scottish Parliament constituencies shared the same boundaries as the UK Parliament constituencies in Scotland, prior to the 2005 reduction in the number of Scottish MPs, with the exception of Orkney and Shetland which each return their own constituency MSP. Currently, the average Scottish Parliament constituency comprises 55,000 electors. Given the geographical distribution of population in Scotland, this results in constituencies of a smaller area in the Central Lowlands, where the bulk of Scotland's population live, and much larger constituency areas in the north and west of the country, which have a low population density. The island archipelagos of Orkney, Shetland and the Western Isles comprise a much smaller number of electors, due to their dispersed population and distance from the Scottish Parliament in Edinburgh. If a Constituency MSP resigns from Parliament, this triggers a by-election in his or her constituency, where a replacement MSP is returned from one of the parties by the plurality system.</t>
  </si>
  <si>
    <t>In addition to identifying rocks in the field, petrologists identify rock samples in the laboratory. Two of the primary methods for identifying rocks in the laboratory are through optical microscopy and by using an electron microprobe. In an optical mineralogy analysis, thin sections of rock samples are analyzed through a petrographic microscope, where the minerals can be identified through their different properties in plane-polarized and cross-polarized light, including their birefringence, pleochroism, twinning, and interference properties with a conoscopic lens. In the electron microprobe, individual locations are analyzed for their exact chemical compositions and variation in composition within individual crystals. Stable and radioactive isotope studies provide insight into the geochemical evolution of rock units.</t>
  </si>
  <si>
    <t>both northern and southern Germans</t>
  </si>
  <si>
    <t>The Victoria and Albert Museum (often abbreviated as the V&amp;A), London, is the world's largest museum of decorative arts and design, housing a permanent collection of over 4.5 million objects. It was founded in 1852 and named after Queen Victoria and Prince Albert. The V&amp;A is located in the Brompton district of the Royal Borough of Kensington and Chelsea, in an area that has become known as "Albertopolis" because of its association with Prince Albert, the Albert Memorial and the major cultural institutions with which he was associated. These include the Natural History Museum, the Science Museum and the Royal Albert Hall. The museum is a non-departmental public body sponsored by the Department for Culture, Media and Sport. Like other national British museums, entrance to the museum has been free since 2001.</t>
  </si>
  <si>
    <t>a major part of the Internet backbone</t>
  </si>
  <si>
    <t>vocational</t>
  </si>
  <si>
    <t>over 37 million</t>
  </si>
  <si>
    <t>What does a country acquire as it develops?</t>
  </si>
  <si>
    <t>St Thomas Becket,</t>
  </si>
  <si>
    <t>What is Sanctifying Grace?</t>
  </si>
  <si>
    <t>Who did the North declare for during the English civil war?</t>
  </si>
  <si>
    <t>Since the 2005 revival, the Doctor generally travels with a primary female companion, who occupies a larger narrative role. Steven Moffat described the companion as the main character of the show, as the story begins anew with each companion and she undergoes more change than the Doctor. The primary companions of the Ninth and Tenth Doctors were Rose Tyler (Billie Piper), Martha Jones (Freema Agyeman), and Donna Noble (Catherine Tate) with Mickey Smith (Noel Clarke) and Jack Harkness (John Barrowman) recurring as secondary companion figures. The Eleventh Doctor became the first to travel with a married couple, Amy Pond (Karen Gillan) and Rory Williams (Arthur Darvill), whilst out-of-sync meetings with River Song (Alex Kingston) and Clara Oswald (Jenna Coleman) provided ongoing story arcs. The tenth series will introduce Pearl Mackie as Bill, the Doctor's newest traveling companion.</t>
  </si>
  <si>
    <t>What device is used to recycle the boiler water in most steam engines?</t>
  </si>
  <si>
    <t>blue-green algae</t>
  </si>
  <si>
    <t>Ministry of War</t>
  </si>
  <si>
    <t>Besides the North Sea and the Irish Channel, what else was lowered in the last cold phase?</t>
  </si>
  <si>
    <t>Islamists have asked the question, "If Islam is a way of life, how can we say that those who want to live by its principles in legal, social, political, economic, and political spheres of life are not Muslims, but Islamists and believe in Islamism, not [just] Islam?" Similarly, a writer for the International Crisis Group maintains that "the conception of 'political Islam'" is a creation of Americans to explain the Iranian Islamic Revolution and apolitical Islam was a historical fluke of the "short-lived era of the heyday of secular Arab nationalism between 1945 and 1970", and it is quietist/non-political Islam, not Islamism, that requires explanation.</t>
  </si>
  <si>
    <t>The first geological map of the U.S. was produced in 1809 by William Maclure. In 1807, Maclure commenced the self-imposed task of making a geological survey of the United States. Almost every state in the Union was traversed and mapped by him, the Allegheny Mountains being crossed and recrossed some 50 times. The results of his unaided labours were submitted to the American Philosophical Society in a memoir entitled Observations on the Geology of the United States explanatory of a Geological Map, and published in the Society's Transactions, together with the nation's first geological map. This antedates William Smith's geological map of England by six years, although it was constructed using a different classification of rocks.</t>
  </si>
  <si>
    <t>the process of a country taking physical control of another</t>
  </si>
  <si>
    <t>V8 and six cylinder</t>
  </si>
  <si>
    <t>Reyners v Belgium</t>
  </si>
  <si>
    <t>When did Luther receive a degree in Biblical studies?</t>
  </si>
  <si>
    <t>16th century</t>
  </si>
  <si>
    <t>protect the King's land in the Ohio Valley</t>
  </si>
  <si>
    <t>Did Tesla graduate from the university?</t>
  </si>
  <si>
    <t>United_Methodist_Church</t>
  </si>
  <si>
    <t>western Europe</t>
  </si>
  <si>
    <t>What did Agricola apparently believe about who should be in control  law?</t>
  </si>
  <si>
    <t>Michael E. Mann, Raymond S. Bradley and Malcolm K. Hughes</t>
  </si>
  <si>
    <t>the internet</t>
  </si>
  <si>
    <t>Statues of British artists adorn which part of the tower above the main entrance?</t>
  </si>
  <si>
    <t>On April 23, 1968, the United Methodist Church was created when the Evangelical United Brethren Church (represented by Bishop Reuben H. Mueller) and The Methodist Church (represented by Bishop Lloyd Christ Wicke) joined hands at the constituting General Conference in Dallas, Texas. With the words, "Lord of the Church, we are united in Thee, in Thy Church and now in The United Methodist Church" the new denomination was given birth by the two churches that had distinguished histories and influential ministries in various parts of the world.</t>
  </si>
  <si>
    <t>against Prussia and its allies</t>
  </si>
  <si>
    <t>secret</t>
  </si>
  <si>
    <t>What delimits the delta of the Rhine in the East?</t>
  </si>
  <si>
    <t>Who performed a benefit concert for the charity Children in Need?</t>
  </si>
  <si>
    <t>Tesla exhibited a pre-atomic understanding of physics in his writings; he disagreed with the theory of atoms being composed of smaller subatomic particles, stating there was no such thing as an electron creating an electric charge (he believed that if electrons existed at all, they were some fourth state of matter or "sub-atom" that could only exist in an experimental vacuum and that they had nothing to do with electricity).:249 Tesla believed that atoms are immutable—they could not change state or be split in any way. He was a believer in the 19th century concept of an all pervasive "ether" that transmitted electrical energy.</t>
  </si>
  <si>
    <t>demographics and economic</t>
  </si>
  <si>
    <t>How do pathogens avoid detection?</t>
  </si>
  <si>
    <t>distinctive flared base</t>
  </si>
  <si>
    <t>Before the actual research explicitly devoted to the complexity of algorithmic problems started off, numerous foundations were laid out by various researchers. Most influential among these was the definition of Turing machines by Alan Turing in 1936, which turned out to be a very robust and flexible simplification of a computer.</t>
  </si>
  <si>
    <t>Phagocytes can be called to a specific location by what?</t>
  </si>
  <si>
    <t>Plants lack what kind of immune cells?</t>
  </si>
  <si>
    <t>a combination of poor management, internal divisions, and effective Canadian scouts</t>
  </si>
  <si>
    <t>What type of heritage does Tyneside have?</t>
  </si>
  <si>
    <t>Soviet Union</t>
  </si>
  <si>
    <t>because southern China withstood and fought to the last before caving in</t>
  </si>
  <si>
    <t>What is the magnitude of force divided by when external force is added?</t>
  </si>
  <si>
    <t>The final major evolution of the steam engine design was the use of steam turbines starting in the late part of the 19th century. Steam turbines are generally more efficient than reciprocating piston type steam engines (for outputs above several hundred horsepower), have fewer moving parts, and provide rotary power directly instead of through a connecting rod system or similar means. Steam turbines virtually replaced reciprocating engines in electricity generating stations early in the 20th century, where their efficiency, higher speed appropriate to generator service, and smooth rotation were advantages. Today most electric power is provided by steam turbines. In the United States 90% of the electric power is produced in this way using a variety of heat sources. Steam turbines were extensively applied for propulsion of large ships throughout most of the 20th century.</t>
  </si>
  <si>
    <t>one half</t>
  </si>
  <si>
    <t>McGann and Eccleston</t>
  </si>
  <si>
    <t>seal of approval on clerical marriage</t>
  </si>
  <si>
    <t>between 1960 and 2000</t>
  </si>
  <si>
    <t xml:space="preserve">What happened during the plugs-out test during the delay for the spacesuit odor? </t>
  </si>
  <si>
    <t>The property of being prime (or not) is called primality. A simple but slow method of verifying the primality of a given number n is known as trial division. It consists of testing whether n is a multiple of any integer between 2 and . Algorithms much more efficient than trial division have been devised to test the primality of large numbers. These include the Miller–Rabin primality test, which is fast but has a small probability of error, and the AKS primality test, which always produces the correct answer in polynomial time but is too slow to be practical. Particularly fast methods are available for numbers of special forms, such as Mersenne numbers. As of January 2016[update], the largest known prime number has 22,338,618 decimal digits.</t>
  </si>
  <si>
    <t>1 February 2007</t>
  </si>
  <si>
    <t>Caspian Sea</t>
  </si>
  <si>
    <t>‘combs’ – groups of cilia</t>
  </si>
  <si>
    <t>Electorate</t>
  </si>
  <si>
    <t>How much of the population in the Middle East died of the plague?</t>
  </si>
  <si>
    <t>to serve and protect the public interest</t>
  </si>
  <si>
    <t>Since NASA didn't know how many attempts each test would end up requiring, what did they use instead of numbers for the trials?</t>
  </si>
  <si>
    <t>What complex measurements were defined by "On the Computational Complexity of Algorithms"?</t>
  </si>
  <si>
    <t>Manakin Episcopal Church</t>
  </si>
  <si>
    <t>best, worst and average case complexity</t>
  </si>
  <si>
    <t>mass graves in northern, central and southern Europe</t>
  </si>
  <si>
    <t>university or college.</t>
  </si>
  <si>
    <t>9 March 1508,</t>
  </si>
  <si>
    <t>the Channel Islands</t>
  </si>
  <si>
    <t>Where in Australia is Victoria located?</t>
  </si>
  <si>
    <t>overturned anticline</t>
  </si>
  <si>
    <t>Mongols beyond the Middle Kingdom saw them as too Chinese</t>
  </si>
  <si>
    <t>Which residents of Bukhara were spared and sent back to Mongolia?</t>
  </si>
  <si>
    <t>non-deterministic</t>
  </si>
  <si>
    <t>What role did Michael Oppenheimer have in the IPCC's reports?</t>
  </si>
  <si>
    <t>Islamists came to completely dominate university student unions</t>
  </si>
  <si>
    <t>ABC carries weekend events for what extreme sports competition?</t>
  </si>
  <si>
    <t>theology and philosophy</t>
  </si>
  <si>
    <t>WHat do x.25 and Frame Relay both require</t>
  </si>
  <si>
    <t>Among the most important classes of organic compounds that contain oxygen are (where "R" is an organic group): alcohols (R-OH); ethers (R-O-R); ketones (R-CO-R); aldehydes (R-CO-H); carboxylic acids (R-COOH); esters (R-COO-R); acid anhydrides (R-CO-O-CO-R); and amides (R-C(O)-NR
2). There are many important organic solvents that contain oxygen, including: acetone, methanol, ethanol, isopropanol, furan, THF, diethyl ether, dioxane, ethyl acetate, DMF, DMSO, acetic acid, and formic acid. Acetone ((CH
3)
2CO) and phenol (C
6H
5OH) are used as feeder materials in the synthesis of many different substances. Other important organic compounds that contain oxygen are: glycerol, formaldehyde, glutaraldehyde, citric acid, acetic anhydride, and acetamide. Epoxides are ethers in which the oxygen atom is part of a ring of three atoms.</t>
  </si>
  <si>
    <t>Why did OPEC raise the price of oil to $5.11?</t>
  </si>
  <si>
    <t>What did Stephen Kemble guide the Theatre Royal through?</t>
  </si>
  <si>
    <t>Which region is represented the most in the textiles collection?</t>
  </si>
  <si>
    <t>Vaccination exploits what feature of the human immune system in order to be successful?</t>
  </si>
  <si>
    <t>the world famous Safari Rally</t>
  </si>
  <si>
    <t>programs to identify, recruit, and support talented youth</t>
  </si>
  <si>
    <t>municipal building inspector</t>
  </si>
  <si>
    <t>27.7 million tons</t>
  </si>
  <si>
    <t>Which cultures are represented in the V&amp;A's collections?</t>
  </si>
  <si>
    <t>red brick and Portland stone</t>
  </si>
  <si>
    <t>What route connects Fresno with the California Central Valley?</t>
  </si>
  <si>
    <t>a shortage of affordable housing</t>
  </si>
  <si>
    <t>Sunday Service of the Methodists in North America</t>
  </si>
  <si>
    <t>Why did Tesla begin investigating invisible energy?</t>
  </si>
  <si>
    <t>What scientific field's theory has received contributions from the steam engine?</t>
  </si>
  <si>
    <t>Meuse estuary</t>
  </si>
  <si>
    <t>When did the Warsaw Uprising begin?</t>
  </si>
  <si>
    <t>What was the forerunner of the modern-day IEEE?</t>
  </si>
  <si>
    <t>2p − 1,</t>
  </si>
  <si>
    <t>How was the civil disobedience shown in Antigone?</t>
  </si>
  <si>
    <t>Hospitality Business/Financial Centre</t>
  </si>
  <si>
    <t>males</t>
  </si>
  <si>
    <t>an Italo-Norman named Raoul</t>
  </si>
  <si>
    <t>the Last Glacial Maximum (LGM) and subsequent deglaciation</t>
  </si>
  <si>
    <t>The Rhine was not known to Herodotus and first enters the historical period in the 1st century BC in Roman-era geography. At that time, it formed the boundary between Gaul and Germania. The Upper Rhine had been part of the areal of the late Hallstatt culture since the 6th century BC, and by the 1st century BC, the areal of the La Tène culture covered almost its entire length, forming a contact zone with the Jastorf culture, i.e. the locus of early Celtic-Germanic cultural contact. In Roman geography, the Rhine formed the boundary between Gallia and Germania by definition; e.g. Maurus Servius Honoratus, Commentary on the Aeneid of Vergil (8.727) (Rhenus) fluvius Galliae, qui Germanos a Gallia dividit "(The Rhine is a) river of Gaul, which divides the Germanic people from Gaul."</t>
  </si>
  <si>
    <t>the Hungarians under Ferenc Deák</t>
  </si>
  <si>
    <t>What is structural geology?</t>
  </si>
  <si>
    <t>In many countries, there is a Gender pay gap in favor of males in the labor market. Several factors other than discrimination may contribute to this gap. On average, women are more likely than men to consider factors other than pay when looking for work, and may be less willing to travel or relocate. Thomas Sowell, in his book Knowledge and Decisions, claims that this difference is due to women not taking jobs due to marriage or pregnancy, but income studies show that that does not explain the entire difference. A U.S. Census's report stated that in US once other factors are accounted for there is still a difference in earnings between women and men. The income gap in other countries ranges from 53% in Botswana to -40% in Bahrain.</t>
  </si>
  <si>
    <t>Disorders of the immune system can result in autoimmune diseases, inflammatory diseases and cancer. Immunodeficiency occurs when the immune system is less active than normal, resulting in recurring and life-threatening infections. In humans, immunodeficiency can either be the result of a genetic disease such as severe combined immunodeficiency, acquired conditions such as HIV/AIDS, or the use of immunosuppressive medication. In contrast, autoimmunity results from a hyperactive immune system attacking normal tissues as if they were foreign organisms. Common autoimmune diseases include Hashimoto's thyroiditis, rheumatoid arthritis, diabetes mellitus type 1, and systemic lupus erythematosus. Immunology covers the study of all aspects of the immune system.</t>
  </si>
  <si>
    <t>chairman and CEO</t>
  </si>
  <si>
    <t>British East Africa (as the Protectorate was generally known) and German East Africa</t>
  </si>
  <si>
    <t>a very precise notation of a correct African pronunciation</t>
  </si>
  <si>
    <t>What was Warsaw the most diverse of in Poland?</t>
  </si>
  <si>
    <t>the convecting mantle</t>
  </si>
  <si>
    <t>What made the oil crisis worse in the US?</t>
  </si>
  <si>
    <t>When was free primary school introduced?</t>
  </si>
  <si>
    <t>Shiphrah and Puah refused a direct order of Pharaoh but misrepresented how they did it</t>
  </si>
  <si>
    <t>maps</t>
  </si>
  <si>
    <t>What was the name of the contest sponsored by QuickBooks?</t>
  </si>
  <si>
    <t>Rutherford Grammar School,</t>
  </si>
  <si>
    <t>What were British plans against French?</t>
  </si>
  <si>
    <t>Where in Las Vegas did a famous protest take place?</t>
  </si>
  <si>
    <t>The Mongol army under Genghis Khan, generals and his sons crossed the Tien Shan mountains by entering the area controlled by the Khwarezmian Empire. After compiling intelligence from many sources Genghis Khan carefully prepared his army, which was divided into three groups. His son Jochi led the first division into the northeast of Khwarezmia. The second division under Jebe marched secretly to the southeast part of Khwarzemia to form, with the first division, a pincer attack on Samarkand. The third division under Genghis Khan and Tolui marched to the northwest and attacked Khwarzemia from that direction.</t>
  </si>
  <si>
    <t>What is the chloroplast polypeptide synthesized on?</t>
  </si>
  <si>
    <t>physical barriers</t>
  </si>
  <si>
    <t>Central Region</t>
  </si>
  <si>
    <t>What type of professionals are pharmacists?</t>
  </si>
  <si>
    <t>Since about the year 2000, a growing number of Internet pharmacies have been established worldwide. Many of these pharmacies are similar to community pharmacies, and in fact, many of them are actually operated by brick-and-mortar community pharmacies that serve consumers online and those that walk in their door. The primary difference is the method by which the medications are requested and received. Some customers consider this to be more convenient and private method rather than traveling to a community drugstore where another customer might overhear about the drugs that they take. Internet pharmacies (also known as online pharmacies) are also recommended to some patients by their physicians if they are homebound.</t>
  </si>
  <si>
    <t>What is the edge of the moraine plateau called?</t>
  </si>
  <si>
    <t>During his time at his lab, Tesla observed unusual signals from his receiver which he concluded may be communications from another planet. He mentioned them in a letter to reporter Julian Hawthorne at the Philadelphia North American on 8 December 1899 and in a December 1900 letter about possible discoveries in the new century to the Red Cross Society where he referred to messages "from another world" that read "1... 2... 3...". Reporters treated it as a sensational story and jumped to the conclusion Tesla was hearing signals from Mars. He expanded on the signals he heard in a 9 February 1901 Collier's Weekly article "Talking With Planets" where he said it had not been immediately apparent to him that he was hearing "intelligently controlled signals" and that the signals could come from Mars, Venus, or other planets. It has been hypothesized that he may have intercepted Marconi's European experiments in July 1899—Marconi may have transmitted the letter S (dot/dot/dot) in a naval demonstration, the same three impulses that Tesla hinted at hearing in Colorado—or signals from another experimenter in wireless transmission.</t>
  </si>
  <si>
    <t>Service Module</t>
  </si>
  <si>
    <t>exaggerating their seriousness</t>
  </si>
  <si>
    <t>five inches</t>
  </si>
  <si>
    <t>age six years</t>
  </si>
  <si>
    <t>In what month is the university's scavenger hunt?</t>
  </si>
  <si>
    <t>refuse to sign bail</t>
  </si>
  <si>
    <t>Protestant denomination</t>
  </si>
  <si>
    <t>Where did the residents of Antioch flee to?</t>
  </si>
  <si>
    <t>What party rules in Melbourne's inner regions?</t>
  </si>
  <si>
    <t>European Union law</t>
  </si>
  <si>
    <t>angina</t>
  </si>
  <si>
    <t>What weapon caused the wounds that killed Tangut general Ma Jianlong?</t>
  </si>
  <si>
    <t>pharmacy legislation</t>
  </si>
  <si>
    <t>free gift</t>
  </si>
  <si>
    <t>Who has composed the Doctor Who incidental music since 2005?</t>
  </si>
  <si>
    <t>During Reconstruction and the Gilded Age, Jacksonville and nearby St. Augustine became popular winter resorts for the rich and famous. Visitors arrived by steamboat and later by railroad. President Grover Cleveland attended the Sub-Tropical Exposition in the city on February 22, 1888 during his trip to Florida. This highlighted the visibility of the state as a worthy place for tourism. The city's tourism, however, was dealt major blows in the late 19th century by yellow fever outbreaks. In addition, extension of the Florida East Coast Railway further south drew visitors to other areas. From 1893 to 1938 Jacksonville was the site of the Florida Old Confederate Soldiers and Sailors Home with a nearby cemetery.</t>
  </si>
  <si>
    <t>How many affiliates does Sinclair Broadcast Group service or own?</t>
  </si>
  <si>
    <t>By the opening of the 2008 General Conference, what was the total UMC membership?</t>
  </si>
  <si>
    <t>What was the protest in Antigone about?</t>
  </si>
  <si>
    <t>a decrease in the price of skilled labor</t>
  </si>
  <si>
    <t>NBC Blue and NBC Red</t>
  </si>
  <si>
    <t>Captain Francis Fowke</t>
  </si>
  <si>
    <t>What factors negatively impacted Jacksonville following the war?</t>
  </si>
  <si>
    <t>Current faculty include the anthropologist Marshall Sahlins, historian Dipesh Chakrabarty, paleontologists Neil Shubin and Paul Sereno, evolutionary biologist Jerry Coyne, Nobel prize winning physicist Yoichiro Nambu, Nobel prize winning physicist James Cronin, Nobel Prize winning economists Eugene Fama, James Heckman, Lars Peter Hansen, Roger Myerson and Robert Lucas, Jr., Freakonomics author and noted economist Steven Levitt, current governor of India's central bank Raghuram Rajan, the 74th United States Secretary of the Treasury and former Goldman Sachs Chairman and CEO Hank Paulson, former Chairman of President Barack Obama's Council of Economic Advisors Austan Goolsbee, Shakespeare scholar David Bevington, and renowned political scientists John Mearsheimer and Robert Pape.</t>
  </si>
  <si>
    <t>the natural specificity</t>
  </si>
  <si>
    <t>"Bairn" and "hyem" have origins from what culture?</t>
  </si>
  <si>
    <t>growth</t>
  </si>
  <si>
    <t>slash and burn method</t>
  </si>
  <si>
    <t>two atoms</t>
  </si>
  <si>
    <t>wide variety of industries</t>
  </si>
  <si>
    <t>Kurt H. Debus was appointed what position for the Launch Operations Center?</t>
  </si>
  <si>
    <t>the southeast</t>
  </si>
  <si>
    <t>easier and more efficient</t>
  </si>
  <si>
    <t>The collection of Italian, Medieval, Renaissance, Baroque and Neoclassical sculpture (both original and in cast form) is unequalled outside of Italy. It includes Canova's The Three Graces, which the museum jointly owns with National Galleries of Scotland. Italian sculptors whose work is held by the museum include: Bartolomeo Bon, Bartolomeo Bellano, Luca della Robbia, Giovanni Pisano, Donatello, Agostino di Duccio, Andrea Riccio, Antonio Rossellino, Andrea del Verrocchio, Antonio Lombardo, Pier Jacopo Alari Bonacolsi, Andrea della Robbia, Michelozzo di Bartolomeo, Michelangelo (represented by a freehand wax model and casts of his most famous sculptures), Jacopo Sansovino, Alessandro Algardi, Antonio Calcagni, Benvenuto Cellini (Medusa's head dated c. 1547), Agostino Busti, Bartolomeo Ammannati, Giacomo della Porta, Giambologna (Samson Slaying a Philistine (Giambologna) c. 1562, his finest work outside Italy), Bernini (Neptune and Triton c. 1622–3), Giovanni Battista Foggini, Vincenzo Foggini (Samson and the Philistines), Massimiliano Soldani Benzi, Antonio Corradini, Andrea Brustolon, Giovanni Battista Piranesi, Innocenzo Spinazzi, Canova, Carlo Marochetti and Raffaelle Monti. An unusual sculpture is the ancient Roman statue of Narcissus restored by Valerio Cioli c1564 with plaster. There are several small scale bronzes by Donatello, Alessandro Vittoria, Tiziano Aspetti and Francesco Fanelli in the collection. The largest item from Italy is the Chancel Chapel from Santa Chiara Florence dated 1493–1500, designed by Giuliano da Sangallo it is 11.1 metres in height by 5.4 metres square, it includes a grand sculpted tabernacle by Antonio Rossellino and coloured terracotta decoration.</t>
  </si>
  <si>
    <t>Wartburg Castle</t>
  </si>
  <si>
    <t>Howard Zinn writes, "There may be many times when protesters choose to go to jail, as a way of continuing their protest, as a way of reminding their countrymen of injustice. But that is different than the notion that they must go to jail as part of a rule connected with civil disobedience. The key point is that the spirit of protest should be maintained all the way, whether it is done by remaining in jail, or by evading it. To accept jail penitently as an accession to 'the rules' is to switch suddenly to a spirit of subservience, to demean the seriousness of the protest...In particular, the neo-conservative insistence on a guilty plea should be eliminated."</t>
  </si>
  <si>
    <t>General Pharmaceutical Council (GPhC)</t>
  </si>
  <si>
    <t>five-year course of study at an</t>
  </si>
  <si>
    <t>$105 billion</t>
  </si>
  <si>
    <t>wine as well as the bread</t>
  </si>
  <si>
    <t>science-fiction</t>
  </si>
  <si>
    <t>Why has the Muslim Brotherhood facilitated inexpensive mass marriage ceremonies?</t>
  </si>
  <si>
    <t>sex offenders register</t>
  </si>
  <si>
    <t>Lorentz's Law</t>
  </si>
  <si>
    <t>union of the Methodist Church (USA) and the Evangelical United Brethren Church</t>
  </si>
  <si>
    <t>7 January 1943</t>
  </si>
  <si>
    <t>High pressure steam engines were small enough that they could be used in what application?</t>
  </si>
  <si>
    <t>Khitan rulers,</t>
  </si>
  <si>
    <t>Where does oxygen rank by mass in the planet's biosphere?</t>
  </si>
  <si>
    <t>What did Jim Gray cover?</t>
  </si>
  <si>
    <t>Northern Chinese</t>
  </si>
  <si>
    <t>the prime number intervals between emergences make it very difficult for predators to evolve that could specialize as predators on Magicicadas</t>
  </si>
  <si>
    <t>On April 14, 2011, ABC canceled the long-running soap operas All My Children and One Life to Live after 41 and 43 years on the air, respectively (following backlash from fans, ABC sold the rights to both shows to Prospect Park, which eventually revived the soaps on Hulu for one additional season in 2013 and with both companies suing one another for allegations of interference with the process of reviving the shows, failure to pay licensing fees and issues over ABC's use of certain characters from One Live to Live on General Hospital during the transition). The talk/lifestyle show that replaced One Life to Live, The Revolution, failed to generate satisfactory ratings and was in turn canceled after only seven months. The 2011–12 season saw ABC drop to fourth place in the 18–49 demographic despite renewing a handful of new shows (including freshmen dramas Scandal, Revenge and Once Upon a Time) for second seasons.</t>
  </si>
  <si>
    <t>Elton Rule</t>
  </si>
  <si>
    <t>their inherent difficulty</t>
  </si>
  <si>
    <t>How was the fate of Luther decided?</t>
  </si>
  <si>
    <t>What is the balance for positive reinforcement?</t>
  </si>
  <si>
    <t>When are recent episodes of ABC shows typically made available on VOD services?</t>
  </si>
  <si>
    <t>Some 5 million</t>
  </si>
  <si>
    <t>In 2008, Japan Aerospace Exploration Agency's SELENE probe observed evidence of the halo surrounding the Apollo 15 Lunar Module blast crater while orbiting above the lunar surface. In 2009, NASA's robotic Lunar Reconnaissance Orbiter, while orbiting 50 kilometers (31 mi) above the Moon, began photographing the remnants of the Apollo program left on the lunar surface, and photographed each site where manned Apollo flights landed. All of the U. S. flags left on the Moon during the Apollo missions were found to still be standing, with the exception of the one left during the Apollo 11 mission, which was blown over during that mission's lift-off from the lunar surface and return to the mission Command Module in lunar orbit; the degree to which these flags retain their original colors remains unknown.</t>
  </si>
  <si>
    <t>The church holds that they are equally bound to respect the sacredness of the life and well-being of whom?</t>
  </si>
  <si>
    <t>Kenya's first system of education was introduced by British colonists. After Kenya's independence on 12 December 1963, an authority named the Ominde Commission was formed to introduce changes that would reflect the nation's sovereignty. The commission focused on identity and unity, which were critical issues at the time. Changes in the subject content of history and geography were made to reflect national cohesion. Between 1964 and 1985, the 7–4–2–3 system was adopted – seven years of primary, four years of lower secondary, two years of upper secondary, and three years of university. All schools had a common curriculum.</t>
  </si>
  <si>
    <t>ministers or party leaders</t>
  </si>
  <si>
    <t>Augustinian cloister in Erfurt</t>
  </si>
  <si>
    <t>What does "TGIF" stand for?</t>
  </si>
  <si>
    <t>Kublai's government faced financial difficulties after 1279. Wars and construction projects had drained the Mongol treasury. Efforts to raise and collect tax revenues were plagued by corruption and political scandals. Mishandled military expeditions followed the financial problems. Kublai's second invasion of Japan in 1281 failed because of an inauspicious typhoon. Kublai botched his campaigns against Annam, Champa, and Java, but won a Pyrrhic victory against Burma. The expeditions were hampered by disease, an inhospitable climate, and a tropical terrain unsuitable for the mounted warfare of the Mongols. The Tran dynasty which ruled Annam (Dai Viet) crushed and defeated the Mongols at the Battle of Bạch Đằng (1288). The Chinese region of Fujian was the original home of the Chinese Tran (Chen) clan before they migrated under Trần Kinh (陳京, Chén Jīng) to Dai Viet and whose descendants established the Trần dynasty which ruled Vietnam Đại Việt, and certain members of the clan could still speak Chinese such as when a Yuan dynasty envoy had a meeting with the Chinese-speaking Trần prince Trần Quốc Tuấn (later King Trần Hưng Đạo) in 1282. Professor Liam Kelley noted that people from Song dynasty China like Zhao Zhong and Xu Zongdao fled to Tran dynasty ruled Vietnam after the Mongol invasion of the Song and they helped the Tran fight against the Mongol invasion. The Tran dynasty originated from the Fujian region of China as did the Daoist cleric Xu Zongdao who recorded the Mongol invasion and referred to them as "Northern bandits". Annam, Burma, and Champa recognized Mongol hegemony and established tributary relations with the Yuan dynasty.</t>
  </si>
  <si>
    <t>Which ctenophora have been studies the most?</t>
  </si>
  <si>
    <t xml:space="preserve">Who else did DATNET 1 refer to </t>
  </si>
  <si>
    <t>What NASA astronaut is also a university alumni member?</t>
  </si>
  <si>
    <t>Sundays</t>
  </si>
  <si>
    <t>northern and southern</t>
  </si>
  <si>
    <t>Are ctenophores predators, vegetarian or parasitic?</t>
  </si>
  <si>
    <t>What are stators attached to?</t>
  </si>
  <si>
    <t>After the Rhine emerges from Lake Constance, what direction does it flow?</t>
  </si>
  <si>
    <t>territory east of the Mississippi</t>
  </si>
  <si>
    <t>increasing access to education</t>
  </si>
  <si>
    <t>Warsaw's first stock exchange was established in 1817 and continued trading until World War II. It was re-established in April 1991, following the end of the post-war communist control of the country and the reintroduction of a free-market economy. Today, the Warsaw Stock Exchange (WSE) is, according to many indicators, the largest market in the region, with 374 companies listed and total capitalization of 162 584 mln EUR as of 31 August 2009. From 1991 until 2000, the stock exchange was, ironically, located in the building previously used as the headquarters of the Polish United Workers' Party (PZPR).</t>
  </si>
  <si>
    <t>European Court of Justice</t>
  </si>
  <si>
    <t>establishing relationships with other necessary participants through the design-build process</t>
  </si>
  <si>
    <t>late 19th century</t>
  </si>
  <si>
    <t>he had noticed damaged film in his laboratory</t>
  </si>
  <si>
    <t>Imperialism is responsible for the rapid spread of what?</t>
  </si>
  <si>
    <t>Where do chloroplasts pump hydrogen?</t>
  </si>
  <si>
    <t>What term did he use for what he believed would be humanity's future rulers?</t>
  </si>
  <si>
    <t>What were the win/loss game stats for the Denver Bronco's regular season in 2015?</t>
  </si>
  <si>
    <t>in the parts of the internal canal network under the comb rows</t>
  </si>
  <si>
    <t>church conference</t>
  </si>
  <si>
    <t>What type of shadow does the North Pennines cast?</t>
  </si>
  <si>
    <t>The edict protected Catholics by discouraging what?</t>
  </si>
  <si>
    <t>Who designed the Sage Gateshead music center?</t>
  </si>
  <si>
    <t>What was the name of the Marco Polo episode?</t>
  </si>
  <si>
    <t>What force acts between electric charges?</t>
  </si>
  <si>
    <t>Bill Aken</t>
  </si>
  <si>
    <t>How much did Capital Cities/ABC report in revenues in 1990?</t>
  </si>
  <si>
    <t>The United Methodist Church is organized into conferences. The highest level is called the General Conference and is the only organization which may speak officially for the church. The General Conference meets every four years (quadrennium). Legislative changes are recorded in The Book of Discipline which is revised after each General Conference. Non-legislative resolutions are recorded in the Book of Resolutions, which is published after each General Conference, and expire after eight years unless passed again by a subsequent session of General Conference. The last General Conference was held in Tampa, Florida, in 2012. The event is currently rotated between the U.S. jurisdictions of the church. The 2016 General Conference will be in Portland, Oregon. Bishops, Councils, Committees, Boards, Elders, etc., are not permitted to speak on behalf of The United Methodist Church as this authority is reserved solely for the General Conference in accordance with the Book of Discipline.</t>
  </si>
  <si>
    <t>In the most common construction procurement, who acts as the project coordinator?</t>
  </si>
  <si>
    <t>What age does basic education start?</t>
  </si>
  <si>
    <t>John Wesley originally called this experience the New Birth.</t>
  </si>
  <si>
    <t>What type of treatment are pharmacists important for?</t>
  </si>
  <si>
    <t>Lunar Roving Vehicle</t>
  </si>
  <si>
    <t>What religion is the western region mostly?</t>
  </si>
  <si>
    <t>Long-term active memory is acquired following infection by activation of B and T cells. Active immunity can also be generated artificially, through vaccination. The principle behind vaccination (also called immunization) is to introduce an antigen from a pathogen in order to stimulate the immune system and develop specific immunity against that particular pathogen without causing disease associated with that organism. This deliberate induction of an immune response is successful because it exploits the natural specificity of the immune system, as well as its inducibility. With infectious disease remaining one of the leading causes of death in the human population, vaccination represents the most effective manipulation of the immune system mankind has developed.</t>
  </si>
  <si>
    <t>a fixed set of rules to determine its future actions</t>
  </si>
  <si>
    <t>How many actors have played Doctor Who?</t>
  </si>
  <si>
    <t xml:space="preserve">When was Tesla's innovative motor patented? </t>
  </si>
  <si>
    <t>second-largest city</t>
  </si>
  <si>
    <t>What was the goal of congress?</t>
  </si>
  <si>
    <t>communication</t>
  </si>
  <si>
    <t>John 8:7.</t>
  </si>
  <si>
    <t>members of the International Association of Methodist-related Schools, Colleges, and Universities. The church operates three hundred sixty scho</t>
  </si>
  <si>
    <t>In this equation, a dimensional constant  is used to describe the relative strength of gravity. This constant has come to be known as Newton's Universal Gravitation Constant, though its value was unknown in Newton's lifetime. Not until 1798 was Henry Cavendish able to make the first measurement of  using a torsion balance; this was widely reported in the press as a measurement of the mass of the Earth since knowing  could allow one to solve for the Earth's mass given the above equation. Newton, however, realized that since all celestial bodies followed the same laws of motion, his law of gravity had to be universal. Succinctly stated, Newton's Law of Gravitation states that the force on a spherical object of mass  due to the gravitational pull of mass  is</t>
  </si>
  <si>
    <t>Where are some of the best medical facilities in East-Central Europe located?</t>
  </si>
  <si>
    <t>The Victorian Alps</t>
  </si>
  <si>
    <t>Khentii Aimag</t>
  </si>
  <si>
    <t>firms engaged in managing construction projects without assuming direct financial responsibility for completion of the construction project</t>
  </si>
  <si>
    <t xml:space="preserve">What is the boundary between the High and Upper Rhine? </t>
  </si>
  <si>
    <t>what sort of design was this motor?</t>
  </si>
  <si>
    <t>Paramount paid fo, 10 Cloverfield Lane and which other film trailer to be aired during the game?</t>
  </si>
  <si>
    <t>late 2008</t>
  </si>
  <si>
    <t>At first he sent missionaries, backed by a fund to financially reward converts to Catholicism</t>
  </si>
  <si>
    <t>case law by the Court of Justice</t>
  </si>
  <si>
    <t>What is a common occurrence during summer days?</t>
  </si>
  <si>
    <t>the Pauli exclusion principle</t>
  </si>
  <si>
    <t>Ireland</t>
  </si>
  <si>
    <t>X-ray-producing devices</t>
  </si>
  <si>
    <t>Where do plenary meetings take place?</t>
  </si>
  <si>
    <t>When did Menich serve as President?</t>
  </si>
  <si>
    <t>What was the objective of Royal Proclamation of 1763?</t>
  </si>
  <si>
    <t>Who were the astronauts aboard the Apollo 11 mission?</t>
  </si>
  <si>
    <t>What did John Paul II's visits in 1979 and 1983 encourage?</t>
  </si>
  <si>
    <t>When did Disney-ABC Television group implement restrictions on Hulu and WATCH ABC to encourage live viewing?</t>
  </si>
  <si>
    <t>When the Rhine emerges from Lake Constance which way does it flow?</t>
  </si>
  <si>
    <t>a residual of the force</t>
  </si>
  <si>
    <t>pastor</t>
  </si>
  <si>
    <t>What was the period called that was 505 million years ago?</t>
  </si>
  <si>
    <t>What organization's teaching did Luther reject?</t>
  </si>
  <si>
    <t>What does the original manuscript show?</t>
  </si>
  <si>
    <t>Apollo 8 was planned to be the D mission in December 1968, crewed by McDivitt, Scott and Schweickart, launched on a Saturn V instead of two Saturn IBs. In the summer it had become clear that the LM would not be ready in time. Rather than waste the Saturn V on another simple Earth-orbiting mission, ASPO Manager George Low suggested the bold step of sending Apollo 8 to orbit the Moon instead, deferring the D mission to the next mission in March 1969, and eliminating the E mission. This would keep the program on track. The Soviet Union had sent animals around the Moon on September 15, 1968, aboard Zond 5, and it was believed they might soon repeat the feat with human cosmonauts. The decision was not announced publicly until successful completion of Apollo 7. Gemini veterans Frank Borman and James Lovell, and rookie William Anders captured the world's attention by making 10 lunar orbits in 20 hours, transmitting television pictures of the lunar surface on Christmas Eve, and returning safely to Earth.</t>
  </si>
  <si>
    <t>Dorothy and Michael Hintze</t>
  </si>
  <si>
    <t>ideal pulleys</t>
  </si>
  <si>
    <t>Standard Model</t>
  </si>
  <si>
    <t>same-gender marriages with resolutions</t>
  </si>
  <si>
    <t>What happened to his lab?</t>
  </si>
  <si>
    <t>catch more sunlight in deep water</t>
  </si>
  <si>
    <t>On March 17, 1752, the Governor-General of New France, Marquis de la Jonquière, died and was temporarily replaced by Charles le Moyne de Longueuil. His permanent replacement, the Marquis Duquesne, did not arrive in New France until 1752 to take over the post. The continuing British activity in the Ohio territories prompted Longueuil to dispatch another expedition to the area under the command of Charles Michel de Langlade, an officer in the Troupes de la Marine. Langlade was given 300 men, including French-Canadians and warriors of the Ottawa. His objective was to punish the Miami people of Pickawillany for not following Céloron's orders to cease trading with the British. On June 21, the French war party attacked the trading centre at Pickawillany, capturing three traders and killing 14 people of the Miami nation, including Old Briton. He was reportedly ritually cannibalized by some aboriginal members of the expedition.</t>
  </si>
  <si>
    <t>that increase was the same as the weight of the air that rushed back in</t>
  </si>
  <si>
    <t>analysis of algorithms and computability theory</t>
  </si>
  <si>
    <t>the Saxon Garden</t>
  </si>
  <si>
    <t>grace</t>
  </si>
  <si>
    <t>What caused changes in the Amazon rainforest vegetation?</t>
  </si>
  <si>
    <t>What, to Luther had the Church lost sight of?</t>
  </si>
  <si>
    <t>What was the name of the 1991 Doctor Who exhibition?</t>
  </si>
  <si>
    <t>What did Temüjin offer Jamukha after the latter's defeat?</t>
  </si>
  <si>
    <t>no French regular army troops were stationed in North America</t>
  </si>
  <si>
    <t>How many ABC music stations were owned-and-operated in 1968?</t>
  </si>
  <si>
    <t>Y. pestis was the causative agent of the epidemic plague</t>
  </si>
  <si>
    <t>The expedition was a disaster</t>
  </si>
  <si>
    <t>When is Luther commemorated in the Lutheran Calendar of Saints ?</t>
  </si>
  <si>
    <t>Who were later Yuan emperors isolated from?</t>
  </si>
  <si>
    <t>McGann and Eccleston's Doctors</t>
  </si>
  <si>
    <t>What concept is frequently used to define complexity classes?</t>
  </si>
  <si>
    <t>28.5°E</t>
  </si>
  <si>
    <t xml:space="preserve">What treaty took the place of constitutional treaty? </t>
  </si>
  <si>
    <t>he arrived too late to enroll at Charles-Ferdinand University; he never studied Greek, a required subject; and he was illiterate in Czech</t>
  </si>
  <si>
    <t>shortened form of the masculine name of Slavic origin Warcisław</t>
  </si>
  <si>
    <t>recent anthropological</t>
  </si>
  <si>
    <t>historical political divisions</t>
  </si>
  <si>
    <t>Scottish</t>
  </si>
  <si>
    <t>Who owns more wealth than the bottom 90 percent of people in the U.S.?</t>
  </si>
  <si>
    <t>What direction did Watson say the mistake went in?</t>
  </si>
  <si>
    <t>What do students learn about in confirmation and membership preparation classes?</t>
  </si>
  <si>
    <t>What do Plastoglobuli exchange contents with?</t>
  </si>
  <si>
    <t>easterly</t>
  </si>
  <si>
    <t>What has replaced the former shipping premises?</t>
  </si>
  <si>
    <t>infected corpses</t>
  </si>
  <si>
    <t>previously separated specialties</t>
  </si>
  <si>
    <t>What should be avoided when talking to authorities?</t>
  </si>
  <si>
    <t>negative long-term impact on the health</t>
  </si>
  <si>
    <t>in recent decades</t>
  </si>
  <si>
    <t>What is the paper written by Richard Karp in 1972 that ushered in a new era of understanding between intractability and NP-complete problems?</t>
  </si>
  <si>
    <t>binary</t>
  </si>
  <si>
    <t>November 22,</t>
  </si>
  <si>
    <t>Tesla's demonstration of his induction motor and Westinghouse's subsequent licensing of the patent, both in 1888, put Tesla firmly on the "AC" side of the so-called "War of Currents," an electrical distribution battle being waged between Thomas Edison and George Westinghouse that had been simmering since Westinghouse's first AC system in 1886 and had reached the point of all-out warfare by 1888. This started out as a competition between rival lighting systems with Edison holding all the patents for DC and the incandescent light and Westinghouse using his own patented AC system to power arc lights as well as incandescent lamps of a slightly different design to get around the Edison patent. The acquisition of a feasible AC motor gave Westinghouse a key patent in building a completely integrated AC system, but the financial strain of buying up patents and hiring the engineers needed to build it meant development of Tesla's motor had to be put on hold for a while. The competition resulted in Edison Machine Works pursuing AC development in 1890 and by 1892 Thomas Edison was no longer in control of his own company, which was consolidated into the conglomerate General Electric and converting to an AC delivery system at that point.</t>
  </si>
  <si>
    <t>degrees of privilege</t>
  </si>
  <si>
    <t>What Catholic Church liturgical belief did Lortie criticize openly?</t>
  </si>
  <si>
    <t>Collingwood Street</t>
  </si>
  <si>
    <t>ambiguous</t>
  </si>
  <si>
    <t>Who owns the rail lines in Victoria?</t>
  </si>
  <si>
    <t>What manner of words does Mullet think Luther would choose?</t>
  </si>
  <si>
    <t>sediment load</t>
  </si>
  <si>
    <t>was increased</t>
  </si>
  <si>
    <t>conflicting territorial claims between British and French</t>
  </si>
  <si>
    <t>What is the mlolongo system?</t>
  </si>
  <si>
    <t>What do scholars sometimes assert that Luther believed about what faith and reason were to each other?</t>
  </si>
  <si>
    <t>When extensive time is required to sort integers, this represents what case complexity?</t>
  </si>
  <si>
    <t>What was his belief as to what nature was supposed to be?</t>
  </si>
  <si>
    <t>salt and iron</t>
  </si>
  <si>
    <t>What combined with ricing prices to make it difficult or impossible for poor people to keep pace?</t>
  </si>
  <si>
    <t>telepathy</t>
  </si>
  <si>
    <t>major record companies</t>
  </si>
  <si>
    <t>Who lost to the Broncos in the AFC Championship?</t>
  </si>
  <si>
    <t>25-foot (7.6 m) high</t>
  </si>
  <si>
    <t>28 February 2008</t>
  </si>
  <si>
    <t>five volume book in his native Greek</t>
  </si>
  <si>
    <t>each side is capable of performing the obligations set out</t>
  </si>
  <si>
    <t>T cells</t>
  </si>
  <si>
    <t>default emission factors</t>
  </si>
  <si>
    <t>When did the Meuse and Waal merge?</t>
  </si>
  <si>
    <t>Where was the Feb 2010 call for change published?</t>
  </si>
  <si>
    <t>viewed as not being a civil disobedient</t>
  </si>
  <si>
    <t>What was the only comedy to earn a second season for the 2010-11 schedule?</t>
  </si>
  <si>
    <t>city hall.</t>
  </si>
  <si>
    <t>town council</t>
  </si>
  <si>
    <t>three epicenters</t>
  </si>
  <si>
    <t>Some Chinese considered the Yuan a legitimate dynasty, but what did other Chinese think it was?</t>
  </si>
  <si>
    <t>Who acts as laborer, paymaster, and design team for a renovation project?</t>
  </si>
  <si>
    <t>secular and sacred covering both Christian (Roman Catholic, Anglican and Greek Orthodox) and Jewish liturgical vessels and items</t>
  </si>
  <si>
    <t>technological changes and globalization</t>
  </si>
  <si>
    <t>when did the English High court find Microsoft's use of the term "SkyDrive" infringed on Sky's right?</t>
  </si>
  <si>
    <t>How do socialists think the means of production should be owned?</t>
  </si>
  <si>
    <t>What conjecture holds that there is an infinite amount of twin primes?</t>
  </si>
  <si>
    <t>seizures</t>
  </si>
  <si>
    <t>black-and-yellow</t>
  </si>
  <si>
    <t>What is a reason for the movement to legalize importing medicines from other countries?</t>
  </si>
  <si>
    <t>What is generated between a surface and an object that is being pushed?</t>
  </si>
  <si>
    <t>with Polymerase Chain Reaction (PCR)</t>
  </si>
  <si>
    <t>tears</t>
  </si>
  <si>
    <t>additional membranes outside of the original two</t>
  </si>
  <si>
    <t>In the United Kingdom and several other Commonwealth countries including Australia and Canada, the use of the term is generally restricted to primary and secondary educational levels; it is almost never used of universities and other tertiary institutions. Private education in North America covers the whole gamut of educational activity, ranging from pre-school to tertiary level institutions. Annual tuition fees at K-12 schools range from nothing at so called 'tuition-free' schools to more than $45,000 at several New England preparatory schools.</t>
  </si>
  <si>
    <t>soy</t>
  </si>
  <si>
    <t>The 8- and 10-county definitions are not used for the greater Southern California Megaregion, one of the 11 megaregions of the United States. The megaregion's area is more expansive, extending east into Las Vegas, Nevada, and south across the Mexican border into Tijuana.</t>
  </si>
  <si>
    <t>a violation of criminal law that does not infringe the rights of others.</t>
  </si>
  <si>
    <t>What made Ohio Country vulnerable?</t>
  </si>
  <si>
    <t>an evaluation of the appropriateness of the drug therapy</t>
  </si>
  <si>
    <t>What theology states that faith alone isn't enough to justify man?</t>
  </si>
  <si>
    <t>tuition</t>
  </si>
  <si>
    <t>50% to 60%</t>
  </si>
  <si>
    <t>the Monroe Doctrine</t>
  </si>
  <si>
    <t>computability theory</t>
  </si>
  <si>
    <t>strange odor in their spacesuits</t>
  </si>
  <si>
    <t>How would one describe the summers in Fresno?</t>
  </si>
  <si>
    <t>2:45 a.m.</t>
  </si>
  <si>
    <t>the public PAD service Telepad</t>
  </si>
  <si>
    <t>What was the name of the blind date concept program debuted by ABC in 1966?</t>
  </si>
  <si>
    <t>Who has the authority of a pastor only within the context and during the time of the appointment?</t>
  </si>
  <si>
    <t>What tactic did researchers employ to offset the former deficit of work surrounding the complexity of algorithmic problems?</t>
  </si>
  <si>
    <t>fern</t>
  </si>
  <si>
    <t>uncertainty</t>
  </si>
  <si>
    <t>to punish Christians</t>
  </si>
  <si>
    <t>overseas colonies</t>
  </si>
  <si>
    <t>able to vote on domestic legislation that applies only to England, Wales and Northern Ireland</t>
  </si>
  <si>
    <t>circa 1964–1965</t>
  </si>
  <si>
    <t>The pattern of warfare, followed by brief periods of peace, continued for nearly another quarter-century. The warfare was definitively quelled in 1598, when Henry of Navarre, having succeeded to the French throne as Henry IV, and having recanted Protestantism in favour of Roman Catholicism, issued the Edict of Nantes. The Edict reaffirmed Catholicism as the state religion of France, but granted the Protestants equality with Catholics under the throne and a degree of religious and political freedom within their domains. The Edict simultaneously protected Catholic interests by discouraging the founding of new Protestant churches in Catholic-controlled regions.[citation needed]</t>
  </si>
  <si>
    <t>the Church of England.</t>
  </si>
  <si>
    <t>Who introduced plague to Europe?</t>
  </si>
  <si>
    <t>six</t>
  </si>
  <si>
    <t>Who was ABC's third major rival in 1949?</t>
  </si>
  <si>
    <t>United States</t>
  </si>
  <si>
    <t>Swiss-Austrian border</t>
  </si>
  <si>
    <t>Outside of livestock, what else was considered a major industry in the agriculture regions?</t>
  </si>
  <si>
    <t>medicines</t>
  </si>
  <si>
    <t>What is the status of most chloroplast genes in the mitochondrion?</t>
  </si>
  <si>
    <t>Battle of Olustee</t>
  </si>
  <si>
    <t>ten times more</t>
  </si>
  <si>
    <t>the repulsion of like charges under the influence of the electromagnetic force</t>
  </si>
  <si>
    <t>to civilize the inferior</t>
  </si>
  <si>
    <t>Since Luther believed that the Turks were sent by God, what was their purpose?</t>
  </si>
  <si>
    <t>187 feet</t>
  </si>
  <si>
    <t>explore computer networking</t>
  </si>
  <si>
    <t>What did Jews refuse to accept that caused Luther to call them blasphemers and liars?</t>
  </si>
  <si>
    <t>27 July 2008</t>
  </si>
  <si>
    <t>How long are students required to learn Welsh?</t>
  </si>
  <si>
    <t>helper T cells, cytotoxic T cells and NK cells</t>
  </si>
  <si>
    <t>The aim of the French competition law was to do what?</t>
  </si>
  <si>
    <t>like true larvae</t>
  </si>
  <si>
    <t>What was the accepted length of the Rhine prior to 1932?</t>
  </si>
  <si>
    <t>a restaurant</t>
  </si>
  <si>
    <t>in Article 5</t>
  </si>
  <si>
    <t>professional fundraiser</t>
  </si>
  <si>
    <t>non-specific</t>
  </si>
  <si>
    <t>the Cape of Good Hope</t>
  </si>
  <si>
    <t>lack of net force</t>
  </si>
  <si>
    <t>Bell Northern Research</t>
  </si>
  <si>
    <t>A steep and steady decline</t>
  </si>
  <si>
    <t>Concrete bounding of computation time frequently produces complexity classes contingent upon what?</t>
  </si>
  <si>
    <t>What process is responsible for the planet's oxygen content?</t>
  </si>
  <si>
    <t>Charlotte Muzar</t>
  </si>
  <si>
    <t>In 1516, Johann Tetzel, a Dominican friar and papal commissioner for indulgences, was sent to Germany by the Roman Catholic Church to sell indulgences to raise money to rebuild St. Peter's Basilica in Rome. Roman Catholic theology stated that faith alone, whether fiduciary or dogmatic, cannot justify man; justification rather depends only on such faith as is active in charity and good works (fides caritate formata). The benefits of good works could be obtained by donating money to the church.</t>
  </si>
  <si>
    <t>A method to lessen the magnitude of this heating and cooling was invented in 1804 by British engineer Arthur Woolf, who patented his Woolf high-pressure compound engine in 1805. In the compound engine, high-pressure steam from the boiler expands in a high-pressure (HP) cylinder and then enters one or more subsequent lower-pressure (LP) cylinders. The complete expansion of the steam now occurs across multiple cylinders and as less expansion now occurs in each cylinder less heat is lost by the steam in each. This reduces the magnitude of cylinder heating and cooling, increasing the efficiency of the engine. By staging the expansion in multiple cylinders, torque variability can be reduced. To derive equal work from lower-pressure steam requires a larger cylinder volume as this steam occupies a greater volume. Therefore, the bore, and often the stroke, are increased in low-pressure cylinders resulting in larger cylinders.</t>
  </si>
  <si>
    <t>What can chloroplasts change into?</t>
  </si>
  <si>
    <t>The Mongol rulers patronized the Yuan printing industry. Chinese printing technology was transferred to the Mongols through Kingdom of Qocho and Tibetan intermediaries. Some Yuan documents such as Wang Zhen's Nong Shu were printed with earthenware movable type, a technology invented in the 12th century. However, most published works were still produced through traditional block printing techniques. The publication of a Taoist text inscribed with the name of Töregene Khatun, Ögedei's wife, is one of the first printed works sponsored by the Mongols. In 1273, the Mongols created the Imperial Library Directorate, a government-sponsored printing office. The Yuan government established centers for printing throughout China. Local schools and government agencies were funded to support the publishing of books.</t>
  </si>
  <si>
    <t>Where did Luther go on 17 July 1505?</t>
  </si>
  <si>
    <t>Who works to get workers higher compensation?</t>
  </si>
  <si>
    <t>private networks were often connected via gateways to the public network to reach locations not on the private network</t>
  </si>
  <si>
    <t>11,000 years</t>
  </si>
  <si>
    <t>26.7%</t>
  </si>
  <si>
    <t>Japan took part of Sakhalin Island</t>
  </si>
  <si>
    <t>What is the largest co-ed independent school in Newcastle?</t>
  </si>
  <si>
    <t>to "float" (rise and fall according to market demand)</t>
  </si>
  <si>
    <t>dispute over control of the confluence of the Allegheny and Monongahela rivers, called the Forks of the Ohio</t>
  </si>
  <si>
    <t>What is the term for catching the motivation expressed by the teacher?</t>
  </si>
  <si>
    <t>Imperial Academy of Medicine</t>
  </si>
  <si>
    <t>North Carolina and New Mexico</t>
  </si>
  <si>
    <t>When was most of Sunnside developed?</t>
  </si>
  <si>
    <t>What Comic Book series did ABC debut in 2013-14?</t>
  </si>
  <si>
    <t>many complexity classes</t>
  </si>
  <si>
    <t>What was the name of the stadium that the teams played in?</t>
  </si>
  <si>
    <t>What happened to Tesla's belongings?</t>
  </si>
  <si>
    <t>deselected as official party candidates during future elections</t>
  </si>
  <si>
    <t>over 400</t>
  </si>
  <si>
    <t>What did Sasse proclaim Luther to be?</t>
  </si>
  <si>
    <t>WHat does UserDatagram Protocol gaurentee</t>
  </si>
  <si>
    <t>What was Tesla's monthly consultant salary?</t>
  </si>
  <si>
    <t>the connection id in a table</t>
  </si>
  <si>
    <t>the principles of legal certainty and good faith</t>
  </si>
  <si>
    <t>intermediate network nodes asynchronously using first-in, first-out buffering</t>
  </si>
  <si>
    <t>"citizenship"</t>
  </si>
  <si>
    <t>the Department for Culture, Media and Sport</t>
  </si>
  <si>
    <t>What does the U.S. economic and social model have substantial levels of?</t>
  </si>
  <si>
    <t>the Mughal state</t>
  </si>
  <si>
    <t>a customs union</t>
  </si>
  <si>
    <t>Chloroplasts are one of many types of organelles in the plant cell. They are considered to have originated from cyanobacteria through endosymbiosis—when a eukaryotic cell engulfed a photosynthesizing cyanobacterium that became a permanent resident in the cell. Mitochondria are thought to have come from a similar event, where an aerobic prokaryote was engulfed. This origin of chloroplasts was first suggested by the Russian biologist Konstantin Mereschkowski in 1905 after Andreas Schimper observed in 1883 that chloroplasts closely resemble cyanobacteria. Chloroplasts are only found in plants and algae.</t>
  </si>
  <si>
    <t>75th birthday</t>
  </si>
  <si>
    <t>its failure to consult and "notorious intransigence"</t>
  </si>
  <si>
    <t>In 1758 what was duc de Choiseul's plan for focused military efforts?</t>
  </si>
  <si>
    <t>frail</t>
  </si>
  <si>
    <t>Schrödinger equation</t>
  </si>
  <si>
    <t>a pivotal event</t>
  </si>
  <si>
    <t>cannot be earned</t>
  </si>
  <si>
    <t>certification</t>
  </si>
  <si>
    <t>What kind of engines did the biplane design have?</t>
  </si>
  <si>
    <t>Rather than taxation, what are private schools largely funded by?</t>
  </si>
  <si>
    <t>RNA silencing mechanisms</t>
  </si>
  <si>
    <t>three meals in a day</t>
  </si>
  <si>
    <t>The quick and decisive defeat of the Arab troops during the Six-Day War by Israeli troops constituted a pivotal event in the Arab Muslim world. The defeat along with economic stagnation in the defeated countries, was blamed on the secular Arab nationalism of the ruling regimes. A steep and steady decline in the popularity and credibility of secular, socialist and nationalist politics ensued. Ba'athism, Arab socialism, and Arab nationalism suffered, and different democratic and anti-democratic Islamist movements inspired by Maududi and Sayyid Qutb gained ground.</t>
  </si>
  <si>
    <t>stay</t>
  </si>
  <si>
    <t>practical limitations of working in the rainforest mean that data sampling is biased away from the center of the Amazon basin</t>
  </si>
  <si>
    <t>Home Improvement</t>
  </si>
  <si>
    <t>Napoleon</t>
  </si>
  <si>
    <t>dominating areas</t>
  </si>
  <si>
    <t>Amazon</t>
  </si>
  <si>
    <t>What does the template for bills passed by the Scottish Parliament include?</t>
  </si>
  <si>
    <t>Christian education</t>
  </si>
  <si>
    <t>The biodiversity of plant species is the highest on Earth with one 2001 study finding a quarter square kilometer (62 acres) of Ecuadorian rainforest supports more than 1,100 tree species. A study in 1999 found one square kilometer (247 acres) of Amazon rainforest can contain about 90,790 tonnes of living plants. The average plant biomass is estimated at 356 ± 47 tonnes per hectare. To date, an estimated 438,000 species of plants of economic and social interest have been registered in the region with many more remaining to be discovered or catalogued. The total number of tree species in the region is estimated at 16,000.</t>
  </si>
  <si>
    <t>Liberal Party of Australia</t>
  </si>
  <si>
    <t>How many auricles do most species have?</t>
  </si>
  <si>
    <t>Where school class sizes are typically 40 to 50 students, maintaining order in the classroom can divert the teacher from instruction, leaving little opportunity for concentration and focus on what is being taught. In response, teachers may concentrate their attention on motivated students, ignoring attention-seeking and disruptive students. The result of this is that motivated students, facing demanding university entrance examinations, receive disproportionate resources. Given the emphasis on attainment of university places, administrators and governors may regard this policy as appropriate.</t>
  </si>
  <si>
    <t>What is the United Methodist Church?</t>
  </si>
  <si>
    <t>In 1882, Tesla began working for the Continental Edison Company in France, designing and making improvements to electrical equipment. In June 1884, he relocated to New York City:57–60 where he was hired by Thomas Edison to work at his Edison Machine Works on Manhattan's lower east side. Tesla's work for Edison began with simple electrical engineering and quickly progressed to solving more difficult problems.</t>
  </si>
  <si>
    <t>What type of education was assessed during this time?</t>
  </si>
  <si>
    <t>Microplates squeezing and rotating created the features of what?</t>
  </si>
  <si>
    <t>Foreign Protestants Naturalization Act,</t>
  </si>
  <si>
    <t>In 1937, at a luncheon in his honor concerning the death ray, Tesla stated, "But it is not an experiment ... I have built, demonstrated and used it. Only a little time will pass before I can give it to the world." His records indicate that the device is based on a narrow stream of small tungsten pellets that are accelerated via high voltage (by means akin to his magnifying transformer).</t>
  </si>
  <si>
    <t>San Francisco Bay Area's Levi's Stadium</t>
  </si>
  <si>
    <t>preventive</t>
  </si>
  <si>
    <t>"silly argument" and "a non-issue . . . a diversion."</t>
  </si>
  <si>
    <t>Political</t>
  </si>
  <si>
    <t>In the Rankine cycle, what does water turn into when heated?</t>
  </si>
  <si>
    <t>cytotoxic or immunosuppressive</t>
  </si>
  <si>
    <t>the clinical services that pharmacists can provide for their patients</t>
  </si>
  <si>
    <t>For whom was Luther concerned about in Mansfeld?</t>
  </si>
  <si>
    <t>before World War I</t>
  </si>
  <si>
    <t>mannerist</t>
  </si>
  <si>
    <t>What was the name of the first German settlement?</t>
  </si>
  <si>
    <t>Large public works, dams, bridges, highways, water/wastewater and utility distribution are under what construction sector?</t>
  </si>
  <si>
    <t>the War Doctor</t>
  </si>
  <si>
    <t>The main façade, built from red brick and Portland stone, stretches 720 feet (220 m) along Cromwell Gardens and was designed by Aston Webb after winning a competition in 1891 to extend the museum. Construction took place between 1899 and 1909. Stylistically it is a strange hybrid, although much of the detail belongs to the Renaissance there are medieval influences at work. The main entrance consisting of a series of shallow arches supported by slender columns and niches with twin doors separated by pier is Romanesque in form but Classical in detail. Likewise the tower above the main entrance has an open work crown surmounted by a statue of fame, a feature of late Gothic architecture and a feature common in Scotland, but the detail is Classical. The main windows to the galleries are also mullioned and transomed, again a Gothic feature, the top row of windows are interspersed with statues of many of the British artists whose work is displayed in the museum.</t>
  </si>
  <si>
    <t>socially</t>
  </si>
  <si>
    <t>The transportation law allows personal aircraft to share the roadways with what?</t>
  </si>
  <si>
    <t>Puente Hills</t>
  </si>
  <si>
    <t>their eyestalk</t>
  </si>
  <si>
    <t>Festival of Britain (1951)</t>
  </si>
  <si>
    <t>chronic and complex disease states such as cancer, hepatitis, and rheumatoid arthritis</t>
  </si>
  <si>
    <t>oxygen and hydrogen</t>
  </si>
  <si>
    <t>Dendritic cells present antigens to what cells of the adaptive nervous system?</t>
  </si>
  <si>
    <t>a storm</t>
  </si>
  <si>
    <t>randomized algorithms</t>
  </si>
  <si>
    <t>confirmation and membership preparation classes</t>
  </si>
  <si>
    <t>Tribal members living in the rainforests of what region are using Google Earth?</t>
  </si>
  <si>
    <t xml:space="preserve">By 199 how many universities were connected </t>
  </si>
  <si>
    <t xml:space="preserve">Near Chur, which direction does the Rhine turn? </t>
  </si>
  <si>
    <t>What did Philip I wish to do around 1539?</t>
  </si>
  <si>
    <t>How common of a type was corporal punishment in schools?</t>
  </si>
  <si>
    <t>commerce, schooling and government</t>
  </si>
  <si>
    <t>Hormones can act as immunomodulators, altering the sensitivity of the immune system. For example, female sex hormones are known immunostimulators of both adaptive and innate immune responses. Some autoimmune diseases such as lupus erythematosus strike women preferentially, and their onset often coincides with puberty. By contrast, male sex hormones such as testosterone seem to be immunosuppressive. Other hormones appear to regulate the immune system as well, most notably prolactin, growth hormone and vitamin D.</t>
  </si>
  <si>
    <t>specific details of the computational model used</t>
  </si>
  <si>
    <t>construction of military roads to the area by Braddock and Forbes</t>
  </si>
  <si>
    <t>What type of discipline do critics want to see?</t>
  </si>
  <si>
    <t>nomads and thus had no experience governing cities</t>
  </si>
  <si>
    <t>Gaussian integers Z[i],</t>
  </si>
  <si>
    <t>declining</t>
  </si>
  <si>
    <t>the Tesla Coil</t>
  </si>
  <si>
    <t>an average 182 million</t>
  </si>
  <si>
    <t>What language does "hoy" originate from?</t>
  </si>
  <si>
    <t>How many types of thylakoids are there?</t>
  </si>
  <si>
    <t>marginal value added of each economic actor</t>
  </si>
  <si>
    <t>protection and integrated its members into his own tribe.</t>
  </si>
  <si>
    <t>raised his arm</t>
  </si>
  <si>
    <t>6 December 1989</t>
  </si>
  <si>
    <t>WZZM and WOTV</t>
  </si>
  <si>
    <t>mid-2000s</t>
  </si>
  <si>
    <t>the exploitation of the valuable assets and supplies of the nation that was conquered</t>
  </si>
  <si>
    <t>monthly subscription</t>
  </si>
  <si>
    <t>tax base dissipated</t>
  </si>
  <si>
    <t>a mathematical by-product of exchange of momentum</t>
  </si>
  <si>
    <t>local administrative structure of past Chinese dynasties</t>
  </si>
  <si>
    <t>killer cell immunoglobulin receptors (KIR</t>
  </si>
  <si>
    <t>Romantic Rhine</t>
  </si>
  <si>
    <t>to synthesize a small fraction of their proteins</t>
  </si>
  <si>
    <t>other herbs not listed</t>
  </si>
  <si>
    <t>What remained an important issue in Scottish national identity for many years?</t>
  </si>
  <si>
    <t>Who might be responsible for student discipline?</t>
  </si>
  <si>
    <t>What are the eight sermons called that Luther preached in March 1522?</t>
  </si>
  <si>
    <t>San Diego International Airport</t>
  </si>
  <si>
    <t>melt</t>
  </si>
  <si>
    <t>Buddhism and Christianity</t>
  </si>
  <si>
    <t>Luther taught that salvation and subsequently eternal life is not earned by good deeds but is received only as a free gift of God's grace through faith in Jesus Christ as redeemer from sin. His theology challenged the authority and office of the Pope by teaching that the Bible is the only source of divinely revealed knowledge from God and opposed sacerdotalism by considering all baptized Christians to be a holy priesthood. Those who identify with these, and all of Luther's wider teachings, are called Lutherans even though Luther insisted on Christian or Evangelical as the only acceptable names for individuals who professed Christ.</t>
  </si>
  <si>
    <t>College</t>
  </si>
  <si>
    <t>Warsaw Citadel</t>
  </si>
  <si>
    <t>the Sonia Shankman Orthogenic School</t>
  </si>
  <si>
    <t>Second Republic</t>
  </si>
  <si>
    <t>Luther's other major works on the Jews were his 60,000-word treatise Von den Juden und Ihren Lügen (On the Jews and Their Lies), and Vom Schem Hamphoras und vom Geschlecht Christi (On the Holy Name and the Lineage of Christ), both published in 1543, three years before his death. Luther argued that the Jews were no longer the chosen people but "the devil's people", and referred to them with violent, vile language. Citing Deuteronomy 13, wherein Moses commands the killing of idolaters and the burning of their cities and property as an offering to God, Luther called for a "scharfe Barmherzigkeit" ("sharp mercy") against the Jews "to see whether we might save at least a few from the glowing flames." Luther advocated setting synagogues on fire, destroying Jewish prayerbooks, forbidding rabbis from preaching, seizing Jews' property and money, and smashing up their homes, so that these "envenomed worms" would be forced into labour or expelled "for all time". In Robert Michael's view, Luther's words "We are at fault in not slaying them" amounted to a sanction for murder. "God's anger with them is so intense," Luther concluded, "that gentle mercy will only tend to make them worse, while sharp mercy will reform them but little. Therefore, in any case, away with them!"</t>
  </si>
  <si>
    <t>poor soil.</t>
  </si>
  <si>
    <t>possess more financial assets than the lowest 48 nations combined.</t>
  </si>
  <si>
    <t>mechanical energy</t>
  </si>
  <si>
    <t>Huguenot</t>
  </si>
  <si>
    <t>Fundamental rights, as in human rights, were first recognised by the European Court of Justice in the late 60s and fundamental rights are now regarded as integral part of the general principles of European Union law. As such the European Court of Justice is bound to draw inspiration from the constitutional traditions common to the member states. Therefore, the European Court of Justice cannot uphold measures which are incompatible with fundamental rights recognised and protected in the constitutions of member states. The European Court of Justice also found that "international treaties for the protection of human rights on which the member states have collaborated or of which they are signatories, can supply guidelines which should be followed within the framework of Community law."</t>
  </si>
  <si>
    <t>genetic branches</t>
  </si>
  <si>
    <t>rotating discs</t>
  </si>
  <si>
    <t>life on Tyneside</t>
  </si>
  <si>
    <t>a data network</t>
  </si>
  <si>
    <t>What types of health outcomes do pharmacists aim for with their patients?</t>
  </si>
  <si>
    <t>99.4</t>
  </si>
  <si>
    <t>Agassiz's approach to science combined observation and what?</t>
  </si>
  <si>
    <t>photographic memory</t>
  </si>
  <si>
    <t>What happened to prompt NASA to record over archived magnetic tapes?</t>
  </si>
  <si>
    <t>The arrival of satellite television</t>
  </si>
  <si>
    <t>Sullivan Bay</t>
  </si>
  <si>
    <t>There's a rough border between Switzerland and what other country formed by the Rhine?</t>
  </si>
  <si>
    <t>$60,000 in cash and stock and a royalty</t>
  </si>
  <si>
    <t>other parts</t>
  </si>
  <si>
    <t>What happens if a member doesn't vote the party line?</t>
  </si>
  <si>
    <t>clear substances with a light sky-blue color</t>
  </si>
  <si>
    <t>The unusually high concentration of oxygen gas on Earth is the result of the oxygen cycle. This biogeochemical cycle describes the movement of oxygen within and between its three main reservoirs on Earth: the atmosphere, the biosphere, and the lithosphere. The main driving factor of the oxygen cycle is photosynthesis, which is responsible for modern Earth's atmosphere. Photosynthesis releases oxygen into the atmosphere, while respiration and decay remove it from the atmosphere. In the present equilibrium, production and consumption occur at the same rate of roughly 1/2000th of the entire atmospheric oxygen per year.</t>
  </si>
  <si>
    <t>Norman Foster</t>
  </si>
  <si>
    <t>What did NASA record over the older archived tapes?</t>
  </si>
  <si>
    <t>In India, private schools are called independent schools, but since some private schools receive financial aid from the government, it can be an aided or an unaided school. So, in a strict sense, a private school is an unaided independent school. For the purpose of this definition, only receipt of financial aid is considered, not land purchased from the government at a subsidized rate. It is within the power of both the union government and the state governments to govern schools since Education appears in the Concurrent list of legislative subjects in the constitution. The practice has been for the union government to provide the broad policy directions while the states create their own rules and regulations for the administration of the sector. Among other things, this has also resulted in 30 different Examination Boards or academic authorities that conduct examinations for school leaving certificates. Prominent Examination Boards that are present in multiple states are the CBSE and the CISCE, NENBSE</t>
  </si>
  <si>
    <t>flax</t>
  </si>
  <si>
    <t>baptism</t>
  </si>
  <si>
    <t>a pair of long, slender tentacles</t>
  </si>
  <si>
    <t>2,000 buildings</t>
  </si>
  <si>
    <t>a curving parabolic path</t>
  </si>
  <si>
    <t>communications problems</t>
  </si>
  <si>
    <t>What effect did breathing Priestley's discovered gas have on the experiment's mouse?</t>
  </si>
  <si>
    <t>Force</t>
  </si>
  <si>
    <t>January 18, 1974</t>
  </si>
  <si>
    <t>What evidence between and among complexity classes would signify a theoretical watershed for complexity theory?</t>
  </si>
  <si>
    <t>tallest building in Downtown Jacksonville</t>
  </si>
  <si>
    <t>What tends to lead to more money?</t>
  </si>
  <si>
    <t>The San Bernardino-Riverside area maintains the business districts of Downtown San Bernardino, Hospitality Business/Financial Centre, University Town which are in San Bernardino and Downtown Riverside.</t>
  </si>
  <si>
    <t>laws of physics</t>
  </si>
  <si>
    <t>spectacular</t>
  </si>
  <si>
    <t>all spheres of life</t>
  </si>
  <si>
    <t>twice the thrust required</t>
  </si>
  <si>
    <t>bright white light</t>
  </si>
  <si>
    <t>is the product of the host's cell membrane infolding to form a vesicle to surround the ancestral cyanobacterium</t>
  </si>
  <si>
    <t>Helper T cells express T cell receptors (TCR) that recognize antigen bound to Class II MHC molecules. The MHC:antigen complex is also recognized by the helper cell's CD4 co-receptor, which recruits molecules inside the T cell (e.g., Lck) that are responsible for the T cell's activation. Helper T cells have a weaker association with the MHC:antigen complex than observed for killer T cells, meaning many receptors (around 200–300) on the helper T cell must be bound by an MHC:antigen in order to activate the helper cell, while killer T cells can be activated by engagement of a single MHC:antigen molecule. Helper T cell activation also requires longer duration of engagement with an antigen-presenting cell. The activation of a resting helper T cell causes it to release cytokines that influence the activity of many cell types. Cytokine signals produced by helper T cells enhance the microbicidal function of macrophages and the activity of killer T cells. In addition, helper T cell activation causes an upregulation of molecules expressed on the T cell's surface, such as CD40 ligand (also called CD154), which provide extra stimulatory signals typically required to activate antibody-producing B cells.</t>
  </si>
  <si>
    <t>Newton's Third Law</t>
  </si>
  <si>
    <t>When did O2 begin to acculturate in the atmosphere?</t>
  </si>
  <si>
    <t>How much older was Manning than Newton during Super Bowl 50?</t>
  </si>
  <si>
    <t>What was the name given to the undergraduate college's liberal-arts curriculum?</t>
  </si>
  <si>
    <t>General Conference a</t>
  </si>
  <si>
    <t>government and the National Assembly and the Senate</t>
  </si>
  <si>
    <t>Newton's Second Law of Motion</t>
  </si>
  <si>
    <t>Service Module engine</t>
  </si>
  <si>
    <t>plain, old, Bible Christianity"</t>
  </si>
  <si>
    <t>Besides the arguments with Rome and his own fellow reformers, what scandal  contributed to Luther's failing health?</t>
  </si>
  <si>
    <t>On May 21, 2013, NFL owners at their spring meetings in Boston voted and awarded the game to Levi's Stadium. The $1.2 billion stadium opened in 2014. It is the first Super Bowl held in the San Francisco Bay Area since Super Bowl XIX in 1985, and the first in California since Super Bowl XXXVII took place in San Diego in 2003.</t>
  </si>
  <si>
    <t>What holiday coincided with the first showing of series two?</t>
  </si>
  <si>
    <t>Jamukha, and his protector, Toghrul Khan of the Keraite tribe</t>
  </si>
  <si>
    <t>Why would Mongols have too little experience to govern cities they conquered?</t>
  </si>
  <si>
    <t>What form of oxygen is composed of three oxygen atoms?</t>
  </si>
  <si>
    <t>What was one of Tesla's books where articles can be read?</t>
  </si>
  <si>
    <t>Committee of Independent Experts</t>
  </si>
  <si>
    <t>What health condition can deep sea diving cause?</t>
  </si>
  <si>
    <t>Victoria has a written constitution enacted in 1975, but based on the 1855 colonial constitution, passed by the United Kingdom Parliament as the Victoria Constitution Act 1855, which establishes the Parliament as the state's law-making body for matters coming under state responsibility. The Victorian Constitution can be amended by the Parliament of Victoria, except for certain "entrenched" provisions that require either an absolute majority in both houses, a three-fifths majority in both houses, or the approval of the Victorian people in a referendum, depending on the provision.</t>
  </si>
  <si>
    <t>planning,[citation needed] design, and financing and continues until the project is built</t>
  </si>
  <si>
    <t>ignoring</t>
  </si>
  <si>
    <t>Huguenot immigrants did not disperse or settle in different parts of the country, but rather, formed three societies or congregations; one in the city of New York, another 21 miles north of New York in a town which they named New Rochelle, and a third further upstate in New Paltz. The "Huguenot Street Historic District" in New Paltz has been designated a National Historic Landmark site and contains the oldest street in the United States of America. A small group of Huguenots also settled on the south shore of Staten Island along the New York Harbor, for which the current neighborhood of Huguenot was named.</t>
  </si>
  <si>
    <t>economic growth</t>
  </si>
  <si>
    <t>whether the organelle carries out the last leg of the pathway</t>
  </si>
  <si>
    <t>Numerical models</t>
  </si>
  <si>
    <t>punts.</t>
  </si>
  <si>
    <t>United States Census Bureau</t>
  </si>
  <si>
    <t>instrument of national foreign policy</t>
  </si>
  <si>
    <t>the Rumford medal</t>
  </si>
  <si>
    <t>That Special Feeling</t>
  </si>
  <si>
    <t>Epte</t>
  </si>
  <si>
    <t>marine waters</t>
  </si>
  <si>
    <t>In September 1958, Bank of America launched a new product called BankAmericard in Fresno. After a troubled gestation during which its creator resigned, BankAmericard went on to become the first successful credit card; that is, a financial instrument that was usable across a large number of merchants and also allowed cardholders to revolve a balance (earlier financial products could do one or the other but not both). In 1976, BankAmericard was renamed and spun off into a separate company known today as Visa Inc.</t>
  </si>
  <si>
    <t>use the potential energy stored in an H+, or hydrogen ion gradient to generate ATP energy</t>
  </si>
  <si>
    <t>Where is the Tyneside Bar located?</t>
  </si>
  <si>
    <t>Policies which try to control unemployment support economic growth because they reduce what?</t>
  </si>
  <si>
    <t>southern and central parts of France,</t>
  </si>
  <si>
    <t>What do the services given by pharmacists provide?</t>
  </si>
  <si>
    <t>In many poor and developing countries much land and housing is held outside the formal or legal property ownership registration system. Much unregistered property is held in informal form through various associations and other arrangements. Reasons for extra-legal ownership include excessive bureaucratic red tape in buying property and building, In some countries it can take over 200 steps and up to 14 years to build on government land. Other causes of extra-legal property are failures to notarize transaction documents or having documents notarized but failing to have them recorded with the official agency.</t>
  </si>
  <si>
    <t>Why was the student group called "the Methodists?"</t>
  </si>
  <si>
    <t>What is the Rhine Gorge listed as?</t>
  </si>
  <si>
    <t>betel-nut cutters, ivory combs and bronze palanquin hooks</t>
  </si>
  <si>
    <t>Who recorded "Walking in Fresno?"</t>
  </si>
  <si>
    <t>February 2011</t>
  </si>
  <si>
    <t>Prince of Płock</t>
  </si>
  <si>
    <t>Students are likely to build stronger relations with teachers who are friendly and supportive and will show more interest in courses taught by these teachers. Teachers that spend more time interacting and working directly with students are perceived as supportive and effective teachers. Effective teachers have been shown to invite student participation and decision making, allow humor into their classroom, and demonstrate a willingness to play.</t>
  </si>
  <si>
    <t>photosynthetic</t>
  </si>
  <si>
    <t>What happens to the norm when a number is multiplied by p?</t>
  </si>
  <si>
    <t>Where were populations centered in colonies?</t>
  </si>
  <si>
    <t>Council of Industrial Design</t>
  </si>
  <si>
    <t>Disruptions in sleep can lead to increase in what chronic conditions?</t>
  </si>
  <si>
    <t>When did the Germanic tribes claim territory in north and west Europe?</t>
  </si>
  <si>
    <t>In Afghanistan, the mujahideen's victory against the Soviet Union in the 1980s did not lead to justice and prosperity, due to a vicious and destructive civil war between political and tribal warlords, making Afghanistan one of the poorest countries on earth. In 1992, the Democratic Republic of Afghanistan ruled by communist forces collapsed, and democratic Islamist elements of mujahdeen founded the Islamic State of Afghanistan. In 1996, a more conservative and anti-democratic Islamist movement known as the Taliban rose to power, defeated most of the warlords and took over roughly 80% of Afghanistan.</t>
  </si>
  <si>
    <t>mathematical by-product</t>
  </si>
  <si>
    <t>How much of the Rhine flow does Ijssel carry?</t>
  </si>
  <si>
    <t>Jones et al. 1998, Pollack, Huang &amp; Shen 1998, Crowley &amp; Lowery 2000 and Briffa 2000</t>
  </si>
  <si>
    <t>The Maroons are apart of what association?</t>
  </si>
  <si>
    <t>new form</t>
  </si>
  <si>
    <t>On April 12, 1961, Soviet cosmonaut Yuri Gagarin became the first person to fly in space, reinforcing American fears about being left behind in a technological competition with the Soviet Union. At a meeting of the US House Committee on Science and Astronautics one day after Gagarin's flight, many congressmen pledged their support for a crash program aimed at ensuring that America would catch up. Kennedy was circumspect in his response to the news, refusing to make a commitment on America's response to the Soviets.</t>
  </si>
  <si>
    <t>Where were the Germanic tribes originally located?</t>
  </si>
  <si>
    <t>the Southern Border Region</t>
  </si>
  <si>
    <t>Under normal conditions, what do two atoms of oxygen form?</t>
  </si>
  <si>
    <t>What is the main goal of criminal punishment of civil disobedients?</t>
  </si>
  <si>
    <t>Why do land plants have more and smaller chloroplasts?</t>
  </si>
  <si>
    <t>A professional fundraiser</t>
  </si>
  <si>
    <t>through his writing</t>
  </si>
  <si>
    <t>violent Sunni extremist groups such as Al-Qaeda and the Taliban</t>
  </si>
  <si>
    <t>Who produces a list of requirements for a project, giving an overall view of the project's goals?</t>
  </si>
  <si>
    <t>A further type of committee is normally set up to scrutinise private bills submitted to the Scottish Parliament by an outside party or promoter who is not a member of the Scottish Parliament or Scottish Government. Private bills normally relate to large-scale development projects such as infrastructure projects that require the use of land or property. Private Bill Committees have been set up to consider legislation on issues such as the development of the Edinburgh Tram Network, the Glasgow Airport Rail Link, the Airdrie-Bathgate Rail Link and extensions to the National Gallery of Scotland.</t>
  </si>
  <si>
    <t>beneficial</t>
  </si>
  <si>
    <t>The judicial branch</t>
  </si>
  <si>
    <t>may be powerful but it is not necessarily right</t>
  </si>
  <si>
    <t>law</t>
  </si>
  <si>
    <t>cycling</t>
  </si>
  <si>
    <t>lab monitoring, adherence counseling, and assist patients with cost-containment strategies needed to obtain their expensive specialty drugs</t>
  </si>
  <si>
    <t>(n − 1)!</t>
  </si>
  <si>
    <t>From here, the situation becomes more complicated, as the Dutch name Rijn no longer coincides with the main flow of water. Two thirds of the water flow volume of the Rhine flows farther west, through the Waal and then, via the Merwede and Nieuwe Merwede (De Biesbosch), merging with the Meuse, through the Hollands Diep and Haringvliet estuaries, into the North Sea. The Beneden Merwede branches off, near Hardinxveld-Giessendam and continues as the Noord, to join the Lek, near the village of Kinderdijk, to form the Nieuwe Maas; then flows past Rotterdam and continues via Het Scheur and the Nieuwe Waterweg, to the North Sea. The Oude Maas branches off, near Dordrecht, farther down rejoining the Nieuwe Maas to form Het Scheur.</t>
  </si>
  <si>
    <t>What did the Works Council Directive require?</t>
  </si>
  <si>
    <t>King of England</t>
  </si>
  <si>
    <t>When was the debut of the 1983 special called The Five Doctors?</t>
  </si>
  <si>
    <t>If the head of government refuses to enforce a decision of the highest court what terminology could be used?</t>
  </si>
  <si>
    <t>twelve</t>
  </si>
  <si>
    <t>In England, the period of Norman architecture immediately succeeds that of the Anglo-Saxon and precedes the Early Gothic. In southern Italy, the Normans incorporated elements of Islamic, Lombard, and Byzantine building techniques into their own, initiating a unique style known as Norman-Arab architecture within the Kingdom of Sicily.</t>
  </si>
  <si>
    <t>Amazon basin</t>
  </si>
  <si>
    <t>because of their belief in the validity of the social contract</t>
  </si>
  <si>
    <t>TVOntario picked up the show in 1976 beginning with The Three Doctors and aired each series (several years late) through to series 24 in 1991. From 1979 to 1981, TVO airings were bookended by science-fiction writer Judith Merril who would introduce the episode and then, after the episode concluded, try to place it in an educational context in keeping with TVO's status as an educational channel. Its airing of The Talons of Weng-Chiang was cancelled as a result of accusations that the story was racist; the story was later broadcast in the 1990s on cable station YTV. CBC began showing the series again in 2005. The series moved to the Canadian cable channel Space in 2009.[citation needed]</t>
  </si>
  <si>
    <t>15 °C (59 °F)</t>
  </si>
  <si>
    <t>At this time, none of the tribal confederations of Mongolia were united politically, and arranged marriages were often used to solidify temporary alliances. Temüjin grew up observing the tough political climate of Mongolia, which included tribal warfare, thievery, raids, corruption, and continual acts of revenge carried out between the various confederations, all compounded by interference from foreign forces such as the Chinese dynasties to the south. Temüjin's mother Hoelun taught him many lessons about the unstable political climate of Mongolia, especially the need for alliances.</t>
  </si>
  <si>
    <t>idealized point particles</t>
  </si>
  <si>
    <t>What have some inverted repeats become?</t>
  </si>
  <si>
    <t>The Hawaiian Islands are made up almost entirely of what?</t>
  </si>
  <si>
    <t>a mainline Protestant Methodist denomination</t>
  </si>
  <si>
    <t>eighteenth century,</t>
  </si>
  <si>
    <t>world famous Safari Rally</t>
  </si>
  <si>
    <t>Who are commonly associated with the algorithm typically considered the most effective with respect to finite polynomial hierarchy and graph isomorphism?</t>
  </si>
  <si>
    <t>most distinctive buildings</t>
  </si>
  <si>
    <t>What entity owns V/Line?</t>
  </si>
  <si>
    <t>asynchronously using first-in, first-out buffering, but may be forwarded according to some scheduling discipline for fair queuing</t>
  </si>
  <si>
    <t>grass</t>
  </si>
  <si>
    <t>Who was Margaret's husband?</t>
  </si>
  <si>
    <t>Han Chinese, Khitans, Jurchens, Mongols, and Tibetan Buddhists.</t>
  </si>
  <si>
    <t>strong, electromagnetic</t>
  </si>
  <si>
    <t>risen by less than two percent per year</t>
  </si>
  <si>
    <t>Reason</t>
  </si>
  <si>
    <t>the NP-complete knapsack problem</t>
  </si>
  <si>
    <t>Mohawk Chief Hendrick</t>
  </si>
  <si>
    <t>One of the things Tesla developed at that laboratory in 1887 was an induction motor that ran on alternating current, a power system format that was starting to be built in Europe and the United States because of its advantages in long-distance, high-voltage transmission. The motor used polyphase current which generated a rotating magnetic field to turn the motor (a principle Tesla claimed to have conceived in 1882). This innovative electric motor, patented in May 1888, was a simple self-starting design that did not need a commutator, thus avoiding sparking and the high maintenance of constantly servicing and replacing mechanical brushes.</t>
  </si>
  <si>
    <t>When did Pachauri resign as chair of the IPCC?</t>
  </si>
  <si>
    <t>Large predators of the Amazon rainforest include the jaguar, cougar, and anaconda, what is one other example?</t>
  </si>
  <si>
    <t>Ominde Commission</t>
  </si>
  <si>
    <t>For instance, while traveling in a moving vehicle at a constant velocity, the laws of physics do not change from being at rest. A person can throw a ball straight up in the air and catch it as it falls down without worrying about applying a force in the direction the vehicle is moving. This is true even though another person who is observing the moving vehicle pass by also observes the ball follow a curving parabolic path in the same direction as the motion of the vehicle. It is the inertia of the ball associated with its constant velocity in the direction of the vehicle's motion that ensures the ball continues to move forward even as it is thrown up and falls back down. From the perspective of the person in the car, the vehicle and everything inside of it is at rest: It is the outside world that is moving with a constant speed in the opposite direction. Since there is no experiment that can distinguish whether it is the vehicle that is at rest or the outside world that is at rest, the two situations are considered to be physically indistinguishable. Inertia therefore applies equally well to constant velocity motion as it does to rest.</t>
  </si>
  <si>
    <t>Apollo 11</t>
  </si>
  <si>
    <t>After reopening, where will the art pieces be located after restoration?</t>
  </si>
  <si>
    <t>Kenya (/ˈkɛnjə/; locally [ˈkɛɲa] ( listen)), officially the Republic of Kenya, is a country in Africa and a founding member of the East African Community (EAC). Its capital and largest city is Nairobi. Kenya's territory lies on the equator and overlies the East African Rift covering a diverse and expansive terrain that extends roughly from Lake Victoria to Lake Turkana (formerly called Lake Rudolf) and further south-east to the Indian Ocean. It is bordered by Tanzania to the south, Uganda to the west, South Sudan to the north-west, Ethiopia to the north and Somalia to the north-east. Kenya covers 581,309 km2 (224,445 sq mi), and had a population of approximately 45 million people in July 2014.</t>
  </si>
  <si>
    <t>Bounding of time and space or similar measurements is often used by algorithms to define what?</t>
  </si>
  <si>
    <t>a fragment of the Cloth of St Gereon</t>
  </si>
  <si>
    <t>How many of the remaining launches were successful?</t>
  </si>
  <si>
    <t>Torque is the rotation equivalent of force in the same way that angle is the rotational equivalent for position, angular velocity for velocity, and angular momentum for momentum. As a consequence of Newton's First Law of Motion, there exists rotational inertia that ensures that all bodies maintain their angular momentum unless acted upon by an unbalanced torque. Likewise, Newton's Second Law of Motion can be used to derive an analogous equation for the instantaneous angular acceleration of the rigid body:</t>
  </si>
  <si>
    <t>American humor.</t>
  </si>
  <si>
    <t>These books became a foundational text for what library?</t>
  </si>
  <si>
    <t>15 °C</t>
  </si>
  <si>
    <t>What is the first model of education, in the Australian system?</t>
  </si>
  <si>
    <t>BSkyB's digital service was officially launched on 1 October 1998 under the name Sky Digital, although small-scale tests were carried out before then. At this time the use of the Sky Digital brand made an important distinction between the new service and Sky's analogue services. Key selling points were the improvement in picture and sound quality, increased number of channels and an interactive service branded Open.... now called Sky Active, BSkyB competed with the ONdigital (later ITV Digital) terrestrial offering and cable services. Within 30 days, over 100,000 digiboxes had been sold, which help bolstered BSkyB's decision to give away free digiboxes and minidishes from May 1999.</t>
  </si>
  <si>
    <t>When did the three Advocate Generals argue that Directives should create rights and duties for all citizens?</t>
  </si>
  <si>
    <t>In science, alumni include astronomers Carl Sagan, a prominent contributor to the scientific research of extraterrestrial life, and Edwin Hubble, known for "Hubble's Law", NASA astronaut John M. Grunsfeld, geneticist James Watson, best known as one of the co-discoverers of the structure of DNA, experimental physicist Luis Alvarez, popular environmentalist David Suzuki, balloonist Jeannette Piccard, biologists Ernest Everett Just and Lynn Margulis, computer scientist Richard Hamming, the creator of the Hamming Code, lithium-ion battery developer John B. Goodenough, mathematician and Fields Medal recipient Paul Joseph Cohen, and geochemist Clair Cameron Patterson, who developed the uranium-lead dating method into lead-lead dating. Nuclear physicist and researcher Stanton Friedman, who worked on some early projects involving nuclear-powered spacecraft propulsion systems, is also a graduate (M.Sc).</t>
  </si>
  <si>
    <t>Which Doctor Who show was cancelled because it was considered racist?</t>
  </si>
  <si>
    <t>Jacksonville is in the First Coast region of northeast Florida and is centered on the banks of the St. Johns River, about 25 miles (40 km) south of the Georgia state line and about 340 miles (550 km) north of Miami. The Jacksonville Beaches communities are along the adjacent Atlantic coast. The area was originally inhabited by the Timucua people, and in 1564 was the site of the French colony of Fort Caroline, one of the earliest European settlements in what is now the continental United States. Under British rule, settlement grew at the narrow point in the river where cattle crossed, known as Wacca Pilatka to the Seminole and the Cow Ford to the British. A platted town was established there in 1822, a year after the United States gained Florida from Spain; it was named after Andrew Jackson, the first military governor of the Florida Territory and seventh President of the United States.</t>
  </si>
  <si>
    <t>A function problem is an example of what?</t>
  </si>
  <si>
    <t>acquiring nutrients</t>
  </si>
  <si>
    <t>How many counties initially made up the definition of southern California?</t>
  </si>
  <si>
    <t>British victories continued in all theaters in the Annus Mirabilis of 1759, when they finally captured Ticonderoga, James Wolfe defeated Montcalm at Quebec (in a battle that claimed the lives of both commanders), and victory at Fort Niagara successfully cut off the French frontier forts further to the west and south. The victory was made complete in 1760 when, despite losing outside Quebec City in the Battle of Sainte-Foy, the British were able to prevent the arrival of French relief ships in the naval Battle of the Restigouche while armies marched on Montreal from three sides.</t>
  </si>
  <si>
    <t>Who did Duke Yansheng Kong Duanyou flee with?</t>
  </si>
  <si>
    <t>steady growth</t>
  </si>
  <si>
    <t>February 9, 1953</t>
  </si>
  <si>
    <t>high-altitude ozone layer</t>
  </si>
  <si>
    <t>In 1983, for the 40th anniversary of the network's founding, ID sequences had the logo appear in a gold CGI design on a blue background, accompanied by the slogan "That Special Feeling" in a script font. Ten years later, in 1993, the "ABC Circle" logo reverted to its classic white-on-black color scheme, but with gloss effects on both the circle and the letters, and a bronze border surrounding the circle. The ABC logo first appeared as a on-screen bug in the 1993–94 season, appearing initially only for 60 seconds at the beginning of an act or segment, before appearing throughout programs (except during commercial breaks) beginning in the 1995–96 season; the respective iterations of the translucent logo bug were also incorporated within program promotions until the 2011–12 season.</t>
  </si>
  <si>
    <t>chum salmon</t>
  </si>
  <si>
    <t>division of functions and tasks between the hosts at the edge of the network and the network core</t>
  </si>
  <si>
    <t>What does turning sideways protect chloroplasts from?</t>
  </si>
  <si>
    <t>old boy network</t>
  </si>
  <si>
    <t>five times lower viewership</t>
  </si>
  <si>
    <t>The best, worst and average case complexity refer to three different ways of measuring the time complexity (or any other complexity measure) of different inputs of the same size. Since some inputs of size n may be faster to solve than others, we define the following complexities:</t>
  </si>
  <si>
    <t>internal colonialism</t>
  </si>
  <si>
    <t>the national anthem</t>
  </si>
  <si>
    <t>a second Gleichschaltung</t>
  </si>
  <si>
    <t>the secular powers</t>
  </si>
  <si>
    <t>continuous input of sediment into the lake</t>
  </si>
  <si>
    <t>Prime Minister</t>
  </si>
  <si>
    <t>Museum of Manufactures</t>
  </si>
  <si>
    <t>Who is usually working together?</t>
  </si>
  <si>
    <t xml:space="preserve">Previous to isotopic dating sections of rocks had to be dated using fossils and stratigraphic correlation relative to what? </t>
  </si>
  <si>
    <t>fee per unit of connection time</t>
  </si>
  <si>
    <t>What natural resources did the Chinese government have a monopoly on?</t>
  </si>
  <si>
    <t>ditch digger</t>
  </si>
  <si>
    <t>action-reaction</t>
  </si>
  <si>
    <t>Philosophers in antiquity used the concept of force in the study of stationary and moving objects and simple machines, but thinkers such as Aristotle and Archimedes retained fundamental errors in understanding force. In part this was due to an incomplete understanding of the sometimes non-obvious force of friction, and a consequently inadequate view of the nature of natural motion. A fundamental error was the belief that a force is required to maintain motion, even at a constant velocity. Most of the previous misunderstandings about motion and force were eventually corrected by Galileo Galilei and Sir Isaac Newton. With his mathematical insight, Sir Isaac Newton formulated laws of motion that were not improved-on for nearly three hundred years. By the early 20th century, Einstein developed a theory of relativity that correctly predicted the action of forces on objects with increasing momenta near the speed of light, and also provided insight into the forces produced by gravitation and inertia.</t>
  </si>
  <si>
    <t>materials melted near an impact crater.</t>
  </si>
  <si>
    <t>temperatures that are too cold in northern Europe for the survival of fleas</t>
  </si>
  <si>
    <t>The Sexual Ethics Task Force of The United Methodist Church</t>
  </si>
  <si>
    <t>Defensive ends</t>
  </si>
  <si>
    <t>difficulty of its tune</t>
  </si>
  <si>
    <t>its role in photosynthesis</t>
  </si>
  <si>
    <t>in 2011 and 2012</t>
  </si>
  <si>
    <t>time and memory consumption</t>
  </si>
  <si>
    <t>How did the new king react to the Huguenots?</t>
  </si>
  <si>
    <t>What is justifying grace also known as today?</t>
  </si>
  <si>
    <t>a wide variety of agents, known as pathogens, from viruses to parasitic worms</t>
  </si>
  <si>
    <t>Victorian Government</t>
  </si>
  <si>
    <t>Some forms of civil disobedience, such as illegal boycotts, refusals to pay taxes, draft dodging, distributed denial-of-service attacks, and sit-ins, make it more difficult for a system to function. In this way, they might be considered coercive. Brownlee notes that "although civil disobedients are constrained in their use of coercion by their conscientious aim to engage in moral dialogue, nevertheless they may find it necessary to employ limited coercion in order to get their issue onto the table." The Plowshares organization temporarily closed GCSB Waihopai by padlocking the gates and using sickles to deflate one of the large domes covering two satellite dishes.</t>
  </si>
  <si>
    <t>Why did the series end in 2011?</t>
  </si>
  <si>
    <t>temperate</t>
  </si>
  <si>
    <t>Asia</t>
  </si>
  <si>
    <t>that a time-sharing system, based on Kemney's work at Dartmouth—which used a computer on loan from GE—could be profitable</t>
  </si>
  <si>
    <t>Johann Eck, speaking on behalf of the Empire as assistant of the Archbishop of Trier, presented Luther with copies of his writings laid out on a table and asked him if the books were his, and whether he stood by their contents. Luther confirmed he was their author, but requested time to think about the answer to the second question. He prayed, consulted friends, and gave his response the next day:</t>
  </si>
  <si>
    <t>20–18</t>
  </si>
  <si>
    <t>specific pathogen</t>
  </si>
  <si>
    <t>bubonic plague</t>
  </si>
  <si>
    <t>East Asian</t>
  </si>
  <si>
    <t>1995–96</t>
  </si>
  <si>
    <t>A plant cell which contains chloroplasts</t>
  </si>
  <si>
    <t>N–S rift system</t>
  </si>
  <si>
    <t>nerves</t>
  </si>
  <si>
    <t>not recorded</t>
  </si>
  <si>
    <t>architects, interior designers, engineers and constructors</t>
  </si>
  <si>
    <t>What months out of the year is Woodward Park open?</t>
  </si>
  <si>
    <t>How many Grammy Award's does the text say Lady Gaga has won?</t>
  </si>
  <si>
    <t>herbal remedies</t>
  </si>
  <si>
    <t>that he dropped out of school</t>
  </si>
  <si>
    <t>circumcision</t>
  </si>
  <si>
    <t>radiation shield</t>
  </si>
  <si>
    <t>15 February 1763</t>
  </si>
  <si>
    <t>about a million</t>
  </si>
  <si>
    <t>What Republic has maintained its control of Iran?</t>
  </si>
  <si>
    <t>Why did Westinghouse not secure a patent for a similar motor?</t>
  </si>
  <si>
    <t>How much turbine power is consumed by the pump while the work fluid is condensed?</t>
  </si>
  <si>
    <t>the fern</t>
  </si>
  <si>
    <t>Kenya's largest source of foreign direct investment</t>
  </si>
  <si>
    <t>In 2001, 16 national science academies issued a joint statement on climate change. The joint statement was made by the Australian Academy of Science, the Royal Flemish Academy of Belgium for Science and the Arts, the Brazilian Academy of Sciences, the Royal Society of Canada, the Caribbean Academy of Sciences, the Chinese Academy of Sciences, the French Academy of Sciences, the German Academy of Natural Scientists Leopoldina, the Indian National Science Academy, the Indonesian Academy of Sciences, the Royal Irish Academy, Accademia Nazionale dei Lincei (Italy), the Academy of Sciences Malaysia, the Academy Council of the Royal Society of New Zealand, the Royal Swedish Academy of Sciences, and the Royal Society (UK). The statement, also published as an editorial in the journal Science, stated "we support the [TAR's] conclusion that it is at least 90% certain that temperatures will continue to rise, with average global surface temperature projected to increase by between 1.4 and 5.8 °C above 1990 levels by 2100". The TAR has also been endorsed by the Canadian Foundation for Climate and Atmospheric Sciences, Canadian Meteorological and Oceanographic Society, and European Geosciences Union (refer to "Endorsements of the IPCC").</t>
  </si>
  <si>
    <t>compressed gas</t>
  </si>
  <si>
    <t>granaries were ordered built</t>
  </si>
  <si>
    <t>What platform caused BSkyB to end their analogue service?</t>
  </si>
  <si>
    <t>Prince Louis de Condé, along with his sons Daniel and Osias,[citation needed] arranged with Count Ludwig von Nassau-Saarbrücken to establish a Huguenot community in present-day Saarland in 1604. The Count supported mercantilism and welcomed technically skilled immigrants into his lands, regardless of their religion. The Condés established a thriving glass-making works, which provided wealth to the principality for many years. Other founding families created enterprises based on textiles and such traditional Huguenot occupations in France. The community and its congregation remain active to this day, with descendants of many of the founding families still living in the region. Some members of this community emigrated to the United States in the 1890s.</t>
  </si>
  <si>
    <t xml:space="preserve"> In the 2009 Commission v Italy, case, the Court of Justice held that an Italian low prohibiting what infringed article 34?</t>
  </si>
  <si>
    <t>moral reasons to follow this law</t>
  </si>
  <si>
    <t>average workers</t>
  </si>
  <si>
    <t>1 August 1944</t>
  </si>
  <si>
    <t>to provide a fault-tolerant, efficient routing method for telecommunication messages</t>
  </si>
  <si>
    <t>Why are researchers struggling to identify the history of the plague?</t>
  </si>
  <si>
    <t>key bed</t>
  </si>
  <si>
    <t xml:space="preserve">When was the divestment from South Africa movement? </t>
  </si>
  <si>
    <t>Van Gend en Loos v Nederlandse Administratie der Belastingen</t>
  </si>
  <si>
    <t>Modern English</t>
  </si>
  <si>
    <t>separate condenser</t>
  </si>
  <si>
    <t>savanna or desert</t>
  </si>
  <si>
    <t>the current King of Thebes, who is trying to stop her from giving her brother Polynices a proper burial</t>
  </si>
  <si>
    <t>richest 1 percent</t>
  </si>
  <si>
    <t>1976–77</t>
  </si>
  <si>
    <t>when they would be married</t>
  </si>
  <si>
    <t>liquid oxygen tank exploded</t>
  </si>
  <si>
    <t>Nikola_Tesla</t>
  </si>
  <si>
    <t>property owner</t>
  </si>
  <si>
    <t>What type of missions were approved by Mueller after the incident?</t>
  </si>
  <si>
    <t>DuMont Television Network</t>
  </si>
  <si>
    <t>Boolean satisfiability problem</t>
  </si>
  <si>
    <t>the role of nineteenth-century maps during the "scramble for Africa"</t>
  </si>
  <si>
    <t>that Jesus Christ was born a Jew</t>
  </si>
  <si>
    <t>Point Conception is an example of a landmark among what boundary of southern California?</t>
  </si>
  <si>
    <t>to hide the fact that he dropped out of school</t>
  </si>
  <si>
    <t>William H. Maxwell</t>
  </si>
  <si>
    <t>Great Khan</t>
  </si>
  <si>
    <t>What is the type of oxygen production for emergency oxygen in airlines?</t>
  </si>
  <si>
    <t>What was one of Luther's most personal writings?</t>
  </si>
  <si>
    <t>What is Vision 2030?</t>
  </si>
  <si>
    <t>What did a lot of players need to change during Super Bowl 50 because of the condition of the field?</t>
  </si>
  <si>
    <t>When forces are from the presence of differnet objects, what law gives symmetry?</t>
  </si>
  <si>
    <t>votes</t>
  </si>
  <si>
    <t>Where did water to the west of the Amazon drainage basin flow towards?</t>
  </si>
  <si>
    <t>method of locomotion</t>
  </si>
  <si>
    <t>Lit and Phil premises</t>
  </si>
  <si>
    <t>What did this statement of Tetzel's show about him?</t>
  </si>
  <si>
    <t>a Cairns replication intermediate</t>
  </si>
  <si>
    <t>Stage 1 is the first, or introductory stage of the bill, where the minister or member in charge of the bill will formally introduce it to Parliament together with its accompanying documents – Explanatory Notes, a Policy Memorandum setting out the policy underlying the bill, and a Financial Memorandum setting out the costs and savings associated with it. Statements from the Presiding Officer and the member in charge of the bill are also lodged indicating whether the bill is within the legislative competence of the Parliament. Stage 1 usually takes place, initially, in the relevant committee or committees and is then submitted to the whole Parliament for a full debate in the chamber on the general principles of the bill. If the whole Parliament agrees in a vote to the general principles of the bill, it then proceeds to Stage 2.</t>
  </si>
  <si>
    <t>believed to disadvantage low-income and under-represented minority applicants</t>
  </si>
  <si>
    <t>What date did Tesla begin his Colorado Springs experiments?</t>
  </si>
  <si>
    <t>What was the theorized maximum population density per square kilometre for the Amazon rainforest?</t>
  </si>
  <si>
    <t>its distinctive flared base</t>
  </si>
  <si>
    <t>What do progressive moderates of Islam seek to separate?</t>
  </si>
  <si>
    <t>two public agencies, especially two equally sovereign branches of government, conflict.</t>
  </si>
  <si>
    <t>substantially increasing the atmospheric concentrations</t>
  </si>
  <si>
    <t>Which dynasties' histories were officially documented during Toghun's reign?</t>
  </si>
  <si>
    <t>spiritual teachers</t>
  </si>
  <si>
    <t>Genghis Khan united the Mongol and Turkic tribes of the steppes and became Great Khan in 1206. He and his successors expanded the Mongol empire across Asia. Under the reign of Genghis' third son, Ögedei Khan, the Mongols destroyed the weakened Jin dynasty in 1234, conquering most of northern China. Ögedei offered his nephew Kublai a position in Xingzhou, Hebei. Kublai was unable to read Chinese but had several Han Chinese teachers attached to him since his early years by his mother Sorghaghtani. He sought the counsel of Chinese Buddhist and Confucian advisers. Möngke Khan succeeded Ögedei's son, Güyük, as Great Khan in 1251. He granted his brother Kublai control over Mongol held territories in China. Kublai built schools for Confucian scholars, issued paper money, revived Chinese rituals, and endorsed policies that stimulated agricultural and commercial growth. He adopted as his capital city Kaiping in Inner Mongolia, later renamed Shangdu.</t>
  </si>
  <si>
    <t>likelihood of repeating</t>
  </si>
  <si>
    <t>If a force is pointing horizontally to the northeast, how many forces can you split the force into?</t>
  </si>
  <si>
    <t>What group can amend the Victorian constitution?</t>
  </si>
  <si>
    <t>afternoon of May 2.</t>
  </si>
  <si>
    <t>Where and when did the investigation of the plague pathogen begin?</t>
  </si>
  <si>
    <t>the Financial Regulations and Rules of the WMO</t>
  </si>
  <si>
    <t>What is the name of the border to the south?</t>
  </si>
  <si>
    <t>adjustable spring-loaded valve</t>
  </si>
  <si>
    <t>What does ATP mean?</t>
  </si>
  <si>
    <t>the Ancient Greeks</t>
  </si>
  <si>
    <t>What did Tesla think could improve the brain's intelligence?</t>
  </si>
  <si>
    <t>attacked the British</t>
  </si>
  <si>
    <t>some teachers and parents</t>
  </si>
  <si>
    <t>setup phase</t>
  </si>
  <si>
    <t>Marburg Colloquy</t>
  </si>
  <si>
    <t>the likelihood of damage to the existing electrical, water, sewage, phone, and cable facilities</t>
  </si>
  <si>
    <t>retractable tentacles fringed with tentilla</t>
  </si>
  <si>
    <t>1752 Treaty of Logstown</t>
  </si>
  <si>
    <t>over 60 percent</t>
  </si>
  <si>
    <t>What had the Yuan used to print its money before bronze plates?</t>
  </si>
  <si>
    <t>What objects in organisms absorb singlet oxygen to prevent harm?</t>
  </si>
  <si>
    <t>What happens to the lead fusible plugs if the water level of the boiler drops?</t>
  </si>
  <si>
    <t>1910 to 1940</t>
  </si>
  <si>
    <t>The IPCC Panel is composed of representatives appointed by governments and organizations. Participation of delegates with appropriate expertise is encouraged. Plenary sessions of the IPCC and IPCC Working groups are held at the level of government representatives. Non Governmental and Intergovernmental Organizations may be allowed to attend as observers. Sessions of the IPCC Bureau, workshops, expert and lead authors meetings are by invitation only. Attendance at the 2003 meeting included 350 government officials and climate change experts. After the opening ceremonies, closed plenary sessions were held. The meeting report states there were 322 persons in attendance at Sessions with about seven-eighths of participants being from governmental organizations.</t>
  </si>
  <si>
    <t>After this, Huguenots (with estimates ranging from 200,000 to 1,000,000) fled to surrounding Protestant countries: England, the Netherlands, Switzerland, Norway, Denmark, and Prussia — whose Calvinist Great Elector Frederick William welcomed them to help rebuild his war-ravaged and underpopulated country. Following this exodus, Huguenots remained in large numbers in only one region of France: the rugged Cévennes region in the south. In the early 18th century, a regional group known as the Camisards who were Huguenots rioted against the Catholic Church in the region, burning churches and killing clergy. It took French troops years to hunt down and destroy all the bands of Camisards, between 1702 and 1709.</t>
  </si>
  <si>
    <t>What is a local pastor's official title?</t>
  </si>
  <si>
    <t>holy catholic (or universal) church</t>
  </si>
  <si>
    <t>persuasion and negotiation</t>
  </si>
  <si>
    <t>life on Tyneside,</t>
  </si>
  <si>
    <t>uncertain</t>
  </si>
  <si>
    <t>stagnant wages</t>
  </si>
  <si>
    <t>What proclamation officially ended limited Huguenot autonomy?</t>
  </si>
  <si>
    <t>Warsaw Stock Exchange</t>
  </si>
  <si>
    <t>A problem set that that is hard for the expression NP can also be stated how?</t>
  </si>
  <si>
    <t>stratigraphic</t>
  </si>
  <si>
    <t>siblings' families</t>
  </si>
  <si>
    <t>the division and administration of the newly conquered territory</t>
  </si>
  <si>
    <t>What percentage does the Amazon represents in rainforests on the planet?</t>
  </si>
  <si>
    <t>How do the fees at former Model C schools compare to those at other schools?</t>
  </si>
  <si>
    <t>Dutch PTT Telecom</t>
  </si>
  <si>
    <t>How did Genghis Khan observed the surrender terms after Samarkand fell?</t>
  </si>
  <si>
    <t>What was ABC's revenue in 1962?</t>
  </si>
  <si>
    <t>562 to 1598</t>
  </si>
  <si>
    <t>What is the vast disparities in wealth attributed to by Socialists?</t>
  </si>
  <si>
    <t>university</t>
  </si>
  <si>
    <t>Lake Constance</t>
  </si>
  <si>
    <t>What was notable about the butterflies?</t>
  </si>
  <si>
    <t>What does the current high level of population have a large impact on?</t>
  </si>
  <si>
    <t>Today, the Treaty of Lisbon prohibits anti-competitive agreements in Article 101(1), including price fixing. According to Article 101(2) any such agreements are automatically void. Article 101(3) establishes exemptions, if the collusion is for distributional or technological innovation, gives consumers a "fair share" of the benefit and does not include unreasonable restraints that risk eliminating competition anywhere (or compliant with the general principle of European Union law of proportionality). Article 102 prohibits the abuse of dominant position, such as price discrimination and exclusive dealing. Article 102 allows the European Council to regulations to govern mergers between firms (the current regulation is the Regulation 139/2004/EC). The general test is whether a concentration (i.e. merger or acquisition) with a community dimension (i.e. affects a number of EU member states) might significantly impede effective competition. Articles 106 and 107 provide that member state's right to deliver public services may not be obstructed, but that otherwise public enterprises must adhere to the same competition principles as companies. Article 107 lays down a general rule that the state may not aid or subsidise private parties in distortion of free competition and provides exemptions for charities, regional development objectives and in the event of a natural disaster.</t>
  </si>
  <si>
    <t>Architects</t>
  </si>
  <si>
    <t>The prospect of what event compelled the protection of German private schools?</t>
  </si>
  <si>
    <t>Tuition Fee Supplement</t>
  </si>
  <si>
    <t>specially insulated tankers</t>
  </si>
  <si>
    <t>Nonverbal expressions resulted in what kind of levels of motivation to learn?</t>
  </si>
  <si>
    <t>Normandy was the site of several important developments in the history of classical music in the 11th century. Fécamp Abbey and Saint-Evroul Abbey were centres of musical production and education. At Fécamp, under two Italian abbots, William of Volpiano and John of Ravenna, the system of denoting notes by letters was developed and taught. It is still the most common form of pitch representation in English- and German-speaking countries today. Also at Fécamp, the staff, around which neumes were oriented, was first developed and taught in the 11th century. Under the German abbot Isembard, La Trinité-du-Mont became a centre of musical composition.</t>
  </si>
  <si>
    <t>the Commentaries on the Classic of Changes</t>
  </si>
  <si>
    <t>between the 1960s and 1990s</t>
  </si>
  <si>
    <t>How many museums comprise Harvard Art Museums?</t>
  </si>
  <si>
    <t>When was BSkyB's digital service launched?</t>
  </si>
  <si>
    <t xml:space="preserve">What type of vote must the Council pass in order to approve of any changes recommended by Parliament? </t>
  </si>
  <si>
    <t>WABC-TV and WPVI-TV</t>
  </si>
  <si>
    <t>Greeks</t>
  </si>
  <si>
    <t>What is a common practice in official corporal punishment?</t>
  </si>
  <si>
    <t>Education in Wales differs in certain respects from education elsewhere in the United Kingdom. For example, a significant number of students all over Wales are educated either wholly or largely through the medium of Welsh: in 2008/09, 22 per cent of classes in maintained primary schools used Welsh as the sole or main medium of instruction. Welsh medium education is available to all age groups through nurseries, schools, colleges and universities and in adult education; lessons in the language itself are compulsory for all pupils until the age of 16.</t>
  </si>
  <si>
    <t>The Times newspaper</t>
  </si>
  <si>
    <t>bioluminescence</t>
  </si>
  <si>
    <t>What type of treatment do civil disobedients usually receive?</t>
  </si>
  <si>
    <t>the means to invest in new sources of creating wealth or to otherwise leverage the accumulation of wealth</t>
  </si>
  <si>
    <t>two populations of rodents</t>
  </si>
  <si>
    <t>What are plants with plastid gene transformations called?</t>
  </si>
  <si>
    <t>There is criticism that the energy policies are expensive quick fixes that ignore which facts?</t>
  </si>
  <si>
    <t>engaging in the forbidden speech</t>
  </si>
  <si>
    <t>Terra Nullius is a Latin expression meaning what in English?</t>
  </si>
  <si>
    <t>behavioral and demographic</t>
  </si>
  <si>
    <t>magma or lava</t>
  </si>
  <si>
    <t>confirmation</t>
  </si>
  <si>
    <t xml:space="preserve">What completed the triad </t>
  </si>
  <si>
    <t>German Nazi</t>
  </si>
  <si>
    <t>Richard Wilkinson and Kate Pickett</t>
  </si>
  <si>
    <t>What is the example of another problem characterized by large instances that is routinely solved by SAT handlers employing efficient algorithms?</t>
  </si>
  <si>
    <t>What was William Johnson's Iroquois name?</t>
  </si>
  <si>
    <t>How many field goals did McManus kick in the game?</t>
  </si>
  <si>
    <t>On July 31, 1995, The Walt Disney Company announced an agreement to merge with Capital Cities/ABC for $19 billion. Disney shareholders approved the merger at a special conference in New York City on January 4, 1996, with the acquisition of Capital Cities/ABC being completed on February 9; following the sale, Disney renamed its new subsidiary ABC Inc. In addition to the ABC network, the Disney acquisition integrated ABC's ten owned-and-operated television and 21 radio stations; its 80% interest in ESPN, ownership interests in The History Channel, A&amp;E Television Networks, and Lifetime Entertainment; and Capital Cities/ABC's magazine and newspaper properties into the company. As FCC ownership rules forbade the company from keeping both it and KABC-TV, Disney sold Los Angeles independent station KCAL-TV to Young Broadcasting for $387 million. On April 4, Disney sold the four newspapers that ABC had controlled under Capital Cities to Knight Ridder for $1.65 billion. Following the merger, Thomas S. Murphy left ABC with Robert Iger taking his place as president and CEO. Around the time of the merger, Disney's television production units had already produced series for the network such as Home Improvement and Boy Meets World, while the deal also allowed ABC access to Disney's children's programming library for its Saturday morning block. In 1998, ABC premiered the Aaron Sorkin-created sitcom Sports Night, centering on the travails of the staff of a SportsCenter-style sports news program; despite earning critical praise and multiple Emmy Awards, the series was cancelled in 2000 after two seasons.</t>
  </si>
  <si>
    <t>Who did Martin Luther say was the lone granter of forgiveness?</t>
  </si>
  <si>
    <t>What was special about Tesla's memory?</t>
  </si>
  <si>
    <t>they surrendered</t>
  </si>
  <si>
    <t>one of the toughest rallies in the world</t>
  </si>
  <si>
    <t>What award has Marlee Matlin won?</t>
  </si>
  <si>
    <t>further corrosion</t>
  </si>
  <si>
    <t>main hymn</t>
  </si>
  <si>
    <t>months</t>
  </si>
  <si>
    <t>University of California</t>
  </si>
  <si>
    <t>The current 8–4–4 system was launched in January 1985. It put more emphasis on vocational subjects on the assumption that the new structure would enable school drop-outs at all levels either to be self-employed or to secure employment in the informal sector. In January 2003, the Government of Kenya announced the introduction of free primary education. As a result, primary school enrolment increased by about 70%. Secondary and tertiary education enrolment has not increased proportionally because payment is still required for attendance. In 2007 the government issued a statement declaring that from 2008, secondary education would be heavily subsidiszed, with the government footing all tuition fees.</t>
  </si>
  <si>
    <t>three years</t>
  </si>
  <si>
    <t>When did the Spanish and Portuguese colonies gain their independance.</t>
  </si>
  <si>
    <t>NBC Red Network</t>
  </si>
  <si>
    <t>What award was given to Tesla?</t>
  </si>
  <si>
    <t>the San Fernando Valley</t>
  </si>
  <si>
    <t>If q=9 and a=3,6 or 9, how many primes would be in the progression?</t>
  </si>
  <si>
    <t>from near the mouth to the opposite end</t>
  </si>
  <si>
    <t>How many societal class divisions were in the plan Kublai rejected?</t>
  </si>
  <si>
    <t>What type of geologists give information about strain within the crystalline structure of the rocks?</t>
  </si>
  <si>
    <t>typhus, smallpox and respiratory infections</t>
  </si>
  <si>
    <t>the dilemma faced by German citizens</t>
  </si>
  <si>
    <t>What is the name of the law which imposed the speed limit?</t>
  </si>
  <si>
    <t>What is the largest sensory feature of the ctenophora?</t>
  </si>
  <si>
    <t>University of California, Irvine</t>
  </si>
  <si>
    <t>falling</t>
  </si>
  <si>
    <t>extend networking benefits</t>
  </si>
  <si>
    <t>U.S.</t>
  </si>
  <si>
    <t>plan for an invasion of Western Europe during the Cold War</t>
  </si>
  <si>
    <t>molten silver</t>
  </si>
  <si>
    <t>When the election produced an SNP majority government, what was it the first occurrence of?</t>
  </si>
  <si>
    <t>shamed</t>
  </si>
  <si>
    <t>With which museum does the V&amp;A co-owns Canova's The Three Graces?</t>
  </si>
  <si>
    <t>How is the Pauli exclusion priciple manifested in the macro world?</t>
  </si>
  <si>
    <t>too cold in northern Europe for the survival of fleas</t>
  </si>
  <si>
    <t>18-karat gold</t>
  </si>
  <si>
    <t>prelaunch</t>
  </si>
  <si>
    <t>withstood and fought to the last</t>
  </si>
  <si>
    <t>"Variations of Snow and Ice in the past and at present on a Global and Regional Scale"</t>
  </si>
  <si>
    <t>Where did the first Huguenot colonists settle?</t>
  </si>
  <si>
    <t>the killer T cell and the helper T cell</t>
  </si>
  <si>
    <t>the roads</t>
  </si>
  <si>
    <t>During the American Civil War, Jacksonville was a key supply point for hogs and cattle being shipped from Florida to aid the Confederate cause. The city was blockaded by Union forces, who gained control of the nearby Fort Clinch. Though no battles were fought in Jacksonville proper, the city changed hands several times between Union and Confederate forces. The Skirmish of the Brick Church in 1862 just outside Jacksonville proper resulted in the first Confederate victory in Florida. In February 1864 Union forces left Jacksonville and confronted a Confederate Army at the Battle of Olustee resulting in a Confederate victory. Union forces then retreated to Jacksonville and held the city for the remainder of the war. In March 1864 a Confederate cavalry confronted a Union expedition resulting in the Battle of Cedar Creek. Warfare and the long occupation left the city disrupted after the war.</t>
  </si>
  <si>
    <t>constant flooding</t>
  </si>
  <si>
    <t>This was the first time that the Carolina team faced what in the post season?</t>
  </si>
  <si>
    <t>The city has a proud history of theatre. Stephen Kemble of the famous Kemble family successfully managed the original Theatre Royal, Newcastle for fifteen years (1791–1806). He brought members of his famous acting family such as Sarah Siddons and John Kemble out of London to Newcastle. Stephen Kemble guided the theatre through many celebrated seasons. The original Theatre Royal in Newcastle was opened on 21 January 1788 and was located on Mosley Street. It was demolished to make way for Grey Street, where its replacement was built.</t>
  </si>
  <si>
    <t>How did Tetzel state that the soul could leave purgatory?</t>
  </si>
  <si>
    <t>In 2004 the Orange revolution occurred in what country?</t>
  </si>
  <si>
    <t>What surrounds Plastoglobuli?</t>
  </si>
  <si>
    <t>tolerant of religions</t>
  </si>
  <si>
    <t>Not a maritime power, and not a nation-state, as it would eventually become, Germany’s participation in Western imperialism was negligible until the late 19th century. The participation of Austria was primarily as a result of Habsburg control of the First Empire, the Spanish throne, and other royal houses.[further explanation needed] After the defeat of Napoleon, who caused the dissolution of that Holy Roman Empire, Prussia and the German states continued to stand aloof from imperialism, preferring to manipulate the European system through the Concert of Europe. After Prussia unified the other states into the second German Empire after the Franco-German War, its long-time Chancellor, Otto von Bismarck (1862–90), long opposed colonial acquisitions, arguing that the burden of obtaining, maintaining, and defending such possessions would outweigh any potential benefits. He felt that colonies did not pay for themselves, that the German bureaucratic system would not work well in the tropics and the diplomatic disputes over colonies would distract Germany from its central interest, Europe itself.</t>
  </si>
  <si>
    <t>What company filed a complaint with the FCC in 1934 concerning problems establishing new stations?</t>
  </si>
  <si>
    <t>decision problems</t>
  </si>
  <si>
    <t>self-study and problem solving</t>
  </si>
  <si>
    <t>What was the American Timothy Dexter widely regarded as?</t>
  </si>
  <si>
    <t>Larger Catechism</t>
  </si>
  <si>
    <t>not being a civil disobedient</t>
  </si>
  <si>
    <t>What is another possible explanation for the source of the signals?</t>
  </si>
  <si>
    <t>What period was 2.5 million years ago?</t>
  </si>
  <si>
    <t>steadily increased</t>
  </si>
  <si>
    <t>Why did al-Qaeda tell ISIL to take a hike?</t>
  </si>
  <si>
    <t>practical Carnot cycle</t>
  </si>
  <si>
    <t>straight down</t>
  </si>
  <si>
    <t>brick-and-mortar community pharmacies</t>
  </si>
  <si>
    <t>What was Tymnet</t>
  </si>
  <si>
    <t>extended structure and forces that act on one part of an object might affect other parts of an object</t>
  </si>
  <si>
    <t>An increase in imported cars into North America forced General Motors, Ford and Chrysler to introduce smaller and fuel-efficient models for domestic sales. The Dodge Omni / Plymouth Horizon from Chrysler, the Ford Fiesta and the Chevrolet Chevette all had four-cylinder engines and room for at least four passengers by the late 1970s. By 1985, the average American vehicle moved 17.4 miles per gallon, compared to 13.5 in 1970. The improvements stayed even though the price of a barrel of oil remained constant at $12 from 1974 to 1979. Sales of large sedans for most makes (except Chrysler products) recovered within two model years of the 1973 crisis. The Cadillac DeVille and Fleetwood, Buick Electra, Oldsmobile 98, Lincoln Continental, Mercury Marquis, and various other luxury oriented sedans became popular again in the mid-1970s. The only full-size models that did not recover were lower price models such as the Chevrolet Bel Air, and Ford Galaxie 500. Slightly smaller, mid-size models such as the Oldsmobile Cutlass, Chevrolet Monte Carlo, Ford Thunderbird and various other models sold well.</t>
  </si>
  <si>
    <t>What army was pushing deep into Polish territory to pursue the Germans in 1944?</t>
  </si>
  <si>
    <t>What pathway that plays a role in immune response to viruses is present in all eukaryotes?</t>
  </si>
  <si>
    <t>The efficiency of a Rankine cycle is usually limited by the working fluid. Without the pressure reaching supercritical levels for the working fluid, the temperature range the cycle can operate over is quite small; in steam turbines, turbine entry temperatures are typically 565 °C (the creep limit of stainless steel) and condenser temperatures are around 30 °C. This gives a theoretical Carnot efficiency of about 63% compared with an actual efficiency of 42% for a modern coal-fired power station. This low turbine entry temperature (compared with a gas turbine) is why the Rankine cycle is often used as a bottoming cycle in combined-cycle gas turbine power stations.[citation needed]</t>
  </si>
  <si>
    <t>NASA immediately convened an accident review board, overseen by both houses of Congress. While the determination of responsibility for the accident was complex, the review board concluded that "deficiencies existed in Command Module design, workmanship and quality control." At the insistence of NASA Administrator Webb, North American removed Harrison Storms as Command Module program manager. Webb also reassigned Apollo Spacecraft Program Office (ASPO) Manager Joseph Francis Shea, replacing him with George Low.</t>
  </si>
  <si>
    <t>Observations on the Geology of the United States</t>
  </si>
  <si>
    <t>fund</t>
  </si>
  <si>
    <t>Müntzer's execution</t>
  </si>
  <si>
    <t>a computer</t>
  </si>
  <si>
    <t>greater return of capital</t>
  </si>
  <si>
    <t>end of World War I</t>
  </si>
  <si>
    <t>What is another general concept that applies to elements of commutative rings?</t>
  </si>
  <si>
    <t>the architect or engineer</t>
  </si>
  <si>
    <t>The idea that Islam can be apolitical isn't able to be embraced by whom?</t>
  </si>
  <si>
    <t>confessional church based on personal faith and experience and a territorial church including all in a given locality</t>
  </si>
  <si>
    <t>Monday Night Football</t>
  </si>
  <si>
    <t>What is PPP?</t>
  </si>
  <si>
    <t>the absolute value</t>
  </si>
  <si>
    <t>higher returns</t>
  </si>
  <si>
    <t>What are antimicrobial peptides that evolved as immune defense in eukaryotes called?</t>
  </si>
  <si>
    <t xml:space="preserve">What delivery message was used </t>
  </si>
  <si>
    <t>dumbbell-shaped</t>
  </si>
  <si>
    <t>What was the civil war against Ragibagh also called?</t>
  </si>
  <si>
    <t>What can lead to higher wages for members of labor organizations?</t>
  </si>
  <si>
    <t>More than 26,000 square kilometres (10,000 sq mi) of Victorian farmland are sown for grain, mostly in the state's west. More than 50% of this area is sown for wheat, 33% for barley and 7% for oats. A further 6,000 square kilometres (2,300 sq mi) is sown for hay. In 2003–04, Victorian farmers produced more than 3 million tonnes of wheat and 2 million tonnes of barley. Victorian farms produce nearly 90% of Australian pears and third of apples. It is also a leader in stone fruit production. The main vegetable crops include asparagus, broccoli, carrots, potatoes and tomatoes. Last year, 121,200 tonnes of pears and 270,000 tonnes of tomatoes were produced.</t>
  </si>
  <si>
    <t>Hobson argued that imperialism was an international what?</t>
  </si>
  <si>
    <t>Wisdom, Compassion, Justice and Integrity</t>
  </si>
  <si>
    <t>What was Thoreau's punishment for not paying his taxes?</t>
  </si>
  <si>
    <t>safaris, diverse climate and geography</t>
  </si>
  <si>
    <t>What happens when bathocyroe and ocyropsis clap their lobes together?</t>
  </si>
  <si>
    <t>The climate in Newcastle is oceanic (Köppen Cfb) and significantly milder than some other locations in the world at a similar latitude, due to the warming influence of the Gulf Stream (via the North Atlantic Drift). Being in the rain shadow of the North Pennines, it is among the driest cities in the UK. Temperature extremes recorded at Newcastle Weather Centre include 32.5 °C (90.5 °F) during August 1990 down to −12.6 °C (9.3 °F) during January 1982. In contrast to other areas influenced by the Gulf Stream, such as inland Scandinavia, Newcastle has milder winters and cooler summers, similar to the remainder of the British Isles.</t>
  </si>
  <si>
    <t>The catechism</t>
  </si>
  <si>
    <t>What type of works from Asia are included in the V&amp;A's British galleries?</t>
  </si>
  <si>
    <t>Dr. Thomas Coke</t>
  </si>
  <si>
    <t>What is the subsystem that protects the human brain?</t>
  </si>
  <si>
    <t>What is the clarity of liquid oxygen?</t>
  </si>
  <si>
    <t>between 1268 and 1273</t>
  </si>
  <si>
    <t>Before the formation of which planet, did Sol lose oxygen 16?</t>
  </si>
  <si>
    <t>What European event caused the Huguenots to abandon Charlesfort?</t>
  </si>
  <si>
    <t>monophyletic</t>
  </si>
  <si>
    <t>What did Basset analyze before coming to his conclusions?</t>
  </si>
  <si>
    <t>regulations and directives which are based on the Treaties</t>
  </si>
  <si>
    <t>May 1754</t>
  </si>
  <si>
    <t>passion</t>
  </si>
  <si>
    <t>elude host immune responses</t>
  </si>
  <si>
    <t>It's Scotland's oil</t>
  </si>
  <si>
    <t>Planetary geologists have measured different abundances of oxygen isotopes in samples from the Earth, the Moon, Mars, and meteorites, but were long unable to obtain reference values for the isotope ratios in the Sun, believed to be the same as those of the primordial solar nebula. Analysis of a silicon wafer exposed to the solar wind in space and returned by the crashed Genesis spacecraft has shown that the Sun has a higher proportion of oxygen-16 than does the Earth. The measurement implies that an unknown process depleted oxygen-16 from the Sun's disk of protoplanetary material prior to the coalescence of dust grains that formed the Earth.</t>
  </si>
  <si>
    <t>How effective was the military use of the "Afghan Arabs"?</t>
  </si>
  <si>
    <t>What do a number of researchers think a shortage of is caused in part by income inequality?</t>
  </si>
  <si>
    <t>Kings Canyon Avenue and Clovis Avenue</t>
  </si>
  <si>
    <t>nullification</t>
  </si>
  <si>
    <t>Alvaro Martin and Raul Allegre</t>
  </si>
  <si>
    <t>condemned as idolatry</t>
  </si>
  <si>
    <t>Scotland Act 1998</t>
  </si>
  <si>
    <t xml:space="preserve">Rock units become thicker and shorten when placed under this type of compression. </t>
  </si>
  <si>
    <t>somewhat strong "colonial" coloration</t>
  </si>
  <si>
    <t>What river runs alongside Jacksonville?</t>
  </si>
  <si>
    <t>How many legions in five bases were along the Rhine by the Romans?</t>
  </si>
  <si>
    <t>eastern coast of the continent</t>
  </si>
  <si>
    <t>Who started the IPCC Trust Fund?</t>
  </si>
  <si>
    <t>Along with drought, what is one other factor that is pushing the Amazon rainforest towards a tipping point?</t>
  </si>
  <si>
    <t>rapidly evolve and adapt</t>
  </si>
  <si>
    <t>issue of laity having a voice and vote in the administration of the church</t>
  </si>
  <si>
    <t>What gorge is between the Bingen and Bonn?</t>
  </si>
  <si>
    <t>disposition of prisoners' personal effects</t>
  </si>
  <si>
    <t>restaurant</t>
  </si>
  <si>
    <t>an individual</t>
  </si>
  <si>
    <t>high temperature and pressure physical experiments</t>
  </si>
  <si>
    <t>butchery</t>
  </si>
  <si>
    <t>significance of the words spoken by Jesus</t>
  </si>
  <si>
    <t>What did giving money to the church absolve the giver from?</t>
  </si>
  <si>
    <t>When did photosynthetic organisms evolve on Earth?</t>
  </si>
  <si>
    <t>8 October 1963</t>
  </si>
  <si>
    <t>How long until the Provisional Registration is upgraded, if requirements are met?</t>
  </si>
  <si>
    <t>Michael Heckenberger and colleagues of the University of Florida</t>
  </si>
  <si>
    <t>What percentage of American households did ABC reach in March 2015?</t>
  </si>
  <si>
    <t>What is malum in se considerations?</t>
  </si>
  <si>
    <t>What did the richest 400 Americans have as children that helped them be successful adults?</t>
  </si>
  <si>
    <t>Which country used to rule California?</t>
  </si>
  <si>
    <t>The first buildings of the University of Chicago campus, which make up what is now known as the Main Quadrangles, were part of a "master plan" conceived by two University of Chicago trustees and plotted by Chicago architect Henry Ives Cobb. The Main Quadrangles consist of six quadrangles, each surrounded by buildings, bordering one larger quadrangle. The buildings of the Main Quadrangles were designed by Cobb, Shepley, Rutan and Coolidge, Holabird &amp; Roche, and other architectural firms in a mixture of the Victorian Gothic and Collegiate Gothic styles, patterned on the colleges of the University of Oxford. (Mitchell Tower, for example, is modeled after Oxford's Magdalen Tower, and the university Commons, Hutchinson Hall, replicates Christ Church Hall.)</t>
  </si>
  <si>
    <t>plot and combine</t>
  </si>
  <si>
    <t>horses</t>
  </si>
  <si>
    <t>The defeat of the Arab troops in the Six-Day War constituted what for the Arab Muslim world?</t>
  </si>
  <si>
    <t>The neighborhood features restaurants, live theater and nightclubs, as well as several independent shops and bookstores, currently operating on or near Olive Avenue, and all within a few hundred feet of each other. Since renewal, the Tower District has become an attractive area for restaurant and other local businesses. Today, the Tower District is also known as the center of Fresno's LGBT and hipster Communities.; Additionally, Tower District is also known as the center of Fresno's local punk/goth/deathrock and heavy metal community.[citation needed]</t>
  </si>
  <si>
    <t>When were the Wars of Religion fought?</t>
  </si>
  <si>
    <t>Who were Chu'Tsai's forefathers?</t>
  </si>
  <si>
    <t>the opposite end from the mouth</t>
  </si>
  <si>
    <t>open spaces</t>
  </si>
  <si>
    <t>second and third run movies</t>
  </si>
  <si>
    <t>Ethiopian</t>
  </si>
  <si>
    <t>low-light conditions</t>
  </si>
  <si>
    <t>in the Earth's biosphere, air, sea and land</t>
  </si>
  <si>
    <t>The plague struck various countries in the Middle East during the pandemic, leading to serious depopulation and permanent change in both economic and social structures. As it spread to western Europe, the disease entered the region from southern Russia also. By autumn 1347, the plague reached Alexandria in Egypt, probably through the port's trade with Constantinople, and ports on the Black Sea. During 1347, the disease travelled eastward to Gaza, and north along the eastern coast to cities in Lebanon, Syria and Palestine, including Ashkelon, Acre, Jerusalem, Sidon, Damascus, Homs, and Aleppo. In 1348–49, the disease reached Antioch. The city's residents fled to the north, most of them dying during the journey, but the infection had been spread to the people of Asia Minor.[citation needed]</t>
  </si>
  <si>
    <t>backing</t>
  </si>
  <si>
    <t>bad air</t>
  </si>
  <si>
    <t>Book of Discipline</t>
  </si>
  <si>
    <t>conflicting territorial claims</t>
  </si>
  <si>
    <t>the US expansion Westward could be viewed as what type of colonialism?</t>
  </si>
  <si>
    <t>When does immunodeficiency occur?</t>
  </si>
  <si>
    <t>genetically modified plants</t>
  </si>
  <si>
    <t>What happens when starch grains become overly large?</t>
  </si>
  <si>
    <t>lack of understanding of the legal ramifications,</t>
  </si>
  <si>
    <t>Jewish</t>
  </si>
  <si>
    <t>What type of compounds such as acetone,contain oxygen?</t>
  </si>
  <si>
    <t>combustion chamber</t>
  </si>
  <si>
    <t>What type of living does cycling promote?</t>
  </si>
  <si>
    <t>What shape is Oedogonium's chloroplasts?</t>
  </si>
  <si>
    <t>internal thylakoid system</t>
  </si>
  <si>
    <t>What is the glacial alpine valley known as?</t>
  </si>
  <si>
    <t>increased scrutiny on teacher misconduct</t>
  </si>
  <si>
    <t>What process down the line does rubisco's flaw interfere with?</t>
  </si>
  <si>
    <t>the head of government would be acting in her or his capacity as public official</t>
  </si>
  <si>
    <t>February 1, 2016</t>
  </si>
  <si>
    <t>government land</t>
  </si>
  <si>
    <t>DATAPAC was developed by Bell Northern Research</t>
  </si>
  <si>
    <t>What is the law named that defines a charge moving through a magnetic field?</t>
  </si>
  <si>
    <t>build their own dedicated networks</t>
  </si>
  <si>
    <t>Besides combustion, for what other action did Mayow show nitroaereus responsible?</t>
  </si>
  <si>
    <t>a citizen's relation to the state and its laws,</t>
  </si>
  <si>
    <t>What day did the Apollo 11 crew return to Earth?</t>
  </si>
  <si>
    <t>What magnetic character do triplet O2 have?</t>
  </si>
  <si>
    <t>The energy crisis</t>
  </si>
  <si>
    <t>What foot was injured on Manning that sidelined him in week 10?</t>
  </si>
  <si>
    <t>the world systems theory</t>
  </si>
  <si>
    <t>Families with French names in South Africa speak what language today?</t>
  </si>
  <si>
    <t>Construction is the process of constructing a building or infrastructure. Construction differs from manufacturing in that manufacturing typically involves mass production of similar items without a designated purchaser, while construction typically takes place on location for a known client. Construction as an industry comprises six to nine percent of the gross domestic product of developed countries. Construction starts with planning,[citation needed] design, and financing and continues until the project is built and ready for use.</t>
  </si>
  <si>
    <t>How many sites did the NFL narrow down Super Bowl 50's location to?</t>
  </si>
  <si>
    <t>When was the agreement to acquire ABC approved by UPT's board?</t>
  </si>
  <si>
    <t>Nobel Prize</t>
  </si>
  <si>
    <t>How much was the 1994 earthquake estimated to have cost?</t>
  </si>
  <si>
    <t>Concentrated O
2 will allow combustion to proceed rapidly and energetically. Steel pipes and storage vessels used to store and transmit both gaseous and liquid oxygen will act as a fuel; and therefore the design and manufacture of O
2 systems requires special training to ensure that ignition sources are minimized. The fire that killed the Apollo 1 crew in a launch pad test spread so rapidly because the capsule was pressurized with pure O
2 but at slightly more than atmospheric pressure, instead of the 1⁄3 normal pressure that would be used in a mission.[k]</t>
  </si>
  <si>
    <t>30-second</t>
  </si>
  <si>
    <t>Ohio Company,</t>
  </si>
  <si>
    <t>eastern coast</t>
  </si>
  <si>
    <t>What made emigration to these colonies attractive?</t>
  </si>
  <si>
    <t>1523 adaptation of the Latin Mass</t>
  </si>
  <si>
    <t>The concept of inertia can be further generalized to explain the tendency of objects to continue in many different forms of constant motion, even those that are not strictly constant velocity. The rotational inertia of planet Earth is what fixes the constancy of the length of a day and the length of a year. Albert Einstein extended the principle of inertia further when he explained that reference frames subject to constant acceleration, such as those free-falling toward a gravitating object, were physically equivalent to inertial reference frames. This is why, for example, astronauts experience weightlessness when in free-fall orbit around the Earth, and why Newton's Laws of Motion are more easily discernible in such environments. If an astronaut places an object with mass in mid-air next to himself, it will remain stationary with respect to the astronaut due to its inertia. This is the same thing that would occur if the astronaut and the object were in intergalactic space with no net force of gravity acting on their shared reference frame. This principle of equivalence was one of the foundational underpinnings for the development of the general theory of relativity.</t>
  </si>
  <si>
    <t>reassembled</t>
  </si>
  <si>
    <t>What are private schools that charge no tuition called?</t>
  </si>
  <si>
    <t>eventually decrease</t>
  </si>
  <si>
    <t>two hymns</t>
  </si>
  <si>
    <t>the German Te Deum</t>
  </si>
  <si>
    <t>The Late Late Show with James Corden.</t>
  </si>
  <si>
    <t>nearly a million and a half</t>
  </si>
  <si>
    <t>What schools do preparatory schools prepare British children to attend?</t>
  </si>
  <si>
    <t>Where does a canonball dropped from the crow's nest of a ship actually land?</t>
  </si>
  <si>
    <t>Where did it join in the direction of its flow?</t>
  </si>
  <si>
    <t>What are weak and electromatic forces expressions of?</t>
  </si>
  <si>
    <t>The historian Francis Aidan Gasquet wrote about the 'Great Pestilence' in 1893 and suggested that "it would appear to be some form of the ordinary Eastern or bubonic plague". He was able to adopt the epidemiology of the bubonic plague for the Black Death for the second edition in 1908, implicating rats and fleas in the process, and his interpretation was widely accepted for other ancient and medieval epidemics, such as the Justinian plague that was prevalent in the Eastern Roman Empire from 541 to 700 CE.</t>
  </si>
  <si>
    <t>millions</t>
  </si>
  <si>
    <t>Sky_(United_Kingdom)</t>
  </si>
  <si>
    <t>industrialized nations increased their reserves</t>
  </si>
  <si>
    <t>Western art from the Middle Ages to the present</t>
  </si>
  <si>
    <t>an Islamic rebellion</t>
  </si>
  <si>
    <t>greenhouse gas</t>
  </si>
  <si>
    <t>a nonphotosynthetic eukaryote engulfed a chloroplast-containing alga but failed to digest it</t>
  </si>
  <si>
    <t>oil was priced in dollars, oil producers' real income decreased</t>
  </si>
  <si>
    <t>The Very high-speed Backbone Network Service</t>
  </si>
  <si>
    <t>What is that power that enables us to love?</t>
  </si>
  <si>
    <t>What must be done to make non public lawbreaking acknowledged as civil disobedience?</t>
  </si>
  <si>
    <t>population levels would start to drop to a sustainable level</t>
  </si>
  <si>
    <t>on a phased basis</t>
  </si>
  <si>
    <t>When was the Rhine first discovered?</t>
  </si>
  <si>
    <t>400 AD to 1914</t>
  </si>
  <si>
    <t>11 million customers</t>
  </si>
  <si>
    <t>during the compression stage relatively little work is required to drive the pump</t>
  </si>
  <si>
    <t>British troops</t>
  </si>
  <si>
    <t>it has survived many wars, conflicts and invasions</t>
  </si>
  <si>
    <t>To which technology type that Tesla worked on did the caption refer to?</t>
  </si>
  <si>
    <t>In the mid-1950s, Frank Burnet, inspired by a suggestion made by Niels Jerne, formulated the clonal selection theory (CST) of immunity. On the basis of CST, Burnet developed a theory of how an immune response is triggered according to the self/nonself distinction: "self" constituents (constituents of the body) do not trigger destructive immune responses, while "nonself" entities (pathogens, an allograft) trigger a destructive immune response. The theory was later modified to reflect new discoveries regarding histocompatibility or the complex "two-signal" activation of T cells. The self/nonself theory of immunity and the self/nonself vocabulary have been criticized, but remain very influential.</t>
  </si>
  <si>
    <t>When is the game's media day usually held?</t>
  </si>
  <si>
    <t>using sickles to deflate one of the large domes</t>
  </si>
  <si>
    <t>874.3 square miles</t>
  </si>
  <si>
    <t>Distinguished Service Medal,</t>
  </si>
  <si>
    <t>Capital City and ABC sold the WXYZ-TV and WFTS-TV stations to what company?</t>
  </si>
  <si>
    <t>farm tractors</t>
  </si>
  <si>
    <t>Committees</t>
  </si>
  <si>
    <t>abolition of the Ottoman Caliphate</t>
  </si>
  <si>
    <t>Which direction did the disease first move in?</t>
  </si>
  <si>
    <t>New York and the Ohio</t>
  </si>
  <si>
    <t>The Mitchell Tower is designed to look like what Oxford tower?</t>
  </si>
  <si>
    <t>consumption</t>
  </si>
  <si>
    <t>failures in North America</t>
  </si>
  <si>
    <t>William of Orange</t>
  </si>
  <si>
    <t>4.5 million</t>
  </si>
  <si>
    <t>Hiding behind (or 'watching from behind') the sofa</t>
  </si>
  <si>
    <t>Kenia and Kegnia</t>
  </si>
  <si>
    <t>Other predecessors of the Reformed church included the pro-reform and Gallican Roman Catholics, such as Jacques Lefevre (c. 1455–1536). The Gallicans briefly achieved independence for the French church, on the principle that the religion of France could not be controlled by the Bishop of Rome, a foreign power. During the Protestant Reformation, Lefevre, a professor at the University of Paris, published his French translation of the New Testament in 1523, followed by the whole Bible in the French language in 1530. William Farel was a student of Lefevre who went on to become a leader of the Swiss Reformation, establishing a Protestant government in Geneva. Jean Cauvin (John Calvin), another student at the University of Paris, also converted to Protestantism. Long after the sect was suppressed by Francis I, the remaining French Waldensians, then mostly in the Luberon region, sought to join William Farel, Calvin and the Reformation, and Olivetan published a French Bible for them. The French Confession of 1559 shows a decidedly Calvinistic influence. Sometime between 1550 and 1580, members of the Reformed church in France came to be commonly known as Huguenots.[citation needed]</t>
  </si>
  <si>
    <t>Since the 1980s</t>
  </si>
  <si>
    <t>Who did Jamukha support that were not part of Temüjin's power base?</t>
  </si>
  <si>
    <t>English Channel</t>
  </si>
  <si>
    <t>south</t>
  </si>
  <si>
    <t>The variant forms of the name of the Rhine in modern languages are all derived from the Gaulish name Rēnos, which was adapted in Roman-era geography (1st century BC) as Greek Ῥῆνος (Rhēnos), Latin Rhenus.[note 3] The spelling with Rh- in English Rhine as well as in German Rhein and French Rhin is due to the influence of Greek orthography, while the vocalisation -i- is due to the Proto-Germanic adoption of the Gaulish name as *Rīnaz, via Old Frankish giving Old English Rín, Old High German Rīn, Dutch Rijn (formerly also spelled Rhijn)). The diphthong in modern German Rhein (also adopted in Romansh Rein, Rain) is a Central German development of the early modern period, the Alemannic name Rī(n) retaining the older vocalism,[note 4] as does Ripuarian Rhing, while Palatine has diphthongized Rhei, Rhoi. Spanish is with French in adopting the Germanic vocalism Rin-, while Italian, Occitan and Portuguese retain the Latin Ren-.</t>
  </si>
  <si>
    <t>When did the exploration of the interior begin?</t>
  </si>
  <si>
    <t>in the 1960s</t>
  </si>
  <si>
    <t>Formal teaching</t>
  </si>
  <si>
    <t>Stadtholder William III of Orange, who later became King of England, emerged as the strongest opponent of king Louis XIV after the French attacked the Dutch Republic in 1672. William formed the League of Augsburg as a coalition to oppose Louis and the French state. Consequently, many Huguenots considered the wealthy and Calvinist Dutch Republic, which led the opposition to Louis XIV, as the most attractive country for exile after the revocation of the Edict of Nantes. They also found many French-speaking Calvinist churches there.</t>
  </si>
  <si>
    <t>Is fertilization  internal or exeternal in most species?</t>
  </si>
  <si>
    <t>between 1835 and 1842</t>
  </si>
  <si>
    <t>How much did Disney sell it's stake in Eurosport for in 2000?</t>
  </si>
  <si>
    <t>84 hours</t>
  </si>
  <si>
    <t>How many Huguenots were killed in Toulouse?</t>
  </si>
  <si>
    <t>recover the latent heat of vaporisation</t>
  </si>
  <si>
    <t>What culture did the Normans combine with in Ireland?</t>
  </si>
  <si>
    <t>the Romantic Rhine</t>
  </si>
  <si>
    <t>32 °C (90 °F)</t>
  </si>
  <si>
    <t>Most went to Cuba</t>
  </si>
  <si>
    <t>cannot initiate legislation against the Commission's wishes</t>
  </si>
  <si>
    <t>cancers</t>
  </si>
  <si>
    <t>preached</t>
  </si>
  <si>
    <t>In the motor rallying arena, Kenya is home to the world famous Safari Rally, commonly acknowledged as one of the toughest rallies in the world. It was a part of the World Rally Championship for many years until its exclusion after the 2002 event owing to financial difficulties. Some of the best rally drivers in the world have taken part in and won the rally, such as Björn Waldegård, Hannu Mikkola, Tommi Mäkinen, Shekhar Mehta, Carlos Sainz and Colin McRae. Although the rally still runs annually as part of the Africa rally championship, the organisers are hoping to be allowed to rejoin the World Rally championship in the next couple of years.</t>
  </si>
  <si>
    <t>It was shown by Ladner that if P ≠ NP then there exist problems in NP that are neither in P nor NP-complete. Such problems are called NP-intermediate problems. The graph isomorphism problem, the discrete logarithm problem and the integer factorization problem are examples of problems believed to be NP-intermediate. They are some of the very few NP problems not known to be in P or to be NP-complete.</t>
  </si>
  <si>
    <t>How much is China's investment in Kenya?</t>
  </si>
  <si>
    <t>incorporate their prey's nematocysts (stinging cells) into their own tentacles</t>
  </si>
  <si>
    <t>violence, degradation, exploitation, and coercion</t>
  </si>
  <si>
    <t>Sculptors both British and Europeans who were based in Britain and whose work is in the collection include Nicholas Stone, Caius Gabriel Cibber, Grinling Gibbons, John Michael Rysbrack, Louis-François Roubiliac, Peter Scheemakers, Sir Henry Cheere, Agostino Carlini, Thomas Banks, Joseph Nollekens, Joseph Wilton, John Flaxman, Sir Francis Chantrey, John Gibson, Edward Hodges Baily, Lord Leighton, Alfred Stevens, Thomas Brock, Alfred Gilbert, George Frampton, and Eric Gill. A sample of some of these sculptors' work is on display in the British Galleries.</t>
  </si>
  <si>
    <t>The judicial branch of the EU has played an important role in the development of EU law, by assuming the task of interpreting the treaties, and accelerating economic and political integration. Today the Court of Justice of the European Union (CJEU) is the main judicial body, within which there is a higher European Court of Justice (commonly abbreviated as ECJ) that deals with cases that contain more public importance, and a General Court that deals with issues of detail but without general importance. There is also a Civil Service Tribunal to deal with EU staff issues, and then a separate Court of Auditors. Under the Treaty on European Union article 19(2) there is one judge from each member state, 28 at present, who are supposed to "possess the qualifications required for appointment to the highest judicial offices" (or for the General Court, the "ability required for appointment to high judicial office"). A president is elected by the judges for three years. Under TEU article 19(3) is to be the ultimate court to interpret questions of EU law. In fact, most EU law is applied by member state courts (the English Court of Appeal, the German Bundesgerichtshof, the Belgian Cour du travail, etc.) but they can refer questions to the EU court for a preliminary ruling. The CJEU's duty is to "ensure that in the interpretation and application of the Treaties the law is observed", although realistically it has the ability to expand and develop the law according to the principles it deems to be appropriate. Arguably this has been done through both seminal and controversial judgments, including Van Gend en Loos, Mangold v Helm, and Kadi v Commission.</t>
  </si>
  <si>
    <t>the type of reduction being used</t>
  </si>
  <si>
    <t>certain "entrenched" provisions</t>
  </si>
  <si>
    <t>What additional benefits are there to surrounding community of expansion?</t>
  </si>
  <si>
    <t>When did WLS launch a lineup of ABC radio programs?</t>
  </si>
  <si>
    <t>provide high-speed interconnection between NSF-sponsored supercomputing centers and select access points in the United States</t>
  </si>
  <si>
    <t>What Jacksonville community is known for having heavy ties to the Navy?</t>
  </si>
  <si>
    <t>Which central European country had a Calvinist ruler?</t>
  </si>
  <si>
    <t>What is the name of matters outside the legislative ability of the Scottish Parliament?</t>
  </si>
  <si>
    <t>How many of the following three fourth quarter drives after the field goal makng the score 16-10 ended in punts?</t>
  </si>
  <si>
    <t>What is the name of the organization in charge of running the clubs at the university?</t>
  </si>
  <si>
    <t>are prime. Prime numbers of this form are known as factorial primes. Other primes where either p + 1 or p − 1 is of a particular shape include the Sophie Germain primes (primes of the form 2p + 1 with p prime), primorial primes, Fermat primes and Mersenne primes, that is, prime numbers that are of the form 2p − 1, where p is an arbitrary prime. The Lucas–Lehmer test is particularly fast for numbers of this form. This is why the largest known prime has almost always been a Mersenne prime since the dawn of electronic computers.</t>
  </si>
  <si>
    <t>infinite</t>
  </si>
  <si>
    <t>Which party is strongest in Victoria's northwestern and eastern regions?</t>
  </si>
  <si>
    <t>Who discovered pottery found on Black Hammock Island?</t>
  </si>
  <si>
    <t>What are the Catechisms of Martin Luther written in?</t>
  </si>
  <si>
    <t>What does the highest level of the Vistula plateau contain?</t>
  </si>
  <si>
    <t>obtaining cost-effective medication</t>
  </si>
  <si>
    <t>What was the ratio of British settler to French?</t>
  </si>
  <si>
    <t>Very small markets had to wait until what decade to support an ABC affiliate?</t>
  </si>
  <si>
    <t>SkyHD box</t>
  </si>
  <si>
    <t>Tea, coffee, sisal, pyrethrum, corn, and wheat are grown in the fertile highlands, one of the most successful agricultural production regions in Africa. Livestock predominates in the semi-arid savanna to the north and east. Coconuts, pineapples, cashew nuts, cotton, sugarcane, sisal, and corn are grown in the lower-lying areas. Unfortunately, the country has not attained the level of investment and efficiency in agriculture that can guarantee food security and coupled with resulting poverty (53% of the population lives below the poverty line), a significant portion of the population regularly starves and is heavily dependent on food aid. Poor roads, an inadequate railway network, under-used water transport and expensive air transport have isolated mostly arid and semi-arid areas and farmers in other regions often leave food to rot in the fields because they cannot access markets. This was last seen in August and September 2011 prompting the Kenyans for Kenya initiative by the Red Cross.</t>
  </si>
  <si>
    <t>How did Turabi build a strong economic base?</t>
  </si>
  <si>
    <t>Which principle is based on the appearance of fossils in sedimentary rocks?</t>
  </si>
  <si>
    <t>Individual-level interventions</t>
  </si>
  <si>
    <t>When did the term imperialism first come to be used by its current definition?</t>
  </si>
  <si>
    <t>Has there ever been anyone charged with importing drugs from Canada for personal medicinal use?</t>
  </si>
  <si>
    <t>law and philosophy</t>
  </si>
  <si>
    <t>Safari Rally</t>
  </si>
  <si>
    <t>Where is the sculpture gallery now located?</t>
  </si>
  <si>
    <t>Which tree species is planted in the two corners by the north facade?</t>
  </si>
  <si>
    <t>legal system</t>
  </si>
  <si>
    <t>school</t>
  </si>
  <si>
    <t>What is the second busiest airport in the United States?</t>
  </si>
  <si>
    <t>What group specifically opposed the Huguenots?</t>
  </si>
  <si>
    <t>Which conjecture holds that every even integer n greater than 2 can be expressed as a sum of two primes?</t>
  </si>
  <si>
    <t>St John the Baptist</t>
  </si>
  <si>
    <t>At present, the branches Waal and Nederrijn-Lek discharge to the North Sea, through the former Meuse estuary, near Rotterdam. The river IJssel branch flows to the north and enters the IJsselmeer, formerly the Zuider Zee brackish lagoon; however, since 1932, a freshwater lake. The discharge of the Rhine is divided among three branches: the River Waal (6/9 of total discharge), the River Nederrijn – Lek (2/9 of total discharge) and the River IJssel (1/9 of total discharge). This discharge distribution has been maintained since 1709, by river engineering works, including the digging of the Pannerdens canal and since the 20th century, with the help of weirs in the Nederrijn river.</t>
  </si>
  <si>
    <t>Annual Conference</t>
  </si>
  <si>
    <t>binary notation</t>
  </si>
  <si>
    <t>shortage of male teachers</t>
  </si>
  <si>
    <t>What were blank spaces used for on nineteenth-century maps?</t>
  </si>
  <si>
    <t>between New France and the British colonies</t>
  </si>
  <si>
    <t>What is one country that has been suggested for importation of medicines?</t>
  </si>
  <si>
    <t>Spanish</t>
  </si>
  <si>
    <t>Who did the Panthers face in the NFC Championship Game?</t>
  </si>
  <si>
    <t>Although the reciprocating steam engine is no longer in widespread commercial use, various companies are exploring or exploiting the potential of the engine as an alternative to internal combustion engines. The company Energiprojekt AB in Sweden has made progress in using modern materials for harnessing the power of steam. The efficiency of Energiprojekt's steam engine reaches some 27-30% on high-pressure engines. It is a single-step, 5-cylinder engine (no compound) with superheated steam and consumes approx. 4 kg (8.8 lb) of steam per kWh.[not in citation given]</t>
  </si>
  <si>
    <t>When was the City of Malindi established?</t>
  </si>
  <si>
    <t>mid-Eocene</t>
  </si>
  <si>
    <t>incorporate their prey's nematocysts (stinging cells) into their own tentacles instead of colloblasts</t>
  </si>
  <si>
    <t>What was the North American portion of War of Austrian Succession?</t>
  </si>
  <si>
    <t>nineteenth-century cartographic techniques</t>
  </si>
  <si>
    <t>After the merger between ABC and Capital Cities was completed, what was the resulting company known as?</t>
  </si>
  <si>
    <t>grew up in substantial privilege</t>
  </si>
  <si>
    <t>egg-shaped</t>
  </si>
  <si>
    <t>For each of the 28 member states, how many Commissioner's are represented for each one?</t>
  </si>
  <si>
    <t>What is the name of the service that gets local businesses contract chances with the Super Bowl?</t>
  </si>
  <si>
    <t>Which organisms have chloroplasts?</t>
  </si>
  <si>
    <t>activities of muggers, arsonists, draft evaders, campaign hecklers, campus militants, anti-war demonstrators, juvenile delinquents and political assassins</t>
  </si>
  <si>
    <t>direct civil disobedience</t>
  </si>
  <si>
    <t>jailer and hangman</t>
  </si>
  <si>
    <t>support from China for a planned $2.5 billion railway</t>
  </si>
  <si>
    <t>the growth of mass production</t>
  </si>
  <si>
    <t>devolved competencies</t>
  </si>
  <si>
    <t>What was the occupation of Tesla's father?</t>
  </si>
  <si>
    <t>left Graz and severed all relations with his family</t>
  </si>
  <si>
    <t>scorpion</t>
  </si>
  <si>
    <t>$414 million</t>
  </si>
  <si>
    <t>hydrophilic</t>
  </si>
  <si>
    <t>collenchyma tissue</t>
  </si>
  <si>
    <t>its solution requires significant resources</t>
  </si>
  <si>
    <t>The inside of a ctenophore is lined with what?</t>
  </si>
  <si>
    <t>agriculture</t>
  </si>
  <si>
    <t>What is the immune system?</t>
  </si>
  <si>
    <t>Rates of sea-level rise had dropped</t>
  </si>
  <si>
    <t>through phowa and siddhi</t>
  </si>
  <si>
    <t>What is most of Warsaw's modern growth based on?</t>
  </si>
  <si>
    <t>What was used by the West to justify control over eastern territories?</t>
  </si>
  <si>
    <t>When was ABC1 discontinued because of low viewership?</t>
  </si>
  <si>
    <t>environmental risks</t>
  </si>
  <si>
    <t>What type of climate does Jacksonville have?</t>
  </si>
  <si>
    <t>22 June 1857</t>
  </si>
  <si>
    <t>What space-time path is seen as a curved line in space?</t>
  </si>
  <si>
    <t>In World War II, Charles de Gaulle and the Free French used the overseas colonies as bases from which they fought to liberate France. However after 1945 anti-colonial movements began to challenge the Empire. France fought and lost a bitter war in Vietnam in the 1950s. Whereas they won the war in Algeria, the French leader at the time, Charles de Gaulle, decided to grant Algeria independence anyway in 1962. Its settlers and many local supporters relocated to France. Nearly all of France's colonies gained independence by 1960, but France retained great financial and diplomatic influence. It has repeatedly sent troops to assist its former colonies in Africa in suppressing insurrections and coups d’état.</t>
  </si>
  <si>
    <t>enthusiastic</t>
  </si>
  <si>
    <t>Chinese</t>
  </si>
  <si>
    <t>eight U.S. presidents</t>
  </si>
  <si>
    <t>reversed</t>
  </si>
  <si>
    <t>What well known political scientists are currently on the university's faculty?</t>
  </si>
  <si>
    <t xml:space="preserve">WHy was the Merit network formed in Michigan </t>
  </si>
  <si>
    <t>Some disagree with such double or triple non-French linguistic origins, arguing that for the word to have spread into common use in France, it must have originated in the French language. The "Hugues hypothesis" argues that the name was derived by association with Hugues Capet, king of France, who reigned long before the Reformation. He was regarded by the Gallicans and Protestants as a noble man who respected people's dignity and lives. Janet Gray and other supporters of the hypothesis suggest that the name huguenote would be roughly equivalent to little Hugos, or those who want Hugo.</t>
  </si>
  <si>
    <t>What two comedies were featured on ABC's new Wednesday comedy lineup?</t>
  </si>
  <si>
    <t>thought of themselves as better</t>
  </si>
  <si>
    <t>proteins</t>
  </si>
  <si>
    <t>mainline Protestant denomination</t>
  </si>
  <si>
    <t>2005 and 2010</t>
  </si>
  <si>
    <t>punishments</t>
  </si>
  <si>
    <t>Many known complexity classes are suspected to be unequal, but this has not been proved. For instance P ⊆ NP ⊆ PP ⊆ PSPACE, but it is possible that P = PSPACE. If P is not equal to NP, then P is not equal to PSPACE either. Since there are many known complexity classes between P and PSPACE, such as RP, BPP, PP, BQP, MA, PH, etc., it is possible that all these complexity classes collapse to one class. Proving that any of these classes are unequal would be a major breakthrough in complexity theory.</t>
  </si>
  <si>
    <t>Until 1987, what stance did the Muslim Brotherhood in Palestine take towards Israel?</t>
  </si>
  <si>
    <t>In which direction did the water on the eastern side flow?</t>
  </si>
  <si>
    <t>protest should be maintained all the way</t>
  </si>
  <si>
    <t>What is the English translation of tawhid?</t>
  </si>
  <si>
    <t>in force-free magnetic fields</t>
  </si>
  <si>
    <t>What did Tesla do in December 1878?</t>
  </si>
  <si>
    <t>US Supreme Court</t>
  </si>
  <si>
    <t>In 1987, a United Methodist church court in New Hampshire defrocked Methodist minister Rose Mary Denman for openly living with a same-sex partner. In 2005, clergy credentials were removed from Irene Elizabeth Stroud after she was convicted in a church trial of violating church law by engaging in a lesbian relationship; this conviction was later upheld by the Judicial Council, the highest court in the denomination. The Judicial Council also affirmed that a Virginia pastor had the right to deny local church membership to a man in an openly gay relationship. This affirmation, however, was based upon a senior pastor's right to judge the readiness of a congregant to join as a full member of the church. However, at the same time, the UMC Judicial Council, in 2008, ruled that conferences can determine their own policy related to transgender pastors, and therefore some regional conferences have voted to recognize ordained transgender pastors. The Baltimore-Washington Conference of the UMC has approved the appointment of an openly partnered lesbian to the provisional diaconate.</t>
  </si>
  <si>
    <t>Which entity has a monopoly on initiating legislation?</t>
  </si>
  <si>
    <t>render certain laws ineffective, to cause their repeal</t>
  </si>
  <si>
    <t>Mission to the Unknown</t>
  </si>
  <si>
    <t>When did oxygen begin to move from the oceans to the atmosphere?</t>
  </si>
  <si>
    <t>active</t>
  </si>
  <si>
    <t>winds up</t>
  </si>
  <si>
    <t>Des Moines College, Kalamazoo College, Butler University, and Stetson University</t>
  </si>
  <si>
    <t>a sword</t>
  </si>
  <si>
    <t xml:space="preserve">How far from Warsaw does the Vistula river's environment change noticeably? </t>
  </si>
  <si>
    <t>natural science</t>
  </si>
  <si>
    <t>What is included with each packet label</t>
  </si>
  <si>
    <t>Paul Baran developed the concept Distributed Adaptive Message Block Switching</t>
  </si>
  <si>
    <t>water-cooled undergarment</t>
  </si>
  <si>
    <t>to "exterminate" all non-Dalek beings</t>
  </si>
  <si>
    <t>deforestation on regional climate</t>
  </si>
  <si>
    <t>Which channels did Frank Marx think would be requisitioned by the U.S. Army?</t>
  </si>
  <si>
    <t>Agriculture is the second largest contributor to Kenya's gross domestic product (GDP), after the service sector. In 2005 agriculture, including forestry and fishing, accounted for 24% of GDP, as well as for 18% of wage employment and 50% of revenue from exports. The principal cash crops are tea, horticultural produce, and coffee. Horticultural produce and tea are the main growth sectors and the two most valuable of all of Kenya's exports. The production of major food staples such as corn is subject to sharp weather-related fluctuations. Production downturns periodically necessitate food aid—for example, in 2004 aid for 1.8 million people because of one of Kenya's intermittent droughts.[citation needed]</t>
  </si>
  <si>
    <t>formalism</t>
  </si>
  <si>
    <t>The neighborhood includes Kearney Boulevard, named after early 20th century entrepreneur and millionaire M. Theo Kearney, which extends from Fresno Street in Southwest Fresno about 20 mi (32 km) west to Kerman, California. A small, two-lane rural road for most of its length, Kearney Boulevard is lined with tall palm trees. The roughly half-mile stretch of Kearney Boulevard between Fresno Street and Thorne Ave was at one time the preferred neighborhood for Fresno's elite African-American families. Another section, Brookhaven, on the southern edge of the West Side south of Jensen and west of Elm, was given the name by the Fresno City Council in an effort to revitalize the neighborhood's image. The isolated subdivision was for years known as the "Dogg Pound" in reference to a local gang, and as of late 2008 was still known for high levels of violent crime.</t>
  </si>
  <si>
    <t>pertaining to a citizen's relation to the state and its laws</t>
  </si>
  <si>
    <t>tolerance</t>
  </si>
  <si>
    <t>What is strongly linked to good student-teacher relationships?</t>
  </si>
  <si>
    <t>What has a bigger impact on the United States' economy more than trade?</t>
  </si>
  <si>
    <t>Additionally, multiple Doctors have returned in new adventures together in audio dramas based on the series. Peter Davison, Colin Baker and Sylvester McCoy appeared together in the 1999 audio adventure The Sirens of Time. To celebrate the 40th anniversary in 2003, an audio drama titled Zagreus featuring Paul McGann, Colin Baker, Sylvester McCoy and Peter Davison was released with additional archive recordings of Jon Pertwee. Again in 2003, Colin Baker and Sylvester McCoy appeared together in the audio adventure Project: Lazarus. In 2010, Peter Davison, Colin Baker, Sylvester McCoy and Paul McGann came together again to star in the audio drama The Four Doctors.</t>
  </si>
  <si>
    <t>a somewhat larger number of "contributing authors"</t>
  </si>
  <si>
    <t>On August 15, 1971, the United States unilaterally pulled out of the Bretton Woods Accord. The US abandoned the Gold Exchange Standard whereby the value of the dollar had been pegged to the price of gold and all other currencies were pegged to the dollar, whose value was left to "float" (rise and fall according to market demand). Shortly thereafter, Britain followed, floating the pound sterling. The other industrialized nations followed suit with their respective currencies. Anticipating that currency values would fluctuate unpredictably for a time, the industrialized nations increased their reserves (by expanding their money supplies) in amounts far greater than before. The result was a depreciation of the dollar and other industrialized nations' currencies. Because oil was priced in dollars, oil producers' real income decreased. In September 1971, OPEC issued a joint communiqué stating that, from then on, they would price oil in terms of a fixed amount of gold.</t>
  </si>
  <si>
    <t>Why did the 5th president of the university decide to get rid of the football program?</t>
  </si>
  <si>
    <t>How much carbon gets wasted by using O2 instead of CO2?</t>
  </si>
  <si>
    <t>When was the French and Indian War?</t>
  </si>
  <si>
    <t>Hadrian's</t>
  </si>
  <si>
    <t>Galilean transformation</t>
  </si>
  <si>
    <t>What do etioplasts' internal membranes have?</t>
  </si>
  <si>
    <t>What occurs after a dive in which a diver decompresses too quickly?</t>
  </si>
  <si>
    <t>What reference is there to Huguenot lacemakers in the 19th century?</t>
  </si>
  <si>
    <t>arranged in grana</t>
  </si>
  <si>
    <t>What textile industry did the Huguenots contribute to in Ireland?</t>
  </si>
  <si>
    <t>large pharynx</t>
  </si>
  <si>
    <t>What other business district does Orange County envelop outside of Downtown Santa Ana and Newport Center?</t>
  </si>
  <si>
    <t>What country has low income inequality and high presence of unions?</t>
  </si>
  <si>
    <t>On what streets is the ABC headquarters located</t>
  </si>
  <si>
    <t>What is another name for any given measure of input associated with a problem?</t>
  </si>
  <si>
    <t>Which Doctors were highlighted on the first audio releases on CD?</t>
  </si>
  <si>
    <t>picture thinking</t>
  </si>
  <si>
    <t>What must the adoption of laws which will have legal effect in the EU have?</t>
  </si>
  <si>
    <t>In Latin America what is the most revered skin color?</t>
  </si>
  <si>
    <t>plastid that lacks chlorophyll</t>
  </si>
  <si>
    <t>greater than $2 million</t>
  </si>
  <si>
    <t>What type of civil disobedience is larger scale?</t>
  </si>
  <si>
    <t>mostly Christian</t>
  </si>
  <si>
    <t>The original logo used for the First Doctor (and briefly for the Second Doctor) was reused in a slightly modified format for the 50th anniversary special "The Day of the Doctor" during the Eleventh Doctor's run. The logo used in the television movie featuring the Eighth Doctor was an updated version of the logo used for the Third Doctor. The logo from 1973–80 was used for the Third Doctor's final season and for the majority of the Fourth Doctor's tenure. The following logo, while most associated with the Fifth Doctor, was also used for the Fourth Doctor's final season. The logo used for the Ninth Doctor was slightly edited for the Tenth Doctor, but it retained the same general appearance. The logo used for the Eleventh Doctor had the "DW" TARDIS insignia placed to the right in 2012, but the same font remained, albeit with a slight edit to the texture every episode, with the texture relating to some aspect of the story. The logo for the Twelfth Doctor had the "DW" TARDIS insignia removed and the font was subtly altered, as well as made slightly larger. As of 2014, the logo used for the Third and Eighth Doctors is the primary logo used on all media and merchandise relating to past Doctors, and the current Doctor Who logo is used for all merchandise relating to the current Doctor.</t>
  </si>
  <si>
    <t>an economic development programme</t>
  </si>
  <si>
    <t>The Panthers used the San Jose State practice facility and stayed at the San Jose Marriott. The Broncos practiced at Stanford University and stayed at the Santa Clara Marriott.</t>
  </si>
  <si>
    <t>What is an autoimmune disease that affects women preferentially?</t>
  </si>
  <si>
    <t>late 1980s</t>
  </si>
  <si>
    <t>the Edison Medal.</t>
  </si>
  <si>
    <t>use of a decentralized network with multiple paths between any two points, dividing user messages into message blocks, later called packets</t>
  </si>
  <si>
    <t>Extension causes the rock units as a whole to become longer and thinner. This is primarily accomplished through normal faulting and through the ductile stretching and thinning. Normal faults drop rock units that are higher below those that are lower. This typically results in younger units being placed below older units. Stretching of units can result in their thinning; in fact, there is a location within the Maria Fold and Thrust Belt in which the entire sedimentary sequence of the Grand Canyon can be seen over a length of less than a meter. Rocks at the depth to be ductilely stretched are often also metamorphosed. These stretched rocks can also pinch into lenses, known as boudins, after the French word for "sausage", because of their visual similarity.</t>
  </si>
  <si>
    <t>authorities</t>
  </si>
  <si>
    <t>What is the largest city in Poland?</t>
  </si>
  <si>
    <t>steeper tax progressivity</t>
  </si>
  <si>
    <t>Where are the Harvard medical, Dental and school of Public Health located?</t>
  </si>
  <si>
    <t>How many prime numbers exist?</t>
  </si>
  <si>
    <t>What were the reasons why residents moved to the town of Fresno Station?</t>
  </si>
  <si>
    <t>The LOC included Launch Complex 39, a Launch Control Center, and a 130 million cubic foot (3.7 million cubic meter) Vertical Assembly Building (VAB) in which the space vehicle (launch vehicle and spacecraft) would be assembled on a Mobile Launcher Platform and then moved by a transporter to one of several launch pads. Although at least three pads were planned, only two, designated A and B, were completed in October 1965. The LOC also included an Operations and Checkout Building (OCB) to which Gemini and Apollo spacecraft were initially received prior to being mated to their launch vehicles. The Apollo spacecraft could be tested in two vacuum chambers capable of simulating atmospheric pressure at altitudes up to 250,000 feet (76 km), which is nearly a vacuum.</t>
  </si>
  <si>
    <t>to carry out the Calvin cycle and make sugar</t>
  </si>
  <si>
    <t>1951</t>
  </si>
  <si>
    <t>How many universities offer an Initial Teacher Education (ITE) program?</t>
  </si>
  <si>
    <t>What are two factors that made it difficult for colonists to the Amazon forest to survive?</t>
  </si>
  <si>
    <t>What did Luther insist was present in the bread and wine?</t>
  </si>
  <si>
    <t>economic inequality</t>
  </si>
  <si>
    <t>Stephen Eilmann asks why show public civil disobedience instead what is a better idea?</t>
  </si>
  <si>
    <t>middle eastern scientists</t>
  </si>
  <si>
    <t>parish churches</t>
  </si>
  <si>
    <t>between 3 and 14 hours a week</t>
  </si>
  <si>
    <t>his mother</t>
  </si>
  <si>
    <t>to elect and appoint bishops</t>
  </si>
  <si>
    <t>Deacons serve a term of 2–3 years as provisional deacons prior to their ordination.</t>
  </si>
  <si>
    <t>Renewed religious warfare in the 1620s caused the political and military privileges of the Huguenots to be abolished following their defeat. They retained the religious provisions of the Edict of Nantes until the rule of Louis XIV, who progressively increased persecution of them until he issued the Edict of Fontainebleau (1685), which abolished all legal recognition of Protestantism in France, and forced the Huguenots to convert. While nearly three-quarters eventually were killed  or submitted, roughly 500,000 Huguenots had fled France by the early 18th century[citation needed].</t>
  </si>
  <si>
    <t>elementary school teachers</t>
  </si>
  <si>
    <t>estimated $200,000</t>
  </si>
  <si>
    <t>Where is Brazil ranked globally in soybean production?</t>
  </si>
  <si>
    <t>Because the operations of the armed forces have been traditionally cloaked by the ubiquitous blanket of “state security”</t>
  </si>
  <si>
    <t>national courts</t>
  </si>
  <si>
    <t>prestigious</t>
  </si>
  <si>
    <t>in Africa</t>
  </si>
  <si>
    <t>30–75%</t>
  </si>
  <si>
    <t>Who was the Uighur King of Qocho ranked above?</t>
  </si>
  <si>
    <t>What is the chloroplast of Dinophysis?</t>
  </si>
  <si>
    <t>What is most of the cleared land in the Amazon region used for?</t>
  </si>
  <si>
    <t>Although not a fuel  ___ is the chemical compound the generates the most occurrence of explosions.</t>
  </si>
  <si>
    <t>The UMC stands in oppopsition to the creation of embroys for the sake of what?</t>
  </si>
  <si>
    <t>How many broadcast television partners does the NFL have?</t>
  </si>
  <si>
    <t>What equation desribed the physics of force before the current Schrodinger equation?</t>
  </si>
  <si>
    <t>the electrostatic force (due to the electric field) and the magnetic force</t>
  </si>
  <si>
    <t>three major offensive actions</t>
  </si>
  <si>
    <t>Construction is one of the most dangerous occupations in the world, incurring more occupational fatalities than any other sector in both the United States and in the European Union. In 2009, the fatal occupational injury rate among construction workers in the United States was nearly three times that for all workers. Falls are one of the most common causes of fatal and non-fatal injuries among construction workers. Proper safety equipment such as harnesses and guardrails and procedures such as securing ladders and inspecting scaffolding can curtail the risk of occupational injuries in the construction industry. Other major causes of fatalities in the construction industry include electrocution, transportation accidents, and trench cave-ins.</t>
  </si>
  <si>
    <t>Elector of Brandenburg and Duke of Prussia</t>
  </si>
  <si>
    <t>Cultural imperialism is when a country's influence is felt in social and cultural circles, i.e. its soft power, such that it changes the moral, cultural and societal worldview of another. This is more than just "foreign" music, television or film becoming popular with young people, but that popular culture changing their own expectations of life and their desire for their own country to become more like the foreign country depicted. For example, depictions of opulent American lifestyles in the soap opera Dallas during the Cold War changed the expectations of Romanians; a more recent example is the influence of smuggled South Korean drama series in North Korea. The importance of soft power is not lost on authoritarian regimes, fighting such influence with bans on foreign popular culture, control of the internet and unauthorised satellite dishes etc. Nor is such a usage of culture recent, as part of Roman imperialism local elites would be exposed to the benefits and luxuries of Roman culture and lifestyle, with the aim that they would then become willing participants.</t>
  </si>
  <si>
    <t>blurring of theological and confessional differences in the interests of unity</t>
  </si>
  <si>
    <t>Along with road vehicles, locomotives and ships, on what vehicles were steam engines used during the Industrial Revolution?</t>
  </si>
  <si>
    <t>Whose activities were the French able to gain knowledge of?</t>
  </si>
  <si>
    <t>the posting on the door</t>
  </si>
  <si>
    <t>1859 and 1865</t>
  </si>
  <si>
    <t>isotope</t>
  </si>
  <si>
    <t>Saint Nicolas</t>
  </si>
  <si>
    <t>Most imperialism was carried out using which method of transport?</t>
  </si>
  <si>
    <t>What body part did Thomas Davis break during the NFC Championship Game?</t>
  </si>
  <si>
    <t>Orthodox Christian</t>
  </si>
  <si>
    <t>lattice of tubes in their stroma, called a prolamellar body</t>
  </si>
  <si>
    <t>What kind of membrane came from the host?</t>
  </si>
  <si>
    <t>Psalm 130</t>
  </si>
  <si>
    <t>What mountain has snow on it all year round?</t>
  </si>
  <si>
    <t>Who created an index of health and social problems?</t>
  </si>
  <si>
    <t>What is another way of referring to stators?</t>
  </si>
  <si>
    <t>What reform was attempted following the Nice Treaty?</t>
  </si>
  <si>
    <t>lower temperatures</t>
  </si>
  <si>
    <t>What directly opposes the force applied to move an object across a surface?</t>
  </si>
  <si>
    <t>drowned</t>
  </si>
  <si>
    <t>In 1949, ABC had less coverage than what competing networks?</t>
  </si>
  <si>
    <t>Despite being relatively unaffected by the embargo, the UK nonetheless faced an oil crisis of its own - a series of strikes by coal miners and railroad workers over the winter of 1973–74 became a major factor in the change of government. Heath asked the British to heat only one room in their houses over the winter. The UK, Germany, Italy, Switzerland and Norway banned flying, driving and boating on Sundays. Sweden rationed gasoline and heating oil. The Netherlands imposed prison sentences for those who used more than their ration of electricity.</t>
  </si>
  <si>
    <t>What success did Abercrombie gain out of the defeat at Carillon?</t>
  </si>
  <si>
    <t>Almost all the rocks show evidence of impact process effects. Many samples appear to be pitted with micrometeoroid impact craters, which is never seen on Earth rocks, due to the thick atmosphere. Many show signs of being subjected to high pressure shock waves that are generated during impact events. Some of the returned samples are of impact melt (materials melted near an impact crater.) All samples returned from the Moon are highly brecciated as a result of being subjected to multiple impact events.</t>
  </si>
  <si>
    <t>Who represents the Scottish Parliament at home and abroad in an official capacity?</t>
  </si>
  <si>
    <t>How much did Levi's Stadium cost?</t>
  </si>
  <si>
    <t>What list was Warsaw's Old Town inscribed onto in 1980?</t>
  </si>
  <si>
    <t>~11,700 years ago</t>
  </si>
  <si>
    <t>A simple case of dynamic equilibrium occurs in constant velocity motion across a surface with kinetic friction. In such a situation, a force is applied in the direction of motion while the kinetic friction force exactly opposes the applied force. This results in zero net force, but since the object started with a non-zero velocity, it continues to move with a non-zero velocity. Aristotle misinterpreted this motion as being caused by the applied force. However, when kinetic friction is taken into consideration it is clear that there is no net force causing constant velocity motion.</t>
  </si>
  <si>
    <t>In the fall quarter of 2014, the University of Chicago enrolled 5,792 students in the College, 3,468 students in its four graduate divisions, 5,984 students in its professional schools, and 15,244 students overall. In the 2012 Spring Quarter, international students comprised almost 19% of the overall study body, over 26% of students were domestic ethnic minorities, and about 44% of enrolled students were female. Admissions to the University of Chicago is highly selective. The middle 50% band of SAT scores for the undergraduate class of 2015, excluding the writing section, was 1420–1530, the average MCAT score for entering students in the Pritzker School of Medicine in 2011 was 36, and the median LSAT score for entering students in the Law School in 2011 was 171. In 2015, the College of the University of Chicago had an acceptance rate of 7.8% for the Class of 2019, the lowest in the college's history.</t>
  </si>
  <si>
    <t>In November 1960, John F. Kennedy was elected president after a campaign that promised American superiority over the Soviet Union in the fields of space exploration and missile defense. Up to the election of 1960, Kennedy had been speaking out against the "missile gap" that he and many other senators felt had formed between the Soviets and themselves due to the inaction of President Eisenhower. Beyond military power, Kennedy used aerospace technology as a symbol of national prestige, pledging to make the US not "first but, first and, first if, but first period." Despite Kennedy's rhetoric, he did not immediately come to a decision on the status of the Apollo program once he became president. He knew little about the technical details of the space program, and was put off by the massive financial commitment required by a manned Moon landing. When Kennedy's newly appointed NASA Administrator James E. Webb requested a 30 percent budget increase for his agency, Kennedy supported an acceleration of NASA's large booster program but deferred a decision on the broader issue.</t>
  </si>
  <si>
    <t>frontier</t>
  </si>
  <si>
    <t>direct effect or indirect effect</t>
  </si>
  <si>
    <t>The chloroplast peripheral reticulum</t>
  </si>
  <si>
    <t>waste of resources</t>
  </si>
  <si>
    <t>The two most prominent Norman families to arrive in the Mediterranean were descendants of Tancred of Hauteville and the Drengot family, of whom Rainulf Drengot received the county of Aversa, the first Norman toehold in the south, from Duke Sergius IV of Naples in 1030. The Hauteville family achieved princely rank by proclaiming prince Guaimar IV of Salerno "Duke of Apulia and Calabria". He promptly awarded their elected leader, William Iron Arm, with the title of count in his capital of Melfi. The Drengot family thereafter attained the principality of Capua, and emperor Henry III legally ennobled the Hauteville leader, Drogo, as "dux et magister Italiae comesque Normannorum totius Apuliae et Calabriae" ("Duke and Master of Italy and Count of the Normans of all Apulia and Calabria") in 1047.</t>
  </si>
  <si>
    <t>coining the modern name packet switching</t>
  </si>
  <si>
    <t>statistical mechanics</t>
  </si>
  <si>
    <t>the total number of state transitions, or steps</t>
  </si>
  <si>
    <t>One of the first known experiments on the relationship between combustion and air was conducted by the 2nd century BCE Greek writer on mechanics, Philo of Byzantium. In his work Pneumatica, Philo observed that inverting a vessel over a burning candle and surrounding the vessel's neck with water resulted in some water rising into the neck. Philo incorrectly surmised that parts of the air in the vessel were converted into the classical element fire and thus were able to escape through pores in the glass. Many centuries later Leonardo da Vinci built on Philo's work by observing that a portion of air is consumed during combustion and respiration.</t>
  </si>
  <si>
    <t>A forced trade agreement between two countries would be an example of what?</t>
  </si>
  <si>
    <t>What does the ctenophora use to swim?</t>
  </si>
  <si>
    <t>What is chemical energy used to produce in plants?</t>
  </si>
  <si>
    <t>yin-yang and wuxing</t>
  </si>
  <si>
    <t>How many other contestants did the company, that had their ad shown for free, beat out?</t>
  </si>
  <si>
    <t>What was the occasion when he claimed he'd made the death ray?</t>
  </si>
  <si>
    <t>weak force</t>
  </si>
  <si>
    <t>Name a common autoimmune disease.</t>
  </si>
  <si>
    <t>Robert Guiscard, an other Norman adventurer previously elevated to the dignity of count of Apulia as the result of his military successes, ultimately drove the Byzantines out of southern Italy. Having obtained the consent of pope Gregory VII and acting as his vassal, Robert continued his campaign conquering the Balkan peninsula as a foothold for western feudal lords and the Catholic Church. After allying himself with Croatia and the Catholic cities of Dalmatia, in 1081 he led an army of 30,000 men in 300 ships landing on the southern shores of Albania, capturing Valona, Kanina, Jericho (Orikumi), and reaching Butrint after numerous pillages. They joined the fleet that had previously conquered Corfu and attacked Dyrrachium from land and sea, devastating everything along the way. Under these harsh circumstances, the locals accepted the call of emperor Alexius I Comnenus to join forces with the Byzantines against the Normans. The Albanian forces could not take part in the ensuing battle because it had started before their arrival. Immediately before the battle, the Venetian fleet had secured a victory in the coast surrounding the city. Forced to retreat, Alexius ceded the command to a high Albanian official named Comiscortes in the service of Byzantium. The city's garrison resisted until February 1082, when Dyrrachium was betrayed to the Normans by the Venetian and Amalfitan merchants who had settled there. The Normans were now free to penetrate into the hinterland; they took Ioannina and some minor cities in southwestern Macedonia and Thessaly before appearing at the gates of Thessalonica. Dissension among the high ranks coerced the Normans to retreat to Italy. They lost Dyrrachium, Valona, and Butrint in 1085, after the death of Robert.</t>
  </si>
  <si>
    <t>What kind of climate does southern California maintain?</t>
  </si>
  <si>
    <t>On October 6, 1973, Syria and Egypt, with support from other Arab nations, launched a surprise attack on Israel, on Yom Kippur. This renewal of hostilities in the Arab–Israeli conflict released the underlying economic pressure on oil prices. At the time, Iran was the world's second-largest oil exporter and a close US ally. Weeks later, the Shah of Iran said in an interview: "Of course [the price of oil] is going to rise... Certainly! And how!... You've [Western nations] increased the price of the wheat you sell us by 300 percent, and the same for sugar and cement... You buy our crude oil and sell it back to us, refined as petrochemicals, at a hundred times the price you've paid us... It's only fair that, from now on, you should pay more for oil. Let's say ten times more."</t>
  </si>
  <si>
    <t>Was the LM intended to return to Earth at all?</t>
  </si>
  <si>
    <t>5th century</t>
  </si>
  <si>
    <t>torque variability</t>
  </si>
  <si>
    <t>Several thousand</t>
  </si>
  <si>
    <t>override the chlorophyll green</t>
  </si>
  <si>
    <t>electromagnetic</t>
  </si>
  <si>
    <t>Nurses treat 80% of the population who visit dispensaries, health centres and private clinics in rural and under-served urban areas. Complicated cases are referred to clinical officers, medical officers and medical practitioners. According to the Kenya National Bureau of Statistics, in 2011 there were 65,000 qualified nurses registered in the country; 8,600 clinical officers and 7,000 doctors for the population of 43 million people (These figures from official registers include those who have died or left the profession hence the actual number of these workers may be lower).</t>
  </si>
  <si>
    <t>December 1963</t>
  </si>
  <si>
    <t>What is there a push for in the U.S. to reduce consumer drug costs?</t>
  </si>
  <si>
    <t>May through September</t>
  </si>
  <si>
    <t>religious and in no respect racial</t>
  </si>
  <si>
    <t>chemical oxygen generators or oxygen candles</t>
  </si>
  <si>
    <t>In which two codes were the roles of pharmacists codified?</t>
  </si>
  <si>
    <t>Another cause is the rate at which income is taxed coupled with the progressivity of the tax system. A progressive tax is a tax by which the tax rate increases as the taxable base amount increases. In a progressive tax system, the level of the top tax rate will often have a direct impact on the level of inequality within a society, either increasing it or decreasing it, provided that income does not change as a result of the change in tax regime. Additionally, steeper tax progressivity applied to social spending can result in a more equal distribution of income across the board. The difference between the Gini index for an income distribution before taxation and the Gini index after taxation is an indicator for the effects of such taxation.</t>
  </si>
  <si>
    <t>a comb jelly</t>
  </si>
  <si>
    <t>How many membranes do apicoplasts have?</t>
  </si>
  <si>
    <t>Near the end of the 19th century compound engines came into widespread use. Compound engines exhausted steam in to successively larger cylinders to accommodate the higher volumes at reduced pressures, giving improved efficiency. These stages were called expansions, with double and triple expansion engines being common, especially in shipping where efficiency was important to reduce the weight of coal carried. Steam engines remained the dominant source of power until the early 20th century, when advances in the design of electric motors and internal combustion engines gradually resulted in the replacement of reciprocating (piston) steam engines, with shipping in the 20th-century relying upon the steam turbine.</t>
  </si>
  <si>
    <t>social spending</t>
  </si>
  <si>
    <t>at least four passengers</t>
  </si>
  <si>
    <t>Enthusiastic teachers may cause students to become more ____ about their learning process?</t>
  </si>
  <si>
    <t>elite politicians</t>
  </si>
  <si>
    <t xml:space="preserve">What religion did the French spread along with their imperialism? </t>
  </si>
  <si>
    <t>humans</t>
  </si>
  <si>
    <t>thermodynamic theory</t>
  </si>
  <si>
    <t>24-year tenure.</t>
  </si>
  <si>
    <t>secular authorities</t>
  </si>
  <si>
    <t>What did the Mongol army throw in their catapults?</t>
  </si>
  <si>
    <t>deterministic algorithm</t>
  </si>
  <si>
    <t>a phycobilin-containing chloroplast</t>
  </si>
  <si>
    <t>the Colorado River</t>
  </si>
  <si>
    <t>What does the chloroplast peripheral reticulum do?</t>
  </si>
  <si>
    <t>re-sodded</t>
  </si>
  <si>
    <t>by department</t>
  </si>
  <si>
    <t>The embargo had a negative influence on the US economy by causing immediate demands to address the threats to U.S. energy security. On an international level, the price increases changed competitive positions in many industries, such as automobiles. Macroeconomic problems consisted of both inflationary and deflationary impacts. The embargo left oil companies searching for new ways to increase oil supplies, even in rugged terrain such as the Arctic. Finding oil and developing new fields usually required five to ten years before significant production.</t>
  </si>
  <si>
    <t>How was the population of mnemiopsis in The black Sea and the Sea of Azov brought under control?</t>
  </si>
  <si>
    <t>theorem of arithmetic</t>
  </si>
  <si>
    <t>What kind of influence does the Gulf Stream exert on Newcastle?</t>
  </si>
  <si>
    <t>the Great Internet Mersenne Prime Search, what was the prize for finding a prime with at least 10 million digits?</t>
  </si>
  <si>
    <t>near their current locations</t>
  </si>
  <si>
    <t>When did Kenya obtain independence?</t>
  </si>
  <si>
    <t>as soon as they enter into force</t>
  </si>
  <si>
    <t>the Eleventh Doctor</t>
  </si>
  <si>
    <t>deterministic</t>
  </si>
  <si>
    <t>By the late 19th century scientists realized that air could be liquefied, and its components isolated, by compressing and cooling it. Using a cascade method, Swiss chemist and physicist Raoul Pierre Pictet evaporated liquid sulfur dioxide in order to liquefy carbon dioxide, which in turn was evaporated to cool oxygen gas enough to liquefy it. He sent a telegram on December 22, 1877 to the French Academy of Sciences in Paris announcing his discovery of liquid oxygen. Just two days later, French physicist Louis Paul Cailletet announced his own method of liquefying molecular oxygen. Only a few drops of the liquid were produced in either case so no meaningful analysis could be conducted. Oxygen was liquified in stable state for the first time on March 29, 1883 by Polish scientists from Jagiellonian University, Zygmunt Wróblewski and Karol Olszewski.</t>
  </si>
  <si>
    <t>Committees comprise a small number of MSPs, with membership reflecting the balance of parties across Parliament. There are different committees with their functions set out in different ways. Mandatory Committees are committees which are set down under the Scottish Parliament's standing orders, which govern their remits and proceedings. The current Mandatory Committees in the fourth Session of the Scottish Parliament are: Public Audit; Equal Opportunities; European and External Relations; Finance; Public Petitions; Standards, Procedures and Public Appointments; and Delegated Powers and Law Reform.</t>
  </si>
  <si>
    <t>Scottish Government</t>
  </si>
  <si>
    <t>outdated or only approproriate if herbal remedies were on offer to a large extent</t>
  </si>
  <si>
    <t>ultraviolet radiation impacting oxygen-containing molecules such as carbon dioxide</t>
  </si>
  <si>
    <t>The rocks at the Grand Canyon have been in place since when?</t>
  </si>
  <si>
    <t>$2,000</t>
  </si>
  <si>
    <t>Nixon requested Congress to appropriate $2.2 billion in emergency aid to Israel</t>
  </si>
  <si>
    <t>Which theorem states that every large even integer can be written as a prime summed with a semiprime?</t>
  </si>
  <si>
    <t>half-hourly</t>
  </si>
  <si>
    <t>2,900 kilometres (1,802 mi)</t>
  </si>
  <si>
    <t>1965–66</t>
  </si>
  <si>
    <t>In southern Europe, the stage was set in the Triassic Period of the Mesozoic Era, with the opening of the Tethys Ocean, between the Eurasian and African tectonic plates, between about 240 MBP and 220 MBP (million years before present). The present Mediterranean Sea descends from this somewhat larger Tethys sea. At about 180 MBP, in the Jurassic Period, the two plates reversed direction and began to compress the Tethys floor, causing it to be subducted under Eurasia and pushing up the edge of the latter plate in the Alpine Orogeny of the Oligocene and Miocene Periods. Several microplates were caught in the squeeze and rotated or were pushed laterally, generating the individual features of Mediterranean geography: Iberia pushed up the Pyrenees; Italy, the Alps, and Anatolia, moving west, the mountains of Greece and the islands. The compression and orogeny continue today, as shown by the ongoing raising of the mountains a small amount each year and the active volcanoes.</t>
  </si>
  <si>
    <t>granted the Huguenots substantial religious, political and military autonomy</t>
  </si>
  <si>
    <t>In the 1530s and 1540s, printed images of Luther that emphasized his monumental size were crucial to the spread of Protestantism. In contrast to images of frail Catholic saints, Luther was presented as a stout man with a "double chin, strong mouth, piercing deep-set eyes, fleshy face, and squat neck." He was shown to be physically imposing, an equal in stature to the secular German princes with whom he would join forces to spread Lutheranism. His large body also let the viewer know that he did not shun earthly pleasures like drinking—behavior that was a stark contrast to the ascetic life of the medieval religious orders. Famous images from this period include the woodcuts by Hans Brosamer (1530) and Lucas Cranach the Elder and Lucas Cranach the Younger (1546).</t>
  </si>
  <si>
    <t xml:space="preserve">Le grand states that students studying civil disobedience will often run into grammatical niceties and what other problem? </t>
  </si>
  <si>
    <t>forming a 'A National Gallery of British Art'</t>
  </si>
  <si>
    <t>The most commonly used reduction is a polynomial-time reduction. This means that the reduction process takes polynomial time. For example, the problem of squaring an integer can be reduced to the problem of multiplying two integers. This means an algorithm for multiplying two integers can be used to square an integer. Indeed, this can be done by giving the same input to both inputs of the multiplication algorithm. Thus we see that squaring is not more difficult than multiplication, since squaring can be reduced to multiplication.</t>
  </si>
  <si>
    <t>army of Germania Inferior</t>
  </si>
  <si>
    <t>plants and algae</t>
  </si>
  <si>
    <t>What other event made the BBC concerned that viewers had not seen the premier of Doctor Who?</t>
  </si>
  <si>
    <t>faith</t>
  </si>
  <si>
    <t>in herring barrels</t>
  </si>
  <si>
    <t>filmmakers</t>
  </si>
  <si>
    <t>chloroplasts</t>
  </si>
  <si>
    <t>Prime</t>
  </si>
  <si>
    <t>What magazine criticized ABC's programming strategy in May 1961?</t>
  </si>
  <si>
    <t>What do the Waal and the Nederrijn-Lek discharge throguh?</t>
  </si>
  <si>
    <t>challenge to the legal system that permits those decisions to be taken</t>
  </si>
  <si>
    <t>What did Wiesner shout out in front of the press during a presentation by von Braun?</t>
  </si>
  <si>
    <t>a liquid</t>
  </si>
  <si>
    <t>What gameshow featuring newly married people was debuted by ABC in July 1966?</t>
  </si>
  <si>
    <t>Who decided not to come visit the country in 2013?</t>
  </si>
  <si>
    <t>standard measurement scale</t>
  </si>
  <si>
    <t>John Wesley and Charles Wesley</t>
  </si>
  <si>
    <t>What has the highest impact on wealth accumulation and the resulting income inequality?</t>
  </si>
  <si>
    <t>because he or she can then sell more medications to the patient</t>
  </si>
  <si>
    <t>What body has stated that physicians can also dispense drugs under specific conditions?</t>
  </si>
  <si>
    <t>What does the utilitarian principle seek for the greatest number of people?</t>
  </si>
  <si>
    <t>How much Saharan dust falls over the Amazon basin each year?</t>
  </si>
  <si>
    <t>precise</t>
  </si>
  <si>
    <t>turbulent history of the city</t>
  </si>
  <si>
    <t>Electorate of Saxony</t>
  </si>
  <si>
    <t>Wilson's theorem</t>
  </si>
  <si>
    <t>village</t>
  </si>
  <si>
    <t>h International Criminal Court trial dates in 2013 for both President Kenyatta and Deputy President William Ruto</t>
  </si>
  <si>
    <t>How many residential dorms house upper class, sophomore, Jr, and Sr students?</t>
  </si>
  <si>
    <t>What is the obligation of a pharmacy filling a prescription?</t>
  </si>
  <si>
    <t>When did the merger between ABC and Capital Cities gain federal approval?</t>
  </si>
  <si>
    <t>The element is found in almost all biomolecules that are important to (or generated by) life. Only a few common complex biomolecules, such as squalene and the carotenes, contain no oxygen. Of the organic compounds with biological relevance, carbohydrates contain the largest proportion by mass of oxygen. All fats, fatty acids, amino acids, and proteins contain oxygen (due to the presence of carbonyl groups in these acids and their ester residues). Oxygen also occurs in phosphate (PO3−
4) groups in the biologically important energy-carrying molecules ATP and ADP, in the backbone and the purines (except adenine) and pyrimidines of RNA and DNA, and in bones as calcium phosphate and hydroxylapatite.</t>
  </si>
  <si>
    <t>human rights violations</t>
  </si>
  <si>
    <t>What are EU Regulations essentially the same as in the case mentioned?</t>
  </si>
  <si>
    <t>Möngke Khan commenced a military campaign against the Chinese Song dynasty in southern China. The Mongol force that invaded southern China was far greater than the force they sent to invade the Middle East in 1256. He died in 1259 without a successor. Kublai returned from fighting the Song in 1260 when he learned that his brother, Ariq Böke, was challenging his claim to the throne. Kublai convened a kurultai in Kaiping that elected him Great Khan. A rival kurultai in Mongolia proclaimed Ariq Böke Great Khan, beginning a civil war. Kublai depended on the cooperation of his Chinese subjects to ensure that his army received ample resources. He bolstered his popularity among his subjects by modeling his government on the bureaucracy of traditional Chinese dynasties and adopting the Chinese era name of Zhongtong. Ariq Böke was hampered by inadequate supplies and surrendered in 1264. All of the three western khanates (Golden Horde, Chagatai Khanate and Ilkhanate) became functionally autonomous, although only the Ilkhans truly recognized Kublai as Great Khan. Civil strife had permanently divided the Mongol Empire.</t>
  </si>
  <si>
    <t>major method</t>
  </si>
  <si>
    <t>In general, there are three sectors of construction: buildings, infrastructure and industrial. Building construction is usually further divided into residential and non-residential (commercial/institutional). Infrastructure is often called heavy/highway, heavy civil or heavy engineering. It includes large public works, dams, bridges, highways, water/wastewater and utility distribution. Industrial includes refineries, process chemical, power generation, mills and manufacturing plants. There are other ways to break the industry into sectors or markets.</t>
  </si>
  <si>
    <t>In its focus on the Caliphate, the party takes a different view of Muslim history than some other Islamists such as Muhammad Qutb. HT sees Islam's pivotal turning point as occurring not with the death of Ali, or one of the other four rightly guided Caliphs in the 7th century, but with the abolition of the Ottoman Caliphate in 1924. This is believed to have ended the true Islamic system, something for which it blames "the disbelieving (Kafir) colonial powers" working through Turkish modernist Mustafa Kemal Atatürk.</t>
  </si>
  <si>
    <t>How did Luther respond to Agricola?</t>
  </si>
  <si>
    <t>Where can the entire sedimentary sequence of the Grand Canyon be seen in less than the length of a meter?</t>
  </si>
  <si>
    <t>According to scholars Walter Krämer, Götz Trenkler, Gerhard Ritter, and Gerhard Prause, the story of the posting on the door, even though it has settled as one of the pillars of history, has little foundation in truth. The story is based on comments made by Philipp Melanchthon, though it is thought that he was not in Wittenberg at the time.</t>
  </si>
  <si>
    <t>Which country besides the Cuba did the United states try to annex in 1898?</t>
  </si>
  <si>
    <t>both PNU and ODM camps</t>
  </si>
  <si>
    <t>Until 1932 the generally accepted length of the Rhine was 1,230 kilometres (764 miles). In 1932 the German encyclopedia Knaurs Lexikon stated the length as 1,320 kilometres (820 miles), presumably a typographical error. After this number was placed into the authoritative Brockhaus Enzyklopädie, it became generally accepted and found its way into numerous textbooks and official publications. The error was discovered in 2010, and the Dutch Rijkswaterstaat confirms the length at 1,232 kilometres (766 miles).[note 1]</t>
  </si>
  <si>
    <t>dammed</t>
  </si>
  <si>
    <t>available information about climate change based on published sources</t>
  </si>
  <si>
    <t>What leads to confusion and collapse?</t>
  </si>
  <si>
    <t>An ambitious scheme of decoration was developed for these new areas: a series of mosaic figures depicting famous European artists of the Medieval and Renaissance period. These have now been removed to other areas of the museum. Also started were a series of frescoes by Lord Leighton: Industrial Arts as Applied to War 1878–1880 and Industrial Arts Applied to Peace, which was started but never finished. To the east of this were additional galleries, the decoration of which was the work of another designer Owen Jones, these were the Oriental Courts (covering India, China and Japan) completed in 1863, none of this decoration survives, part of these galleries became the new galleries covering the 19th century, opened in December 2006. The last work by Fowke was the design for the range of buildings on the north and west sides of the garden, this includes the refreshment rooms, reinstated as the Museum Café in 2006, with the silver gallery above, (at the time the ceramics gallery), the top floor has a splendid lecture theatre although this is seldom open to the general public. The ceramic staircase in the northwest corner of this range of buildings was designed by F. W. Moody and has architectural details of moulded and coloured pottery. All the work on the north range was designed and built in 1864–69. The style adopted for this part of the museum was Italian Renaissance, much use was made of terracotta, brick and mosaic, this north façade was intended as the main entrance to the museum with its bronze doors designed by James Gamble &amp; Reuben Townroe having six panels depicting: Humphry Davy (chemistry); Isaac Newton (astronomy); James Watt (mechanics); Bramante (architecture); Michelangelo (sculpture); Titian (painting); thus representing the range of the museums collections, Godfrey Sykes also designed the terracotta embellishments and the mosaic in the pediment of the North Façade commemorating the Great Exhibition the profits from which helped to fund the museum, this is flanked by terracotta statue groups by Percival Ball. This building replaced Brompton Park House, which could then be demolished to make way for the south range.</t>
  </si>
  <si>
    <t>What do the Ten Commandments teach Christians how to do?</t>
  </si>
  <si>
    <t>continue worshiping in their Roman Catholic tradition, continued ownership of their property, and the right to remain undisturbed</t>
  </si>
  <si>
    <t>How is chloroplast replication observed?</t>
  </si>
  <si>
    <t>Who was Warsaw under the administration of when it came under the rule of the General Goverment?</t>
  </si>
  <si>
    <t>participate in economic life "on a stable and continuous basis"</t>
  </si>
  <si>
    <t>electrostatic force</t>
  </si>
  <si>
    <t>What streets are contraflows to be implemented on in Newcastle?</t>
  </si>
  <si>
    <t>the specific details of the computational model used</t>
  </si>
  <si>
    <t>What territory was ceded to Britain?</t>
  </si>
  <si>
    <t>What is unknown about the complexity classes between L and P that further prevents determining the value relationship between L and P?</t>
  </si>
  <si>
    <t>chameleon circuit</t>
  </si>
  <si>
    <t>his work was published first</t>
  </si>
  <si>
    <t>the Travels of Marco Polo</t>
  </si>
  <si>
    <t>caliphate</t>
  </si>
  <si>
    <t>Frame Relay was used to interconnect LANs across wide area networks. However, X.25 and well as Frame Relay have been supplanted</t>
  </si>
  <si>
    <t>pastors</t>
  </si>
  <si>
    <t>What are two examples of measurements are bound within algorithms to establish complexity classes?</t>
  </si>
  <si>
    <t>Presbyterian</t>
  </si>
  <si>
    <t>his means of seizing</t>
  </si>
  <si>
    <t>What century was Newcastle's port developed in?</t>
  </si>
  <si>
    <t xml:space="preserve">What is Donald Davies credited with </t>
  </si>
  <si>
    <t>a Committee of Independent Experts</t>
  </si>
  <si>
    <t>Where is British English usually used?</t>
  </si>
  <si>
    <t>over 50 letters</t>
  </si>
  <si>
    <t xml:space="preserve">What is the time period of this statistic? </t>
  </si>
  <si>
    <t>expelled</t>
  </si>
  <si>
    <t>promised to send him to the best engineering school</t>
  </si>
  <si>
    <t>Best Drama Series</t>
  </si>
  <si>
    <t>machine gun</t>
  </si>
  <si>
    <t>A number of Huguenots served as mayors in Dublin, Cork, Youghal and Waterford in the 17th and 18th centuries. Numerous signs of Huguenot presence can still be seen with names still in use, and with areas of the main towns and cities named after the people who settled there. Examples include the Huguenot District and French Church Street in Cork City; and D'Olier Street in Dublin, named after a High Sheriff and one of the founders of the Bank of Ireland. A French church in Portarlington dates back to 1696, and was built to serve the significant new Huguenot community in the town. At the time, they constituted the majority of the townspeople.</t>
  </si>
  <si>
    <t>Doctor of Pharmacy</t>
  </si>
  <si>
    <t>minor</t>
  </si>
  <si>
    <t>tolerance of civil disobedience</t>
  </si>
  <si>
    <t>When did building activity in the palaces and churches take place in the later decades of?</t>
  </si>
  <si>
    <t>What nationality was Konstantin Mereschkowski?</t>
  </si>
  <si>
    <t>freely available on the web</t>
  </si>
  <si>
    <t>universal ruler</t>
  </si>
  <si>
    <t>introductory stage of the bill</t>
  </si>
  <si>
    <t>Religious and spiritual teachers</t>
  </si>
  <si>
    <t>What did ABC contribute to the 20th anniversary special?</t>
  </si>
  <si>
    <t>concurring, smaller assessments of special problems</t>
  </si>
  <si>
    <t>North County regions</t>
  </si>
  <si>
    <t>What is the guidebook for local churches and pastors?</t>
  </si>
  <si>
    <t>fundamental rights recognised and protected in the constitutions of member states</t>
  </si>
  <si>
    <t>single-tape</t>
  </si>
  <si>
    <t>in France</t>
  </si>
  <si>
    <t>comedies and family-oriented series</t>
  </si>
  <si>
    <t>the Qur'an</t>
  </si>
  <si>
    <t>The Victorian parts of the building have a complex history, with piecemeal additions by different architects. Founded in May 1852, it was not until 1857 that the museum moved to the present site. This area of London was known as Brompton but had been renamed South Kensington. The land was occupied by Brompton Park House, which was extended, most notably by the "Brompton Boilers", which were starkly utilitarian iron galleries with a temporary look and were later dismantled and used to build the V&amp;A Museum of Childhood. The first building to be erected that still forms part of the museum was the Sheepshanks Gallery in 1857 on the eastern side of the garden. Its architect was civil engineer Captain Francis Fowke, Royal Engineers, who was appointed by Cole. The next major expansions were designed by the same architect, the Turner and Vernon galleries built 1858-9 to house the eponymous collections (later transferred to the Tate Gallery) and now used as the picture galleries and tapestry gallery respectively. The North and South Courts, were then built, both of which opened by June 1862. They now form the galleries for temporary exhibitions and are directly behind the Sheepshanks Gallery. On the very northern edge of the site is situated the Secretariat Wing, also built in 1862 this houses the offices and board room etc. and is not open to the public.</t>
  </si>
  <si>
    <t>Apollo 5 (AS-204) was the first unmanned test flight of LM in Earth orbit, launched from pad 37 on January 22, 1968, by the Saturn IB that would have been used for Apollo 1. The LM engines were successfully test-fired and restarted, despite a computer programming error which cut short the first descent stage firing. The ascent engine was fired in abort mode, known as a "fire-in-the-hole" test, where it was lit simultaneously with jettison of the descent stage. Although Grumman wanted a second unmanned test, George Low decided the next LM flight would be manned.</t>
  </si>
  <si>
    <t>fundamental error</t>
  </si>
  <si>
    <t>What UN resolution endorsed the IPCC?</t>
  </si>
  <si>
    <t>What was Maria Curie the first female recipient of?</t>
  </si>
  <si>
    <t>Cydippids combs are controlled by what?</t>
  </si>
  <si>
    <t>What titles are the President given?</t>
  </si>
  <si>
    <t>plain Vistula terraces</t>
  </si>
  <si>
    <t>For the third straight season, the number one seeds from both conferences met in the Super Bowl. The Carolina Panthers became one of only ten teams to have completed a regular season with only one loss, and one of only six teams to have acquired a 15–1 record, while the Denver Broncos became one of four teams to have made eight appearances in the Super Bowl. The Broncos made their second Super Bowl appearance in three years, having reached Super Bowl XLVIII, while the Panthers made their second Super Bowl appearance in franchise history, their other appearance being Super Bowl XXXVIII. Coincidentally, both teams were coached by John Fox in their last Super Bowl appearance prior to Super Bowl 50.</t>
  </si>
  <si>
    <t>Who defeated the rebels at the Battle of Frankenhausen?</t>
  </si>
  <si>
    <t>In the first half of the 17th century, a plague claimed some 1.7 million victims in Italy, or about 14% of the population. In 1656, the plague killed about half of Naples' 300,000 inhabitants. More than 1.25 million deaths resulted from the extreme incidence of plague in 17th-century Spain. The plague of 1649 probably reduced the population of Seville by half. In 1709–13, a plague epidemic that followed the Great Northern War (1700–21, Sweden v. Russia and allies) killed about 100,000 in Sweden, and 300,000 in Prussia. The plague killed two-thirds of the inhabitants of Helsinki, and claimed a third of Stockholm's population. Europe's last major epidemic occurred in 1720 in Marseille.</t>
  </si>
  <si>
    <t>What is the earliest known movie featuring scenes filmed outdoors in Newcastle?</t>
  </si>
  <si>
    <t>a typographical error</t>
  </si>
  <si>
    <t xml:space="preserve">What did Warner Sinback decide </t>
  </si>
  <si>
    <t>How much success did this expedition with Braddock find?</t>
  </si>
  <si>
    <t>What is the effect of testosterone on the male immune system?</t>
  </si>
  <si>
    <t>What is one common example of a critical complexity measure?</t>
  </si>
  <si>
    <t>Who is eligible to toss their name in the hat to be First Minister?</t>
  </si>
  <si>
    <t>productivity</t>
  </si>
  <si>
    <t>infinitely</t>
  </si>
  <si>
    <t>Lavietes Pavilion</t>
  </si>
  <si>
    <t>Spain ceded Florida to the British in 1763 after the French and Indian War, and the British soon constructed the King's Road connecting St. Augustine to Georgia. The road crossed the St. Johns River at a narrow point, which the Seminole called Wacca Pilatka and the British called the Cow Ford or Cowford; these names ostensibly reflect the fact that cattle were brought across the river there. The British introduced the cultivation of sugar cane, indigo and fruits as well the export of lumber. As a result, the northeastern Florida area prospered economically more than it had under the Spanish. Britain ceded control of the territory back to Spain in 1783, after its defeat in the American Revolutionary War, and the settlement at the Cow Ford continued to grow. After Spain ceded the Florida Territory to the United States in 1821, American settlers on the north side of the Cow Ford decided to plan a town, laying out the streets and plats. They soon named the town Jacksonville, after Andrew Jackson. Led by Isaiah D. Hart, residents wrote a charter for a town government, which was approved by the Florida Legislative Council on February 9, 1832.</t>
  </si>
  <si>
    <t>nominate speakers</t>
  </si>
  <si>
    <t>the editor of Electrical World magazine</t>
  </si>
  <si>
    <t>the tin had increased in weight and that increase was the same as the weight of the air that rushed back in</t>
  </si>
  <si>
    <t>Coptic Cathedral</t>
  </si>
  <si>
    <t>What is the hottest temperature record for Fresno?</t>
  </si>
  <si>
    <t>However, his religious views remain uncertain due to other statements that he made. For example, in his article, "A Machine to End War", published in 1937, Tesla stated:</t>
  </si>
  <si>
    <t>What religion did the Yuan discourage, to support Buddhism?</t>
  </si>
  <si>
    <t>periods of lower global temperatures</t>
  </si>
  <si>
    <t>What did a survey of North American Lutherans find that Lutherans felt about Jews compared to other minority groups?</t>
  </si>
  <si>
    <t>from the tooth sockets in human skeletons</t>
  </si>
  <si>
    <t>In 1507, he was ordained to the priesthood, and in 1508, von Staupitz, first dean of the newly founded University of Wittenberg, sent for Luther, to teach theology. He received a bachelor's degree in Biblical studies on 9 March 1508, and another bachelor's degree in the Sentences by Peter Lombard in 1509.</t>
  </si>
  <si>
    <t>some extra costs</t>
  </si>
  <si>
    <t>Would opportunities be the same in each subject, or would they vary?</t>
  </si>
  <si>
    <t>seven months old</t>
  </si>
  <si>
    <t>Metropolitan Statistical Areas</t>
  </si>
  <si>
    <t>For what purpose do organisms make peroxide and superoxide?</t>
  </si>
  <si>
    <t>lengthening rubbing surfaces of the valve</t>
  </si>
  <si>
    <t>What did Aristotle refer to forced motion as?</t>
  </si>
  <si>
    <t>How many people were estimated to go to the different game-themed events during the week prior to Super Bowl 50 in the city it was held in?</t>
  </si>
  <si>
    <t>arranged marriages</t>
  </si>
  <si>
    <t>Kuviasungnerk/Kangeiko</t>
  </si>
  <si>
    <t>lab monitoring, adherence counseling, and assist patients with cost-containment strategies</t>
  </si>
  <si>
    <t>an electron</t>
  </si>
  <si>
    <t>Resign</t>
  </si>
  <si>
    <t>, the wisdom and prudence of certain decisions of procurement</t>
  </si>
  <si>
    <t>First, if a Directive's deadline for implementation is not met, the member state cannot enforce conflicting laws, and a citizen may rely on the Directive in such an action (so called "vertical" direct effect). So, in Pubblico Ministero v Ratti because the Italian government had failed to implement a Directive 73/173/EEC on packaging and labelling solvents by the deadline, it was estopped from enforcing a conflicting national law from 1963 against Mr Ratti's solvent and varnish business. A member state could "not rely, as against individuals, on its own failure to perform the obligations which the Directive entails." Second, a citizen or company can invoke a Directive, not just in a dispute with a public authority, but in a dispute with another citizen or company. So, in CIA Security v Signalson and Securitel the Court of Justice held that a business called CIA Security could defend itself from allegations by competitors that it had not complied with a Belgian decree from 1991 about alarm systems, on the basis that it had not been notified to the Commission as a Directive required. Third, if a Directive gives expression to a "general principle" of EU law, it can be invoked between private non-state parties before its deadline for implementation. This follows from Kücükdeveci v Swedex GmbH &amp; Co KG where the German Civil Code §622 stated that the years people worked under the age of 25 would not count towards the increasing statutory notice before dismissal. Ms Kücükdeveci worked for 10 years, from age 18 to 28, for Swedex GmbH &amp; Co KG before her dismissal. She claimed that the law not counting her years under age 25 was unlawful age discrimination under the Employment Equality Framework Directive. The Court of Justice held that the Directive could be relied on by her because equality was also a general principle of EU law. Third, if the defendant is an emanation of the state, even if not central government, it can still be bound by Directives. In Foster v British Gas plc the Court of Justice held that Mrs Foster was entitled to bring a sex discrimination claim against her employer, British Gas plc, which made women retire at age 60 and men at 65, if (1) pursuant to a state measure, (2) it provided a public service, and (3) had special powers. This could also be true if the enterprise is privatised, as it was held with a water company that was responsible for basic water provision.</t>
  </si>
  <si>
    <t>United States Senate Committee on Commerce, Science and Transportation</t>
  </si>
  <si>
    <t>pass on their signal</t>
  </si>
  <si>
    <t>What paved the way for the Augsburg Confession?</t>
  </si>
  <si>
    <t>In what type of molecules are oxygen found?</t>
  </si>
  <si>
    <t>Edmonton, Canada</t>
  </si>
  <si>
    <t>filaments</t>
  </si>
  <si>
    <t>Throughout the Middle Ages, Newcastle was England's northern fortress. Incorporated first by Henry II, the city had a new charter granted by Elizabeth in 1589. A 25-foot (7.6 m) high stone wall was built around the town in the 13th century, to defend it from invaders during the Border war against Scotland. The Scots king William the Lion was imprisoned in Newcastle in 1174, and Edward I brought the Stone of Scone and William Wallace south through the town. Newcastle was successfully defended against the Scots three times during the 14th century, and was created a county corporate with its own sheriff by Henry IV in 1400.</t>
  </si>
  <si>
    <t>Gilgamesh of Uruk and Atilla the Hun</t>
  </si>
  <si>
    <t>ultraviolet radiation impacting oxygen-containing molecules</t>
  </si>
  <si>
    <t>Mohammad Iqbal was what type of father to the State of Pakistan?</t>
  </si>
  <si>
    <t>harsher</t>
  </si>
  <si>
    <t>Who presented the mac to the Scottish Parliament when it was initially opened?</t>
  </si>
  <si>
    <t>punish</t>
  </si>
  <si>
    <t>For what type of music was Doctor Who considered a pioneer?</t>
  </si>
  <si>
    <t>What new tasks do the protein products of transferred genes take on?</t>
  </si>
  <si>
    <t>What began in 1527 when Luther introdued the new order of worship?</t>
  </si>
  <si>
    <t>20th Century</t>
  </si>
  <si>
    <t>message routing methodology</t>
  </si>
  <si>
    <t>What are malum prohibitum considerations?</t>
  </si>
  <si>
    <t>What is a D-loop?</t>
  </si>
  <si>
    <t>pharynx</t>
  </si>
  <si>
    <t>traditional Mongolian script</t>
  </si>
  <si>
    <t xml:space="preserve">What 3 things does the Air Force work key on </t>
  </si>
  <si>
    <t>(a type of "blood poisoning"</t>
  </si>
  <si>
    <t>What size are adult Ctenophora?</t>
  </si>
  <si>
    <t>Pegasus satellites,</t>
  </si>
  <si>
    <t>dial-up</t>
  </si>
  <si>
    <t>write psalm-hymns</t>
  </si>
  <si>
    <t>Price controls</t>
  </si>
  <si>
    <t>were open standards with published specifications, and several implementations were developed outside DEC, including one for Linux</t>
  </si>
  <si>
    <t>large areas</t>
  </si>
  <si>
    <t>Pacific Ocean</t>
  </si>
  <si>
    <t>Red Turban Rebellion</t>
  </si>
  <si>
    <t>the likelihood of damage</t>
  </si>
  <si>
    <t>sleep in peace</t>
  </si>
  <si>
    <t>incapable of teaching</t>
  </si>
  <si>
    <t>How many miles does the dust travels over the Atlantic Ocean?</t>
  </si>
  <si>
    <t>In the range between 1980 and 1990, what did demand for grow?</t>
  </si>
  <si>
    <t>48 hours</t>
  </si>
  <si>
    <t>When was the merger between ITT and ABC officially canceled?</t>
  </si>
  <si>
    <t>What is a criticism of online pharmacies that issue drugs without a prescription?</t>
  </si>
  <si>
    <t>ten years</t>
  </si>
  <si>
    <t>New Orleans' Mercedes-Benz Superdome, Miami's Sun Life Stadium, and the San Francisco Bay Area's Levi's Stadium</t>
  </si>
  <si>
    <t>coordinating lead authors</t>
  </si>
  <si>
    <t>wave speeds</t>
  </si>
  <si>
    <t>establishment of a new and independent Ethics and Anti-Corruption Commission</t>
  </si>
  <si>
    <t>whether it would do more harm than good.</t>
  </si>
  <si>
    <t>The dialect of Newcastle is known as Geordie, and contains a large amount of vocabulary and distinctive word pronunciations not used in other parts of the United Kingdom. The Geordie dialect has much of its origins in the language spoken by the Anglo-Saxon populations who migrated to and conquered much of England after the end of Roman Imperial rule. This language was the forerunner of Modern English; but while the dialects of other English regions have been heavily altered by the influences of other foreign languages—particularly Latin and Norman French—the Geordie dialect retains many elements of the old language. An example of this is the pronunciation of certain words: "dead", "cow", "house" and "strong" are pronounced "deed", "coo", "hoos" and "strang"—which is how they were pronounced in the Anglo-Saxon language. Other Geordie words with Anglo-Saxon origins include: "larn" (from the Anglo-Saxon "laeran", meaning "teach"), "burn" ("stream") and "gan" ("go").</t>
  </si>
  <si>
    <t>quietist/non-political Islam</t>
  </si>
  <si>
    <t>What image has become linked to Doctor Who?</t>
  </si>
  <si>
    <t>museum exhibits</t>
  </si>
  <si>
    <t>What hymn did Luther write after the martyrdom of Esch and Voes?</t>
  </si>
  <si>
    <t>Preventable diseases like malaria, HIV/AIDS, pneumonia, diarrhoea and malnutrition</t>
  </si>
  <si>
    <t>The British Empire</t>
  </si>
  <si>
    <t>main</t>
  </si>
  <si>
    <t>the Netherlands</t>
  </si>
  <si>
    <t>rising inequality</t>
  </si>
  <si>
    <t>democracy</t>
  </si>
  <si>
    <t>What are Phycobilins?</t>
  </si>
  <si>
    <t>those who refuse vetting</t>
  </si>
  <si>
    <t>The logo from 1973–80</t>
  </si>
  <si>
    <t>In what calcium containing body part is oxygen a part?</t>
  </si>
  <si>
    <t>Who were two of Kublai's Chinese advisers?</t>
  </si>
  <si>
    <t>Electronic Frontier Foundation</t>
  </si>
  <si>
    <t>educational</t>
  </si>
  <si>
    <t>When do Plastoglobuli occur in linked groups?</t>
  </si>
  <si>
    <t>Who may change the date by up to a month, on the proposal of the PO?</t>
  </si>
  <si>
    <t>The west side of Fresno is the center of which ethnic community?</t>
  </si>
  <si>
    <t>What is the oldest surviving European tapestry in the V&amp;A collection?</t>
  </si>
  <si>
    <t>civil rebellion</t>
  </si>
  <si>
    <t>Which direction did Romans use to drift through the Rhine?</t>
  </si>
  <si>
    <t>What part of the Rhine flows through North Rhine-Westphalia?</t>
  </si>
  <si>
    <t>self and non-self</t>
  </si>
  <si>
    <t>through faith</t>
  </si>
  <si>
    <t>captive import policy</t>
  </si>
  <si>
    <t>hiding a Jew</t>
  </si>
  <si>
    <t>What is petrology?</t>
  </si>
  <si>
    <t>his siblings</t>
  </si>
  <si>
    <t>At the time, countries such as Spain didn't have a crime against what?</t>
  </si>
  <si>
    <t>These studies were widely presented as demonstrating that the current warming period is exceptional in comparison to temperatures between 1000 and 1900, and the MBH99 based graph featured in publicity. Even at the draft stage, this finding was disputed by contrarians: in May 2000 Fred Singer's Science and Environmental Policy Project held a press event on Capitol Hill, Washington, D.C., featuring comments on the graph Wibjörn Karlén and Singer argued against the graph at a United States Senate Committee on Commerce, Science and Transportation hearing on 18 July 2000. Contrarian John Lawrence Daly featured a modified version of the IPCC 1990 schematic, which he mis-identified as appearing in the IPCC 1995 report, and argued that "Overturning its own previous view in the 1995 report, the IPCC presented the 'Hockey Stick' as the new orthodoxy with hardly an apology or explanation for the abrupt U-turn since its 1995 report". Criticism of the MBH99 reconstruction in a review paper, which was quickly discredited in the Soon and Baliunas controversy, was picked up by the Bush administration, and a Senate speech by US Republican senator James Inhofe alleged that "manmade global warming is the greatest hoax ever perpetrated on the American people". The data and methodology used to produce the "hockey stick graph" was criticized in papers by Stephen McIntyre and Ross McKitrick, and in turn the criticisms in these papers were examined by other studies and comprehensively refuted by Wahl &amp; Ammann 2007, which showed errors in the methods used by McIntyre and McKitrick.</t>
  </si>
  <si>
    <t>How did Luther show the Trinity in his catechisms?</t>
  </si>
  <si>
    <t>connection-oriented operations</t>
  </si>
  <si>
    <t>less willing to travel or relocate</t>
  </si>
  <si>
    <t xml:space="preserve">What organization runs the public schools in Victoria? </t>
  </si>
  <si>
    <t>Following the conquest of Dali in 1253, the former ruling Duan dynasty were appointed as governors-general, recognized as imperial officials by the Yuan, Ming, and Qing-era governments, principally in the province of Yunnan. Succession for the Yuan dynasty, however, was an intractable problem, later causing much strife and internal struggle. This emerged as early as the end of Kublai's reign. Kublai originally named his eldest son, Zhenjin, as the Crown Prince, but he died before Kublai in 1285. Thus, Zhenjin's third son, with the support of his mother Kökejin and the minister Bayan, succeeded the throne and ruled as Temür Khan, or Emperor Chengzong, from 1294 to 1307. Temür Khan decided to maintain and continue much of the work begun by his grandfather. He also made peace with the western Mongol khanates as well as neighboring countries such as Vietnam, which recognized his nominal suzerainty and paid tributes for a few decades. However, the corruption in the Yuan dynasty began during the reign of Temür Khan.</t>
  </si>
  <si>
    <t>Why did British operation fail in 1755, 56, 57?</t>
  </si>
  <si>
    <t>100–150 species</t>
  </si>
  <si>
    <t>What does oxidative phosphorylation do?</t>
  </si>
  <si>
    <t>the amount of time for which they are allowed to speak</t>
  </si>
  <si>
    <t>What was the Seven Years War?</t>
  </si>
  <si>
    <t>Who made Ralph earl?</t>
  </si>
  <si>
    <t>pasture for cattle</t>
  </si>
  <si>
    <t>When a pathogen has been eaten by a phagocyte it becomes trapped in what vesicle?</t>
  </si>
  <si>
    <t>In what two age groups is the strength of the immune system reduced?</t>
  </si>
  <si>
    <t>Residential construction can generate what is not carefully planned?</t>
  </si>
  <si>
    <t>Which organizations most commonly divide and promote the state?</t>
  </si>
  <si>
    <t>What root problem can cause starch buildup?</t>
  </si>
  <si>
    <t>515 million years</t>
  </si>
  <si>
    <t>humid subtropical</t>
  </si>
  <si>
    <t>Who did the keelmen live with in a tight-knight community east of Newcastle?</t>
  </si>
  <si>
    <t>a strong Islamist outlook</t>
  </si>
  <si>
    <t>In the laboratory, stratigraphers analyze samples of stratigraphic sections that can be returned from the field, such as those from drill cores. Stratigraphers also analyze data from geophysical surveys that show the locations of stratigraphic units in the subsurface. Geophysical data and well logs can be combined to produce a better view of the subsurface, and stratigraphers often use computer programs to do this in three dimensions. Stratigraphers can then use these data to reconstruct ancient processes occurring on the surface of the Earth, interpret past environments, and locate areas for water, coal, and hydrocarbon extraction.</t>
  </si>
  <si>
    <t>the steam turbine</t>
  </si>
  <si>
    <t>12–4</t>
  </si>
  <si>
    <t>How is income inequality generally viewed by workers?</t>
  </si>
  <si>
    <t>until the second quarter of the 19th century.</t>
  </si>
  <si>
    <t>prints and architectural drawings</t>
  </si>
  <si>
    <t>During his second year of study at Graz, Tesla developed a passion for (and became very proficient at) billiards, chess and card-playing, sometimes spending more than 48 hours in a stretch at a gaming table.:43, 301 On one occasion at his laboratory, Tesla worked for a period of 84 hours without sleep or rest.:208 Kenneth Swezey, a journalist whom Tesla had befriended, confirmed that Tesla rarely slept. Swezey recalled one morning when Tesla called him at 3 a.m.: "I was sleeping in my room like one dead ... Suddenly, the telephone ring awakened me ... [Tesla] spoke animatedly, with pauses, [as he] ... work[ed] out a problem, comparing one theory to another, commenting; and when he felt he had arrived at the solution, he suddenly closed the telephone."</t>
  </si>
  <si>
    <t>What is the process of turning CO2 into organic molecules called?</t>
  </si>
  <si>
    <t>deprived of earning as much income</t>
  </si>
  <si>
    <t>The Computer Science Network (CSNET) was a computer network funded by the U.S. National Science Foundation (NSF) that began operation in 1981. Its purpose was to extend networking benefits, for computer science departments at academic and research institutions that could not be directly connected to ARPANET, due to funding or authorization limitations. It played a significant role in spreading awareness of, and access to, national networking and was a major milestone on the path to development of the global Internet.</t>
  </si>
  <si>
    <t>Where did Tesla go to feed the pigeons daily?</t>
  </si>
  <si>
    <t>Diseases of poverty</t>
  </si>
  <si>
    <t>When did BSkyB announce it's intention to replace it's free-to-air digital channels?</t>
  </si>
  <si>
    <t>Cost of construction</t>
  </si>
  <si>
    <t>"Bold New City of the South"</t>
  </si>
  <si>
    <t>micrometeorite impacts</t>
  </si>
  <si>
    <t>Where did HT fail to pull off a bloodless coup in 1974?</t>
  </si>
  <si>
    <t>events in his life</t>
  </si>
  <si>
    <t>What is sometimes impossible to model?</t>
  </si>
  <si>
    <t>What Chinese system did Kublai's government compromise with?</t>
  </si>
  <si>
    <t>In what field were double and triple expansion engines common?</t>
  </si>
  <si>
    <t>normal faulting</t>
  </si>
  <si>
    <t>What introduces inequality to a country?</t>
  </si>
  <si>
    <t>British Superintendent for Indian Affairs in the New York region and beyond</t>
  </si>
  <si>
    <t>What victory at thwarted efforts of French relief ships.</t>
  </si>
  <si>
    <t>actual temperature rise was near the top end of the range given</t>
  </si>
  <si>
    <t>French</t>
  </si>
  <si>
    <t xml:space="preserve">How are Air force messages delivered </t>
  </si>
  <si>
    <t>What is another name for being born again?</t>
  </si>
  <si>
    <t>The concept environmental determinism served as a moral justification for domination of certain territories and peoples. It was believed that a certain person's behaviours were determined by the environment in which they lived and thus validated their domination. For example, people living in tropical environments were seen as "less civilized" therefore justifying colonial control as a civilizing mission. Across the three waves of European colonialism (first in the Americas, second in Asia and lastly in Africa), environmental determinism was used to categorically place indigenous people in a racial hierarchy. This takes two forms, orientalism and tropicality.</t>
  </si>
  <si>
    <t>What was later discovered written by Luther?</t>
  </si>
  <si>
    <t>wooden paddle</t>
  </si>
  <si>
    <t>What did the Islamic State proclaim itself in 2014?</t>
  </si>
  <si>
    <t>What is one problem with internet pharmacies?</t>
  </si>
  <si>
    <t>The Amazon rainforest makes up what amount of Earth's rainforests?</t>
  </si>
  <si>
    <t>What does motion at a constant velocity equal?</t>
  </si>
  <si>
    <t>the Festival of Britain</t>
  </si>
  <si>
    <t xml:space="preserve">What will the number "50" be plated with? </t>
  </si>
  <si>
    <t>major national and international patient information projects</t>
  </si>
  <si>
    <t>Fraud</t>
  </si>
  <si>
    <t>races of highest 'social efficiency'"</t>
  </si>
  <si>
    <t>How many valves did the Corliss engine use?</t>
  </si>
  <si>
    <t>The CYCLADES packet switching network was a French research network designed and directed by Louis Pouzin. First demonstrated in 1973, it was developed to explore alternatives to the early ARPANET design and to support network research generally. It was the first network to make the hosts responsible for reliable delivery of data, rather than the network itself, using unreliable datagrams and associated end-to-end protocol mechanisms. Concepts of this network influenced later ARPANET architecture.</t>
  </si>
  <si>
    <t>the Middle East</t>
  </si>
  <si>
    <t>computational complexity theory</t>
  </si>
  <si>
    <t>In what series did ABC present it's 1950s film adaptations in?</t>
  </si>
  <si>
    <t>What makes static friction go up or down in responce to contact characteristics between an object and the surface it is on?</t>
  </si>
  <si>
    <t>To Luther, what were all baptized Christians considered to be?</t>
  </si>
  <si>
    <t>Cybermen</t>
  </si>
  <si>
    <t>electrical fire</t>
  </si>
  <si>
    <t>self molecules</t>
  </si>
  <si>
    <t>the temperance movement</t>
  </si>
  <si>
    <t>cnidarians</t>
  </si>
  <si>
    <t>Does BSkyB carry any control over a channels content?</t>
  </si>
  <si>
    <t>A revised version of the ABC logo was introduced for promotions for the 2013–14 season during the network's upfront presentation on May 14, 2013, and officially introduced on-air on June 17 (although some affiliates implemented the new design prior to then), as part of an overhaul of ABC's identity by design agency LoyalKaspar. The updated logo carries a simpler gloss design than the previous version, and contains lettering more closely resembling Paul Rand's original version of the circle logo. The logo is displayed on-air, online and in print advertising in four variants shading the respective color used with the circle design's native black coloring: a gold version is primarily used on entertainment-oriented outlets (such as ABC.com, WATCH ABC, and by ABC Studios) and the on-screen bug; steel blue and dark grey versions are used primarily by ABC News; a red version is used for ESPN on ABC, while all four variants are used selectively in advertising and by affiliates. A new custom typeface, "ABC Modern" (which was inspired by the logotype), was also created for use in advertising and other promotional materials.</t>
  </si>
  <si>
    <t>What is the basis of the hymn?</t>
  </si>
  <si>
    <t>radial</t>
  </si>
  <si>
    <t>opened the gates to the Mongols</t>
  </si>
  <si>
    <t>adaptation of the Latin Mass</t>
  </si>
  <si>
    <t>infringed on democratic freedoms</t>
  </si>
  <si>
    <t>strictly contained in P or equal to P</t>
  </si>
  <si>
    <t>nucleomorph and outermost two membranes</t>
  </si>
  <si>
    <t>adaptive</t>
  </si>
  <si>
    <t>sequence</t>
  </si>
  <si>
    <t>45 million people</t>
  </si>
  <si>
    <t>justice</t>
  </si>
  <si>
    <t>What marine engines were less efficient than steam turbines?</t>
  </si>
  <si>
    <t>wealth condensation</t>
  </si>
  <si>
    <t>In what expression can one expect to find DTIME(n)</t>
  </si>
  <si>
    <t>he had noticed damaged film in his laboratory in previous experiments</t>
  </si>
  <si>
    <t>What kind of media can references to Tesla be found in</t>
  </si>
  <si>
    <t>What members typically open debates?</t>
  </si>
  <si>
    <t>not to talk to police officers</t>
  </si>
  <si>
    <t>rotational inertia of planet Earth</t>
  </si>
  <si>
    <t>There are conflicting views of Genghis Khan in the People's Republic of China with some viewing him positively in the Inner Mongolia region where there are a monument and buildings about him and where there is a considerable number of Mongols in the area with a population of around 5 million, almost twice the population of Mongolia. While Genghis Khan never conquered all of China, his grandson Kublai Khan completed that conquest and established the Yuan dynasty that is often credited with re-uniting China. There has been much artwork and literature praising Genghis as a great military leader and political genius. The years of the Mongol-established Yuan dynasty left an indelible imprint on Chinese political and social structures for subsequent generations with literature during the Jin dynasty relatively fewer. In general the legacy of Genghis Khan and his successors, who completed the conquest of China after 65 years of struggle, remains a mixed topic.[citation needed]</t>
  </si>
  <si>
    <t>An attorney</t>
  </si>
  <si>
    <t>because of its advantages in long-distance, high-voltage transmission</t>
  </si>
  <si>
    <t>Battle of Jumonville Glen in May 1754,</t>
  </si>
  <si>
    <t>What is wasted by rubisco's flaw?</t>
  </si>
  <si>
    <t>Rhine</t>
  </si>
  <si>
    <t>the Red Army</t>
  </si>
  <si>
    <t>the Treaty on the Functioning of the European Union.</t>
  </si>
  <si>
    <t>In what treatment are nonconservative and conservative forces described?</t>
  </si>
  <si>
    <t>exactly 8:10 p.m.,</t>
  </si>
  <si>
    <t>the Parliament of Victoria</t>
  </si>
  <si>
    <t>rich</t>
  </si>
  <si>
    <t>at larger distances.</t>
  </si>
  <si>
    <t>What is CSNET</t>
  </si>
  <si>
    <t>How else can petrologists understand the pressures at which different mineral phases appear?</t>
  </si>
  <si>
    <t>Compared to Smeaton's improvement on Newcomen's engine, how much coal did Watt's engine use?</t>
  </si>
  <si>
    <t>inherited by each daughter cell during cell division</t>
  </si>
  <si>
    <t>Where was the 2000 study conducted?</t>
  </si>
  <si>
    <t>the work of leading theoretical physicists</t>
  </si>
  <si>
    <t>land and housing</t>
  </si>
  <si>
    <t>explored the mountains in hunter's garb</t>
  </si>
  <si>
    <t>single</t>
  </si>
  <si>
    <t>contemporary Orient</t>
  </si>
  <si>
    <t>three-carbon molecules</t>
  </si>
  <si>
    <t xml:space="preserve">Constitutional impasse is distinct from what key term? </t>
  </si>
  <si>
    <t>influence</t>
  </si>
  <si>
    <t>Vγ9/Vδ2</t>
  </si>
  <si>
    <t>kinetic friction force</t>
  </si>
  <si>
    <t>the clergy</t>
  </si>
  <si>
    <t>The Lobata have a pair of lobes, which are muscular, cuplike extensions of the body that project beyond the mouth. Their inconspicuous tentacles originate from the corners of the mouth, running in convoluted grooves and spreading out over the inner surface of the lobes (rather than trailing far behind, as in the Cydippida). Between the lobes on either side of the mouth, many species of lobates have four auricles, gelatinous projections edged with cilia that produce water currents that help direct microscopic prey toward the mouth. This combination of structures enables lobates to feed continuously on suspended planktonic prey.</t>
  </si>
  <si>
    <t>Town Moor</t>
  </si>
  <si>
    <t>Western musical instruments were introduced to enrich Chinese performing arts. From this period dates the conversion to Islam, by Muslims of Central Asia, of growing numbers of Chinese in the northwest and southwest. Nestorianism and Roman Catholicism also enjoyed a period of toleration. Buddhism (especially Tibetan Buddhism) flourished, although Taoism endured certain persecutions in favor of Buddhism from the Yuan government. Confucian governmental practices and examinations based on the Classics, which had fallen into disuse in north China during the period of disunity, were reinstated by the Yuan court, probably in the hope of maintaining order over Han society. Advances were realized in the fields of travel literature, cartography, geography, and scientific education.</t>
  </si>
  <si>
    <t>What were the structures built by the Soviets typical of?</t>
  </si>
  <si>
    <t>What was Tesla's device called?</t>
  </si>
  <si>
    <t>Other than warships, what ships typically required high speeds?</t>
  </si>
  <si>
    <t>Commissioners have various privileges, such as being exempt from member state taxes (but not EU taxes), and having immunity from prosecution for doing official acts. Commissioners have sometimes been found to have abused their offices, particularly since the Santer Commission was censured by Parliament in 1999, and it eventually resigned due to corruption allegations. This resulted in one main case, Commission v Edith Cresson where the European Court of Justice held that a Commissioner giving her dentist a job, for which he was clearly unqualified, did in fact not break any law. By contrast to the ECJ's relaxed approach, a Committee of Independent Experts found that a culture had developed where few Commissioners had ‘even the slightest sense of responsibility’. This led to the creation of the European Anti-fraud Office. In 2012 it investigated the Maltese Commissioner for Health, John Dalli, who quickly resigned after allegations that he received a €60m bribe in connection with a Tobacco Products Directive. Beyond the Commission, the European Central Bank has relative executive autonomy in its conduct of monetary policy for the purpose of managing the euro. It has a six-person board appointed by the European Council, on the Council's recommendation. The President of the Council and a Commissioner can sit in on ECB meetings, but do not have voting rights.</t>
  </si>
  <si>
    <t>1688–1692</t>
  </si>
  <si>
    <t>The Ottoman empire controlled territory on three continents, Africa, Asia and which other?</t>
  </si>
  <si>
    <t>another photosynthesis-depressing factor</t>
  </si>
  <si>
    <t>British failures in North America, combined with other failures in the Europe</t>
  </si>
  <si>
    <t>steam pump</t>
  </si>
  <si>
    <t>a glacier</t>
  </si>
  <si>
    <t>Photosynthesis uses which energy to for oxygen from water?</t>
  </si>
  <si>
    <t>Newton's First</t>
  </si>
  <si>
    <t>the empire fell</t>
  </si>
  <si>
    <t>How many Muslims came from around the world to fight in Afghanistan?</t>
  </si>
  <si>
    <t>Proportionality is recognised one of the general principles of European Union law by the European Court of Justice since the 1950s. According to the general principle of proportionality the lawfulness of an action depends on whether it was appropriate and necessary to achieve the objectives legitimately pursued. When there is a choice between several appropriate measures the least onerous must be adopted, and any disadvantage caused must not be disproportionate to the aims pursued. The principle of proportionality is also recognised in Article 5 of the EC Treaty, stating that "any action by the Community shall not go beyond what is necessary to achieve the objectives of this Treaty".</t>
  </si>
  <si>
    <t>Where did Apollo 1's crew conduct tests at Kennedy Space Center?</t>
  </si>
  <si>
    <t>crustal rock</t>
  </si>
  <si>
    <t>pump</t>
  </si>
  <si>
    <t>What was the population of Kenya in 2014?</t>
  </si>
  <si>
    <t>having acknowledged that omitting climate as a key development issue in Vision 2030 was an oversight</t>
  </si>
  <si>
    <t>What is considered the Mother Church of American Methodism?</t>
  </si>
  <si>
    <t>1724 to 1725</t>
  </si>
  <si>
    <t>What do you use to let idea strings switch direction?</t>
  </si>
  <si>
    <t>as pertaining to a citizen's relation to the state and its laws</t>
  </si>
  <si>
    <t>molecular orbitals</t>
  </si>
  <si>
    <t>an epidemiological account</t>
  </si>
  <si>
    <t>from the 1st century AD to the present</t>
  </si>
  <si>
    <t>What attracts the tourists to Kenya?</t>
  </si>
  <si>
    <t>all war</t>
  </si>
  <si>
    <t>What did Luther think of Purgatory?</t>
  </si>
  <si>
    <t xml:space="preserve">What does a high tide risk near lands? </t>
  </si>
  <si>
    <t>What does ctenophore use to capture prey?</t>
  </si>
  <si>
    <t>assassinated</t>
  </si>
  <si>
    <t>more active and lived longer while breathing it</t>
  </si>
  <si>
    <t>What does the EU's legitimacy rest on?</t>
  </si>
  <si>
    <t xml:space="preserve">What was the advantage of the two-phased system </t>
  </si>
  <si>
    <t>French_and_Indian_War</t>
  </si>
  <si>
    <t>17th century.</t>
  </si>
  <si>
    <t>What did Luther call  the consecrated bread and wine?</t>
  </si>
  <si>
    <t>What is it called when steam propels a turbo generator with electric motor propulsion?</t>
  </si>
  <si>
    <t>rural areas in the United Kingdom</t>
  </si>
  <si>
    <t>Queen Bees</t>
  </si>
  <si>
    <t>driving them in front of the army</t>
  </si>
  <si>
    <t>What did Johannes Agricola preach that God's gospel revealed?</t>
  </si>
  <si>
    <t xml:space="preserve">What is the name of one algorithm useful for conveniently testing the primality of large numbers? </t>
  </si>
  <si>
    <t>the crust and rigid uppermost portion of the upper mantle</t>
  </si>
  <si>
    <t>In 2007, the Kenyan government unveiled Vision 2030, an economic development programme it hopes will put the country in the same league as the Asian Economic Tigers by the year 2030. In 2013, it launched a National Climate Change Action Plan, having acknowledged that omitting climate as a key development issue in Vision 2030 was an oversight. The 200-page Action Plan, developed with support from the Climate &amp; Development Knowledge Network, sets out the Government of Kenya's vision for a 'low carbon climate resilient development pathway'. At the launch in March 2013, the Secretary of the Ministry of Planning, National Development and Vision 2030 emphasised that climate will be a central issue in the renewed Medium Term Plan that will be launched in the coming months. This will create a direct and robust delivery framework for the Action Plan and ensure climate change is treated as an economy-wide issue.</t>
  </si>
  <si>
    <t>What did Marlee Matlin translate?</t>
  </si>
  <si>
    <t>The Islamic Republic</t>
  </si>
  <si>
    <t>When did Great Britain colonize Australia?</t>
  </si>
  <si>
    <t>the discrete logarithm problem</t>
  </si>
  <si>
    <t>Harvard has several athletic facilities, such as the Lavietes Pavilion, a multi-purpose arena and home to the Harvard basketball teams. The Malkin Athletic Center, known as the "MAC", serves both as the university's primary recreation facility and as a satellite location for several varsity sports. The five-story building includes two cardio rooms, an Olympic-size swimming pool, a smaller pool for aquaerobics and other activities, a mezzanine, where all types of classes are held, an indoor cycling studio, three weight rooms, and a three-court gym floor to play basketball. The MAC offers personal trainers and specialty classes. It is home to Harvard volleyball, fencing and wrestling. The offices of several of the school's varsity coaches are also in the MAC.</t>
  </si>
  <si>
    <t>over 330</t>
  </si>
  <si>
    <t>Continental Edison Company</t>
  </si>
  <si>
    <t>into the lake</t>
  </si>
  <si>
    <t>layered basaltic lava flows</t>
  </si>
  <si>
    <t>Justifying Grace or Accepting Grace</t>
  </si>
  <si>
    <t>What South African law recognized two types of schools?</t>
  </si>
  <si>
    <t>U.S authorship of a 'new world'</t>
  </si>
  <si>
    <t>What did the Italian government fail to do in Francovich v Italy?</t>
  </si>
  <si>
    <t>May 1888</t>
  </si>
  <si>
    <t>In 1875, Tesla enrolled at Austrian Polytechnic in Graz, Austria, on a Military Frontier scholarship. During his first year, Tesla never missed a lecture, earned the highest grades possible, passed nine exams (nearly twice as many required), started a Serbian culture club, and even received a letter of commendation from the dean of the technical faculty to his father, which stated, "Your son is a star of first rank." Tesla claimed that he worked from 3 a.m. to 11 p.m., no Sundays or holidays excepted. He was "mortified when [his] father made light of [those] hard won honors." After his father's death in 1879, Tesla found a package of letters from his professors to his father, warning that unless he were removed from the school, Tesla would be killed through overwork. During his second year, Tesla came into conflict with Professor Poeschl over the Gramme dynamo, when Tesla suggested that commutators weren't necessary. At the end of his second year, Tesla lost his scholarship and became addicted to gambling. During his third year, Tesla gambled away his allowance and his tuition money, later gambling back his initial losses and returning the balance to his family. Tesla said that he "conquered [his] passion then and there," but later he was known to play billiards in the US. When exam time came, Tesla was unprepared and asked for an extension to study, but was denied. He never graduated from the university and did not receive grades for the last semester.</t>
  </si>
  <si>
    <t>Commission v France French</t>
  </si>
  <si>
    <t>How many electorates does the State of Victoria have?</t>
  </si>
  <si>
    <t>Oedipus</t>
  </si>
  <si>
    <t>do not have voting rights</t>
  </si>
  <si>
    <t>The IPCC concentrates its activities on the tasks allotted to it by the relevant WMO Executive Council and UNEP Governing Council resolutions and decisions as well as on actions in support of the UNFCCC process. While the preparation of the assessment reports is a major IPCC function, it also supports other activities, such as the Data Distribution Centre and the National Greenhouse Gas Inventories Programme, required under the UNFCCC. This involves publishing default emission factors, which are factors used to derive emissions estimates based on the levels of fuel consumption, industrial production and so on.</t>
  </si>
  <si>
    <t>a handshake between the communicating parties before any user packets are transmitted</t>
  </si>
  <si>
    <t>second-largest global producer</t>
  </si>
  <si>
    <t>What does the Secret History say Genghis Khan was doing when he sustained his mortal injuries?</t>
  </si>
  <si>
    <t>economic center</t>
  </si>
  <si>
    <t>fundamental rights (see human rights), proportionality, legal certainty, equality before the law and subsidiarity</t>
  </si>
  <si>
    <t>In December 1984, Thomas S. Murphy, chief executive officer of Capital Cities Communications, contacted Leonard Goldenson about a proposal to merge their respective companies. On March 16, 1985, ABC's executive committee accepted the merger offer, which was formally announced on March 18, 1985, with Capital Cities purchasing ABC and its related properties for $3.5 billion and $118 for each of ABC's shares as well as a guarantee of 10% (or $3) for a total of $121 per share. To finance the purchase, Capital Cities borrowed $2.1 billion from a consortium of banks, which sold certain assets that Capital Cites could not acquire or retain due to FCC ownership rules for a combined $900 million and sold off several cable television systems, which were sold to The Washington Post Company (forming the present-day Cable One). The remaining $500 million was loaned by Warren Buffett, who promised that his company Berkshire Hathaway would purchase $3 million in shares, at $172.50 apiece. Due to an FCC ban on same-market ownership of television and radio stations by a single company (although the deal would have otherwise complied with new ownership rules implemented by the FCC in January 1985, that allowed broadcasters to own a maximum of 12 television stations), ABC and Capital Cities respectively decided to sell WXYZ-TV and Tampa independent station WFTS-TV to the E. W. Scripps Company (although Capital Cities/ABC originally intended to seek a cross-ownership waiver to retain WXYZ and Capital Cities-owned radio stations WJR and WHYT).</t>
  </si>
  <si>
    <t>What is the House of Tides?</t>
  </si>
  <si>
    <t>What can be achieved without building high or getting rid of common areas?</t>
  </si>
  <si>
    <t>What are associated with normal forces?</t>
  </si>
  <si>
    <t>When were the Normans in Normandy?</t>
  </si>
  <si>
    <t>Turks" (Muslims) and Catholics</t>
  </si>
  <si>
    <t>In what theory is the idea of a number exchanged with that of an ideal?</t>
  </si>
  <si>
    <t>How did William Shirley feel about French advancement?</t>
  </si>
  <si>
    <t>The packet header can be small, as it only needs to contain this code and any information, such as length, timestamp, or sequence number</t>
  </si>
  <si>
    <t>Who asked Luther to return to the city?</t>
  </si>
  <si>
    <t>continued gender inequality in education</t>
  </si>
  <si>
    <t>lipids and proteins</t>
  </si>
  <si>
    <t>What is the final stage of a bill in the Scottish Parliament?</t>
  </si>
  <si>
    <t>a lump sum payment of $216,000</t>
  </si>
  <si>
    <t>Who did the Panthers play to advance to the Super Bowl?</t>
  </si>
  <si>
    <t>According to the same statistics, the average age of people living in Newcastle is 37.8 (the national average being 38.6). Many people in the city have Scottish or Irish ancestors. There is a strong presence of Border Reiver surnames, such as Armstrong, Charlton, Elliot, Johnstone, Kerr, Hall, Nixon, Little and Robson. There are also small but significant Chinese, Jewish and Eastern European (Polish, Czech Roma) populations. There are also estimated to be between 500 and 2,000 Bolivians in Newcastle, forming up to 1% of the population—the largest such percentage of any UK city.</t>
  </si>
  <si>
    <t>hold the majority of seats</t>
  </si>
  <si>
    <t>terraces</t>
  </si>
  <si>
    <t>The Adventures of Ozzie and Harriet</t>
  </si>
  <si>
    <t>quite complex</t>
  </si>
  <si>
    <t>After an eventful and tiring year for the world during 1968, what type of ending to the year did the images from space provide?</t>
  </si>
  <si>
    <t>How many study contracts were awarded on October 25th?</t>
  </si>
  <si>
    <t>their business is chronically understaffed</t>
  </si>
  <si>
    <t>How many protestants live in France today?</t>
  </si>
  <si>
    <t>The revocation forbade Protestant services, required education of children as Catholics, and prohibited emigration. It proved disastrous to the Huguenots and costly for France. It precipitated civil bloodshed, ruined commerce, and resulted in the illegal flight from the country of hundreds of thousands of Protestants, many of whom became intellectuals, doctors and business leaders in Britain as well as Holland, Prussia, and South Africa. Four thousand emigrated to the North American colonies, where they settled in New York and Virginia, especially. The English welcomed the French refugees, providing money from both government and private agencies to aid their relocation. Those Huguenots who stayed in France became Catholics and were called "new converts".</t>
  </si>
  <si>
    <t>the defense of the St. Lawrence</t>
  </si>
  <si>
    <t>The principle of cross-cutting relationships pertains to the formation of faults and the age of the sequences through which they cut. Faults are younger than the rocks they cut; accordingly, if a fault is found that penetrates some formations but not those on top of it, then the formations that were cut are older than the fault, and the ones that are not cut must be younger than the fault. Finding the key bed in these situations may help determine whether the fault is a normal fault or a thrust fault.</t>
  </si>
  <si>
    <t>military roads to the area by Braddock and Forbes</t>
  </si>
  <si>
    <t>accept jail penitently</t>
  </si>
  <si>
    <t>sons and grandsons</t>
  </si>
  <si>
    <t>Luther next set about reversing or modifying the new church practices. By working alongside the authorities to restore public order, he signalled his reinvention as a conservative force within the Reformation. After banishing the Zwickau prophets, he now faced a battle against not only the established Church but also the radical reformers who threatened the new order by fomenting social unrest and violence.</t>
  </si>
  <si>
    <t>Kenya is active in several sports, among them cricket, rallying, football, rugby union and boxing. The country is known chiefly for its dominance in middle-distance and long-distance athletics, having consistently produced Olympic and Commonwealth Games champions in various distance events, especially in 800 m, 1,500 m, 3,000 m steeplechase, 5,000 m, 10,000 m and the marathon. Kenyan athletes (particularly Kalenjin) continue to dominate the world of distance running, although competition from Morocco and Ethiopia has reduced this supremacy. Kenya's best-known athletes included the four-time women's Boston Marathon winner and two-time world champion Catherine Ndereba, 800m world record holder David Rudisha, former Marathon world record-holder Paul Tergat, and John Ngugi.</t>
  </si>
  <si>
    <t>lung</t>
  </si>
  <si>
    <t>$150,000</t>
  </si>
  <si>
    <t>When did these rebellions take place?</t>
  </si>
  <si>
    <t>movable pulleys</t>
  </si>
  <si>
    <t>Where is Bielany Forest located?</t>
  </si>
  <si>
    <t>Without Luther's backing for the uprising, many rebels laid down their weapons; others felt betrayed. Their defeat by the Swabian League at the Battle of Frankenhausen on 15 May 1525, followed by Müntzer's execution, brought the revolutionary stage of the Reformation to a close. Thereafter, radicalism found a refuge in the anabaptist movement and other religious movements, while Luther's Reformation flourished under the wing of the secular powers.</t>
  </si>
  <si>
    <t>These chloroplasts, which can be traced back directly to a cyanobacterial ancestor, are known as primary plastids ("plastid" in this context means almost the same thing as chloroplast). All primary chloroplasts belong to one of three chloroplast lineages—the glaucophyte chloroplast lineage, the rhodophyte, or red algal chloroplast lineage, or the chloroplastidan, or green chloroplast lineage. The second two are the largest, and the green chloroplast lineage is the one that contains the land plants.</t>
  </si>
  <si>
    <t>Yangzi River basin</t>
  </si>
  <si>
    <t>What did Shrewsbury note about the plague?</t>
  </si>
  <si>
    <t>What title did Newcastle native Basil Hume achieve?</t>
  </si>
  <si>
    <t>For a precise definition of what it means to solve a problem using a given amount of time and space, a computational model such as the deterministic Turing machine is used. The time required by a deterministic Turing machine M on input x is the total number of state transitions, or steps, the machine makes before it halts and outputs the answer ("yes" or "no"). A Turing machine M is said to operate within time f(n), if the time required by M on each input of length n is at most f(n). A decision problem A can be solved in time f(n) if there exists a Turing machine operating in time f(n) that solves the problem. Since complexity theory is interested in classifying problems based on their difficulty, one defines sets of problems based on some criteria. For instance, the set of problems solvable within time f(n) on a deterministic Turing machine is then denoted by DTIME(f(n)).</t>
  </si>
  <si>
    <t>What kind of problems are one of the main topics studied in computational complexity theory?</t>
  </si>
  <si>
    <t>The new office of the PM will have power and authority to co-ordinate and supervise the functions of the Government and will be occupied by an elected MP who will be the leader of the party or coalition with majority members in Parliament. The world watched Annan and his UN-backed panel and African Union chairman Jakaya Kikwete as they brought together the former rivals to the signing ceremony, beamed live on national TV from the steps of Nairobi's Harambee House. On 29 February 2008, representatives of PNU and ODM began working on the finer details of the power-sharing agreement. Kenyan lawmakers unanimously approved a power-sharing deal 18 March 2008, aimed at salvaging a country usually seen as one of the most stable and prosperous in Africa. The deal brought Kibaki's PNU and Odinga's ODM together and heralded the formation of the grand coalition, in which the two political parties would share power equally.</t>
  </si>
  <si>
    <t>What is a main advantage of the Rankine cycle?</t>
  </si>
  <si>
    <t>Where does Warsaw rank in terms of population in the EU?</t>
  </si>
  <si>
    <t>interior valleys</t>
  </si>
  <si>
    <t>utterly debased</t>
  </si>
  <si>
    <t>What land was ceded to Spain?</t>
  </si>
  <si>
    <t>What did the V&amp;A present in July 1973 as part of its youth outreach programme?</t>
  </si>
  <si>
    <t>Who ends up getting more of the teacher's resources in this scenario?</t>
  </si>
  <si>
    <t>Construction takes place on location for who?</t>
  </si>
  <si>
    <t>carbon</t>
  </si>
  <si>
    <t>All matters that are not specifically reserved are automatically devolved to the Scottish Parliament</t>
  </si>
  <si>
    <t>What type of authority are ambulatory care pharmacists given in the U.S. federal health care system?</t>
  </si>
  <si>
    <t>nonfunctional</t>
  </si>
  <si>
    <t>Synthetic aperture radar (SAR)</t>
  </si>
  <si>
    <t>otter, beaver and hundreds of bird species.</t>
  </si>
  <si>
    <t>a presidential representative democratic republic</t>
  </si>
  <si>
    <t>What are examples of the various religions of Mongol tribes?</t>
  </si>
  <si>
    <t>ozone</t>
  </si>
  <si>
    <t>In at least some species, juveniles are capable of reproduction before reaching the adult size</t>
  </si>
  <si>
    <t>Apollo TV</t>
  </si>
  <si>
    <t>imperialism</t>
  </si>
  <si>
    <t>high-voltage, high-frequency power</t>
  </si>
  <si>
    <t>prophetic faith</t>
  </si>
  <si>
    <t>The Apollo program was conceived during the Eisenhower administration in early 1960, as a follow-up to Project Mercury. While the Mercury capsule could only support one astronaut on a limited Earth orbital mission, Apollo would carry three astronauts. Possible missions included ferrying crews to a space station, circumlunar flights, and eventual manned lunar landings. The program was named after the Greek god of light, music, and the sun by NASA manager Abe Silverstein, who later said that "I was naming the spacecraft like I'd name my baby." Silverstein chose the name at home one evening, early in 1960, because he felt "Apollo riding his chariot across the Sun was appropriate to the grand scale of the proposed program."</t>
  </si>
  <si>
    <t>blooms in the Red Sea</t>
  </si>
  <si>
    <t>drinking water</t>
  </si>
  <si>
    <t>What does Newcastle have a proud history of?</t>
  </si>
  <si>
    <t>Scandinavia and northern Europe</t>
  </si>
  <si>
    <t>Professional and labor organizations</t>
  </si>
  <si>
    <t xml:space="preserve">Why did the university see a drop in applicants? </t>
  </si>
  <si>
    <t>When did the logo bug begin appearing throughout the entire program for ABC shows?</t>
  </si>
  <si>
    <t>reduced moist tropical vegetation cover</t>
  </si>
  <si>
    <t>a mouth that can usually be closed by muscles; a pharynx ("throat"); a wider area in the center that acts as a stomach; and a system of internal canals.</t>
  </si>
  <si>
    <t>to submit to the punishment prescribed by law</t>
  </si>
  <si>
    <t>East and Central Africa's biggest economy has posted tremendous growth in the service sector, boosted by rapid expansion in telecommunication and financial activity over the last decade, and now[when?] contributes 62% of GDP. 22% of GDP still comes from the unreliable agricultural sector which employs 75% of the labour force (a consistent characteristic of under-developed economies that have not attained food security – an important catalyst of economic growth) A small portion of the population relies on food aid.[citation needed] Industry and manufacturing is the smallest sector, accounting for 16% of GDP. The service, industry and manufacturing sectors only employ 25% of the labour force but contribute 75% of GDP.</t>
  </si>
  <si>
    <t>The Lower Rhine flows through North Rhine-Westphalia. Its banks are usually heavily populated and industrialized, in particular the agglomerations Cologne, Düsseldorf and Ruhr area. Here the Rhine flows through the largest conurbation in Germany, the Rhine-Ruhr region. One of the most important cities in this region is Duisburg with the largest river port in Europe (Duisport). The region downstream of Duisburg is more agricultural. In Wesel, 30 km downstream of Duisburg, is located the western end of the second east-west shipping route, the Wesel-Datteln Canal, which runs parallel to the Lippe. Between Emmerich and Cleves the Emmerich Rhine Bridge, the longest suspension bridge in Germany, crosses the 400 m wide river. Near Krefeld, the river crosses the Uerdingen line, the line which separates the areas where Low German and High German are spoken.</t>
  </si>
  <si>
    <t>What did colonial authorities  reduce because of the Ballarat revolt?</t>
  </si>
  <si>
    <t>Which committee has the exclusive power to set pastors' salaries?</t>
  </si>
  <si>
    <t>enthusiasm about the students</t>
  </si>
  <si>
    <t>What did Melanchthon call the marriage?</t>
  </si>
  <si>
    <t>over fifty</t>
  </si>
  <si>
    <t>through homologous recombination</t>
  </si>
  <si>
    <t>Which branch of the EU has had the most influence on the development of EU law?</t>
  </si>
  <si>
    <t>25-minute</t>
  </si>
  <si>
    <t>There have also been many references to Doctor Who in popular culture and other science fiction, including Star Trek: The Next Generation ("The Neutral Zone") and Leverage. In the Channel 4 series Queer as Folk (created by later Doctor Who executive producer Russell T. Davies), the character of Vince was portrayed as an avid Doctor Who fan, with references appearing many times throughout in the form of clips from the programme. In a similar manner, the character of Oliver on Coupling (created and written by current show runner Steven Moffat) is portrayed as a Doctor Who collector and enthusiast. References to Doctor Who have also appeared in the young adult fantasy novels Brisingr and High Wizardry, the video game Rock Band, the soap opera EastEnders, the Adult Swim comedy show Robot Chicken, the Family Guy episodes "Blue Harvest" and "420", and the game RuneScape. It has also be referenced in Destroy All Humans! 2, by civilians in the game's variation of England, and in Apollo Justice: Ace Attorney.</t>
  </si>
  <si>
    <t>How did Luther want people to bring about change?</t>
  </si>
  <si>
    <t>help stabilize the rest of the chloroplast genome</t>
  </si>
  <si>
    <t>What kind of arches does Norman architecture have?</t>
  </si>
  <si>
    <t>largest source of foreign direct investment</t>
  </si>
  <si>
    <t>T(n) = O(n2)</t>
  </si>
  <si>
    <t>What is the largest independent library outside of London?</t>
  </si>
  <si>
    <t>The historian Frederick W. Mote wrote that the usage of the term "social classes" for this system was misleading and that the position of people within the four-class system was not an indication of their actual social power and wealth, but just entailed "degrees of privilege" to which they were entitled institutionally and legally, so a person's standing within the classes was not a guarantee of their standing, since there were rich and well socially standing Chinese while there were less rich Mongol and Semu than there were Mongol and Semu who lived in poverty and were ill treated.</t>
  </si>
  <si>
    <t>to prevent the installation of pagan images in the Temple in Jerusalem</t>
  </si>
  <si>
    <t>biodiversity</t>
  </si>
  <si>
    <t>A molecular phylogeny analysis confirmed that cydippid are not what?</t>
  </si>
  <si>
    <t>0.2 inhabitants</t>
  </si>
  <si>
    <t>What is Christian Perfection?</t>
  </si>
  <si>
    <t>What is the force equivalent of torque compared to angular momentum?</t>
  </si>
  <si>
    <t>February 7</t>
  </si>
  <si>
    <t>high schools lost their accreditation</t>
  </si>
  <si>
    <t>How much do researchers now think sea levels will rise from 1990 to 2100?</t>
  </si>
  <si>
    <t>deforestation and ecocide</t>
  </si>
  <si>
    <t>What is the name of the property that designates a number as being prime or not?</t>
  </si>
  <si>
    <t>What criticism in NY times article that impacts the quality of Education at Harvard?</t>
  </si>
  <si>
    <t>moist tropical vegetation cover</t>
  </si>
  <si>
    <t>$230 million</t>
  </si>
  <si>
    <t>The dominant economic sectors in the Middle Rhine area are viniculture and tourism. The Rhine Gorge between Rüdesheim am Rhein and Koblenz is listed as a UNESCO World Heritage Site. Near Sankt Goarshausen, the Rhine flows around the famous rock Lorelei. With its outstanding architectural monuments, the slopes full of vines, settlements crowded on the narrow river banks and scores of castles lined up along the top of the steep slopes, the Middle Rhine Valley can be considered the epitome of the Rhine romanticism.</t>
  </si>
  <si>
    <t>the south</t>
  </si>
  <si>
    <t>King of Thebes</t>
  </si>
  <si>
    <t>a restaurant situated at a Grade</t>
  </si>
  <si>
    <t>There is evidence that there have been significant changes in Amazon rainforest vegetation over the last 21,000 years through the Last Glacial Maximum (LGM) and subsequent deglaciation. Analyses of sediment deposits from Amazon basin paleolakes and from the Amazon Fan indicate that rainfall in the basin during the LGM was lower than for the present, and this was almost certainly associated with reduced moist tropical vegetation cover in the basin. There is debate, however, over how extensive this reduction was. Some scientists argue that the rainforest was reduced to small, isolated refugia separated by open forest and grassland; other scientists argue that the rainforest remained largely intact but extended less far to the north, south, and east than is seen today. This debate has proved difficult to resolve because the practical limitations of working in the rainforest mean that data sampling is biased away from the center of the Amazon basin, and both explanations are reasonably well supported by the available data.</t>
  </si>
  <si>
    <t>Many major classes of organic molecules in living organisms, such as proteins, nucleic acids, carbohydrates, and fats, contain oxygen, as do the major inorganic compounds that are constituents of animal shells, teeth, and bone. Most of the mass of living organisms is oxygen as it is a part of water, the major constituent of lifeforms. Oxygen is used in cellular respiration and released by photosynthesis, which uses the energy of sunlight to produce oxygen from water. It is too chemically reactive to remain a free element in air without being continuously replenished by the photosynthetic action of living organisms. Another form (allotrope) of oxygen, ozone (O
3), strongly absorbs UVB radiation and consequently the high-altitude ozone layer helps protect the biosphere from ultraviolet radiation, but is a pollutant near the surface where it is a by-product of smog. At even higher low earth orbit altitudes, sufficient atomic oxygen is present to cause erosion for spacecraft.</t>
  </si>
  <si>
    <t>Name the other way that the Plowshares organization temporarily closed?</t>
  </si>
  <si>
    <t>via electron microscopy</t>
  </si>
  <si>
    <t>a covalent double bond</t>
  </si>
  <si>
    <t xml:space="preserve">ableine was retired and the new platform is called </t>
  </si>
  <si>
    <t>the concept Distributed Adaptive Message Block Switching</t>
  </si>
  <si>
    <t>In what area of this British colony were Huguenot land grants?</t>
  </si>
  <si>
    <t>How are incomes distributed in Sweden?</t>
  </si>
  <si>
    <t>What time period did the geoglyphs date back to?</t>
  </si>
  <si>
    <t>student motivation and attitudes towards school</t>
  </si>
  <si>
    <t>UK</t>
  </si>
  <si>
    <t>sovereign branches of government</t>
  </si>
  <si>
    <t>The Maroons compete in what league division?</t>
  </si>
  <si>
    <t>twice a year</t>
  </si>
  <si>
    <t>What vehicle did Doctor Who use for his escape from Gallifrey?</t>
  </si>
  <si>
    <t>Where do juvenile platyctenids live?</t>
  </si>
  <si>
    <t>secular and sacred</t>
  </si>
  <si>
    <t>Cultural imperialism</t>
  </si>
  <si>
    <t xml:space="preserve">On an international level, which industry's competitive positions is affected? </t>
  </si>
  <si>
    <t>diversified</t>
  </si>
  <si>
    <t>Both innate and adaptive immunity depend on the ability of the immune system to distinguish between self and non-self molecules. In immunology, self molecules are those components of an organism's body that can be distinguished from foreign substances by the immune system. Conversely, non-self molecules are those recognized as foreign molecules. One class of non-self molecules are called antigens (short for antibody generators) and are defined as substances that bind to specific immune receptors and elicit an immune response.</t>
  </si>
  <si>
    <t>little foundation in truth</t>
  </si>
  <si>
    <t>The central garden was redesigned by Kim Wilkie and opened as the John Madejski Garden, on 5 July 2005. The design is a subtle blend of the traditional and modern, the layout is formal; there is an elliptical water feature lined in stone with steps around the edge which may be drained to use the area for receptions, gatherings or exhibition purposes. This is in front of the bronze doors leading to the refreshment rooms, a central path flanked by lawns leads to the sculpture gallery; the north, east and west sides have herbaceous borders along the museum walls with paths in front which continues along the south façade; in the two corners by the north façade there is planted an American Sweetgum tree; the southern, eastern and western edges of the lawns have glass planters which contain orange and lemon trees in summer, these are replaced by bay trees in winter.</t>
  </si>
  <si>
    <t>sixth</t>
  </si>
  <si>
    <t>How far from state house in downtown Boston is Harvard Yard?</t>
  </si>
  <si>
    <t>Bureau of Buddhist and Tibetan Affairs</t>
  </si>
  <si>
    <t>in modern times, become utterly debased</t>
  </si>
  <si>
    <t>a line of five stars arranged in the sky</t>
  </si>
  <si>
    <t>X Games</t>
  </si>
  <si>
    <t>meritocratic</t>
  </si>
  <si>
    <t>musique concrète techniques</t>
  </si>
  <si>
    <t>Art Deco style in painting and art</t>
  </si>
  <si>
    <t>a method which pre-allocates dedicated network bandwidth specifically for each communication session</t>
  </si>
  <si>
    <t>How many fraternities form the University of Chicago Interfraternity Council?</t>
  </si>
  <si>
    <t>lunar landings</t>
  </si>
  <si>
    <t>The Free Movement of Workers Regulation articles 1 to 7 set out the main provisions on equal treatment of workers. First, articles 1 to 4 generally require that workers can take up employment, conclude contracts, and not suffer discrimination compared to nationals of the member state. In a famous case, the Belgian Football Association v Bosman, a Belgian footballer named Jean-Marc Bosman claimed that he should be able to transfer from R.F.C. de Liège to USL Dunkerque when his contract finished, regardless of whether Dunkerque could afford to pay Liège the habitual transfer fees. The Court of Justice held "the transfer rules constitute[d] an obstacle to free movement" and were unlawful unless they could be justified in the public interest, but this was unlikely. In Groener v Minister for Education the Court of Justice accepted that a requirement to speak Gaelic to teach in a Dublin design college could be justified as part of the public policy of promoting the Irish language, but only if the measure was not disproportionate. By contrast in Angonese v Cassa di Risparmio di Bolzano SpA a bank in Bolzano, Italy, was not allowed to require Mr Angonese to have a bilingual certificate that could only be obtained in Bolzano. The Court of Justice, giving "horizontal" direct effect to TFEU article 45, reasoned that people from other countries would have little chance of acquiring the certificate, and because it was "impossible to submit proof of the required linguistic knowledge by any other means", the measure was disproportionate. Second, article 7(2) requires equal treatment in respect of tax. In Finanzamt Köln Altstadt v Schumacker the Court of Justice held that it contravened TFEU art 45 to deny tax benefits (e.g. for married couples, and social insurance expense deductions) to a man who worked in Germany, but was resident in Belgium when other German residents got the benefits. By contrast in Weigel v Finanzlandesdirektion für Vorarlberg the Court of Justice rejected Mr Weigel's claim that a re-registration charge upon bringing his car to Austria violated his right to free movement. Although the tax was "likely to have a negative bearing on the decision of migrant workers to exercise their right to freedom of movement", because the charge applied equally to Austrians, in absence of EU legislation on the matter it had to be regarded as justified. Third, people must receive equal treatment regarding "social advantages", although the Court has approved residential qualifying periods. In Hendrix v Employee Insurance Institute the Court of Justice held that a Dutch national was not entitled to continue receiving incapacity benefits when he moved to Belgium, because the benefit was "closely linked to the socio-economic situation" of the Netherlands. Conversely, in Geven v Land Nordrhein-Westfalen the Court of Justice held that a Dutch woman living in the Netherlands, but working between 3 and 14 hours a week in Germany, did not have a right to receive German child benefits, even though the wife of a man who worked full-time in Germany but was resident in Austria could. The general justifications for limiting free movement in TFEU article 45(3) are "public policy, public security or public health", and there is also a general exception in article 45(4) for "employment in the public service".</t>
  </si>
  <si>
    <t>Access can be via a dial-up terminal to a PAD, or, by linking a permanent X.25 node to the network</t>
  </si>
  <si>
    <t>What were Tyneside flats built as?</t>
  </si>
  <si>
    <t>What may members question the First Minister about directly during First Minister's Question Time?</t>
  </si>
  <si>
    <t>What countries are the Doctor Who DVDs available to purchase?</t>
  </si>
  <si>
    <t>What did the Church do when Luther refused to retract his writings?</t>
  </si>
  <si>
    <t>Dutch law said only people established in the Netherlands could give legal advice</t>
  </si>
  <si>
    <t>Common Sense Realism of what Scottish philosophers did Agassiz incorporate in his dual view of knowedge?</t>
  </si>
  <si>
    <t>15 kilometres</t>
  </si>
  <si>
    <t>prevent cut throat competition</t>
  </si>
  <si>
    <t>Fears of being labelled a pedophile or hebephile</t>
  </si>
  <si>
    <t>third most abundant</t>
  </si>
  <si>
    <t>melt (magma and/or lava)</t>
  </si>
  <si>
    <t>at high oxygen concentrations, rubisco starts accidentally adding oxygen to sugar precursors</t>
  </si>
  <si>
    <t>equal in magnitude</t>
  </si>
  <si>
    <t>a difference</t>
  </si>
  <si>
    <t>The Dating Game</t>
  </si>
  <si>
    <t>In his extensively detailed report, Céloron wrote, "All I can say is that the Natives of these localities are very badly disposed towards the French, and are entirely devoted to the English. I don't know in what way they could be brought back." Even before his return to Montreal, reports on the situation in the Ohio Country were making their way to London and Paris, each side proposing that action be taken. William Shirley, the expansionist governor of the Province of Massachusetts Bay, was particularly forceful, stating that British colonists would not be safe as long as the French were present. Conflicts between the colonies, accomplished through raiding parties that included Indian allies, had taken place for decades, leading to a brisk trade in European colonial captives from either side.</t>
  </si>
  <si>
    <t xml:space="preserve">In considering Turing machines and alternate variables, what measurement left unaffected by conversion between machine models? </t>
  </si>
  <si>
    <t>justice and prosperity</t>
  </si>
  <si>
    <t>Decompression sickness</t>
  </si>
  <si>
    <t>There are a set of beautiful inlaid doors, dated 1580 from Antwerp City Hall, attributed to Hans Vredeman de Vries. One of the finest pieces of continental furniture in the collection is the Rococo Augustus Rex Bureau Cabinet dated c1750 from Germany, with especially fine marquetry and ormolu mounts. One of the grandest pieces of 19th-century furniture is the highly elaborate French Cabinet dated 1861–1867 made by M. Fourdinois, made from ebony inlaid with box, lime, holly, pear, walnut and mahogany woods as well as marble with gilded carvings. Furniture designed by Ernest Gimson, Edward William Godwin, Charles Voysey, Adolf Loos and Otto Wagner are among the late 19th-century and early 20th-century examples in the collection. The work of modernists in the collection include Le Corbusier, Marcel Breuer, Charles and Ray Eames, and Giò Ponti.</t>
  </si>
  <si>
    <t>What is decreased by staging expansion across multiple cylinders?</t>
  </si>
  <si>
    <t>While the existence of these central government departments and the Six Ministries (which had been introduced since the Sui and Tang dynasties) gave a Sinicized image in the Yuan administration, the actual functions of these ministries also reflected how Mongolian priorities and policies reshaped and redirected those institutions. For example, the authority of the Yuan legal system, the Ministry of Justice, did not extend to legal cases involving Mongols and Semuren, who had separate courts of justice. Cases involving members of more than one ethnic group were decided by a mixed board consisting of Chinese and Mongols. Another example was the insignificance of the Ministry of War compared with native Chinese dynasties, as the real military authority in Yuan times resided in the Privy Council.</t>
  </si>
  <si>
    <t>disabled the command spacecraft's propulsion and life support</t>
  </si>
  <si>
    <t>What secret did he sever family ties to keep hidden?</t>
  </si>
  <si>
    <t>a maze of semantical problems</t>
  </si>
  <si>
    <t>it reflects "a larger challenge to the legal system that permits those decisions to be taken</t>
  </si>
  <si>
    <t>On the Night of the Fire (1939),</t>
  </si>
  <si>
    <t>Richard Allen and Absalom Jones were licensed by what church?</t>
  </si>
  <si>
    <t>Like much of the south Atlantic region of the United States, Jacksonville has a humid subtropical climate (Köppen Cfa), with mild weather during winters and hot and humid weather during summers. Seasonal rainfall is concentrated in the warmest months from May through September, while the driest months are from November through April. Due to Jacksonville's low latitude and coastal location, the city sees very little cold weather, and winters are typically mild and sunny. Summers can be hot and wet, and summer thunderstorms with torrential but brief downpours are common.</t>
  </si>
  <si>
    <t>Where did the monks flee to?</t>
  </si>
  <si>
    <t>Inflammation is one of the first responses of the immune system to infection. The symptoms of inflammation are redness, swelling, heat, and pain, which are caused by increased blood flow into tissue. Inflammation is produced by eicosanoids and cytokines, which are released by injured or infected cells. Eicosanoids include prostaglandins that produce fever and the dilation of blood vessels associated with inflammation, and leukotrienes that attract certain white blood cells (leukocytes). Common cytokines include interleukins that are responsible for communication between white blood cells; chemokines that promote chemotaxis; and interferons that have anti-viral effects, such as shutting down protein synthesis in the host cell. Growth factors and cytotoxic factors may also be released. These cytokines and other chemicals recruit immune cells to the site of infection and promote healing of any damaged tissue following the removal of pathogens.</t>
  </si>
  <si>
    <t>In what language were the classes given?</t>
  </si>
  <si>
    <t>the Blum complexity axioms</t>
  </si>
  <si>
    <t>Difficulty in establishing a framework for complexity classes can be caused by what variable?</t>
  </si>
  <si>
    <t>The weak force is due to the exchange of the heavy W and Z bosons. Its most familiar effect is beta decay (of neutrons in atomic nuclei) and the associated radioactivity. The word "weak" derives from the fact that the field strength is some 1013 times less than that of the strong force. Still, it is stronger than gravity over short distances. A consistent electroweak theory has also been developed, which shows that electromagnetic forces and the weak force are indistinguishable at a temperatures in excess of approximately 1015 kelvins. Such temperatures have been probed in modern particle accelerators and show the conditions of the universe in the early moments of the Big Bang.</t>
  </si>
  <si>
    <t>Why was NBC unable to broadcast the coronation of Queen Elizabeth II?</t>
  </si>
  <si>
    <t xml:space="preserve">What does the Premier of Victoria need to lead in the Legislative Assembly? </t>
  </si>
  <si>
    <t>social unrest</t>
  </si>
  <si>
    <t>the Miller–Rabin primality test</t>
  </si>
  <si>
    <t xml:space="preserve">What was the final score of Super Bowl 50? </t>
  </si>
  <si>
    <t>What brought Warsaw's stock exchange to a stop?</t>
  </si>
  <si>
    <t>traditional salute of a knight winning a bout</t>
  </si>
  <si>
    <t>"Hugues hypothesis"</t>
  </si>
  <si>
    <t>patent archives</t>
  </si>
  <si>
    <t>Other than the US and Britain what was the other main country that Tesla had patents granted?</t>
  </si>
  <si>
    <t>process of colonizing, influencing, and annexing other parts of the world</t>
  </si>
  <si>
    <t>Christian</t>
  </si>
  <si>
    <t>the European Court of Justice</t>
  </si>
  <si>
    <t>What is the upper range of annual fees for non-boarding students in British public schools?</t>
  </si>
  <si>
    <t>Sunni pan-Islamism</t>
  </si>
  <si>
    <t xml:space="preserve">Stephen Eilmann demonstrates covert law breaking in Nazi Germany.   Citizen's illegally had been doing what? </t>
  </si>
  <si>
    <t>When was St. John's Cathedral constructed?</t>
  </si>
  <si>
    <t>Reyners v Belgium the Court of Justice</t>
  </si>
  <si>
    <t>free India</t>
  </si>
  <si>
    <t>What do etioplasts have instead of chlorophyll?</t>
  </si>
  <si>
    <t>hot and dry</t>
  </si>
  <si>
    <t>How many people are likely to visit Justin Herman Plaza during the week of the Super Bowl?</t>
  </si>
  <si>
    <t>Who might be charged with accrediting teacher education programs?</t>
  </si>
  <si>
    <t>since the 1950s</t>
  </si>
  <si>
    <t>Victoria_and_Albert_Museum</t>
  </si>
  <si>
    <t>to help strengthen their territorial claims</t>
  </si>
  <si>
    <t>What was a similar view about the Asian continent called?</t>
  </si>
  <si>
    <t>being methodical and exceptionally detailed in their Bible study</t>
  </si>
  <si>
    <t>According to Tesla what had been gone over by the thieves, or spies who entered his room?</t>
  </si>
  <si>
    <t>other senior pharmacy technicians</t>
  </si>
  <si>
    <t>What did all three cathedrals in Newcastle begin their existence as?</t>
  </si>
  <si>
    <t>What is the fastest growing area in the pharmaceutical industry?</t>
  </si>
  <si>
    <t>Church of Santa Maria Novella in Florence, Italy</t>
  </si>
  <si>
    <t>Rumford medal</t>
  </si>
  <si>
    <t>What did the meeting often become in argument?</t>
  </si>
  <si>
    <t>How many hymns did Luther write based on the Ten Commandments?</t>
  </si>
  <si>
    <t>less than quadratic time</t>
  </si>
  <si>
    <t>the proprietors of illegal medical cannabis dispensaries</t>
  </si>
  <si>
    <t>a net</t>
  </si>
  <si>
    <t>after the Franco-German War</t>
  </si>
  <si>
    <t>precise operational definitions</t>
  </si>
  <si>
    <t>licensed local pastor</t>
  </si>
  <si>
    <t>itinerant farmers</t>
  </si>
  <si>
    <t>4:51</t>
  </si>
  <si>
    <t>Life</t>
  </si>
  <si>
    <t>starch-storing amyloplasts</t>
  </si>
  <si>
    <t>What ended up being used for the streetcars in the place of Tesla's system?</t>
  </si>
  <si>
    <t>Colonialism as a policy is caused by financial and what other reasons?</t>
  </si>
  <si>
    <t>What strategy did Jebe's army use against Kuchlug and his supporters?</t>
  </si>
  <si>
    <t>Channel Islands</t>
  </si>
  <si>
    <t>policies such as the Monroe Doctrine</t>
  </si>
  <si>
    <t>a piston</t>
  </si>
  <si>
    <t>heavily impacted</t>
  </si>
  <si>
    <t>cut throat competition</t>
  </si>
  <si>
    <t>What is considered as a potential advantage for wealth for some Americans?</t>
  </si>
  <si>
    <t>What is another name to describe the science of teaching?</t>
  </si>
  <si>
    <t>major economic center</t>
  </si>
  <si>
    <t>What modern math concept did Zhu Shijie do work similar to?</t>
  </si>
  <si>
    <t>Upon hearing the final product, what was the creator quoted as saying?</t>
  </si>
  <si>
    <t>installed electrical arc light based illumination systems designed by Tesla</t>
  </si>
  <si>
    <t>What type of system did Tesla suggest to Adams?</t>
  </si>
  <si>
    <t>lifeboat</t>
  </si>
  <si>
    <t>In what country was the Doctor Who film not successful enough to spawn a series?</t>
  </si>
  <si>
    <t>When was Doctor Who created?</t>
  </si>
  <si>
    <t>20 million years ago</t>
  </si>
  <si>
    <t>What CBS show followed the Super Bowl?</t>
  </si>
  <si>
    <t>closure temperature</t>
  </si>
  <si>
    <t>few British troops</t>
  </si>
  <si>
    <t>Immunology is a science that examines the structure and function of the immune system. It originates from medicine and early studies on the causes of immunity to disease. The earliest known reference to immunity was during the plague of Athens in 430 BC. Thucydides noted that people who had recovered from a previous bout of the disease could nurse the sick without contracting the illness a second time. In the 18th century, Pierre-Louis Moreau de Maupertuis made experiments with scorpion venom and observed that certain dogs and mice were immune to this venom. This and other observations of acquired immunity were later exploited by Louis Pasteur in his development of vaccination and his proposed germ theory of disease. Pasteur's theory was in direct opposition to contemporary theories of disease, such as the miasma theory. It was not until Robert Koch's 1891 proofs, for which he was awarded a Nobel Prize in 1905, that microorganisms were confirmed as the cause of infectious disease. Viruses were confirmed as human pathogens in 1901, with the discovery of the yellow fever virus by Walter Reed.</t>
  </si>
  <si>
    <t>What is the expression used to denote a worst case complexity as expressed by time taken?</t>
  </si>
  <si>
    <t>Who did a pressurized oxygen cabin fire kill?</t>
  </si>
  <si>
    <t>the Treaty of Rome 1957 and the Maastricht Treaty 1992</t>
  </si>
  <si>
    <t>HD channels and Video On Demand</t>
  </si>
  <si>
    <t>In between the French and the British, large areas were dominated by native tribes. To the north, the Mi'kmaq and the Abenaki were engaged in Father Le Loutre's War and still held sway in parts of Nova Scotia, Acadia, and the eastern portions of the province of Canada, as well as much of present-day Maine. The Iroquois Confederation dominated much of present-day Upstate New York and the Ohio Country, although the latter also included Algonquian-speaking populations of Delaware and Shawnee, as well as Iroquoian-speaking Mingo. These tribes were formally under Iroquois rule, and were limited by them in authority to make agreements.</t>
  </si>
  <si>
    <t>What does the Islamic State lack from the international community?</t>
  </si>
  <si>
    <t>Who has limited productive potential when faced with less access to education?</t>
  </si>
  <si>
    <t>location</t>
  </si>
  <si>
    <t>three days.</t>
  </si>
  <si>
    <t>Roentgen rays</t>
  </si>
  <si>
    <t>War of Currents</t>
  </si>
  <si>
    <t>As the moon has no atmosphere, what is prevalant in many moon rock samples brought back from Apollo missions?</t>
  </si>
  <si>
    <t>whether he stood by their contents</t>
  </si>
  <si>
    <t>What makes plants green?</t>
  </si>
  <si>
    <t>contemporary accounts were exaggerations</t>
  </si>
  <si>
    <t>What is the exchange of heat associated with?</t>
  </si>
  <si>
    <t>1,000 m3/s (35,000 cu ft/s)</t>
  </si>
  <si>
    <t>Which company did Tesla work for in 1881?</t>
  </si>
  <si>
    <t>What is the name of the basin that was created from a enclosed lake?</t>
  </si>
  <si>
    <t>Stairs</t>
  </si>
  <si>
    <t>black caiman</t>
  </si>
  <si>
    <t xml:space="preserve">What would create a conflict between a problem X and problem C within the context of reduction? </t>
  </si>
  <si>
    <t>late 1870s</t>
  </si>
  <si>
    <t>Harvard was formed in 1636 by vote of the Great and General Court of the Massachusetts Bay Colony. It was initially called "New College" or "the college at New Towne". In 1638, the college became home for North America's first known printing press, carried by the ship John of London. In 1639, the college was renamed Harvard College after deceased clergyman John Harvard, who was an alumnus of the University of Cambridge. He had left the school £779 and his library of some 400 books. The charter creating the Harvard Corporation was granted in 1650.</t>
  </si>
  <si>
    <t>Telenet was the first FCC-licensed public data network in the United States. It was founded by former ARPA IPTO director Larry Roberts as a means of making ARPANET technology public. He had tried to interest AT&amp;T in buying the technology, but the monopoly's reaction was that this was incompatible with their future. Bolt, Beranack and Newman (BBN) provided the financing. It initially used ARPANET technology but changed the host interface to X.25 and the terminal interface to X.29. Telenet designed these protocols and helped standardize them in the CCITT. Telenet was incorporated in 1973 and started operations in 1975. It went public in 1979 and was then sold to GTE.</t>
  </si>
  <si>
    <t>Reconstruction and the Gilded Age</t>
  </si>
  <si>
    <t>In 2010 a salary survey revealed the differences in remuneration between different roles, sectors and locations in the construction and built environment industry. The results showed that areas of particularly strong growth in the construction industry, such as the Middle East, yield higher average salaries than in the UK for example. The average earning for a professional in the construction industry in the Middle East, across all sectors, job types and levels of experience, is £42,090, compared to £26,719 in the UK. This trend is not necessarily due to the fact that more affluent roles are available, however, as architects with 14 or more years experience working in the Middle East earn on average £43,389 per annum, compared to £40,000 in the UK. Some construction workers in the US/Canada have made more than $100,000 annually, depending on their trade.</t>
  </si>
  <si>
    <t>Who was appointed as the replacement for Duke Yansheng Kong Duanyou?</t>
  </si>
  <si>
    <t>What does a receiver have to be equipped with to view encrypted content?</t>
  </si>
  <si>
    <t>How many people live in the greater metropolitan area?</t>
  </si>
  <si>
    <t>The immune system protects organisms against what?</t>
  </si>
  <si>
    <t>the ultimate authority of member states, its factual commitment to human rights, and the democratic will of the people</t>
  </si>
  <si>
    <t>What type of destination is the area around Grey's Monument?</t>
  </si>
  <si>
    <t>The United Methodist Church understands itself to be part of the holy catholic (or universal) church and it recognizes the historic ecumenical creeds, the Apostle's Creed and the Nicene Creed; which are used frequently in services of worship. The Book of Discipline also recognizes the importance of the Chalcedonian Creed of the Council of Chalcedon. It upholds the concept of the "visible and invisible Church," meaning that all who are truly believers in every age belong to the holy Church invisible, while the United Methodist Church is a branch of the Church visible, to which all believers must be connected as it is the only institution wherein the Word of God is preached and the Sacraments are administered.</t>
  </si>
  <si>
    <t>The serial format changed for the 2005 revival, with each series usually consisting of 13 45-minute, self-contained episodes (60 minutes with adverts, on overseas commercial channels), and an extended episode broadcast on Christmas Day. Each series includes several standalone and multi-part stories, linked with a loose story arc that resolves in the series finale. As in the early "classic" era, each episode, whether standalone or part of a larger story, has its own title. Occasionally, regular-series episodes will exceed the 45-minute run time; notably, the episodes "Journey's End" from 2008 and "The Eleventh Hour" from 2010 exceeded an hour in length.</t>
  </si>
  <si>
    <t>What did Luther think the study of law meant?</t>
  </si>
  <si>
    <t>top row of windows</t>
  </si>
  <si>
    <t>What division offers more then one branch of studies that don't fit in with the other four?</t>
  </si>
  <si>
    <t>Which Doctor Who show was the largest simulcast of a TV drama?</t>
  </si>
  <si>
    <t>After the German Invasion of Poland on 1 September 1939 began the Second World War, Warsaw was defended till September 27. Central Poland, including Warsaw, came under the rule of the General Government, a German Nazi colonial administration. All higher education institutions were immediately closed and Warsaw's entire Jewish population – several hundred thousand, some 30% of the city – herded into the Warsaw Ghetto. The city would become the centre of urban resistance to Nazi rule in occupied Europe. When the order came to annihilate the ghetto as part of Hitler's "Final Solution" on 19 April 1943, Jewish fighters launched the Warsaw Ghetto Uprising. Despite being heavily outgunned and outnumbered, the Ghetto held out for almost a month. When the fighting ended, almost all survivors were massacred, with only a few managing to escape or hide.</t>
  </si>
  <si>
    <t>sea level</t>
  </si>
  <si>
    <t>What was incorporated to help slow the CM's decent back to Earth?</t>
  </si>
  <si>
    <t>What was the final score of the game between the Panthers and the Seahawks?</t>
  </si>
  <si>
    <t>every two years</t>
  </si>
  <si>
    <t>North Sea</t>
  </si>
  <si>
    <t>What are the two major thoroughfares of Sunnyside?</t>
  </si>
  <si>
    <t>Specialty pharmacies supply high cost injectable, oral, infused, or inhaled medications that are used for chronic and complex disease states such as cancer, hepatitis, and rheumatoid arthritis. Unlike a traditional community pharmacy where prescriptions for any common medication can be brought in and filled, specialty pharmacies carry novel medications that need to be properly stored, administered, carefully monitored, and clinically managed. In addition to supplying these drugs, specialty pharmacies also provide lab monitoring, adherence counseling, and assist patients with cost-containment strategies needed to obtain their expensive specialty drugs. It is currently the fastest growing sector of the pharmaceutical industry with 19 of 28 newly FDA approved medications in 2013 being specialty drugs.</t>
  </si>
  <si>
    <t>personal presence and living word</t>
  </si>
  <si>
    <t>steal</t>
  </si>
  <si>
    <t>Which two compounds did Al-Muwaffaq differentiate between?</t>
  </si>
  <si>
    <t>Which authority figure is designated to schedule and set the work of the EU?</t>
  </si>
  <si>
    <t>Most species are hermaphrodites—a single animal can produce both eggs and sperm, meaning it can fertilize its own egg, not needing a mate. Some are simultaneous hermaphrodites, which can produce both eggs and sperm at the same time. Others are sequential hermaphrodites, in which the eggs and sperm mature at different times. Fertilization is generally external, although platyctenids' eggs are fertilized inside their parents' bodies and kept there until they hatch. The young are generally planktonic and in most species look like miniature cydippids, gradually changing into their adult shapes as they grow. The exceptions are the beroids, whose young are miniature beroids with large mouths and no tentacles, and the platyctenids, whose young live as cydippid-like plankton until they reach near-adult size, but then sink to the bottom and rapidly metamorphose into the adult form. In at least some species, juveniles are capable of reproduction before reaching the adult size and shape. The combination of hermaphroditism and early reproduction enables small populations to grow at an explosive rate.</t>
  </si>
  <si>
    <t>main contractor</t>
  </si>
  <si>
    <t>first set of endosymbiotic events</t>
  </si>
  <si>
    <t>What reason is given that you should also protest public companies?</t>
  </si>
  <si>
    <t>Where is the chloroplast peripheral reticulum usually found?</t>
  </si>
  <si>
    <t>October 1948</t>
  </si>
  <si>
    <t>sell prescription drugs</t>
  </si>
  <si>
    <t>What archdiocese is Warsaw the seat of?</t>
  </si>
  <si>
    <t>What are the exchanged particles predicted by the standard Model?</t>
  </si>
  <si>
    <t>fewer than 10 employees</t>
  </si>
  <si>
    <t>compressing and cooling</t>
  </si>
  <si>
    <t>middle-distance and long-distance athletics</t>
  </si>
  <si>
    <t>mother tongues</t>
  </si>
  <si>
    <t>published first</t>
  </si>
  <si>
    <t>fear of their lives</t>
  </si>
  <si>
    <t>Kibaki closed the gap and then overtook his opponent by a substantial margin after votes from his stronghold arrived later</t>
  </si>
  <si>
    <t>temperance movement</t>
  </si>
  <si>
    <t>Harris School of Public Policy Studies</t>
  </si>
  <si>
    <t>private conferences</t>
  </si>
  <si>
    <t>relaunch the show</t>
  </si>
  <si>
    <t>independent components</t>
  </si>
  <si>
    <t>What is used to calculate cross section area in the volume of an object?</t>
  </si>
  <si>
    <t>forceful taking of property</t>
  </si>
  <si>
    <t>service firms</t>
  </si>
  <si>
    <t>What is rugby rapidly becoming with high schools?</t>
  </si>
  <si>
    <t>a reconciliation of medication and patient education resulting in increased patient health outcomes and decreased costs to the health care system</t>
  </si>
  <si>
    <t>orange and lemon trees</t>
  </si>
  <si>
    <t>Peroxides, nitrates and dichromates are examples of what type of compounds?</t>
  </si>
  <si>
    <t>make it very difficult for predators to evolve that could specialize as predators</t>
  </si>
  <si>
    <t>over 19,000</t>
  </si>
  <si>
    <t>What helped the Lama determine to be reborn?</t>
  </si>
  <si>
    <t>How did Luther smuggle 12 nuns out of a convent during the rebellion?</t>
  </si>
  <si>
    <t>Tesla could be harsh at times and openly expressed disgust for overweight people, such as when he fired a secretary because of her weight.:110 He was quick to criticize clothing; on several occasions, Tesla directed a subordinate to go home and change her dress.:33</t>
  </si>
  <si>
    <t>Southern Chinese</t>
  </si>
  <si>
    <t>What are the points of algebro-geometric objects?</t>
  </si>
  <si>
    <t>It is usually recognized that lawbreaking, if it is not done publicly, at least must be publicly announced in order to constitute civil disobedience. But Stephen Eilmann argues that if it is necessary to disobey rules that conflict with morality, we might ask why disobedience should take the form of public civil disobedience rather than simply covert lawbreaking. If a lawyer wishes to help a client overcome legal obstacles to securing her or his natural rights, he might, for instance, find that assisting in fabricating evidence or committing perjury is more effective than open disobedience. This assumes that common morality does not have a prohibition on deceit in such situations. The Fully Informed Jury Association's publication "A Primer for Prospective Jurors" notes, "Think of the dilemma faced by German citizens when Hitler's secret police demanded to know if they were hiding a Jew in their house." By this definition, civil disobedience could be traced back to the Book of Exodus, where Shiphrah and Puah refused a direct order of Pharaoh but misrepresented how they did it. (Exodus 1: 15-19)</t>
  </si>
  <si>
    <t>At the start of the war, no French regular army troops were stationed in North America, and few British troops. New France was defended by about 3,000 troupes de la marine, companies of colonial regulars (some of whom had significant woodland combat experience). The colonial government recruited militia support when needed. Most British colonies mustered local militia companies, generally ill trained and available only for short periods, to deal with native threats, but did not have any standing forces.</t>
  </si>
  <si>
    <t>What social construct did Huguenot refugees in Canterbury practice?</t>
  </si>
  <si>
    <t>What television specials did ABC acquire the rights to in 2000?</t>
  </si>
  <si>
    <t>The beginnings of digital television allowed what affiliate in Wheeling, West Virginia to begin airing ABC programs digitally?</t>
  </si>
  <si>
    <t>within the Church of England</t>
  </si>
  <si>
    <t>The National Science Foundation Network</t>
  </si>
  <si>
    <t>uniting warring tribes</t>
  </si>
  <si>
    <t>supporting function</t>
  </si>
  <si>
    <t>When was Time Warner cable forced to restore ABC stations to affected markets?</t>
  </si>
  <si>
    <t>entirely devoted to the obdurate Jews, whom it was a matter of great urgency to expel from all German territory,</t>
  </si>
  <si>
    <t>In what does the doctrine of legitimate expectations have roots?</t>
  </si>
  <si>
    <t>In Europe, the North American theater of the Seven Years' War usually is not given a separate name. The entire international conflict is known as the Seven Years' War. "Seven Years" refers to events in Europe, from the official declaration of war in 1756 to the signing of the peace treaty in 1763. These dates do not correspond with the fighting on mainland North America, where the fighting between the two colonial powers was largely concluded in six years, from the Battle of Jumonville Glen in 1754 to the capture of Montreal in 1760.</t>
  </si>
  <si>
    <t>doctrinal unity</t>
  </si>
  <si>
    <t>Synthetic aperture</t>
  </si>
  <si>
    <t>Europeans who were based in Britain</t>
  </si>
  <si>
    <t>organic solvents</t>
  </si>
  <si>
    <t>What is the smalled work force sector?</t>
  </si>
  <si>
    <t>advanced research and education networking in the United States</t>
  </si>
  <si>
    <t>The lithosphere moves over which mantle n the theory of plate tectonics?</t>
  </si>
  <si>
    <t>Fresno (/ˈfrɛznoʊ/ FREZ-noh), the county seat of Fresno County, is a city in the U.S. state of California. As of 2015, the city's population was 520,159, making it the fifth-largest city in California, the largest inland city in California and the 34th-largest in the nation. Fresno is in the center of the San Joaquin Valley and is the largest city in the Central Valley, which contains the San Joaquin Valley. It is approximately 220 miles (350 km) northwest of Los Angeles, 170 miles (270 km) south of the state capital, Sacramento, or 185 miles (300 km) south of San Francisco. The name Fresno means "ash tree" in Spanish, and an ash leaf is featured on the city's flag.</t>
  </si>
  <si>
    <t>Khitan rulers</t>
  </si>
  <si>
    <t>writing of an English translation</t>
  </si>
  <si>
    <t>Central</t>
  </si>
  <si>
    <t>helping Adolf Hitler's rise to power</t>
  </si>
  <si>
    <t>relationship contracting</t>
  </si>
  <si>
    <t>From December 1539, Luther became implicated in the bigamy of Philip I, Landgrave of Hesse, who wanted to marry one of his wife's ladies-in-waiting. Philip solicited the approval of Luther, Melanchthon, and Bucer, citing as a precedent the polygamy of the patriarchs. The theologians were not prepared to make a general ruling, and they reluctantly advised the landgrave that if he was determined, he should marry secretly and keep quiet about the matter. As a result, on 4 March 1540, Philip married a second wife, Margarethe von der Saale, with Melanchthon and Bucer among the witnesses. However, Philip was unable to keep the marriage secret, and he threatened to make Luther's advice public. Luther told him to "tell a good, strong lie" and deny the marriage completely, which Philip did during the subsequent public controversy. In the view of Luther's biographer Martin Brecht, "giving confessional advice for Philip of Hesse was one of the worst mistakes Luther made, and, next to the landgrave himself, who was directly responsible for it, history chiefly holds Luther accountable". Brecht argues that Luther's mistake was not that he gave private pastoral advice, but that he miscalculated the political implications. The affair caused lasting damage to Luther's reputation.</t>
  </si>
  <si>
    <t>alga</t>
  </si>
  <si>
    <t>By what means is imperialism usually administered?</t>
  </si>
  <si>
    <t>What was done to the Trajan's Column replica to fit it under the ceiling?</t>
  </si>
  <si>
    <t>transient</t>
  </si>
  <si>
    <t>improved markedly</t>
  </si>
  <si>
    <t>the rainforest was reduced to small, isolated refugia separated by open forest and grassland</t>
  </si>
  <si>
    <t>In the Philippines, the private sector has been a major provider of educational services, accounting for about 7.5% of primary enrollment, 32% of secondary enrollment and about 80% of tertiary enrollment. Private schools have proven to be efficient in resource utilization. Per unit costs in private schools are generally lower when compared to public schools. This situation is more evident at the tertiary level. Government regulations have given private education more flexibility and autonomy in recent years, notably by lifting the moratorium on applications for new courses, new schools and conversions, by liberalizing tuition fee policy for private schools, by replacing values education for third and fourth years with English, mathematics and natural science at the option of the school, and by issuing the revised Manual of Regulations for Private Schools in August 1992.</t>
  </si>
  <si>
    <t>net force</t>
  </si>
  <si>
    <t>$170 billion</t>
  </si>
  <si>
    <t>the private sector, businesses and sponsors</t>
  </si>
  <si>
    <t>In modern times, firms may offer themselves as what for a construction project?</t>
  </si>
  <si>
    <t>American Football Conference</t>
  </si>
  <si>
    <t>particular events in his life</t>
  </si>
  <si>
    <t>What does the currently flooded terrace still have visible?</t>
  </si>
  <si>
    <t>connected via dial-up connections or dedicated async connections</t>
  </si>
  <si>
    <t>live theater</t>
  </si>
  <si>
    <t>The Knowledge School</t>
  </si>
  <si>
    <t>In the early years the College trained many Puritan ministers.[citation needed] (A 1643 publication said the school's purpose was "to advance learning and perpetuate it to posterity, dreading to leave an illiterate ministry to the churches when our present ministers shall lie in the dust".) It offered a classic curriculum on the English university model—​​many leaders in the colony had attended the University of Cambridge—​​but conformed Puritanism. It was never affiliated with any particular denomination, but many of its earliest graduates went on to become clergymen in Congregational and Unitarian churches.</t>
  </si>
  <si>
    <t>William of Montreuil</t>
  </si>
  <si>
    <t>climate</t>
  </si>
  <si>
    <t>the Pakistan movement</t>
  </si>
  <si>
    <t>stronger</t>
  </si>
  <si>
    <t>early 11th century</t>
  </si>
  <si>
    <t>On which corner is the shopping center located?</t>
  </si>
  <si>
    <t>What party is President Kibaki part of?</t>
  </si>
  <si>
    <t>modern canalized</t>
  </si>
  <si>
    <t>Chinghiz, Chinghis, and Chingiz</t>
  </si>
  <si>
    <t>population-wide satisfaction and happiness</t>
  </si>
  <si>
    <t>his means of seizing power</t>
  </si>
  <si>
    <t>least prejudiced toward Jews</t>
  </si>
  <si>
    <t>In 1881, Tesla moved to Budapest to work under Ferenc Puskás at a telegraph company, the Budapest Telephone Exchange. Upon arrival, Tesla realized that the company, then under construction, was not functional, so he worked as a draftsman in the Central Telegraph Office instead. Within a few months, the Budapest Telephone Exchange became functional and Tesla was allocated the chief electrician position. During his employment, Tesla made many improvements to the Central Station equipment and claimed to have perfected a telephone repeater or amplifier, which was never patented nor publicly described.</t>
  </si>
  <si>
    <t>From Italy, the disease spread northwest across Europe, striking France, Spain, Portugal and England by June 1348, then turned and spread east through Germany and Scandinavia from 1348 to 1350. It was introduced in Norway in 1349 when a ship landed at Askøy, then spread to Bjørgvin (modern Bergen) and Iceland. Finally it spread to northwestern Russia in 1351. The plague was somewhat less common in parts of Europe that had smaller trade relations with their neighbours, including the Kingdom of Poland, the majority of the Basque Country, isolated parts of Belgium and the Netherlands, and isolated alpine villages throughout the continent.</t>
  </si>
  <si>
    <t>It expanded</t>
  </si>
  <si>
    <t>On 7 January 1900, Tesla left Colorado Springs.[citation needed] His lab was torn down in 1904, and its contents were sold two years later to satisfy a debt.</t>
  </si>
  <si>
    <t>majority of the seats</t>
  </si>
  <si>
    <t>When were attacks on teachers the highest?</t>
  </si>
  <si>
    <t>Vince Lombardi Trophy</t>
  </si>
  <si>
    <t>the European Court of Justice and the highest national courts</t>
  </si>
  <si>
    <t>Along with fuel sources, what concern has contributed to the development of the Advanced Steam movement?</t>
  </si>
  <si>
    <t>Biblical grounds</t>
  </si>
  <si>
    <t>When are subject committees established?</t>
  </si>
  <si>
    <t>Where can chloroplasts sometimes be found?</t>
  </si>
  <si>
    <t>hide the fact that he dropped out of school</t>
  </si>
  <si>
    <t>What are colonial powers blamed for?</t>
  </si>
  <si>
    <t>SFX magazine</t>
  </si>
  <si>
    <t>What did Herr Gott, dich loben wir become known as ?</t>
  </si>
  <si>
    <t>How many times more did the other nations have to pay for oil after the surprise attack?</t>
  </si>
  <si>
    <t>they contain striated muscle</t>
  </si>
  <si>
    <t>Since ~3000 yr BP (= years Before Present), human impact is seen in the delta. As a result of increasing land clearance (Bronze Age agriculture), in the upland areas (central Germany), the sediment load of the Rhine has strongly increased and delta growth has sped up. This caused increased flooding and sedimentation, ending peat formation in the delta. The shifting of river channels to new locations, on the floodplain (termed avulsion), was the main process distributing sediment across the subrecent delta. Over the past 6000 years, approximately 80 avulsions have occurred. Direct human impact in the delta started with peat mining, for salt and fuel, from Roman times onward. This was followed by embankment, of the major distributaries and damming of minor distributaries, which took place in the 11–13th century AD. Thereafter, canals were dug, bends were short cut and groynes were built, to prevent the river's channels from migrating or silting up.</t>
  </si>
  <si>
    <t>photooxidative damage</t>
  </si>
  <si>
    <t>When were images being used to promote the spread of Lutheranism?</t>
  </si>
  <si>
    <t>What about Luther declined as his antisemitism increased?</t>
  </si>
  <si>
    <t>Capital Cities Communications</t>
  </si>
  <si>
    <t>the first two series</t>
  </si>
  <si>
    <t>What did Luther begin to experience in 1536?</t>
  </si>
  <si>
    <t>not specifically reserved</t>
  </si>
  <si>
    <t>Some have generalized the meaning of the word imperialism down to general-purpose what?</t>
  </si>
  <si>
    <t>anticlines and synclines</t>
  </si>
  <si>
    <t>lacked tentacles</t>
  </si>
  <si>
    <t>church bishops)</t>
  </si>
  <si>
    <t>What type of income is the vast majority of the population dependent on?</t>
  </si>
  <si>
    <t xml:space="preserve">Why is the node requiered to look up </t>
  </si>
  <si>
    <t>to render certain laws ineffective,</t>
  </si>
  <si>
    <t>What does the time element in construction mean?</t>
  </si>
  <si>
    <t>How many firms were existing in 2005?</t>
  </si>
  <si>
    <t>What does the transport and storage demand for safety in dealing with oxygen?</t>
  </si>
  <si>
    <t>Lower Lorraine</t>
  </si>
  <si>
    <t>sometimes called blue-green algae</t>
  </si>
  <si>
    <t>Wilson's geographer.</t>
  </si>
  <si>
    <t xml:space="preserve">What happens to the GDP growth of a country if the income share of the top 20 percent increases, according to IMF staff economists? </t>
  </si>
  <si>
    <t>What is the population of the Inner Mongolia region of China?</t>
  </si>
  <si>
    <t>their greatest common divisor is one</t>
  </si>
  <si>
    <t>The steam engine contributed much to the development of thermodynamic theory; however, the only applications of scientific theory that influenced the steam engine were the original concepts of harnessing the power of steam and atmospheric pressure and knowledge of properties of heat and steam. The experimental measurements made by Watt on a model steam engine led to the development of the separate condenser. Watt independently discovered latent heat, which was confirmed by the original discoverer Joseph Black, who also advised Watt on experimental procedures. Watt was also aware of the change in the boiling point of water with pressure. Otherwise, the improvements to the engine itself were more mechanical in nature. The thermodynamic concepts of the Rankine cycle did give engineers the understanding needed to calculate efficiency which aided the development of modern high-pressure and -temperature boilers and the steam turbine.</t>
  </si>
  <si>
    <t>some 1.7 million victims</t>
  </si>
  <si>
    <t>specialised education and training</t>
  </si>
  <si>
    <t>passive immunity</t>
  </si>
  <si>
    <t>home viewers who made tape recordings of the show</t>
  </si>
  <si>
    <t>between 2005 and 2010</t>
  </si>
  <si>
    <t>first but, first and, first if, but first period</t>
  </si>
  <si>
    <t>Where did Jebe's forces first defeat Kuchlug?</t>
  </si>
  <si>
    <t>What is the second level of territorial division in Poland?</t>
  </si>
  <si>
    <t>computational power</t>
  </si>
  <si>
    <t>Who won the battle of Lake George?</t>
  </si>
  <si>
    <t>the Silk Road</t>
  </si>
  <si>
    <t>the Metropolitan Police Authority</t>
  </si>
  <si>
    <t>pathogens</t>
  </si>
  <si>
    <t>Other than the steamboat, what modern form of travel brought visitors to Florida?</t>
  </si>
  <si>
    <t>all photosynthetic function</t>
  </si>
  <si>
    <t>Versions of the "Doctor Who Theme" have also been released as pop music over the years. In the early 1970s, Jon Pertwee, who had played the Third Doctor, recorded a version of the Doctor Who theme with spoken lyrics, titled, "Who Is the Doctor".[note 6] In 1978 a disco version of the theme was released in the UK, Denmark and Australia by the group Mankind, which reached number 24 in the UK charts. In 1988 the band The Justified Ancients of Mu Mu (later known as The KLF) released the single "Doctorin' the Tardis" under the name The Timelords, which reached No. 1 in the UK and No. 2 in Australia; this version incorporated several other songs, including "Rock and Roll Part 2" by Gary Glitter (who recorded vocals for some of the CD-single remix versions of "Doctorin' the Tardis"). Others who have covered or reinterpreted the theme include Orbital, Pink Floyd, the Australian string ensemble Fourplay, New Zealand punk band Blam Blam Blam, The Pogues, Thin Lizzy, Dub Syndicate, and the comedians Bill Bailey and Mitch Benn. Both the theme and obsessive fans were satirised on The Chaser's War on Everything. The theme tune has also appeared on many compilation CDs, and has made its way into mobile-phone ringtones. Fans have also produced and distributed their own remixes of the theme. In January 2011 the Mankind version was released as a digital download on the album Gallifrey And Beyond.</t>
  </si>
  <si>
    <t>How many species of insects are known in the region?</t>
  </si>
  <si>
    <t>replication forks form</t>
  </si>
  <si>
    <t>a small number of MSPs</t>
  </si>
  <si>
    <t>August 2010</t>
  </si>
  <si>
    <t>the inner chloroplast membrane</t>
  </si>
  <si>
    <t>by everyone</t>
  </si>
  <si>
    <t>competition between employers for employees</t>
  </si>
  <si>
    <t>two catechisms.</t>
  </si>
  <si>
    <t>Pauli exclusion principle</t>
  </si>
  <si>
    <t>$20.4 billion</t>
  </si>
  <si>
    <t>Where were the Devonshire Hunting Tapestries made?</t>
  </si>
  <si>
    <t>Why did Vision 2030 add the NCCAP?</t>
  </si>
  <si>
    <t>highly diversified</t>
  </si>
  <si>
    <t>grant a consent search</t>
  </si>
  <si>
    <t>In the 19th century, shipbuilding and heavy engineering were central to the city's prosperity; and the city was a powerhouse of the Industrial Revolution. This revolution resulted in the urbanization of the city. In 1817 the Maling company, at one time the largest pottery company in the world, moved to the city. The Victorian industrial revolution brought industrial structures that included the 2 1⁄2-mile (4.0 km) Victoria Tunnelling, built in 1842, which provided underground wagon ways to the staithes. On 3 February 1879, Mosley Street in the city, was the first public road in the world to be lit up by the incandescent lightbulb. Newcastle was one of the first cities in the world to be lit up by electric lighting. Innovations in Newcastle and surrounding areas included the development of safety lamps, Stephenson's Rocket, Lord Armstrong's artillery, Be-Ro flour, Joseph Swan's electric light bulbs, and Charles Parsons' invention of the steam turbine, which led to the revolution of marine propulsion and the production of cheap electricity. In 1882, Newcastle became the seat of an Anglican diocese, with St. Nicholas' Church becoming its cathedral.</t>
  </si>
  <si>
    <t>between 1859 and 1865</t>
  </si>
  <si>
    <t>tech-oriented</t>
  </si>
  <si>
    <t>The heat required for boiling the water and supplying the steam can be derived from various sources, most commonly from burning combustible materials with an appropriate supply of air in a closed space (called variously combustion chamber, firebox). In some cases the heat source is a nuclear reactor, geothermal energy, solar energy or waste heat from an internal combustion engine or industrial process. In the case of model or toy steam engines, the heat source can be an electric heating element.</t>
  </si>
  <si>
    <t>a directly elected Scottish Assembly</t>
  </si>
  <si>
    <t>Why do carotenoids make leaves change color in the fall?</t>
  </si>
  <si>
    <t>expected to become more integral within the health care system</t>
  </si>
  <si>
    <t>a citizen or company can invoke a Directive, not just in a dispute with a public authority, but in a dispute with another citizen or company</t>
  </si>
  <si>
    <t>general disobedience</t>
  </si>
  <si>
    <t xml:space="preserve">What did DECnet originally do </t>
  </si>
  <si>
    <t>A cylindrical Service Module (SM) supported the Command Module, with a service propulsion engine and an RCS with propellants, and a fuel cell power generation system with liquid hydrogen and liquid oxygen reactants. A high-gain S-band antenna was used for long-distance communications on the lunar flights. On the extended lunar missions, an orbital scientific instrument package was carried. The Service Module was discarded just before re-entry. The module was 24.6 feet (7.5 m) long and 12.83 feet (3.91 m) in diameter. The initial lunar flight version weighed approximately 51,300 pounds (23,300 kg) fully fueled, while a later version designed to carry a lunar orbit scientific instrument package weighed just over 54,000 pounds (24,000 kg).</t>
  </si>
  <si>
    <t>pollution</t>
  </si>
  <si>
    <t>small-scale manufacturing</t>
  </si>
  <si>
    <t>Apollo Telescope Mount</t>
  </si>
  <si>
    <t>Al-Qaeda and the Taliban</t>
  </si>
  <si>
    <t>What is one method of achieving aspirational consumption?</t>
  </si>
  <si>
    <t>When does photorespiration happen?</t>
  </si>
  <si>
    <t>climate will be a central issue in the renewed Medium Term Plan that will be launched in the coming months</t>
  </si>
  <si>
    <t>What was Old Briton's response to Celeron?</t>
  </si>
  <si>
    <t>What was the only drama extended for a second season for the 2010-11 schedule?</t>
  </si>
  <si>
    <t>Who leads The Islamic State?</t>
  </si>
  <si>
    <t>about a third</t>
  </si>
  <si>
    <t>Neoclassical economics views inequalities in the distribution of income as arising from differences in value added by labor, capital and land. Within labor income distribution is due to differences in value added by different classifications of workers. In this perspective, wages and profits are determined by the marginal value added of each economic actor (worker, capitalist/business owner, landlord). Thus, in a market economy, inequality is a reflection of the productivity gap between highly-paid professions and lower-paid professions.</t>
  </si>
  <si>
    <t>What is the most important role of chloroplasts?</t>
  </si>
  <si>
    <t>What problem did some tree ring data have?</t>
  </si>
  <si>
    <t>There are several ways to mitigate the occupational hazards of teaching. Organizational interventions, like changing teachers' schedules, providing support networks and mentoring, changing the work environment, and offering promotions and bonuses, may be effective in helping to reduce occupational stress among teachers. Individual-level interventions, including stress-management training and counseling, are also used to relieve occupational stress among teachers.</t>
  </si>
  <si>
    <t>a "hysterical and demonizing mentality" about Jews</t>
  </si>
  <si>
    <t>August 15, 1971</t>
  </si>
  <si>
    <t>Where can ctenophores be found in large amounts?</t>
  </si>
  <si>
    <t>Marshall Space Flight Center</t>
  </si>
  <si>
    <t>The United States is divided into how many jurisdictions?</t>
  </si>
  <si>
    <t>isothermal</t>
  </si>
  <si>
    <t>Nonconservative forces</t>
  </si>
  <si>
    <t>delivery of these messages by store and forward switching</t>
  </si>
  <si>
    <t>Twelve actors have headlined the series as the Doctor. The transition from one actor to another is written into the plot of the show, as well as the differing approach to the role that each brings, under the concept of regeneration into a new incarnation. The show's premise is that this is a life process of Time Lords through which the character of the Doctor takes on a new body and, to some extent, new personality, which occurs after sustaining an injury which would be fatal to most other species. Each actor's portrayal differs, but they are all intended to be aspects of the same character and form part of the same storyline. The time-travelling nature of the plot means that, on occasion, different Doctors have met each other. Peter Capaldi took on the role after Matt Smith's exit in the 2013 Christmas special "The Time of the Doctor".</t>
  </si>
  <si>
    <t>revolution or invasion</t>
  </si>
  <si>
    <t>local building authority regulations and codes of practice</t>
  </si>
  <si>
    <t>the main glass galleries and the main silverware gallery</t>
  </si>
  <si>
    <t>What does the sea monster with a female upper body hold in its claws?</t>
  </si>
  <si>
    <t>On what date was Victoria declared independent from New South Wales?</t>
  </si>
  <si>
    <t>chemical energy</t>
  </si>
  <si>
    <t>What does many workers willing to work for a lot of time competing for a job that only requires a few workers result in?</t>
  </si>
  <si>
    <t>What increases entrepreneurship rates at the individual level?</t>
  </si>
  <si>
    <t xml:space="preserve">How was this possible </t>
  </si>
  <si>
    <t>Downtown Riverside</t>
  </si>
  <si>
    <t>What can be used to model tension forces?</t>
  </si>
  <si>
    <t>when Germany started to build her own colonial empire</t>
  </si>
  <si>
    <t>conscientious lawbreakers</t>
  </si>
  <si>
    <t>inequality in wealth and income</t>
  </si>
  <si>
    <t>What is the only divisor besides 1 that a prime number can have?</t>
  </si>
  <si>
    <t>shallow crust</t>
  </si>
  <si>
    <t>subsequent long-run economic growth</t>
  </si>
  <si>
    <t>Which direction did the Rhine flow during the last cold phase?</t>
  </si>
  <si>
    <t>What Star Trek episode has a nod to Doctor Who?</t>
  </si>
  <si>
    <t>ozone generated in contact with the skin</t>
  </si>
  <si>
    <t>30 November 1963</t>
  </si>
  <si>
    <t>What documentary was shown about Doctor Who?</t>
  </si>
  <si>
    <t>chloroplasts of some hornworts and algae</t>
  </si>
  <si>
    <t>What parts of a conventional reciprocating steam engine could be replaced by a pistonless rotary engine?</t>
  </si>
  <si>
    <t>aristocracy</t>
  </si>
  <si>
    <t>many celebrated seasons.</t>
  </si>
  <si>
    <t>A piece of paper was later found on which Luther had written his last statement. The statement was in Latin, apart from "We are beggars," which was in German.</t>
  </si>
  <si>
    <t>inciting internal revolt</t>
  </si>
  <si>
    <t>Conant devised programs</t>
  </si>
  <si>
    <t>Different committees have what set out in different ways?</t>
  </si>
  <si>
    <t>What is the level of inequality in underdeveloped countries?</t>
  </si>
  <si>
    <t>Which direction does two thirds of the Rhine flow outside of Germany?</t>
  </si>
  <si>
    <t>A or μ</t>
  </si>
  <si>
    <t>What monarchy did western troops protect?</t>
  </si>
  <si>
    <t>What were the claims of corruption in the armed forces?</t>
  </si>
  <si>
    <t>By what process is singlet oxygen made in the tropophere?</t>
  </si>
  <si>
    <t>carbon related emissions</t>
  </si>
  <si>
    <t>Teenage Mutant Ninja Turtles</t>
  </si>
  <si>
    <t>What is the festival of food and drink known as?</t>
  </si>
  <si>
    <t>technological superiority,</t>
  </si>
  <si>
    <t>What is the steam engine's thermodynamic basis?</t>
  </si>
  <si>
    <t>Parliament cannot initiate legislation against the Commission's wishes</t>
  </si>
  <si>
    <t>Which border does the megaregion extend over?</t>
  </si>
  <si>
    <t xml:space="preserve">In what century was quantum mechanics made? </t>
  </si>
  <si>
    <t>moist broadleaf forest</t>
  </si>
  <si>
    <t>the classical element fire</t>
  </si>
  <si>
    <t>What did Tesla claim to be able to transmit?</t>
  </si>
  <si>
    <t>old</t>
  </si>
  <si>
    <t>The best-known legend</t>
  </si>
  <si>
    <t>socialism in one country</t>
  </si>
  <si>
    <t>radial (centripetal) force</t>
  </si>
  <si>
    <t>667,000 firms</t>
  </si>
  <si>
    <t>What did Thoreau claim about the majority?</t>
  </si>
  <si>
    <t>former Strathclyde Regional Council debating chamber</t>
  </si>
  <si>
    <t>How did the party overthrow the elected government in 1989?</t>
  </si>
  <si>
    <t>What happened to the dynamos in the power station?</t>
  </si>
  <si>
    <t>Waterlogged roots</t>
  </si>
  <si>
    <t>Oxygen</t>
  </si>
  <si>
    <t>Danube</t>
  </si>
  <si>
    <t>cosmology</t>
  </si>
  <si>
    <t>For a long time, it was thought that the Amazon rainforest was only ever sparsely populated, as it was impossible to sustain a large population through agriculture given the poor soil. Archeologist Betty Meggers was a prominent proponent of this idea, as described in her book Amazonia: Man and Culture in a Counterfeit Paradise. She claimed that a population density of 0.2 inhabitants per square kilometre (0.52/sq mi) is the maximum that can be sustained in the rainforest through hunting, with agriculture needed to host a larger population. However, recent anthropological findings have suggested that the region was actually densely populated. Some 5 million people may have lived in the Amazon region in AD 1500, divided between dense coastal settlements, such as that at Marajó, and inland dwellers. By 1900 the population had fallen to 1 million and by the early 1980s it was less than 200,000.</t>
  </si>
  <si>
    <t>Jacksonville has suffered less damage from hurricanes than most other east coast cities, although the threat does exist for a direct hit by a major hurricane. The city has only received one direct hit from a hurricane since 1871; however, Jacksonville has experienced hurricane or near-hurricane conditions more than a dozen times due to storms crossing the state from the Gulf of Mexico to the Atlantic Ocean, or passing to the north or south in the Atlantic and brushing past the area. The strongest effect on Jacksonville was from Hurricane Dora in 1964, the only recorded storm to hit the First Coast with sustained hurricane-force winds. The eye crossed St. Augustine with winds that had just barely diminished to 110 mph (180 km/h), making it a strong Category 2 on the Saffir-Simpson Scale. Jacksonville also suffered damage from 2008's Tropical Storm Fay which crisscrossed the state, bringing parts of Jacksonville under darkness for four days. Similarly, four years prior to this, Jacksonville was inundated by Hurricane Frances and Hurricane Jeanne, which made landfall south of the area. These tropical cyclones were the costliest indirect hits to Jacksonville. Hurricane Floyd in 1999 caused damage mainly to Jacksonville Beach. During Floyd, the Jacksonville Beach pier was severely damaged, and later demolished. The rebuilt pier was later damaged by Fay, but not destroyed. Tropical Storm Bonnie would cause minor damage in 2004, spawning a minor tornado in the process. On May 28, 2012, Jacksonville was hit by Tropical Storm Beryl, packing winds up to 70 miles per hour (113 km/h) which made landfall near Jacksonville Beach.</t>
  </si>
  <si>
    <t>The country's literacy level stands at 85% of the whole population. Preschool, which targets children from age three to five, is an integral component of the education system and is a key requirement for admission to Standard One (First Grade). At the end of primary education, pupils sit the Kenya Certificate of Primary Education (KCPE), which determines those who proceed to secondary school or vocational training. The result of this examination is needed for placement at secondary school. Primary school age is 6/7-13/14 years. For those who proceed to secondary level, there is a national examination at the end of Form Four – the Kenya Certificate of Secondary Education (KCSE), which determines those proceeding to the universities, other professional training or employment. Students sit examinations in eight subjects of their choosing. However, English, Kiswahili (languages) and mathematics are compulsory subjects.</t>
  </si>
  <si>
    <t>problem instance</t>
  </si>
  <si>
    <t>microorganisms</t>
  </si>
  <si>
    <t>What is the most important type of Norman art preserved in churches?</t>
  </si>
  <si>
    <t>a UNESCO World Heritage Site</t>
  </si>
  <si>
    <t>What country's schools have codes of behavior that are very strict?</t>
  </si>
  <si>
    <t>First World War.</t>
  </si>
  <si>
    <t>Along with trusts, what other non-profits are allowed to run schools in India?</t>
  </si>
  <si>
    <t>Establishing "natural borders"</t>
  </si>
  <si>
    <t>What is one of the first responses the immune system has to infection?</t>
  </si>
  <si>
    <t>Luther wrote "Aus tiefer Not schrei ich zu dir" ("From depths of woe I cry to you") in 1523 as a hymnic version of Psalm 130 and sent it as a sample to encourage evangelical colleagues to write psalm-hymns for use in German worship. In a collaboration with Paul Speratus, this and seven other hymns were published in the Achtliederbuch, the first Lutheran hymnal. In 1524 Luther developed his original four-stanza psalm paraphrase into a five-stanza Reformation hymn that developed the theme of "grace alone" more fully. Because it expressed essential Reformation doctrine, this expanded version of "Aus tiefer Not" was designated as a regular component of several regional Lutheran liturgies and was widely used at funerals, including Luther's own. Along with Erhart Hegenwalt's hymnic version of Psalm 51, Luther's expanded hymn was also adopted for use with the fifth part of Luther's catechism, concerning confession.</t>
  </si>
  <si>
    <t>signing of the Treaty of Paris on 10 February 1763</t>
  </si>
  <si>
    <t>the mouth and pharynx</t>
  </si>
  <si>
    <t>neoclassical architecture</t>
  </si>
  <si>
    <t>Catechism</t>
  </si>
  <si>
    <t>How does most plants' cpDNA replicate?</t>
  </si>
  <si>
    <t>the will of elite politicians</t>
  </si>
  <si>
    <t>Why did Luther condemn vows of celibacy?</t>
  </si>
  <si>
    <t>Was was the plan for Langlades mission?</t>
  </si>
  <si>
    <t>speed-up theorem</t>
  </si>
  <si>
    <t>the simplest</t>
  </si>
  <si>
    <t>Iqbal worried that India's mostly Hindu population would do what to Muslim heritage and culture?</t>
  </si>
  <si>
    <t>the incandescent lightbulb</t>
  </si>
  <si>
    <t>a yellow chlorophyll precursor</t>
  </si>
  <si>
    <t>Black's Law</t>
  </si>
  <si>
    <t xml:space="preserve">What did Davies want to build </t>
  </si>
  <si>
    <t>Which building was the NFL Experience held at for Super Bowl 50?</t>
  </si>
  <si>
    <t>When American car companies rolled out with their domestic replacement cars, which policy ended?</t>
  </si>
  <si>
    <t>his circuit and single-node X-ray-producing devices</t>
  </si>
  <si>
    <t>the destruction of Israel</t>
  </si>
  <si>
    <t>the university's School of Social Service Administration</t>
  </si>
  <si>
    <t>Pulfrich effect</t>
  </si>
  <si>
    <t>evaluation of the appropriateness of the drug therapy</t>
  </si>
  <si>
    <t>Approximately how many drawings of the Italian architect Andrea Palladio is in the RIBA collection?</t>
  </si>
  <si>
    <t>How many chloroplast lineages are there?</t>
  </si>
  <si>
    <t>A consortium led by the International Crops Research Institute for the Semi-Arid Tropics (ICRISAT) has had some success in helping farmers grow new pigeon pea varieties, instead of maize, in particularly dry areas. Pigeon peas are very drought resistant, so can be grown in areas with less than 650 mm annual rainfall. Successive projects encouraged the commercialisation of legumes, by stimulating the growth of local seed production and agro-dealer networks for distribution and marketing. This work, which included linking producers to wholesalers, helped to increase local producer prices by 20–25% in Nairobi and Mombasa. The commercialisation of the pigeon pea is now enabling some farmers to buy assets, ranging from mobile phones to productive land and livestock, and is opening pathways for them to move out of poverty.</t>
  </si>
  <si>
    <t>Kenya African National Union (KANU) of Jomo Kenyatta</t>
  </si>
  <si>
    <t>Jacksonville is the most populous city in Florida, and the twelfth most populous city in the United States. As of 2010[update], there were 821,784 people and 366,273 households in the city. Jacksonville has the country's tenth-largest Arab population, with a total population of 5,751 according to the 2000 United States Census. Jacksonville has Florida's largest Filipino American community, with 25,033 in the metropolitan area as of the 2010 Census. Much of Jacksonville's Filipino community served in or has ties to the United States Navy.</t>
  </si>
  <si>
    <t>The Rhine is the longest river in what country?</t>
  </si>
  <si>
    <t>solar telescope</t>
  </si>
  <si>
    <t>object's weight</t>
  </si>
  <si>
    <t>What sort of motion did Watt's steam engine continuously produce?</t>
  </si>
  <si>
    <t>Welfare Cash Card</t>
  </si>
  <si>
    <t>Cost overruns with government projects have occurred when the contractor did what?</t>
  </si>
  <si>
    <t>What did the sparks do to the insulation?</t>
  </si>
  <si>
    <t>What is the hymn known as in English?</t>
  </si>
  <si>
    <t>Sky+HD Box</t>
  </si>
  <si>
    <t>What was the purpose of CSNET</t>
  </si>
  <si>
    <t>slash and burn</t>
  </si>
  <si>
    <t>Chen's</t>
  </si>
  <si>
    <t>What are two complexity classes between L and P?</t>
  </si>
  <si>
    <t>a body of treaties and legislation</t>
  </si>
  <si>
    <t>an estimated 25 million</t>
  </si>
  <si>
    <t>182 million</t>
  </si>
  <si>
    <t>to send him to the best engineering school</t>
  </si>
  <si>
    <t>recognition</t>
  </si>
  <si>
    <t>Along with giving the offender his "just deserts", achieving crime control via incapacitation and deterrence is a major goal of criminal punishment. Brownlee argues, "Bringing in deterrence at the level of justification detracts from the law’s engagement in a moral dialogue with the offender as a rational person because it focuses attention on the threat of punishment and not the moral reasons to follow this law." Leonard Hubert Hoffmann writes, "In deciding whether or not to impose punishment, the most important consideration would be whether it would do more harm than good. This means that the objector has no right not to be punished. It is a matter for the state (including the judges) to decide on utilitarian grounds whether to do so or not."</t>
  </si>
  <si>
    <t>What type of arts flourished in the Yuan?</t>
  </si>
  <si>
    <t>For certain physical scenarios, it is impossible to model forces as being due to gradient of potentials. This is often due to macrophysical considerations that yield forces as arising from a macroscopic statistical average of microstates. For example, friction is caused by the gradients of numerous electrostatic potentials between the atoms, but manifests as a force model that is independent of any macroscale position vector. Nonconservative forces other than friction include other contact forces, tension, compression, and drag. However, for any sufficiently detailed description, all these forces are the results of conservative ones since each of these macroscopic forces are the net results of the gradients of microscopic potentials.</t>
  </si>
  <si>
    <t xml:space="preserve">What is the name of another algorithm useful for conveniently testing the primality of large numbers? </t>
  </si>
  <si>
    <t>March 1879</t>
  </si>
  <si>
    <t>In most reciprocating piston engines, the steam reverses its direction of flow at each stroke (counterflow), entering and exhausting from the cylinder by the same port. The complete engine cycle occupies one rotation of the crank and two piston strokes; the cycle also comprises four events – admission, expansion, exhaust, compression. These events are controlled by valves often working inside a steam chest adjacent to the cylinder; the valves distribute the steam by opening and closing steam ports communicating with the cylinder end(s) and are driven by valve gear, of which there are many types.[citation needed]</t>
  </si>
  <si>
    <t>private sector</t>
  </si>
  <si>
    <t>persons who conscientiously oppose all war</t>
  </si>
  <si>
    <t>middle of the 20th century</t>
  </si>
  <si>
    <t>regional tourism groups</t>
  </si>
  <si>
    <t>Start Here</t>
  </si>
  <si>
    <t>What is student motivation about school linked to?</t>
  </si>
  <si>
    <t>What could the Supplemental Nutrition Assistance Program purchase?</t>
  </si>
  <si>
    <t>Diocles of Carystus</t>
  </si>
  <si>
    <t>automation</t>
  </si>
  <si>
    <t>Besides Africa, where did Germany have imperial interests?</t>
  </si>
  <si>
    <t>What do weak labor movement correlate with?</t>
  </si>
  <si>
    <t>How do cestids swim?</t>
  </si>
  <si>
    <t>The companion figure – generally a human – has been a constant feature in Doctor Who since the programme's inception in 1963. One of the roles of the companion is to remind the Doctor of his "moral duty". The Doctor's first companions seen on screen were his granddaughter Susan Foreman (Carole Ann Ford) and her teachers Barbara Wright (Jacqueline Hill) and Ian Chesterton (William Russell). These characters were intended to act as audience surrogates, through which the audience would discover information about the Doctor who was to act as a mysterious father figure. The only story from the original series in which the Doctor travels alone is The Deadly Assassin. Notable companions from the earlier series included Romana (Mary Tamm and Lalla Ward), a Time Lady; Sarah Jane Smith (Elisabeth Sladen); and Jo Grant (Katy Manning). Dramatically, these characters provide a figure with whom the audience can identify, and serve to further the story by requesting exposition from the Doctor and manufacturing peril for the Doctor to resolve. The Doctor regularly gains new companions and loses old ones; sometimes they return home or find new causes — or loves — on worlds they have visited. Some have died during the course of the series. Companions are usually human, or humanoid aliens.</t>
  </si>
  <si>
    <t>Monroe Doctrine</t>
  </si>
  <si>
    <t>requested by governments.</t>
  </si>
  <si>
    <t>the Treaty of Rome 1957 and the Maastricht Treaty 1992 (now: TFEU)</t>
  </si>
  <si>
    <t>at the Moscone Center</t>
  </si>
  <si>
    <t>ingredients for medicines, sold tobacco and patent medicines</t>
  </si>
  <si>
    <t>Britain and Holland</t>
  </si>
  <si>
    <t>The 1960s would be marked by the rise of family-oriented series in an attempt by ABC to counterprogram its established competitors, but the decade was also marked by the network's gradual transition to color. On September 30, 1960, ABC premiered The Flintstones, another example of counterprogramming; although the animated series from William Hanna and Joseph Barbera was filmed in color from the beginning, it was initially broadcast in black-and-white, as ABC had not made the necessary technical upgrades to broadcast its programming in color at the time. The Flintstones allowed ABC to present a novelty, that of prime-time animated programming, but it also allowed the network to begin filling the hole opened by the conclusion of the Disney partnership by carrying family-oriented programming from other producers.</t>
  </si>
  <si>
    <t>She gives a stirring speech in which she tells him that she must obey her conscience rather than human law</t>
  </si>
  <si>
    <t>Denver Broncos</t>
  </si>
  <si>
    <t>geographical area it covers as well as the frequency of meeting. Clergy are members of their Annual Conference rather than of any local congregation,</t>
  </si>
  <si>
    <t xml:space="preserve">What properties are analyzed with a conoscopic lens by petrologists? </t>
  </si>
  <si>
    <t>Germany started to build her own colonial empire</t>
  </si>
  <si>
    <t>head of state and head of government</t>
  </si>
  <si>
    <t>1421 to 1904</t>
  </si>
  <si>
    <t>lighting systems</t>
  </si>
  <si>
    <t>the Gaussian integers Z[i]</t>
  </si>
  <si>
    <t>Justinian plague</t>
  </si>
  <si>
    <t>In the centre of Basel, the first major city in the course of the stream, is located the "Rhine knee"; this is a major bend, where the overall direction of the Rhine changes from West to North. Here the High Rhine ends. Legally, the Central Bridge is the boundary between High and Upper Rhine. The river now flows North as Upper Rhine through the Upper Rhine Plain, which is about 300 km long and up to 40 km wide. The most important tributaries in this area are the Ill below of Strasbourg, the Neckar in Mannheim and the Main across from Mainz. In Mainz, the Rhine leaves the Upper Rhine Valley and flows through the Mainz Basin.</t>
  </si>
  <si>
    <t>Saracens</t>
  </si>
  <si>
    <t>Light has been shown to be a requirement for chloroplast division. Chloroplasts can grow and progress through some of the constriction stages under poor quality green light, but are slow to complete division—they require exposure to bright white light to complete division. Spinach leaves grown under green light have been observed to contain many large dumbbell-shaped chloroplasts. Exposure to white light can stimulate these chloroplasts to divide and reduce the population of dumbbell-shaped chloroplasts.</t>
  </si>
  <si>
    <t xml:space="preserve">What was telenet </t>
  </si>
  <si>
    <t>When were Luther and his prospective bride engaged?</t>
  </si>
  <si>
    <t>Other than the San Diego metropolitan area, what other area are the communities along Interstates 15 and 215 connected with?</t>
  </si>
  <si>
    <t>Moscone Center</t>
  </si>
  <si>
    <t>What area in South Africa accepted Huguenot colonists?</t>
  </si>
  <si>
    <t>What is an examine of work that a centrifugal governor-equipped steam engine wasn't suitable for?</t>
  </si>
  <si>
    <t>the Financial crisis of 2007–08</t>
  </si>
  <si>
    <t>apicomplexan-related diseases</t>
  </si>
  <si>
    <t>When did Tesla become friends with Viereck?</t>
  </si>
  <si>
    <t>Commission v France</t>
  </si>
  <si>
    <t>carboxysome</t>
  </si>
  <si>
    <t>How thick are chloroplasts in land plants?</t>
  </si>
  <si>
    <t>private finance initiatives (PFIs)</t>
  </si>
  <si>
    <t>The UK</t>
  </si>
  <si>
    <t xml:space="preserve">Where is the Rhine? </t>
  </si>
  <si>
    <t>up to half</t>
  </si>
  <si>
    <t>What is the prize offered for finding a solution to P=NP?</t>
  </si>
  <si>
    <t>stroma-containing tubule</t>
  </si>
  <si>
    <t>What sports are Kenyans active in?</t>
  </si>
  <si>
    <t>Juris Hartmanis and Richard Stearns</t>
  </si>
  <si>
    <t>What club won 118 tournaments and 15 national championships?</t>
  </si>
  <si>
    <t>humoral immunity versus cell-mediated immunity</t>
  </si>
  <si>
    <t>What organization did Harvard found in 1900?</t>
  </si>
  <si>
    <t>red algae</t>
  </si>
  <si>
    <t>100–150 species have been validated</t>
  </si>
  <si>
    <t>What do some encrypted broadcasts require to view?</t>
  </si>
  <si>
    <t>capturing three traders and killing 14 people of the Miami nation, including Old Briton</t>
  </si>
  <si>
    <t>an electrical exhibition</t>
  </si>
  <si>
    <t>What was the steam engine an important component of?</t>
  </si>
  <si>
    <t>areas cleared of forest</t>
  </si>
  <si>
    <t>What is the ranking of the military forces in Jacksonville?</t>
  </si>
  <si>
    <t>What type of homes is Fresno known for?</t>
  </si>
  <si>
    <t xml:space="preserve">Funding limitations allowed CSNET to be what </t>
  </si>
  <si>
    <t>When B cells and T cells are activated and begin to replicate, some of their offspring become long-lived memory cells. Throughout the lifetime of an animal, these memory cells remember each specific pathogen encountered and can mount a strong response if the pathogen is detected again. This is "adaptive" because it occurs during the lifetime of an individual as an adaptation to infection with that pathogen and prepares the immune system for future challenges. Immunological memory can be in the form of either passive short-term memory or active long-term memory.</t>
  </si>
  <si>
    <t>Resolution 43/53</t>
  </si>
  <si>
    <t>Hamas has continued to be a major player in Palestine. From 2000 to 2007 it killed 542 people in 140 suicide bombing or "martyrdom operations". In the January 2006 legislative election—its first foray into the political process—it won the majority of the seats, and in 2007 it drove the PLO out of Gaza. Hamas has been praised by Muslims for driving Israel out of the Gaza Strip, but criticized for failure to achieve its demands in the 2008-9 and 2014 Gaza Wars despite heavy destruction and significant loss of life.</t>
  </si>
  <si>
    <t>the subsequent interrogation led to a better understanding of the Mau Mau command structure</t>
  </si>
  <si>
    <t>The innate immune system responds in a generic way, meaning it is what?</t>
  </si>
  <si>
    <t>Clearly, some tumors evade the immune system and go on to become cancers. Tumor cells often have a reduced number of MHC class I molecules on their surface, thus avoiding detection by killer T cells. Some tumor cells also release products that inhibit the immune response; for example by secreting the cytokine TGF-β, which suppresses the activity of macrophages and lymphocytes. In addition, immunological tolerance may develop against tumor antigens, so the immune system no longer attacks the tumor cells.</t>
  </si>
  <si>
    <t>the checks and balances system of the U.S. and many other governments.</t>
  </si>
  <si>
    <t>Type II hypersensitivity</t>
  </si>
  <si>
    <t>have additional membranes outside of the original two</t>
  </si>
  <si>
    <t>self</t>
  </si>
  <si>
    <t>mid-14th century</t>
  </si>
  <si>
    <t>What flood impacted the Meuse?</t>
  </si>
  <si>
    <t>1500 and 1850</t>
  </si>
  <si>
    <t>Overactive immune responses comprise the other end of immune dysfunction, particularly the autoimmune disorders. Here, the immune system fails to properly distinguish between self and non-self, and attacks part of the body. Under normal circumstances, many T cells and antibodies react with "self" peptides. One of the functions of specialized cells (located in the thymus and bone marrow) is to present young lymphocytes with self antigens produced throughout the body and to eliminate those cells that recognize self-antigens, preventing autoimmunity.</t>
  </si>
  <si>
    <t>holy people</t>
  </si>
  <si>
    <t>In which case did the Court of Justice state that refusal to admit a lawyer to the Belgian bar because he did not have Belgian heritage wasn't able to be justified?</t>
  </si>
  <si>
    <t>poor soil</t>
  </si>
  <si>
    <t>the Han Chinese, Khitans, Jurchens, Mongols, and Tibetan Buddhists</t>
  </si>
  <si>
    <t>What association did Tesla demonstrate his radio wave theories to?</t>
  </si>
  <si>
    <t>L'Eglise du Saint-Esprit</t>
  </si>
  <si>
    <t>In this dioxygen, the two oxygen atoms are chemically bonded to each other. The bond can be variously described based on level of theory, but is reasonably and simply described as a covalent double bond that results from the filling of molecular orbitals formed from the atomic orbitals of the individual oxygen atoms, the filling of which results in a bond order of two. More specifically, the double bond is the result of sequential, low-to-high energy, or Aufbau, filling of orbitals, and the resulting cancellation of contributions from the 2s electrons, after sequential filling of the low σ and σ* orbitals; σ overlap of the two atomic 2p orbitals that lie along the O-O molecular axis and π overlap of two pairs of atomic 2p orbitals perpendicular to the O-O molecular axis, and then cancellation of contributions from the remaining two of the six 2p electrons after their partial filling of the lowest π and π* orbitals.</t>
  </si>
  <si>
    <t>$5,000,000</t>
  </si>
  <si>
    <t>What are ctenophora commonly known as?</t>
  </si>
  <si>
    <t>the fertile highlands</t>
  </si>
  <si>
    <t>via pores in the epidermis</t>
  </si>
  <si>
    <t>Magnetophon</t>
  </si>
  <si>
    <t>destroy</t>
  </si>
  <si>
    <t>When Yesün Temür died in Shangdu in 1328, Tugh Temür was recalled to Khanbaliq by the Qipchaq commander El Temür. He was installed as the emperor (Emperor Wenzong) in Khanbaliq, while Yesün Temür's son Ragibagh succeeded to the throne in Shangdu with the support of Yesün Temür's favorite retainer Dawlat Shah. Gaining support from princes and officers in Northern China and some other parts of the dynasty, Khanbaliq-based Tugh Temür eventually won the civil war against Ragibagh known as the War of the Two Capitals. Afterwards, Tugh Temür abdicated in favour of his brother Kusala, who was backed by Chagatai Khan Eljigidey, and announced Khanbaliq's intent to welcome him. However, Kusala suddenly died only four days after a banquet with Tugh Temür. He was supposedly killed with poison by El Temür, and Tugh Temür then remounted the throne. Tugh Temür also managed to send delegates to the western Mongol khanates such as Golden Horde and Ilkhanate to be accepted as the suzerain of Mongol world. However, he was mainly a puppet of the powerful official El Temür during his latter three-year reign. El Temür purged pro-Kusala officials and brought power to warlords, whose despotic rule clearly marked the decline of the dynasty.</t>
  </si>
  <si>
    <t>To what body are certain powers explicitly specified as being reserved for?</t>
  </si>
  <si>
    <t>Chloroplast</t>
  </si>
  <si>
    <t>What do the Treaties generally limit?</t>
  </si>
  <si>
    <t>EU law</t>
  </si>
  <si>
    <t>quick-release, outward opening door</t>
  </si>
  <si>
    <t>The Cast Courts display plaster casts of what objects?</t>
  </si>
  <si>
    <t>What did Lempicka represent better than anyone else?</t>
  </si>
  <si>
    <t>nervous breakdown</t>
  </si>
  <si>
    <t>How much money is being spent on other Super Bowl-related events?</t>
  </si>
  <si>
    <t>Name a text that might be used by a religious teacher to teach.</t>
  </si>
  <si>
    <t>ciliary groove</t>
  </si>
  <si>
    <t>12 May 1191</t>
  </si>
  <si>
    <t>restricting Halal slaughter and other Islamic practices like circumcision</t>
  </si>
  <si>
    <t xml:space="preserve">what did tesla note the hazards of working with? </t>
  </si>
  <si>
    <t>As a norm, what day of the week is the traditional Media Day held prior to a Super Bowl?</t>
  </si>
  <si>
    <t>What is one variable on which the running time may be contingent?</t>
  </si>
  <si>
    <t>two months</t>
  </si>
  <si>
    <t>three major offensive actions involving large numbers of regular troops</t>
  </si>
  <si>
    <t>West Lothian question</t>
  </si>
  <si>
    <t>Between 1991 and 2000, the total area of forest lost in the Amazon rose from 415,000 to 587,000 square kilometres (160,000 to 227,000 sq mi), with most of the lost forest becoming pasture for cattle. Seventy percent of formerly forested land in the Amazon, and 91% of land deforested since 1970, is used for livestock pasture. Currently, Brazil is the second-largest global producer of soybeans after the United States. New research however, conducted by Leydimere Oliveira et al., has shown that the more rainforest is logged in the Amazon, the less precipitation reaches the area and so the lower the yield per hectare becomes. So despite the popular perception, there has been no economical advantage for Brazil from logging rainforest zones and converting these to pastoral fields.</t>
  </si>
  <si>
    <t>If a problem X is in C and hard for C, then X is said to be complete for C. This means that X is the hardest problem in C. (Since many problems could be equally hard, one might say that X is one of the hardest problems in C.) Thus the class of NP-complete problems contains the most difficult problems in NP, in the sense that they are the ones most likely not to be in P. Because the problem P = NP is not solved, being able to reduce a known NP-complete problem, Π2, to another problem, Π1, would indicate that there is no known polynomial-time solution for Π1. This is because a polynomial-time solution to Π1 would yield a polynomial-time solution to Π2. Similarly, because all NP problems can be reduced to the set, finding an NP-complete problem that can be solved in polynomial time would mean that P = NP.</t>
  </si>
  <si>
    <t>a customs union, and the principle of non-discrimination</t>
  </si>
  <si>
    <t>Portuguese</t>
  </si>
  <si>
    <t>Kenneth Swezey,</t>
  </si>
  <si>
    <t>X-rays were longitudinal waves</t>
  </si>
  <si>
    <t>Which of ABC's main production facilities is located in Hollywood, CA?</t>
  </si>
  <si>
    <t>Which NASA orbiter photographed evidence of each site on the moon that a manned Apollo mission landing occurred?</t>
  </si>
  <si>
    <t>Reconnaissance Orbiter</t>
  </si>
  <si>
    <t>most cost efficient bidder</t>
  </si>
  <si>
    <t>1562 to 1598</t>
  </si>
  <si>
    <t>What country boarders the south of Kenya?</t>
  </si>
  <si>
    <t>What civilization was the first known to clearly study prime numbers?</t>
  </si>
  <si>
    <t>What enables the Scottish Parliament to scrutinize the government?</t>
  </si>
  <si>
    <t>What does not constitute as civil disobedience?</t>
  </si>
  <si>
    <t>Temüjin began his ascent to power by offering himself as an ally (or, according to other sources, a vassal) to his father's anda (sworn brother or blood brother) Toghrul, who was Khan of the Keraites, and is better known by the Chinese title "Wang Khan", which the Jurchen Jin dynasty granted him in 1197. This relationship was first reinforced when Börte was captured by the Merkits. Temüjin turned to Toghrul for support, and in response, Toghrul offered his vassal 20,000 of his Keraite warriors and suggested that he also involve his childhood friend Jamukha, who had himself become Khan (ruler) of his own tribe, the Jadaran.</t>
  </si>
  <si>
    <t>Many of the same decisions and principles that apply in other criminal investigations</t>
  </si>
  <si>
    <t>One country's authority over a number of others would constitute the original country as what?</t>
  </si>
  <si>
    <t>When did the university decide to start multimillion-dollar expansion projects?</t>
  </si>
  <si>
    <t>What type of parenting role does a teacher take on?</t>
  </si>
  <si>
    <t>a photosynthetic cyanobacterium</t>
  </si>
  <si>
    <t>What type of assistance to out of town students is the Muslim Brotherhood known for?</t>
  </si>
  <si>
    <t>On what day does a General Question Time take place?</t>
  </si>
  <si>
    <t>small islands by precipitating sediments</t>
  </si>
  <si>
    <t xml:space="preserve">What use was suggested for the system </t>
  </si>
  <si>
    <t>one (or more</t>
  </si>
  <si>
    <t>Why is the building on Spital Tongues known as the Pink Palace?</t>
  </si>
  <si>
    <t>Where was Tesla hoping to attend classes in Prague?</t>
  </si>
  <si>
    <t>effective planning</t>
  </si>
  <si>
    <t>A particularly simple example of a probabilistic test is the Fermat primality test, which relies on the fact (Fermat's little theorem) that np≡n (mod p) for any n if p is a prime number. If we have a number b that we want to test for primality, then we work out nb (mod b) for a random value of n as our test. A flaw with this test is that there are some composite numbers (the Carmichael numbers) that satisfy the Fermat identity even though they are not prime, so the test has no way of distinguishing between prime numbers and Carmichael numbers. Carmichael numbers are substantially rarer than prime numbers, though, so this test can be useful for practical purposes. More powerful extensions of the Fermat primality test, such as the Baillie-PSW, Miller-Rabin, and Solovay-Strassen tests, are guaranteed to fail at least some of the time when applied to a composite number.</t>
  </si>
  <si>
    <t>rebellion is much more destructive</t>
  </si>
  <si>
    <t>Most power of what sort is generated by steam turbines today?</t>
  </si>
  <si>
    <t>Oxygen condenses at 90.20 K (−182.95 °C, −297.31 °F), and freezes at 54.36 K (−218.79 °C, −361.82 °F). Both liquid and solid O
2 are clear substances with a light sky-blue color caused by absorption in the red (in contrast with the blue color of the sky, which is due to Rayleigh scattering of blue light). High-purity liquid O
2 is usually obtained by the fractional distillation of liquefied air. Liquid oxygen may also be produced by condensation out of air, using liquid nitrogen as a coolant. It is a highly reactive substance and must be segregated from combustible materials.</t>
  </si>
  <si>
    <t>In July 2013, the English High Court of Justice found that Microsoft’s use of the term "SkyDrive" infringed on Sky’s right to the "Sky" trademark. On 31 July 2013, BSkyB and Microsoft announced their settlement, in which Microsoft will not appeal the ruling, and will rename its SkyDrive cloud storage service after an unspecified "reasonable period of time to allow for an orderly transition to a new brand," plus "financial and other terms, the details of which are confidential". On 27 January 2014, Microsoft announced "that SkyDrive will soon become OneDrive" and "SkyDrive Pro" becomes "OneDrive for Business".</t>
  </si>
  <si>
    <t>How did Saint-Pierre respond to Washington?</t>
  </si>
  <si>
    <t>What type of movement is the Muslim Brotherhood?</t>
  </si>
  <si>
    <t>Approximately how many adherents does the United Methodist Church have across the world?</t>
  </si>
  <si>
    <t>Eternal Heaven</t>
  </si>
  <si>
    <t>How many times was the Panthers' quarterback sacked?</t>
  </si>
  <si>
    <t>Lunar Reconnaissance Orbiter</t>
  </si>
  <si>
    <t>stress tensor</t>
  </si>
  <si>
    <t>The revived series has received recognition from critics and the public, across various awards ceremonies. It won five BAFTA TV Awards, including Best Drama Series, the highest-profile and most prestigious British television award for which the series has ever been nominated. It was very popular at the BAFTA Cymru Awards, with 25 wins overall including Best Drama Series (twice), Best Screenplay/Screenwriter (thrice) and Best Actor. It was also nominated for 7 Saturn Awards, winning the only Best International Series in the ceremony's history. In 2009, Doctor Who was voted the 3rd greatest show of the 2000s by Channel 4, behind Top Gear and The Apprentice. The episode "Vincent and the Doctor" was shortlisted for a Mind Award at the 2010 Mind Mental Health Media Awards for its "touching" portrayal of Vincent van Gogh.</t>
  </si>
  <si>
    <t>The paintings donated by John Sheepshanks were by artists of which nationality?</t>
  </si>
  <si>
    <t>thylakoid or to another plastoglobulus attached to a thylakoid</t>
  </si>
  <si>
    <t>What lesson did Johann von Staupitz teach Luther  repentance was?</t>
  </si>
  <si>
    <t>Kenya's various ethnic groups typically speak their mother tongues within their own communities. The two official languages, English and Swahili, are used in varying degrees of fluency for communication with other populations. English is widely spoken in commerce, schooling and government. Peri-urban and rural dwellers are less multilingual, with many in rural areas speaking only their native languages. British English is primarily used in the country. Additionally, a distinct local dialect, Kenyan English, is used by some communities and individuals in the country, and contains features unique to it that were derived from local Bantu languages, such as Swahili and Kikuyu. It has been developing since colonisation and also contains certain elements of American English. Sheng is a Swahili-based cant spoken in some urban areas. Primarily consisting of a mixture of Swahili and English, it is an example of linguistic code-switching.</t>
  </si>
  <si>
    <t>Rhine-kilometers</t>
  </si>
  <si>
    <t>What is the name of the alphabet is most commonly used in a problem instance?</t>
  </si>
  <si>
    <t>How many years was John Fox the head coach of the Denver Broncos?</t>
  </si>
  <si>
    <t>claimed by both sides</t>
  </si>
  <si>
    <t>a member of their Annual Conference Order of Elders.</t>
  </si>
  <si>
    <t>In what sort of places are dry cooling towers used?</t>
  </si>
  <si>
    <t>How many fumbles did Von Miller force?</t>
  </si>
  <si>
    <t>oxides of silicon</t>
  </si>
  <si>
    <t>individual</t>
  </si>
  <si>
    <t>What can a simultaneous hermaphrodite do?</t>
  </si>
  <si>
    <t>Who was Guy's Rival?</t>
  </si>
  <si>
    <t>Name one way in which a person can become a Professing Member?</t>
  </si>
  <si>
    <t>How did Luther respond after being asked if the books were his?</t>
  </si>
  <si>
    <t>What does paramylon store?</t>
  </si>
  <si>
    <t>There are many similarities and differences among teachers around the world. In almost all countries teachers are educated in a university or college. Governments may require certification by a recognized body before they can teach in a school. In many countries, elementary school education certificate is earned after completion of high school. The high school student follows an education specialty track, obtain the prerequisite "student-teaching" time, and receive a special diploma to begin teaching after graduation. In addition to certification, many educational institutions especially within the US, require that prospective teachers pass a background check and psychiatric evaluation to be able to teach in classroom. This is not always the case with adult further learning institutions but is fast becoming the norm in many countries as security concerns grow.</t>
  </si>
  <si>
    <t>the Spiral,</t>
  </si>
  <si>
    <t>The merger between ABC and Capital Cities received federal approval on September 5, 1985. After the ABC/Capital Cities merger was finalized on January 3, 1986, the combined company – which became known as Capital Cities/ABC, Inc. – added four television stations (WPVI-TV/Philadelphia, KTRK-TV/Houston, KFSN-TV/Fresno and WTVD/Raleigh) and several radio stations to ABC's broadcasting portfolio, and also included Fairchild Publications and four newspapers (including The Kansas City Star and Fort Worth Star-Telegram). It also initiated several changes in its management: Frederick S. Pierce was named president of ABC's broadcasting division; Michael P. Millardi became vice president of ABC Broadcasting, and president of ABC Owned Stations and ABC Video Enterprises; John B. Sias was appointed president of the ABC Television Network; Brandon Stoddard became president of ABC Entertainment (a position to which he had been appointed in November 1985); and Roone Arledge became president of ABC News and ABC Sports. In February 1986, Thomas S. Murphy, who had been serving as CEO of Capital Cities since 1964, was appointed chairman and CEO emeritus of ABC. Jim Duffy stepped down as ABC Television president for a management position at ABC Communications, a subsidiary that specialized in community service programming, including shows related to literary education.</t>
  </si>
  <si>
    <t>the Central Secretariat</t>
  </si>
  <si>
    <t>cabin depressurization</t>
  </si>
  <si>
    <t>directly elected Scottish Assembly</t>
  </si>
  <si>
    <t>The academic body of the university is made up of how many professional schools?</t>
  </si>
  <si>
    <t>When was the last episode of the original series?</t>
  </si>
  <si>
    <t>acquired a photosynthetic cyanobacterial endosymbiont more recently</t>
  </si>
  <si>
    <t>The Better Jacksonville Plan</t>
  </si>
  <si>
    <t>theory of relativity</t>
  </si>
  <si>
    <t>to enable people to pursue their life goals in any country through free movement</t>
  </si>
  <si>
    <t>the web</t>
  </si>
  <si>
    <t>As of the 2010 United States Census, southern California has a population of 22,680,010. Despite a reputation for high growth rates, southern California's rate grew less than the state average of 10.0% in the 2000s as California's growth became concentrated in the northern part of the state due to a stronger, tech-oriented economy in the Bay Area and an emerging Greater Sacramento region.</t>
  </si>
  <si>
    <t>René-Robert Cavelier, Sieur de La Salle had explored the Ohio Country</t>
  </si>
  <si>
    <t>In 1785 James Hutton presented what paper to the Royal Society of Edinburgh?</t>
  </si>
  <si>
    <t>declines</t>
  </si>
  <si>
    <t>Peter Davison, Colin Baker and Sylvester McCoy</t>
  </si>
  <si>
    <t>the gastrodermis</t>
  </si>
  <si>
    <t>Advanced Steam</t>
  </si>
  <si>
    <t>extreme change</t>
  </si>
  <si>
    <t>What is the largest suspension bridge in Germany?</t>
  </si>
  <si>
    <t>45-minute</t>
  </si>
  <si>
    <t>Generally speaking, while all member states recognise that EU law takes primacy over national law where this agreed in the Treaties, they do not accept that the Court of Justice has the final say on foundational constitutional questions affecting democracy and human rights. In the United Kingdom, the basic principle is that Parliament, as the sovereign expression of democratic legitimacy, can decide whether it wishes to expressly legislate against EU law. This, however, would only happen in the case of an express wish of the people to withdraw from the EU. It was held in R (Factortame Ltd) v Secretary of State for Transport that "whatever limitation of its sovereignty Parliament accepted when it enacted the European Communities Act 1972 was entirely voluntary" and so "it has always been clear" that UK courts have a duty "to override any rule of national law found to be in conflict with any directly enforceable rule of Community law." More recently the UK Supreme Court noted that in R (HS2 Action Alliance Ltd) v Secretary of State for Transport, although the UK constitution is uncodified, there could be "fundamental principles" of common law, and Parliament "did not either contemplate or authorise the abrogation" of those principles when it enacted the European Communities Act 1972. The view of the German Constitutional Court from the Solange I and Solange II decisions is that if the EU does not comply with its basic constitutional rights and principles (particularly democracy, the rule of law and the social state principles) then it cannot override German law. However, as the nicknames of the judgments go, "so long as" the EU works towards the democratisation of its institutions, and has a framework that protects fundamental human rights, it would not review EU legislation for compatibility with German constitutional principles. Most other member states have expressed similar reservations. This suggests the EU's legitimacy rests on the ultimate authority of member states, its factual commitment to human rights, and the democratic will of the people.</t>
  </si>
  <si>
    <t>What theorem defines the main role of primes in number theory?</t>
  </si>
  <si>
    <t>private southern Chinese manufacturers and merchants</t>
  </si>
  <si>
    <t>Mount Kenya,</t>
  </si>
  <si>
    <t>mouth of the Monongahela River</t>
  </si>
  <si>
    <t>What is the first major bend in the Rhine called?</t>
  </si>
  <si>
    <t>The fundamental theorem of arithmetic continues to hold in unique factorization domains. An example of such a domain is the Gaussian integers Z[i], that is, the set of complex numbers of the form a + bi where i denotes the imaginary unit and a and b are arbitrary integers. Its prime elements are known as Gaussian primes. Not every prime (in Z) is a Gaussian prime: in the bigger ring Z[i], 2 factors into the product of the two Gaussian primes (1 + i) and (1 − i). Rational primes (i.e. prime elements in Z) of the form 4k + 3 are Gaussian primes, whereas rational primes of the form 4k + 1 are not.</t>
  </si>
  <si>
    <t>What did Thoreau ask a public figure the taxman to do?</t>
  </si>
  <si>
    <t>9:00 a.m. until 6:00 p.m</t>
  </si>
  <si>
    <t>death</t>
  </si>
  <si>
    <t>at Charles-Ferdinand University</t>
  </si>
  <si>
    <t>When did Warsaw become the capital of the Kingdom of Poland?</t>
  </si>
  <si>
    <t>What is the name given to the university's main library?</t>
  </si>
  <si>
    <t>What did Kuznets argue resulted from stages of development?</t>
  </si>
  <si>
    <t>every two years when the Harvard and Yale Track and Field teams come together to compete against a combined Oxford University and Cambridge University team</t>
  </si>
  <si>
    <t>How much is terra preta distributed over the Amazon forest?</t>
  </si>
  <si>
    <t>Antigens bind to what in order to elicit a response of the immune system?</t>
  </si>
  <si>
    <t>Martin_Luther</t>
  </si>
  <si>
    <t>new Apollo spacesuit</t>
  </si>
  <si>
    <t>most isolated areas</t>
  </si>
  <si>
    <t>The Yuan undertook extensive public works. Among Kublai Khan's top engineers and scientists was the astronomer Guo Shoujing, who was tasked with many public works projects and helped the Yuan reform the lunisolar calendar to provide an accuracy of 365.2425 days of the year, which was only 26 seconds off the modern Gregorian calendar's measurement. Road and water communications were reorganized and improved. To provide against possible famines, granaries were ordered built throughout the empire. The city of Beijing was rebuilt with new palace grounds that included artificial lakes, hills and mountains, and parks. During the Yuan period, Beijing became the terminus of the Grand Canal of China, which was completely renovated. These commercially oriented improvements encouraged overland and maritime commerce throughout Asia and facilitated direct Chinese contacts with Europe. Chinese travelers to the West were able to provide assistance in such areas as hydraulic engineering. Contacts with the West also brought the introduction to China of a major food crop, sorghum, along with other foreign food products and methods of preparation.</t>
  </si>
  <si>
    <t>Amazonia: Man and Culture in a Counterfeit Paradise</t>
  </si>
  <si>
    <t>how the Christian ought to live</t>
  </si>
  <si>
    <t>they exhibit a distinct chloroplast dimorphism</t>
  </si>
  <si>
    <t>his cultural contribution</t>
  </si>
  <si>
    <t>What have the Treaties sought to enable since its foundation?</t>
  </si>
  <si>
    <t>The common allotrope of elemental oxygen on Earth is called dioxygen, O
2. It is the form that is a major part of the Earth's atmosphere (see Occurrence). O2 has a bond length of 121 pm and a bond energy of 498 kJ·mol−1, which is smaller than the energy of other double bonds or pairs of single bonds in the biosphere and responsible for the exothermic reaction of O2 with any organic molecule. Due to its energy content, O2 is used by complex forms of life, such as animals, in cellular respiration (see Biological role). Other aspects of O
2 are covered in the remainder of this article.</t>
  </si>
  <si>
    <t>What country has a problem with classroom discipline, even though scores on tests are high?</t>
  </si>
  <si>
    <t>How much capital did Danish law require to start a company?</t>
  </si>
  <si>
    <t>For how long did Huguenots continue to use French names?</t>
  </si>
  <si>
    <t>What was the centrifugal governor incapable of doing?</t>
  </si>
  <si>
    <t>What is the process of constructing a building or infrastructure?</t>
  </si>
  <si>
    <t>What anniversary of the Pokémon franchise was celebrated during the Super Bowl?</t>
  </si>
  <si>
    <t>Justifying Grace</t>
  </si>
  <si>
    <t>What has recent testing of Kuznets theory with superior data show it to be?</t>
  </si>
  <si>
    <t>writings and comments.</t>
  </si>
  <si>
    <t>flammable cabin and space suit materials.</t>
  </si>
  <si>
    <t>white light</t>
  </si>
  <si>
    <t>Who were the Westwood one color analysts?</t>
  </si>
  <si>
    <t>private confession</t>
  </si>
  <si>
    <t>emissions per person</t>
  </si>
  <si>
    <t>a painting</t>
  </si>
  <si>
    <t>external combustion engines</t>
  </si>
  <si>
    <t>What does 'Pax Mongolica' mean?</t>
  </si>
  <si>
    <t>Rome</t>
  </si>
  <si>
    <t>motifs for shine-dalgarno sequence recognition</t>
  </si>
  <si>
    <t>Why were vocational subjects most important?</t>
  </si>
  <si>
    <t>The Deadly Assassin</t>
  </si>
  <si>
    <t>a small portion of the population lives off unearned property income</t>
  </si>
  <si>
    <t>The plague disease, caused by Yersinia pestis, is enzootic (commonly present) in populations of fleas carried by ground rodents, including marmots, in various areas including Central Asia, Kurdistan, Western Asia, Northern India and Uganda. Nestorian graves dating to 1338–39 near Lake Issyk Kul in Kyrgyzstan have inscriptions referring to plague and are thought by many epidemiologists to mark the outbreak of the epidemic, from which it could easily have spread to China and India. In October 2010, medical geneticists suggested that all three of the great waves of the plague originated in China. In China, the 13th century Mongol conquest caused a decline in farming and trading. However, economic recovery had been observed at the beginning of the 14th century. In the 1330s a large number of natural disasters and plagues led to widespread famine, starting in 1331, with a deadly plague arriving soon after. Epidemics that may have included plague killed an estimated 25 million Chinese and other Asians during the 15 years before it reached Constantinople in 1347.</t>
  </si>
  <si>
    <t>Why was ABC forced to sell its interests in international networks in the 70s?</t>
  </si>
  <si>
    <t>new storage space for books in the Art Library</t>
  </si>
  <si>
    <t>oxygen is the third-most abundant element in the universe, after hydrogen and helium</t>
  </si>
  <si>
    <t>Überseering BV v Nordic Construction GmbH</t>
  </si>
  <si>
    <t>How do private schools in Ireland differ from most?</t>
  </si>
  <si>
    <t>What was a plugs-out test done to simulate on the LC-34?</t>
  </si>
  <si>
    <t>The complexity of problems often depends on what?</t>
  </si>
  <si>
    <t>Kublai readied the move of the Mongol capital from Karakorum in Mongolia to Khanbaliq in 1264, constructing a new city near the former Jurchen capital Zhongdu, now modern Beijing, in 1266. In 1271, Kublai formally claimed the Mandate of Heaven and declared that 1272 was the first year of the Great Yuan (Chinese: 大元) in the style of a traditional Chinese dynasty. The name of the dynasty originated from the I Ching and describes the "origin of the universe" or a "primal force". Kublai proclaimed Khanbaliq the "Great Capital" or Daidu (Dadu, Chinese: 大都 in Chinese) of the dynasty. The era name was changed to Zhiyuan to herald a new era of Chinese history. The adoption of a dynastic name legitimized Mongol rule by integrating the government into the narrative of traditional Chinese political succession. Khublai evoked his public image as a sage emperor by following the rituals of Confucian propriety and ancestor veneration, while simultaneously retaining his roots as a leader from the steppes.</t>
  </si>
  <si>
    <t>center of the curving path.</t>
  </si>
  <si>
    <t>enable school drop-outs at all levels either to be self-employed or to secure employment</t>
  </si>
  <si>
    <t>killer cell immunoglobulin receptors (KIR)</t>
  </si>
  <si>
    <t>During what period did downtown Fresno thrive?</t>
  </si>
  <si>
    <t>What are longer growth spells associated with?</t>
  </si>
  <si>
    <t>What publication did Philip Howard work for?</t>
  </si>
  <si>
    <t>50–140 cm</t>
  </si>
  <si>
    <t>Following the Cretaceous–Paleogene extinction event, the extinction of the dinosaurs and the wetter climate may have allowed the tropical rainforest to spread out across the continent. From 66–34 Mya, the rainforest extended as far south as 45°. Climate fluctuations during the last 34 million years have allowed savanna regions to expand into the tropics. During the Oligocene, for example, the rainforest spanned a relatively narrow band. It expanded again during the Middle Miocene, then retracted to a mostly inland formation at the last glacial maximum. However, the rainforest still managed to thrive during these glacial periods, allowing for the survival and evolution of a broad diversity of species.</t>
  </si>
  <si>
    <t>What did Standard &amp; Poor recommend to speed economy recovery?</t>
  </si>
  <si>
    <t>Which NASA location came around last to the idea of the LOR?</t>
  </si>
  <si>
    <t>Who added to Dioscorides' book in the Islamic Golden Age?</t>
  </si>
  <si>
    <t>amongst the elected MSPs</t>
  </si>
  <si>
    <t>unbalanced torque</t>
  </si>
  <si>
    <t>Treaties apply as soon as they enter into force</t>
  </si>
  <si>
    <t>Protestant clergy to marry.</t>
  </si>
  <si>
    <t>What was the time on the clock when Carolina got the ball to their 24-yard line in the fourth quarter?</t>
  </si>
  <si>
    <t>What does Warszawa mean in Polish?</t>
  </si>
  <si>
    <t>A prime number (or a prime) is a natural number greater than 1 that has no positive divisors other than 1 and itself. A natural number greater than 1 that is not a prime number is called a composite number. For example, 5 is prime because 1 and 5 are its only positive integer factors, whereas 6 is composite because it has the divisors 2 and 3 in addition to 1 and 6. The fundamental theorem of arithmetic establishes the central role of primes in number theory: any integer greater than 1 can be expressed as a product of primes that is unique up to ordering. The uniqueness in this theorem requires excluding 1 as a prime because one can include arbitrarily many instances of 1 in any factorization, e.g., 3, 1 · 3, 1 · 1 · 3, etc. are all valid factorizations of 3.</t>
  </si>
  <si>
    <t>the original Fresno County Courthouse (demolished), the Fresno Carnegie Public Library (demolished)</t>
  </si>
  <si>
    <t>capability deprivation</t>
  </si>
  <si>
    <t>Second law</t>
  </si>
  <si>
    <t>What is a chlorenchyma cell?</t>
  </si>
  <si>
    <t>the Great North Run</t>
  </si>
  <si>
    <t>15–1</t>
  </si>
  <si>
    <t>About 15 kilometres</t>
  </si>
  <si>
    <t>petroleum</t>
  </si>
  <si>
    <t>Assuming p is a prime other than 2 or 5, then, according to Fermat's theorem, what type of decimal will 1/p always be?</t>
  </si>
  <si>
    <t>high</t>
  </si>
  <si>
    <t>What shape is Chlamydomonas's chloroplasts?</t>
  </si>
  <si>
    <t>lasting damage</t>
  </si>
  <si>
    <t>The party, or parties, that hold the majority of seats in the Parliament forms the Scottish Government. In contrast to many other parliamentary systems, Parliament elects a First Minister from a number of candidates at the beginning of each parliamentary term (after a general election). Any member can put their name forward to be First Minister, and a vote is taken by all members of Parliament. Normally, the leader of the largest party is returned as First Minister, and head of the Scottish Government. Theoretically, Parliament also elects the Scottish Ministers who form the government of Scotland and sit in the Scottish cabinet, but such ministers are, in practice, appointed to their roles by the First Minister. Junior ministers, who do not attend cabinet, are also appointed to assist Scottish ministers in their departments. Most ministers and their juniors are drawn from amongst the elected MSPs, with the exception of Scotland's Chief Law Officers: the Lord Advocate and the Solicitor General. Whilst the First Minister chooses the ministers – and may decide to remove them at any time – the formal appointment or dismissal is made by the Sovereign.</t>
  </si>
  <si>
    <t>Resources are constrained by hierarchy theorems to produce what?</t>
  </si>
  <si>
    <t>What type of gradients are formed by faulting and other deformational processes?</t>
  </si>
  <si>
    <t>green algal</t>
  </si>
  <si>
    <t>Alps</t>
  </si>
  <si>
    <t>literature, cartography, geography, and scientific education</t>
  </si>
  <si>
    <t>In an ideal moral society, what would all citizens be free from?</t>
  </si>
  <si>
    <t>What is the concept of the visible and invisible Church?</t>
  </si>
  <si>
    <t>What song did Coldplay and Beyoncé collaborate on for the Super Bowl 50 halftime show?</t>
  </si>
  <si>
    <t>learning</t>
  </si>
  <si>
    <t>The Lucas–Lehmer test</t>
  </si>
  <si>
    <t>application of electricity</t>
  </si>
  <si>
    <t>(high supply) competing for a job that few require (low demand)</t>
  </si>
  <si>
    <t>primarily along the frontiers between New France and the British colonies</t>
  </si>
  <si>
    <t>What kind of immune system do bacteria have?</t>
  </si>
  <si>
    <t>Genghis Khan's children</t>
  </si>
  <si>
    <t>strict, conservative</t>
  </si>
  <si>
    <t>How many touchdowns did Manning throw in the game?</t>
  </si>
  <si>
    <t>pressure terms</t>
  </si>
  <si>
    <t>sale of indulgences</t>
  </si>
  <si>
    <t>Aside from firebox, what is another name for the space in which combustible material is burned in the engine?</t>
  </si>
  <si>
    <t>Of what length are engine cycle events when the simplest valve gears are used?</t>
  </si>
  <si>
    <t>Taihō Code</t>
  </si>
  <si>
    <t>optimizes the use of medication and promotes health, wellness, and disease prevention</t>
  </si>
  <si>
    <t>What problems did the Yuan dynasty have near its end?</t>
  </si>
  <si>
    <t>Bolshevik leaders</t>
  </si>
  <si>
    <t>Were the centers profitable</t>
  </si>
  <si>
    <t>levels of economic inequality</t>
  </si>
  <si>
    <t>accompanying documents – Explanatory Notes</t>
  </si>
  <si>
    <t>series 1,</t>
  </si>
  <si>
    <t>Ersatzschulen are ordinary primary or secondary schools, which are run by private individuals, private organizations or religious groups. These schools offer the same types of diplomas as public schools. Ersatzschulen lack the freedom to operate completely outside of government regulation. Teachers at Ersatzschulen must have at least the same education and at least the same wages as teachers at public schools, an Ersatzschule must have at least the same academic standards as a public school and Article 7, Paragraph 4 of the Grundgesetz, also forbids segregation of pupils according to the means of their parents (the so-called Sonderungsverbot). Therefore, most Ersatzschulen have very low tuition fees and/or offer scholarships, compared to most other Western European countries. However, it is not possible to finance these schools with such low tuition fees, which is why all German Ersatzschulen are additionally financed with public funds. The percentages of public money could reach 100% of the personnel expenditures. Nevertheless, Private Schools became insolvent in the past in Germany.</t>
  </si>
  <si>
    <t>second stage</t>
  </si>
  <si>
    <t>Members of the United Methodist Church</t>
  </si>
  <si>
    <t>mathematical models</t>
  </si>
  <si>
    <t>What was the name of the 2007 Christmas special?</t>
  </si>
  <si>
    <t>What does the KCPE determine?</t>
  </si>
  <si>
    <t>impossible</t>
  </si>
  <si>
    <t>Whose authority did Luther's theology oppose?</t>
  </si>
  <si>
    <t>The primary law of the EU consists mainly of the founding treaties, the "core" treaties being the Treaty on European Union (TEU) and the Treaty on the Functioning of the European Union (TFEU). The Treaties contain formal and substantive provisions, which frame policies of the European Union institutions and determine the division of competences between the European Union and its member states. The TEU establishes that European Union law applies to the metropolitan territories of the member states, as well as certain islands and overseas territories, including Madeira, the Canary Islands and the French overseas departments. European Union law also applies in territories where a member state is responsible for external relations, for example Gibraltar and the Åland islands. The TEU allows the European Council to make specific provisions for regions, as for example done for customs matters in Gibraltar and Saint-Pierre-et-Miquelon. The TEU specifically excludes certain regions, for example the Faroe Islands, from the jurisdiction of European Union law. Treaties apply as soon as they enter into force, unless stated otherwise, and are generally concluded for an unlimited period. The TEU provides that commitments entered into by the member states between themselves before the treaty was signed no longer apply.[vague] All EU member states are regarded as subject to the general obligation of the principle of cooperation, as stated in the TEU, whereby member states are obliged not to take measure which could jeopardise the attainment of the TEU objectives. The Court of Justice of the European Union can interpret the Treaties, but it cannot rule on their validity, which is subject to international law. Individuals may rely on primary law in the Court of Justice of the European Union if the Treaty provisions have a direct effect and they are sufficiently clear, precise and unconditional.</t>
  </si>
  <si>
    <t>phagocytic cells</t>
  </si>
  <si>
    <t>How has civil disobedience evolved in current times?</t>
  </si>
  <si>
    <t>cancer, hepatitis, and rheumatoid arthritis</t>
  </si>
  <si>
    <t>making it seem like climate change is more serious by overstating the impact</t>
  </si>
  <si>
    <t>What did Kllbrandon's report in 1973 recommend establishing?</t>
  </si>
  <si>
    <t>superintendent of New York City schools</t>
  </si>
  <si>
    <t>The Ninety-Five Theses.</t>
  </si>
  <si>
    <t>What was planned for Luther by Frederick III after the meeting?</t>
  </si>
  <si>
    <t>Oneida Carry</t>
  </si>
  <si>
    <t>Like other historic Christian churches, The United Methodist Church has official liturgies for services of Holy Communion, baptism, weddings, funerals, ordination, anointing of the sick and daily office prayer services. Some clergy offer healing services, while exorcism is an occasional practice by some clergy in The United Methodist Church in Africa. These services involve the laying on of hands and anointing with oil. Along with these, there are also special services for holy days such as All Saints Day, Ash Wednesday, Maundy Thursday, Good Friday, and Easter Vigil. These services are contained in The United Methodist Hymnal and The United Methodist Book of Worship (1992). Many of these liturgies are derived from the Anglican tradition's Book of Common Prayer. In most cases, congregations also use other elements of liturgical worship, such as candles, vestments, paraments, banners, and liturgical art.</t>
  </si>
  <si>
    <t>10 o'clock tea (chai ya saa nne) and 4 pm tea</t>
  </si>
  <si>
    <t>What did the Merwede-Oude Maas form with Waal and Lek?</t>
  </si>
  <si>
    <t>What is the largest denomination within the wider Methodist movement?</t>
  </si>
  <si>
    <t>What was the most important discovery that led to the understanding that Earth's lithosphere is separated into tectonic plates?</t>
  </si>
  <si>
    <t>Is the UMC pro-life or pro-choice?</t>
  </si>
  <si>
    <t>3.5 million</t>
  </si>
  <si>
    <t>a University of North Florida team</t>
  </si>
  <si>
    <t>Edinburgh</t>
  </si>
  <si>
    <t>a new playing surface</t>
  </si>
  <si>
    <t>What ranking in terms of busiest airports from international passenger volume is the Los Angeles International Airport?</t>
  </si>
  <si>
    <t>Thomas Vasey and Richard Whatcoat.</t>
  </si>
  <si>
    <t>required education of children as Catholics</t>
  </si>
  <si>
    <t>the same force of gravity if the acceleration due to gravity decreased as an inverse square law.</t>
  </si>
  <si>
    <t>What title was the Social Charter set to be included into the Maastricht treaty under?</t>
  </si>
  <si>
    <t>more than 4 kilometers</t>
  </si>
  <si>
    <t>Lucas–Lehmer</t>
  </si>
  <si>
    <t>mercuric oxide</t>
  </si>
  <si>
    <t>Diseases of poverty directly correlate with a country's economic performance and wealth distribution: Half of Kenyans live below the poverty level. Preventable diseases like malaria, HIV/AIDS, pneumonia, diarrhoea and malnutrition are the biggest burden, major child-killers, and responsible for much morbidity; weak policies, corruption, inadequate health workers, weak management and poor leadership in the public health sector are largely to blame. According to 2009 estimates, HIV prevalence is about 6.3% of the adult population. However, the 2011 UNAIDS Report suggests that the HIV epidemic may be improving in Kenya, as HIV prevalence is declining among young people (ages 15–24) and pregnant women. Kenya had an estimated 15 million cases of malaria in 2006.</t>
  </si>
  <si>
    <t>the noisiest city in the whole of the UK</t>
  </si>
  <si>
    <t>coastal beaches and the game reserves,</t>
  </si>
  <si>
    <t>For a phylum with relatively few species, ctenophores have a wide range of body plans. Coastal species need to be tough enough to withstand waves and swirling sediment particles, while some oceanic species are so fragile that it is very difficult to capture them intact for study. In addition oceanic species do not preserve well, and are known mainly from photographs and from observers' notes. Hence most attention has until recently concentrated on three coastal genera – Pleurobrachia, Beroe and Mnemiopsis. At least two textbooks base their descriptions of ctenophores on the cydippid Pleurobrachia.</t>
  </si>
  <si>
    <t>The energy crisis led to greater interest in renewable energy, nuclear power and domestic fossil fuels. There is criticism that American energy policies since the crisis have been dominated by crisis-mentality thinking, promoting expensive quick fixes and single-shot solutions that ignore market and technology realities. Instead of providing stable rules that support basic research while leaving plenty of scope for entrepreneurship and innovation, congresses and presidents have repeatedly backed policies which promise solutions that are politically expedient, but whose prospects are doubtful.</t>
  </si>
  <si>
    <t>What is a major importance of Southern California in relation to California and the United States?</t>
  </si>
  <si>
    <t>The original logo</t>
  </si>
  <si>
    <t>after the Franco-German War,</t>
  </si>
  <si>
    <t>On some nights how late did Tesla work until?</t>
  </si>
  <si>
    <t>people who give services "for remuneration", especially commercial or professional activity</t>
  </si>
  <si>
    <t>integer factorization problem</t>
  </si>
  <si>
    <t>constant flooding and strong sedimentation</t>
  </si>
  <si>
    <t>gas turbines</t>
  </si>
  <si>
    <t>steamboats</t>
  </si>
  <si>
    <t>opened the gates</t>
  </si>
  <si>
    <t>10% and 18%</t>
  </si>
  <si>
    <t xml:space="preserve">Where did scientists find their Y. pestis sample? </t>
  </si>
  <si>
    <t>gradual</t>
  </si>
  <si>
    <t>Christopher Hay and Douglas Coyne</t>
  </si>
  <si>
    <t>What was Houghton's role?</t>
  </si>
  <si>
    <t>The owner produces a list of requirements for a project, giving an overall view of the project's goals. Several D&amp;B contractors present different ideas about how to accomplish these goals. The owner selects the ideas he or she likes best and hires the appropriate contractor. Often, it is not just one contractor, but a consortium of several contractors working together. Once these have been hired, they begin building the first phase of the project. As they build phase 1, they design phase 2. This is in contrast to a design-bid-build contract, where the project is completely designed by the owner, then bid on, then completed.</t>
  </si>
  <si>
    <t>How long did it take for the Theses to spread through Europe?</t>
  </si>
  <si>
    <t>every five years,</t>
  </si>
  <si>
    <t>If an extraordinary election is held within less than six months before the date of an ordinary election, what does it do to the ordinary election?</t>
  </si>
  <si>
    <t>What period did plates reverse directions to compress the Tethys floor?</t>
  </si>
  <si>
    <t>hemicycle</t>
  </si>
  <si>
    <t>complexity measure</t>
  </si>
  <si>
    <t>Which part of China had people ranked lower in the class system?</t>
  </si>
  <si>
    <t>What was the focus of Luther's last sermon?</t>
  </si>
  <si>
    <t>curved</t>
  </si>
  <si>
    <t>Federal Minister of the Interior</t>
  </si>
  <si>
    <t>Full citizenship rights</t>
  </si>
  <si>
    <t>canalized section</t>
  </si>
  <si>
    <t>15th-century</t>
  </si>
  <si>
    <t>in the condenser</t>
  </si>
  <si>
    <t>a competition between rival lighting systems</t>
  </si>
  <si>
    <t>heart disease, chronic pain, and asthma</t>
  </si>
  <si>
    <t>temporal authorities</t>
  </si>
  <si>
    <t>What advise did Thoreau give the tax collector when unable to perform his duty?</t>
  </si>
  <si>
    <t>Lutheran views,</t>
  </si>
  <si>
    <t>What can't Parliament do that causes equality and democracy to be deficient?</t>
  </si>
  <si>
    <t>the machine oscillated at the resonance frequency of his own building</t>
  </si>
  <si>
    <t>individually, sometimes resulting in different paths and out-of-order delivery</t>
  </si>
  <si>
    <t>18–49 demographic</t>
  </si>
  <si>
    <t>national networks</t>
  </si>
  <si>
    <t>What are MPs unable to vote upon?</t>
  </si>
  <si>
    <t>What causes strain in structures?</t>
  </si>
  <si>
    <t>How many dairy cows are there in Australia?</t>
  </si>
  <si>
    <t>Plastoglobuli (singular plastoglobulus, sometimes spelled plastoglobule(s)), are spherical bubbles of lipids and proteins about 45–60 nanometers across. They are surrounded by a lipid monolayer. Plastoglobuli are found in all chloroplasts, but become more common when the chloroplast is under oxidative stress, or when it ages and transitions into a gerontoplast. Plastoglobuli also exhibit a greater size variation under these conditions. They are also common in etioplasts, but decrease in number as the etioplasts mature into chloroplasts.</t>
  </si>
  <si>
    <t>the tension force on a load can be multiplied</t>
  </si>
  <si>
    <t>night</t>
  </si>
  <si>
    <t>Doctor Who is a British science-fiction television programme produced by the BBC since 1963. The programme depicts the adventures of the Doctor, a Time Lord—a space and time-travelling humanoid alien. He explores the universe in his TARDIS, a sentient time-travelling space ship. Its exterior appears as a blue British police box, which was a common sight in Britain in 1963 when the series first aired. Accompanied by companions, the Doctor combats a variety of foes, while working to save civilisations and help people in need.</t>
  </si>
  <si>
    <t>ferrying crews to a space station, circumlunar flights, and eventual manned lunar landings</t>
  </si>
  <si>
    <t>Oxygen gas (O
2) can be toxic at elevated partial pressures, leading to convulsions and other health problems.[j] Oxygen toxicity usually begins to occur at partial pressures more than 50 kilopascals (kPa), equal to about 50% oxygen composition at standard pressure or 2.5 times the normal sea-level O
2 partial pressure of about 21 kPa. This is not a problem except for patients on mechanical ventilators, since gas supplied through oxygen masks in medical applications is typically composed of only 30%–50% O
2 by volume (about 30 kPa at standard pressure). (although this figure also is subject to wide variation, depending on type of mask).</t>
  </si>
  <si>
    <t>productivity gap between highly-paid professions and lower-paid professions</t>
  </si>
  <si>
    <t xml:space="preserve">How did the Rhine extend watershed southward? </t>
  </si>
  <si>
    <t>January 1964, until it achieved the first manned landing in July 1969</t>
  </si>
  <si>
    <t>What do FtsZ1 and FtsZ2 combine into?</t>
  </si>
  <si>
    <t>design-build, partnering and construction management</t>
  </si>
  <si>
    <t>One of the rarest items in the collection is the 58 cm high Gloucester Candlestick, dated to c1110, made from gilt bronze; with highly elaborate and intricate intertwining branches containing small figures and inscriptions, it is a tour de force of bronze casting. Also of importance is the Becket Casket dated c1180 to contain relics of St Thomas Becket, made from gilt copper, with enamelled scenes of the saint's martyrdom. Another highlight is the 1351 Reichenau Crozier. The Burghley Nef, a salt-cellar, French, dated 1527–28, uses a nautilus shell to form the hull of a vessel, which rests on the tail of a parcelgilt mermaid, who rests on a hexagonal gilt plinth on six claw-and-ball feet. Both masts have main and top-sails, and battlemented fighting-tops are made from gold. These items are displayed in the new Medieval &amp; Renaissance galleries.</t>
  </si>
  <si>
    <t>What damaged the color TV camera that Apollo 12 had taken into space?</t>
  </si>
  <si>
    <t>What two artists came out with Coldplay during the half-time show?</t>
  </si>
  <si>
    <t>the main hall</t>
  </si>
  <si>
    <t>The European Commission</t>
  </si>
  <si>
    <t>the greater Southern California Megaregion</t>
  </si>
  <si>
    <t>undermine the law by encouraging general disobedience which is neither conscientious nor of social benefit</t>
  </si>
  <si>
    <t>(p − 1)! + 1</t>
  </si>
  <si>
    <t>greatest antisemite</t>
  </si>
  <si>
    <t>3 in 1,000,000</t>
  </si>
  <si>
    <t>On 24 March 1879</t>
  </si>
  <si>
    <t>142 pounds</t>
  </si>
  <si>
    <t>numeracy</t>
  </si>
  <si>
    <t>relatively low salaries</t>
  </si>
  <si>
    <t>Wesleyan theology stands at a unique cross-roads between evangelical and sacramental, between liturgical and charismatic, and between Anglo-Catholic and Reformed theology and practice. It has been characterized as Arminian theology with an emphasis on the work of the Holy Spirit to bring holiness into the life of the participating believer. The United Methodist Church believes in prima scriptura, seeing the Holy Bible as the primary authority in the Church and using sacred tradition, reason, and experience to interpret it, with the aid of the Holy Spirit (see Wesleyan Quadrilateral). Therefore, according to The Book of Discipline, United Methodist theology is at once "catholic, evangelical, and reformed." Today, the UMC is generally considered one of the more moderate and tolerant denominations with respect to race, gender, and ideology, though the denomination itself actually includes a very wide spectrum of attitudes. Comparatively, the UMC stands to the right of liberal and progressive Protestant groups such as the United Church of Christ and the Episcopal Church on certain issues (especially regarding sexuality), but to the left of historically conservative evangelical traditions such as the Southern Baptists and Pentecostalism, in regard to theological matters such as social justice and Biblical interpretation. However, it should be noted that the UMC is made up of a broad diversity of thought, and so there are many clergy and laity within the UMC that hold differing viewpoints on such theological matters.</t>
  </si>
  <si>
    <t>What are some advantages of hospital pharmacies?</t>
  </si>
  <si>
    <t>murder of Christ</t>
  </si>
  <si>
    <t>between November 2006 and May 2008</t>
  </si>
  <si>
    <t>sodium carbonate and potassium carbonate</t>
  </si>
  <si>
    <t>England's best-looking city</t>
  </si>
  <si>
    <t>What does the sector known as Jua Kali engage in?</t>
  </si>
  <si>
    <t>Not all cells in a multicellular plant contain chloroplasts. All green parts of a plant contain chloroplasts—the chloroplasts, or more specifically, the chlorophyll in them are what make the photosynthetic parts of a plant green. The plant cells which contain chloroplasts are usually parenchyma cells, though chloroplasts can also be found in collenchyma tissue. A plant cell which contains chloroplasts is known as a chlorenchyma cell. A typical chlorenchyma cell of a land plant contains about 10 to 100 chloroplasts.</t>
  </si>
  <si>
    <t>its safaris, diverse climate and geography, and expansive wildlife reserves and national parks</t>
  </si>
  <si>
    <t>22 May 2006</t>
  </si>
  <si>
    <t>Kuznets curve hypothesis</t>
  </si>
  <si>
    <t>MHC class I</t>
  </si>
  <si>
    <t>internal combustion engines</t>
  </si>
  <si>
    <t>the late 1920s</t>
  </si>
  <si>
    <t>How far is Jacksonville from Miami?</t>
  </si>
  <si>
    <t>the remainder of the British Isles</t>
  </si>
  <si>
    <t>Warsaw's name in the Polish language is Warszawa, approximately /vɑːrˈʃɑːvə/ (also formerly spelled Warszewa and Warszowa), meaning "belonging to Warsz", Warsz being a shortened form of the masculine name of Slavic origin Warcisław; see also etymology of Wrocław. Folk etymology attributes the city name to a fisherman, Wars, and his wife, Sawa. According to legend, Sawa was a mermaid living in the Vistula River with whom Wars fell in love. In actuality, Warsz was a 12th/13th-century nobleman who owned a village located at the modern-day site of Mariensztat neighbourhood. See also the Vršovci family which had escaped to Poland. The official city name in full is miasto stołeczne Warszawa (English: "The Capital City of Warsaw"). A native or resident of Warsaw is known as a Varsovian – in Polish warszawiak (male), warszawianka (female), warszawiacy (plural).</t>
  </si>
  <si>
    <t>burning combustible materials</t>
  </si>
  <si>
    <t>they owned the Ohio Country</t>
  </si>
  <si>
    <t>wid[en] people’s choices and the level of their achieved well-being</t>
  </si>
  <si>
    <t>Along with location, endowment and the willingness of parents to pay, what factor influences private school tuition?</t>
  </si>
  <si>
    <t>the 1960s</t>
  </si>
  <si>
    <t>soy farmers</t>
  </si>
  <si>
    <t>How many areas were impacted by the the death of vegetation in the 2010 drought?</t>
  </si>
  <si>
    <t>the Bible in vernacular languages</t>
  </si>
  <si>
    <t>Immunodeficiency</t>
  </si>
  <si>
    <t>long, slender tentacles</t>
  </si>
  <si>
    <t>What impact does higher worker productivity and leveled pay have on higher earners?</t>
  </si>
  <si>
    <t>additional membranes</t>
  </si>
  <si>
    <t>sarcasm and attempts to humiliate pupils</t>
  </si>
  <si>
    <t>paying his rent</t>
  </si>
  <si>
    <t>Exodus</t>
  </si>
  <si>
    <t>Who wants a more confrontational type of discipline?</t>
  </si>
  <si>
    <t>What caused UK to have an oil crisis in its own country?</t>
  </si>
  <si>
    <t>Where did the family move in 1862?</t>
  </si>
  <si>
    <t>2001</t>
  </si>
  <si>
    <t>one advanced course every three years</t>
  </si>
  <si>
    <t>graze</t>
  </si>
  <si>
    <t>long-run economic growth</t>
  </si>
  <si>
    <t>Museum of Independence</t>
  </si>
  <si>
    <t>the original force</t>
  </si>
  <si>
    <t>religious orders</t>
  </si>
  <si>
    <t>Temecula and Murrieta</t>
  </si>
  <si>
    <t>What is responsible for constraining P according to the time hierarchy theorem?</t>
  </si>
  <si>
    <t>What are chloroplasts descended from?</t>
  </si>
  <si>
    <t>What are some existing facilities?</t>
  </si>
  <si>
    <t>sorcery</t>
  </si>
  <si>
    <t>Evolution of what part of the immune system occurred in the evolutionary ancestor of jawed vertebrates?</t>
  </si>
  <si>
    <t>The development of plate tectonics provided a physical basis for many observations of the solid Earth. Long linear regions of geologic features could be explained as plate boundaries. Mid-ocean ridges, high regions on the seafloor where hydrothermal vents and volcanoes exist, were explained as divergent boundaries, where two plates move apart. Arcs of volcanoes and earthquakes were explained as convergent boundaries, where one plate subducts under another. Transform boundaries, such as the San Andreas fault system, resulted in widespread powerful earthquakes. Plate tectonics also provided a mechanism for Alfred Wegener's theory of continental drift, in which the continents move across the surface of the Earth over geologic time. They also provided a driving force for crustal deformation, and a new setting for the observations of structural geology. The power of the theory of plate tectonics lies in its ability to combine all of these observations into a single theory of how the lithosphere moves over the convecting mantle.</t>
  </si>
  <si>
    <t>reneged</t>
  </si>
  <si>
    <t>Arabic</t>
  </si>
  <si>
    <t>the basis of the methodology used</t>
  </si>
  <si>
    <t>Computational_complexity_theory</t>
  </si>
  <si>
    <t>Paleoclimatologists measure the ratio of oxygen-18 and oxygen-16 in the shells and skeletons of marine organisms to determine what the climate was like millions of years ago (see oxygen isotope ratio cycle). Seawater molecules that contain the lighter isotope, oxygen-16, evaporate at a slightly faster rate than water molecules containing the 12% heavier oxygen-18; this disparity increases at lower temperatures. During periods of lower global temperatures, snow and rain from that evaporated water tends to be higher in oxygen-16, and the seawater left behind tends to be higher in oxygen-18. Marine organisms then incorporate more oxygen-18 into their skeletons and shells than they would in a warmer climate. Paleoclimatologists also directly measure this ratio in the water molecules of ice core samples that are up to several hundreds of thousands of years old.</t>
  </si>
  <si>
    <t>at least some pre-planning and Christian burials</t>
  </si>
  <si>
    <t>of marginal significance</t>
  </si>
  <si>
    <t>What are PD rings?</t>
  </si>
  <si>
    <t>Which other ancient organism formed basic immune mechanisms?</t>
  </si>
  <si>
    <t>When was there a sharp rise in nationalism in Scotland?</t>
  </si>
  <si>
    <t>Who was exempt from the meritocratic principles of the Mongol Empire?</t>
  </si>
  <si>
    <t>Pathogen-associated molecular patterns</t>
  </si>
  <si>
    <t>Who warned of the potential impact?</t>
  </si>
  <si>
    <t>basic necessities</t>
  </si>
  <si>
    <t>Teaching</t>
  </si>
  <si>
    <t>last glacial maximum</t>
  </si>
  <si>
    <t>theatres</t>
  </si>
  <si>
    <t>international recognition</t>
  </si>
  <si>
    <t>simultaneous</t>
  </si>
  <si>
    <t>the desire to prevent things that are indisputably bad</t>
  </si>
  <si>
    <t>Cretaceous–Paleogene extinction</t>
  </si>
  <si>
    <t>What soap opera is currently featured in ABC's daytime programming?</t>
  </si>
  <si>
    <t>Croatia</t>
  </si>
  <si>
    <t>Currently detention is one of the most common punishments in schools in the United States, the UK, Ireland, Singapore and other countries. It requires the pupil to remain in school at a given time in the school day (such as lunch, recess or after school); or even to attend school on a non-school day, e.g. "Saturday detention" held at some schools. During detention, students normally have to sit in a classroom and do work, write lines or a punishment essay, or sit quietly.</t>
  </si>
  <si>
    <t>Almost all ctenophores are predators – there are no vegetarians and only one genus that is partly parasitic. If food is plentiful, they can eat 10 times their own weight per day. While Beroe preys mainly on other ctenophores, other surface-water species prey on zooplankton (planktonic animals) ranging in size from the microscopic, including mollusc and fish larvae, to small adult crustaceans such as copepods, amphipods, and even krill. Members of the genus Haeckelia prey on jellyfish and incorporate their prey's nematocysts (stinging cells) into their own tentacles instead of colloblasts. Ctenophores have been compared to spiders in their wide range of techniques from capturing prey – some hang motionless in the water using their tentacles as "webs", some are ambush predators like Salticid jumping spiders, and some dangle a sticky droplet at the end of a fine thread, as bolas spiders do. This variety explains the wide range of body forms in a phylum with rather few species. The two-tentacled "cydippid" Lampea feeds exclusively on salps, close relatives of sea-squirts that form large chain-like floating colonies, and juveniles of Lampea attach themselves like parasites to salps that are too large for them to swallow. Members of the cydippid genus Pleurobrachia and the lobate Bolinopsis often reach high population densities at the same place and time because they specialize in different types of prey: Pleurobrachia's long tentacles mainly capture relatively strong swimmers such as adult copepods, while Bolinopsis generally feeds on smaller, weaker swimmers such as rotifers and mollusc and crustacean larvae.</t>
  </si>
  <si>
    <t>Buddhism</t>
  </si>
  <si>
    <t>New York–based filmmakers</t>
  </si>
  <si>
    <t>NBC Blue Network</t>
  </si>
  <si>
    <t>The academic bodies of the University of Chicago consist of the College, four divisions of graduate research and seven professional schools. The university also contains a library system, the University of Chicago Press, the University of Chicago Laboratory Schools, and the University of Chicago Medical Center, and holds ties with a number of independent academic institutions, including Fermilab, Argonne National Laboratory, and the Marine Biological Laboratory. The university is accredited by The Higher Learning Commission.</t>
  </si>
  <si>
    <t>What is one of the largest and most modern oncological institutions in Europe?</t>
  </si>
  <si>
    <t>During the 20th century, historians John Gallagher (1919–1980) and Ronald Robinson (1920–1999) constructed a framework for understanding European imperialism. They claim that European imperialism was influential, and Europeans rejected the notion that "imperialism" required formal, legal control by one government over another country. "In their view, historians have been mesmerized by formal empire and maps of the world with regions colored red. The bulk of British emigration, trade, and capital went to areas outside the formal British Empire. Key to their thinking is the idea of empire 'informally if possible and formally if necessary.'"[attribution needed] Because of the resources made available by imperialism, the world's economy grew significantly and became much more interconnected in the decades before World War I, making the many imperial powers rich and prosperous.</t>
  </si>
  <si>
    <t>What skin-related symptom appears from the pneumonic plague?</t>
  </si>
  <si>
    <t>of the United States, Britain, Germany and France</t>
  </si>
  <si>
    <t>do not disturb" sign</t>
  </si>
  <si>
    <t>The mouth of the Rhine into Lake Constance forms an inland delta. The delta is delimited in the West by the Alter Rhein ("Old Rhine") and in the East by a modern canalized section. Most of the delta is a nature reserve and bird sanctuary. It includes the Austrian towns of Gaißau, Höchst and Fußach. The natural Rhine originally branched into at least two arms and formed small islands by precipitating sediments. In the local Alemannic dialect, the singular is pronounced "Isel" and this is also the local pronunciation of Esel ("Donkey"). Many local fields have an official name containing this element.</t>
  </si>
  <si>
    <t>What is the main religion in Kenya?</t>
  </si>
  <si>
    <t>John 8:7</t>
  </si>
  <si>
    <t>What is involved in a review of prescribed medications?</t>
  </si>
  <si>
    <t>conversion</t>
  </si>
  <si>
    <t>What is Kenya doing to determine if there are more reserves?</t>
  </si>
  <si>
    <t>one-quarter</t>
  </si>
  <si>
    <t>What happened with the rate of flow in the Rhine with the straightening program?</t>
  </si>
  <si>
    <t>Britain</t>
  </si>
  <si>
    <t>What medical appliance can be a concern for oxygen toxicity?</t>
  </si>
  <si>
    <t>To whom did William Maclure submit the map?</t>
  </si>
  <si>
    <t>What was Temur Khan's Chinese-style name?</t>
  </si>
  <si>
    <t>It is a logical extension of the compound engine (described above) to split the expansion into yet more stages to increase efficiency. The result is the multiple expansion engine. Such engines use either three or four expansion stages and are known as triple and quadruple expansion engines respectively. These engines use a series of cylinders of progressively increasing diameter. These cylinders are designed to divide the work into equal shares for each expansion stage. As with the double expansion engine, if space is at a premium, then two smaller cylinders may be used for the low-pressure stage. Multiple expansion engines typically had the cylinders arranged inline, but various other formations were used. In the late 19th century, the Yarrow-Schlick-Tweedy balancing 'system' was used on some marine triple expansion engines. Y-S-T engines divided the low-pressure expansion stages between two cylinders, one at each end of the engine. This allowed the crankshaft to be better balanced, resulting in a smoother, faster-responding engine which ran with less vibration. This made the 4-cylinder triple-expansion engine popular with large passenger liners (such as the Olympic class), but this was ultimately replaced by the virtually vibration-free turbine engine.[citation needed]</t>
  </si>
  <si>
    <t>ministers</t>
  </si>
  <si>
    <t>carbon contained within the vegetation</t>
  </si>
  <si>
    <t>What was the English title of Polo's book?</t>
  </si>
  <si>
    <t>On what day was Super Bowl Opening Night held?</t>
  </si>
  <si>
    <t>a cubic interpolation formula</t>
  </si>
  <si>
    <t>war, famine, and weather</t>
  </si>
  <si>
    <t>What covered Scandinavia, the Baltics, Scotland, and the Alps in the last Ice Age?</t>
  </si>
  <si>
    <t>deterministically</t>
  </si>
  <si>
    <t>What were two of Fresno's most beautiful architectural buildings that are now demolished?</t>
  </si>
  <si>
    <t>How are pharmacists regulated in most jurisdictions?</t>
  </si>
  <si>
    <t>Trotsky thought what was needed for a true Russian revolution.</t>
  </si>
  <si>
    <t>need for alliances.</t>
  </si>
  <si>
    <t>commerce, schooling and government.</t>
  </si>
  <si>
    <t>How long did Phillips manage the Apollo missions?</t>
  </si>
  <si>
    <t>Why is the statement doubtful in the eyes of scholars?</t>
  </si>
  <si>
    <t>The frequent availability of what substance allowed land-based steam engines to exhaust a great deal of steam?</t>
  </si>
  <si>
    <t>What was Michael Eisner's main credit in his time at ABC?</t>
  </si>
  <si>
    <t>The system of bureaucracy created by Kublai Khan reflected various cultures in the empire, including that of the Han Chinese, Khitans, Jurchens, Mongols, and Tibetan Buddhists. While the official terminology of the institutions may indicate the government structure was almost purely that of native Chinese dynasties, the Yuan bureaucracy actually consisted of a mix of elements from different cultures. The Chinese-style elements of the bureaucracy mainly came from the native Tang, Song, as well as Khitan Liao and Jurchen Jin dynasties. Chinese advisers such as Liu Bingzhong and Yao Shu gave strong influence to Kublai's early court, and the central government administration was established within the first decade of Kublai's reign. This government adopted the traditional Chinese tripartite division of authority among civil, military, and censorial offices, including the Central Secretariat (Zhongshu Sheng) to manage civil affairs, the Privy Council (Chinese: 樞密院) to manage military affairs, and the Censorate to conduct internal surveillance and inspection. The actual functions of both central and local government institutions, however, showed a major overlap between the civil and military jurisdictions, due to the Mongol traditional reliance on military institutions and offices as the core of governance. Nevertheless, such a civilian bureaucracy, with the Central Secretariat as the top institution that was (directly or indirectly) responsible for most other governmental agencies (such as the traditional Chinese-style Six Ministries), was created in China. At various times another central government institution called the Department of State Affairs (Shangshu Sheng) that mainly dealt with finance was established (such as during the reign of Külüg Khan or Emperor Wuzong), but was usually abandoned shortly afterwards.</t>
  </si>
  <si>
    <t>blank space</t>
  </si>
  <si>
    <t>William Hartnell's poor health</t>
  </si>
  <si>
    <t>Tesla claimed to have developed his own physical principle regarding matter and energy that he started working on in 1892, and in 1937, at age 81, claimed in a letter to have completed a "dynamic theory of gravity" that "[would] put an end to idle speculations and false conceptions, as that of curved space." He stated that the theory was "worked out in all details" and that he hoped to soon give it to the world. Further elucidation of his theory was never found in his writings.:309</t>
  </si>
  <si>
    <t>self-consistent unification models</t>
  </si>
  <si>
    <t>roads, bridges and large plazas</t>
  </si>
  <si>
    <t>Smalcald Articles</t>
  </si>
  <si>
    <t>As of April 2014, there are 88 private schools in New Zealand, catering for around 28,000 students or 3.7% of the entire student population. Private school numbers have been in decline since the mid-1970s as a result of many private schools opting to become state-integrated schools, mostly due of financial difficulties stemming from changes in student numbers and/or the economy. State-integrated schools keep their private school special character and receives state funds in return for having to operate like a state school, e.g. they must teach the state curriculum, they must employ registered teachers, and they can't charge tuition fees (they can charge "attendance dues" for the upkeep on the still-private school land and buildings). The largest decline in private school numbers occurred between 1979 and 1984, when the nation's then-private Catholic school system integrated. As a result, private schools in New Zealand are now largely restricted to the largest cities (Auckland, Hamilton, Wellington and Christchurch) and niche markets.</t>
  </si>
  <si>
    <t>the meeting of the Church's General Assembly</t>
  </si>
  <si>
    <t>Emperor Gegeen Khan, Ayurbarwada's son and successor, ruled for only two years, from 1321 to 1323. He continued his father's policies to reform the government based on the Confucian principles, with the help of his newly appointed grand chancellor Baiju. During his reign, the Da Yuan Tong Zhi (Chinese: 大元通制, "the comprehensive institutions of the Great Yuan"), a huge collection of codes and regulations of the Yuan dynasty begun by his father, was formally promulgated. Gegeen was assassinated in a coup involving five princes from a rival faction, perhaps steppe elite opposed to Confucian reforms. They placed Yesün Temür (or Taidingdi) on the throne, and, after an unsuccessful attempt to calm the princes, he also succumbed to regicide.</t>
  </si>
  <si>
    <t>12 million</t>
  </si>
  <si>
    <t>husband and father</t>
  </si>
  <si>
    <t>Where does the diatom endosymbiont store starch?</t>
  </si>
  <si>
    <t>What is the legal boundary behind the High and Upper Rind?</t>
  </si>
  <si>
    <t>Some buyers lamented the small size of the first Japanese compacts, and both Toyota and Nissan (then known as Datsun) introduced larger cars such as the Toyota Corona Mark II, the Toyota Cressida, the Mazda 616 and Datsun 810, which added passenger space and amenities such as air conditioning, power steering, AM-FM radios, and even power windows and central locking without increasing the price of the vehicle. A decade after the 1973 oil crisis, Honda, Toyota and Nissan, affected by the 1981 voluntary export restraints, opened US assembly plants and established their luxury divisions (Acura, Lexus and Infiniti, respectively) to distinguish themselves from their mass-market brands.</t>
  </si>
  <si>
    <t>executed every soldier</t>
  </si>
  <si>
    <t>net</t>
  </si>
  <si>
    <t>According to Lenin why must capitalistic countries have an imperialistic policy?</t>
  </si>
  <si>
    <t>In 1979, during the oil crisis, what was the highest price of oil?</t>
  </si>
  <si>
    <t>launch countdown</t>
  </si>
  <si>
    <t>a much larger conflict between France and Great Britain</t>
  </si>
  <si>
    <t>What occurs when traveling across a surface at a constant velocity with regard to friction?</t>
  </si>
  <si>
    <t>single-tape Turing machines</t>
  </si>
  <si>
    <t>allowed agriculture and silviculture</t>
  </si>
  <si>
    <t>Where did Tesla work in Budapest?</t>
  </si>
  <si>
    <t>Victoria Constitution Act 185</t>
  </si>
  <si>
    <t>are neither making maximum effort nor achieving results necessary</t>
  </si>
  <si>
    <t>the ability to pursue valued goals</t>
  </si>
  <si>
    <t>tuition-free</t>
  </si>
  <si>
    <t>What happened to the SM upon reentry to the atmosphere?</t>
  </si>
  <si>
    <t>where water is costly</t>
  </si>
  <si>
    <t>Where is Galaxy Public School located?</t>
  </si>
  <si>
    <t>What would the latter Apollo missions carry to the moon to increase exploration?</t>
  </si>
  <si>
    <t>social networking support</t>
  </si>
  <si>
    <t>What has given the American economy a tendency to go "from bubble to bubble"?</t>
  </si>
  <si>
    <t>St. George's United Methodist Church, located at the corner of 4th and New Streets, in the Old City neighborhood of Philadelphia, is the oldest Methodist church in continuous use in the United States, beginning in 1769. The congregation was founded in 1767, meeting initially in a sail loft on Dock Street, and in 1769 it purchased the shell of a building which had been erected in 1763 by a German Reformed congregation. At this time, Methodists had not yet broken away from the Anglican Church and the Methodist Episcopal Church was not founded until 1784.</t>
  </si>
  <si>
    <t>Whose shrine did the pilgrims go to in 1016?</t>
  </si>
  <si>
    <t>Warsaw is located on two main geomorphologic formations: the plain moraine plateau and the Vistula Valley with its asymmetrical pattern of different terraces. The Vistula River is the specific axis of Warsaw, which divides the city into two parts, left and right. The left one is situated both on the moraine plateau (10 to 25 m (32.8 to 82.0 ft) above Vistula level) and on the Vistula terraces (max. 6.5 m (21.3 ft) above Vistula level). The significant element of the relief, in this part of Warsaw, is the edge of moraine plateau called Warsaw Escarpment. It is 20 to 25 m (65.6 to 82.0 ft) high in the Old Town and Central district and about 10 m (32.8 ft) in the north and south of Warsaw. It goes through the city and plays an important role as a landmark.</t>
  </si>
  <si>
    <t>whether a state or threat of war existed</t>
  </si>
  <si>
    <t>choosing their own ministers</t>
  </si>
  <si>
    <t>Going to jail accomplished what goal of civil disobedience?</t>
  </si>
  <si>
    <t>a covalent double bond that results from the filling of molecular orbitals formed from the atomic orbitals of the individual oxygen atoms</t>
  </si>
  <si>
    <t>blue British police box</t>
  </si>
  <si>
    <t>Who assist elders in the sacraments of Holy Communion and Baptism?</t>
  </si>
  <si>
    <t>What is the highest court in the United Methodist denomination?</t>
  </si>
  <si>
    <t>The Shah's army was split by diverse internecine feuds and by the Shah's decision to divide his army into small groups concentrated in various cities. This fragmentation was decisive in Khwarezmia's defeats, as it allowed the Mongols, although exhausted from the long journey, to immediately set about defeating small fractions of the Khwarzemi forces instead of facing a unified defense. The Mongol army quickly seized the town of Otrar, relying on superior strategy and tactics. Genghis Khan ordered the wholesale massacre of many of the civilians, enslaved the rest of the population and executed Inalchuq by pouring molten silver into his ears and eyes, as retribution for his actions. Near the end of the battle the Shah fled rather than surrender. Genghis Khan ordered Subutai and Jebe to hunt him down, giving them 20,000 men and two years to do this. The Shah died under mysterious circumstances on a small island within his empire.</t>
  </si>
  <si>
    <t>The origin of the legendary figure is not fully known. The best-known legend, by Artur Oppman, is that long ago two of Triton's daughters set out on a journey through the depths of the oceans and seas. One of them decided to stay on the coast of Denmark and can be seen sitting at the entrance to the port of Copenhagen. The second mermaid reached the mouth of the Vistula River and plunged into its waters. She stopped to rest on a sandy beach by the village of Warszowa, where fishermen came to admire her beauty and listen to her beautiful voice. A greedy merchant also heard her songs; he followed the fishermen and captured the mermaid.</t>
  </si>
  <si>
    <t>a river crevice.</t>
  </si>
  <si>
    <t>five-year course of s</t>
  </si>
  <si>
    <t>What are there no longer limitations on since 1990?</t>
  </si>
  <si>
    <t>TCP/IP</t>
  </si>
  <si>
    <t>What kind of amino acids are overrepresented in epitope regions?</t>
  </si>
  <si>
    <t>Any member</t>
  </si>
  <si>
    <t>How to Baptized Members become Professing Members?</t>
  </si>
  <si>
    <t>What building materials were used to build the main façade?</t>
  </si>
  <si>
    <t>When do juvenile develop into adults?</t>
  </si>
  <si>
    <t>Why would a person chose civil disobedience against specific laws?</t>
  </si>
  <si>
    <t>What were chao made out of?</t>
  </si>
  <si>
    <t>a caliphate</t>
  </si>
  <si>
    <t>What late Gothic architectural sculptural feature is found on the tower above the main entrance?</t>
  </si>
  <si>
    <t>Where is the oldest known rock in the world located?</t>
  </si>
  <si>
    <t>What was intended for the site of the former boiler house?</t>
  </si>
  <si>
    <t>How early did Luther say he had to awaken every day?</t>
  </si>
  <si>
    <t>With such a small force, the invading Mongols were forced to change strategies and resort to inciting internal revolt among Kuchlug's supporters, leaving the Qara Khitai more vulnerable to Mongol conquest. As a result, Kuchlug's army was defeated west of Kashgar. Kuchlug fled again, but was soon hunted down by Jebe's army and executed. By 1218, as a result of defeat of Qara Khitai, the Mongol Empire and its control extended as far west as Lake Balkhash, which bordered the Khwarezmia (Khwarezmid Empire), a Muslim state that reached the Caspian Sea to the west and Persian Gulf and the Arabian Sea to the south.</t>
  </si>
  <si>
    <t>During the divestment from South Africa movement in the late 1980s, student activists erected a symbolic "shantytown" on Harvard Yard and blockaded a speech given by South African Vice Consul Duke Kent-Brown. The Harvard Management Company repeatedly refused to divest, stating that "operating expenses must not be subject to financially unrealistic strictures or carping by the unsophisticated or by special interest groups." However, the university did eventually reduce its South African holdings by $230 million (out of $400 million) in response to the pressure.</t>
  </si>
  <si>
    <t>What minor amount of liquid oxygen was produced by early French experimenters?</t>
  </si>
  <si>
    <t>Advances in polynomial algebra were made by mathematicians during the Yuan era. The mathematician Zhu Shijie (1249–1314) solved simultaneous equations with up to four unknowns using a rectangular array of coefficients, equivalent to modern matrices. Zhu used a method of elimination to reduce the simultaneous equations to a single equation with only one unknown. His method is described in the Jade Mirror of the Four Unknowns, written in 1303. The opening pages contain a diagram of Pascal's triangle. The summation of a finite arithmetic series is also covered in the book.</t>
  </si>
  <si>
    <t>What nuclear forces only act at short distances?</t>
  </si>
  <si>
    <t>material about live performance in the UK since Shakespeare's day</t>
  </si>
  <si>
    <t>Data Distribution Centre and the National Greenhouse Gas Inventories Programme</t>
  </si>
  <si>
    <t>In response to American aid to Israel, on October 16, 1973, OPEC raised the posted price of oil by 70%, to $5.11 a barrel. The following day, oil ministers agreed to the embargo, a cut in production by five percent from September's output and to continue to cut production in five percent monthly increments until their economic and political objectives were met. On October 19, Nixon requested Congress to appropriate $2.2 billion in emergency aid to Israel, including $1.5 billion in outright grants. George Lenczowski notes, "Military supplies did not exhaust Nixon's eagerness to prevent Israel's collapse...This [$2.2 billion] decision triggered a collective OPEC response." Libya immediately announced it would embargo oil shipments to the United States. Saudi Arabia and the other Arab oil-producing states joined the embargo on October 20, 1973. At their Kuwait meeting, OAPEC proclaimed the embargo that curbed exports to various countries and blocked all oil deliveries to the US as a "principal hostile country".</t>
  </si>
  <si>
    <t>a partnership with Level 3 Communications to launch a brand new nationwide network</t>
  </si>
  <si>
    <t>early 1950s</t>
  </si>
  <si>
    <t>synforms</t>
  </si>
  <si>
    <t>What type of entrepreneurship leads to advancements in technology?</t>
  </si>
  <si>
    <t>After WW-II where did Russia apply its old Tsarist regimes?</t>
  </si>
  <si>
    <t>The evolutionary strategy used by cicadas of the genus Magicicada make use of prime numbers. These insects spend most of their lives as grubs underground. They only pupate and then emerge from their burrows after 7, 13 or 17 years, at which point they fly about, breed, and then die after a few weeks at most. The logic for this is believed to be that the prime number intervals between emergences make it very difficult for predators to evolve that could specialize as predators on Magicicadas. If Magicicadas appeared at a non-prime number intervals, say every 12 years, then predators appearing every 2, 3, 4, 6, or 12 years would be sure to meet them. Over a 200-year period, average predator populations during hypothetical outbreaks of 14- and 15-year cicadas would be up to 2% higher than during outbreaks of 13- and 17-year cicadas. Though small, this advantage appears to have been enough to drive natural selection in favour of a prime-numbered life-cycle for these insects.</t>
  </si>
  <si>
    <t>Post 2008 undergraduate students are required to complete how many general education classes towards degree?</t>
  </si>
  <si>
    <t>autoimmunity</t>
  </si>
  <si>
    <t>writings and comments</t>
  </si>
  <si>
    <t>Since he didn't believe that salvation was acquired through good deeds, how was it achieved?</t>
  </si>
  <si>
    <t>by department,</t>
  </si>
  <si>
    <t>world systems theory.</t>
  </si>
  <si>
    <t>over any terrestrial distance</t>
  </si>
  <si>
    <t>New Orangery</t>
  </si>
  <si>
    <t>Most of the Huguenot congregations (or individuals) in North America eventually affiliated with other Protestant denominations with more numerous members. The Huguenots adapted quickly and often married outside their immediate French communities, which led to their assimilation. Their descendants in many families continued to use French first names and surnames for their children well into the nineteenth century. Assimilated, the French made numerous contributions to United States economic life, especially as merchants and artisans in the late Colonial and early Federal periods. For example, E.I. du Pont, a former student of Lavoisier, established the Eleutherian gunpowder mills.</t>
  </si>
  <si>
    <t>Base Titanium</t>
  </si>
  <si>
    <t>After Washington had returned to Williamsburg, Dinwiddie ordered him to lead a larger force to assist Trent in his work. While en route, Washington learned of Trent's retreat. Since Tanaghrisson had promised support to the British, Washington continued toward Fort Duquesne and met with the Mingo leader. Learning of a French scouting party in the area, Washington, with Tanaghrisson and his party, surprised the Canadians on May 28 in what became known as the Battle of Jumonville Glen. They killed many of the Canadians, including their commanding officer, Joseph Coulon de Jumonville, whose head was reportedly split open by Tanaghrisson with a tomahawk. The historian Fred Anderson suggests that Tanaghrisson was acting to gain the support of the British and regain authority over his own people. They had been inclined to support the French, with whom they had long trading relationships. One of Tanaghrisson's men told Contrecoeur that Jumonville had been killed by British musket fire.</t>
  </si>
  <si>
    <t>An igneous rock is a rock that crystallizes from what?</t>
  </si>
  <si>
    <t>Norway</t>
  </si>
  <si>
    <t>well</t>
  </si>
  <si>
    <t>What  former administrative building was used for the MSP's offices?</t>
  </si>
  <si>
    <t>evidence</t>
  </si>
  <si>
    <t>Crime rate has also been shown to be correlated with inequality in society. Most studies looking into the relationship have concentrated on homicides – since homicides are almost identically defined across all nations and jurisdictions. There have been over fifty studies showing tendencies for violence to be more common in societies where income differences are larger. Research has been conducted comparing developed countries with undeveloped countries, as well as studying areas within countries. Daly et al. 2001 found that among U.S States and Canadian Provinces there is a tenfold difference in homicide rates related to inequality. They estimated that about half of all variation in homicide rates can be accounted for by differences in the amount of inequality in each province or state. Fajnzylber et al. (2002) found a similar relationship worldwide. Among comments in academic literature on the relationship between homicides and inequality are:</t>
  </si>
  <si>
    <t>What did the Church claim could be avoided with money?</t>
  </si>
  <si>
    <t>What did Tesla Electric Light &amp; Manufacturing do?</t>
  </si>
  <si>
    <t>the college</t>
  </si>
  <si>
    <t>Who reigned over the Ottoman empire when it was at its most powerful.</t>
  </si>
  <si>
    <t>What relationship with Israel is Sadat for?</t>
  </si>
  <si>
    <t>How much potential economic growth could the United States amass if everyone went through more schooling?</t>
  </si>
  <si>
    <t>sequential</t>
  </si>
  <si>
    <t>a torn ACL</t>
  </si>
  <si>
    <t>a new facility</t>
  </si>
  <si>
    <t>Andes Mountains</t>
  </si>
  <si>
    <t>What are two basic primary resources used to guage complexity?</t>
  </si>
  <si>
    <t>graduate and undergraduate students elected to represent members from their respective academic unit</t>
  </si>
  <si>
    <t>What conviction did many Poles have regarding how the Varsovians thought of themselves?</t>
  </si>
  <si>
    <t>r 20% to 25%</t>
  </si>
  <si>
    <t>The Prince of Płock</t>
  </si>
  <si>
    <t>along the middle</t>
  </si>
  <si>
    <t>What does Warsaw's mixture of architectural styles reflect?</t>
  </si>
  <si>
    <t>the Institute of Radio Engineers</t>
  </si>
  <si>
    <t>The smaller the economic inequality, the more waste and pollution is created, resulting in many cases, in more environmental degradation. This can be explained by the fact that as the poor people in the society become more wealthy, it increases their yearly carbon emissions. This relation is expressed by the Environmental Kuznets Curve (EKC).[not in citation given] It should be noted here however that in certain cases, with great economic inequality, there is nonetheless not more waste and pollution created as the waste/pollution is cleaned up better afterwards (water treatment, filtering, ...).... Also note that the whole of the increase in environmental degradation is the result of the increase of emissions per person being multiplied by a multiplier. If there were fewer people however, this multiplier would be lower, and thus the amount of environmental degradation would be lower as well. As such, the current high level of population has a large impact on this as well. If (as WWF argued), population levels would start to drop to a sustainable level (1/3 of current levels, so about 2 billion people), human inequality can be addressed/corrected, while still not resulting in an increase of environmental damage.</t>
  </si>
  <si>
    <t>Western Union superintendent</t>
  </si>
  <si>
    <t>If the average U.S. worker were to complete an additional year of school, what amount of growth would be generated over 5 years?</t>
  </si>
  <si>
    <t>King Malcolm III</t>
  </si>
  <si>
    <t>Base Titanium, a subsidiary of Base resources of Australia</t>
  </si>
  <si>
    <t>What type of support does co-teaching provide?</t>
  </si>
  <si>
    <t>Licensed Local Pastor</t>
  </si>
  <si>
    <t>secular powers</t>
  </si>
  <si>
    <t>oxygen</t>
  </si>
  <si>
    <t>What did Luther think was required to stop the violence?</t>
  </si>
  <si>
    <t>until their economic and political objectives were met</t>
  </si>
  <si>
    <t>rapidly raising population and traffic in cities along SR 99, as well as the desirability of Federal funding</t>
  </si>
  <si>
    <t>Who were the two abbots at Fécamp Abbey?</t>
  </si>
  <si>
    <t xml:space="preserve">What did Saudi Arabia try to repress to compensate for its loss of stature? </t>
  </si>
  <si>
    <t>the Court of Justice of the European Union (CJEU)</t>
  </si>
  <si>
    <t>What type of rail line is Pacific National?</t>
  </si>
  <si>
    <t>sidelines</t>
  </si>
  <si>
    <t>Where does the proportion of shared and converted houses in 2011 put this dwelling type in the color-coded brackets?</t>
  </si>
  <si>
    <t>What immune system is activated by the innate response?</t>
  </si>
  <si>
    <t>rivers</t>
  </si>
  <si>
    <t>Muslims) and Catholics</t>
  </si>
  <si>
    <t xml:space="preserve">Why was he unable to enroll at the university? </t>
  </si>
  <si>
    <t>What type of creature is usually Doctor Who's companion?</t>
  </si>
  <si>
    <t>Who made early colour videos of the show?</t>
  </si>
  <si>
    <t>How many households had BSkyB service in 1994?</t>
  </si>
  <si>
    <t xml:space="preserve">What field of computer science analyzes all possible algorithms in aggregate to determine the resource requirements needed to solve to a given problem?  </t>
  </si>
  <si>
    <t>Skirmish of the Brick Church</t>
  </si>
  <si>
    <t>ABC began to focus on what kind of series after NBC's success in 1984?</t>
  </si>
  <si>
    <t>When did violence start in war?</t>
  </si>
  <si>
    <t>modern cryptographic systems</t>
  </si>
  <si>
    <t>What will be obtained as part of longer term plans for improvements to Newcastle's train system?</t>
  </si>
  <si>
    <t>the mid-2000s</t>
  </si>
  <si>
    <t>−11.7 °C (10.9 °F)</t>
  </si>
  <si>
    <t>renewal</t>
  </si>
  <si>
    <t>patient care rounds drug product selection</t>
  </si>
  <si>
    <t>Which area is responsible for the long-term preservation of the V&amp;A collections?</t>
  </si>
  <si>
    <t>in the stems</t>
  </si>
  <si>
    <t>Historical and Critical Dictionary</t>
  </si>
  <si>
    <t>By the 6th century, the Rhine was within the borders of Francia. In the 9th, it formed part of the border between Middle and Western Francia, but in the 10th century, it was fully within the Holy Roman Empire, flowing through Swabia, Franconia and Lower Lorraine. The mouths of the Rhine, in the county of Holland, fell to the Burgundian Netherlands in the 15th century; Holland remained contentious territory throughout the European wars of religion and the eventual collapse of the Holy Roman Empire, when the length of the Rhine fell to the First French Empire and its client states. The Alsace on the left banks of the Upper Rhine was sold to Burgundy by Archduke Sigismund of Austria in 1469 and eventually fell to France in the Thirty Years' War. The numerous historic castles in Rhineland-Palatinate attest to the importance of the river as a commercial route.</t>
  </si>
  <si>
    <t>What is the name given to the input string of a computational problem?</t>
  </si>
  <si>
    <t>How many mechanisms does a typical steam engine have to keep boiler pressure from getting too high?</t>
  </si>
  <si>
    <t>Lower Norfolk County</t>
  </si>
  <si>
    <t>What is necessary for chloroplasts to replicate?</t>
  </si>
  <si>
    <t>20 December 1914</t>
  </si>
  <si>
    <t>Van de Graaff generator</t>
  </si>
  <si>
    <t>What do the auricles do?</t>
  </si>
  <si>
    <t>different classifications of workers</t>
  </si>
  <si>
    <t>When did ABC's New York flagship stations change their call signs?</t>
  </si>
  <si>
    <t>the Charter of Fundamental Rights of the European Union</t>
  </si>
  <si>
    <t>autoimmune</t>
  </si>
  <si>
    <t>The owner</t>
  </si>
  <si>
    <t>multi-cultural</t>
  </si>
  <si>
    <t>20th</t>
  </si>
  <si>
    <t>In 1984, the ABC arts channel ARTS was merged with what other channel?</t>
  </si>
  <si>
    <t>silicates</t>
  </si>
  <si>
    <t>Where does the Rhine empty?</t>
  </si>
  <si>
    <t>more than 1.3 million</t>
  </si>
  <si>
    <t>To where were the belongings taken?</t>
  </si>
  <si>
    <t>survived many wars, conflicts and invasions</t>
  </si>
  <si>
    <t>1⁄3 normal pressure</t>
  </si>
  <si>
    <t>How old were some of the oldest rock samples found on the moon?</t>
  </si>
  <si>
    <t>How many atoms combine to form dioxygen?</t>
  </si>
  <si>
    <t>an official school</t>
  </si>
  <si>
    <t>by padlocking the gates</t>
  </si>
  <si>
    <t>compound</t>
  </si>
  <si>
    <t>Treaty of Rome 1957 and the Maastricht Treaty 1992</t>
  </si>
  <si>
    <t>trans-Atlantic wireless telecommunications</t>
  </si>
  <si>
    <t>What is Luther's thought about the extent of his church?</t>
  </si>
  <si>
    <t>North American Aviation won the contract to build the CSM, and also the second stage of the Saturn V launch vehicle for NASA. Because the CSM design was started early before the selection of lunar orbit rendezvous, the service propulsion engine was sized to lift the CSM off of the Moon, and thus was oversized to about twice the thrust required for translunar flight. Also, there was no provision for docking with the Lunar Module. A 1964 program definition study concluded that the initial design should be continued as Block I which would be used for early testing, while Block II, the actual lunar spacecraft, would incorporate the docking equipment and take advantage of the lessons learned in Block I development.</t>
  </si>
  <si>
    <t>Which part of China had people ranked higher in the class system?</t>
  </si>
  <si>
    <t>canceled</t>
  </si>
  <si>
    <t>parental</t>
  </si>
  <si>
    <t>But bounding the computation time above by some concrete function f(n) often yields complexity classes that depend on the chosen machine model. For instance, the language {xx | x is any binary string} can be solved in linear time on a multi-tape Turing machine, but necessarily requires quadratic time in the model of single-tape Turing machines. If we allow polynomial variations in running time, Cobham-Edmonds thesis states that "the time complexities in any two reasonable and general models of computation are polynomially related" (Goldreich 2008, Chapter 1.2). This forms the basis for the complexity class P, which is the set of decision problems solvable by a deterministic Turing machine within polynomial time. The corresponding set of function problems is FP.</t>
  </si>
  <si>
    <t>gentrification of older neighbourhoods</t>
  </si>
  <si>
    <t>What controls wages in a purely capitalist mode of production?</t>
  </si>
  <si>
    <t>In April 1191 Richard the Lion-hearted left Messina with a large fleet in order to reach Acre. But a storm dispersed the fleet. After some searching, it was discovered that the boat carrying his sister and his fiancée Berengaria was anchored on the south coast of Cyprus, together with the wrecks of several other ships, including the treasure ship. Survivors of the wrecks had been taken prisoner by the island's despot Isaac Komnenos. On 1 May 1191, Richard's fleet arrived in the port of Limassol on Cyprus. He ordered Isaac to release the prisoners and the treasure. Isaac refused, so Richard landed his troops and took Limassol.</t>
  </si>
  <si>
    <t>an important game for us as a league</t>
  </si>
  <si>
    <t>residential and non-residential (commercial/institutional)</t>
  </si>
  <si>
    <t>This formalism</t>
  </si>
  <si>
    <t>What was the the movement called that brought Baltic countries independence from the Soviet Union?</t>
  </si>
  <si>
    <t>How many NFL teams have finished the regular season with one loss?</t>
  </si>
  <si>
    <t>two-thirds of its population</t>
  </si>
  <si>
    <t>The University is organized into eleven separate academic units—ten faculties and the Radcliffe Institute for Advanced Study—with campuses throughout the Boston metropolitan area: its 209-acre (85 ha) main campus is centered on Harvard Yard in Cambridge, approximately 3 miles (5 km) northwest of Boston; the business school and athletics facilities, including Harvard Stadium, are located across the Charles River in the Allston neighborhood of Boston and the medical, dental, and public health schools are in the Longwood Medical Area. Harvard's $37.6 billion financial endowment is the largest of any academic institution.</t>
  </si>
  <si>
    <t>cytosol</t>
  </si>
  <si>
    <t>The Scotland Act 1998</t>
  </si>
  <si>
    <t>water flow through the body cavity</t>
  </si>
  <si>
    <t>What was the memoir entitled which was submitted to the American Philosophical Society?</t>
  </si>
  <si>
    <t>How many customers does Sky UK Limited have as a pay-TV broadcaster as of 2015?</t>
  </si>
  <si>
    <t>technologies and ideas</t>
  </si>
  <si>
    <t>When did the Cretaceous-Paleogene extinction happen?</t>
  </si>
  <si>
    <t>cup</t>
  </si>
  <si>
    <t>What color was the background for ABC's 1977 ID sequence?</t>
  </si>
  <si>
    <t>cytotoxic natural killer cells and CTLs (cytotoxic T lymphocytes)</t>
  </si>
  <si>
    <t>polynomial-time reduction</t>
  </si>
  <si>
    <t>Merwede-Oude Maas</t>
  </si>
  <si>
    <t>The high cost of medications and drug-related technology</t>
  </si>
  <si>
    <t>means to invest in new sources of creating wealth</t>
  </si>
  <si>
    <t>Who introduced the first system of education?</t>
  </si>
  <si>
    <t>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 Included in its provisions was the reservation of lands west of the Appalachian Mountains to its Indian population, a demarcation that was at best a temporary impediment to a rising tide of westward-bound settlers. The proclamation also contained provisions that prevented civic participation by the Roman Catholic Canadians. When accommodations were made in the Quebec Act in 1774 to address this and other issues, religious concerns were raised in the largely Protestant Thirteen Colonies over the advance of "popery"; the Act maintained French Civil law, including the seigneurial system, a medieval code soon to be removed from France within a generation by the French Revolution.</t>
  </si>
  <si>
    <t>Cydippid are typically what shape?</t>
  </si>
  <si>
    <t>the American Philosophical Society</t>
  </si>
  <si>
    <t>arbitrary</t>
  </si>
  <si>
    <t>What are those with lower incomes less likely to have in order to prepare for the future?</t>
  </si>
  <si>
    <t>that X-rays were longitudinal waves, such as those produced in waves in plasmas.</t>
  </si>
  <si>
    <t>the reported rates of mortality in rural areas during the 14th-century pandemic were inconsistent with the modern bubonic plague</t>
  </si>
  <si>
    <t>Private schools are often Anglican, such as King's College and Diocesan School for Girls in Auckland, St Paul's Collegiate School in Hamilton, St Peter's School in Cambridge, Samuel Marsden Collegiate School in Wellington, and Christ's College and St Margaret's College in Christchurch; or Presbyterian, such as Saint Kentigern College and St Cuthbert's College in Auckland, Scots College and Queen Margaret College in Wellington, and St Andrew's College and Rangi Ruru Girls' School in Christchurch. Academic Colleges Group is a recent group of private schools run as a business, with schools throughout Auckland, including ACG Senior College in Auckland’s CBD, ACG Parnell College in Parnell, and international school ACG New Zealand International College. There are three private schools (including the secondary school, St Dominic's College) operated by the Catholic schismatic group, the Society of St Pius X in Wanganui.</t>
  </si>
  <si>
    <t>What is the current status of the Haensch study?</t>
  </si>
  <si>
    <t>Of what form are Mersenne primes?</t>
  </si>
  <si>
    <t>What is in Eldon Square?</t>
  </si>
  <si>
    <t>What is the most distinctive feature of ctenophora?</t>
  </si>
  <si>
    <t>11.5 inches</t>
  </si>
  <si>
    <t>It became a moral justification to lift the world up to French standards by bringing Christianity and French culture. In 1884 the leading exponent of colonialism, Jules Ferry declared France had a civilising mission: "The higher races have a right over the lower races, they have a duty to civilize the inferior". Full citizenship rights – ‘’assimilation’’ – were offered, although in reality assimilation was always on the distant horizon. Contrasting from Britain, France sent small numbers of settlers to its colonies, with the only notable exception of Algeria, where French settlers nevertheless always remained a small minority.</t>
  </si>
  <si>
    <t>Harvard is a large, highly residential research university. The nominal cost of attendance is high, but the University's large endowment allows it to offer generous financial aid packages. It operates several arts, cultural, and scientific museums, alongside the Harvard Library, which is the world's largest academic and private library system, comprising 79 individual libraries with over 18 million volumes. Harvard's alumni include eight U.S. presidents, several foreign heads of state, 62 living billionaires, 335 Rhodes Scholars, and 242 Marshall Scholars. To date, some 150 Nobel laureates, 18 Fields Medalists and 13 Turing Award winners have been affiliated as students, faculty, or staff.</t>
  </si>
  <si>
    <t>March 2011</t>
  </si>
  <si>
    <t>What two Doctors does the War Doctor exist between?</t>
  </si>
  <si>
    <t>Command/Service Module</t>
  </si>
  <si>
    <t>The African Great Lakes region, which Kenya is a part of, has been inhabited by humans since the Lower Paleolithic period. By the first millennium AD, the Bantu expansion had reached the area from West-Central Africa. The borders of the modern state consequently comprise the crossroads of the Niger-Congo, Nilo-Saharan and Afroasiatic areas of the continent, representing most major ethnolinguistic groups found in Africa. Bantu and Nilotic populations together constitute around 97% of the nation's residents. European and Arab presence in coastal Mombasa dates to the Early Modern period; European exploration of the interior began in the 19th century. The British Empire established the East Africa Protectorate in 1895, which starting in 1920 gave way to the Kenya Colony. Kenya obtained independence in December 1963. Following a referendum in August 2010 and adoption of a new constitution, Kenya is now divided into 47 semi-autonomous counties, governed by elected governors.</t>
  </si>
  <si>
    <t>Following their loss in the divisional round of the previous season's playoffs, the Denver Broncos underwent numerous coaching changes, including a mutual parting with head coach John Fox (who had won four divisional championships in his four years as Broncos head coach), and the hiring of Gary Kubiak as the new head coach. Under Kubiak, the Broncos planned to install a run-oriented offense with zone blocking to blend in with quarterback Peyton Manning's shotgun passing skills, but struggled with numerous changes and injuries to the offensive line, as well as Manning having his worst statistical season since his rookie year with the Indianapolis Colts in 1998, due to a plantar fasciitis injury in his heel that he had suffered since the summer, and the simple fact that Manning was getting old, as he turned 39 in the 2015 off-season. Although the team had a 7–0 start, Manning led the NFL in interceptions. In week 10, Manning suffered a partial tear of the plantar fasciitis in his left foot. He set the NFL's all-time record for career passing yards in this game, but was benched after throwing four interceptions in favor of backup quarterback Brock Osweiler, who took over as the starter for most of the remainder of the regular season. Osweiler was injured, however, leading to Manning's return during the Week 17 regular season finale, where the Broncos were losing 13–7 against the 4–11 San Diego Chargers, resulting in Manning re-claiming the starting quarterback position for the playoffs by leading the team to a key 27–20 win that enabled the team to clinch the number one overall AFC seed. Under defensive coordinator Wade Phillips, the Broncos' defense ranked number one in total yards allowed, passing yards allowed and sacks, and like the previous three seasons, the team has continued to set numerous individual, league and franchise records. With the defense carrying the team despite the issues with the offense, the Broncos finished the regular season with a 12–4 record and earned home-field advantage throughout the AFC playoffs.</t>
  </si>
  <si>
    <t>What did France offer that was rare by imperial standards?</t>
  </si>
  <si>
    <t>What process do moderate and reformist Islamists work within the boundaries of?</t>
  </si>
  <si>
    <t>Are there any regions where the Treaty of European Union excludes from jurisdiction?</t>
  </si>
  <si>
    <t>What makes the tentilla of euplokamis different from other cysippids?</t>
  </si>
  <si>
    <t>the Theatre Museum</t>
  </si>
  <si>
    <t>Shinzen Japanese Gardens</t>
  </si>
  <si>
    <t>What type of people were being brought back to the way of truth?</t>
  </si>
  <si>
    <t>What are some causes of reduced immune function in developed countries?</t>
  </si>
  <si>
    <t>the mouth and pharynx;</t>
  </si>
  <si>
    <t>In 1893 Richard Dean Adams, who headed up the Niagara Falls Cataract Construction Company sought Tesla's opinion on what system would be best to transmit power generated at the falls. Over several years there had been a series of proposals and open competitions on how best to utilize power generated by the falls with many systems being proposed by several US and European companies including two-phase and three-phase AC, high-voltage DC, and even compressed air. Adams pumped Tesla for information about the current state of all the competing systems. Tesla advised Adams that a two-phased system would be the most reliable and that there was a Westinghouse system to light incandescent bulbs using two-phase alternating current. Based on Tesla's advice and Westinghouse's demonstration that they could build a complete AC system at the Columbian Exposition, a contract for building a two-phase AC generating system at the Niagara Falls was awarded to Westinghouse Electric. A further contract to build the AC distribution system was awarded to General Electric.</t>
  </si>
  <si>
    <t>What is one avenue being compensated for by having committees serve such a large role?</t>
  </si>
  <si>
    <t>entertainment and leisure</t>
  </si>
  <si>
    <t>When was a study conducted of Swedish counties?</t>
  </si>
  <si>
    <t>Because of their soft, gelatinous bodies, ctenophores are extremely rare as fossils, and fossils that have been interpreted as ctenophores have been found only in lagerstätten, places where the environment was exceptionally suited to preservation of soft tissue. Until the mid-1990s only two specimens good enough for analysis were known, both members of the crown group, from the early Devonian (Emsian) period. Three additional putative species were then found in the Burgess Shale and other Canadian rocks of similar age, about 505 million years ago in the mid-Cambrian period. All three apparently lacked tentacles but had between 24 and 80 comb rows, far more than the 8 typical of living species. They also appear to have had internal organ-like structures unlike anything found in living ctenophores. One of the fossil species first reported in 1996 had a large mouth, apparently surrounded by a folded edge that may have been muscular. Evidence from China a year later suggests that such ctenophores were widespread in the Cambrian, but perhaps very different from modern species – for example one fossil's comb-rows were mounted on prominent vanes. The Ediacaran Eoandromeda could putatively represent a comb jelly.</t>
  </si>
  <si>
    <t>to set up an insurance fund for employees to claim unpaid wages if their employers had gone insolvent, as the Insolvency Protection Directive required</t>
  </si>
  <si>
    <t>ash leaf</t>
  </si>
  <si>
    <t>Genghis Khan, the title is spelled in variety of ways in different languages such as Mongolian Chinggis Khaan, English Chinghiz, Chinghis, and Chingiz, Chinese: 成吉思汗; pinyin: Chéngjísī Hán, Turkic: Cengiz Han, Çingiz Xan, Çingiz Han, Chingizxon, Çıñğız Xan, Chengez Khan, Chinggis Khan, Chinggis Xaan, Chingis Khan, Jenghis Khan, Chinggis Qan, Djingis Kahn, Russian: Чингисхан (Čingiskhan) or Чингиз-хан (Čingiz-khan), etc. Temüjin is written in Chinese as simplified Chinese: 铁木真; traditional Chinese: 鐵木眞; pinyin: Tiěmùzhēn.</t>
  </si>
  <si>
    <t>There are hints in the surviving records of the ancient Egyptians that they had some knowledge of prime numbers: the Egyptian fraction expansions in the Rhind papyrus, for instance, have quite different forms for primes and for composites. However, the earliest surviving records of the explicit study of prime numbers come from the Ancient Greeks. Euclid's Elements (circa 300 BC) contain important theorems about primes, including the infinitude of primes and the fundamental theorem of arithmetic. Euclid also showed how to construct a perfect number from a Mersenne prime. The Sieve of Eratosthenes, attributed to Eratosthenes, is a simple method to compute primes, although the large primes found today with computers are not generated this way.</t>
  </si>
  <si>
    <t>Social Darwinism</t>
  </si>
  <si>
    <t>Noetherian commutative ring</t>
  </si>
  <si>
    <t>non-French linguistic origins</t>
  </si>
  <si>
    <t>A controversial aspect of imperialism is the defense and justification of empire-building based on seemingly rational grounds. J. A. Hobson identifies this justification on general grounds as: "It is desirable that the earth should be peopled, governed, and developed, as far as possible, by the races which can do this work best, i.e. by the races of highest 'social efficiency'". Many others argued that imperialism is justified for several different reasons. Friedrich Ratzel believed that in order for a state to survive, imperialism was needed. Halford Mackinder felt that Great Britain needed to be one of the greatest imperialists and therefore justified imperialism. The purportedly scientific nature of "Social Darwinism" and a theory of races formed a supposedly rational justification for imperialism. The rhetoric of colonizers being racially superior appears to have achieved its purpose, for example throughout Latin America "whiteness" is still prized today and various forms of blanqueamiento (whitening) are common.</t>
  </si>
  <si>
    <t>What does high levels of inequality do for economic growth in richer countries?</t>
  </si>
  <si>
    <t>eastern coast of the continent,</t>
  </si>
  <si>
    <t>What is it estimated that about half of all variation in homicide rates can be accounted for by?</t>
  </si>
  <si>
    <t>May 9, 1960</t>
  </si>
  <si>
    <t>epoch-making oratory</t>
  </si>
  <si>
    <t>Which British monarch appears above the frame around the arches and entrance?</t>
  </si>
  <si>
    <t>second level</t>
  </si>
  <si>
    <t>1568–1609</t>
  </si>
  <si>
    <t>American Philosophical Society</t>
  </si>
  <si>
    <t>There have been instances of actors returning at later dates to reprise the role of their specific Doctor. In 1973's The Three Doctors, William Hartnell and Patrick Troughton returned alongside Jon Pertwee. For 1983's The Five Doctors, Troughton and Pertwee returned to star with Peter Davison, and Tom Baker appeared in previously unseen footage from the uncompleted Shada episode. For this episode, Richard Hurndall replaced William Hartnell. Patrick Troughton again returned in 1985's The Two Doctors with Colin Baker. In 2007, Peter Davison returned in the Children in Need short "Time Crash" alongside David Tennant, and most recently in 2013's 50th anniversary special episode, "The Day of the Doctor", David Tennant's Tenth Doctor appeared alongside Matt Smith as the Eleventh Doctor and John Hurt as the War Doctor, as well as brief footage from all of the previous actors. In addition, the Doctor has occasionally encountered himself in the form of his own incarnation, from the near future or past. The First Doctor encounters himself in the story The Space Museum (albeit frozen and as an exhibit), the Third Doctor encounters and interacts with himself in the story Day of the Daleks, the Fourth Doctor encounters and interacts with the future incarnation of himself (the 'Watcher') in the story Logopolis, the Ninth Doctor observes a former version of his current incarnation in "Father's Day", and the Eleventh Doctor briefly comes face to face with himself in "The Big Bang". In "The Almost People" the Doctor comes face-to-face with himself although it is found out that this incarnation is in fact just a flesh replica. In "The Name of the Doctor", the Eleventh Doctor meets an unknown incarnation of himself, whom he refers to as "his secret" and who is subsequently revealed to be the War Doctor.</t>
  </si>
  <si>
    <t>understanding the motivations of his rivals</t>
  </si>
  <si>
    <t>within the dispensary compounding/dispensing medications</t>
  </si>
  <si>
    <t>no more than nine members</t>
  </si>
  <si>
    <t>Under Elie Metchnikoff's cellular theory, what cells were responsible for immune response?</t>
  </si>
  <si>
    <t>Where are Proplastids usually found?</t>
  </si>
  <si>
    <t>Which Doctor was the current Doctor during the 50th Anniversary special?</t>
  </si>
  <si>
    <t>if they arrest fully informed jury leafleters, the leaflets will have to be given to the leafleter's own jury as evidence</t>
  </si>
  <si>
    <t>A 2000 study found that 42% of UK teachers experienced occupational stress, twice the figure for the average profession. A 2012 study found that teachers experienced double the rate of anxiety, depression, and stress than average workers.</t>
  </si>
  <si>
    <t>the King</t>
  </si>
  <si>
    <t>Downtown Fresno</t>
  </si>
  <si>
    <t>existing level of inequality</t>
  </si>
  <si>
    <t>Who runs the University of Chicago?</t>
  </si>
  <si>
    <t>In the helical thylakoid model, grana consist of a stack of flattened circular granal thylakoids that resemble pancakes. Each granum can contain anywhere from two to a hundred thylakoids, though grana with 10–20 thylakoids are most common. Wrapped around the grana are helicoid stromal thylakoids, also known as frets or lamellar thylakoids. The helices ascend at an angle of 20–25°, connecting to each granal thylakoid at a bridge-like slit junction. The helicoids may extend as large sheets that link multiple grana, or narrow to tube-like bridges between grana. While different parts of the thylakoid system contain different membrane proteins, the thylakoid membranes are continuous and the thylakoid space they enclose form a single continuous labyrinth.</t>
  </si>
  <si>
    <t>tear huge areas of land into the sea</t>
  </si>
  <si>
    <t>tea or porridge with bread, chapati, mahamri, boiled sweet potatoes or yams</t>
  </si>
  <si>
    <t>inequality-associated effects</t>
  </si>
  <si>
    <t>What influence did Al Banna wish to eliminate from the Muslim world?</t>
  </si>
  <si>
    <t>What is the minimum required if you want to teach in Canada?</t>
  </si>
  <si>
    <t>In the shallow crust</t>
  </si>
  <si>
    <t>an Executive Committee</t>
  </si>
  <si>
    <t>When does rain typically fall in Jacksonville?</t>
  </si>
  <si>
    <t>knowing the direction of the forces</t>
  </si>
  <si>
    <t>Iran has assisted what type of groups in Iraq?</t>
  </si>
  <si>
    <t>What remote control vehicle did he make?</t>
  </si>
  <si>
    <t>peaceable revolution</t>
  </si>
  <si>
    <t>In September 1971</t>
  </si>
  <si>
    <t>Third-party channels</t>
  </si>
  <si>
    <t>3600 revolutions per minute</t>
  </si>
  <si>
    <t>How many levels of galleries do the façades surround?</t>
  </si>
  <si>
    <t>phlogiston theory of combustion and corrosion</t>
  </si>
  <si>
    <t>What is the name of the longest bridge in Germany?</t>
  </si>
  <si>
    <t>Kenya Certificate of Secondary Education</t>
  </si>
  <si>
    <t>present a rock concert</t>
  </si>
  <si>
    <t>world's first commercial online service</t>
  </si>
  <si>
    <t>Of what mountain system are the Victorian Alps a part?</t>
  </si>
  <si>
    <t>This is the most common method of construction procurement and is well established and recognized. In this arrangement, the architect or engineer acts as the project coordinator. His or her role is to design the works, prepare the specifications and produce construction drawings, administer the contract, tender the works, and manage the works from inception to completion. There are direct contractual links between the architect's client and the main contractor. Any subcontractor has a direct contractual relationship with the main contractor. The procedure continues until the building is ready to occupy.</t>
  </si>
  <si>
    <t>1,000 m3/s (35,000 cu ft/s),</t>
  </si>
  <si>
    <t>at the Battle of Hastings</t>
  </si>
  <si>
    <t>How many men would the LM take to the lunar surface and return to the CSM?</t>
  </si>
  <si>
    <t>opposition to the decisions of non-governmental agencies such as trade unions, banks, and private universities</t>
  </si>
  <si>
    <t>indigenous territories</t>
  </si>
  <si>
    <t>disturbed</t>
  </si>
  <si>
    <t>Narrow alleys</t>
  </si>
  <si>
    <t>missionaries</t>
  </si>
  <si>
    <t>What has allowed for the Savanna region to expand into the tropics?</t>
  </si>
  <si>
    <t>British colonists</t>
  </si>
  <si>
    <t>What was the rumored reason Edison and Tesla were not awarded the prize?</t>
  </si>
  <si>
    <t>a partial tear of the plantar fasciitis</t>
  </si>
  <si>
    <t>In 1898, Tesla demonstrated a radio-controlled boat—which he dubbed "teleautomaton"—to the public during an electrical exhibition at Madison Square Garden. The crowd that witnessed the demonstration made outrageous claims about the workings of the boat, such as magic, telepathy, and being piloted by a trained monkey hidden inside. Tesla tried to sell his idea to the U.S. military as a type of radio-controlled torpedo, but they showed little interest. Remote radio control remained a novelty until World War I and afterward, when a number of countries used it in military programs. Tesla took the opportunity to further demonstrate "Teleautomatics" in an address to a meeting of the Commercial Club in Chicago, while he was travelling to Colorado Springs, on 13 May 1899.</t>
  </si>
  <si>
    <t>In 1466, perhaps 40,000 people died of the plague in Paris. During the 16th and 17th centuries, the plague was present in Paris around 30 per cent of the time. The Black Death ravaged Europe for three years before it continued on into Russia, where the disease was present somewhere in the country 25 times between 1350 to 1490. Plague epidemics ravaged London in 1563, 1593, 1603, 1625, 1636, and 1665, reducing its population by 10 to 30% during those years. Over 10% of Amsterdam's population died in 1623–25, and again in 1635–36, 1655, and 1664. Plague occurred in Venice 22 times between 1361 and 1528. The plague of 1576–77 killed 50,000 in Venice, almost a third of the population. Late outbreaks in central Europe included the Italian Plague of 1629–1631, which is associated with troop movements during the Thirty Years' War, and the Great Plague of Vienna in 1679. Over 60% of Norway's population died in 1348–50. The last plague outbreak ravaged Oslo in 1654.</t>
  </si>
  <si>
    <t>What do chloroplasts look like in spinach grown in green light?</t>
  </si>
  <si>
    <t>The Court of Justice of the European Union</t>
  </si>
  <si>
    <t>Orientalism</t>
  </si>
  <si>
    <t>Which country did Rewe-Zentrale AG wish to import from?</t>
  </si>
  <si>
    <t>Brownlee argues disobedience can be justified toward what institutions?</t>
  </si>
  <si>
    <t>the Parliament of the United Kingdom at Westminster</t>
  </si>
  <si>
    <t>The Bank of America Tower was previously known as what?</t>
  </si>
  <si>
    <t>The division process starts when the proteins FtsZ1 and FtsZ2 assemble into filaments, and with the help of a protein ARC6, form a structure called a Z-ring within the chloroplast's stroma. The Min system manages the placement of the Z-ring, ensuring that the chloroplast is cleaved more or less evenly. The protein MinD prevents FtsZ from linking up and forming filaments. Another protein ARC3 may also be involved, but it is not very well understood. These proteins are active at the poles of the chloroplast, preventing Z-ring formation there, but near the center of the chloroplast, MinE inhibits them, allowing the Z-ring to form.</t>
  </si>
  <si>
    <t>AD 0–1250</t>
  </si>
  <si>
    <t>computational problems</t>
  </si>
  <si>
    <t>the Ouseburn valley</t>
  </si>
  <si>
    <t>The Rhine and what other river drained the northern flanks of the alps?</t>
  </si>
  <si>
    <t>radically anti-Semitic</t>
  </si>
  <si>
    <t>1960s and 1970s</t>
  </si>
  <si>
    <t>How did Luther view Islam?</t>
  </si>
  <si>
    <t>more unusual resources</t>
  </si>
  <si>
    <t>What role did Luther play in other areas' churches?</t>
  </si>
  <si>
    <t>How many of the fifteen points of discussion were agreed on?</t>
  </si>
  <si>
    <t>Where would profits go in this new company?</t>
  </si>
  <si>
    <t>at least 55 per cent of the Council members (not votes) representing 65 per cent of the population of the EU</t>
  </si>
  <si>
    <t>epidemiological account of the plague</t>
  </si>
  <si>
    <t>was never ratified</t>
  </si>
  <si>
    <t>Who was one of the earliest examples of Civil Disobedience against?</t>
  </si>
  <si>
    <t>geographical area it covers as well as the frequency of meeting</t>
  </si>
  <si>
    <t>allow for U.S authorship of a 'new world'</t>
  </si>
  <si>
    <t>Which country refused to content to changes in the Treaty of Lisbon 2007?</t>
  </si>
  <si>
    <t>thorough analysis of all medication (prescription, non-prescription, and herbals) currently being taken by an individual</t>
  </si>
  <si>
    <t>a council of Mongol chiefs</t>
  </si>
  <si>
    <t>What part of Luther's career was one of his most productive?</t>
  </si>
  <si>
    <t>Where was the  Continental Edison Company located?</t>
  </si>
  <si>
    <t>coal</t>
  </si>
  <si>
    <t>What does lack of education lead directly to?</t>
  </si>
  <si>
    <t>Where might committees meet outside of Parliament?</t>
  </si>
  <si>
    <t>Who was the first Doctor to travel with a married couple?</t>
  </si>
  <si>
    <t>Refineries, process chemical, power generation, mills and manufacturing plants are under what sector of construction?</t>
  </si>
  <si>
    <t>singing in churches</t>
  </si>
  <si>
    <t>What is the comparison in price between Australian private schools versus public?</t>
  </si>
  <si>
    <t>Why were Johann Esch and Heinrich Voes executed by the Catholic Church?</t>
  </si>
  <si>
    <t>a party has commanded a parliamentary majority</t>
  </si>
  <si>
    <t>greenhouse gas emissions</t>
  </si>
  <si>
    <t>Endosymbiotic gene transfer</t>
  </si>
  <si>
    <t>Does the residential architecture of the Tower District compare or contrast with other part of Fresno?</t>
  </si>
  <si>
    <t>cells</t>
  </si>
  <si>
    <t>fabricating evidence or committing perjury</t>
  </si>
  <si>
    <t>How much did Sky bid to win the 4 broadcast pacakges they bought?</t>
  </si>
  <si>
    <t>When was the soundtrack for series 5 released?</t>
  </si>
  <si>
    <t>China, Japan and Korea</t>
  </si>
  <si>
    <t>pathogens or pathogen-infected cells</t>
  </si>
  <si>
    <t>2 through 6</t>
  </si>
  <si>
    <t>labor inputs (workers)</t>
  </si>
  <si>
    <t>What does the ciliary rosettes do to decease bulk and increase density?</t>
  </si>
  <si>
    <t>The Black Death is thought to have originated in the arid plains of Central Asia, where it then travelled along the Silk Road, reaching Crimea by 1343. From there, it was most likely carried by Oriental rat fleas living on the black rats that were regular passengers on merchant ships. Spreading throughout the Mediterranean and Europe, the Black Death is estimated to have killed 30–60% of Europe's total population. In total, the plague reduced the world population from an estimated 450 million down to 350–375 million in the 14th century. The world population as a whole did not recover to pre-plague levels until the 17th century. The plague recurred occasionally in Europe until the 19th century.</t>
  </si>
  <si>
    <t>What type of immune systems are found in all plants and animals?</t>
  </si>
  <si>
    <t>pigeons</t>
  </si>
  <si>
    <t>Los Angeles International Airport</t>
  </si>
  <si>
    <t>What was given to high schools where former students went on to play or coach in a Super Bowl?</t>
  </si>
  <si>
    <t>division and administration</t>
  </si>
  <si>
    <t>What feature will enrich the the pedestrian friendly environment after restoration?</t>
  </si>
  <si>
    <t>Where can Aeolian sand with a number of dunes be found?</t>
  </si>
  <si>
    <t>Works Council Directive</t>
  </si>
  <si>
    <t>sea and trade routes</t>
  </si>
  <si>
    <t>Thank Goodness It's Funny</t>
  </si>
  <si>
    <t>The contracted batch of 15 Saturn Vs were enough for lunar landing missions through Apollo 20. NASA publicized a preliminary list of eight more planned landing sites, with plans to increase the mass of the CSM and LM for the last five missions, along with the payload capacity of the Saturn V. These final missions would combine the I and J types in the 1967 list, allowing the CMP to operate a package of lunar orbital sensors and cameras while his companions were on the surface, and allowing them to stay on the Moon for over three days. These missions would also carry the Lunar Roving Vehicle (LRV) increasing the exploration area and allowing televised liftoff of the LM. Also, the Block II spacesuit was revised for the extended missions to allow greater flexibility and visibility for driving the LRV.</t>
  </si>
  <si>
    <t>1 or 0</t>
  </si>
  <si>
    <t>silver</t>
  </si>
  <si>
    <t>confirmed and amended</t>
  </si>
  <si>
    <t>fluid–brain barriers</t>
  </si>
  <si>
    <t>nitrogen</t>
  </si>
  <si>
    <t>By mass, oxygen is the third-most abundant element in the universe, after hydrogen and helium</t>
  </si>
  <si>
    <t>impact process effects</t>
  </si>
  <si>
    <t>must be publicly announced</t>
  </si>
  <si>
    <t>1500 °C</t>
  </si>
  <si>
    <t>Kosher butchering</t>
  </si>
  <si>
    <t>asymptotic</t>
  </si>
  <si>
    <t>What did Temüjin promise his followers in exchange for their obedience?</t>
  </si>
  <si>
    <t>Which series were featured on the first Doctor Who soundtrack?</t>
  </si>
  <si>
    <t>~8,000 years ago</t>
  </si>
  <si>
    <t>When were the two finalists for hosting Super Bowl 50 announced?</t>
  </si>
  <si>
    <t>forbidden</t>
  </si>
  <si>
    <t>In 1542, Luther read a Latin translation of the Qur'an. He went on to produce several critical pamphlets on Islam, which he called "Mohammedanism" or "the Turk". Though Luther saw the Muslim faith as a tool of the devil, he was indifferent to its practice: "Let the Turk believe and live as he will, just as one lets the papacy and other false Christians live." He opposed banning the publication of the Qur'an, wanting it exposed to scrutiny.</t>
  </si>
  <si>
    <t>What could be attributed to gravity acceleration around the Earth?</t>
  </si>
  <si>
    <t>His friends thought that he had drowned in the Mur River.</t>
  </si>
  <si>
    <t>July 1969</t>
  </si>
  <si>
    <t>from 1550 to 1900</t>
  </si>
  <si>
    <t>What are the components of drug therapy?</t>
  </si>
  <si>
    <t>Informal imperialism is still dominant; however, less what?</t>
  </si>
  <si>
    <t>Where are pyrenoids found?</t>
  </si>
  <si>
    <t>unfair laws</t>
  </si>
  <si>
    <t>SAP Center</t>
  </si>
  <si>
    <t>Water on the eastern side flowed toward the Atlantic,</t>
  </si>
  <si>
    <t>For the Canadian broadcast, Christopher Eccleston recorded special video introductions for each episode (including a trivia question as part of a viewer contest) and excerpts from the Doctor Who Confidential documentary were played over the closing credits; for the broadcast of "The Christmas Invasion" on 26 December 2005, Billie Piper recorded a special video introduction. CBC began airing series two on 9 October 2006 at 20:00 E/P (20:30 in Newfoundland and Labrador), shortly after that day's CFL double header on Thanksgiving in most of the country.[citation needed]</t>
  </si>
  <si>
    <t>segregation academies</t>
  </si>
  <si>
    <t>What cycle starts with rubisco?</t>
  </si>
  <si>
    <t>questions and answers in the catechism so that the basics of Christian faith</t>
  </si>
  <si>
    <t xml:space="preserve">Petrologists identify rock samples in the field and where else? </t>
  </si>
  <si>
    <t>civil, military, and censorial</t>
  </si>
  <si>
    <t>Where did ITV Tyne Tees move in 2005?</t>
  </si>
  <si>
    <t>What certificate is often earned after graduating high school?</t>
  </si>
  <si>
    <t>On April 20, Kennedy sent a memo to Vice President Lyndon B. Johnson, asking Johnson to look into the status of America's space program, and into programs that could offer NASA the opportunity to catch up. Johnson responded approximately one week later, concluding that "we are neither making maximum effort nor achieving results necessary if this country is to reach a position of leadership." His memo concluded that a manned Moon landing was far enough in the future that it was likely the United States would achieve it first.</t>
  </si>
  <si>
    <t>three types of movement</t>
  </si>
  <si>
    <t>HIV/AIDS</t>
  </si>
  <si>
    <t>approximately fifty percent</t>
  </si>
  <si>
    <t>What theorems are responsible for determining questions of time and space requirements?</t>
  </si>
  <si>
    <t>October 1512,</t>
  </si>
  <si>
    <t>What has Islamism been increasingly interdependent with following the Arab Spring?</t>
  </si>
  <si>
    <t>Tesla's legacy has endured in books, films, radio, TV, music, live theater, comics and video games. The impact of the technologies invented or envisioned by Tesla is a recurring theme in several types of science fiction.</t>
  </si>
  <si>
    <t>World War II.</t>
  </si>
  <si>
    <t>nonviolent resistance movements</t>
  </si>
  <si>
    <t>What is the term of office for each house member?</t>
  </si>
  <si>
    <t>In the US, who decides on the requirements for teachers?</t>
  </si>
  <si>
    <t>refuse to enforce a decision</t>
  </si>
  <si>
    <t>increased blood flow into tissue</t>
  </si>
  <si>
    <t>Which member state declined to sign the Social Charter?</t>
  </si>
  <si>
    <t>Diffie–Hellman</t>
  </si>
  <si>
    <t>illegitimate</t>
  </si>
  <si>
    <t>After 2007 how much do student from families earning less than $60,000 pay for school?</t>
  </si>
  <si>
    <t>How is the opening of the Grainger Market documented in the Laing Art Gallery?</t>
  </si>
  <si>
    <t>As northwest Europe slowly began to warm up from 22,000 years ago onward, frozen subsoil and expanded alpine glaciers began to thaw and fall-winter snow covers melted in spring. Much of the discharge was routed to the Rhine and its downstream extension. Rapid warming and changes of vegetation, to open forest, began about 13,000 BP. By 9000 BP, Europe was fully forested. With globally shrinking ice-cover, ocean water levels rose and the English Channel and North Sea re-inundated. Meltwater, adding to the ocean and land subsidence, drowned the former coasts of Europe transgressionally.</t>
  </si>
  <si>
    <t>a world revolution</t>
  </si>
  <si>
    <t>the rest of Tesla's life.</t>
  </si>
  <si>
    <t>Why are newly discovered oil sold at a higher price?</t>
  </si>
  <si>
    <t>English and Swahili</t>
  </si>
  <si>
    <t>The first Methodist clergy were ordained by John Wesley, a priest of the Church of England, because of the crisis caused by the American Revolution which isolated the Methodists in the States from the Church of England and its sacraments. Today, the clergy includes men and women who are ordained by bishops as elders and deacons and are appointed to various ministries. Elders in the United Methodist Church itenerate and are subject to the authority and appointment of their bishops. They generally serve as pastors in local congregations. Deacons are in service ministry and may serve as musicians, liturgists, educators, business administrators, and a number of other areas. Elders and deacons are required to obtain a master's degree (generally an M.Div.), or another equivalent degree, before commissioning and then ultimately ordination. Elders in full connection are each a member of their Annual Conference Order of Elders. Likewise each deacon in full connection is a member of their Annual Conference Order of Deacons.</t>
  </si>
  <si>
    <t>sequenced delivery of data to the host</t>
  </si>
  <si>
    <t>coherent theory of quantum gravity</t>
  </si>
  <si>
    <t>until 1796</t>
  </si>
  <si>
    <t>The Amazon region is home to how many species of insect?</t>
  </si>
  <si>
    <t>the West Side</t>
  </si>
  <si>
    <t>Holland, Prussia, and South Africa</t>
  </si>
  <si>
    <t>What did did article 34 discriminate against in Procureur du Roi v Dassonville?</t>
  </si>
  <si>
    <t>torn down</t>
  </si>
  <si>
    <t>colonies</t>
  </si>
  <si>
    <t>When did French Republicans back building the French empire?</t>
  </si>
  <si>
    <t>Egyptian Islamic Jihad organization</t>
  </si>
  <si>
    <t>Where do all trains going to Scotland stop at?</t>
  </si>
  <si>
    <t>What was the occupation of Joseph Priestley?</t>
  </si>
  <si>
    <t>North and West Africa</t>
  </si>
  <si>
    <t>Why do firms substitute equipment for workers?</t>
  </si>
  <si>
    <t>What does the UMC endorse under strict and effective international control?</t>
  </si>
  <si>
    <t>What does a 2013 report on Nigeria suggest it's growth has done?</t>
  </si>
  <si>
    <t>unclear</t>
  </si>
  <si>
    <t>between P and PSPACE</t>
  </si>
  <si>
    <t>The success of the Britain Can Make It exhibition led to the planning of what exhibition in 1951?</t>
  </si>
  <si>
    <t>66 million years</t>
  </si>
  <si>
    <t>Red Army</t>
  </si>
  <si>
    <t>The Rhine-Meuse Delta is a tidal delta, shaped not only by the sedimentation of the rivers, but also by tidal currents. This meant that high tide formed a serious risk because strong tidal currents could tear huge areas of land into the sea. Before the construction of the Delta Works, tidal influence was palpable up to Nijmegen, and even today, after the regulatory action of the Delta Works, the tide acts far inland. At the Waal, for example, the most landward tidal influence can be detected between Brakel and Zaltbommel.</t>
  </si>
  <si>
    <t>Who was a man studying medicinal applicants of plants in Ancient Greece?</t>
  </si>
  <si>
    <t>Lutheran and Reformed</t>
  </si>
  <si>
    <t>What is Victoria's largest non-Christian religion?</t>
  </si>
  <si>
    <t>no known case</t>
  </si>
  <si>
    <t>Where were Luther's hymns included?</t>
  </si>
  <si>
    <t>The Standard Industrial Classification and the newer North American Industry Classification System</t>
  </si>
  <si>
    <t>Where are longitudinal waves found?</t>
  </si>
  <si>
    <t>What city did Tesla move to in 1880?</t>
  </si>
  <si>
    <t>Other than his scientific achievements what was Tesla famous for?</t>
  </si>
  <si>
    <t>Western medicine was also practiced in China by the Nestorian Christians of the Yuan court, where it was sometimes labeled as huihui or Muslim medicine. The Nestorian physician Jesus the Interpreter founded the Office of Western Medicine in 1263 during the reign of Kublai. Huihui doctors staffed at two imperial hospitals were responsible for treating the imperial family and members of the court. Chinese physicians opposed Western medicine because its humoral system contradicted the yin-yang and wuxing philosophy underlying traditional Chinese medicine. No Chinese translation of Western medical works is known, but it is possible that the Chinese had access to Avicenna's The Canon of Medicine.</t>
  </si>
  <si>
    <t>How many miles south of Edinburgh is Newcastle?</t>
  </si>
  <si>
    <t>finances</t>
  </si>
  <si>
    <t>In a type III secretion system, proteins are transported to the host cell in order to do what?</t>
  </si>
  <si>
    <t>discipline problems</t>
  </si>
  <si>
    <t>The V&amp;A holds over 19,000 items from the Islamic world, ranging from the early Islamic period (the 7th century) to the early 20th century. The Jameel Gallery of Islamic Art, opened in 2006, houses a representative display of 400 objects with the highlight being the Ardabil Carpet, the centrepiece of the gallery. The displays in this gallery cover objects from Spain, North Africa, the Middle East, Central Asia and Afghanistan. A masterpiece of Islamic art is a 10th-century Rock crystal ewer. Many examples of Qur'āns with exquisite calligraphy dating from various periods are on display. A 15th-century minbar from a Cairo mosque with ivory forming complex geometrical patterns inlaid in wood is one of the larger objects on display. Extensive examples of ceramics especially Iznik pottery, glasswork including 14th-century lamps from mosques and metalwork are on display. The collection of Middle Eastern and Persian rugs and carpets is amongst the finest in the world, many were part of the Salting Bequest of 1909. Examples of tile work from various buildings including a fireplace dated 1731 from Istanbul made of intricately decorated blue and white tiles and turquoise tiles from the exterior of buildings from Samarkand are also displayed.</t>
  </si>
  <si>
    <t>How many hymns of Luther were included in the Achtliederbuch?</t>
  </si>
  <si>
    <t>nineteenth century</t>
  </si>
  <si>
    <t>Packet mode communication may be implemented with or without intermediate forwarding nodes (packet switches or routers). Packets are normally forwarded by intermediate network nodes asynchronously using first-in, first-out buffering, but may be forwarded according to some scheduling discipline for fair queuing, traffic shaping, or for differentiated or guaranteed quality of service, such as weighted fair queuing or leaky bucket. In case of a shared physical medium (such as radio or 10BASE5), the packets may be delivered according to a multiple access scheme.</t>
  </si>
  <si>
    <t>transfer from another Christian denomination</t>
  </si>
  <si>
    <t>the late 1960s</t>
  </si>
  <si>
    <t>transfer and dissipate excess energy</t>
  </si>
  <si>
    <t>inverted repeat regions</t>
  </si>
  <si>
    <t>one-quarter of the population</t>
  </si>
  <si>
    <t>direction in which the mouth is pointing</t>
  </si>
  <si>
    <t>Dwight D. Eisenhower</t>
  </si>
  <si>
    <t>What words are inscribed on the mace of parliament?</t>
  </si>
  <si>
    <t>the comprehensive institutions of the Great Yuan</t>
  </si>
  <si>
    <t>"blurring of theological and confessional differences in the interests of unity</t>
  </si>
  <si>
    <t>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Their use in agriculture led to an increase in the land available for cultivation. There have at one time or another been steam-powered farm tractors, motorcycles (without much success) and even automobiles as the Stanley Steamer.</t>
  </si>
  <si>
    <t>guilty of doing no wrong</t>
  </si>
  <si>
    <t>The speed of the killing response of the human immune system is a product of what process?</t>
  </si>
  <si>
    <t>Where did the Panthers practice at for Super Bowl 50?</t>
  </si>
  <si>
    <t>other scientific bodies</t>
  </si>
  <si>
    <t>What kind of chloroplasts do cryptophytes have?</t>
  </si>
  <si>
    <t>fanaticism</t>
  </si>
  <si>
    <t>When do chloroplasts arrange in vertical columns or turn sideways?</t>
  </si>
  <si>
    <t>mainline Protestant Methodist denomination</t>
  </si>
  <si>
    <t>an amorphous area of central Europe</t>
  </si>
  <si>
    <t>Coronation Street</t>
  </si>
  <si>
    <t>How many academic research divisions does the University of Chicago have?</t>
  </si>
  <si>
    <t>What encoding decision needs to be made in order to determine an exact definition of the formal language?</t>
  </si>
  <si>
    <t>To which century is the glass beaker called Luck of Edenhall dated?</t>
  </si>
  <si>
    <t>speech</t>
  </si>
  <si>
    <t>their bright colors sometimes override the chlorophyll green</t>
  </si>
  <si>
    <t>sanction for murder</t>
  </si>
  <si>
    <t>Fourth Intercolonial War and the Great War for the Empire</t>
  </si>
  <si>
    <t>settled as one of the pillars of history</t>
  </si>
  <si>
    <t>Why do the island archipelagos comprise a smaller number of electors?</t>
  </si>
  <si>
    <t>What happens secondly if a Directive's deadline is not met?</t>
  </si>
  <si>
    <t>What was the premise of Woodrow Wilson's inquiry?</t>
  </si>
  <si>
    <t>On the Night of the Fire</t>
  </si>
  <si>
    <t>Richard Allen and Absalom Jones became the first African Americans ordained by the Methodist Church. They were licensed by St. George's Church in 1784. Three years later, protesting racial segregation in the worship services, Allen led most of the black members out of St. George's; eventually they founded the Mother Bethel A.M.E. Church and the African Methodist Episcopal denomination. Absalom Jones became an Episcopal priest. In 1836, the church's basement was excavated to make room for a Sunday School. In the 1920s a court case saved the church from being demolished to make way for the Benjamin Franklin Bridge. The case resulted in the bridge being relocated. Historic St Georges welcomes visitors and is home to archives and a museum on Methodism.</t>
  </si>
  <si>
    <t>When did Torchwood premier?</t>
  </si>
  <si>
    <t>Who chartered the British East India Company?</t>
  </si>
  <si>
    <t>What made Luther even more short tempered than usual?</t>
  </si>
  <si>
    <t>Why did the General Conference of the Methodist Episcopal Church split into two conferences?</t>
  </si>
  <si>
    <t>The Musical Instruments gallery closed 25 February 2010, a decision which was highly controversial. An online petition of over 5,100 names on the Parliamentary website led to Chris Smith asking Parliament about the future of the collection. The answer, from Bryan Davies was that the museum intended to preserve and care for the collection and keep it available to the public, with items being redistributed to the British Galleries, the Medieval &amp; Renaissance Galleries, and the planned new galleries for Furniture and Europe 1600–1800, and that the Horniman Museum and other institutions were possible candidates for loans of material to ensure that the instruments remained publicly viewable. The Horniman went on to host a joint exhibition with the V&amp;A of musical instruments, and has the loan of 35 instruments from the museum.</t>
  </si>
  <si>
    <t>non-violent</t>
  </si>
  <si>
    <t>a parliamentary majority</t>
  </si>
  <si>
    <t>The first recorded travels by Europeans to China and back date from this time. The most famous traveler of the period was the Venetian Marco Polo, whose account of his trip to "Cambaluc," the capital of the Great Khan, and of life there astounded the people of Europe. The account of his travels, Il milione (or, The Million, known in English as the Travels of Marco Polo), appeared about the year 1299. Some argue over the accuracy of Marco Polo's accounts due to the lack of mentioning the Great Wall of China, tea houses, which would have been a prominent sight since Europeans had yet to adopt a tea culture, as well the practice of foot binding by the women in capital of the Great Khan. Some suggest that Marco Polo acquired much of his knowledge through contact with Persian traders since many of the places he named were in Persian.</t>
  </si>
  <si>
    <t>Who did the Normans team up with in Anatolia?</t>
  </si>
  <si>
    <t>exploitation of the valuable assets and supplies of the nation that was conquered</t>
  </si>
  <si>
    <t>Complexity theory classifies problems based on what primary attribute?</t>
  </si>
  <si>
    <t>intuitive understanding</t>
  </si>
  <si>
    <t>Purus Arch</t>
  </si>
  <si>
    <t>ranked above the two personal physicians of the Emperor</t>
  </si>
  <si>
    <t>electrical power generation</t>
  </si>
  <si>
    <t>How much can the SP alter income tax in Scotland?</t>
  </si>
  <si>
    <t>What can concentrated oxygen produce?</t>
  </si>
  <si>
    <t>has trouble distinguishing between carbon dioxide and oxygen</t>
  </si>
  <si>
    <t>permanent pulmonary fibrosis</t>
  </si>
  <si>
    <t>After strengthening his government in northern China, Kublai pursued an expansionist policy in line with the tradition of Mongol and Chinese imperialism. He renewed a massive drive against the Song dynasty to the south. Kublai besieged Xiangyang between 1268 and 1273, the last obstacle in his way to capture the rich Yangzi River basin. An unsuccessful naval expedition was undertaken against Japan in 1274. Kublai captured the Song capital of Hangzhou in 1276, the wealthiest city of China. Song loyalists escaped from the capital and enthroned a young child as Emperor Bing of Song. The Mongols defeated the loyalists at the battle of Yamen in 1279. The last Song emperor drowned, bringing an end to the Song dynasty. The conquest of the Song reunited northern and southern China for the first time in three hundred years.</t>
  </si>
  <si>
    <t>in 1932 what was the Rhine measurement changed to?</t>
  </si>
  <si>
    <t>peer tuitions and the school's financial endowment</t>
  </si>
  <si>
    <t>What were the two forms of environmental determinism?</t>
  </si>
  <si>
    <t>Which two groups have cells bound by inter-cell connections and membranes, muscles, a nervous system and sensory organs?</t>
  </si>
  <si>
    <t>rejected the existence</t>
  </si>
  <si>
    <t>What encouraged cultural exchange under the Yuan?</t>
  </si>
  <si>
    <t xml:space="preserve">How did scientists assess the DNA/RNA of yersinia pestis? </t>
  </si>
  <si>
    <t>300 km long</t>
  </si>
  <si>
    <t>How much of the protein products of transferred genes don't go back to chloroplasts?</t>
  </si>
  <si>
    <t>How many seasons did NYPD Blue last?</t>
  </si>
  <si>
    <t>Low doses of anti-inflammatories are sometimes used with what classes of drugs?</t>
  </si>
  <si>
    <t>a cycling festival</t>
  </si>
  <si>
    <t>What did Luther deny the rebels?</t>
  </si>
  <si>
    <t>debased</t>
  </si>
  <si>
    <t>algorithms have been written that solve the problem in reasonable times in most cases</t>
  </si>
  <si>
    <t>receptions, gatherings or exhibition purposes</t>
  </si>
  <si>
    <t>history of arms</t>
  </si>
  <si>
    <t>the heart</t>
  </si>
  <si>
    <t>words spoken</t>
  </si>
  <si>
    <t>When did embankment of the major Rhine distributaries take palce?</t>
  </si>
  <si>
    <t>What region of the Rhine was changed by the Rhine Straightening program?</t>
  </si>
  <si>
    <t>a protest</t>
  </si>
  <si>
    <t>After the death of Tugh Temür in 1332 and subsequent death of Rinchinbal (Emperor Ningzong) the same year, the 13-year-old Toghun Temür (Emperor Huizong), the last of the nine successors of Kublai Khan, was summoned back from Guangxi and succeeded to the throne. After El Temür's death, Bayan became as powerful an official as El Temür had been in the beginning of his long reign. As Toghun Temür grew, he came to disapprove of Bayan's autocratic rule. In 1340 he allied himself with Bayan's nephew Toqto'a, who was in discord with Bayan, and banished Bayan by coup. With the dismissal of Bayan, Toghtogha seized the power of the court. His first administration clearly exhibited fresh new spirit. He also gave a few early signs of a new and positive direction in central government. One of his successful projects was to finish the long-stalled official histories of the Liao, Jin, and Song dynasties, which were eventually completed in 1345. Yet, Toghtogha resigned his office with the approval of Toghun Temür, marking the end of his first administration, and he was not called back until 1349.</t>
  </si>
  <si>
    <t>What do increased greenhouse gases cause?</t>
  </si>
  <si>
    <t>What will a pharmacist who passes the ambulatory pharmacist exam be called?</t>
  </si>
  <si>
    <t>trade unions</t>
  </si>
  <si>
    <t>unreliable datagrams and associated end-to-end protocol mechanisms</t>
  </si>
  <si>
    <t>helical thylakoid</t>
  </si>
  <si>
    <t>some pre-planning and Christian burials</t>
  </si>
  <si>
    <t>Of whom, to Luther, was justification entirely the work ?</t>
  </si>
  <si>
    <t>A third type of conjectures concerns aspects of the distribution of primes. It is conjectured that there are infinitely many twin primes, pairs of primes with difference 2 (twin prime conjecture). Polignac's conjecture is a strengthening of that conjecture, it states that for every positive integer n, there are infinitely many pairs of consecutive primes that differ by 2n. It is conjectured there are infinitely many primes of the form n2 + 1. These conjectures are special cases of the broad Schinzel's hypothesis H. Brocard's conjecture says that there are always at least four primes between the squares of consecutive primes greater than 2. Legendre's conjecture states that there is a prime number between n2 and (n + 1)2 for every positive integer n. It is implied by the stronger Cramér's conjecture.</t>
  </si>
  <si>
    <t>National Science Foundation Network</t>
  </si>
  <si>
    <t>Where will a canonball dropped from the crow's nest of a ship land according to Aristotle?</t>
  </si>
  <si>
    <t>six regiments to New France</t>
  </si>
  <si>
    <t>political figures</t>
  </si>
  <si>
    <t>to spearhead the regeneration of the North-East</t>
  </si>
  <si>
    <t>an increase in the input size</t>
  </si>
  <si>
    <t>OAPEC proclaimed the embargo that curbed exports to various countries</t>
  </si>
  <si>
    <t>The principle of faunal succession</t>
  </si>
  <si>
    <t>Which year did the price of oil drop to $10 per barrel?</t>
  </si>
  <si>
    <t>divergence problem</t>
  </si>
  <si>
    <t>A term used originally in derision, Huguenot has unclear origins. Various hypotheses have been promoted. The nickname may have been a combined reference to the Swiss politician Besançon Hugues (died 1532) and the religiously conflicted nature of Swiss republicanism in his time, using a clever derogatory pun on the name Hugues by way of the Dutch word Huisgenoten (literally housemates), referring to the connotations of a somewhat related word in German Eidgenosse (Confederates as in "a citizen of one of the states of the Swiss Confederacy"). Geneva was John Calvin's adopted home and the centre of the Calvinist movement. In Geneva, Hugues, though Catholic, was a leader of the "Confederate Party", so called because it favoured independence from the Duke of Savoy through an alliance between the city-state of Geneva and the Swiss Confederation. The label Huguenot was purportedly first applied in France to those conspirators (all of them aristocratic members of the Reformed Church) involved in the Amboise plot of 1560: a foiled attempt to wrest power in France from the influential House of Guise. The move would have had the side effect of fostering relations with the Swiss. Thus, Hugues plus Eidgenosse by way of Huisgenoten supposedly became Huguenot, a nickname associating the Protestant cause with politics unpopular in France.[citation needed]</t>
  </si>
  <si>
    <t>Where is a palm house with subtropic plants from all over the world on display?</t>
  </si>
  <si>
    <t>public switched data network</t>
  </si>
  <si>
    <t>a 4-week period</t>
  </si>
  <si>
    <t>Who was the new elector of Saxony?</t>
  </si>
  <si>
    <t>coughing and sneezing</t>
  </si>
  <si>
    <t>a cup</t>
  </si>
  <si>
    <t>recreational</t>
  </si>
  <si>
    <t>DECnet is a suite of network protocols created by Digital Equipment Corporation, originally released in 1975 in order to connect two PDP-11 minicomputers. It evolved into one of the first peer-to-peer network architectures, thus transforming DEC into a networking powerhouse in the 1980s. Initially built with three layers, it later (1982) evolved into a seven-layer OSI-compliant networking protocol. The DECnet protocols were designed entirely by Digital Equipment Corporation. However, DECnet Phase II (and later) were open standards with published specifications, and several implementations were developed outside DEC, including one for Linux.</t>
  </si>
  <si>
    <t>What is the process of changing light into chemical energy?</t>
  </si>
  <si>
    <t>steam turbines with reduction gearing</t>
  </si>
  <si>
    <t>What measurement of time is used in polynomial time reduction?</t>
  </si>
  <si>
    <t>graduate and undergraduate students</t>
  </si>
  <si>
    <t>rose to higher political office</t>
  </si>
  <si>
    <t>traditional visor helmet</t>
  </si>
  <si>
    <t>non-violence</t>
  </si>
  <si>
    <t>prelaunch test</t>
  </si>
  <si>
    <t>There are two of what type of institution in Newcastle?</t>
  </si>
  <si>
    <t>Decision Time</t>
  </si>
  <si>
    <t>What did European chemists make that could be used in warfare?</t>
  </si>
  <si>
    <t>What publication called Doctor Who "The Greatest UK Science Fiction Series Ever"?</t>
  </si>
  <si>
    <t>Paris</t>
  </si>
  <si>
    <t>Child labour is common in Kenya. Most working children are active in agriculture. In 2006, UNICEF estimated that up to 30% of girls in the coastal areas of Malindi, Mombasa, Kilifi, and Diani were subject to prostitution. Most of the prostitutes in Kenya are aged 9–18. The Ministry of Gender and Child Affairs employed 400 child protection officers in 2009. The causes of child labour include poverty, the lack of access to education and weak government institutions. Kenya has ratified Convention No. 81 on labour inspection in industries and Convention No. 129 on labour inspection in agriculture.</t>
  </si>
  <si>
    <t>muggers, arsonists, draft evaders, campaign hecklers, campus militants, anti-war demonstrators, juvenile delinquents and political assassins</t>
  </si>
  <si>
    <t>Which entity focused upon the free movement of workers?</t>
  </si>
  <si>
    <t>Book of Common Prayer.</t>
  </si>
  <si>
    <t>early 1960s</t>
  </si>
  <si>
    <t>exploitation of the valuable assets and supplies of the nation that was conquered and the conquering nation then gaining the benefits</t>
  </si>
  <si>
    <t>observer status</t>
  </si>
  <si>
    <t>poverty and were ill treated</t>
  </si>
  <si>
    <t>Formed in 1946, Sierra Sky Park Airport is a residential airport community born of a unique agreement in transportation law to allow personal aircraft and automobiles to share certain roads. Sierra Sky Park was the first aviation community to be built[citation needed] and there are now numerous such communities across the United States and around the world. Developer William Smilie created the nation's first planned aviation community. Still in operation today, the public use airport provides a unique neighborhood that spawned interest and similar communities nationwide.</t>
  </si>
  <si>
    <t>What treaty ended the Wars of Religion?</t>
  </si>
  <si>
    <t>oceanic</t>
  </si>
  <si>
    <t>held at the Lovely Lane Methodist Church</t>
  </si>
  <si>
    <t>epithelium</t>
  </si>
  <si>
    <t>How else might a physician take advantage of self-interest?</t>
  </si>
  <si>
    <t>Who leads the National and Public Library Servies?</t>
  </si>
  <si>
    <t>historical era</t>
  </si>
  <si>
    <t>organic compounds</t>
  </si>
  <si>
    <t xml:space="preserve">How did the United States plan to subdue imperialistic tendencies? </t>
  </si>
  <si>
    <t>How much Victorian farmland is farmed in grains?</t>
  </si>
  <si>
    <t>radiography</t>
  </si>
  <si>
    <t>The network's flagship owned-and-operated station, WJZ-TV in New York City (later re-called WABC-TV), signed on the air on August 10, 1948, with its first broadcast running for two hours that evening. ABC's other owned-and-operated stations launched over the course of the next 13 months: WENR-TV in Chicago signed on the air on September 17, while WXYZ-TV in Detroit went on the air on October 9, 1948. In October 1948, as a result of an influx of television station license applications that it had issued as well as a study it undertook on the use of the VHF spectrum for broadcasting purposes, the FCC implemented a freeze on new station applications. However, KGO-TV in San Francisco, which had received its license prior to the freeze, made its debut on May 5, 1949. On May 7, 1949, Billboard revealed that ABC had proposed an investment of $6.25 million, of which it would spend $2.5 million to convert 20 acres (80,937 m2) of land in Hollywood into what would become The Prospect Studios, and construct a transmitter on Mount Wilson, in anticipation of the launch of KECA-TV, which was scheduled to begin operations on August 1 (but would not actually sign on until September 16).</t>
  </si>
  <si>
    <t>gravity</t>
  </si>
  <si>
    <t>that the earth had a resonant frequency.</t>
  </si>
  <si>
    <t>the Legislative Assembly</t>
  </si>
  <si>
    <t>What is Norman art's most well known piece?</t>
  </si>
  <si>
    <t>Throughout the history of education the most common form of school discipline was corporal punishment. While a child was in school, a teacher was expected to act as a substitute parent, with all the normal forms of parental discipline open to them.</t>
  </si>
  <si>
    <t>returned to Earth</t>
  </si>
  <si>
    <t>Legislative Assembly</t>
  </si>
  <si>
    <t>drawn by the convenience of the railroad and worried about flooding</t>
  </si>
  <si>
    <t>sell prescription drugs without requiring a prescription</t>
  </si>
  <si>
    <t>What are the ties that best described what the "eight counties" are based on?</t>
  </si>
  <si>
    <t>What is the purpose of the ASER?</t>
  </si>
  <si>
    <t>oxygen tank explosion</t>
  </si>
  <si>
    <t>How much money has been raised by the host committee?</t>
  </si>
  <si>
    <t>increasingly substitute capital equipment for labor inputs</t>
  </si>
  <si>
    <t>applications such as on-line betting, financial applications</t>
  </si>
  <si>
    <t>silicon</t>
  </si>
  <si>
    <t>state security</t>
  </si>
  <si>
    <t>$45,000</t>
  </si>
  <si>
    <t>30 to 50 thousand inhabitants</t>
  </si>
  <si>
    <t>Sentences by Peter Lombard</t>
  </si>
  <si>
    <t>What conjecture holds that there are always a minimum of 4 primes  between the squares of consecutive primes greater than 2?</t>
  </si>
  <si>
    <t>Orange County is a rapidly developing business center that includes Downtown Santa Ana, the South Coast Metro and Newport Center districts; as well as the Irvine business centers of The Irvine Spectrum, West Irvine, and international corporations headquartered at the University of California, Irvine. West Irvine includes the Irvine Tech Center and Jamboree Business Parks.</t>
  </si>
  <si>
    <t>Due to the fact that the bureaucracy was dominated by El Temür, Tugh Temür is known for his cultural contribution instead. He adopted many measures honoring Confucianism and promoting Chinese cultural values. His most concrete effort to patronize Chinese learning was founding the Academy of the Pavilion of the Star of Literature (Chinese: 奎章閣學士院), first established in the spring of 1329 and designed to undertake "a number of tasks relating to the transmission of Confucian high culture to the Mongolian imperial establishment". The academy was responsible for compiling and publishing a number of books, but its most important achievement was its compilation of a vast institutional compendium named Jingshi Dadian (Chinese: 經世大典). Tugh Temür supported Zhu Xi's Neo-Confucianism and also devoted himself in Buddhism.</t>
  </si>
  <si>
    <t>What is the name of the desert on the border of Arizona?</t>
  </si>
  <si>
    <t>How long was each Doctor Who episode in the 2005 revival series (including ads)?</t>
  </si>
  <si>
    <t>His lab was torn down</t>
  </si>
  <si>
    <t>Approximately how books did Alexander Dyce bequeathed to the museum?</t>
  </si>
  <si>
    <t>What does ctenophora mean in Greek?</t>
  </si>
  <si>
    <t>Ranked positions</t>
  </si>
  <si>
    <t>The most frequent musical contributor during the first 15 years was Dudley Simpson, who is also well known for his theme and incidental music for Blake's 7, and for his haunting theme music and score for the original 1970s version of The Tomorrow People. Simpson's first Doctor Who score was Planet of Giants (1964) and he went on to write music for many adventures of the 1960s and 1970s, including most of the stories of the Jon Pertwee/Tom Baker periods, ending with The Horns of Nimon (1979). He also made a cameo appearance in The Talons of Weng-Chiang (as a Music hall conductor).</t>
  </si>
  <si>
    <t>3–2.7 billion years ago</t>
  </si>
  <si>
    <t>does not faithfully summarize the full WGI report</t>
  </si>
  <si>
    <t>There are concentrations of pubs, bars and nightclubs around the Bigg Market and the Quayside area of the city centre. There are many bars on the Bigg Market, and other popular areas for nightlife are Collingwood Street, popularly referred to as the 'Diamond Strip' due to its concentration of high-end bars, Neville Street, the Central Station area and Osborne Road in the Jesmond area of the city. In recent years "The Gate" has opened in the city centre, a new indoor complex consisting of bars, upmarket clubs, restaurants and a 12-screen Empire multiplex cinema. Newcastle's gay scene - 'The Pink Triangle' - is centred on the Times Square area near the Centre for Life and has a range of bars, cafés and clubs.</t>
  </si>
  <si>
    <t>What is one supplementary source of European Union law?</t>
  </si>
  <si>
    <t>Swiss-Austrian</t>
  </si>
  <si>
    <t>unfair</t>
  </si>
  <si>
    <t>one of the most common</t>
  </si>
  <si>
    <t>151 votes</t>
  </si>
  <si>
    <t>brick-and-mortar community pharmacies that serve consumers online and those that walk in their door</t>
  </si>
  <si>
    <t>cartels</t>
  </si>
  <si>
    <t>gold rush</t>
  </si>
  <si>
    <t>three-fourths</t>
  </si>
  <si>
    <t>Edict of Alès</t>
  </si>
  <si>
    <t>What was the occasion for the boat demonstration?</t>
  </si>
  <si>
    <t>business is chronically understaffed</t>
  </si>
  <si>
    <t>almost the same thing as chloroplast</t>
  </si>
  <si>
    <t>the town council</t>
  </si>
  <si>
    <t>making home craft tools, mechanical appliances, and the ability to memorize Serbian epic poems</t>
  </si>
  <si>
    <t>in charity and good works</t>
  </si>
  <si>
    <t>Seventh</t>
  </si>
  <si>
    <t>private member</t>
  </si>
  <si>
    <t>after the end of the Mexican War</t>
  </si>
  <si>
    <t>the mesophyll layers</t>
  </si>
  <si>
    <t>strong and weak</t>
  </si>
  <si>
    <t>In 2000, ABC started an internet based campaign focused on what?</t>
  </si>
  <si>
    <t>Malkin Athletic Center</t>
  </si>
  <si>
    <t>modern art by Polish and international artists</t>
  </si>
  <si>
    <t>How large across are chloroplasts in land plants?</t>
  </si>
  <si>
    <t>their effects on the motion of the body</t>
  </si>
  <si>
    <t>fifty percent more</t>
  </si>
  <si>
    <t>defiant speech</t>
  </si>
  <si>
    <t>Cobham–Edmonds thesis</t>
  </si>
  <si>
    <t>the Conservative</t>
  </si>
  <si>
    <t>Sociologist Jake Rosenfield of the University of Washington asserts that the decline of organized labor in the United States has played a more significant role in expanding the income gap than technological changes and globalization, which were also experienced by other industrialized nations that didn't experience steep surges in inequality. He points out that nations with high rates of unionization, particularly in Scandinavia, have very low levels of inequality, and concludes "the historical pattern is clear; the cross-national pattern is clear: high inequality goes hand-in-hand with weak labor movements and vice-versa."</t>
  </si>
  <si>
    <t>thorough analysis of all medication (prescription, non-prescription, and herbals) currently being taken by an individual.</t>
  </si>
  <si>
    <t>What is Cultural Imperialism often referred to as?</t>
  </si>
  <si>
    <t>What gearing was used on steam turbine marine engines in the 20th century?</t>
  </si>
  <si>
    <t>eukaryotes</t>
  </si>
  <si>
    <t>What other activities does the UNFCCC require the IPCC to run?</t>
  </si>
  <si>
    <t>Why have Newcastle and Gateshead linked together under a common banner?</t>
  </si>
  <si>
    <t>mediaeval music</t>
  </si>
  <si>
    <t>issues under their jurisdiction</t>
  </si>
  <si>
    <t>owner</t>
  </si>
  <si>
    <t>What type of wages result from jobs where there is low supply but high demand?</t>
  </si>
  <si>
    <t>high pressure</t>
  </si>
  <si>
    <t>On October 6, 1973</t>
  </si>
  <si>
    <t xml:space="preserve">Which gallery was redesigned in the 1990s and later improved in 2002? </t>
  </si>
  <si>
    <t>Throughout the programme's long history, there have been revelations about the Doctor that have raised additional questions. In The Brain of Morbius (1976), it was hinted that the First Doctor may not have been the first incarnation (although the other faces depicted may have been incarnations of the Time Lord Morbius). In subsequent stories the First Doctor was depicted as the earliest incarnation of the Doctor. In Mawdryn Undead (1983), the Fifth Doctor explicitly confirmed that he was then currently in his fifth incarnation. Later that same year, during 1983's 20th Anniversary special The Five Doctors, the First Doctor enquires as to the Fifth Doctor's regeneration; when the Fifth Doctor confirms "Fourth", the First Doctor excitedly replies "Goodness me. So there are five of me now." In 2010, the Eleventh Doctor similarly calls himself "the Eleventh" in "The Lodger". In the 2013 episode "The Time of the Doctor," the Eleventh Doctor clarified he was the product of the twelfth regeneration, due to a previous incarnation which he chose not to count and one other aborted regeneration. The name Eleventh is still used for this incarnation; the same episode depicts the prophesied "Fall of the Eleventh" which had been trailed throughout the series.</t>
  </si>
  <si>
    <t>What stipend do students enrolled in priority courses receive?</t>
  </si>
  <si>
    <t>What changes the mineral content of a rock?</t>
  </si>
  <si>
    <t>six divisions</t>
  </si>
  <si>
    <t>What is the name of the largest university press in the U.S?</t>
  </si>
  <si>
    <t>How many Vice Presidents are in the Board of Trustees?</t>
  </si>
  <si>
    <t>What are two factors that directly effect how powerful a Turing machine may or may not be?</t>
  </si>
  <si>
    <t>to “wid[en] people’s choices and the level of their achieved well-being”</t>
  </si>
  <si>
    <t>green light</t>
  </si>
  <si>
    <t>Imperialism is confused with what other term?</t>
  </si>
  <si>
    <t>V&amp;A Museum of Childhood</t>
  </si>
  <si>
    <t>Uni in the USA</t>
  </si>
  <si>
    <t>Phillip Island</t>
  </si>
  <si>
    <t>father of the house</t>
  </si>
  <si>
    <t>inequality first increases</t>
  </si>
  <si>
    <t>A formal design team may be assembled to do what?</t>
  </si>
  <si>
    <t>because the nationalisation law was from 1962, and the treaty was in force from 1958, Costa had no claim</t>
  </si>
  <si>
    <t>Half</t>
  </si>
  <si>
    <t>All clergy appointments are made and fixed annually by the resident bishop on the advice of the Annual Conference Cabinet, which is composed of the Area Provost/Dean (if one is appointed) and the several District Superintendents of the Districts of the Annual Conference. Until the bishop has read the appointments at the session of the Annual Conference, no appointments are officially fixed. Many Annual Conferences try to avoid making appointment changes between sessions of Annual Conference. While an appointment is made one year at a time, it is most common for an appointment to be continued for multiple years. Appointment tenures in extension ministries, such as military chaplaincy, campus ministry, missions, higher education and other ministries beyond the local church are often even longer.</t>
  </si>
  <si>
    <t>Who were the creators of the Flintstones?</t>
  </si>
  <si>
    <t>What was found to be at fault for the fire in the cabin on Apollo 1 regarding the CM design?</t>
  </si>
  <si>
    <t>What are the two processing facilities in the neighborhood?</t>
  </si>
  <si>
    <t>the Town Moor</t>
  </si>
  <si>
    <t>What did the Warsaw Confederation formally establish in 1573?</t>
  </si>
  <si>
    <t>Waterlogged</t>
  </si>
  <si>
    <t>What caused the separation of the Methodists in the American colonies?</t>
  </si>
  <si>
    <t>1300</t>
  </si>
  <si>
    <t>What did Tesla see during his strange illnesses when he was young?</t>
  </si>
  <si>
    <t>The Walt Disney Company</t>
  </si>
  <si>
    <t>hate them for their religion</t>
  </si>
  <si>
    <t>a turbine connected to an electrical generator</t>
  </si>
  <si>
    <t>340 miles</t>
  </si>
  <si>
    <t>Korean King</t>
  </si>
  <si>
    <t>What book did Luther read in 1542?</t>
  </si>
  <si>
    <t>The plan that the delegates agreed to was never ratified</t>
  </si>
  <si>
    <t>may no longer exist</t>
  </si>
  <si>
    <t>Who did Tesla credit for his abilities?</t>
  </si>
  <si>
    <t>Eutelsat's Eurobird 1</t>
  </si>
  <si>
    <t>Who made Temüjin khan of the Mongols?</t>
  </si>
  <si>
    <t>What did Pope Leo X launch against Luther?</t>
  </si>
  <si>
    <t>Wojciech Bogusławski Theatre</t>
  </si>
  <si>
    <t>basic channels</t>
  </si>
  <si>
    <t>Geographically speaking, where is California's north - south midway point in terms of latitude?</t>
  </si>
  <si>
    <t>incompatible</t>
  </si>
  <si>
    <t>the owner</t>
  </si>
  <si>
    <t>Which article of the Treaty on European Union states that Commissioners should be completely independent and not take instructions from any Government?</t>
  </si>
  <si>
    <t>in the 1950s</t>
  </si>
  <si>
    <t>What does the capabilities approach look at poverty as a form of?</t>
  </si>
  <si>
    <t>What group of scientists seek to measure the amounts of oxygen in marine animals?</t>
  </si>
  <si>
    <t>In what year did the FCC begin an investigation in to the operation of radio networks in America</t>
  </si>
  <si>
    <t xml:space="preserve">What unforeseen problem caused Tesla to hit his experiment with a sledgehammer? </t>
  </si>
  <si>
    <t>Zones in which mountains are built along convergent tectonic plate boundaries are called what?</t>
  </si>
  <si>
    <t>A bridge</t>
  </si>
  <si>
    <t>What is a prasinophyte?</t>
  </si>
  <si>
    <t>Late-Glacial valley</t>
  </si>
  <si>
    <t>There would be no more scoring in the third quarter, but early in the fourth, the Broncos drove to the Panthers 41-yard line. On the next play, Ealy knocked the ball out of Manning's hand as he was winding up for a pass, and then recovered it for Carolina on the 50-yard line. A 16-yard reception by Devin Funchess and a 12-yard run by Stewart then set up Gano's 39-yard field goal, cutting the Panthers deficit to one score at 16–10. The next three drives of the game would end in punts.</t>
  </si>
  <si>
    <t>What rift system developed in the Alpine orogeny?</t>
  </si>
  <si>
    <t>north</t>
  </si>
  <si>
    <t>the grace that "goes before" us</t>
  </si>
  <si>
    <t>construction of highways</t>
  </si>
  <si>
    <t>Parliament of the United Kingdom</t>
  </si>
  <si>
    <t>a glass case</t>
  </si>
  <si>
    <t>Paul Revere was descended from Huguenot refugees, as was Henry Laurens, who signed the Articles of Confederation for South Carolina; Jack Jouett, who made the ride from Cuckoo Tavern to warn Thomas Jefferson and others that Tarleton and his men were on their way to arrest him for crimes against the king; Francis Marion, and a number of other leaders of the American Revolution and later statesmen. The last active Huguenot congregation in North America worships in Charleston, South Carolina, at a church that dates to 1844. The Huguenot Society of America maintains Manakin Episcopal Church in Virginia as an historic shrine with occasional services. The Society has chapters in numerous states, with the one in Texas being the largest.</t>
  </si>
  <si>
    <t>France was unwilling to risk large convoys to aid the limited forces it had in New France</t>
  </si>
  <si>
    <t>around 1.7 billion years ago</t>
  </si>
  <si>
    <t>electrical distribution</t>
  </si>
  <si>
    <t>Disney-ABC Television group implemented restrictions for Hulu and WATCH ABC that made episodes available only after how many days after initial broadcast?</t>
  </si>
  <si>
    <t>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Meanwhile, the relationship between non-human primates in the subsistence and symbolism of indigenous lowland South American peoples has gained increased attention, as have ethno-biology and community-based conservation efforts.</t>
  </si>
  <si>
    <t>a new entrance building</t>
  </si>
  <si>
    <t>urbanization</t>
  </si>
  <si>
    <t>about thirty</t>
  </si>
  <si>
    <t>the Catechism</t>
  </si>
  <si>
    <t>2,290 m3/s</t>
  </si>
  <si>
    <t>Sicily</t>
  </si>
  <si>
    <t>If a and q are coprime, which theorem holds that an arithmetic progression has an infinite number of primes?</t>
  </si>
  <si>
    <t>What has to accounted for that causes no net force being the cause of constant velocity motion?</t>
  </si>
  <si>
    <t>7 to 10 percent of American physicians</t>
  </si>
  <si>
    <t>What country is this statistic for?</t>
  </si>
  <si>
    <t>the electrostatic force (due to the electric field) and the magnetic force (due to the magnetic field).</t>
  </si>
  <si>
    <t>contractors</t>
  </si>
  <si>
    <t>How many public charter schools does the university run?</t>
  </si>
  <si>
    <t>little support</t>
  </si>
  <si>
    <t>How many stations did Boston have in 1952?</t>
  </si>
  <si>
    <t>nonfunctional pseudogenes</t>
  </si>
  <si>
    <t>revolutionary civil disobedience</t>
  </si>
  <si>
    <t>polynomial-time</t>
  </si>
  <si>
    <t>Who long was the broadcast delay claimed to be the first time the series premiered?</t>
  </si>
  <si>
    <t>What is stress-management training considered to be?</t>
  </si>
  <si>
    <t>Demographically</t>
  </si>
  <si>
    <t>What is composed of the Area Provost/Dean ad the several District Superintendents of the Districts in the Annual Conference?</t>
  </si>
  <si>
    <t>not having a residence permit</t>
  </si>
  <si>
    <t>their respective lines of application</t>
  </si>
  <si>
    <t>In contrast, during wake periods differentiated effector cells, such as cytotoxic natural killer cells and CTLs (cytotoxic T lymphocytes), peak in order to elicit an effective response against any intruding pathogens. As well during awake active times, anti-inflammatory molecules, such as cortisol and catecholamines, peak. There are two theories as to why the pro-inflammatory state is reserved for sleep time. First, inflammation would cause serious cognitive and physical impairments if it were to occur during wake times. Second, inflammation may occur during sleep times due to the presence of melatonin. Inflammation causes a great deal of oxidative stress and the presence of melatonin during sleep times could actively counteract free radical production during this time.</t>
  </si>
  <si>
    <t>the fall of 1937</t>
  </si>
  <si>
    <t>recommended by their pastor and Church Council or Charge Conference, and complete the basic course for lay servant</t>
  </si>
  <si>
    <t>Germany and the United Kingdom</t>
  </si>
  <si>
    <t>Pauli repulsion</t>
  </si>
  <si>
    <t>Cardinals</t>
  </si>
  <si>
    <t>What happened to Tesla's funding once the war begun?</t>
  </si>
  <si>
    <t>gelatinous projections edged with cilia that produce water currents</t>
  </si>
  <si>
    <t>Which type of school has a closer teacher-child relationship?</t>
  </si>
  <si>
    <t>private research</t>
  </si>
  <si>
    <t>What guide states the Univeristy of Chicago is known for their heavy workload and academic difficulty?</t>
  </si>
  <si>
    <t>Both X.25 and Frame Relay provide connection-oriented operations. But X.25 does it at the network layer of the OSI Model. Frame Relay does it at level two, the data link layer. Another major difference between X.25 and Frame Relay is that X.25 requires a handshake between the communicating parties before any user packets are transmitted. Frame Relay does not define any such handshakes. X.25 does not define any operations inside the packet network. It only operates at the user-network-interface (UNI). Thus, the network provider is free to use any procedure it wishes inside the network. X.25 does specify some limited re-transmission procedures at the UNI, and its link layer protocol (LAPB) provides conventional HDLC-type link management procedures. Frame Relay is a modified version of ISDN's layer two protocol, LAPD and LAPB. As such, its integrity operations pertain only between nodes on a link, not end-to-end. Any retransmissions must be carried out by higher layer protocols. The X.25 UNI protocol is part of the X.25 protocol suite, which consists of the lower three layers of the OSI Model. It was widely used at the UNI for packet switching networks during the 1980s and early 1990s, to provide a standardized interface into and out of packet networks. Some implementations used X.25 within the network as well, but its connection-oriented features made this setup cumbersome and inefficient. Frame relay operates principally at layer two of the OSI Model. However, its address field (the Data Link Connection ID, or DLCI) can be used at the OSI network layer, with a minimum set of procedures. Thus, it rids itself of many X.25 layer 3 encumbrances, but still has the DLCI as an ID beyond a node-to-node layer two link protocol. The simplicity of Frame Relay makes it faster and more efficient than X.25. Because Frame relay is a data link layer protocol, like X.25 it does not define internal network routing operations. For X.25 its packet IDs---the virtual circuit and virtual channel numbers have to be correlated to network addresses. The same is true for Frame Relays DLCI. How this is done is up to the network provider. Frame Relay, by virtue of having no network layer procedures is connection-oriented at layer two, by using the HDLC/LAPD/LAPB Set Asynchronous Balanced Mode (SABM). X.25 connections are typically established for each communication session, but it does have a feature allowing a limited amount of traffic to be passed across the UNI without the connection-oriented handshake. For a while, Frame Relay was used to interconnect LANs across wide area networks. However, X.25 and well as Frame Relay have been supplanted by the Internet Protocol (IP) at the network layer, and the Asynchronous Transfer Mode (ATM) and or versions of Multi-Protocol Label Switching (MPLS) at layer two. A typical configuration is to run IP over ATM or a version of MPLS. &lt;Uyless Black, X.25 and Related Protocols, IEEE Computer Society, 1991&gt; &lt;Uyless Black, Frame Relay Networks, McGraw-Hill, 1998&gt; &lt;Uyless Black, MPLS and Label Switching Networks, Prentice Hall, 2001&gt; &lt; Uyless Black, ATM, Volume I, Prentice Hall, 1995&gt;</t>
  </si>
  <si>
    <t>Geologists use a number of field, laboratory, and numerical modeling methods to decipher Earth history and understand the processes that occur on and inside the Earth. In typical geological investigations, geologists use primary information related to petrology (the study of rocks), stratigraphy (the study of sedimentary layers), and structural geology (the study of positions of rock units and their deformation). In many cases, geologists also study modern soils, rivers, landscapes, and glaciers; investigate past and current life and biogeochemical pathways, and use geophysical methods to investigate the subsurface.</t>
  </si>
  <si>
    <t>The Earth's mantle</t>
  </si>
  <si>
    <t>make detailed plans and maintain careful oversight during the project</t>
  </si>
  <si>
    <t>What is the typical annual cost for an Irish private school?</t>
  </si>
  <si>
    <t>recover market share</t>
  </si>
  <si>
    <t>In the Middle East, and particularly in Iran, Genghis Khan is almost universally condemned as a destructive and genocidal warlord who caused enormous damage and destruction to the population of these areas. Steven R. Ward wrote that "Overall, the Mongol violence and depredations killed up to three-fourths of the population of the Iranian Plateau, possibly 10 to 15 million people. Some historians have estimated that Iran's population did not again reach its pre-Mongol levels until the mid-20th century."</t>
  </si>
  <si>
    <t>Why does a lower level of economic growth occur due to high-end consumption?</t>
  </si>
  <si>
    <t>What kind of light is important for chloroplasts to divide?</t>
  </si>
  <si>
    <t>linen</t>
  </si>
  <si>
    <t>Datanet 1 only referred to the network and the connected users via leased lines</t>
  </si>
  <si>
    <t>What does Fortiter Defendit Triumphans mean?</t>
  </si>
  <si>
    <t>How many times has Doctor Who won the Hugo for Best Dramatic Presentation?</t>
  </si>
  <si>
    <t>What can faith groups ask the Presiding Officer to do for them?</t>
  </si>
  <si>
    <t>pump water out of the mesoglea</t>
  </si>
  <si>
    <t>How many did this epidemic in China kill?</t>
  </si>
  <si>
    <t>the Ming dynasty</t>
  </si>
  <si>
    <t>NFL owners</t>
  </si>
  <si>
    <t>northwest</t>
  </si>
  <si>
    <t>Where can one find the formerly Huguenot farms in South Africa?</t>
  </si>
  <si>
    <t>Austria</t>
  </si>
  <si>
    <t>How many base pairs are there in Chromatophore DNA?</t>
  </si>
  <si>
    <t>12 to 15 million</t>
  </si>
  <si>
    <t>the 16th and 17th centuries</t>
  </si>
  <si>
    <t>6 million Lira</t>
  </si>
  <si>
    <t>When was a Doctor Who Prom performed?</t>
  </si>
  <si>
    <t>Egyptians</t>
  </si>
  <si>
    <t>November 2006 and May 2008</t>
  </si>
  <si>
    <t>very low</t>
  </si>
  <si>
    <t>Father, the Son, or the Holy Spirit.</t>
  </si>
  <si>
    <t>Vinogradov's theorem</t>
  </si>
  <si>
    <t>Where did France lose a war in the 1950's?</t>
  </si>
  <si>
    <t>Killer T</t>
  </si>
  <si>
    <t>a Mediterranean climate</t>
  </si>
  <si>
    <t>eight years in primary school and four years in high school or secondary school.</t>
  </si>
  <si>
    <t>normal grana and thylakoids</t>
  </si>
  <si>
    <t>an interim facility for the relocation of Fresno area Japanese Americans to internment camps</t>
  </si>
  <si>
    <t>What religion's schools were integrated into New Zealand public schools between 1979 and 1984?</t>
  </si>
  <si>
    <t>What are two types of phagocytes that travel through the body to find invading pathogens?</t>
  </si>
  <si>
    <t>hymn</t>
  </si>
  <si>
    <t>Jim Nantz and Phil Simms</t>
  </si>
  <si>
    <t>What needs to be larger to get the same work out of lower pressure steam?</t>
  </si>
  <si>
    <t>.2 billion years for the basaltic samples derived from the lunar maria, to about 4.6 billion years for samples derived from the highlands crust</t>
  </si>
  <si>
    <t>economists</t>
  </si>
  <si>
    <t>to permit the recasting of the main character</t>
  </si>
  <si>
    <t>study of rocks</t>
  </si>
  <si>
    <t>physicist</t>
  </si>
  <si>
    <t>Falls</t>
  </si>
  <si>
    <t>the city's streetcars</t>
  </si>
  <si>
    <t>University of Chicago Laboratory Schools</t>
  </si>
  <si>
    <t>Encoded Archival Description (EAD)</t>
  </si>
  <si>
    <t>In which galleries are the French paintings donated by Jones displayed?</t>
  </si>
  <si>
    <t>What is one way of digital civil disobedience that can have far reaching consequences?</t>
  </si>
  <si>
    <t>Huguenots in Killeshandra and County Cavan expanded what agricultural industry?</t>
  </si>
  <si>
    <t>How would the word apothecary be viewed by contemporary English speakers?</t>
  </si>
  <si>
    <t>east</t>
  </si>
  <si>
    <t>political focus</t>
  </si>
  <si>
    <t>evacuate the cylinder</t>
  </si>
  <si>
    <t>According to a 1955 review, what were savings by the wealthy thought to offset?</t>
  </si>
  <si>
    <t>lived in poverty and were ill treated</t>
  </si>
  <si>
    <t>What kind of diseases do drugs target apicoplasts for?</t>
  </si>
  <si>
    <t>How do cryptophyte chloroplasts arrange their pyrenoid and thylakoids?</t>
  </si>
  <si>
    <t>British Prime Minister Edward Heath</t>
  </si>
  <si>
    <t>What is the minimum distance between a patient's home and the nearest pharmacy that allows a physician to give out medication?</t>
  </si>
  <si>
    <t>a third group of pigments</t>
  </si>
  <si>
    <t>the Budapest Telephone Exchange</t>
  </si>
  <si>
    <t>All of these processes do not necessarily occur in a single environment, and do not necessarily occur in a single order. The Hawaiian Islands, for example, consist almost entirely of layered basaltic lava flows. The sedimentary sequences of the mid-continental United States and the Grand Canyon in the southwestern United States contain almost-undeformed stacks of sedimentary rocks that have remained in place since Cambrian time. Other areas are much more geologically complex. In the southwestern United States, sedimentary, volcanic, and intrusive rocks have been metamorphosed, faulted, foliated, and folded. Even older rocks, such as the Acasta gneiss of the Slave craton in northwestern Canada, the oldest known rock in the world have been metamorphosed to the point where their origin is undiscernable without laboratory analysis. In addition, these processes can occur in stages. In many places, the Grand Canyon in the southwestern United States being a very visible example, the lower rock units were metamorphosed and deformed, and then deformation ended and the upper, undeformed units were deposited. Although any amount of rock emplacement and rock deformation can occur, and they can occur any number of times, these concepts provide a guide to understanding the geological history of an area.</t>
  </si>
  <si>
    <t>join a vocational youth/village polytechnic or make their own arrangements for an apprenticeship program</t>
  </si>
  <si>
    <t>Vaudreuil and Montcalm were minimally resupplied in 1758, as the British blockade of the French coastline limited French shipping. The situation in New France was further exacerbated by a poor harvest in 1757, a difficult winter, and the allegedly corrupt machinations of François Bigot, the intendant of the territory. His schemes to supply the colony inflated prices and were believed by Montcalm to line his pockets and those of his associates. A massive outbreak of smallpox among western tribes led many of them to stay away from trading in 1758. While many parties to the conflict blamed others (the Indians blamed the French for bringing "bad medicine" as well as denying them prizes at Fort William Henry), the disease was probably spread through the crowded conditions at William Henry after the battle. Montcalm focused his meager resources on the defense of the St. Lawrence, with primary defenses at Carillon, Quebec, and Louisbourg, while Vaudreuil argued unsuccessfully for a continuation of the raiding tactics that had worked quite effectively in previous years.</t>
  </si>
  <si>
    <t>Which nation contains the majority of the amazon forest?</t>
  </si>
  <si>
    <t>A constitutional change was considered that would eliminate the position of Prime Minister and simultaneously reduce the powers of the President. A referendum to vote on the proposed constitution was held on 4 August 2010, and the new constitution passed by a wide margin. Among other things, the new constitution delegates more power to local governments and gives Kenyans a bill of rights. It was promulgated on 27 August 2010 at a euphoric ceremony in Nairobi's Uhuru Park, accompanied by a 21-gun salute. The event was attended by various African leaders and praised by the international community. As of that day, the new constitution heralding the Second Republic came into force.</t>
  </si>
  <si>
    <t>early vertebrates</t>
  </si>
  <si>
    <t>What types of waves do seismologists use to image the interior of the Earth?</t>
  </si>
  <si>
    <t>What was the emphasis focuses on?</t>
  </si>
  <si>
    <t>"As to the Summons you send me to retire, I do not think myself obliged to obey it."</t>
  </si>
  <si>
    <t>Highways built in the Amazon rainforest were built primarily for what kind of farmers?</t>
  </si>
  <si>
    <t>nearly $40 per barrel</t>
  </si>
  <si>
    <t xml:space="preserve">What did Kenya name itself on December 12, 1964? </t>
  </si>
  <si>
    <t>Catholics</t>
  </si>
  <si>
    <t>Sky+ PVR</t>
  </si>
  <si>
    <t>What are sometimes present in the boiler's firebox crown?</t>
  </si>
  <si>
    <t>What causes rock extension?</t>
  </si>
  <si>
    <t>The receptors on a killer T cell must bind to how many MHC: antigen complexes in order to activate the cell?</t>
  </si>
  <si>
    <t>Who normally manages a construction job?</t>
  </si>
  <si>
    <t>pharmacy practice science and applied information science</t>
  </si>
  <si>
    <t>bishops</t>
  </si>
  <si>
    <t xml:space="preserve">What did Luther need to do to avoid excommunication? </t>
  </si>
  <si>
    <t>smart ticketing</t>
  </si>
  <si>
    <t>trying to stop her from giving her brother Polynices a proper burial</t>
  </si>
  <si>
    <t>Some of the oldest schools in South Africa are private church schools that were established by missionaries in the early nineteenth century. The private sector has grown ever since. After the abolition of apartheid, the laws governing private education in South Africa changed significantly. The South African Schools Act of 1996 recognises two categories of schools: "public" (state-controlled) and "independent" (which includes traditional private schools and schools which are privately governed[clarification needed].)</t>
  </si>
  <si>
    <t>The availability of the Bible in vernacular languages was important to the spread of the Protestant movement and development of the Reformed church in France. The country had a long history of struggles with the papacy by the time the Protestant Reformation finally arrived. Around 1294, a French version of the Scriptures was prepared by the Roman Catholic priest, Guyard de Moulin. A two-volume illustrated folio paraphrase version based on his manuscript, by Jean de Rély, was printed in Paris in 1487.</t>
  </si>
  <si>
    <t>instantaneously in action-reaction pairs</t>
  </si>
  <si>
    <t>twice the thrust</t>
  </si>
  <si>
    <t>How did Brainbridge's official ledgers report revenue?</t>
  </si>
  <si>
    <t>What were Isaac's chains made out of?</t>
  </si>
  <si>
    <t>applied</t>
  </si>
  <si>
    <t>What is an important factor contributing to inequality for individuals?</t>
  </si>
  <si>
    <t>lectured on the Psalms</t>
  </si>
  <si>
    <t>What has caused savanna regions to grow into the South American tropics in the last 34 million years?</t>
  </si>
  <si>
    <t>At the same time he made attempts to help grow ABC, Goldenson had been trying since mid-1953 to provide content for the network by contacting his old acquaintances in Hollywood, with whom he had worked when UPT was a subsidiary of Paramount Pictures. ABC's merger with UPT led to the creation of relationships with Hollywood's film production studios, breaking a quarantine that had existed at that time between film and television, the latter of which had previously been more connected to radio. ABC's flagship productions at the time were The Lone Ranger, based on the radio program of the same title, and The Adventures of Ozzie and Harriet, the latter of which (at 13 seasons, running from 1952 to 1965) held the record for the longest-running prime time comedy in U.S. television history, until it was surpassed by The Simpsons in 2002.</t>
  </si>
  <si>
    <t>Why did so many not approve of the bill?</t>
  </si>
  <si>
    <t>Adriatic</t>
  </si>
  <si>
    <t>What does AC stand for?</t>
  </si>
  <si>
    <t>employ limited coercion</t>
  </si>
  <si>
    <t>What kind of shows were used as counterprogramming by ABC in the Fall of 1959?</t>
  </si>
  <si>
    <t>conspiracy</t>
  </si>
  <si>
    <t>cryptophyte</t>
  </si>
  <si>
    <t>What type of curricula is it that a teacher may likely follow?</t>
  </si>
  <si>
    <t>4 August 1915 until November 1918</t>
  </si>
  <si>
    <t>traditional private schools and schools which are privately governed</t>
  </si>
  <si>
    <t>In 1521 Luther dealt largely with prophecy, in which he broadened the foundations of the Reformation placing them on prophetic faith. His main interest was centered on the prophecy of the Little Horn in Daniel 8:9–12, 23–25. The antichrist of 2 Thessalonians 2 was identified as the power of the Papacy. So too was the Little Horn of Daniel 7, coming up among the divisions of Rome, explicitly applied.</t>
  </si>
  <si>
    <t>100</t>
  </si>
  <si>
    <t>up to five</t>
  </si>
  <si>
    <t>definitions of time and space complexity</t>
  </si>
  <si>
    <t>Around 2.5 million years ago (ending 11,600 years ago) was the geological period of the Ice Ages. Since approximately 600,000 years ago, six major Ice Ages have occurred, in which sea level dropped 120 m (390 ft) and much of the continental margins became exposed. In the Early Pleistocene, the Rhine followed a course to the northwest, through the present North Sea. During the so-called Anglian glaciation (~450,000 yr BP, marine oxygen isotope stage 12), the northern part of the present North Sea was blocked by the ice and a large lake developed, that overflowed through the English Channel. This caused the Rhine's course to be diverted through the English Channel. Since then, during glacial times, the river mouth was located offshore of Brest, France and rivers, like the Thames and the Seine, became tributaries to the Rhine. During interglacials, when sea level rose to approximately the present level, the Rhine built deltas, in what is now the Netherlands.</t>
  </si>
  <si>
    <t>flight delays</t>
  </si>
  <si>
    <t>the first major work to challenge the bubonic plague theory directly</t>
  </si>
  <si>
    <t>west of Kashgar</t>
  </si>
  <si>
    <t>Luther's 1541 hymn "Christ unser Herr zum Jordan kam" ("To Jordan came the Christ our Lord") reflects the structure and substance of his questions and answers concerning baptism in the Small Catechism. Luther adopted a preexisting Johann Walter tune associated with a hymnic setting of Psalm 67's prayer for grace; Wolf Heintz's four-part setting of the hymn was used to introduce the Lutheran Reformation in Halle in 1541. Preachers and composers of the 18th century, including J. S. Bach, used this rich hymn as a subject for their own work, although its objective baptismal theology was displaced by more subjective hymns under the influence of late-19th-century Lutheran pietism.</t>
  </si>
  <si>
    <t>Einstein's</t>
  </si>
  <si>
    <t>Supreme Court of the United States</t>
  </si>
  <si>
    <t>Levi's Stadium</t>
  </si>
  <si>
    <t>plead not guilty</t>
  </si>
  <si>
    <t>The modern trend in design is toward integration of previously separated specialties, especially among large firms. In the past, architects, interior designers, engineers, developers, construction managers, and general contractors were more likely to be entirely separate companies, even in the larger firms. Presently, a firm that is nominally an "architecture" or "construction management" firm may have experts from all related fields as employees, or to have an associated company that provides each necessary skill. Thus, each such firm may offer itself as "one-stop shopping" for a construction project, from beginning to end. This is designated as a "design build" contract where the contractor is given a performance specification and must undertake the project from design to construction, while adhering to the performance specifications.</t>
  </si>
  <si>
    <t>Carlo Crivelli's Virgin and Child</t>
  </si>
  <si>
    <t>How many sources of European Union law are there?</t>
  </si>
  <si>
    <t>What are the two ABC affiliates for Kansas City, Missouri?</t>
  </si>
  <si>
    <t>lens-shaped</t>
  </si>
  <si>
    <t>use the proceedings as a forum to inform the jury and the public of the political circumstances surrounding the case</t>
  </si>
  <si>
    <t>a human</t>
  </si>
  <si>
    <t>What jersey did the Broncos wear for Super Bowl 50?</t>
  </si>
  <si>
    <t>domestic Islamists</t>
  </si>
  <si>
    <t>Who is taught at teacher's colleges?</t>
  </si>
  <si>
    <t>For the next three hundred years, Scotland was directly governed by the Parliament of Great Britain and the subsequent Parliament of the United Kingdom, both seated at Westminster, and the lack of a Parliament of Scotland remained an important element in Scottish national identity. Suggestions for a 'devolved' Parliament were made before 1914, but were shelved due to the outbreak of the First World War. A sharp rise in nationalism in Scotland during the late 1960s fuelled demands for some form of home rule or complete independence, and in 1969 prompted the incumbent Labour government of Harold Wilson to set up the Kilbrandon Commission to consider the British constitution. One of the principal objectives of the commission was to examine ways of enabling more self-government for Scotland, within the unitary state of the United Kingdom. Kilbrandon published his report in 1973 recommending the establishment of a directly elected Scottish Assembly to legislate for the majority of domestic Scottish affairs.</t>
  </si>
  <si>
    <t>How many major immune responses do plants have?</t>
  </si>
  <si>
    <t>the environment in which they lived</t>
  </si>
  <si>
    <t>An MSP may introduce a bill as what?</t>
  </si>
  <si>
    <t>June 1978</t>
  </si>
  <si>
    <t>What type of fault boundary is defined by having widespread powerful earthquakes, as in the state of California?</t>
  </si>
  <si>
    <t>vertebrates</t>
  </si>
  <si>
    <t>How many segments did the special originally have?</t>
  </si>
  <si>
    <t>as itinerant farmers</t>
  </si>
  <si>
    <t>What is usually the goal of taking a plea bargain?</t>
  </si>
  <si>
    <t>building is ready to occupy</t>
  </si>
  <si>
    <t>non-peer-reviewed sources</t>
  </si>
  <si>
    <t>What Lionsgate trailer was shown during the Super Bowl?</t>
  </si>
  <si>
    <t>On August 15, 1971</t>
  </si>
  <si>
    <t>What flows between the Bingen and Bonn?</t>
  </si>
  <si>
    <t>Class I MHC molecules</t>
  </si>
  <si>
    <t>smaller, weaker swimmers such as rotifers and mollusc and crustacean larvae.</t>
  </si>
  <si>
    <t>Was the testing of the LM during Apollo 5 a failure or a success?</t>
  </si>
  <si>
    <t>Amazonas Basin</t>
  </si>
  <si>
    <t>clapping their lobes</t>
  </si>
  <si>
    <t>Where did the French send a large number of settlers?</t>
  </si>
  <si>
    <t>Approximately how many names were signed on an online petition on the Parliamentary website in response to the closing of the Musical Instruments gallery?</t>
  </si>
  <si>
    <t>achievement-oriented motivations</t>
  </si>
  <si>
    <t>ATL, NUT or NASUWT</t>
  </si>
  <si>
    <t>Brisingr and High Wizardry</t>
  </si>
  <si>
    <t>the Prophet Mohammad</t>
  </si>
  <si>
    <t>a trained monkey</t>
  </si>
  <si>
    <t>Since the election riots, the government and civil society organisations started programmes to avoid similar disasters in the future, said Agnes R. M. Aboum – executive director of TAABCO Research and Development Consultants in Nairobi – in the magazine D+C Development and Cooperation. For example, the Truth, Justice and Reconciliation Commission initiated community dialogues, the Evangelical Lutheran Church in Kenya started peace meetings and the Kenya National Dialogue and Reconciliation process was started.</t>
  </si>
  <si>
    <t>a citizen may rely on the Directive in such an action (so called "vertical" direct effect)</t>
  </si>
  <si>
    <t>How many different TV networks are considered to be the principal partners, when it comes to broadcasting NFL events?</t>
  </si>
  <si>
    <t>about half of Naples' 300,000 inhabitants</t>
  </si>
  <si>
    <t>What are Plastoglobuli made of?</t>
  </si>
  <si>
    <t>Other than Scotland's Chief Law Officer, from whence are most ministers drawn from amongst?</t>
  </si>
  <si>
    <t>In what country can most of the Amazon rainforest be found?</t>
  </si>
  <si>
    <t>Where did water to the east of the Amazon drainage basin flow towards?</t>
  </si>
  <si>
    <t>What administration did Ludwig Mies van der Rohe designa buiding?</t>
  </si>
  <si>
    <t>Who reportedly wanted Tesla's company?</t>
  </si>
  <si>
    <t>What does oxygen cause to form on metals?</t>
  </si>
  <si>
    <t>In the wake of the Jacksonville fire, what did the Florida Governor do?</t>
  </si>
  <si>
    <t>cling to and creep on surfaces</t>
  </si>
  <si>
    <t>a turbo generator set with propulsion provided by electric motors</t>
  </si>
  <si>
    <t>individuals</t>
  </si>
  <si>
    <t>Tea, coffee, sisal, pyrethrum, corn, and wheat</t>
  </si>
  <si>
    <t>24-year tenure</t>
  </si>
  <si>
    <t>project coordinator</t>
  </si>
  <si>
    <t>packet switching</t>
  </si>
  <si>
    <t>What position did Tesla hold in the American Institute of Electrical Engineers?</t>
  </si>
  <si>
    <t>deficit</t>
  </si>
  <si>
    <t>a DC traction motor</t>
  </si>
  <si>
    <t>How is the climate near the savannah grasslands?</t>
  </si>
  <si>
    <t>LeGrande writes that "the formulation of a single all-encompassing definition of the term is extremely difficult, if not impossible. In reviewing the voluminous literature on the subject, the student of civil disobedience rapidly finds himself surrounded by a maze of semantical problems and grammatical niceties. Like Alice in Wonderland, he often finds that specific terminology has no more (or no less) meaning than the individual orator intends it to have." He encourages a distinction between lawful protest demonstration, nonviolent civil disobedience, and violent civil disobedience.</t>
  </si>
  <si>
    <t>numerous foundations were laid out by various researchers</t>
  </si>
  <si>
    <t>What is the name for a response of the immune system that damages the body's native tissues?</t>
  </si>
  <si>
    <t>What is as important as identifying plague symptoms?</t>
  </si>
  <si>
    <t>automatically devolved</t>
  </si>
  <si>
    <t>Harvard's academic programs operate on a semester calendar beginning in early September and ending in mid-May. Undergraduates typically take four half-courses per term and must maintain a four-course rate average to be considered full-time. In many concentrations, students can elect to pursue a basic program or an honors-eligible program requiring a senior thesis and/or advanced course work. Students graduating in the top 4–5% of the class are awarded degrees summa cum laude, students in the next 15% of the class are awarded magna cum laude, and the next 30% of the class are awarded cum laude. Harvard has chapters of academic honor societies such as Phi Beta Kappa and various committees and departments also award several hundred named prizes annually. Harvard, along with other universities, has been accused of grade inflation, although there is evidence that the quality of the student body and its motivation have also increased. Harvard College reduced the number of students who receive Latin honors from 90% in 2004 to 60% in 2005. Moreover, the honors of "John Harvard Scholar" and "Harvard College Scholar" will now be given only to the top 5 percent and the next 5 percent of each class.</t>
  </si>
  <si>
    <t>Are atmospheric oxygen levels going up, down, or staying the same?</t>
  </si>
  <si>
    <t>books, films, radio, TV, music, live theater, comics and video games</t>
  </si>
  <si>
    <t>fifteen</t>
  </si>
  <si>
    <t>Warsaw lies in east-central Poland about 300 km (190 mi) from the Carpathian Mountains and about 260 km (160 mi) from the Baltic Sea, 523 km (325 mi) east of Berlin, Germany. The city straddles the Vistula River. It is located in the heartland of the Masovian Plain, and its average elevation is 100 metres (330 ft) above sea level. The highest point on the left side of the city lies at a height of 115.7 metres (379.6 ft) ("Redutowa" bus depot, district of Wola), on the right side – 122.1 metres (400.6 ft) ("Groszówka" estate, district of Wesoła, by the eastern border). The lowest point lies at a height 75.6 metres (248.0 ft) (at the right bank of the Vistula, by the eastern border of Warsaw). There are some hills (mostly artificial) located within the confines of the city – e.g. Warsaw Uprising Hill (121 metres (397.0 ft)), Szczęśliwice hill (138 metres (452.8 ft) – the highest point of Warsaw in general).</t>
  </si>
  <si>
    <t>What job did Tesla's father have in Gospic?</t>
  </si>
  <si>
    <t>the United States Census Bureau</t>
  </si>
  <si>
    <t>recalled and replaced by Jeffery Amherst, victor at Louisbourg.</t>
  </si>
  <si>
    <t>Who did Denver beat in the 2015 AFC Championship game?</t>
  </si>
  <si>
    <t>Why is the public library known as a people's university?</t>
  </si>
  <si>
    <t>mechanical oscillators/generators, electrical discharge tubes, and early X-ray imaging</t>
  </si>
  <si>
    <t>What does the acronym CSM stand for?</t>
  </si>
  <si>
    <t>new personality</t>
  </si>
  <si>
    <t>Lovely Lane Methodist Church,</t>
  </si>
  <si>
    <t>What festival takes place in April in Newcastle?</t>
  </si>
  <si>
    <t>The embargo was not uniform across Europe. Of the nine members of the European Economic Community (EEC), the Netherlands faced a complete embargo, the UK and France received almost uninterrupted supplies (having refused to allow America to use their airfields and embargoed arms and supplies to both the Arabs and the Israelis), while the other six faced partial cutbacks. The UK had traditionally been an ally of Israel, and Harold Wilson's government supported the Israelis during the Six-Day War. His successor, Ted Heath, reversed this policy in 1970, calling for Israel to withdraw to its pre-1967 borders.</t>
  </si>
  <si>
    <t>fertile highlands</t>
  </si>
  <si>
    <t>What kind of sending technology is being used to protect tribal lands in the Amazon?</t>
  </si>
  <si>
    <t>−11.7 °C</t>
  </si>
  <si>
    <t>effect</t>
  </si>
  <si>
    <t>disastrous financial situation.</t>
  </si>
  <si>
    <t>the state</t>
  </si>
  <si>
    <t>Decision problems are one of the central objects of study in computational complexity theory. A decision problem is a special type of computational problem whose answer is either yes or no, or alternately either 1 or 0. A decision problem can be viewed as a formal language, where the members of the language are instances whose output is yes, and the non-members are those instances whose output is no. The objective is to decide, with the aid of an algorithm, whether a given input string is a member of the formal language under consideration. If the algorithm deciding this problem returns the answer yes, the algorithm is said to accept the input string, otherwise it is said to reject the input.</t>
  </si>
  <si>
    <t>CBS set the base rate for a 30-second advertisement at $5,000,000, a record high price for a Super Bowl ad. As of January 26, the advertisements had not yet sold out. CBS mandated that all advertisers purchase a package covering time on both the television and digital broadcasts of the game, meaning that for the first time, digital streams of the game would carry all national advertising in pattern with the television broadcast. This would be the final year in a multi-year contract with Anheuser-Busch InBev that allowed the beer manufacturer to air multiple advertisements during the game at a steep discount. It was also the final year that Doritos, a longtime sponsor of the game, held its "Crash the Super Bowl" contest that allowed viewers to create their own Doritos ads for a chance to have it aired during the game. Nintendo and The Pokémon Company also made their Super Bowl debut, promoting the 20th anniversary of the Pokémon video game and media franchise.</t>
  </si>
  <si>
    <t>animals and humans performimg various actions</t>
  </si>
  <si>
    <t>the 1997 Treaty of Amsterdam</t>
  </si>
  <si>
    <t>What kind of committee considered legislation on the development of the Edinburgh Tram Network?</t>
  </si>
  <si>
    <t>achieving crime control</t>
  </si>
  <si>
    <t>last weekend of September</t>
  </si>
  <si>
    <t>How many academic units make up the school?</t>
  </si>
  <si>
    <t>The academic body of the university is made up of how many divisions of graduate?</t>
  </si>
  <si>
    <t>soap sponge</t>
  </si>
  <si>
    <t>younger than the fault</t>
  </si>
  <si>
    <t>1.7 million</t>
  </si>
  <si>
    <t>arbitrary graph</t>
  </si>
  <si>
    <t>told them to leave</t>
  </si>
  <si>
    <t>When was the newsmagazine 20/20 first created?</t>
  </si>
  <si>
    <t>What did Luther fear to cause him to avoid marriage?</t>
  </si>
  <si>
    <t>In what year was the first known experiments on combustion and air conducted?</t>
  </si>
  <si>
    <t>What title do both Doctor Who and the Master share?</t>
  </si>
  <si>
    <t>Buddhism, especially the Tibetan variants</t>
  </si>
  <si>
    <t>What is the name of the bridge that joins parts of the campus of the Charles River?</t>
  </si>
  <si>
    <t>trial division</t>
  </si>
  <si>
    <t>A typical configuration is to run IP over ATM or a version of MPLS</t>
  </si>
  <si>
    <t>During the 1960s, ABC continued on the same path that it began to take in the mid-1950s, by consolidating the network as part of its effort to gain loyalty from the public. The network's finances improved and allowed it to invest in other properties and programming. In May 1960, ABC purchased Chicago radio station WLS, which had shared airtime with WENR since the 1920s. This acquisition allowed ABC to consolidate its presence in the market. On May 9, 1960, WLS launched a new lineup consisting of ABC Radio programming. In 1960, Canadian entrepreneur John Bassett, who was trying to establish a television station in Toronto, sought the help of ABC to launch the station. Leonard Goldenson agreed to acquire a 25% interest in CFTO-TV; however, legislation by the Canadian Radio-Television Commission prohibited ABC's involvement, resulting in the company withdrawing from the project before the station's launch.</t>
  </si>
  <si>
    <t>When was Japan accepted as an Arab-friendly state?</t>
  </si>
  <si>
    <t>first law</t>
  </si>
  <si>
    <t>marry one of his wife's ladies-in-waiting</t>
  </si>
  <si>
    <t>What day of the week are general elections held?</t>
  </si>
  <si>
    <t>July 24</t>
  </si>
  <si>
    <t>There are 13 natural reserves in Warsaw – among others, Bielany Forest, Kabaty Woods, Czerniaków Lake. About 15 kilometres (9 miles) from Warsaw, the Vistula river's environment changes strikingly and features a perfectly preserved ecosystem, with a habitat of animals that includes the otter, beaver and hundreds of bird species. There are also several lakes in Warsaw – mainly the oxbow lakes, like Czerniaków Lake, the lakes in the Łazienki or Wilanów Parks, Kamionek Lake. There are lot of small lakes in the parks, but only a few are permanent – the majority are emptied before winter to clean them of plants and sediments.</t>
  </si>
  <si>
    <t>four classes</t>
  </si>
  <si>
    <t>What do concentric unstacked thylakoids surround?</t>
  </si>
  <si>
    <t>more than 48 hours</t>
  </si>
  <si>
    <t>The jewellery collection, containing over 6000 items is one of the finest and most comprehensive collections of jewellery in the world and includes works dating from Ancient Egypt to the present day, as well as jewellery designs on paper. The museum owns pieces by renowned jewelers Cartier, Jean Schlumberger, Peter Carl Fabergé, Hemmerle and Lalique. Other items in the collection include diamond dress ornaments made for Catherine the Great, bracelet clasps once belonging to Marie Antoinette, and the Beauharnais emerald necklace presented by Napoleon to his adopted daughter Hortense de Beauharnais in 1806. The museum also collects international modern jewellery by designers such as Gijs Bakker, Onno Boekhoudt, Peter Chang, Gerda Flockinger, Lucy Sarneel, Dorothea Prühl and Wendy Ramshaw, and African and Asian traditional jewellery. Major bequests include Reverend Chauncy Hare Townshend's collection of 154 gems bequeathed in 1869, Lady Cory's 1951 gift of major diamond jewellery from the 18th and 19th centuries, and jewellery scholar Dame Joan Evans' 1977 gift of more than 800 jewels dating from the Middle Ages to the early 19th century. A new jewellery gallery, funded by William and Judith Bollinger, opened on 24 May 2008.</t>
  </si>
  <si>
    <t>with a rolling circle mechanism</t>
  </si>
  <si>
    <t>What organization has continued to be a major disruptive force in Palestine?</t>
  </si>
  <si>
    <t>Teachers that exhibit enthusiasm can lead to students who are more likely to be engaged, interested, energetic, and curious about learning the subject matter. Recent research has found a correlation between teacher enthusiasm and students' intrinsic motivation to learn and vitality in the classroom. Controlled, experimental studies exploring intrinsic motivation of college students has shown that nonverbal expressions of enthusiasm, such as demonstrative gesturing, dramatic movements which are varied, and emotional facial expressions, result in college students reporting higher levels of intrinsic motivation to learn. Students who experienced a very enthusiastic teacher were more likely to read lecture material outside of the classroom.</t>
  </si>
  <si>
    <t>Genghis Khan was aware of the friction between his sons (particularly between Chagatai and Jochi) and worried of possible conflict between them if he died. He therefore decided to divide his empire among his sons and make all of them Khan in their own right, while appointing one of his sons as his successor. Chagatai was considered unstable due to his temper and rash behavior, because of statements he made that he would not follow Jochi if he were to become his father's successor. Tolui, Genghis Khan's youngest son, was not to be his successor because he was the youngest and in the Mongol culture, youngest sons were not given much responsibility due to their age. If Jochi were to become successor, it was likely that Chagatai would engage in warfare with him and collapse the empire. Therefore, Genghis Khan decided to give the throne to Ögedei. Ögedei was seen by Genghis Khan as dependable in character and relatively stable and down to earth and would be a neutral candidate and might defuse the situation between his brothers.</t>
  </si>
  <si>
    <t>How many lines does the commuter rail system have?</t>
  </si>
  <si>
    <t>turbine engines</t>
  </si>
  <si>
    <t>a different view</t>
  </si>
  <si>
    <t>adapted quickly and often married outside their immediate French communities</t>
  </si>
  <si>
    <t>What type of prime distribution is characterized about x/log x of numbers less than x?</t>
  </si>
  <si>
    <t>Cryptophytes, or cryptomonads are a group of algae that contain a red-algal derived chloroplast. Cryptophyte chloroplasts contain a nucleomorph that superficially resembles that of the chlorarachniophytes. Cryptophyte chloroplasts have four membranes, the outermost of which is continuous with the rough endoplasmic reticulum. They synthesize ordinary starch, which is stored in granules found in the periplastid space—outside the original double membrane, in the place that corresponds to the red alga's cytoplasm. Inside cryptophyte chloroplasts is a pyrenoid and thylakoids in stacks of two.</t>
  </si>
  <si>
    <t>the Industrial Revolution</t>
  </si>
  <si>
    <t>between 1500 and 1850</t>
  </si>
  <si>
    <t>What did Tesla explore in Tominaj?</t>
  </si>
  <si>
    <t>Science Magazine's</t>
  </si>
  <si>
    <t>leaf-shaped</t>
  </si>
  <si>
    <t>provide a fault-tolerant, efficient routing method for telecommunication messages</t>
  </si>
  <si>
    <t>Who would a teacher's college be protecting?</t>
  </si>
  <si>
    <t>computational</t>
  </si>
  <si>
    <t>a proper hierarchy</t>
  </si>
  <si>
    <t>German citizens when Hitler's secret police demanded to know if they were hiding a Jew in their house</t>
  </si>
  <si>
    <t>In Scotland, anyone wishing to teach must be registered with the General Teaching Council for Scotland (GTCS). Teaching in Scotland is an all graduate profession and the normal route for graduates wishing to teach is to complete a programme of Initial Teacher Education (ITE) at one of the seven Scottish Universities who offer these courses. Once successfully completed, "Provisional Registration" is given by the GTCS which is raised to "Full Registration" status after a year if there is sufficient evidence to show that the "Standard for Full Registration" has been met.</t>
  </si>
  <si>
    <t>What "dynamic theory" did Tesla say he finished in 1937?</t>
  </si>
  <si>
    <t>most seats</t>
  </si>
  <si>
    <t>What does the electrolysis of water produce?</t>
  </si>
  <si>
    <t>How long ago was it when the water broke through the Purus Arch?</t>
  </si>
  <si>
    <t>What do closed rivers serve as after they close?</t>
  </si>
  <si>
    <t>At the end of this speech, Luther raised his arm "in the traditional salute of a knight winning a bout." Michael Mullett considers this speech as a "world classic of epoch-making oratory."</t>
  </si>
  <si>
    <t>generate ATP energy</t>
  </si>
  <si>
    <t>What was the value of the John Jones Collection when it was left to the museum?</t>
  </si>
  <si>
    <t>Between 1978 an d2008 four year full time undergraduate students were required to complete how many classes outside of their concentration?</t>
  </si>
  <si>
    <t>Collingwood Street,</t>
  </si>
  <si>
    <t>Islamic revolution</t>
  </si>
  <si>
    <t>plug valve</t>
  </si>
  <si>
    <t>What are the two simple word responses to a decision problem?</t>
  </si>
  <si>
    <t>Hypersensitivity</t>
  </si>
  <si>
    <t>Port of San Diego</t>
  </si>
  <si>
    <t>the Supreme Court</t>
  </si>
  <si>
    <t>Its late 1980s performance of three to five million viewers</t>
  </si>
  <si>
    <t>incorporations would only be nullified for a fixed list of reasons</t>
  </si>
  <si>
    <t>their animosity toward each other</t>
  </si>
  <si>
    <t>for the rest of Tesla's life</t>
  </si>
  <si>
    <t>for ten days</t>
  </si>
  <si>
    <t>In the United States, scholars argue that there already existed a negotiated settlement based on equality between both parties prior to 1973. The possibility that the Middle East could become another superpower confrontation with the USSR was of more concern to the US than oil. Further, interest groups and government agencies more worried about energy were no match for Kissinger's dominance. In the US production, distribution and price disruptions "have been held responsible for recessions, periods of excessive inflation, reduced productivity, and lower economic growth."</t>
  </si>
  <si>
    <t>weighted inversely to member state size</t>
  </si>
  <si>
    <t>Who does the statue of Little Insurgent commemorate?</t>
  </si>
  <si>
    <t>The Amazon represents over half of the planet's remaining rainforests</t>
  </si>
  <si>
    <t>What type of organization would need large quantities of pure oxygen?</t>
  </si>
  <si>
    <t>To what is 50 kilopascals equal?</t>
  </si>
  <si>
    <t>Europe</t>
  </si>
  <si>
    <t>2 millimeters (0.079 in)</t>
  </si>
  <si>
    <t>With the death of Captain Francis Fowke, Royal Engineers the next architect to work at the museum was Colonel (later Major General) Henry Young Darracott Scott, also of the Royal Engineers. He designed to the north west of the garden the five-storey School for Naval Architects (also known as the science schools), now the Henry Cole Wing in 1867–72. Scott's assistant J.W. Wild designed the impressive staircase that rises the full height of the building, made from Cadeby stone the steps are 7 feet (2.1 m) in length, the balustrades and columns are Portland stone. It is now used to jointly house the prints and architectural drawings of the V&amp;A (prints, drawings, paintings and photographs) and Royal Institute of British Architects (RIBA Drawings and Archives Collections); and the Sackler Centre for arts education, which opened in 2008.</t>
  </si>
  <si>
    <t>condensers</t>
  </si>
  <si>
    <t>steps of Nairobi's Harambee House</t>
  </si>
  <si>
    <t>What degree did Martin Luther receive on 19 October, 1512?</t>
  </si>
  <si>
    <t>secularism and secular nationalism</t>
  </si>
  <si>
    <t xml:space="preserve">What did Paul Baran develop </t>
  </si>
  <si>
    <t>What did he make the employee do when he didn't like her outfit?</t>
  </si>
  <si>
    <t>What will be the importance of the pharmacist in coming decades?</t>
  </si>
  <si>
    <t>merchant ships</t>
  </si>
  <si>
    <t>When was the National Highway Designated Act signed?</t>
  </si>
  <si>
    <t>Pikes Peak to Paris</t>
  </si>
  <si>
    <t>What was the total nominal GDP of Warsaw in 2010?</t>
  </si>
  <si>
    <t>What was renumbered in Newcastle upon completion of the Western Bypass?</t>
  </si>
  <si>
    <t>The Computer Science Network</t>
  </si>
  <si>
    <t>disaster</t>
  </si>
  <si>
    <t>Dublin, Cork, Youghal and Waterford</t>
  </si>
  <si>
    <t>by assuming the task of interpreting the treaties, and accelerating economic and political integration</t>
  </si>
  <si>
    <t>Where were Tetzel's teachings in line with Church dogma?</t>
  </si>
  <si>
    <t>singing of German hymns in connection with worship</t>
  </si>
  <si>
    <t>develop and produce a new lighting system</t>
  </si>
  <si>
    <t>The UMC supports research on what cells retrieved from umbilical cords?</t>
  </si>
  <si>
    <t>relatively equal</t>
  </si>
  <si>
    <t>the Jews</t>
  </si>
  <si>
    <t>How many divisions are required to verify the primality of the number 37?</t>
  </si>
  <si>
    <t>agitation for constitutional reform</t>
  </si>
  <si>
    <t>16,000 to 35,000</t>
  </si>
  <si>
    <t>What dilemma is a good example of moral civil disobedience?</t>
  </si>
  <si>
    <t>German Te Deum</t>
  </si>
  <si>
    <t>When was Temüjin's half-brother Begter killed?</t>
  </si>
  <si>
    <t>the thylakoids and intermembrane space</t>
  </si>
  <si>
    <t>castles and vineyards</t>
  </si>
  <si>
    <t>What unit is measured to determine circuit complexity?</t>
  </si>
  <si>
    <t>everything</t>
  </si>
  <si>
    <t>What is the parliamentary mace made of?</t>
  </si>
  <si>
    <t>In 2005, what did Doctor Who think the condition of his home planet was?</t>
  </si>
  <si>
    <t>unified electromagnetic</t>
  </si>
  <si>
    <t>What kind of statement is made in the effort of establishing the time and space requirements needed to enhance the ultimate number of problems solved?</t>
  </si>
  <si>
    <t>What was the win/loss ratio in 2015 for the Carolina Panthers during their regular season?</t>
  </si>
  <si>
    <t>$37.6 billion</t>
  </si>
  <si>
    <t>meritocracy</t>
  </si>
  <si>
    <t>small-scale manufacturing of household goods, motor-vehicle parts, and farm implements</t>
  </si>
  <si>
    <t>St. George's United Methodist Church</t>
  </si>
  <si>
    <t>At first what did Tesla think was the main cause of damage to skin cells when they were exposed to X-rays?</t>
  </si>
  <si>
    <t>What system did Tesla recommend to Niagara Falls in 1893?</t>
  </si>
  <si>
    <t>use of a decentralized network with multiple paths between any two points, dividing user messages into message blocks</t>
  </si>
  <si>
    <t>What is the basic unit of organization within the UMC?</t>
  </si>
  <si>
    <t>District Superintendents</t>
  </si>
  <si>
    <t xml:space="preserve">Who is credited with the modern name for this system </t>
  </si>
  <si>
    <t>father of the Mongols</t>
  </si>
  <si>
    <t>Necessity-based</t>
  </si>
  <si>
    <t>Spain, North Africa, the Middle East, Central Asia and Afghanistan</t>
  </si>
  <si>
    <t>Independence Day</t>
  </si>
  <si>
    <t>San Jose State</t>
  </si>
  <si>
    <t>What was the population of the Dutch Republic before this emigration?</t>
  </si>
  <si>
    <t>What characteristic due most items display after burning?</t>
  </si>
  <si>
    <t>What victory symbols did the Mongols build on the plains outside Samarkand?</t>
  </si>
  <si>
    <t>a body of treaties and legislation, such as Regulations and Directives</t>
  </si>
  <si>
    <t xml:space="preserve">What was the corporate entity American Broadcasting-Paramount Theatres renamed in 1965? </t>
  </si>
  <si>
    <t>the most seats in the Legislative Assembly</t>
  </si>
  <si>
    <t>everything that is used to work sorrow over sin is called the law,</t>
  </si>
  <si>
    <t>Association of American Universities</t>
  </si>
  <si>
    <t>to run proton pumps</t>
  </si>
  <si>
    <t>cortisol and catecholamines</t>
  </si>
  <si>
    <t>What was the Fresno Fairgrounds used as?</t>
  </si>
  <si>
    <t>The zeta function is closely related to prime numbers. For example, the aforementioned fact that there are infinitely many primes can also be seen using the zeta function: if there were only finitely many primes then ζ(1) would have a finite value. However, the harmonic series 1 + 1/2 + 1/3 + 1/4 + ... diverges (i.e., exceeds any given number), so there must be infinitely many primes. Another example of the richness of the zeta function and a glimpse of modern algebraic number theory is the following identity (Basel problem), due to Euler,</t>
  </si>
  <si>
    <t>sell more medications to the patient</t>
  </si>
  <si>
    <t>US/Canada</t>
  </si>
  <si>
    <t>northern</t>
  </si>
  <si>
    <t>different subject specialists</t>
  </si>
  <si>
    <t>the energy of sunlight</t>
  </si>
  <si>
    <t>What is the estimated cost of the V&amp;A branded gallery?</t>
  </si>
  <si>
    <t>upper sixth</t>
  </si>
  <si>
    <t>over $2,000,</t>
  </si>
  <si>
    <t>internal combustion engines or electric motors</t>
  </si>
  <si>
    <t>no French regular army</t>
  </si>
  <si>
    <t>anthropological</t>
  </si>
  <si>
    <t>What do most online pharmacies do?</t>
  </si>
  <si>
    <t>free radical production</t>
  </si>
  <si>
    <t>Where did two of Triton's daughters set out on a journey through?</t>
  </si>
  <si>
    <t>public PAD service Telepad</t>
  </si>
  <si>
    <t>What tradition were the Saint-Evroul monks known for?</t>
  </si>
  <si>
    <t>Tesla was offered the task of completely redesigning the Edison Company's direct current generators. In 1885, he said that he could redesign Edison's inefficient motor and generators, making an improvement in both service and economy. According to Tesla, Edison remarked, "There's fifty thousand dollars in it for you—if you can do it.":54–57 :64 This has been noted as an odd statement from an Edison whose company was stingy with pay and who did not have that sort of cash on hand. After months of work, Tesla fulfilled the task and inquired about payment. Edison, saying that he was only joking, replied, "Tesla, you don't understand our American humor.":64  Instead, Edison offered a US$10 a week raise over Tesla's US$18 per week salary; Tesla refused the offer and immediately resigned.</t>
  </si>
  <si>
    <t>Why were Southern Chinese ranked lower?</t>
  </si>
  <si>
    <t>historical fluke</t>
  </si>
  <si>
    <t>What is considered an all graduate profession in Scotland?</t>
  </si>
  <si>
    <t>publicly announced</t>
  </si>
  <si>
    <t>Under which leader did the Huguenots fight in this conflict?</t>
  </si>
  <si>
    <t>How many picks did Aqib Talib have?</t>
  </si>
  <si>
    <t>harvests of their Chinese tenants</t>
  </si>
  <si>
    <t>secular war</t>
  </si>
  <si>
    <t>A different arrangement was recorded by Peter Howell for season 18 (1980), which was in turn replaced by Dominic Glynn's arrangement for the season-long serial The Trial of a Time Lord in season 23 (1986). Keff McCulloch provided the new arrangement for the Seventh Doctor's era which lasted from season 24 (1987) until the series' suspension in 1989. American composer John Debney created a new arrangement of Ron Grainer's original theme for Doctor Who in 1996. For the return of the series in 2005, Murray Gold provided a new arrangement which featured samples from the 1963 original with further elements added; in the 2005 Christmas episode "The Christmas Invasion", Gold introduced a modified closing credits arrangement that was used up until the conclusion of the 2007 series.[citation needed]</t>
  </si>
  <si>
    <t>The U.S. government has engaged in efforts to counter Islamism, or violent Islamism, since 2001. These efforts were centred in the U.S. around public diplomacy programmes conducted by the State Department. There have been calls to create an independent agency in the U.S. with a specific mission of undermining Islamism and jihadism. Christian Whiton, an official in the George W. Bush administration, called for a new agency focused on the nonviolent practice of "political warfare" aimed at undermining the ideology. U.S. Defense Secretary Robert Gates called for establishing something similar to the defunct U.S. Information Agency, which was charged with undermining the communist ideology during the Cold War.</t>
  </si>
  <si>
    <t>admission to Standard One</t>
  </si>
  <si>
    <t>How many teams have had a 15-1 record for the regular season?</t>
  </si>
  <si>
    <t>Other scholars argue that, even if his views were merely anti-Judaic—that is, opposed to Judaism and its adherence rather than the Jews as an ethnic group—their violence lent a new element to the standard Christian suspicion of Judaism. Ronald Berger writes that Luther is credited with "Germanizing the Christian critique of Judaism and establishing anti-Semitism as a key element of German culture and national identity." Paul Rose argues that he caused a "hysterical and demonizing mentality" about Jews to enter German thought and discourse, a mentality that might otherwise have been absent. Christopher J. Probst in his book Demonizing the Jews: Luther and the Protestant Church in Nazi Germany (2012), shows that a large number of German Lutheran clergy and theologians during the Nazi Third Reich used Luther's hostile publications towards the Jews and their Jewish religion to justify at least in part the anti-Semitic policies of the National Socialists.</t>
  </si>
  <si>
    <t>Cyanobacteria are considered the ancestors of chloroplasts. They are sometimes called blue-green algae even though they are prokaryotes. They are a diverse phylum of bacteria capable of carrying out photosynthesis, and are gram-negative, meaning that they have two cell membranes. Cyanobacteria also contain a peptidoglycan cell wall, which is thicker than in other gram-negative bacteria, and which is located between their two cell membranes. Like chloroplasts, they have thylakoids within. On the thylakoid membranes are photosynthetic pigments, including chlorophyll a. Phycobilins are also common cyanobacterial pigments, usually organized into hemispherical phycobilisomes attached to the outside of the thylakoid membranes (phycobilins are not shared with all chloroplasts though).</t>
  </si>
  <si>
    <t>weak policies, corruption, inadequate health workers, weak management and poor leadership</t>
  </si>
  <si>
    <t>1.7 billion years ago</t>
  </si>
  <si>
    <t>rich and well</t>
  </si>
  <si>
    <t>What may cause "motivational embellishment"?</t>
  </si>
  <si>
    <t>helper T cells, cytotoxic T cells</t>
  </si>
  <si>
    <t>time and space complexity</t>
  </si>
  <si>
    <t>third</t>
  </si>
  <si>
    <t>P is not equal to NP</t>
  </si>
  <si>
    <t>stratigraphic correlation</t>
  </si>
  <si>
    <t>coronary thrombosis</t>
  </si>
  <si>
    <t>suite of network protocols created by Digital Equipment Corporation</t>
  </si>
  <si>
    <t>What did the next three drives result in?</t>
  </si>
  <si>
    <t>What should a Christian follow in his life?</t>
  </si>
  <si>
    <t>Germany referred to which area more so than an actual country?</t>
  </si>
  <si>
    <t>thaw</t>
  </si>
  <si>
    <t>When was Rhineland subject to the Treaty of Versailles?</t>
  </si>
  <si>
    <t>gradient of potentials</t>
  </si>
  <si>
    <t>As Fortnow &amp; Homer (2003) point out, the beginning of systematic studies in computational complexity is attributed to the seminal paper "On the Computational Complexity of Algorithms" by Juris Hartmanis and Richard Stearns (1965), which laid out the definitions of time and space complexity and proved the hierarchy theorems. Also, in 1965 Edmonds defined a "good" algorithm as one with running time bounded by a polynomial of the input size.</t>
  </si>
  <si>
    <t>EAT!</t>
  </si>
  <si>
    <t>a hemicycle</t>
  </si>
  <si>
    <t>Late Medieval Catholic Church</t>
  </si>
  <si>
    <t>magma or lava flows</t>
  </si>
  <si>
    <t>the IPCC from the WWF report</t>
  </si>
  <si>
    <t>65.5 million years ago</t>
  </si>
  <si>
    <t>lower rates</t>
  </si>
  <si>
    <t>ABC dominated the American television landscape during the 1970s and early 1980s (by 1980, the three major networks represented 90% of all prime-time television viewership in the U.S.). Several flagship series debuted on the network during this time including Dynasty, an opulent drama from Aaron Spelling that became a hit when it premiered as a midseason series in 1981, five months before Spelling's other ABC hit Charlie's Angels ended its run. The network was also propelled during the early 1980s by the continued successes of Happy Days, Three's Company, Laverne &amp; Shirley and Fantasy Island, and gained new hits in Too Close for Comfort, Soap spinoff Benson and Happy Days spinoff Mork &amp; Mindy. In 1981, ABC (through its ABC Video Services division) launched the Alpha Repertory Television Service (ARTS), a cable channel operated as a joint venture with the Hearst Corporation offering cultural and arts programming, which aired as a nighttime service over the channel space of Nickelodeon.</t>
  </si>
  <si>
    <t>increasing use of technology</t>
  </si>
  <si>
    <t>What did the Dutch health authorities regard as unnecessary in Geraets-Smits v Stichting Ziekenfonds?</t>
  </si>
  <si>
    <t>Why has Warsaw seen many improvements over the past decade?</t>
  </si>
  <si>
    <t>Who did Tesla refuse to see following the accident?</t>
  </si>
  <si>
    <t>When did England formally declare war on France?</t>
  </si>
  <si>
    <t>What kind of territories are being destroyed by ecocide in the Amazon?</t>
  </si>
  <si>
    <t>Sudbury model democratic schools claim that popularly based authority can maintain order more effectively than dictatorial authority for governments and schools alike. They also claim that in these schools the preservation of public order is easier and more efficient than anywhere else. Primarily because rules and regulations are made by the community as a whole, thence the school atmosphere is one of persuasion and negotiation, rather than confrontation since there is no one to confront. Sudbury model democratic schools' proponents argue that a school that has good, clear laws, fairly and democratically passed by the entire school community, and a good judicial system for enforcing these laws, is a school in which community discipline prevails, and in which an increasingly sophisticated concept of law and order develops, against other schools today, where rules are arbitrary, authority is absolute, punishment is capricious, and due process of law is unknown.</t>
  </si>
  <si>
    <t>What conviction motivated Eliot to move towards secularization?</t>
  </si>
  <si>
    <t>At what time is the Harvard-Yale rivalry set aside?</t>
  </si>
  <si>
    <t>primary education</t>
  </si>
  <si>
    <t>captured Fort Beauséjour</t>
  </si>
  <si>
    <t>the ozone generated in contact with the skin, and to a lesser extent, by nitrous acid.</t>
  </si>
  <si>
    <t>only pharmacists may supply scheduled pharmaceuticals to the public</t>
  </si>
  <si>
    <t>acupuncture, moxibustion, pulse diagnosis, and various herbal drugs and elixirs</t>
  </si>
  <si>
    <t xml:space="preserve">WHat did foreign clones of DATAPAC allow for </t>
  </si>
  <si>
    <t>Ming dynasty</t>
  </si>
  <si>
    <t>nonconservative forces</t>
  </si>
  <si>
    <t>more than $45,000</t>
  </si>
  <si>
    <t>the 1950s</t>
  </si>
  <si>
    <t>the computational model</t>
  </si>
  <si>
    <t>How long was the first audio of a Doctor Who story?</t>
  </si>
  <si>
    <t>From the late 1340s onwards</t>
  </si>
  <si>
    <t>newspaper editor</t>
  </si>
  <si>
    <t>What happened to the rate of deforestation in the Amazon region of Brazil between 2004 and 2014?</t>
  </si>
  <si>
    <t>can produce both eggs and sperm at the same time.</t>
  </si>
  <si>
    <t>torn ACL</t>
  </si>
  <si>
    <t>constitutional impasse</t>
  </si>
  <si>
    <t>Who else did Luther use violent rhetoric towards?</t>
  </si>
  <si>
    <t>For how many years was evidence shown that humans shaped the the Amazon?</t>
  </si>
  <si>
    <t>Anti-inflammatory drugs are often used to control the effects of inflammation. Glucocorticoids are the most powerful of these drugs; however, these drugs can have many undesirable side effects, such as central obesity, hyperglycemia, osteoporosis, and their use must be tightly controlled. Lower doses of anti-inflammatory drugs are often used in conjunction with cytotoxic or immunosuppressive drugs such as methotrexate or azathioprine. Cytotoxic drugs inhibit the immune response by killing dividing cells such as activated T cells. However, the killing is indiscriminate and other constantly dividing cells and their organs are affected, which causes toxic side effects. Immunosuppressive drugs such as cyclosporin prevent T cells from responding to signals correctly by inhibiting signal transduction pathways.</t>
  </si>
  <si>
    <t>the internal thylakoid system</t>
  </si>
  <si>
    <t>$2.2 billion</t>
  </si>
  <si>
    <t>What is another term for excessive compression?</t>
  </si>
  <si>
    <t>Why are debates on proposed motions by an MSP conducted?</t>
  </si>
  <si>
    <t>Mediterranean</t>
  </si>
  <si>
    <t>When did the ancestors of modern Homo sapiens inhabit Kenya?</t>
  </si>
  <si>
    <t>financial strain</t>
  </si>
  <si>
    <t>Where is the largest number of tourist coming from?</t>
  </si>
  <si>
    <t>Fredericia (Denmark), Berlin, Stockholm, Hamburg, Frankfurt, Helsinki, and Emden</t>
  </si>
  <si>
    <t>Faith is that which brings the Holy Spirit through the merits of Christ</t>
  </si>
  <si>
    <t>What is cpDNA's replication similar to?</t>
  </si>
  <si>
    <t>General Assembly Hall of the Church of Scotland</t>
  </si>
  <si>
    <t>Where is the Hyde Park Day School located?</t>
  </si>
  <si>
    <t>What enemy of Doctor Who is also a Time Lord?</t>
  </si>
  <si>
    <t>coin in the coffer rings, the soul from purgatory</t>
  </si>
  <si>
    <t>Pathogen-associated molecular patterns or PAMPs</t>
  </si>
  <si>
    <t>sevenfold</t>
  </si>
  <si>
    <t>passive short-term memory or active long-term memory</t>
  </si>
  <si>
    <t>nine months</t>
  </si>
  <si>
    <t>tertiary education</t>
  </si>
  <si>
    <t>To avoid interference with existing VHF television stations</t>
  </si>
  <si>
    <t>He later attributed his decision to an event: on 2 July 1505, he was returning to university on horseback after a trip home. During a thunderstorm, a lightning bolt struck near him. Later telling his father he was terrified of death and divine judgment, he cried out, "Help! Saint Anna, I will become a monk!" He came to view his cry for help as a vow he could never break. He left law school, sold his books, and entered a closed Augustinian cloister in Erfurt on 17 July 1505. One friend blamed the decision on Luther's sadness over the deaths of two friends. Luther himself seemed saddened by the move. Those who attended a farewell supper walked him to the door of the Black Cloister. "This day you see me, and then, not ever again," he said. His father was furious over what he saw as a waste of Luther's education.</t>
  </si>
  <si>
    <t>Threatening government officials</t>
  </si>
  <si>
    <t>Following a referendum in 1997, in which the Scottish electorate voted for devolution, the current Parliament was convened by the Scotland Act 1998, which sets out its powers as a devolved legislature. The Act delineates the legislative competence of the Parliament – the areas in which it can make laws – by explicitly specifying powers that are "reserved" to the Parliament of the United Kingdom. The Scottish Parliament has the power to legislate in all areas that are not explicitly reserved to Westminster. The British Parliament retains the ability to amend the terms of reference of the Scottish Parliament, and can extend or reduce the areas in which it can make laws. The first meeting of the new Parliament took place on 12 May 1999.</t>
  </si>
  <si>
    <t>marriage between Han and Jurchen</t>
  </si>
  <si>
    <t>What continent are the Canarian Islands off the coast of?</t>
  </si>
  <si>
    <t>Which part of the V&amp;A collection did the Salting Bequest enhanced?</t>
  </si>
  <si>
    <t>squished his toes</t>
  </si>
  <si>
    <t>the Religious Coalition for Reproductive Choice</t>
  </si>
  <si>
    <t>How is worst-case time complexity written as an expression?</t>
  </si>
  <si>
    <t>How long did the 5th president's tenure last?</t>
  </si>
  <si>
    <t>instance</t>
  </si>
  <si>
    <t>the desert</t>
  </si>
  <si>
    <t>John F. Kennedy's</t>
  </si>
  <si>
    <t>What type of housing was erected in Warsaw as part of the Bricks for Warsaw process?</t>
  </si>
  <si>
    <t>What happens as they build phase 1?</t>
  </si>
  <si>
    <t>glossy gold</t>
  </si>
  <si>
    <t>What does the Riemann hypothesis state the source of irregularity in the distribution of points comes from?</t>
  </si>
  <si>
    <t>21 October 1512</t>
  </si>
  <si>
    <t>How many tiers are in the Australian form of learning?</t>
  </si>
  <si>
    <t>solitary civil disobedience</t>
  </si>
  <si>
    <t>Upstate New York and the Ohio Country</t>
  </si>
  <si>
    <t>United Methodists on Abortion and Sexuality (TUMAS)</t>
  </si>
  <si>
    <t>ablative heat shield</t>
  </si>
  <si>
    <t>In response to demands for a German liturgy, Luther wrote a German Mass, which he published in early 1526. He did not intend it as a replacement for his 1523 adaptation of the Latin Mass but as an alternative for the "simple people", a "public stimulation for people to believe and become Christians." Luther based his order on the Catholic service but omitted "everything that smacks of sacrifice"; and the Mass became a celebration where everyone received the wine as well as the bread. He retained the elevation of the host and chalice, while trappings such as the Mass vestments, altar, and candles were made optional, allowing freedom of ceremony. Some reformers, including followers of Huldrych Zwingli, considered Luther's service too papistic; and modern scholars note the conservatism of his alternative to the Catholic mass. Luther's service, however, included congregational singing of hymns and psalms in German, as well as of parts of the liturgy, including Luther's unison setting of the Creed. To reach the simple people and the young, Luther incorporated religious instruction into the weekday services in the form of the catechism. He also provided simplified versions of the baptism and marriage services.</t>
  </si>
  <si>
    <t>1,000 m3/s</t>
  </si>
  <si>
    <t>On what date was series two first shown by the CBC?</t>
  </si>
  <si>
    <t>usually human, or humanoid aliens</t>
  </si>
  <si>
    <t>Canadian Radio-television and Telecommunications Commission</t>
  </si>
  <si>
    <t>to avoid the "inconvenience" of visiting a doctor or to obtain medications which their doctors were unwilling to prescribe</t>
  </si>
  <si>
    <t>As interesting examples of expositions the most notable are: the world's first Museum of Posters boasting one of the largest collections of art posters in the world, Museum of Hunting and Riding and the Railway Museum. From among Warsaw's 60 museums, the most prestigious ones are National Museum with a collection of works whose origin ranges in time from antiquity till the present epoch as well as one of the best collections of paintings in the country including some paintings from Adolf Hitler's private collection, and Museum of the Polish Army whose set portrays the history of arms.</t>
  </si>
  <si>
    <t>Warner Bros. Presents</t>
  </si>
  <si>
    <t>32 °C</t>
  </si>
  <si>
    <t>In which case did the Court state that Austria was not allowed to hold places in Austrian schools exclusively for Austrian students?</t>
  </si>
  <si>
    <t>the Song Emperor to Quzhou</t>
  </si>
  <si>
    <t>In 2006, a toxic waste spill off the coast of Côte d'Ivoire, from a European ship, prompted the Commission to look into legislation against toxic waste. Environment Commissioner Stavros Dimas stated that "Such highly toxic waste should never have left the European Union". With countries such as Spain not even having a crime against shipping toxic waste, Franco Frattini, the Justice, Freedom and Security Commissioner, proposed with Dimas to create criminal sentences for "ecological crimes". The competence for the Union to do this was contested in 2005 at the Court of Justice resulting in a victory for the Commission. That ruling set a precedent that the Commission, on a supranational basis, may legislate in criminal law – something never done before. So far, the only other proposal has been the draft intellectual property rights directive. Motions were tabled in the European Parliament against that legislation on the basis that criminal law should not be an EU competence, but was rejected at vote. However, in October 2007, the Court of Justice ruled that the Commission could not propose what the criminal sanctions could be, only that there must be some.</t>
  </si>
  <si>
    <t>What are other major fatality causes?</t>
  </si>
  <si>
    <t>militia support</t>
  </si>
  <si>
    <t>The battle ended inconclusively</t>
  </si>
  <si>
    <t>1 July 1851</t>
  </si>
  <si>
    <t>What government department did Buyantu shut down?</t>
  </si>
  <si>
    <t>join a polytechnic or other technical college and study for three years or proceed directly to the university and study for four years</t>
  </si>
  <si>
    <t>What other role do many pharmacists play?</t>
  </si>
  <si>
    <t>What is the second academic school of technology in Poland?</t>
  </si>
  <si>
    <t>What are the main legislative bodies of the European Union?</t>
  </si>
  <si>
    <t>interdisciplinary approach</t>
  </si>
  <si>
    <t>catalog everything</t>
  </si>
  <si>
    <t xml:space="preserve">Why is the second timeline needed? </t>
  </si>
  <si>
    <t>continuous rotary motion</t>
  </si>
  <si>
    <t>October 6, 1973</t>
  </si>
  <si>
    <t>evenly round the body</t>
  </si>
  <si>
    <t>How fast is pharmacy informatics growing?</t>
  </si>
  <si>
    <t>events and festivals</t>
  </si>
  <si>
    <t>Large-scale construction requires collaboration across multiple disciplines. An architect normally manages the job, and a construction manager, design engineer, construction engineer or project manager supervises it. For the successful execution of a project, effective planning is essential. Those involved with the design and execution of the infrastructure in question must consider zoning requirements, the environmental impact of the job, the successful scheduling, budgeting, construction-site safety, availability and transportation of building materials, logistics, inconvenience to the public caused by construction delays and bidding, etc. The largest construction projects are referred to as megaprojects.</t>
  </si>
  <si>
    <t>How many Panthers went to the Pro Bowl?</t>
  </si>
  <si>
    <t>Warsaw Uprising Monument</t>
  </si>
  <si>
    <t>In 1935, in an annual birthday celebration interview, Tesla announced a method of transmitting mechanical energy with minimal loss over any terrestrial distance, a related new means of communication, and a method of accurately determining the location of underground mineral deposits.</t>
  </si>
  <si>
    <t>How much thrust was estimated for the translunar flight?</t>
  </si>
  <si>
    <t>Along with the Congregation of Christian Brothers, what is a notable religious group that runs fee-paying schools in Ireland?</t>
  </si>
  <si>
    <t>a proper hierarchy on the classes</t>
  </si>
  <si>
    <t>Large-scale regeneration has replaced former shipping premises with imposing new office developments; an innovative tilting bridge, the Gateshead Millennium Bridge was commissioned by Gateshead Council and has integrated the older Newcastle Quayside more closely with major cultural developments in Gateshead, including the BALTIC Centre for Contemporary Art, the venue for the Turner Prize 2011 and the Norman Foster-designed The Sage Gateshead music centre. The Newcastle and Gateshead Quaysides are now a thriving, cosmopolitan area with bars, restaurants and public spaces. As a tourist promotion, Newcastle and Gateshead have linked together under the banner "NewcastleGateshead", to spearhead the regeneration of the North-East. The River Tyne had the temporary Bambuco Bridge in 2008 for ten days; it was not made for walking, road or cycling, but was just a sculpture.</t>
  </si>
  <si>
    <t>among the plankton</t>
  </si>
  <si>
    <t>weight</t>
  </si>
  <si>
    <t>merchant ships.</t>
  </si>
  <si>
    <t>more than 70</t>
  </si>
  <si>
    <t>requested by governments</t>
  </si>
  <si>
    <t>aggressiveness</t>
  </si>
  <si>
    <t>Acute oxygen toxicity</t>
  </si>
  <si>
    <t>How far do the wildebeest migrate searching for food and water?</t>
  </si>
  <si>
    <t>What did this hymn presage?</t>
  </si>
  <si>
    <t>Commission v Italy</t>
  </si>
  <si>
    <t>because many elderly people are now taking numerous medications but continue to live outside of institutional settings</t>
  </si>
  <si>
    <t>Some people describe what between individuals or groups as imperialism or colonialism?</t>
  </si>
  <si>
    <t>50 letters</t>
  </si>
  <si>
    <t>When did it retract to a inland formation?</t>
  </si>
  <si>
    <t>using unreliable datagrams and associated end-to-end protocol mechanisms</t>
  </si>
  <si>
    <t>What has technological innovation and automation replaced low-skilled jobs with?</t>
  </si>
  <si>
    <t>Ediacaran period</t>
  </si>
  <si>
    <t>X reduces to Y</t>
  </si>
  <si>
    <t>circuit switching</t>
  </si>
  <si>
    <t>Problems that can be solved in theory (e.g., given large but finite time), but which in practice take too long for their solutions to be useful, are known as intractable problems. In complexity theory, problems that lack polynomial-time solutions are considered to be intractable for more than the smallest inputs. In fact, the Cobham–Edmonds thesis states that only those problems that can be solved in polynomial time can be feasibly computed on some computational device. Problems that are known to be intractable in this sense include those that are EXPTIME-hard. If NP is not the same as P, then the NP-complete problems are also intractable in this sense. To see why exponential-time algorithms might be unusable in practice, consider a program that makes 2n operations before halting. For small n, say 100, and assuming for the sake of example that the computer does 1012 operations each second, the program would run for about 4 × 1010 years, which is the same order of magnitude as the age of the universe. Even with a much faster computer, the program would only be useful for very small instances and in that sense the intractability of a problem is somewhat independent of technological progress. Nevertheless, a polynomial time algorithm is not always practical. If its running time is, say, n15, it is unreasonable to consider it efficient and it is still useless except on small instances.</t>
  </si>
  <si>
    <t>monitoring of atmospheric oxygen levels show a global downward trend</t>
  </si>
  <si>
    <t>A large body of mathematical work would still be valid when calling 1 a prime, but Euclid's fundamental theorem of arithmetic (mentioned above) would not hold as stated. For example, the number 15 can be factored as 3 · 5 and 1 · 3 · 5; if 1 were admitted as a prime, these two presentations would be considered different factorizations of 15 into prime numbers, so the statement of that theorem would have to be modified. Similarly, the sieve of Eratosthenes would not work correctly if 1 were considered a prime: a modified version of the sieve that considers 1 as prime would eliminate all multiples of 1 (that is, all other numbers) and produce as output only the single number 1. Furthermore, the prime numbers have several properties that the number 1 lacks, such as the relationship of the number to its corresponding value of Euler's totient function or the sum of divisors function.</t>
  </si>
  <si>
    <t>Fresno Street and Thorne Ave</t>
  </si>
  <si>
    <t>Why did Saudi Arabia try to increase production, and reduce profits for high cost producers?</t>
  </si>
  <si>
    <t>Small Catechism,</t>
  </si>
  <si>
    <t>In 1096, Crusaders passing by the siege of Amalfi were joined by Bohemond of Taranto and his nephew Tancred with an army of Italo-Normans. Bohemond was the de facto leader of the Crusade during its passage through Asia Minor. After the successful Siege of Antioch in 1097, Bohemond began carving out an independent principality around that city. Tancred was instrumental in the conquest of Jerusalem and he worked for the expansion of the Crusader kingdom in Transjordan and the region of Galilee.[citation needed]</t>
  </si>
  <si>
    <t>decentralized network with multiple paths between any two points</t>
  </si>
  <si>
    <t>removed some parts</t>
  </si>
  <si>
    <t>How many main flows are branched off from the Nederrijn?</t>
  </si>
  <si>
    <t>a former monastery</t>
  </si>
  <si>
    <t>What is a typical configuration</t>
  </si>
  <si>
    <t>as a liquid</t>
  </si>
  <si>
    <t>for Lutheran views</t>
  </si>
  <si>
    <t>According to the humoral theory of immunity, what were the bodies immune agents?</t>
  </si>
  <si>
    <t>What day of the week was Media Day held on for Super Bowl 50?</t>
  </si>
  <si>
    <t>southern</t>
  </si>
  <si>
    <t>On July 31, 1995</t>
  </si>
  <si>
    <t>What is the size of the school's endowment?</t>
  </si>
  <si>
    <t>ABC Television Center</t>
  </si>
  <si>
    <t>native tribes</t>
  </si>
  <si>
    <t>removing its economic foundation.</t>
  </si>
  <si>
    <t>What happens if angiosperm shoots don't get enough light?</t>
  </si>
  <si>
    <t>curriculum</t>
  </si>
  <si>
    <t>isolated</t>
  </si>
  <si>
    <t>What is the CJEU's duty?</t>
  </si>
  <si>
    <t>The phrase "Hiding behind (or 'watching from behind') the sofa" entered British pop culture, signifying in humour the stereotypical early-series behaviour of children who wanted to avoid seeing frightening parts of a television programme while remaining in the room to watch the remainder of it. The phrase retains this association with Doctor Who, to the point that in 1991 the Museum of the Moving Image in London named their exhibition celebrating the programme "Behind the Sofa". The electronic theme music too was perceived as eerie, novel, and frightening, at the time. A 2012 article placed this childhood juxtaposition of fear and thrill "at the center of many people's relationship with the show", and a 2011 online vote at Digital Spy deemed the series the "scariest TV show of all time".</t>
  </si>
  <si>
    <t>Where was the Kievian force that confronted Subutai's army defeated in 1223?</t>
  </si>
  <si>
    <t>host computers</t>
  </si>
  <si>
    <t>streamlines the front of the animal</t>
  </si>
  <si>
    <t>exploitation</t>
  </si>
  <si>
    <t>the "10 million dollar millionaires" grew to nearly $41 trillion in 2008</t>
  </si>
  <si>
    <t>The "West Side" of Fresno, also often called "Southwest Fresno", is one of the oldest neighborhoods in the city. The neighborhood lies southwest of the 99 freeway (which divides it from Downtown Fresno), west of the 41 freeway and south of Nielsen Ave (or the newly constructed 180 Freeway), and extends to the city limits to the west and south. The neighborhood is traditionally considered to be the center of Fresno's African-American community. It is culturally diverse and also includes significant Mexican-American and Asian-American (principally Hmong or Laotian) populations.</t>
  </si>
  <si>
    <t>principle of inclusions and components</t>
  </si>
  <si>
    <t>An 1821 full size oil sketch of which famous British painting was donated by John Sheepshank's daughter in 1888?</t>
  </si>
  <si>
    <t>Who was hired to produce ABC's 2001-02 identity?</t>
  </si>
  <si>
    <t>The chloroplast membranes sometimes protrude out into the cytoplasm, forming a stromule, or stroma-containing tubule. Stromules are very rare in chloroplasts, and are much more common in other plastids like chromoplasts and amyloplasts in petals and roots, respectively. They may exist to increase the chloroplast's surface area for cross-membrane transport, because they are often branched and tangled with the endoplasmic reticulum. When they were first observed in 1962, some plant biologists dismissed the structures as artifactual, claiming that stromules were just oddly shaped chloroplasts with constricted regions or dividing chloroplasts. However, there is a growing body of evidence that stromules are functional, integral features of plant cell plastids, not merely artifacts.</t>
  </si>
  <si>
    <t>Friedrich Ratzel thought imperialism was what for the country?</t>
  </si>
  <si>
    <t>What group started peace meetings?</t>
  </si>
  <si>
    <t>a genuine love of God with heart, soul, mind, and strength,</t>
  </si>
  <si>
    <t>How many ways did Luther justify his opposition to revolt?</t>
  </si>
  <si>
    <t>Whose needs will the growth in pharmacy informatics meet?</t>
  </si>
  <si>
    <t>the same</t>
  </si>
  <si>
    <t>September 2001</t>
  </si>
  <si>
    <t>third largest</t>
  </si>
  <si>
    <t>missile gap</t>
  </si>
  <si>
    <t>the Official Report</t>
  </si>
  <si>
    <t>The plague theory was first significantly challenged by the work of British bacteriologist J. F. D. Shrewsbury in 1970, who noted that the reported rates of mortality in rural areas during the 14th-century pandemic were inconsistent with the modern bubonic plague, leading him to conclude that contemporary accounts were exaggerations. In 1984 zoologist Graham Twigg produced the first major work to challenge the bubonic plague theory directly, and his doubts about the identity of the Black Death have been taken up by a number of authors, including Samuel K. Cohn, Jr. (2002), David Herlihy (1997), and Susan Scott and Christopher Duncan (2001).</t>
  </si>
  <si>
    <t>What protection caused Luther's Reformation to flourish?</t>
  </si>
  <si>
    <t>Imperialism</t>
  </si>
  <si>
    <t>Which book by Edward Said portrayed the east as being the "others?"</t>
  </si>
  <si>
    <t>What distinguishes granal thylakoids?</t>
  </si>
  <si>
    <t>complexity measures</t>
  </si>
  <si>
    <t>Primitive jawless vertebrates possess an array of receptors referred to as what?</t>
  </si>
  <si>
    <t>What US war caused a high amount of civil disobedience?</t>
  </si>
  <si>
    <t>otter, beaver and hundreds of bird species</t>
  </si>
  <si>
    <t>What was the primary race of students attending Christian academies after the Brown decision?</t>
  </si>
  <si>
    <t>the innate immune system</t>
  </si>
  <si>
    <t>How much was the Apollo project estimated to have cost from 1959 to 1973, the length of the program?</t>
  </si>
  <si>
    <t>When did ABC premier the Flintstones?</t>
  </si>
  <si>
    <t>the teaching profession</t>
  </si>
  <si>
    <t>What's the biggest difference in the teaching relationship for primary and secondary school?</t>
  </si>
  <si>
    <t>keeping it from folding prematurely</t>
  </si>
  <si>
    <t>Where is the comparison found of this Lord's Prayer hymn?</t>
  </si>
  <si>
    <t>deportation of the French-speaking Acadian population from the area</t>
  </si>
  <si>
    <t>What is the area called where two plates move apart?</t>
  </si>
  <si>
    <t>autocratic-bureaucratic</t>
  </si>
  <si>
    <t>by offering a higher wage</t>
  </si>
  <si>
    <t>concern</t>
  </si>
  <si>
    <t>Where did water on the eastern side of the amazon basin travel after the split?</t>
  </si>
  <si>
    <t>partial funding</t>
  </si>
  <si>
    <t>analysis of algorithms</t>
  </si>
  <si>
    <t>The principle of faunal succession is based on the appearance of fossils in sedimentary rocks. As organisms exist at the same time period throughout the world, their presence or (sometimes) absence may be used to provide a relative age of the formations in which they are found. Based on principles laid out by William Smith almost a hundred years before the publication of Charles Darwin's theory of evolution, the principles of succession were developed independently of evolutionary thought. The principle becomes quite complex, however, given the uncertainties of fossilization, the localization of fossil types due to lateral changes in habitat (facies change in sedimentary strata), and that not all fossils may be found globally at the same time.</t>
  </si>
  <si>
    <t>Where did British resettle many Acadians?</t>
  </si>
  <si>
    <t>Switzerland and the Netherlands.</t>
  </si>
  <si>
    <t>Commission v Italy the Court of Justice</t>
  </si>
  <si>
    <t>Bills can be introduced to Parliament in a number of ways; the Scottish Government can introduce new laws or amendments to existing laws as a bill; a committee of the Parliament can present a bill in one of the areas under its remit; a member of the Scottish Parliament can introduce a bill as a private member; or a private bill can be submitted to Parliament by an outside proposer. Most draft laws are government bills introduced by ministers in the governing party. Bills pass through Parliament in a number of stages:</t>
  </si>
  <si>
    <t>superior</t>
  </si>
  <si>
    <t>Most of the objects in the Japanese art collection is dated to which time period?</t>
  </si>
  <si>
    <t>What do current ctenophores have that fossils found did not have?</t>
  </si>
  <si>
    <t>highest 'social efficiency'</t>
  </si>
  <si>
    <t>inclusions and components</t>
  </si>
  <si>
    <t>magnetic field</t>
  </si>
  <si>
    <t>What power is available to Australian private schools but generally not present in public schools?</t>
  </si>
  <si>
    <t>What does the UMC oppose as incompatible with the teaching of Scripture?</t>
  </si>
  <si>
    <t>Video On Demand content</t>
  </si>
  <si>
    <t>What are the proteins that organisms use to identify molecules associated with pathogens?</t>
  </si>
  <si>
    <t>form business partnerships with physicians or give them "kickback" payments</t>
  </si>
  <si>
    <t>entirely religious</t>
  </si>
  <si>
    <t>Why did they teach them to grow peas?</t>
  </si>
  <si>
    <t>What innovation in Mongolian language is credited to Genghis Khan?</t>
  </si>
  <si>
    <t>French troops put down the Camisard uprisings between what years?</t>
  </si>
  <si>
    <t>where  is the relevant cross-sectional area for the volume for which the stress-tensor is being calculated. This formalism includes pressure terms associated with forces that act normal to the cross-sectional area (the matrix diagonals of the tensor) as well as shear terms associated with forces that act parallel to the cross-sectional area (the off-diagonal elements). The stress tensor accounts for forces that cause all strains (deformations) including also tensile stresses and compressions.:133–134:38-1–38-11</t>
  </si>
  <si>
    <t>Netherlands</t>
  </si>
  <si>
    <t>adaptive immune system</t>
  </si>
  <si>
    <t>Who organized the Britain Can Make It exhibition?</t>
  </si>
  <si>
    <t>What was the advantage that the LOR method produced in the event of a spacecraft failure?</t>
  </si>
  <si>
    <t>forces</t>
  </si>
  <si>
    <t>recent decades</t>
  </si>
  <si>
    <t>by the accidental introduction of the Mnemiopsis-eating North American ctenophore Beroe ovata,</t>
  </si>
  <si>
    <t>What ranking does the Super Bowl 50 halftime show have on the list of most watched TV broadcasts?</t>
  </si>
  <si>
    <t>blockade French ports</t>
  </si>
  <si>
    <t>What seed was the Denver Broncos?</t>
  </si>
  <si>
    <t>Down to how many laws did Tesla believe the fundamental laws could be reduced?</t>
  </si>
  <si>
    <t>Other than T cells, what other immune cells express CYP27B1?</t>
  </si>
  <si>
    <t>appear to become lighter and seem to lose something in the process</t>
  </si>
  <si>
    <t>threatened</t>
  </si>
  <si>
    <t>"shortening the cutoff"</t>
  </si>
  <si>
    <t>rate of flow was increased</t>
  </si>
  <si>
    <t>the steps of Nairobi's Harambee House</t>
  </si>
  <si>
    <t>unstable six-carbon molecules that immediately break down</t>
  </si>
  <si>
    <t>The tallest building in Downtown Jacksonville's skyline is the Bank of America Tower, constructed in 1990 as the Barnett Center. It has a height of 617 ft (188 m) and includes 42 floors. Other notable structures include the 37-story Wells Fargo Center (with its distinctive flared base making it the defining building in the Jacksonville skyline), originally built in 1972-74 by the Independent Life and Accident Insurance Company, and the 28 floor Riverplace Tower which, when completed in 1967, was the tallest precast, post-tensioned concrete structure in the world.</t>
  </si>
  <si>
    <t>Which countries became dependent on US's security assurance to threats?</t>
  </si>
  <si>
    <t>Which country did Japan force into an alliance?</t>
  </si>
  <si>
    <t>debating chamber</t>
  </si>
  <si>
    <t>editor of Electrical World magazine</t>
  </si>
  <si>
    <t>Which TEFU article states that no quantitative restrictions can be placed on trade?</t>
  </si>
  <si>
    <t>satellite data</t>
  </si>
  <si>
    <t>What is the name of one type of modern primality test?</t>
  </si>
  <si>
    <t>How much of Victoria's farmland grows hay?</t>
  </si>
  <si>
    <t>What did the General Conference on Weights and Measures name after Tesla in 1960?</t>
  </si>
  <si>
    <t>Triumphing by a brave defence</t>
  </si>
  <si>
    <t>the Danube</t>
  </si>
  <si>
    <t>force</t>
  </si>
  <si>
    <t>New techniques of building construction are being researched, made possible by advances in what?</t>
  </si>
  <si>
    <t>substantial portion of Central Asia and China</t>
  </si>
  <si>
    <t xml:space="preserve">What term corresponds to the maximum measurement of time across all functions of n? </t>
  </si>
  <si>
    <t>Was this footage compatible or incompatible with live broadcast TV formats?</t>
  </si>
  <si>
    <t>floor function</t>
  </si>
  <si>
    <t>the end of October 2006</t>
  </si>
  <si>
    <t>democratic</t>
  </si>
  <si>
    <t>they have two cell membranes</t>
  </si>
  <si>
    <t>priests, religious leaders, and case workers as well as teachers</t>
  </si>
  <si>
    <t>When were Joseph Schumpeter and Norman Angell at their most prolific writing period?</t>
  </si>
  <si>
    <t>Where did von Lettow surrender at?</t>
  </si>
  <si>
    <t>Time Lord</t>
  </si>
  <si>
    <t>The success of the first two landings allowed the remaining missions to be crewed with a single veteran as Commander, with two rookies. Apollo 13 launched Lovell, Jack Swigert, and Fred Haise in April 1970, headed for the Fra Mauro formation. But two days out, a liquid oxygen tank exploded, disabling the Service Module and forcing the crew to use the LM as a "life boat" to return to Earth. Another NASA review board was convened to determine the cause, which turned out to be a combination of damage of the tank in the factory, and a subcontractor not making a tank component according to updated design specifications. Apollo was grounded again, for the remainder of 1970 while the oxygen tank was redesigned and an extra one was added.</t>
  </si>
  <si>
    <t>How was the ctenophore mnemiopsis leidyi introduced into The Black Sea and the Sea of Azov?</t>
  </si>
  <si>
    <t>beneath the university's Stagg Field</t>
  </si>
  <si>
    <t>Treaty on European Union (TEU)</t>
  </si>
  <si>
    <t>The first attempts to internationalize the ABC television network date back to the 1950s, after Leonard Goldenson, following the United Paramount Theatres model, tried to use on ABC the same strategies he had made in expanding UPT's theater operation to the international market. Leonard Goldenson said that ABC's first international activity was broadcasting the coronation of Queen Elizabeth II in June 1953; CBS and NBC were unable to cover the coronation live due to respective issues with technical problems and flight delays. NBC's plane landed in Latin America[where?], leading ABC to learn of subsidiaries in that region. Goldenson tried international investing, having ABC invest in the Latin American market, acquiring a 51% interest in a network covering Central America. Goldenson also cited interest in Japan in the early 1950s, acquiring a 5% stake in two new domestic networks, the Mainichi Broadcasting System in 1951 and Nihon Educational Television in 1957. Goldenson also invested in broadcasting properties in Beirut in the mid-1960s.</t>
  </si>
  <si>
    <t>Northern Rail</t>
  </si>
  <si>
    <t>How many people were on the project that followed Project Mercury?</t>
  </si>
  <si>
    <t>statue of fame</t>
  </si>
  <si>
    <t>Once Mutual's appeals against the FCC were rejected, RCA decided to sell NBC Blue in 1941, and gave the mandate to do so to Mark Woods. RCA converted the NBC Blue Network into an independent subsidiary, formally divorcing the operations of NBC Red and NBC Blue on January 8, 1942, with the Blue Network being referred to on-air as either "Blue" or "Blue Network". The newly separated NBC Red and NBC Blue divided their respective corporate assets. Between 1942 and 1943, Woods offered to sell the entire NBC Blue Network, a package that included leases on landlines, three pending television licenses (WJZ-TV in New York City, KGO-TV in San Francisco and WENR-TV in Chicago), 60 affiliates, four operations facilities (in New York City, Chicago, Los Angeles and Washington D.C.), contracts with actors, and the brand associated with the Blue Network. Investment firm Dillon, Read &amp; Co. (which was later acquired by the Swiss Bank Corporation in 1997) offered $7.5 million to purchase the network, but the offer was rejected by Woods and RCA president David Sarnoff.</t>
  </si>
  <si>
    <t>13 years</t>
  </si>
  <si>
    <t>Denver took the opening kickoff and started out strong with Peyton Manning completing an 18-yard pass to tight end Owen Daniels and a 22-yard throw to receiver Andre Caldwell. A pair of carries by C. J. Anderson moved the ball up 20 yards to the Panthers 14-yard line, but Carolina's defense dug in over the next three plays. First, linebacker Shaq Thompson tackled Ronnie Hillman for a 3-yard loss. Then after an incompletion, Thomas Davis tackled Anderson for a 1-yard gain on third down, forcing Denver to settle for a 3–0 lead on a Brandon McManus 34-yard field goal. The score marked the first time in the entire postseason that Carolina was facing a deficit.</t>
  </si>
  <si>
    <t>Who was the medical report written for?</t>
  </si>
  <si>
    <t>campaign for a free India</t>
  </si>
  <si>
    <t>Han Chinese, Khitans, Jurchens, Mongols, and Tibetan Buddhists</t>
  </si>
  <si>
    <t>How many residents of Seville died of plague in 1649?</t>
  </si>
  <si>
    <t>between 10% and 18%</t>
  </si>
  <si>
    <t>Aristotle provided a philosophical discussion of the concept of a force as an integral part of Aristotelian cosmology. In Aristotle's view, the terrestrial sphere contained four elements that come to rest at different "natural places" therein. Aristotle believed that motionless objects on Earth, those composed mostly of the elements earth and water, to be in their natural place on the ground and that they will stay that way if left alone. He distinguished between the innate tendency of objects to find their "natural place" (e.g., for heavy bodies to fall), which led to "natural motion", and unnatural or forced motion, which required continued application of a force. This theory, based on the everyday experience of how objects move, such as the constant application of a force needed to keep a cart moving, had conceptual trouble accounting for the behavior of projectiles, such as the flight of arrows. The place where the archer moves the projectile was at the start of the flight, and while the projectile sailed through the air, no discernible efficient cause acts on it. Aristotle was aware of this problem and proposed that the air displaced through the projectile's path carries the projectile to its target. This explanation demands a continuum like air for change of place in general.</t>
  </si>
  <si>
    <t>Treaty of Logstown</t>
  </si>
  <si>
    <t>nine</t>
  </si>
  <si>
    <t>Evolution of the adaptive immune system occurred in an ancestor of the jawed vertebrates. Many of the classical molecules of the adaptive immune system (e.g., immunoglobulins and T cell receptors) exist only in jawed vertebrates. However, a distinct lymphocyte-derived molecule has been discovered in primitive jawless vertebrates, such as the lamprey and hagfish. These animals possess a large array of molecules called Variable lymphocyte receptors (VLRs) that, like the antigen receptors of jawed vertebrates, are produced from only a small number (one or two) of genes. These molecules are believed to bind pathogenic antigens in a similar way to antibodies, and with the same degree of specificity.</t>
  </si>
  <si>
    <t>Genesis spacecraft</t>
  </si>
  <si>
    <t>What did Germanic tribes establish with help from the Rhine?</t>
  </si>
  <si>
    <t>What is the observable effect of W and Z boson exchange?</t>
  </si>
  <si>
    <t>What did Graham Twigg publish in 1984?</t>
  </si>
  <si>
    <t>What other aspect of Luther's life was affected by his health?</t>
  </si>
  <si>
    <t>a supposed mild euphoric</t>
  </si>
  <si>
    <t>Legally, only non-profit trusts and societies can run schools in India. They will have to satisfy a number of infrastructure and human resource related criteria to get Recognition (a form of license) from the government. Critics of this system point out that this leads to corruption by school inspectors who check compliance and to fewer schools in a country that has the largest adult illiterate population in the world. While official data does not capture the real extent of private schooling in the country, various studies have reported unpopularity of government schools and an increasing number of private schools. The Annual Status of Education Report (ASER), which evaluates learning levels in rural India, has been reporting poorer academic achievement in government schools than in private schools. A key difference between the government and private schools is that the medium of education in private schools is English while it is the local language in government schools.</t>
  </si>
  <si>
    <t>criminal</t>
  </si>
  <si>
    <t>How is Luther commemorated on the Lutheran, Episcopal, and  Church of England  calendars?</t>
  </si>
  <si>
    <t>dreams</t>
  </si>
  <si>
    <t>case law by the Court of Justice, international law and general principles of European Union law</t>
  </si>
  <si>
    <t>The 2012 Act</t>
  </si>
  <si>
    <t>What is a chemical secreted by tumors that suppresses the immune response?</t>
  </si>
  <si>
    <t>What was the Harvard endowment total in 2011?</t>
  </si>
  <si>
    <t>His patents</t>
  </si>
  <si>
    <t>recruitment  and procurement of Armoured Personnel Carriers</t>
  </si>
  <si>
    <t>since the 1960s</t>
  </si>
  <si>
    <t>State</t>
  </si>
  <si>
    <t>Where do a majority of consultant pharmacists tend to work?</t>
  </si>
  <si>
    <t>chlorophyll b</t>
  </si>
  <si>
    <t>police and the armed forces</t>
  </si>
  <si>
    <t>seal of approval</t>
  </si>
  <si>
    <t>What did Josel of Rosheim claimed that Luther said of those who might aid the Jews?</t>
  </si>
  <si>
    <t>church government under the temporal sovereign</t>
  </si>
  <si>
    <t>While acknowledging the central role economic growth can potentially play in human development, poverty reduction and the achievement of the Millennium Development Goals, it is becoming widely understood amongst the development community that special efforts must be made to ensure poorer sections of society are able to participate in economic growth. The effect of economic growth on poverty reduction – the growth elasticity of poverty – can depend on the existing level of inequality. For instance, with low inequality a country with a growth rate of 2% per head and 40% of its population living in poverty, can halve poverty in ten years, but a country with high inequality would take nearly 60 years to achieve the same reduction. In the words of the Secretary General of the United Nations Ban Ki-Moon: "While economic growth is necessary, it is not sufficient for progress on reducing poverty."</t>
  </si>
  <si>
    <t>Undergraduate students are required to take a distribution of courses to satisfy the university's core curriculum known as the Common Core. In 2012-2013, the Core classes at Chicago were limited to 17 students, and are generally led by a full-time professor (as opposed to a teaching assistant). As of the 2013–2014 school year, 15 courses and demonstrated proficiency in a foreign language are required under the Core. Undergraduate courses at the University of Chicago are known for their demanding standards, heavy workload and academic difficulty; according to Uni in the USA, "Among the academic cream of American universities – Harvard, Yale, Princeton, MIT, and the University of Chicago – it is UChicago that can most convincingly claim to provide the most rigorous, intense learning experience."</t>
  </si>
  <si>
    <t>reciprocating steam engines</t>
  </si>
  <si>
    <t>What is the Scottish Parliament currently in the fourth of?</t>
  </si>
  <si>
    <t>What are Deacons granted if they are appointed as pastor in a local church?</t>
  </si>
  <si>
    <t>What charter has become an important aspect of EU law?</t>
  </si>
  <si>
    <t>missing self</t>
  </si>
  <si>
    <t>cultural revolution</t>
  </si>
  <si>
    <t>six gold</t>
  </si>
  <si>
    <t>What kind of graph is an example of an input used in a decision problem?</t>
  </si>
  <si>
    <t>Where was the FIS formed?</t>
  </si>
  <si>
    <t>Brisingr and High Wizardry,</t>
  </si>
  <si>
    <t>What was one of the Norman's major exports?</t>
  </si>
  <si>
    <t>What is the service sector dominated by?</t>
  </si>
  <si>
    <t>Who conducted the 2011 online vote?</t>
  </si>
  <si>
    <t>national foreign policy</t>
  </si>
  <si>
    <t>A complete loss of rainforest cover may be caused by what type of emissions?</t>
  </si>
  <si>
    <t>What political party is strongest in Melbourne's working class suburbs?</t>
  </si>
  <si>
    <t>storage</t>
  </si>
  <si>
    <t>the arts capital of the UK</t>
  </si>
  <si>
    <t>A construction project is a complex net of contracts and other legal obligations, each of which all parties must carefully consider. A contract is the exchange of a set of obligations between two or more parties, but it is not so simple a matter as trying to get the other side to agree to as much as possible in exchange for as little as possible. The time element in construction means that a delay costs money, and in cases of bottlenecks, the delay can be extremely expensive. Thus, the contracts must be designed to ensure that each side is capable of performing the obligations set out. Contracts that set out clear expectations and clear paths to accomplishing those expectations are far more likely to result in the project flowing smoothly, whereas poorly drafted contracts lead to confusion and collapse.</t>
  </si>
  <si>
    <t>the force of gravity</t>
  </si>
  <si>
    <t>differences in value added by different classifications of workers</t>
  </si>
  <si>
    <t>QuickBooks sponsored a "Small Business Big Game" contest, in which Death Wish Coffee had a 30-second commercial aired free of charge courtesy of QuickBooks. Death Wish Coffee beat out nine other contenders from across the United States for the free advertisement.</t>
  </si>
  <si>
    <t>mechanical brushes</t>
  </si>
  <si>
    <t>early 1938</t>
  </si>
  <si>
    <t>for the George W. Bush Presidential Library</t>
  </si>
  <si>
    <t>to "ensure that in the interpretation and application of the Treaties the law is observed"</t>
  </si>
  <si>
    <t>A → G deamination</t>
  </si>
  <si>
    <t>Which husband and wife modern furniture design team are represented in the V&amp;A furniture collection?</t>
  </si>
  <si>
    <t>On 1 July 1851, writs were issued for the election of the first Victorian Legislative Council, and the absolute independence of Victoria from New South Wales was established proclaiming a new Colony of Victoria. Days later, still in 1851 gold was discovered near Ballarat, and subsequently at Bendigo. Later discoveries occurred at many sites across Victoria. This triggered one of the largest gold rushes the world has ever seen. The colony grew rapidly in both population and economic power. In ten years the population of Victoria increased sevenfold from 76,000 to 540,000. All sorts of gold records were produced including the "richest shallow alluvial goldfield in the world" and the largest gold nugget. Victoria produced in the decade 1851–1860 20 million ounces of gold, one third of the world's output[citation needed].</t>
  </si>
  <si>
    <t>algae</t>
  </si>
  <si>
    <t>90,790 tonnes</t>
  </si>
  <si>
    <t>hopes for campaigns on Lake Ontario</t>
  </si>
  <si>
    <t>The United Methodist Church, along with other Methodist churches, condemns capital punishment, saying that it cannot accept retribution or social vengeance as a reason for taking human life. The Church also holds that the death penalty falls unfairly and unequally upon marginalized persons including the poor, the uneducated, ethnic and religious minorities, and persons with mental and emotional illnesses. The United Methodist Church also believes that Jesus explicitly repudiated the lex talionis in Matthew 5:38-39 and abolished the death penalty in John 8:7. The General Conference of the United Methodist Church calls for its bishops to uphold opposition to capital punishment and for governments to enact an immediate moratorium on carrying out the death penalty sentence.</t>
  </si>
  <si>
    <t>After the sixth sermon</t>
  </si>
  <si>
    <t>steamboats and road vehicles</t>
  </si>
  <si>
    <t>defensins</t>
  </si>
  <si>
    <t>What do David Castlles-Quintana and Vicente Royuela do for a living?</t>
  </si>
  <si>
    <t>Greens</t>
  </si>
  <si>
    <t>very weak</t>
  </si>
  <si>
    <t>silt</t>
  </si>
  <si>
    <t>Quaternary period</t>
  </si>
  <si>
    <t>four stories high</t>
  </si>
  <si>
    <t>when builders ask for too little money to complete the project</t>
  </si>
  <si>
    <t>How did the Mongols acquire Chinese printing technology?</t>
  </si>
  <si>
    <t>information technology departments or for healthcare information technology vendor companies</t>
  </si>
  <si>
    <t>Parliament of Victoria</t>
  </si>
  <si>
    <t>reverts to the first Thursday in May, a multiple of four years after 1999</t>
  </si>
  <si>
    <t>his Colorado Springs experiments</t>
  </si>
  <si>
    <t>piston</t>
  </si>
  <si>
    <t>RSA algorithm</t>
  </si>
  <si>
    <t>In July 1960, NASA Deputy Administrator Hugh L. Dryden announced the Apollo program to industry representatives at a series of Space Task Group conferences. Preliminary specifications were laid out for a spacecraft with a mission module cabin separate from the command module (piloting and re-entry cabin), and a propulsion and equipment module. On August 30, a feasibility study competition was announced, and on October 25, three study contracts were awarded to General Dynamics/Convair, General Electric, and the Glenn L. Martin Company. Meanwhile, NASA performed its own in-house spacecraft design studies led by Maxime Faget, to serve as a gauge to judge and monitor the three industry designs.</t>
  </si>
  <si>
    <t>the narrow end</t>
  </si>
  <si>
    <t>In connectionless mode each packet includes complete addressing information. The packets are routed individually, sometimes resulting in different paths and out-of-order delivery. Each packet is labeled with a destination address, source address, and port numbers. It may also be labeled with the sequence number of the packet. This precludes the need for a dedicated path to help the packet find its way to its destination, but means that much more information is needed in the packet header, which is therefore larger, and this information needs to be looked up in power-hungry content-addressable memory. Each packet is dispatched and may go via different routes; potentially, the system has to do as much work for every packet as the connection-oriented system has to do in connection set-up, but with less information as to the application's requirements. At the destination, the original message/data is reassembled in the correct order, based on the packet sequence number. Thus a virtual connection, also known as a virtual circuit or byte stream is provided to the end-user by a transport layer protocol, although intermediate network nodes only provides a connectionless network layer service.</t>
  </si>
  <si>
    <t>On Tesla's 75th birthday in 1931, Time magazine put him on its cover. The cover caption "All the world's his power house" noted his contribution to electrical power generation. He received congratulatory letters from more than 70 pioneers in science and engineering, including Albert Einstein.</t>
  </si>
  <si>
    <t>Static friction balances what force when there is no movement of an object on a surface?</t>
  </si>
  <si>
    <t>highlighting the usage of cycling</t>
  </si>
  <si>
    <t>red algal</t>
  </si>
  <si>
    <t>Where does the secondary theory say most genes are kept?</t>
  </si>
  <si>
    <t>Who did Tesla call in the middle of the night?</t>
  </si>
  <si>
    <t>nucleomorph</t>
  </si>
  <si>
    <t>Scottish Parliament</t>
  </si>
  <si>
    <t>What happened to the credibility of secular politics as a result of the Six-Day War?</t>
  </si>
  <si>
    <t>The idea was to create a network of wholly and partially owned channels, and affiliates to rebroadcast the network's programs. In 1959, this rerun activity was completed with program syndication, with ABC Films selling programs to networks not owned by ABC. The arrival of satellite television ended the need for ABC to hold interests in other countries; many governments also wanted to increase their independence and strengthen legislation to limit foreign ownership of broadcasting properties. As a result, ABC was forced to sell all of its interests in international networks, mainly in Japan and Latin America, in the 1970s.</t>
  </si>
  <si>
    <t>industry</t>
  </si>
  <si>
    <t>The material in the V&amp;A theatre collection is available for which use?</t>
  </si>
  <si>
    <t>American attack on Iraq</t>
  </si>
  <si>
    <t>life expectancy is lower</t>
  </si>
  <si>
    <t>more than 100 universities</t>
  </si>
  <si>
    <t>What was carried on extended lunar missions?</t>
  </si>
  <si>
    <t>fixed</t>
  </si>
  <si>
    <t>rainforest was reduced</t>
  </si>
  <si>
    <t>Why have some men avoided becoming teachers?</t>
  </si>
  <si>
    <t>medieval street layout.</t>
  </si>
  <si>
    <t>absolute value</t>
  </si>
  <si>
    <t>What organization arranged to founding of school?</t>
  </si>
  <si>
    <t>What is the problem attributed to defining if two finite graphs are isomorphic?</t>
  </si>
  <si>
    <t>To accept jail penitently as an accession to 'the rules' is to switch suddenly to a spirit of subservience</t>
  </si>
  <si>
    <t>To what did Tesla attribute the unknown signals his radio received?</t>
  </si>
  <si>
    <t>What kind of fiction is Tesla's work featured in?</t>
  </si>
  <si>
    <t>a function of the size of the instance</t>
  </si>
  <si>
    <t>If NP is not equal to P, viewed through this lens, what type of problems can also be considered intractable?</t>
  </si>
  <si>
    <t>named after Queen Victoria and Prince Albert</t>
  </si>
  <si>
    <t>anchor the pre-game and halftime coverage</t>
  </si>
  <si>
    <t>force of gravity</t>
  </si>
  <si>
    <t>it significantly altered the existing treaties</t>
  </si>
  <si>
    <t>What type of heating element is often used in toy steam engines?</t>
  </si>
  <si>
    <t>A second period of international expansion is linked to that of the ESPN network in the 1990s, and policies enacted in the 2000s by Disney Media Networks (which included the expansion of several of the company's U.S.-based cable networks including Disney Channel and its spinoffs Toon Disney, Playhouse Disney and Jetix; although Disney also sold its 33% stake in European sports channel Eurosport for $155 million in June 2000). In contrast to Disney's other channels, ABC is broadcast in the United States, although the network's programming is syndicated in many countries. The policy regarding wholly owned international networks was revived in 2004 when on September 27 of that year, ABC announced the launch of ABC1, a free-to-air channel in the United Kingdom owned by the ABC Group. However, on September 8, 2007, Disney announced that it would discontinue ABC1 citing to the channel's inability to attain sustainable viewership. With ABC1's shutdown that October, the company's attempt to develop ABC International were discontinued.</t>
  </si>
  <si>
    <t>What is the lake known as which was created by the rise of the Andes Mountains?</t>
  </si>
  <si>
    <t>What is the potential earnings for a job where there are few skilled workers but many available positions?</t>
  </si>
  <si>
    <t>road engines</t>
  </si>
  <si>
    <t>Where was the NFL Experience held for the 2015 season?</t>
  </si>
  <si>
    <t>What are examples of differentiated effector cells that peak during wake periods?</t>
  </si>
  <si>
    <t>low ratio of organic matter to salt and water</t>
  </si>
  <si>
    <t>The adoption of compounding was common for industrial units, for road engines and almost universal for marine engines after 1880; it was not universally popular in railway locomotives where it was often perceived as complicated. This is partly due to the harsh railway operating environment and limited space afforded by the loading gauge (particularly in Britain, where compounding was never common and not employed after 1930). However, although never in the majority, it was popular in many other countries.</t>
  </si>
  <si>
    <t>What did Luther explain about acquiring God's grace?</t>
  </si>
  <si>
    <t>respective lines of application</t>
  </si>
  <si>
    <t>field goal</t>
  </si>
  <si>
    <t>How much literature has been written regarding civil disobedience?</t>
  </si>
  <si>
    <t>$100,000</t>
  </si>
  <si>
    <t>What was the date of Tesla's death?</t>
  </si>
  <si>
    <t>to conduct photosynthesis</t>
  </si>
  <si>
    <t>What does oxygen the basis for in combustion?</t>
  </si>
  <si>
    <t>During the First Sino-Japanese War in 1894, Japan absorbed Taiwan. As a result of the Russo-Japanese War in 1905, Japan took part of Sakhalin Island from Russia. Korea was annexed in 1910. During World War I, Japan took German-leased territories in China’s Shandong Province, as well as the Mariana, Caroline, and Marshall Islands. In 1918, Japan occupied parts of far eastern Russia and parts of eastern Siberia as a participant in the Siberian Intervention. In 1931 Japan conquered Manchuria from China. During the Second Sino-Japanese War in 1937, Japan's military invaded central China and by the end of the Pacific War, Japan had conquered much of the Far East, including Hong Kong, Vietnam, Cambodia, Myanmar, the Philippines, Indonesia, part of New Guinea and some islands of the Pacific Ocean. Japan also invaded Thailand, pressuring the country into a Thai/Japanese alliance. Its colonial ambitions were ended by the victory of the United States in the Second World War and the following treaties which remanded those territories to American administration or their original owners.</t>
  </si>
  <si>
    <t>What is the goal of Islamist groups like Hezbollah and Hamas?</t>
  </si>
  <si>
    <t>a telephone repeater or amplifier</t>
  </si>
  <si>
    <t>road white jerseys</t>
  </si>
  <si>
    <t>What did Luther refuse to do?</t>
  </si>
  <si>
    <t>Apicoplasts have lost all photosynthetic function, and contain no photosynthetic pigments or true thylakoids. They are bounded by four membranes, but the membranes are not connected to the endoplasmic reticulum. The fact that apicomplexans still keep their nonphotosynthetic chloroplast around demonstrates how the chloroplast carries out important functions other than photosynthesis. Plant chloroplasts provide plant cells with many important things besides sugar, and apicoplasts are no different—they synthesize fatty acids, isopentenyl pyrophosphate, iron-sulfur clusters, and carry out part of the heme pathway. This makes the apicoplast an attractive target for drugs to cure apicomplexan-related diseases. The most important apicoplast function is isopentenyl pyrophosphate synthesis—in fact, apicomplexans die when something interferes with this apicoplast function, and when apicomplexans are grown in an isopentenyl pyrophosphate-rich medium, they dump the organelle.</t>
  </si>
  <si>
    <t>a plantar fasciitis injury</t>
  </si>
  <si>
    <t>musique concrète</t>
  </si>
  <si>
    <t>What does the W and Z boson exchange create?</t>
  </si>
  <si>
    <t>How many biomolecules contain no oxygen?</t>
  </si>
  <si>
    <t>What did the the Europeans think the peoples in the tropics were in need of?</t>
  </si>
  <si>
    <t>Henry of Navarre</t>
  </si>
  <si>
    <t>What is another type of public key cryptography algorithm?</t>
  </si>
  <si>
    <t>Battle of Fort Bull</t>
  </si>
  <si>
    <t>Dendritic cells</t>
  </si>
  <si>
    <t>Hungarians</t>
  </si>
  <si>
    <t>What are the agents detected by the immune system called?</t>
  </si>
  <si>
    <t>before World War I,</t>
  </si>
  <si>
    <t>What do electrostatic gradiient potentials create?</t>
  </si>
  <si>
    <t>avoid the "inconvenience" of visiting a doctor</t>
  </si>
  <si>
    <t>the election of the UK Labour Party to government</t>
  </si>
  <si>
    <t>In the late 17th century, Robert Boyle proved that air is necessary for combustion. English chemist John Mayow (1641–1679) refined this work by showing that fire requires only a part of air that he called spiritus nitroaereus or just nitroaereus. In one experiment he found that placing either a mouse or a lit candle in a closed container over water caused the water to rise and replace one-fourteenth of the air's volume before extinguishing the subjects. From this he surmised that nitroaereus is consumed in both respiration and combustion.</t>
  </si>
  <si>
    <t>What talk show replaced One Life to Live?</t>
  </si>
  <si>
    <t>by less than two percent per year</t>
  </si>
  <si>
    <t>What does the matching helper T cell release when it binds with the MHC:antigen complex of the B cell?</t>
  </si>
  <si>
    <t>When did the church reform begin?</t>
  </si>
  <si>
    <t xml:space="preserve">Which century was there a program to straighten the Rhine? </t>
  </si>
  <si>
    <t>Dynamic equilibrium was first described by Galileo who noticed that certain assumptions of Aristotelian physics were contradicted by observations and logic. Galileo realized that simple velocity addition demands that the concept of an "absolute rest frame" did not exist. Galileo concluded that motion in a constant velocity was completely equivalent to rest. This was contrary to Aristotle's notion of a "natural state" of rest that objects with mass naturally approached. Simple experiments showed that Galileo's understanding of the equivalence of constant velocity and rest were correct. For example, if a mariner dropped a cannonball from the crow's nest of a ship moving at a constant velocity, Aristotelian physics would have the cannonball fall straight down while the ship moved beneath it. Thus, in an Aristotelian universe, the falling cannonball would land behind the foot of the mast of a moving ship. However, when this experiment is actually conducted, the cannonball always falls at the foot of the mast, as if the cannonball knows to travel with the ship despite being separated from it. Since there is no forward horizontal force being applied on the cannonball as it falls, the only conclusion left is that the cannonball continues to move with the same velocity as the boat as it falls. Thus, no force is required to keep the cannonball moving at the constant forward velocity.</t>
  </si>
  <si>
    <t>Who did Luther banish?</t>
  </si>
  <si>
    <t>left foot.</t>
  </si>
  <si>
    <t>The dominant explanation for the Black Death is the plague theory, which attributes the outbreak to Yersinia pestis, also responsible for an epidemic that began in southern China in 1865, eventually spreading to India. The investigation of the pathogen that caused the 19th-century plague was begun by teams of scientists who visited Hong Kong in 1894, among whom was the French-Swiss bacteriologist Alexandre Yersin, after whom the pathogen was named Yersinia pestis. The mechanism by which Y. pestis was usually transmitted was established in 1898 by Paul-Louis Simond and was found to involve the bites of fleas whose midguts had become obstructed by replicating Y. pestis several days after feeding on an infected host. This blockage results in starvation and aggressive feeding behaviour by the fleas, which repeatedly attempt to clear their blockage by regurgitation, resulting in thousands of plague bacteria being flushed into the feeding site, infecting the host. The bubonic plague mechanism was also dependent on two populations of rodents: one resistant to the disease, which act as hosts, keeping the disease endemic, and a second that lack resistance. When the second population dies, the fleas move on to other hosts, including people, thus creating a human epidemic.</t>
  </si>
  <si>
    <t>The European Commission is the main executive body of the European Union. Article 17(1) of the Treaty on European Union states the Commission should "promote the general interest of the Union" while Article 17(3) adds that Commissioners should be "completely independent" and not "take instructions from any Government". Under article 17(2), "Union legislative acts may only be adopted on the basis of a Commission proposal, except where the Treaties provide otherwise." This means that the Commission has a monopoly on initiating the legislative procedure, although the Council is the "de facto catalyst of many legislative initiatives". The Parliament can also formally request the Commission to submit a legislative proposal but the Commission can reject such a suggestion, giving reasons. The Commission's President (currently an ex-Luxembourg Prime Minister, Jean-Claude Juncker) sets the agenda for the EU's work. Decisions are taken by a simple majority vote, usually through a "written procedure" of circulating the proposals and adopting if there are no objections.[citation needed] Since Ireland refused to consent to changes in the Treaty of Lisbon 2007, there remains one Commissioner for each of the 28 member states, including the President and the High Representative for Foreign and Security Policy (currently Federica Mogherini). The Commissioners (and most importantly, the portfolios they will hold) are bargained over intensively by the member states. The Commissioners, as a block, are then subject to a qualified majority vote of the Council to approve, and majority approval of the Parliament. The proposal to make the Commissioners be drawn from the elected Parliament, was not adopted in the Treaty of Lisbon. This means Commissioners are, through the appointment process, the unelected subordinates of member state governments.</t>
  </si>
  <si>
    <t>royal assent</t>
  </si>
  <si>
    <t>he moved south, he drove off or captured British traders</t>
  </si>
  <si>
    <t>Sky Digital</t>
  </si>
  <si>
    <t>numerous foundations were laid out</t>
  </si>
  <si>
    <t>How many ministries of the Scottish government does a committee typically correspond to?</t>
  </si>
  <si>
    <t>groups of three</t>
  </si>
  <si>
    <t>What is the problem with cysteine?</t>
  </si>
  <si>
    <t>How much British military was in North America at start of War?</t>
  </si>
  <si>
    <t>What have the Dinophysis chloroplasts lost?</t>
  </si>
  <si>
    <t>What does the Discovery Museum draw attention to?</t>
  </si>
  <si>
    <t>Prince Albert</t>
  </si>
  <si>
    <t>English</t>
  </si>
  <si>
    <t>The project must adhere to zoning and building code requirements. Constructing a project that fails to adhere to codes does not benefit the owner. Some legal requirements come from malum in se considerations, or the desire to prevent things that are indisputably bad – bridge collapses or explosions. Other legal requirements come from malum prohibitum considerations, or things that are a matter of custom or expectation, such as isolating businesses to a business district and residences to a residential district. An attorney may seek changes or exemptions in the law that governs the land where the building will be built, either by arguing that a rule is inapplicable (the bridge design will not cause a collapse), or that the custom is no longer needed (acceptance of live-work spaces has grown in the community).</t>
  </si>
  <si>
    <t>the Florida East Coast Railway</t>
  </si>
  <si>
    <t>The formal language</t>
  </si>
  <si>
    <t>supervisory church body</t>
  </si>
  <si>
    <t>In what way do idea strings transmit tesion forces?</t>
  </si>
  <si>
    <t>enhanced transit infrastructure, possible shuttles open to the public, and park space</t>
  </si>
  <si>
    <t>Why aren't some forms of Hæmatococcus pluvialis green?</t>
  </si>
  <si>
    <t>true repentance does not involve self-inflicted penances and punishments but rather a change of heart.</t>
  </si>
  <si>
    <t>May 2000</t>
  </si>
  <si>
    <t>What do wages work in the same way as for any other good?</t>
  </si>
  <si>
    <t>detailed treatment with statistical mechanics</t>
  </si>
  <si>
    <t>What is "The Gate"?</t>
  </si>
  <si>
    <t>Thoreau argues that usually majority rules but their views collectively are sometimes?</t>
  </si>
  <si>
    <t>6th century</t>
  </si>
  <si>
    <t>The plan that the delegates agreed to was never ratified by the colonial legislatures nor approved of by the crown</t>
  </si>
  <si>
    <t>University of Chicago campus</t>
  </si>
  <si>
    <t>Le grand asks for a variance of what three terms?</t>
  </si>
  <si>
    <t>The Maroons compete in the NCAA's Division III as members of the University Athletic Association (UAA). The university was a founding member of the Big Ten Conference and participated in the NCAA Division I Men's Basketball and Football and was a regular participant in the Men's Basketball tournament. In 1935, the University of Chicago reached the Sweet Sixteen. In 1935, Chicago Maroons football player Jay Berwanger became the first winner of the Heisman Trophy. However, the university chose to withdraw from the conference in 1946 after University President Robert Maynard Hutchins de-emphasized varsity athletics in 1939 and dropped football. (In 1969, Chicago reinstated football as a Division III team, resuming playing its home games at the new Stagg Field.)</t>
  </si>
  <si>
    <t>In particular, this norm gets smaller when a number is multiplied by p, in sharp contrast to the usual absolute value (also referred to as the infinite prime). While completing Q (roughly, filling the gaps) with respect to the absolute value yields the field of real numbers, completing with respect to the p-adic norm |−|p yields the field of p-adic numbers. These are essentially all possible ways to complete Q, by Ostrowski's theorem. Certain arithmetic questions related to Q or more general global fields may be transferred back and forth to the completed (or local) fields. This local-global principle again underlines the importance of primes to number theory.</t>
  </si>
  <si>
    <t>microbes</t>
  </si>
  <si>
    <t>Only four episodes have ever had their premiere showings on channels other than BBC One. The 1983 20th anniversary special The Five Doctors had its début on 23 November (the actual date of the anniversary) on a number of PBS stations two days prior to its BBC One broadcast. The 1988 story Silver Nemesis was broadcast with all three episodes airing back to back on TVNZ in New Zealand in November, after the first episode had been shown in the UK but before the final two instalments had aired there. Finally, the 1996 television film premièred on 12 May 1996 on CITV in Edmonton, Canada, 15 days before the BBC One showing, and two days before it aired on Fox in the United States.[citation needed]</t>
  </si>
  <si>
    <t>NCAA's Division III</t>
  </si>
  <si>
    <t>1980s or even the advent of digital television in the 2000s</t>
  </si>
  <si>
    <t>Why do people chose civil disobedience to protest?</t>
  </si>
  <si>
    <t>surrendered peacefully without violently resisting</t>
  </si>
  <si>
    <t>To what may general global fields be transferred to or from?</t>
  </si>
  <si>
    <t>Prior to European settlement, the area now constituting Victoria was inhabited by a large number of Aboriginal peoples, collectively known as the Koori. With Great Britain having claimed the entire Australian continent east of the 135th meridian east in 1788, Victoria was included in the wider colony of New South Wales. The first settlement in the area occurred in 1803 at Sullivan Bay, and much of what is now Victoria was included in the Port Phillip District in 1836, an administrative division of New South Wales. Victoria was officially created a separate colony in 1851, and achieved self-government in 1855. The Victorian gold rush in the 1850s and 1860s significantly increased both the population and wealth of the colony, and by the Federation of Australia in 1901, Melbourne had become the largest city and leading financial centre in Australasia. Melbourne also served as capital of Australia until the construction of Canberra in 1927, with the Federal Parliament meeting in Melbourne's Parliament House and all principal offices of the federal government being based in Melbourne.</t>
  </si>
  <si>
    <t>What pope as a native of Poland?</t>
  </si>
  <si>
    <t>Which country is the most dependent on Arab oil?</t>
  </si>
  <si>
    <t>Where was the location of the 2003 Rose revolution?</t>
  </si>
  <si>
    <t>statistical</t>
  </si>
  <si>
    <t>over 90</t>
  </si>
  <si>
    <t>Proving that any of these classes are unequal</t>
  </si>
  <si>
    <t>symbolically present</t>
  </si>
  <si>
    <t>187 feet (57 m)</t>
  </si>
  <si>
    <t>upper and lower bounds</t>
  </si>
  <si>
    <t>By July 1944, the Red Army was deep into Polish territory and pursuing the Germans toward Warsaw. Knowing that Stalin was hostile to the idea of an independent Poland, the Polish government-in-exile in London gave orders to the underground Home Army (AK) to try to seize control of Warsaw from the Germans before the Red Army arrived. Thus, on 1 August 1944, as the Red Army was nearing the city, the Warsaw Uprising began. The armed struggle, planned to last 48 hours, was partially successful, however it went on for 63 days. Eventually the Home Army fighters and civilians assisting them were forced to capitulate. They were transported to PoW camps in Germany, while the entire civilian population was expelled. Polish civilian deaths are estimated at between 150,000 and 200,000.</t>
  </si>
  <si>
    <t>Other scholars contend that Luther's words lent what element to Christian suspicion of Jews?</t>
  </si>
  <si>
    <t>The Saturn IB was an upgraded version of the Saturn I. The S-IB first stage increased the thrust to 1,600,000 pounds-force (7,120 kN), and the second stage replaced the S-IV with the S-IVB-200, powered by a single J-2 engine burning liquid hydrogen fuel with LOX, to produce 200,000 lbf (890 kN) of thrust. A restartable version of the S-IVB was used as the third stage of the Saturn V. The Saturn IB could send over 40,000 pounds (18,100 kg) into low Earth orbit, sufficient for a partially fueled CSM or the LM. Saturn IB launch vehicles and flights were designated with an AS-200 series number, "AS" indicating "Apollo Saturn" and the "2" indicating the second member of the Saturn rocket family.</t>
  </si>
  <si>
    <t>Which cathedral is located in Fenham?</t>
  </si>
  <si>
    <t>According to reduction, if X and Y can be solved by the same algorithm then X performs what function in relationship to Y?</t>
  </si>
  <si>
    <t>The main response of the immune system to tumors is to destroy the abnormal cells using killer T cells, sometimes with the assistance of helper T cells. Tumor antigens are presented on MHC class I molecules in a similar way to viral antigens. This allows killer T cells to recognize the tumor cell as abnormal. NK cells also kill tumorous cells in a similar way, especially if the tumor cells have fewer MHC class I molecules on their surface than normal; this is a common phenomenon with tumors. Sometimes antibodies are generated against tumor cells allowing for their destruction by the complement system.</t>
  </si>
  <si>
    <t>Some chloroplasts contain a structure called the chloroplast peripheral reticulum. It is often found in the chloroplasts of C4 plants, though it has also been found in some C3 angiosperms, and even some gymnosperms. The chloroplast peripheral reticulum consists of a maze of membranous tubes and vesicles continuous with the inner chloroplast membrane that extends into the internal stromal fluid of the chloroplast. Its purpose is thought to be to increase the chloroplast's surface area for cross-membrane transport between its stroma and the cell cytoplasm. The small vesicles sometimes observed may serve as transport vesicles to shuttle stuff between the thylakoids and intermembrane space.</t>
  </si>
  <si>
    <t>What is the minimum amount of time before a bill can go into law?</t>
  </si>
  <si>
    <t>data sampling is biased away from the center of the Amazon basin</t>
  </si>
  <si>
    <t>convecting mantle</t>
  </si>
  <si>
    <t>Doctor of Pharmacy (Pharm. D.)</t>
  </si>
  <si>
    <t>Why is the need for acceptance of punishment needed?</t>
  </si>
  <si>
    <t>What language other than English has the Scottish Parliament had meetings in?</t>
  </si>
  <si>
    <t>resist responding to investigators' questions</t>
  </si>
  <si>
    <t>How did Tesla finance his work?</t>
  </si>
  <si>
    <t>kinematic</t>
  </si>
  <si>
    <t>What kind of cell did cynaobacteria enter long ago?</t>
  </si>
  <si>
    <t>Plastoglobuli were once thought to be free-floating in the stroma, but it is now thought that they are permanently attached either to a thylakoid or to another plastoglobulus attached to a thylakoid, a configuration that allows a plastoglobulus to exchange its contents with the thylakoid network. In normal green chloroplasts, the vast majority of plastoglobuli occur singularly, attached directly to their parent thylakoid. In old or stressed chloroplasts, plastoglobuli tend to occur in linked groups or chains, still always anchored to a thylakoid.</t>
  </si>
  <si>
    <t>What set the stage for Merits role in NSFNET</t>
  </si>
  <si>
    <t>theretofore established principles of pre-allocation of network bandwidth</t>
  </si>
  <si>
    <t>Students exposed to an enthusiastic teacher usually did what more often outside class?</t>
  </si>
  <si>
    <t>Robert of Jumièges</t>
  </si>
  <si>
    <t>What was Henry IV known as before taking the throne?</t>
  </si>
  <si>
    <t>What color is phycoerytherin?</t>
  </si>
  <si>
    <t>premises of the hospital</t>
  </si>
  <si>
    <t>the Doctor of Pharmacy (Pharm. D.) degree</t>
  </si>
  <si>
    <t>1/(1-p)n</t>
  </si>
  <si>
    <t>much larger conflict between France and Great Britain</t>
  </si>
  <si>
    <t>bacteriophage T4</t>
  </si>
  <si>
    <t>Haeckelia prey mostly on what animal?</t>
  </si>
  <si>
    <t>in the cytosol</t>
  </si>
  <si>
    <t>How many people do historians estimate Genghis Khan killed in the Iranian Plateau?</t>
  </si>
  <si>
    <t>For many years, Sudan had an Islamist regime under the leadership of Hassan al-Turabi. His National Islamic Front first gained influence when strongman General Gaafar al-Nimeiry invited members to serve in his government in 1979. Turabi built a powerful economic base with money from foreign Islamist banking systems, especially those linked with Saudi Arabia. He also recruited and built a cadre of influential loyalists by placing sympathetic students in the university and military academy while serving as minister of education.</t>
  </si>
  <si>
    <t>ancestors</t>
  </si>
  <si>
    <t>five</t>
  </si>
  <si>
    <t>Tesla, you don't understand our American humor</t>
  </si>
  <si>
    <t>Several University of Chicago professors</t>
  </si>
  <si>
    <t>value added by labor, capital and land</t>
  </si>
  <si>
    <t>What is the only organization which may speak officially for the church?</t>
  </si>
  <si>
    <t>increases</t>
  </si>
  <si>
    <t>capital punishment</t>
  </si>
  <si>
    <t>Name a luxury division of Toyota.</t>
  </si>
  <si>
    <t>unknown or unexplored territory</t>
  </si>
  <si>
    <t>What did Luther's opponents think that it meant about God's presence?</t>
  </si>
  <si>
    <t>last mission</t>
  </si>
  <si>
    <t>Trout River</t>
  </si>
  <si>
    <t>What company did the ABC network's parent company merge with in the 1980s?</t>
  </si>
  <si>
    <t>What should the punishment rely on instead in a just society?</t>
  </si>
  <si>
    <t>Following the French Crown's revocation of the Edict of Nantes, many Huguenots settled in Ireland in the late 17th and early 18th centuries, encouraged by an act of parliament for Protestants'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 cultivation and the growth of the Irish linen industry.</t>
  </si>
  <si>
    <t>poor</t>
  </si>
  <si>
    <t>What kind of force does not exist under Newton's third law?</t>
  </si>
  <si>
    <t>June</t>
  </si>
  <si>
    <t>Victoria_(Australia)</t>
  </si>
  <si>
    <t>teacher enthusiasm</t>
  </si>
  <si>
    <t>cannot be written as a product of two ring elements that are not units</t>
  </si>
  <si>
    <t>What do the Animal Locomotion photographs capture?</t>
  </si>
  <si>
    <t>the ease with which people, youth in particular, can obtain controlled substances</t>
  </si>
  <si>
    <t>Islamic</t>
  </si>
  <si>
    <t>How many horsepower was Watt's engine?</t>
  </si>
  <si>
    <t>an entirely new fleet of trains</t>
  </si>
  <si>
    <t>halve poverty</t>
  </si>
  <si>
    <t>What does the Presiding Officer try to achieve a balance of between speakers?</t>
  </si>
  <si>
    <t>Who did Luther remind the peasants to obey?</t>
  </si>
  <si>
    <t>mountainous areas</t>
  </si>
  <si>
    <t>charged particle beam</t>
  </si>
  <si>
    <t>Video On Demand</t>
  </si>
  <si>
    <t>qualified majority</t>
  </si>
  <si>
    <t>fourth</t>
  </si>
  <si>
    <t>Which type of law concerns the EU's governance structure?</t>
  </si>
  <si>
    <t>What position does Jerricho Cotchery play?</t>
  </si>
  <si>
    <t>study of sedimentary layers</t>
  </si>
  <si>
    <t>Palestine</t>
  </si>
  <si>
    <t>the European Council</t>
  </si>
  <si>
    <t>Who is Welsh medium education available to?</t>
  </si>
  <si>
    <t>University President Robert Maynard Hutchins de-emphasized varsity athletics in 1939</t>
  </si>
  <si>
    <t>The French acquired a copy of the British war plans, including the activities of Shirley and Johnson. Shirley's efforts to fortify Oswego were bogged down in logistical difficulties, exacerbated by Shirley's inexperience in managing large expeditions. In conjunction, Shirley was made aware that the French were massing for an attack on Fort Oswego in his absence when he planned to attack Fort Niagara. As a response, Shirley left garrisons at Oswego, Fort Bull, and Fort Williams (the latter two located on the Oneida Carry between the Mohawk River and Wood Creek at present-day Rome, New York). Supplies for use in the projected attack on Niagara were cached at Fort Bull.</t>
  </si>
  <si>
    <t>four-course rate average</t>
  </si>
  <si>
    <t>electrocution, transportation accidents, and trench cave-ins</t>
  </si>
  <si>
    <t>financial commitment</t>
  </si>
  <si>
    <t>Where were interviews held while the parliament was in its temporary building?</t>
  </si>
  <si>
    <t>Euclid</t>
  </si>
  <si>
    <t>Distinguished Service Medal</t>
  </si>
  <si>
    <t>orphans from the conquered tribe</t>
  </si>
  <si>
    <t>excerpts from the Doctor Who Confidential</t>
  </si>
  <si>
    <t>administrative law</t>
  </si>
  <si>
    <t>trying to recover market share</t>
  </si>
  <si>
    <t>Prophet Mohammad</t>
  </si>
  <si>
    <t>labor inputs</t>
  </si>
  <si>
    <t>American Broadcasting Companies</t>
  </si>
  <si>
    <t>native Chinese dynasties</t>
  </si>
  <si>
    <t>one year at a time</t>
  </si>
  <si>
    <t>a terrorist organisation</t>
  </si>
  <si>
    <t>Victoria Department of Education</t>
  </si>
  <si>
    <t>diverges</t>
  </si>
  <si>
    <t>Europe's expansion into territorial imperialism was largely focused on economic growth by collecting resources from colonies, in combination with assuming political control by military and political means. The colonization of India in the mid-18th century offers an example of this focus: there, the "British exploited the political weakness of the Mughal state, and, while military activity was important at various times, the economic and administrative incorporation of local elites was also of crucial significance" for the establishment of control over the subcontinent's resources, markets, and manpower. Although a substantial number of colonies had been designed to provide economic profit and to ship resources to home ports in the seventeenth and eighteenth centuries, Fieldhouse suggests that in the nineteenth and twentieth centuries in places such as Africa and Asia, this idea is not necessarily valid:</t>
  </si>
  <si>
    <t>£30m</t>
  </si>
  <si>
    <t>they design phase 2</t>
  </si>
  <si>
    <t>How did Genghis Khan describe himself to the people of Bukhara?</t>
  </si>
  <si>
    <t>impediments</t>
  </si>
  <si>
    <t>Who invited Washington to dine with him?</t>
  </si>
  <si>
    <t>IPCC chairman</t>
  </si>
  <si>
    <t>Newton's Third</t>
  </si>
  <si>
    <t>varying regional cost-benefit analysis and burden-sharing conflicts with regard to the distribution of emission reductions</t>
  </si>
  <si>
    <t>United Nations Framework Convention on Climate Change (UNFCCC)</t>
  </si>
  <si>
    <t>an educational process or da'wah</t>
  </si>
  <si>
    <t>When a T-cell encounters a foreign pathogen, it extends a vitamin D receptor. This is essentially a signaling device that allows the T-cell to bind to the active form of vitamin D, the steroid hormone calcitriol. 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 Only after binding to calcitriol can T-cells perform their intended function. Other immune system cells that are known to express CYP27B1 and thus activate vitamin D calcidiol, are dendritic cells, keratinocytes and macrophages.</t>
  </si>
  <si>
    <t>sail loft on Dock Street</t>
  </si>
  <si>
    <t>20 million ounces</t>
  </si>
  <si>
    <t>the devil's work</t>
  </si>
  <si>
    <t>Preschool targest what age children?</t>
  </si>
  <si>
    <t>40 to 50 students</t>
  </si>
  <si>
    <t>On 19 October 1512, he was awarded his Doctor of Theology and, on 21 October 1512, was received into the senate of the theological faculty of the University of Wittenberg, having been called to the position of Doctor in Bible. He spent the rest of his career in this position at the University of Wittenberg.</t>
  </si>
  <si>
    <t>How long were the fighters of the Warsaw Ghetto Uprising able to hold out?</t>
  </si>
  <si>
    <t>The largest single sensory feature is the aboral organ (at the opposite end from the mouth). Its main component is a statocyst, a balance sensor consisting of a statolith, a solid particle supported on four bundles of cilia, called "balancers", that sense its orientation. The statocyst is protected by a transparent dome made of long, immobile cilia. A ctenophore does not automatically try to keep the statolith resting equally on all the balancers. Instead its response is determined by the animal's "mood", in other words the overall state of the nervous system. For example, if a ctenophore with trailing tentacles captures prey, it will often put some comb rows into reverse, spinning the mouth towards the prey.</t>
  </si>
  <si>
    <t>What injury did Thomas Davis suffer during the playoff games?</t>
  </si>
  <si>
    <t>What must a public school teacher have, at a minimum?</t>
  </si>
  <si>
    <t>the "Social Chapter"</t>
  </si>
  <si>
    <t>number of gates</t>
  </si>
  <si>
    <t>Fringe or splinter</t>
  </si>
  <si>
    <t>a personal concept, and not subject to law or interference</t>
  </si>
  <si>
    <t>What Irish cities had Huguenot mayors in the 1600s and 1700s?</t>
  </si>
  <si>
    <t>coastal beaches and the game reserves</t>
  </si>
  <si>
    <t>a round trip through all sites in Milan whose total length is at most 10 km</t>
  </si>
  <si>
    <t>What unintended development did the relationship with the elector have on church government?</t>
  </si>
  <si>
    <t>If angiosperm shoots are not exposed to the required light for chloroplast formation, proplastids may develop into an etioplast stage before becoming chloroplasts. An etioplast is a plastid that lacks chlorophyll, and has inner membrane invaginations that form a lattice of tubes in their stroma, called a prolamellar body. While etioplasts lack chlorophyll, they have a yellow chlorophyll precursor stocked. Within a few minutes of light exposure, the prolamellar body begins to reorganize into stacks of thylakoids, and chlorophyll starts to be produced. This process, where the etioplast becomes a chloroplast, takes several hours. Gymnosperms do not require light to form chloroplasts.</t>
  </si>
  <si>
    <t>new and enlarged bridges, a shuttle service and/or a tram.</t>
  </si>
  <si>
    <t>What gets transferred to students who are receptive to the teacher?</t>
  </si>
  <si>
    <t>encourage investment</t>
  </si>
  <si>
    <t>How are peridinin-type chloroplasts' thylakoids arranged?</t>
  </si>
  <si>
    <t>The common pattern comes from John Wesley, who wrote that "there is no Liturgy in the world, either in ancient or modern language, which breathes more of a solid, scriptural, rational piety, than the Common Prayer of the Church of England." When the Methodists in America were separated from the Church of England, John Wesley himself provided a revised version of The Book of Common Prayer called the Sunday Service of the Methodists in North America. Wesley's Sunday Service has shaped the official liturgies of the Methodists ever since.</t>
  </si>
  <si>
    <t>Why would one want to give a speech?</t>
  </si>
  <si>
    <t>Who designed the ceiling and stained-glass windows of the Green Dining Room?</t>
  </si>
  <si>
    <t>What style were the mass constructed residential blocks designed in?</t>
  </si>
  <si>
    <t>military force</t>
  </si>
  <si>
    <t>relationships with parishioners and family, and their perceptions of girls and women."</t>
  </si>
  <si>
    <t>Fridays</t>
  </si>
  <si>
    <t>Somalia and Ethiopia</t>
  </si>
  <si>
    <t>In early 2012, NFL Commissioner Roger Goodell stated that the league planned to make the 50th Super Bowl "spectacular" and that it would be "an important game for us as a league".</t>
  </si>
  <si>
    <t>Warraghiggey</t>
  </si>
  <si>
    <t>the European Convention on Human Rights in 1950 and the establishment of the European Court of Human Rights</t>
  </si>
  <si>
    <t>carbon monoxide</t>
  </si>
  <si>
    <t>read lecture material</t>
  </si>
  <si>
    <t>simple majority vote</t>
  </si>
  <si>
    <t>Northern United Kingdom</t>
  </si>
  <si>
    <t>What does matter actually have that Newtonian mechanics doesn't address?</t>
  </si>
  <si>
    <t>Qur'an</t>
  </si>
  <si>
    <t>What is that grace of God which sustains the believers in the journey towards Christian Perfection?</t>
  </si>
  <si>
    <t>a number of stages</t>
  </si>
  <si>
    <t>the nobles</t>
  </si>
  <si>
    <t>What is distribution of income from labor due to the differences of?</t>
  </si>
  <si>
    <t>5 nanometers across</t>
  </si>
  <si>
    <t>What did Tesla's father originally want him to do?</t>
  </si>
  <si>
    <t>What is often misunderstood as the cause of matter rigidity?</t>
  </si>
  <si>
    <t>turbine casing</t>
  </si>
  <si>
    <t>tear huge areas of land into the sea.</t>
  </si>
  <si>
    <t>priest</t>
  </si>
  <si>
    <t>Shia terrorist</t>
  </si>
  <si>
    <t>Great Dividing Range</t>
  </si>
  <si>
    <t>What is the section of the Rhine Gorge recognized by UNESCO called?</t>
  </si>
  <si>
    <t>Consolidated City of Jacksonville</t>
  </si>
  <si>
    <t>difficult to resolve</t>
  </si>
  <si>
    <t>How long has Proportionality been recognized as one of the general principles of EU law?</t>
  </si>
  <si>
    <t>What organization did General Gaafar al-Nimeiry invite members of to serve in his government?</t>
  </si>
  <si>
    <t>three museums.</t>
  </si>
  <si>
    <t>Daniel Burke departed from Capital Cities/ABC in February 1994, with Thomas Murphy taking over as president before ceding control to Robert Iger. September 1994 saw the debut of NYPD Blue, a gritty police procedural from Steven Bochco (who created Doogie Howser, M.D. and the critically pilloried Cop Rock for ABC earlier in the decade); lasting ten seasons, the drama became known for its boundary pushing of network television standards (particularly its occasional use of graphic language and rear nudity), which led some affiliates to initially refuse to air the show in its first season.</t>
  </si>
  <si>
    <t>What are FtsZ1 and FtsZ2?</t>
  </si>
  <si>
    <t>$2.50 per AC horsepower</t>
  </si>
  <si>
    <t>glaucophyte</t>
  </si>
  <si>
    <t>their cleats</t>
  </si>
  <si>
    <t>What is the name of the stadium in San Francisco Bay Area?</t>
  </si>
  <si>
    <t>IP and AM are most commonly defined by what type of proof system?</t>
  </si>
  <si>
    <t>banded iron</t>
  </si>
  <si>
    <t>local militia companies</t>
  </si>
  <si>
    <t>Why was there a depreciation of the industrialized nations dollars?</t>
  </si>
  <si>
    <t>During what period the drainage basin of the Amazon likely split?</t>
  </si>
  <si>
    <t>Some non-British works in the British galleries were imported from which continent?</t>
  </si>
  <si>
    <t>What Japanese network did ABC purchase a stake in in 1951?</t>
  </si>
  <si>
    <t>What term referred to middle class citizens leaving the suburbs?</t>
  </si>
  <si>
    <t>women retire at age 60 and men at 65</t>
  </si>
  <si>
    <t>What is the age range of most prostitutes in Kenya?</t>
  </si>
  <si>
    <t>need for capitalist economies to constantly expand investment, material resources and manpower</t>
  </si>
  <si>
    <t>hash tables</t>
  </si>
  <si>
    <t>American Civil Rights Movement</t>
  </si>
  <si>
    <t>What are muroplasts?</t>
  </si>
  <si>
    <t>Some of the income was dispensed in the form of aid to other underdeveloped nations whose economies had been caught between higher oil prices and lower prices for their own export commodities, amid shrinking Western demand. Much went for arms purchases that exacerbated political tensions, particularly in the Middle East. Saudi Arabia spent over 100 billion dollars in the ensuing decades for helping spread its fundamentalist interpretation of Islam, known as Wahhabism, throughout the world, via religious charities such al-Haramain Foundation, which often also distributed funds to violent Sunni extremist groups such as Al-Qaeda and the Taliban.</t>
  </si>
  <si>
    <t>What followed the late local programming after Super Bowl 50?</t>
  </si>
  <si>
    <t>What was the building vacated twice to allow for?</t>
  </si>
  <si>
    <t>What drives down wages in a job with many workers willing to work a lot?</t>
  </si>
  <si>
    <t>The principles of European Union law are rules of law which have been developed by the European Court of Justice that constitute unwritten rules which are not expressly provided for in the treaties but which affect how European Union law is interpreted and applies. In formulating these principles, the courts have drawn on a variety of sources, including: public international law and legal doctrines and principles present in the legal systems of European Union member states and in the jurisprudence of the European Court of Human Rights. Accepted general principles of European Union Law include fundamental rights (see human rights), proportionality, legal certainty, equality before the law and subsidiarity.</t>
  </si>
  <si>
    <t>Sunni Arabs</t>
  </si>
  <si>
    <t>How much can Ctenophores eat in one day?</t>
  </si>
  <si>
    <t>Newton's Second Law</t>
  </si>
  <si>
    <t>Which reason is given sometimes to plead not guilty involving these matters?</t>
  </si>
  <si>
    <t>lower bounds</t>
  </si>
  <si>
    <t>By what did Luther believe the just person lives?</t>
  </si>
  <si>
    <t>Kuznets curve</t>
  </si>
  <si>
    <t>What was the king's first approach to the Huguenots?</t>
  </si>
  <si>
    <t>Which two courts apply European Union law?</t>
  </si>
  <si>
    <t>the plague may have entered Europe in two waves</t>
  </si>
  <si>
    <t>unrest and violence.</t>
  </si>
  <si>
    <t>Where were the narrow gauge rail lines built in Victoria?</t>
  </si>
  <si>
    <t>State Department</t>
  </si>
  <si>
    <t>How much has a Lama agreed to be reborn?</t>
  </si>
  <si>
    <t>Whenever he encountered British merchants or fur-traders, Céloron informed them of the French claims on the territory and told them to leave.</t>
  </si>
  <si>
    <t>opposite end from the mouth</t>
  </si>
  <si>
    <t>The Neutral Zone</t>
  </si>
  <si>
    <t>What is the medieval Esteve Pharmacy used as at present?</t>
  </si>
  <si>
    <t>Albert of Mainz</t>
  </si>
  <si>
    <t>peroxides, chlorates, nitrates, perchlorates, and dichromates</t>
  </si>
  <si>
    <t>How long did Project Apollo run?</t>
  </si>
  <si>
    <t>To what is singlet oxygen more reactive?</t>
  </si>
  <si>
    <t>Most Western countries</t>
  </si>
  <si>
    <t>a larger challenge to the legal system</t>
  </si>
  <si>
    <t>Which animal that lives in the Amazon river may produce a deadly shock?</t>
  </si>
  <si>
    <t>A study in England showed a 0.3% prevalence of sexual abuse by any professional, a group that included priests, religious leaders, and case workers as well as teachers. It is important to note, however, that the British study referenced above is the only one of its kind and consisted of "a random ... probability sample of 2,869 young people between the ages of 18 and 24 in a computer-assisted study" and that the questions referred to "sexual abuse with a professional," not necessarily a teacher. It is therefore logical to conclude that information on the percentage of abuses by teachers in the United Kingdom is not explicitly available and therefore not necessarily reliable. The AAUW study, however, posed questions about fourteen types of sexual harassment and various degrees of frequency and included only abuses by teachers. "The sample was drawn from a list of 80,000 schools to create a stratified two-stage sample design of 2,065 8th to 11th grade students"Its reliability was gauged at 95% with a 4% margin of error.</t>
  </si>
  <si>
    <t>nearby open spaces</t>
  </si>
  <si>
    <t>On June 16, 2007, ABC began to phase in a new imaging campaign for the upcoming 2007–08 season, "Start Here". Also developed by Troika, the on-air design was intended to emphasize the availability of ABC content across multiple platforms (in particular, using a system of icons representing different devices, such as television, computers and mobile devices), and "simplify and bring a lot more consistency and continuity to the visual representation of ABC". The ABC logo was also significantly redesigned as part of the transition, with a glossy "ball" effect that was specifically designed for HD. On-air, the logo was accompanied by animated water and ribbon effects. Red ribbons were used to represent the entertainment division, while blue ribbons were used for ABC News.</t>
  </si>
  <si>
    <t>demolished</t>
  </si>
  <si>
    <t>In the north eastern part of Fresno, Woodward Park was founded by the late Ralph Woodward, a long-time Fresno resident. He bequeathed a major portion of his estate in 1968 to provide a regional park and bird sanctuary in Northeast Fresno. The park lies on the South bank of the San Joaquin River between Highway 41 and Friant Road. The initial 235 acres (0.95 km2), combined with additional acres acquired later by the City, brings the park to a sizable 300 acres (1.2 km2). Now packed with amenities, Woodward Park is the only Regional Park of its size in the Central Valley. The Southeast corner of the park harbors numerous bird species offering bird enthusiasts an excellent opportunity for viewing. The park has a multi-use amphitheatre that seats up to 2,500 people, authentic Japanese Garden, fenced dog park, two-mile (3 km) equestrian trail, exercise par course, three children's playgrounds, a lake, 3 small ponds, 7 picnic areas and five miles (8 km) of multipurpose trails that are part of the San Joaquin River Parkway's Lewis S. Eaton Trail. When complete, the Lewis S. Eaton trail system will cover 22 miles (35 km) between Highway 99 and Friant Dam. The park's numerous picnic tables make for a great picnic destination and a convenient escape from city life. The park's amphetheatre was renovated in 2010, and has hosted performances by acts such as Deftones, Tech N9ne, and Sevendust as well as numerous others. The park is open April through October, 6am to 10pm and November through March, 6am to 7pm. Woodward Park is home to the annual CIF(California Interscholastic Federation) State Championship cross country meet, which takes place in late November. It is also the home of the Woodward Shakespeare Festival which began performances in the park in 2005.</t>
  </si>
  <si>
    <t>How popular was Coronation Street in the late 80's?</t>
  </si>
  <si>
    <t>What is Kenya known for?</t>
  </si>
  <si>
    <t>For about how long would the extended LM allow a surface stay on the moon?</t>
  </si>
  <si>
    <t>In Japan, at the end of the Asuka period (538–710) and the early Nara period (710–794), the men who fulfilled roles similar to those of modern pharmacists were highly respected. The place of pharmacists in society was expressly defined in the Taihō Code (701) and re-stated in the Yōrō Code (718). Ranked positions in the pre-Heian Imperial court were established; and this organizational structure remained largely intact until the Meiji Restoration (1868). In this highly stable hierarchy, the pharmacists—and even pharmacist assistants—were assigned status superior to all others in health-related fields such as physicians and acupuncturists. In the Imperial household, the pharmacist was even ranked above the two personal physicians of the Emperor.</t>
  </si>
  <si>
    <t>What did Genghis Khan do to the Tangut imperial family after their surrender?</t>
  </si>
  <si>
    <t>What could inverted repeats help do?</t>
  </si>
  <si>
    <t>apicomplexan-related</t>
  </si>
  <si>
    <t>open standards</t>
  </si>
  <si>
    <t>Wednesday afternoons</t>
  </si>
  <si>
    <t>People behaving with civil disobedience that is not-violent is said to make society have more of what?</t>
  </si>
  <si>
    <t>For which Doctor did Keff McCulloch provide the theme?</t>
  </si>
  <si>
    <t>only for those m that are prime</t>
  </si>
  <si>
    <t>the South Coast Metro</t>
  </si>
  <si>
    <t>"wrecking amendments"</t>
  </si>
  <si>
    <t>What was Hero of Alexandria's nationality?</t>
  </si>
  <si>
    <t>large protein complexes</t>
  </si>
  <si>
    <t>Since the 1980s, Lutheran Church denominations have repudiated Martin Luther's statements against the Jews and have rejected the use of them to incite hatred against Lutherans. Strommen et al.'s 1970 survey of 4,745 North American Lutherans aged 15–65 found that, compared to the other minority groups under consideration, Lutherans were the least prejudiced toward Jews. Nevertheless, Professor Richard (Dick) Geary, former Professor of Modern History at the University of Nottingham, England, and the author of Hitler and Nazism (Routledge 1993), wrote in the journal History Today an article on who voted for the Nazis in elections held from 1928-1933, where he claimed that from his research he found that the Nazis gained disproportionately more votes from Protestant than Catholic areas of Germany.</t>
  </si>
  <si>
    <t>plead guilty to one misdemeanor count and receive no jail time</t>
  </si>
  <si>
    <t>Serbian Orthodox priest</t>
  </si>
  <si>
    <t>chosen machine model</t>
  </si>
  <si>
    <t>What was the term Kennedy used to show that America was falling behind the Soviet Union due to inactivity in space programs?</t>
  </si>
  <si>
    <t>bacteriophage infections</t>
  </si>
  <si>
    <t>nursing homes</t>
  </si>
  <si>
    <t>How many people was the CM designed to carry in the end?</t>
  </si>
  <si>
    <t>Eastern Europe</t>
  </si>
  <si>
    <t>a better relevant income.</t>
  </si>
  <si>
    <t xml:space="preserve">In what decade was seafloor spreading discovered? </t>
  </si>
  <si>
    <t>power experiments</t>
  </si>
  <si>
    <t>In his theses and disputations against the antinomians, Luther reviews and reaffirms, on the one hand, what has been called the "second use of the law," that is, the law as the Holy Spirit's tool to work sorrow over sin in man's heart, thus preparing him for Christ's fulfillment of the law offered in the gospel. Luther states that everything that is used to work sorrow over sin is called the law, even if it is Christ's life, Christ's death for sin, or God's goodness experienced in creation. Simply refusing to preach the Ten Commandments among Christians – thereby, as it were, removing the three letters l-a-w from the church – does not eliminate the accusing law. Claiming that the law – in any form – should not be preached to Christians anymore would be tantamount to asserting that Christians are no longer sinners in themselves and that the church consists only of essentially holy people.</t>
  </si>
  <si>
    <t>What profession were Ronald Robinson and John Gallagher?</t>
  </si>
  <si>
    <t>The Skirmish of the Brick Church</t>
  </si>
  <si>
    <t>may read it without hindrance</t>
  </si>
  <si>
    <t>Coptic</t>
  </si>
  <si>
    <t>Whose relics reside in the Becket Casket?</t>
  </si>
  <si>
    <t>a protective radiation shield</t>
  </si>
  <si>
    <t>the study of sedimentary layers</t>
  </si>
  <si>
    <t>nothing</t>
  </si>
  <si>
    <t>What did Stiglitz present in 2009 regarding global inequality?</t>
  </si>
  <si>
    <t>Commissioners</t>
  </si>
  <si>
    <t>What would a parent have to pay to send their child to a boarding school in 2012?</t>
  </si>
  <si>
    <t>greatest antisemite of his time</t>
  </si>
  <si>
    <t>the member state cannot enforce conflicting laws, and a citizen may rely on the Directive in such an action</t>
  </si>
  <si>
    <t>After leaving Edison's company Tesla partnered with two businessmen in 1886, Robert Lane and Benjamin Vail, who agreed to finance an electric lighting company in Tesla's name, Tesla Electric Light &amp; Manufacturing. The company installed electrical arc light based illumination systems designed by Tesla and also had designs for dynamo electric machine commutators, the first patents issued to Tesla in the US.</t>
  </si>
  <si>
    <t>80 million</t>
  </si>
  <si>
    <t>What event was blamed on the introduction of mnemiopsis into The Black Sea?</t>
  </si>
  <si>
    <t>What was Robert Watson's role in the IPCC?</t>
  </si>
  <si>
    <t>the Teaching Council</t>
  </si>
  <si>
    <t>the devil's people</t>
  </si>
  <si>
    <t>What philosophy of thought  addresses wealth inequality?</t>
  </si>
  <si>
    <t>The city has an extensive neoclassical centre referred to as Tyneside Classical largely developed in the 1830s by Richard Grainger and John Dobson, and recently extensively restored. Broadcaster and writer Stuart Maconie described Newcastle as England's best-looking city and the late German-born British scholar of architecture, Nikolaus Pevsner, describes Grey Street as one of the finest streets in England. The street curves down from Grey's Monument towards the valley of the River Tyne and was voted England's finest street in 2005 in a survey of BBC Radio 4 listeners. In the Google Street View awards of 2010, Grey Street came 3rd in the British picturesque category. Osborne Road came 4th in the foodie street category. A portion of Grainger Town was demolished in the 1960s to make way for the Eldon Square Shopping Centre, including all but one side of the original Eldon Square itself.</t>
  </si>
  <si>
    <t>January 6, 1913</t>
  </si>
  <si>
    <t>staying home</t>
  </si>
  <si>
    <t>What type of approaches for primary school are available that are different than the norm?</t>
  </si>
  <si>
    <t>$15.5 million</t>
  </si>
  <si>
    <t>failed</t>
  </si>
  <si>
    <t>concrete</t>
  </si>
  <si>
    <t>Chief Hendrick</t>
  </si>
  <si>
    <t>What rituals did Kublai follow to help his image?</t>
  </si>
  <si>
    <t>What term was used for the first regeneration?</t>
  </si>
  <si>
    <t>marine waters worldwide</t>
  </si>
  <si>
    <t>Department of Justice</t>
  </si>
  <si>
    <t>Who did Luther view to be the Antichrist?</t>
  </si>
  <si>
    <t>Chicago's physics department</t>
  </si>
  <si>
    <t>Who did the Mongols send to Bukhara as administrators?</t>
  </si>
  <si>
    <t>Unlike animals, plants lack phagocytic cells, but many plant immune responses involve systemic chemical signals that are sent through a plant. Individual plant cells respond to molecules associated with pathogens known as Pathogen-associated molecular patterns or PAMPs. When a part of a plant becomes infected, the plant produces a localized hypersensitive response, whereby cells at the site of infection undergo rapid apoptosis to prevent the spread of the disease to other parts of the plant. Systemic acquired resistance (SAR) is a type of defensive response used by plants that renders the entire plant resistant to a particular infectious agent. RNA silencing mechanisms are particularly important in this systemic response as they can block virus replication.</t>
  </si>
  <si>
    <t>MODES</t>
  </si>
  <si>
    <t>fear of betrayal</t>
  </si>
  <si>
    <t>A B cell identifies pathogens when antibodies on its surface bind to a specific foreign antigen. This antigen/antibody complex is taken up by the B cell and processed by proteolysis into peptides. The B cell then displays these antigenic peptides on its surface MHC class II molecules. This combination of MHC and antigen attracts a matching helper T cell, which releases lymphokines and activates the B cell. As the activated B cell then begins to divide, its offspring (plasma cells) secrete millions of copies of the antibody that recognizes this antigen. These antibodies circulate in blood plasma and lymph, bind to pathogens expressing the antigen and mark them for destruction by complement activation or for uptake and destruction by phagocytes. Antibodies can also neutralize challenges directly, by binding to bacterial toxins or by interfering with the receptors that viruses and bacteria use to infect cells.</t>
  </si>
  <si>
    <t>What is the final effect of adding more and more idea strings to a load?</t>
  </si>
  <si>
    <t>a Western Union superintendent</t>
  </si>
  <si>
    <t>What type of teaching would help the most with everyday life?</t>
  </si>
  <si>
    <t>Theatre Museum</t>
  </si>
  <si>
    <t>in Graz, Austria</t>
  </si>
  <si>
    <t>What do bathyctena chuni, euplokamis stationis and eurhamphaea vexilligera have in common?</t>
  </si>
  <si>
    <t>2–3 years as provisional Elders prior to their ordination.</t>
  </si>
  <si>
    <t>Hyperbaric (high-pressure) medicine uses special oxygen chambers to increase the partial pressure of O
2 around the patient and, when needed, the medical staff. Carbon monoxide poisoning, gas gangrene, and decompression sickness (the 'bends') are sometimes treated using these devices. Increased O
2 concentration in the lungs helps to displace carbon monoxide from the heme group of hemoglobin. Oxygen gas is poisonous to the anaerobic bacteria that cause gas gangrene, so increasing its partial pressure helps kill them. Decompression sickness occurs in divers who decompress too quickly after a dive, resulting in bubbles of inert gas, mostly nitrogen and helium, forming in their blood. Increasing the pressure of O
2 as soon as possible is part of the treatment.</t>
  </si>
  <si>
    <t>Crew members were required to wear what type of space suit during testing after the incident?</t>
  </si>
  <si>
    <t>Luther wrote about the Jews throughout his career, though only a few of his works dealt with them directly. Luther rarely encountered Jews during his life, but his attitudes reflected a theological and cultural tradition which saw Jews as a rejected people guilty of the murder of Christ, and he lived within a local community that had expelled Jews some ninety years earlier. He considered the Jews blasphemers and liars because they rejected the divinity of Jesus, whereas Christians believed Jesus was the Messiah. But Luther believed that all human beings who set themselves against God were equally guilty. As early as 1516, he wrote that many people "are proud with marvelous stupidity when they call the Jews dogs, evildoers, or whatever they like, while they too, and equally, do not realize who or what they are in the sight of God". In 1523, Luther advised kindness toward the Jews in That Jesus Christ was Born a Jew and also aimed to convert them to Christianity. When his efforts at conversion failed, he grew increasingly bitter toward them. In his 2010 book Bonhoeffer: Pastor, Martyr, Prophet, Spy, Christian author Eric Metaxas claimed that Luther's attitude towards Jews "unraveled along with his health."</t>
  </si>
  <si>
    <t>What role in economics did the university play a major part in?</t>
  </si>
  <si>
    <t>simulate a launch countdown on</t>
  </si>
  <si>
    <t>all women</t>
  </si>
  <si>
    <t>about 9.81 meters per second</t>
  </si>
  <si>
    <t>turning the whole climate science assessment process into a moderated "living" Wikipedia-IPCC</t>
  </si>
  <si>
    <t>behavioral and demographic data</t>
  </si>
  <si>
    <t>What sorts of items are displayed in the Esteve Pharmacy museum?</t>
  </si>
  <si>
    <t>In England, in the absence of census figures, historians propose a range of preincident population figures from as high as 7 million to as low as 4 million in 1300, and a postincident population figure as low as 2 million. By the end of 1350, the Black Death subsided, but it never really died out in England. Over the next few hundred years, further outbreaks occurred in 1361–62, 1369, 1379–83, 1389–93, and throughout the first half of the 15th century. An outbreak in 1471 took as much as 10–15% of the population, while the death rate of the plague of 1479–80 could have been as high as 20%. The most general outbreaks in Tudor and Stuart England seem to have begun in 1498, 1535, 1543, 1563, 1589, 1603, 1625, and 1636, and ended with the Great Plague of London in 1665.</t>
  </si>
  <si>
    <t>What kind of university is the University of Chicago?</t>
  </si>
  <si>
    <t>legalize importation of medications</t>
  </si>
  <si>
    <t>ease with which people, youth in particular, can obtain controlled substances</t>
  </si>
  <si>
    <t>What is the grace that we receive by faith and trust in God?</t>
  </si>
  <si>
    <t>United Nations</t>
  </si>
  <si>
    <t>Who was the speaker of the tribal council?</t>
  </si>
  <si>
    <t>All-Channel Receiver Act</t>
  </si>
  <si>
    <t>the UK government</t>
  </si>
  <si>
    <t>Why do Islamists need democratic elections?</t>
  </si>
  <si>
    <t>Vietnam War</t>
  </si>
  <si>
    <t>Michael Oppenheimer, a long-time participant in the IPCC and coordinating lead author of the Fifth Assessment Report conceded in Science Magazine's State of the Planet 2008-2009 some limitations of the IPCC consensus approach and asks for concurring, smaller assessments of special problems instead of the large scale approach as in the previous IPCC assessment reports. It has become more important to provide a broader exploration of uncertainties. Others see as well mixed blessings of the drive for consensus within the IPCC process and ask to include dissenting or minority positions or to improve statements about uncertainties.</t>
  </si>
  <si>
    <t>The V&amp;A has its origins in the Great Exhibition of 1851, with which Henry Cole, the museum's first director, was involved in planning; initially it was known as the Museum of Manufactures, first opening in May 1852 at Marlborough House, but by September had been transferred to Somerset House. At this stage the collections covered both applied art and science. Several of the exhibits from the Exhibition were purchased to form the nucleus of the collection. By February 1854 discussions were underway to transfer the museum to the current site and it was renamed South Kensington Museum. In 1855 the German architect Gottfried Semper, at the request of Cole, produced a design for the museum, but it was rejected by the Board of Trade as too expensive. The site was occupied by Brompton Park House; this was extended including the first refreshment rooms opened in 1857, the museum being the first in the world to provide such a facility.</t>
  </si>
  <si>
    <t>7500 yr ago</t>
  </si>
  <si>
    <t>disaster; he was defeated in the Battle of the Monongahela</t>
  </si>
  <si>
    <t>eight-year</t>
  </si>
  <si>
    <t>late part</t>
  </si>
  <si>
    <t>until the empire fell</t>
  </si>
  <si>
    <t>Who is the sole governing authority capable of initiating legislative proposals?</t>
  </si>
  <si>
    <t>The Amazon rainforest (Portuguese: Floresta Amazônica or Amazônia; Spanish: Selva Amazónica, Amazonía or usually Amazonia; French: Forêt amazonienne; Dutch: Amazoneregenwoud), also known in English as Amazonia or the Amazon Jungle, is a moist broadleaf forest that covers most of the Amazon basin of South America. This basin encompasses 7,000,000 square kilometres (2,700,000 sq mi), of which 5,500,000 square kilometres (2,100,000 sq mi) are covered by the rainforest. This region includes territory belonging to nine nations. The majority of the forest is contained within Brazil, with 60% of the rainforest, followed by Peru with 13%, Colombia with 10%, and with minor amounts in Venezuela, Ecuador, Bolivia, Guyana, Suriname and French Guiana. States or departments in four nations contain "Amazonas" in their names. The Amazon represents over half of the planet's remaining rainforests, and comprises the largest and most biodiverse tract of tropical rainforest in the world, with an estimated 390 billion individual trees divided into 16,000 species.</t>
  </si>
  <si>
    <t>voters were supposed to line up behind their favoured candidates</t>
  </si>
  <si>
    <t>On 30 July 1891, at the age of 35, Tesla became a naturalized citizen of the United States, and established his South Fifth Avenue laboratory, and later another at 46 E. Houston Street, in New York. He lit electric lamps wirelessly at both locations, demonstrating the potential of wireless power transmission. In the same year, he patented the Tesla coil.</t>
  </si>
  <si>
    <t>poor and the middle class</t>
  </si>
  <si>
    <t>political reasons</t>
  </si>
  <si>
    <t>When was the Disney and ABC merger first announced?</t>
  </si>
  <si>
    <t>The Board of Trustees</t>
  </si>
  <si>
    <t>What legitimate dynasty came before the Yuan?</t>
  </si>
  <si>
    <t>The classification of aspects of the Amazon forest is important for mapping what type of emission?</t>
  </si>
  <si>
    <t>Who were exempt from the Ministry of Justice?</t>
  </si>
  <si>
    <t>colloblasts</t>
  </si>
  <si>
    <t>Where do thrust faults form?</t>
  </si>
  <si>
    <t>Connection-oriented transmission requires a setup phase in each involved node before any packet is transferred to establish the parameters of communication. The packets include a connection identifier rather than address information and are negotiated between endpoints so that they are delivered in order and with error checking. Address information is only transferred to each node during the connection set-up phase, when the route to the destination is discovered and an entry is added to the switching table in each network node through which the connection passes. The signaling protocols used allow the application to specify its requirements and discover link parameters. Acceptable values for service parameters may be negotiated. Routing a packet requires the node to look up the connection id in a table. The packet header can be small, as it only needs to contain this code and any information, such as length, timestamp, or sequence number, which is different for different packets.</t>
  </si>
  <si>
    <t>Through experimentation</t>
  </si>
  <si>
    <t>34–19</t>
  </si>
  <si>
    <t>rarely</t>
  </si>
  <si>
    <t>One of its earliest massive implementations was brought about by Egyptians against the British occupation in the 1919 Revolution. Civil disobedience is one of the many ways people have rebelled against what they deem to be unfair laws. It has been used in many nonviolent resistance movements in India (Gandhi's campaigns for independence from the British Empire), in Czechoslovakia's Velvet Revolution and in East Germany to oust their communist governments, In South Africa in the fight against apartheid, in the American Civil Rights Movement, in the Singing Revolution to bring independence to the Baltic countries from the Soviet Union, recently with the 2003 Rose Revolution in Georgia and the 2004 Orange Revolution in Ukraine, among other various movements worldwide.</t>
  </si>
  <si>
    <t>Why should someone not commit a crime when they are protesting?</t>
  </si>
  <si>
    <t>about 11 million members in nearly 42,000 congregations</t>
  </si>
  <si>
    <t>Saudi Arabia</t>
  </si>
  <si>
    <t xml:space="preserve">Which is more sophisticated, numericals model or an analog models of orogenic wedges? </t>
  </si>
  <si>
    <t>third largest military presence</t>
  </si>
  <si>
    <t>Which department sponsors the Victoria and Albert Museum?</t>
  </si>
  <si>
    <t>4-momentum in relativity and momentum of virtual particles in quantum electrodynamics</t>
  </si>
  <si>
    <t>we are neither making maximum effort nor achieving results necessary</t>
  </si>
  <si>
    <t>What was the average cost for a TV ad lasting 30 seconds during Super Bowl 50?</t>
  </si>
  <si>
    <t>There were two kinds of X.25 networks. Some such as DATAPAC and TRANSPAC</t>
  </si>
  <si>
    <t>increased settlement and deforestation</t>
  </si>
  <si>
    <t>the father of the house</t>
  </si>
  <si>
    <t>Where did one of Triton's daughters decide she wanted to hang out and stay?</t>
  </si>
  <si>
    <t>"do not disturb" sign</t>
  </si>
  <si>
    <t>In Australia, the show has had a strong fan base since its inception, having been exclusively first run by the Australian Broadcasting Corporation (ABC) since January 1965. The ABC has periodically repeated episodes; of note were the weekly screenings of all available classic episodes starting in 2003, for the show's 40th anniversary, and the weekdaily screenings of all available revived episodes in 2013 for the show's 50th anniversary. The ABC broadcasts the modern series first run on ABC1, with repeats on ABC2. The ABC also provided partial funding for the 20th anniversary special The Five Doctors in 1983. Repeats of both the classic and modern series have also been shown on subscription television channels BBC UKTV, SF and later on SyFy upon SF's closure.[citation needed]</t>
  </si>
  <si>
    <t>eukaryotic</t>
  </si>
  <si>
    <t>The serials The Deadly Assassin and Mawdryn Undead and the 1996 TV film would later establish that a Time Lord can only regenerate 12 times, for a total of 13 incarnations. This line became stuck in the public consciousness despite not often being repeated, and was recognised by producers of the show as a plot obstacle for when the show finally had to regenerate the Doctor a thirteenth time. The episode "The Time of the Doctor" depicted the Doctor acquiring a new cycle of regenerations, starting from the Twelfth Doctor, due to the Eleventh Doctor being the product of the Doctor's twelfth regeneration from his original set.</t>
  </si>
  <si>
    <t>What style was the Warsaw Philharmony edifice built in?</t>
  </si>
  <si>
    <t>December 28, 2015,</t>
  </si>
  <si>
    <t>westward</t>
  </si>
  <si>
    <t>fund travelers</t>
  </si>
  <si>
    <t>healthcare professionals</t>
  </si>
  <si>
    <t>Islamism is a controversial concept not just because it posits a political role for Islam but also because its supporters believe their views merely reflect Islam, while the contrary idea that Islam is, or can be, apolitical is an error. Scholars and observers who do not believe that Islam is merely a political ideology include Fred Halliday, John Esposito and Muslim intellectuals like Javed Ahmad Ghamidi. Hayri Abaza argues the failure to distinguish between Islam and Islamism leads many in the West to support illiberal Islamic regimes, to the detriment of progressive moderates who seek to separate religion from politics.</t>
  </si>
  <si>
    <t>enhanced transit infrastructure, possible shuttles open to the public, and park space which will also be publicly accessible.</t>
  </si>
  <si>
    <t>Norman architecture typically stands out as a new stage in the architectural history of the regions they subdued. They spread a unique Romanesque idiom to England and Italy, and the encastellation of these regions with keeps in their north French style fundamentally altered the military landscape. Their style was characterised by rounded arches, particularly over windows and doorways, and massive proportions.</t>
  </si>
  <si>
    <t xml:space="preserve">In the layered model of the Earth there are seismic discontinuities in which layer? </t>
  </si>
  <si>
    <t>What workshop helped with the creation of the Doctor Who theme?</t>
  </si>
  <si>
    <t>What is 'grey literature'?</t>
  </si>
  <si>
    <t>Tesla gained experience in telephony and electrical engineering before emigrating to the United States in 1884 to work for Thomas Edison in New York City. He soon struck out on his own with financial backers, setting up laboratories and companies to develop a range of electrical devices. His patented AC induction motor and transformer were licensed by George Westinghouse, who also hired Tesla for a short time as a consultant. His work in the formative years of electric power development was involved in a corporate alternating current/direct current "War of Currents" as well as various patent battles.</t>
  </si>
  <si>
    <t>What was Tesla's reputation in popular culture?</t>
  </si>
  <si>
    <t>What trend increases the organic composition of capital over the long term?</t>
  </si>
  <si>
    <t>Contracts must be designed to ensure what?</t>
  </si>
  <si>
    <t>What type of flower is sought on Midsummer's Eve?</t>
  </si>
  <si>
    <t>function</t>
  </si>
  <si>
    <t>sent John Bradstreet on an expedition that successfully destroyed Fort Frontenac</t>
  </si>
  <si>
    <t>The Doctor rarely travels alone and often brings one or more companions to share these adventures. His companions are usually humans, as he has found a fascination with planet Earth. He often finds events that pique his curiosity as he tries to prevent evil forces from harming innocent people or changing history, using only his ingenuity and minimal resources, such as his versatile sonic screwdriver. As a Time Lord, the Doctor has the ability to regenerate when his body is mortally damaged, taking on a new appearance and personality. The Doctor has gained numerous reoccurring enemies during his travels, including the Daleks, the Cybermen, and the Master, another renegade Time Lord.</t>
  </si>
  <si>
    <t>12th century</t>
  </si>
  <si>
    <t>10 to 15 million</t>
  </si>
  <si>
    <t>What two radio stations in Denver carried Super Bowl 50?</t>
  </si>
  <si>
    <t>How is income determined in a market with variously skilled workers?</t>
  </si>
  <si>
    <t>computation time</t>
  </si>
  <si>
    <t>What type of person can not be attributed civil disobedience?</t>
  </si>
  <si>
    <t>How did the 2001 IPCC report compare to reality for 2001-2006?</t>
  </si>
  <si>
    <t>When was the "Dalekmania" period?</t>
  </si>
  <si>
    <t>lowland South American</t>
  </si>
  <si>
    <t>"cydippids" are not monophyletic</t>
  </si>
  <si>
    <t>Aboriginal inhabitants</t>
  </si>
  <si>
    <t>Co-teaching has also become a new trend amongst educational institutions. Co-teaching is defined as two or more teachers working harmoniously to fulfill the needs of every student in the classroom. Co-teaching focuses the student on learning by providing a social networking support that allows them to reach their full cognitive potential. Co-teachers work in sync with one another to create a climate of learning.</t>
  </si>
  <si>
    <t>What was the Norman religion?</t>
  </si>
  <si>
    <t>albarellos from the 16th and 17th centuries, old prescription books and antique drugs</t>
  </si>
  <si>
    <t>Roman-era</t>
  </si>
  <si>
    <t>Humans in tropical environments were considered what?</t>
  </si>
  <si>
    <t>How did King Louis XV respond to British plans?</t>
  </si>
  <si>
    <t>What did the Hamas charter uncompromisingly encourage?</t>
  </si>
  <si>
    <t>75,000 to 100,000</t>
  </si>
  <si>
    <t>When did Barton and Whitfield demand climate research records?</t>
  </si>
  <si>
    <t xml:space="preserve">Of what was the Diet of Worms an assembly? </t>
  </si>
  <si>
    <t>A computational problem</t>
  </si>
  <si>
    <t>cytokine TGF-β</t>
  </si>
  <si>
    <t>What can construction projects suffer from?</t>
  </si>
  <si>
    <t>Internet2 is a not-for-profit United States computer networking consortium led by members from the research and education communities, industry, and government. The Internet2 community, in partnership with Qwest, built the first Internet2 Network, called Abilene, in 1998 and was a prime investor in the National LambdaRail (NLR) project. In 2006, Internet2 announced a partnership with Level 3 Communications to launch a brand new nationwide network, boosting its capacity from 10 Gbit/s to 100 Gbit/s. In October, 2007, Internet2 officially retired Abilene and now refers to its new, higher capacity network as the Internet2 Network.</t>
  </si>
  <si>
    <t>The 2005 version</t>
  </si>
  <si>
    <t>highly refractive</t>
  </si>
  <si>
    <t>around 200–300</t>
  </si>
  <si>
    <t>What has the United Nations designed ISIL?</t>
  </si>
  <si>
    <t>By whom did St Paul say all authorities were appointed?</t>
  </si>
  <si>
    <t>What does the bathocyroe and ocyropsis do to escape danger?</t>
  </si>
  <si>
    <t>five or more</t>
  </si>
  <si>
    <t>their dispersed population and distance from the Scottish Parliament in Edinburgh</t>
  </si>
  <si>
    <t>pump hydrogen ions</t>
  </si>
  <si>
    <t>ruthless</t>
  </si>
  <si>
    <t>British colonists would not be safe as long as the French were present</t>
  </si>
  <si>
    <t>west of the Appalachian Mountains</t>
  </si>
  <si>
    <t>his arrest was not covered in any newspapers in the days, weeks and months after it happened</t>
  </si>
  <si>
    <t>forming a 'A National Gallery of British Art',</t>
  </si>
  <si>
    <t>What Doctor Who mini-episode was shown during the Prom?</t>
  </si>
  <si>
    <t>The West saw themselves as what compared to the east?</t>
  </si>
  <si>
    <t>What kind of contract is given when the contractor is given a performance specification and must undertake the project from design to construction, while adhering to the performance specifications?</t>
  </si>
  <si>
    <t>the earth had a resonant frequency</t>
  </si>
  <si>
    <t>differences in the amount of inequality</t>
  </si>
  <si>
    <t>Where has there been very well-known cases of teacher misconduct?</t>
  </si>
  <si>
    <t>In 1700 several hundred French Huguenots migrated from England to the colony of Virginia, where the English Crown had promised them land grants in Lower Norfolk County. When they arrived, colonial authorities offered them instead land 20 miles above the falls of the James River, at the abandoned Monacan village known as Manakin Town, now in Powhatan County. Some settlers landed in present-day Chesterfield County. On 12 May 1705, the Virginia General Assembly passed an act to naturalise the 148 Huguenots still resident at Manakintown. Of the original 390 settlers in the isolated settlement, many had died; others lived outside town on farms in the English style; and others moved to different areas. Gradually they intermarried with their English neighbors. Through the 18th and 19th centuries, descendants of the French migrated west into the Piedmont, and across the Appalachian Mountains into the West of what became Kentucky, Tennessee, Missouri, and other states. In the Manakintown area, the Huguenot Memorial Bridge across the James River and Huguenot Road were named in their honor, as were many local features, including several schools, including Huguenot High School.</t>
  </si>
  <si>
    <t>increase its bulk and decrease its density</t>
  </si>
  <si>
    <t>increase the chloroplast's surface area for cross-membrane transport</t>
  </si>
  <si>
    <t>What archival system is used for all material at the National Art Library?</t>
  </si>
  <si>
    <t>1990s</t>
  </si>
  <si>
    <t>After the negotiations were done what did Luther experience?</t>
  </si>
  <si>
    <t>Doctor Who originally ran for 26 seasons on BBC One, from 23 November 1963 until 6 December 1989. During the original run, each weekly episode formed part of a story (or "serial") — usually of four to six parts in earlier years and three to four in later years. Notable exceptions were: The Daleks' Master Plan, which aired in 12 episodes (plus an earlier one-episode teaser, "Mission to the Unknown", featuring none of the regular cast); almost an entire season of seven-episode serials (season 7); the 10-episode serial The War Games; and The Trial of a Time Lord, which ran for 14 episodes (albeit divided into three production codes and four narrative segments) during season 23. Occasionally serials were loosely connected by a storyline, such as season 8 being devoted to the Doctor battling a rogue Time Lord called The Master, season 16's quest for The Key to Time, season 18's journey through E-Space and the theme of entropy, and season 20's Black Guardian Trilogy.</t>
  </si>
  <si>
    <t>nomads</t>
  </si>
  <si>
    <t>isotope ratios of radioactive elements</t>
  </si>
  <si>
    <t>Troika Design Group</t>
  </si>
  <si>
    <t>Gibraltar and the Åland islands</t>
  </si>
  <si>
    <t>a few millimeters to 1.5 m</t>
  </si>
  <si>
    <t>University of Wittenberg</t>
  </si>
  <si>
    <t>modified, fire-resistant Block II space suits,</t>
  </si>
  <si>
    <t>building construction, heavy and civil engineering construction, and specialty trade contractors</t>
  </si>
  <si>
    <t>novel medications</t>
  </si>
  <si>
    <t>Six</t>
  </si>
  <si>
    <t>elementary particles</t>
  </si>
  <si>
    <t>Treaty on the Functioning of the European Union</t>
  </si>
  <si>
    <t>longitudinal waves</t>
  </si>
  <si>
    <t>southern California</t>
  </si>
  <si>
    <t>Session</t>
  </si>
  <si>
    <t>The wine industry</t>
  </si>
  <si>
    <t>an Islamic rebellion against an allied Marxist regime</t>
  </si>
  <si>
    <t>geographical societies in Europe</t>
  </si>
  <si>
    <t>"Beating the Odds: The Untold Story Behind the Rise of ABC"</t>
  </si>
  <si>
    <t>the Archangel Michael</t>
  </si>
  <si>
    <t>Who considers Los Angeles County to be a separate metropolitan area?</t>
  </si>
  <si>
    <t>How many lakes are there in Warsaw?</t>
  </si>
  <si>
    <t>high inequality</t>
  </si>
  <si>
    <t>follows the same procedures as for IPCC Assessment Reports</t>
  </si>
  <si>
    <t>mid-18th century</t>
  </si>
  <si>
    <t>imperialist</t>
  </si>
  <si>
    <t>9.81 meters per second</t>
  </si>
  <si>
    <t>guard against armed groups</t>
  </si>
  <si>
    <t>What can cause fluctuations in the production of corn?</t>
  </si>
  <si>
    <t>in peacekeeping missions around the world</t>
  </si>
  <si>
    <t>In 1949, UPT was forced to become an independent entity by whom?</t>
  </si>
  <si>
    <t>it has trouble crossing membranes to get to where it is needed</t>
  </si>
  <si>
    <t>Where according to gross state product does Victoria rank in Australia?</t>
  </si>
  <si>
    <t>flour mill</t>
  </si>
  <si>
    <t>What function is used by algorithms to define measurements like time or space?</t>
  </si>
  <si>
    <t>health care professional</t>
  </si>
  <si>
    <t>Telnet Used what  Interface technology</t>
  </si>
  <si>
    <t>Block I plug-type hatch cover</t>
  </si>
  <si>
    <t>risen</t>
  </si>
  <si>
    <t>1870s</t>
  </si>
  <si>
    <t>As a result of the American Revolution,</t>
  </si>
  <si>
    <t>One of the main functions of the chloroplast is its role in photosynthesis, the process by which light is transformed into chemical energy, to subsequently produce food in the form of sugars. Water (H2O) and carbon dioxide (CO2) are used in photosynthesis, and sugar and oxygen (O2) is made, using light energy. Photosynthesis is divided into two stages—the light reactions, where water is split to produce oxygen, and the dark reactions, or Calvin cycle, which builds sugar molecules from carbon dioxide. The two phases are linked by the energy carriers adenosine triphosphate (ATP) and nicotinamide adenine dinucleotide phosphate (NADP+).</t>
  </si>
  <si>
    <t>What, rather than Islamism, requires explanation?</t>
  </si>
  <si>
    <t>a single MHC:antigen molecule</t>
  </si>
  <si>
    <t>What President is credited with the original notion of putting Americans in space?</t>
  </si>
  <si>
    <t>What do the reactive forms of oxygen produce in organisms?</t>
  </si>
  <si>
    <t>Small Catechism</t>
  </si>
  <si>
    <t>The university experienced its share of student unrest during the 1960s, beginning in 1962, when students occupied President George Beadle's office in a protest over the university's off-campus rental policies. After continued turmoil, a university committee in 1967 issued what became known as the Kalven Report. The report, a two-page statement of the university's policy in "social and political action," declared that "To perform its mission in the society, a university must sustain an extraordinary environment of freedom of inquiry and maintain an independence from political fashions, passions, and pressures." The report has since been used to justify decisions such as the university's refusal to divest from South Africa in the 1980s and Darfur in the late 2000s.</t>
  </si>
  <si>
    <t>Even before the Norman Conquest of England, the Normans had come into contact with Wales. Edward the Confessor had set up the aforementioned Ralph as earl of Hereford and charged him with defending the Marches and warring with the Welsh. In these original ventures, the Normans failed to make any headway into Wales.</t>
  </si>
  <si>
    <t>southeast</t>
  </si>
  <si>
    <t>On which magazine's cover did Tesla appear in 1931</t>
  </si>
  <si>
    <t>first half of the eighteenth century</t>
  </si>
  <si>
    <t>difficult for predators to evolve that could specialize as predators on Magicicadas</t>
  </si>
  <si>
    <t>What didn't Newton's mechanics affext?</t>
  </si>
  <si>
    <t>polytechnics became new universities</t>
  </si>
  <si>
    <t>sent small numbers of settlers to its colonies</t>
  </si>
  <si>
    <t>commonly present</t>
  </si>
  <si>
    <t>energy from the flowing hydrogen ions</t>
  </si>
  <si>
    <t>God's punishment</t>
  </si>
  <si>
    <t>Harvard_University</t>
  </si>
  <si>
    <t>Who may also submit private bills to Parliament?</t>
  </si>
  <si>
    <t>What was the programming philosophy pioneered by ABC and Goldenson?</t>
  </si>
  <si>
    <t>What fields have increased in influence on pharmacy in the United States?</t>
  </si>
  <si>
    <t>A rich cultural diversity developed during the Yuan dynasty. The major cultural achievements were the development of drama and the novel and the increased use of the written vernacular. The political unity of China and much of central Asia promoted trade between East and West. The Mongols' extensive West Asian and European contacts produced a fair amount of cultural exchange. The other cultures and peoples in the Mongol World Empire also very much influenced China. It had significantly eased trade and commerce across Asia until its decline; the communications between Yuan dynasty and its ally and subordinate in Persia, the Ilkhanate, encouraged this development. Buddhism had a great influence in the Yuan government, and the Tibetan-rite Tantric Buddhism had significantly influenced China during this period. The Muslims of the Yuan dynasty introduced Middle Eastern cartography, astronomy, medicine, clothing, and diet in East Asia. Eastern crops such as carrots, turnips, new varieties of lemons, eggplants, and melons, high-quality granulated sugar, and cotton were all either introduced or successfully popularized during the Yuan dynasty.</t>
  </si>
  <si>
    <t>How would the geographical societies in Europe support certain travelers?</t>
  </si>
  <si>
    <t>nuclear force.</t>
  </si>
  <si>
    <t>geographic scholars</t>
  </si>
  <si>
    <t>"Blue Harvest" and "420"</t>
  </si>
  <si>
    <t>plant health status</t>
  </si>
  <si>
    <t>What was the black death originally blamed on?</t>
  </si>
  <si>
    <t>kidney and bladder stones</t>
  </si>
  <si>
    <t>What can sympathetic Jurors in cases with civil disobedients?</t>
  </si>
  <si>
    <t>European Council</t>
  </si>
  <si>
    <t>legitimacy of a particular law</t>
  </si>
  <si>
    <t>Suleiman the Magnificent</t>
  </si>
  <si>
    <t>In October 2010, the open-access scientific journal PLoS Pathogens published a paper by a multinational team who undertook a new investigation into the role of Yersinia pestis in the Black Death following the disputed identification by Drancourt and Raoult in 1998. They assessed the presence of DNA/RNA with Polymerase Chain Reaction (PCR) techniques for Y. pestis from the tooth sockets in human skeletons from mass graves in northern, central and southern Europe that were associated archaeologically with the Black Death and subsequent resurgences. The authors concluded that this new research, together with prior analyses from the south of France and Germany, ". . . ends the debate about the etiology of the Black Death, and unambiguously demonstrates that Y. pestis was the causative agent of the epidemic plague that devastated Europe during the Middle Ages".</t>
  </si>
  <si>
    <t>What did the SNP publicly opine about the oil revenues?</t>
  </si>
  <si>
    <t>The European Court of Justice</t>
  </si>
  <si>
    <t>12th/13th-century nobleman</t>
  </si>
  <si>
    <t>colony of Georgia</t>
  </si>
  <si>
    <t>What is the chloroplast double membrane sometimes compared to?</t>
  </si>
  <si>
    <t>Ethiopian Empire</t>
  </si>
  <si>
    <t>Deformational</t>
  </si>
  <si>
    <t>from the river's natural course due to number of canalisation projects completed in the 19th and 20th century</t>
  </si>
  <si>
    <t>Colonel Monckton, in the sole British success that year, captured Fort Beauséjour in June 1755, cutting the French fortress at Louisbourg off from land-based reinforcements. To cut vital supplies to Louisbourg, Nova Scotia's Governor Charles Lawrence ordered the deportation of the French-speaking Acadian population from the area. Monckton's forces, including companies of Rogers' Rangers, forcibly removed thousands of Acadians, chasing down many who resisted, and sometimes committing atrocities. More than any other factor, the cutting off of supplies to Louisbourg led to its demise. The Acadian resistance, in concert with native allies, including the Mi'kmaq, was sometimes quite stiff, with ongoing frontier raids (against Dartmouth and Lunenburg among others). Other than the campaigns to expel the Acadians (ranging around the Bay of Fundy, on the Petitcodiac and St. John rivers, and Île Saint-Jean), the only clashes of any size were at Petitcodiac in 1755 and at Bloody Creek near Annapolis Royal in 1757.</t>
  </si>
  <si>
    <t>upper Tana River, as well as the Turkwel Gorge</t>
  </si>
  <si>
    <t>post-secondary degree Bachelor's Degree</t>
  </si>
  <si>
    <t>Most went to Cuba,</t>
  </si>
  <si>
    <t>increase</t>
  </si>
  <si>
    <t>wisdom and prudence of certain decisions of procurement</t>
  </si>
  <si>
    <t>It is recognised that an epidemiological account of the plague is as important as an identification of symptoms, but researchers are hampered by the lack of reliable statistics from this period. Most work has been done on the spread of the plague in England, and even estimates of overall population at the start vary by over 100% as no census was undertaken between the time of publication of the Domesday Book and the year 1377. Estimates of plague victims are usually extrapolated from figures from the clergy.</t>
  </si>
  <si>
    <t>Where are most working children working?</t>
  </si>
  <si>
    <t>very drought resistant</t>
  </si>
  <si>
    <t>a US$10 a week raise</t>
  </si>
  <si>
    <t>What does chloroplastidan mean?</t>
  </si>
  <si>
    <t xml:space="preserve">By what main attribute are computational problems classified utilizing computational complexity theory? </t>
  </si>
  <si>
    <t>covert lawbreaking</t>
  </si>
  <si>
    <t>economies had been caught between higher oil prices and lower prices for their own export commodities</t>
  </si>
  <si>
    <t>communications from another planet</t>
  </si>
  <si>
    <t>cheating</t>
  </si>
  <si>
    <t>What percentage of oxygen will a zeolite sieve produce?</t>
  </si>
  <si>
    <t>guerrilla warfare campaign</t>
  </si>
  <si>
    <t>What intractability means in practice is open to debate. Saying that a problem is not in P does not imply that all large cases of the problem are hard or even that most of them are. For example, the decision problem in Presburger arithmetic has been shown not to be in P, yet algorithms have been written that solve the problem in reasonable times in most cases. Similarly, algorithms can solve the NP-complete knapsack problem over a wide range of sizes in less than quadratic time and SAT solvers routinely handle large instances of the NP-complete Boolean satisfiability problem.</t>
  </si>
  <si>
    <t>electric current</t>
  </si>
  <si>
    <t>alone</t>
  </si>
  <si>
    <t>When rock formations are found on top of a fault that have not been cut, then they must be older or younger than the fault?</t>
  </si>
  <si>
    <t>electrified, swirling in circles with blue halos of St. Elmo's fire around their wings</t>
  </si>
  <si>
    <t>Border Reiver</t>
  </si>
  <si>
    <t>the capacity of the Tyne Tunnel</t>
  </si>
  <si>
    <t>repeated episodes</t>
  </si>
  <si>
    <t>October 6, 2004</t>
  </si>
  <si>
    <t>vitamin D.</t>
  </si>
  <si>
    <t xml:space="preserve">What is septicemia? </t>
  </si>
  <si>
    <t>Along with non-governmental and nonstate schools, what is another name for private schools?</t>
  </si>
  <si>
    <t>The debating chamber of the Scottish Parliament has seating arranged in a hemicycle, which reflects the desire to encourage consensus amongst elected members. There are 131 seats in the debating chamber. Of the total 131 seats, 129 are occupied by the Parliament's elected MSPs and 2 are seats for the Scottish Law Officers – the Lord Advocate and the Solicitor General for Scotland, who are not elected members of the Parliament but are members of the Scottish Government. As such the Law Officers may attend and speak in the plenary meetings of the Parliament but, as they are not elected MSPs, cannot vote. Members are able to sit anywhere in the debating chamber, but typically sit in their party groupings. The First Minister, Scottish cabinet ministers and Law officers sit in the front row, in the middle section of the chamber. The largest party in the Parliament sits in the middle of the semicircle, with opposing parties on either side. The Presiding Officer, parliamentary clerks and officials sit opposite members at the front of the debating chamber.</t>
  </si>
  <si>
    <t>In a computational problem, what can be described as a string over an alphabet?</t>
  </si>
  <si>
    <t>an attack on New France's capital, Quebec</t>
  </si>
  <si>
    <t>progressive tax system</t>
  </si>
  <si>
    <t>better understanding of the Mau Mau command structure</t>
  </si>
  <si>
    <t>There were tax exemptions for religious figures and, to some extent, teachers and doctors. The Mongol Empire practiced religious tolerance because Mongol tradition had long held that religion was a personal concept, and not subject to law or interference.[citation needed] Sometime before the rise of Genghis Khan, Ong Khan, his mentor and eventual rival, had converted to Nestorian Christianity. Various Mongol tribes were Shamanist, Buddhist or Christian. Religious tolerance was thus a well established concept on the Asian steppe.</t>
  </si>
  <si>
    <t>State Board of Education</t>
  </si>
  <si>
    <t>On the Freedom of a Christian</t>
  </si>
  <si>
    <t>Some dinophytes, like Kryptoperidinium and Durinskia have a diatom (heterokontophyte) derived chloroplast. These chloroplasts are bounded by up to five membranes, (depending on whether you count the entire diatom endosymbiont as the chloroplast, or just the red algal derived chloroplast inside it). The diatom endosymbiont has been reduced relatively little—it still retains its original mitochondria, and has endoplasmic reticulum, ribosomes, a nucleus, and of course, red algal derived chloroplasts—practically a complete cell, all inside the host's endoplasmic reticulum lumen. However the diatom endosymbiont can't store its own food—its starch is found in granules in the dinophyte host's cytoplasm instead. The diatom endosymbiont's nucleus is present, but it probably can't be called a nucleomorph because it shows no sign of genome reduction, and might have even been expanded. Diatoms have been engulfed by dinoflagellates at least three times.</t>
  </si>
  <si>
    <t>Gilded Age</t>
  </si>
  <si>
    <t>2.5 million</t>
  </si>
  <si>
    <t>one of the poorest countries on earth</t>
  </si>
  <si>
    <t>How many Grammys has Lady Gaga won?</t>
  </si>
  <si>
    <t>was the public switched data network operated by the Dutch PTT Telecom</t>
  </si>
  <si>
    <t>In January 1880, two of Tesla's uncles put together enough money to help him leave Gospić for Prague where he was to study. Unfortunately, he arrived too late to enroll at Charles-Ferdinand University; he never studied Greek, a required subject; and he was illiterate in Czech, another required subject. Tesla did, however, attend lectures at the university, although, as an auditor, he did not receive grades for the courses.</t>
  </si>
  <si>
    <t>What were many pastors unable to do?</t>
  </si>
  <si>
    <t>substitution of capital equipment for labor</t>
  </si>
  <si>
    <t>A static equilibrium between two forces is the most usual way of measuring forces, using simple devices such as weighing scales and spring balances. For example, an object suspended on a vertical spring scale experiences the force of gravity acting on the object balanced by a force applied by the "spring reaction force", which equals the object's weight. Using such tools, some quantitative force laws were discovered: that the force of gravity is proportional to volume for objects of constant density (widely exploited for millennia to define standard weights); Archimedes' principle for buoyancy; Archimedes' analysis of the lever; Boyle's law for gas pressure; and Hooke's law for springs. These were all formulated and experimentally verified before Isaac Newton expounded his Three Laws of Motion.</t>
  </si>
  <si>
    <t>What sort of engines utilized the Yarrow-Schlick-Tweedy balancing system?</t>
  </si>
  <si>
    <t>as a scourge</t>
  </si>
  <si>
    <t>What has the increase of prices caused?</t>
  </si>
  <si>
    <t>consultant</t>
  </si>
  <si>
    <t>Which one of Fresno's hotels burned down?</t>
  </si>
  <si>
    <t>14th to the 19th century</t>
  </si>
  <si>
    <t>Marconi successfully transmitted the letter S from England to Newfoundland</t>
  </si>
  <si>
    <t>Newborns are vulnerable to infection because they have no previous exposure to what?</t>
  </si>
  <si>
    <t xml:space="preserve">What was the name of the fund setup to help with investing in the community? </t>
  </si>
  <si>
    <t>autocratic-bureaucratic system</t>
  </si>
  <si>
    <t>Alpha Repertory Television Service (ARTS)</t>
  </si>
  <si>
    <t>empire-building</t>
  </si>
  <si>
    <t>hermaphrodites</t>
  </si>
  <si>
    <t>What organization did Iqbal join in London?</t>
  </si>
  <si>
    <t>Which Treaty protects the freedom of establishment and the freedom to provide services?</t>
  </si>
  <si>
    <t>other members</t>
  </si>
  <si>
    <t>What did this agitation provide later generations material for?</t>
  </si>
  <si>
    <t>1997 Treaty of Amsterdam</t>
  </si>
  <si>
    <t>sculpture wing</t>
  </si>
  <si>
    <t>adopt mainstream Chinese culture</t>
  </si>
  <si>
    <t>the ballast tanks of ships</t>
  </si>
  <si>
    <t>art and furnishings</t>
  </si>
  <si>
    <t>Along with tuition, scholarships, vouchers, donations and grants, where does funding for private schools come from?</t>
  </si>
  <si>
    <t>the most efficient algorithm solving a given problem</t>
  </si>
  <si>
    <t>"Hymn for the Weekend"</t>
  </si>
  <si>
    <t>five-year</t>
  </si>
  <si>
    <t>What did he light at his laboratories to demonstrate his wireless power transmission?</t>
  </si>
  <si>
    <t>The Horns of Nimon</t>
  </si>
  <si>
    <t>What factor may make a teacher's role vary?</t>
  </si>
  <si>
    <t>What did "The Holy Club's" teachings emphasize?</t>
  </si>
  <si>
    <t>2.2 inches (0.06 m)</t>
  </si>
  <si>
    <t>How much water does the Aare give to the Rhine?</t>
  </si>
  <si>
    <t xml:space="preserve">What is the definition of agency as it relates to capabilities? </t>
  </si>
  <si>
    <t>particular skills</t>
  </si>
  <si>
    <t>a water-cooled undergarment</t>
  </si>
  <si>
    <t>colleges</t>
  </si>
  <si>
    <t>"Rhine-kilometers"</t>
  </si>
  <si>
    <t>$10 a week raise</t>
  </si>
  <si>
    <t>a year</t>
  </si>
  <si>
    <t>to make the hosts responsible for reliable delivery of data, rather than the network itself</t>
  </si>
  <si>
    <t>Published comments on Kenya's Capital FM website by Liu Guangyuan, China's ambassador to Kenya, at the time of President Kenyatta's 2013 trip to Beijing, said, "Chinese investment in Kenya ... reached $474 million, representing Kenya's largest source of foreign direct investment, and ... bilateral trade ... reached $2.84 billion" in 2012. Kenyatta was "[a]ccompanied by 60 Kenyan business people [and hoped to] ... gain support from China for a planned $2.5 billion railway from the southern Kenyan port of Mombasa to neighboring Uganda, as well as a nearly $1.8 billion dam", according to a statement from the president's office also at the time of the trip. Base Titanium, a subsidiary of Base resources of Australia, shipped its first major consignment of minerals to China. About 25,000 tonnes of ilmenite was flagged off the Kenyan coastal town of Kilifi. The first shipment was expected to earn Kenya about Shs15 – Shs20 Billion in earnings. China has been causing environmental and social problems that include the recent suspension of the railway project.</t>
  </si>
  <si>
    <t>Turkish forces</t>
  </si>
  <si>
    <t>approximately one week</t>
  </si>
  <si>
    <t>What is the average construction salary in the Middle East?</t>
  </si>
  <si>
    <t>What book is revised after every General Conference?</t>
  </si>
  <si>
    <t>Environmentalists are concerned about loss of biodiversity that will result from destruction of the forest, and also about the release of the carbon contained within the vegetation, which could accelerate global warming. Amazonian evergreen forests account for about 10% of the world's terrestrial primary productivity and 10% of the carbon stores in ecosystems—of the order of 1.1 × 1011 metric tonnes of carbon. Amazonian forests are estimated to have accumulated 0.62 ± 0.37 tons of carbon per hectare per year between 1975 and 1996.</t>
  </si>
  <si>
    <t>Bible</t>
  </si>
  <si>
    <t>tangential force</t>
  </si>
  <si>
    <t>later ARPANET architecture</t>
  </si>
  <si>
    <t>Sieur de La Salle had explored the Ohio Country nearly a century earlier</t>
  </si>
  <si>
    <t>marry one of his wife's ladies-in-waiting.</t>
  </si>
  <si>
    <t>property damage</t>
  </si>
  <si>
    <t>Neptune and Triton</t>
  </si>
  <si>
    <t>meaning that all who are truly believers in every age belong to the holy Church invisible</t>
  </si>
  <si>
    <t>What was the name of the telegraph company Tesla returned to after it became functional?</t>
  </si>
  <si>
    <t>a type of "blood poisoning"</t>
  </si>
  <si>
    <t>modern algebraic number theory</t>
  </si>
  <si>
    <t>ATP energy</t>
  </si>
  <si>
    <t>exceeds any given number</t>
  </si>
  <si>
    <t>them</t>
  </si>
  <si>
    <t>Leopold Kronenberg Palace</t>
  </si>
  <si>
    <t>A new arrangement of the theme, once again by Gold, was introduced in the 2007 Christmas special episode, "Voyage of the Damned"; Gold returned as composer for the 2010 series. He was responsible for a new version of the theme which was reported to have had a hostile reception from some viewers. In 2011, the theme tune charted at number 228 of radio station Classic FM's Hall of Fame, a survey of classical music tastes. A revised version of Gold's 2010 arrangement had its debut over the opening titles of the 2012 Christmas special "The Snowmen", and a further revision of the arrangement was made for the 50th Anniversary special "The Day of the Doctor" in November 2013.[citation needed]</t>
  </si>
  <si>
    <t>What is the oldest Methodist church in continuous use in the United States?</t>
  </si>
  <si>
    <t>After the merger between ABC and Capital Cities, who became the vice president of ABC broadcasting?</t>
  </si>
  <si>
    <t>John M. Grunsfeld</t>
  </si>
  <si>
    <t>North</t>
  </si>
  <si>
    <t>Of what did da Vinci think a part  was consumed during combustion?</t>
  </si>
  <si>
    <t>elliptical</t>
  </si>
  <si>
    <t>How much did Tesla weigh?</t>
  </si>
  <si>
    <t>wetter</t>
  </si>
  <si>
    <t>the best engineering school</t>
  </si>
  <si>
    <t>Barred by the government from settling in New France, Huguenots led by Jessé de Forest, sailed to North America in 1624 and settled instead in the Dutch colony of New Netherland (later incorporated into New York and New Jersey); as well as Great Britain's colonies, including Nova Scotia. A number of New Amsterdam's families were of Huguenot origin, often having emigrated as refugees to the Netherlands in the previous century. In 1628 the Huguenots established a congregation as L'Église française à la Nouvelle-Amsterdam (the French church in New Amsterdam). This parish continues today as L'Eglise du Saint-Esprit, part of the Episcopal (Anglican) communion, and welcomes Francophone New Yorkers from all over the world. Upon their arrival in New Amsterdam, Huguenots were offered land directly across from Manhattan on Long Island for a permanent settlement and chose the harbor at the end of Newtown Creek, becoming the first Europeans to live in Brooklyn, then known as Boschwick, in the neighborhood now known as Bushwick.</t>
  </si>
  <si>
    <t>firm, clear boundaries</t>
  </si>
  <si>
    <t>the network and the connected users</t>
  </si>
  <si>
    <t>How often must local lay servant reapply?</t>
  </si>
  <si>
    <t>the races of highest 'social efficiency'"</t>
  </si>
  <si>
    <t>participating in cell division, protein routing, and even disease resistance</t>
  </si>
  <si>
    <t>How many picks did Cam Newton throw?</t>
  </si>
  <si>
    <t>northwestern Russia</t>
  </si>
  <si>
    <t>standards of practice for the teaching profession</t>
  </si>
  <si>
    <t>around 20 hours</t>
  </si>
  <si>
    <t>irrational and backward</t>
  </si>
  <si>
    <t>Which Family Guy episodes contain Doctor Who references?</t>
  </si>
  <si>
    <t>narcotic drugs</t>
  </si>
  <si>
    <t>emphasize academics</t>
  </si>
  <si>
    <t>How are the rates of social goods in countries with higher inequality?</t>
  </si>
  <si>
    <t>356 ± 47 tonnes per hectare</t>
  </si>
  <si>
    <t>glass case</t>
  </si>
  <si>
    <t>love, patience, charity, and freedom</t>
  </si>
  <si>
    <t>two astronauts</t>
  </si>
  <si>
    <t>typographical error</t>
  </si>
  <si>
    <t>The Space Museum</t>
  </si>
  <si>
    <t>Roman</t>
  </si>
  <si>
    <t>Choctaw and the Creek</t>
  </si>
  <si>
    <t>death and divine judgment</t>
  </si>
  <si>
    <t>Where do transport vesicles move between?</t>
  </si>
  <si>
    <t>sacramental authority</t>
  </si>
  <si>
    <t>What society founded the University of Chicago?</t>
  </si>
  <si>
    <t>Religious Coalition for Reproductive Choice.</t>
  </si>
  <si>
    <t>in the dinophyte host</t>
  </si>
  <si>
    <t>a satellite platform</t>
  </si>
  <si>
    <t xml:space="preserve">One key figure in the plans for what would come to be known as American Empire, was a geographer named Isiah Bowman. Bowman was the director of the American Geographical Society in 1914. Three years later in 1917, he was appointed to then President Woodrow Wilson's inquiry in 1917. The inquiry was the idea of President Wilson and the American delegation from the Paris Peace Conference. The point of this inquiry was to build a premise that would allow for U.S authorship of a 'new world' which was to be characterized by geographical order. As a result of his role in the inquiry, Isiah Bowman would come to be known as Wilson's geographer. </t>
  </si>
  <si>
    <t>protect their tribal lands from commercial interests</t>
  </si>
  <si>
    <t>As what did Robert Michael view Luther's violent language towards the Jews?</t>
  </si>
  <si>
    <t>Who made their Super Bowl commercial debut with Nintendo?</t>
  </si>
  <si>
    <t>Over how many studies have shown that violence is more common in societies with income differences?</t>
  </si>
  <si>
    <t>more ATP than NADPH</t>
  </si>
  <si>
    <t>military roads to the area</t>
  </si>
  <si>
    <t>poor physical health</t>
  </si>
  <si>
    <t>with Tanaghrisson and his party, surprised the Canadians on May 28 in what became known as the Battle of Jumonville Glen</t>
  </si>
  <si>
    <t>"On the Computational Complexity of Algorithms"</t>
  </si>
  <si>
    <t>1695–1696</t>
  </si>
  <si>
    <t>on indulgences for the living</t>
  </si>
  <si>
    <t>What are we unsure of about how chloroplasts make methionine precursors?</t>
  </si>
  <si>
    <t>In addition to the Riemann hypothesis, many more conjectures revolving about primes have been posed. Often having an elementary formulation, many of these conjectures have withstood a proof for decades: all four of Landau's problems from 1912 are still unsolved. One of them is Goldbach's conjecture, which asserts that every even integer n greater than 2 can be written as a sum of two primes. As of February 2011[update], this conjecture has been verified for all numbers up to n = 2 · 1017. Weaker statements than this have been proven, for example Vinogradov's theorem says that every sufficiently large odd integer can be written as a sum of three primes. Chen's theorem says that every sufficiently large even number can be expressed as the sum of a prime and a semiprime, the product of two primes. Also, any even integer can be written as the sum of six primes. The branch of number theory studying such questions is called additive number theory.</t>
  </si>
  <si>
    <t>What group has approved the appointment of an openly partnered lesbian to the provisional diaconate?</t>
  </si>
  <si>
    <t>What did Tesla patent in 1891?</t>
  </si>
  <si>
    <t>January 1964, until it achieved the first manned landing in July 1969,</t>
  </si>
  <si>
    <t>When did Tesla admit to a reporter that maybe he'd sacrificed too much by not having a relationship?</t>
  </si>
  <si>
    <t>community-based conservation</t>
  </si>
  <si>
    <t>John B. Goodenough</t>
  </si>
  <si>
    <t>missile projects</t>
  </si>
  <si>
    <t>November 22</t>
  </si>
  <si>
    <t>How many phases was the Metro opened in between 1980 and 1984?</t>
  </si>
  <si>
    <t>When might starch grains become overly large?</t>
  </si>
  <si>
    <t>altitude chamber</t>
  </si>
  <si>
    <t>increased scrutiny</t>
  </si>
  <si>
    <t>What could justify restrictions on freedom of establishment?</t>
  </si>
  <si>
    <t>The Harvard Crimson competes in 42 intercollegiate sports in the NCAA Division I Ivy League. Harvard has an intense athletic rivalry with Yale University culminating in The Game, although the Harvard–Yale Regatta predates the football game. This rivalry, though, is put aside every two years when the Harvard and Yale Track and Field teams come together to compete against a combined Oxford University and Cambridge University team, a competition that is the oldest continuous international amateur competition in the world.</t>
  </si>
  <si>
    <t>standardized interface</t>
  </si>
  <si>
    <t>visions</t>
  </si>
  <si>
    <t>What are the principal cash crops in Kenya?</t>
  </si>
  <si>
    <t>What was added to the the church of St. Andrew in 1726?</t>
  </si>
  <si>
    <t>opportunity-based entrepreneurship</t>
  </si>
  <si>
    <t>Sky Digital platform</t>
  </si>
  <si>
    <t>What was another term used for the oil crisis?</t>
  </si>
  <si>
    <t>At the heart of scholars' debate about Luther's influence is whether it is anachronistic to view his work as a precursor of the racial antisemitism of the Nazis. Some scholars see Luther's influence as limited, and the Nazis' use of his work as opportunistic. Biographer Martin Brecht points out that "There is a world of difference between his belief in salvation and a racial ideology. Nevertheless, his misguided agitation had the evil result that Luther fatefully became one of the 'church fathers' of anti-Semitism and thus provided material for the modern hatred of the Jews, cloaking it with the authority of the Reformer." Johannes Wallmann argues that Luther's writings against the Jews were largely ignored in the 18th and 19th centuries, and that there was no continuity between Luther's thought and Nazi ideology. Uwe Siemon-Netto agreed, arguing that it was because the Nazis were already anti-Semites that they revived Luther's work. Hans J. Hillerbrand agreed that to focus on Luther was to adopt an essentially ahistorical perspective of Nazi antisemitism that ignored other contributory factors in German history. Similarly, Roland Bainton, noted church historian and Luther biographer, wrote "One could wish that Luther had died before ever [On the Jews and Their Lies] was written. His position was entirely religious and in no respect racial."</t>
  </si>
  <si>
    <t>The first recorded settlement in what is now Newcastle was Pons Aelius, a Roman fort and bridge across the River Tyne. It was given the family name of the Roman Emperor Hadrian, who founded it in the 2nd century AD. This rare honour suggests that Hadrian may have visited the site and instituted the bridge on his tour of Britain. The population of Pons Aelius at this period was estimated at 2,000. Fragments of Hadrian's Wall are still visible in parts of Newcastle, particularly along the West Road. The course of the "Roman Wall" can be traced eastwards to the Segedunum Roman fort in Wallsend—the "wall's end"—and to the supply fort Arbeia in South Shields. The extent of Hadrian's Wall was 73 miles (117 km), spanning the width of Britain; the Wall incorporated the Vallum, a large rearward ditch with parallel mounds, and was constructed primarily for defence, to prevent unwanted immigration and the incursion of Pictish tribes from the north, not as a fighting line for a major invasion.</t>
  </si>
  <si>
    <t>compressing and cooling it</t>
  </si>
  <si>
    <t>Victorian architecture</t>
  </si>
  <si>
    <t>former Strathclyde Regional Council debating chamber in Glasgow</t>
  </si>
  <si>
    <t>chemically</t>
  </si>
  <si>
    <t>When was the sale of NBC Blue to Edward John Noble authorized?</t>
  </si>
  <si>
    <t xml:space="preserve">How is circuit switching allocated </t>
  </si>
  <si>
    <t>What did John Dobson describe Newcastle as?</t>
  </si>
  <si>
    <t>When did Singer dispute the graph at a Senate hearing?</t>
  </si>
  <si>
    <t>dynamic equilibrium</t>
  </si>
  <si>
    <t>experience, ideology, and weapons</t>
  </si>
  <si>
    <t>Kenyan Coast</t>
  </si>
  <si>
    <t>Nonconservative</t>
  </si>
  <si>
    <t>What are the main sources of primary law?</t>
  </si>
  <si>
    <t>What policy gave Britain dominance in world trade?</t>
  </si>
  <si>
    <t>petrographic</t>
  </si>
  <si>
    <t>must be inherited by each daughter cell during cell division</t>
  </si>
  <si>
    <t>2p − 1, where p is an arbitrary prime</t>
  </si>
  <si>
    <t>How many Panthers players were chosen for the 2015 season's Pro Bowl?</t>
  </si>
  <si>
    <t>The Wimbledon</t>
  </si>
  <si>
    <t>the method by which the medications are requested and received</t>
  </si>
  <si>
    <t>a drive shaft</t>
  </si>
  <si>
    <t>What did Kublai's government have to balance between?</t>
  </si>
  <si>
    <t>a military coup d'état</t>
  </si>
  <si>
    <t>British</t>
  </si>
  <si>
    <t xml:space="preserve">What was produced at tesla's company? </t>
  </si>
  <si>
    <t>second and third run</t>
  </si>
  <si>
    <t>Major events also play a big part in tourism in Victoria, particularly cultural tourism and sports tourism. Most of these events are centred on Melbourne, but others occur in regional cities, such as the V8 Supercars and Australian Motorcycle Grand Prix at Phillip Island, the Grand Annual Steeplechase at Warrnambool and the Australian International Airshow at Geelong and numerous local festivals such as the popular Port Fairy Folk Festival, Queenscliff Music Festival, Bells Beach SurfClassic and the Bright Autumn Festival.</t>
  </si>
  <si>
    <t>stems</t>
  </si>
  <si>
    <t>The game's media day, which was typically held on the Tuesday afternoon prior to the game, was moved to the Monday evening and re-branded as Super Bowl Opening Night. The event was held on February 1, 2016 at SAP Center in San Jose. Alongside the traditional media availabilities, the event featured an opening ceremony with player introductions on a replica of the Golden Gate Bridge.</t>
  </si>
  <si>
    <t>What are other alternative names for French and Indian War?</t>
  </si>
  <si>
    <t>$3.5 billion and $118 for each of ABC's shares as well as a guarantee of 10% (or $3) for a total of $121 per share</t>
  </si>
  <si>
    <t>What school model is Sweden notable for?</t>
  </si>
  <si>
    <t>5.9%</t>
  </si>
  <si>
    <t>The Commission's President (</t>
  </si>
  <si>
    <t>What type of city has Warsaw been for as long as it's been a city?</t>
  </si>
  <si>
    <t>The earliest recorded incidents of collective civil disobedience took place during the Roman Empire[citation needed]. Unarmed Jews gathered in the streets to prevent the installation of pagan images in the Temple in Jerusalem.[citation needed][original research?] In modern times, some activists who commit civil disobedience as a group collectively refuse to sign bail until certain demands are met, such as favorable bail conditions, or the release of all the activists. This is a form of jail solidarity.[page needed] There have also been many instances of solitary civil disobedience, such as that committed by Thoreau, but these sometimes go unnoticed. Thoreau, at the time of his arrest, was not yet a well-known author, and his arrest was not covered in any newspapers in the days, weeks and months after it happened. The tax collector who arrested him rose to higher political office, and Thoreau's essay was not published until after the end of the Mexican War.</t>
  </si>
  <si>
    <t>Battle of the Restigouche</t>
  </si>
  <si>
    <t>135 feet long</t>
  </si>
  <si>
    <t>What would type of studying would require a teacher to take on a supervisor role?</t>
  </si>
  <si>
    <t>plan the physical proceedings, and to integrate those proceedings with the other parts</t>
  </si>
  <si>
    <t>(rise and fall according to market demand</t>
  </si>
  <si>
    <t>What was the score of the last game the Carolina Panthers played prior to the NFC Championship?</t>
  </si>
  <si>
    <t>What type of relationships do enthusiastic teachers cause?</t>
  </si>
  <si>
    <t>Genghis Khan realised that he needed people who could govern cities and states conquered by him. He also realised that such administrators could not be found among his Mongol people because they were nomads and thus had no experience governing cities. For this purpose Genghis Khan invited a Khitan prince, Chu'Tsai, who worked for the Jin and had been captured by the Mongol army after the Jin dynasty was defeated. Jin had captured power by displacing Khitan. Genghis told Chu'Tsai, who was a lineal descendant of Khitan rulers, that he had avenged Chu'Tsai's forefathers. Chu'Tsai responded that his father served the Jin dynasty honestly and so did he; also he did not consider his own father his enemy, so the question of revenge did not apply. This reply impressed Genghis Khan. Chu'Tsai administered parts of the Mongol Empire and became a confidant of the successive Mongol Khans.</t>
  </si>
  <si>
    <t>the Ten Commandments</t>
  </si>
  <si>
    <t>How many volts could particles be charged to in his weapon design?</t>
  </si>
  <si>
    <t>What helped spread Protestantism in France?</t>
  </si>
  <si>
    <t>many of its genes were lost or transferred to the nucleus of the host</t>
  </si>
  <si>
    <t>The specific devolved matters are all subjects which are not explicitly stated in Schedule 5 to the Scotland Act as reserved matters. All matters that are not specifically reserved are automatically devolved to the Scottish Parliament. Most importantly, this includes agriculture, fisheries and forestry, economic development, education, environment, food standards, health, home affairs, Scots law – courts, police and fire services, local government, sport and the arts, transport, training, tourism, research and statistics and social work. The Scottish Parliament has the ability to alter income tax in Scotland by up to 3 pence in the pound. The 2012 Act conferred further fiscal devolution including borrowing powers and some other unconnected matters such as setting speed limits and control of air guns.</t>
  </si>
  <si>
    <t>no known polynomial-time solution</t>
  </si>
  <si>
    <t>French irregular forces</t>
  </si>
  <si>
    <t>lunar orbital sensors and cameras</t>
  </si>
  <si>
    <t>an enzyme called rubisco</t>
  </si>
  <si>
    <t>very influential</t>
  </si>
  <si>
    <t>as soon as they enter into force, unless stated otherwise</t>
  </si>
  <si>
    <t>The bend on the Rhine goes from the West to what direction?</t>
  </si>
  <si>
    <t>pseudo</t>
  </si>
  <si>
    <t>British blockade of the French coastline</t>
  </si>
  <si>
    <t>a system of many biological structures and processes within an organism</t>
  </si>
  <si>
    <t>What are the two different types of immunity?</t>
  </si>
  <si>
    <t>algebraic number theory</t>
  </si>
  <si>
    <t>"white flight"</t>
  </si>
  <si>
    <t>How many launch pads were originally planned?</t>
  </si>
  <si>
    <t>What do photosynthetic carotenoids do?</t>
  </si>
  <si>
    <t>yellow chlorophyll precursor</t>
  </si>
  <si>
    <t>Soon after the Normans began to enter Italy, they entered the Byzantine Empire and then Armenia, fighting against the Pechenegs, the Bulgars, and especially the Seljuk Turks. Norman mercenaries were first encouraged to come to the south by the Lombards to act against the Byzantines, but they soon fought in Byzantine service in Sicily. They were prominent alongside Varangian and Lombard contingents in the Sicilian campaign of George Maniaces in 1038–40. There is debate whether the Normans in Greek service actually were from Norman Italy, and it now seems likely only a few came from there. It is also unknown how many of the "Franks", as the Byzantines called them, were Normans and not other Frenchmen.</t>
  </si>
  <si>
    <t>religious groups</t>
  </si>
  <si>
    <t>What activity maintains topographic gradients?</t>
  </si>
  <si>
    <t>months after it happened</t>
  </si>
  <si>
    <t>9–18</t>
  </si>
  <si>
    <t>Who formed the government in Kenya?</t>
  </si>
  <si>
    <t>Musicians Eric Burdon, Sting, Mark Knopfler, Alan Hull, Cheryl Cole and Neil Tennant lived in Newcastle. Hank Marvin and Bruce Welch were both former pupils of Rutherford Grammar School, actors Charlie Hunnam and James Scott, entertainers Ant and Dec and international footballers Michael Carrick and Alan Shearer were born in Newcastle. Multiple circumnavigator David Scott Cowper, Nobel Prize winning physicist Peter Higgs, and former WWE NXT champion Neville were born in the city. John Dunn, inventor of keyed Northumbrian smallpipes, the most characteristic musical instrument in the region, lived and worked in the city.</t>
  </si>
  <si>
    <t>principal role</t>
  </si>
  <si>
    <t>In the Sandgate area, to the east of the city and beside the river, resided the close-knit community of keelmen and their families. They were so called because they worked on the keels, boats that were used to transfer coal from the river banks to the waiting colliers, for export to London and elsewhere. In the 1630s about 7,000 out of 20,000 inhabitants of Newcastle died of plague, more than one-third of the population. Specifically within the year 1636, it is roughly estimated with evidence held by the Society of Antiquaries that 47% of the then population of Newcastle died from the epidemic; this may also have been the most devastating loss in any British City in this period.</t>
  </si>
  <si>
    <t>Among whom was Genghis Khan's empire split after his death?</t>
  </si>
  <si>
    <t>governmental entities</t>
  </si>
  <si>
    <t>the American delegation from the Paris Peace Conference</t>
  </si>
  <si>
    <t>When were the finalists announced?</t>
  </si>
  <si>
    <t>In which century were the four Devonshire Hunting Tapestries woven?</t>
  </si>
  <si>
    <t>What are public schools in Victoria?</t>
  </si>
  <si>
    <t>What often affects or facilitates ease of analysis in computational problems?</t>
  </si>
  <si>
    <t>the Australian Government</t>
  </si>
  <si>
    <t>sentence</t>
  </si>
  <si>
    <t>What country has the most illiterate adults in the world?</t>
  </si>
  <si>
    <t>invasion failed</t>
  </si>
  <si>
    <t>American Broadcasting-Paramount Theatres, Inc.</t>
  </si>
  <si>
    <t>The Master</t>
  </si>
  <si>
    <t>common flagellated</t>
  </si>
  <si>
    <t>weather-related fluctuations</t>
  </si>
  <si>
    <t>freight</t>
  </si>
  <si>
    <t>£34m per year</t>
  </si>
  <si>
    <t>University of Chicago scholars played a major part in what development?</t>
  </si>
  <si>
    <t>time machine</t>
  </si>
  <si>
    <t>what was invented in 1880 that revolutionized warfare?</t>
  </si>
  <si>
    <t>slug</t>
  </si>
  <si>
    <t>How many meals a day do normal Kenyans eat?</t>
  </si>
  <si>
    <t>What trading company helped settle Huguenots near the Cape?</t>
  </si>
  <si>
    <t>How long would the astronauts be project to be able to stay on the moon for in the latter missions?</t>
  </si>
  <si>
    <t>the Fifth, Sixth and Seventh Doctors</t>
  </si>
  <si>
    <t>aligning his personal goals with his academic goals.</t>
  </si>
  <si>
    <t>What entity sparked the growth of Fresno Station?</t>
  </si>
  <si>
    <t>What causes the population of ctenophora to grow at an explosive rate?</t>
  </si>
  <si>
    <t>displace the thylakoids, but leave them intact.</t>
  </si>
  <si>
    <t>map out their ancestral lands to help strengthen their territorial claims</t>
  </si>
  <si>
    <t>What choice did French have for surrendering land?</t>
  </si>
  <si>
    <t>three years before his death</t>
  </si>
  <si>
    <t>arthritis, and an ear infection ruptured an ear drum</t>
  </si>
  <si>
    <t>Faith alone</t>
  </si>
  <si>
    <t>Luther devised the catechism as a method of imparting the basics of Christianity to the congregations. In 1529, he wrote the Large Catechism, a manual for pastors and teachers, as well as a synopsis, the Small Catechism, to be memorised by the people themselves. The catechisms provided easy-to-understand instructional and devotional material on the Ten Commandments, the Apostles' Creed, the Lord's Prayer, baptism, and the Lord's Supper. Luther incorporated questions and answers in the catechism so that the basics of Christian faith would not just be learned by rote, "the way monkeys do it", but understood.</t>
  </si>
  <si>
    <t>What can the non-elected members from the Scottish Government not do?</t>
  </si>
  <si>
    <t>Those involved with the design and execution of the infrastructure in question</t>
  </si>
  <si>
    <t>grace of God which sustains the believers in the journey toward Christian Perfection</t>
  </si>
  <si>
    <t>alternative T cell receptor (TCR)</t>
  </si>
  <si>
    <t>general principles of European Union law</t>
  </si>
  <si>
    <t>Since the 1970s</t>
  </si>
  <si>
    <t>India</t>
  </si>
  <si>
    <t>cycling festival,</t>
  </si>
  <si>
    <t>What group initiated the community dialogues?</t>
  </si>
  <si>
    <t>phagosomal</t>
  </si>
  <si>
    <t>Thomas Vasey and Richard Whatcoat</t>
  </si>
  <si>
    <t>Medium Term Plan</t>
  </si>
  <si>
    <t>How large are granal thylakoids?</t>
  </si>
  <si>
    <t>by a fee per unit of information transmitted, such as characters, packets, or messages</t>
  </si>
  <si>
    <t>Where is Peridinin found?</t>
  </si>
  <si>
    <t>His poem is considered the first kind of what type of protest?</t>
  </si>
  <si>
    <t>What are the molecular inputs for photosynthesis?</t>
  </si>
  <si>
    <t>Who performed the funeral for Martin Luther?</t>
  </si>
  <si>
    <t>In 1735, John and Charles Wesley went to America to teach the gospel to the American Indians in the colony of Georgia. In less than two years, the "Holy Club" disbanded. John Wesley returned to England and met with a group of clergy he respected. He said "they appeared to be of one heart, as well as of one judgment, resolved to be Bible-Christians at all events; and, wherever they were, to preach with all their might plain, old, Bible Christianity". The ministers retained their membership in the Church of England. Though not always emphasized or appreciated in the Anglican churches of their day, their teaching emphasized salvation by God's grace, acquired through faith in Christ. Three teachings they saw as the foundation of Christian faith were:</t>
  </si>
  <si>
    <t>Setting speed limits was one of the further devolutions which was conferred by what act?</t>
  </si>
  <si>
    <t>What kind of data did ABC begin using in the 1970s to better target ads and programming for certain audiences?</t>
  </si>
  <si>
    <t>Hence, 6 is not prime. The image at the right illustrates that 12 is not prime: 12 = 3 · 4. No even number greater than 2 is prime because by definition, any such number n has at least three distinct divisors, namely 1, 2, and n. This implies that n is not prime. Accordingly, the term odd prime refers to any prime number greater than 2. Similarly, when written in the usual decimal system, all prime numbers larger than 5 end in 1, 3, 7, or 9, since even numbers are multiples of 2 and numbers ending in 0 or 5 are multiples of 5.</t>
  </si>
  <si>
    <t>How many were killed by plague in Naples in 1656?</t>
  </si>
  <si>
    <t>widespread agitation for constitutional reform</t>
  </si>
  <si>
    <t>aerobic exercise</t>
  </si>
  <si>
    <t>What document formed the Parliament of Victoria?</t>
  </si>
  <si>
    <t>11.5 inches (292.1 mm)</t>
  </si>
  <si>
    <t>at Konwiktorska Street</t>
  </si>
  <si>
    <t>In what body of water is the Harvard - Yale Regatta held?</t>
  </si>
  <si>
    <t>Along with the Anglican Church and Uniting Church, what religious denomination operates private schools in Australia?</t>
  </si>
  <si>
    <t>The Eleventh Doctor</t>
  </si>
  <si>
    <t>a proper legal basis</t>
  </si>
  <si>
    <t>Rail transport in Victoria is provided by several private and public railway operators who operate over government-owned lines. Major operators include: Metro Trains Melbourne which runs an extensive, electrified, passenger system throughout Melbourne and suburbs; V/Line which is now owned by the Victorian Government, operates a concentrated service to major regional centres, as well as long distance services on other lines; Pacific National, CFCL Australia which operate freight services; Great Southern Rail which operates The Overland Melbourne—Adelaide; and NSW TrainLink which operates XPTs Melbourne—Sydney.</t>
  </si>
  <si>
    <t>several hundred</t>
  </si>
  <si>
    <t>things that are a matter of custom or expectation</t>
  </si>
  <si>
    <t>rotational equivalent for position</t>
  </si>
  <si>
    <t>arthritis, and an ear infection ruptured an ear drum. In December 1544, he began to feel the effects of angina.</t>
  </si>
  <si>
    <t>Who often operates internet pharmacies?</t>
  </si>
  <si>
    <t>harder</t>
  </si>
  <si>
    <t>Where are a bulk of factories concentrated along the Rhine?</t>
  </si>
  <si>
    <t>are in contact with the stroma</t>
  </si>
  <si>
    <t>Tang, Song, as well as Khitan Liao and Jurchen Jin dynasties</t>
  </si>
  <si>
    <t>What is one of the largest music schools in Europe?</t>
  </si>
  <si>
    <t>What popular phrase is associated with the Doctor Who series?</t>
  </si>
  <si>
    <t>major division</t>
  </si>
  <si>
    <t>In private schools, what language are classes taught in?</t>
  </si>
  <si>
    <t>steam engine indicator</t>
  </si>
  <si>
    <t>ABC Sunday Night Movie</t>
  </si>
  <si>
    <t>World Today</t>
  </si>
  <si>
    <t>the World Meteorological Organization (WMO) and the United Nations Environment Programme (UNEP)</t>
  </si>
  <si>
    <t>the establishment of a new and independent Ethics and Anti-Corruption Commission</t>
  </si>
  <si>
    <t>Packet_switching</t>
  </si>
  <si>
    <t>printed books and the work of European artists and craftsmen employed in Britain</t>
  </si>
  <si>
    <t>What was he hoping to stimulate with the toe squishing?</t>
  </si>
  <si>
    <t>John Paul II's visits to his native country in 1979 and 1983 brought support to the budding solidarity movement and encouraged the growing anti-communist fervor there. In 1979, less than a year after becoming pope, John Paul celebrated Mass in Victory Square in Warsaw and ended his sermon with a call to "renew the face" of Poland: Let Thy Spirit descend! Let Thy Spirit descend and renew the face of the land! This land! These words were very meaningful for the Polish citizens who understood them as the incentive for the democratic changes.</t>
  </si>
  <si>
    <t>frontiers between New France and the British colonies</t>
  </si>
  <si>
    <t>Italy</t>
  </si>
  <si>
    <t>in the late 1870s</t>
  </si>
  <si>
    <t>The way a teacher promotes the course they are teaching, the more the student will get out of the subject matter. The three most important aspects of teacher enthusiasm are enthusiasm about teaching, enthusiasm about the students, and enthusiasm about the subject matter. A teacher must enjoy teaching. If they do not enjoy what they are doing, the students will be able to tell. They also must enjoy being around their students. A teacher who cares for their students is going to help that individual succeed in their life in the future. The teacher also needs to be enthusiastic about the subject matter they are teaching. For example, a teacher talking about chemistry needs to enjoy the art of chemistry and show that to their students. A spark in the teacher may create a spark of excitement in the student as well. An enthusiastic teacher has the ability to be very influential in the young students life.</t>
  </si>
  <si>
    <t>before Braddock's departure</t>
  </si>
  <si>
    <t>differences in value</t>
  </si>
  <si>
    <t>Five</t>
  </si>
  <si>
    <t>the Smalcald Articles</t>
  </si>
  <si>
    <t>What does pushing and pulling perceptions provide for describing forces?</t>
  </si>
  <si>
    <t>How much was the combined wealth of the "10 Million dollar millionaires" in 2008?</t>
  </si>
  <si>
    <t>What happened to the building on George IV Bridge when the Parliament was done with it?</t>
  </si>
  <si>
    <t>remaining in black and white</t>
  </si>
  <si>
    <t>Jesus the Interpreter</t>
  </si>
  <si>
    <t>Besides the study of prime numbers, what general theory was considered the official example of pure mathematics?</t>
  </si>
  <si>
    <t>Where did Harold II die?</t>
  </si>
  <si>
    <t>opportunity-based</t>
  </si>
  <si>
    <t>paid professionals.</t>
  </si>
  <si>
    <t>the first FCC-licensed public data network in the United States</t>
  </si>
  <si>
    <t>What did Tesla do in Maribor for work?</t>
  </si>
  <si>
    <t>a double membrane</t>
  </si>
  <si>
    <t>What did Fritschel say the man's sleep was disturbed by?</t>
  </si>
  <si>
    <t>half as much</t>
  </si>
  <si>
    <t>Who did the peasants think Luther would support an attack on?</t>
  </si>
  <si>
    <t>more fundamental electroweak interaction.</t>
  </si>
  <si>
    <t>friend</t>
  </si>
  <si>
    <t>common prayer of the dying.</t>
  </si>
  <si>
    <t>what the climate was like millions of years ago</t>
  </si>
  <si>
    <t>£26,719</t>
  </si>
  <si>
    <t>The Newcastle Beer Festival, organized by CAMRA, takes place in April. In May, Newcastle and Gateshead host the Evolution Festival, a music festival held on the Newcastle and Gateshead Quaysides over the Spring bank holiday, with performances by acts from the world of Rock, Indie and Dance music. The biennial AV Festival of international electronic art, featuring exhibitions, concerts, conferences and film screenings, is held in March. The North East Art Expo, a festival of art and design from the regions professional artists, is held in late May. EAT! NewcastleGateshead, a festival of food and drink, runs for 2 weeks each year in mid June.</t>
  </si>
  <si>
    <t>What industry did the nobleman establish with this settlement?</t>
  </si>
  <si>
    <t>What series years are available on Blu-ray?</t>
  </si>
  <si>
    <t>location of Warsaw</t>
  </si>
  <si>
    <t>public service</t>
  </si>
  <si>
    <t>4.6 billion years</t>
  </si>
  <si>
    <t>shrinking Western demand</t>
  </si>
  <si>
    <t>Dogg Pound</t>
  </si>
  <si>
    <t>did in fact not break any law</t>
  </si>
  <si>
    <t>1.6-million-year-old</t>
  </si>
  <si>
    <t>Victoria contains many topographically, geologically and climatically diverse areas, ranging from the wet, temperate climate of Gippsland in the southeast to the snow-covered Victorian alpine areas which rise to almost 2,000 m (6,600 ft), with Mount Bogong the highest peak at 1,986 m (6,516 ft). There are extensive semi-arid plains to the west and northwest. There is an extensive series of river systems in Victoria. Most notable is the Murray River system. Other rivers include: Ovens River, Goulburn River, Patterson River, King River, Campaspe River, Loddon River, Wimmera River, Elgin River, Barwon River, Thomson River, Snowy River, Latrobe River, Yarra River, Maribyrnong River, Mitta River, Hopkins River, Merri River and Kiewa River. The state symbols include the pink heath (state flower), Leadbeater's possum (state animal) and the helmeted honeyeater (state bird).</t>
  </si>
  <si>
    <t>proprietary suite of networking protocols</t>
  </si>
  <si>
    <t>various academic disciplines</t>
  </si>
  <si>
    <t>During the same year, Tesla wrote a treatise, The Art of Projecting Concentrated Non-dispersive Energy through the Natural Media, concerning charged particle beam weapons. Tesla published the document in an attempt to expound on the technical description of a "superweapon that would put an end to all war." This treatise is currently in the Nikola Tesla Museum archive in Belgrade. It describes an open-ended vacuum tube with a gas jet seal that allows particles to exit, a method of charging particles to millions of volts, and a method of creating and directing non-dispersive particle streams (through electrostatic repulsion). Tesla tried to interest the US War Department, the United Kingdom, the Soviet Union, and Yugoslavia in the device.</t>
  </si>
  <si>
    <t>healthy living</t>
  </si>
  <si>
    <t>What do the strains of y. pestis suggest abut the plague?</t>
  </si>
  <si>
    <t>divergent boundaries</t>
  </si>
  <si>
    <t>allowing the lander spacecraft to be used as a "lifeboat</t>
  </si>
  <si>
    <t>the role of nineteenth-century maps</t>
  </si>
  <si>
    <t>Contrary to popular belief, Genghis Khan did not conquer all the areas ultimately part of the Mongol Empire. At the time of his death, the Mongol Empire stretched from the Caspian Sea to the Sea of Japan. The empire's expansion continued for a generation or more after Genghis's death in 1227. Under Genghis's successor Ögedei Khan the speed of expansion reached its peak. Mongol armies pushed into Persia, finished off the Western Xia and the remnants of the Khwarezmids, and came into conflict with the imperial Song dynasty of China, starting a war that lasted until 1279 and that concluded with the Mongols gaining control of all of China. They also pushed further into Russia and eastern Europe.</t>
  </si>
  <si>
    <t>"golden anniversary"</t>
  </si>
  <si>
    <t>How many teams did Los Angeles used to have?</t>
  </si>
  <si>
    <t>more equality in the income distribution</t>
  </si>
  <si>
    <t>The UMC teaches that pornography is about what?</t>
  </si>
  <si>
    <t>Whose control of the UK's government helped fuel a desire for a Scottish Parliament?</t>
  </si>
  <si>
    <t>What did the Jewish people do so pagan items wouldn't be in the temple of Jerusalem?</t>
  </si>
  <si>
    <t>What is grown in the fertile highlands?</t>
  </si>
  <si>
    <t>On December 28, 2015, ESPN Deportes announced that they had reached an agreement with CBS and the NFL to be the exclusive Spanish-language broadcaster of the game, marking the third dedicated Spanish-language broadcast of the Super Bowl. Unlike NBC and Fox, CBS does not have a Spanish-language outlet of its own that could broadcast the game (though per league policy, a separate Spanish play-by-play call was carried on CBS's second audio program channel for over-the-air viewers). The game was called by ESPN Deportes' Monday Night Football commentary crew of Alvaro Martin and Raul Allegre, and sideline reporter John Sutcliffe. ESPN Deportes broadcast pre-game and post-game coverage, while Martin, Allegre, and Sutcliffe contributed English-language reports for ESPN's SportsCenter and Mike &amp; Mike.</t>
  </si>
  <si>
    <t>Do the U.S. flags on the moon still have their original coloring or were they faded due to the Sun?</t>
  </si>
  <si>
    <t>What branch is independant of the other branches?</t>
  </si>
  <si>
    <t>What types of schools are most ergänzungsschulen?</t>
  </si>
  <si>
    <t>The LOR method had the advantage of allowing the lander spacecraft to be used as a "lifeboat" in the event of a failure of the command ship. Some documents prove this theory was discussed before and after the method was chosen. A 1964 MSC study concluded, "The LM [as lifeboat] ... was finally dropped, because no single reasonable CSM failure could be identified that would prohibit use of the SPS." Ironically, just such a failure happened on Apollo 13 when an oxygen tank explosion left the command ship without electrical power. The Lunar Module provided propulsion, electrical power and life support to get the crew home safely.</t>
  </si>
  <si>
    <t>colonizing</t>
  </si>
  <si>
    <t>ruin him</t>
  </si>
  <si>
    <t>Buckland Valley near Bright</t>
  </si>
  <si>
    <t>asthenosphere</t>
  </si>
  <si>
    <t>The tapestry collection includes a fragment of the Cloth of St Gereon, the oldest known surviving European tapestry. A highlight of the collection is the four Devonshire Hunting Tapestries, very rare 15th-century tapestries, woven in the Netherlands, depicting the hunting of various animals; not just their age but their size make these unique. Both of the major English centres of tapestry weaving of the 16th and 17th centuries respectively, Sheldon &amp; Mortlake are represented in the collection by several examples. Also included are tapestries from John Vanderbank's workshop which was the leading English tapestry manufactory in the late 17th century and early 18th century. Some of the finest tapestries are examples from the Gobelins workshop, including a set of 'Jason and the Argonauts' dating from the 1750s. Other continental centres of tapestry weaving with work in the collection include Brussels, Tournai, Beauvais, Strasbourg and Florence.</t>
  </si>
  <si>
    <t>gilt copper</t>
  </si>
  <si>
    <t>How many residents does the greater metropolitan area have?</t>
  </si>
  <si>
    <t>mountains</t>
  </si>
  <si>
    <t>What molecules act as defense signals?</t>
  </si>
  <si>
    <t>a simple majority vote</t>
  </si>
  <si>
    <t>When did the United States withdraw from the Bretton Woods Accord?</t>
  </si>
  <si>
    <t>Richard I</t>
  </si>
  <si>
    <t>What do counties sometimes offer to get more teachers?</t>
  </si>
  <si>
    <t>all in his mind</t>
  </si>
  <si>
    <t>What shape are granal thylakoids?</t>
  </si>
  <si>
    <t>College sports are also popular in southern California. The UCLA Bruins and the USC Trojans both field teams in NCAA Division I in the Pac-12 Conference, and there is a longtime rivalry between the schools.</t>
  </si>
  <si>
    <t>Thomas Reid and Dugald Stewart</t>
  </si>
  <si>
    <t>Britain's support of France in which war led to Rodin donating many of his sculptures to the V&amp;A?</t>
  </si>
  <si>
    <t>throughout its North American provinces</t>
  </si>
  <si>
    <t>28 ABC affiliates and two additional subchannel-only</t>
  </si>
  <si>
    <t>22 October 2006</t>
  </si>
  <si>
    <t>1530s and 1540s</t>
  </si>
  <si>
    <t>What increases student's motivation to learn?</t>
  </si>
  <si>
    <t>Controlled, experimental</t>
  </si>
  <si>
    <t>How much weight could the Saturn IB send into space with this amount of thrust?</t>
  </si>
  <si>
    <t>What was the wedding date?</t>
  </si>
  <si>
    <t>Italian and French Renaissance objects</t>
  </si>
  <si>
    <t>What is a name for the different ways to instruct students?</t>
  </si>
  <si>
    <t>a Scottish Parliament</t>
  </si>
  <si>
    <t>"the poor application of well-established IPCC procedures in this instance"</t>
  </si>
  <si>
    <t>about 3.5 billion years ago</t>
  </si>
  <si>
    <t>Civil disobedience</t>
  </si>
  <si>
    <t>by theme</t>
  </si>
  <si>
    <t>maze of semantical problems and grammatical niceties</t>
  </si>
  <si>
    <t>What is the name of the museum and research center for Near Eastern studies, that is owned by the university?</t>
  </si>
  <si>
    <t>to make an impression</t>
  </si>
  <si>
    <t>counties</t>
  </si>
  <si>
    <t>What is included in Medication Therapy Management?</t>
  </si>
  <si>
    <t>Where have some workers made more than $100,000?</t>
  </si>
  <si>
    <t>Reconstruction</t>
  </si>
  <si>
    <t>in C4 plants</t>
  </si>
  <si>
    <t>Budapest Telephone Exchange</t>
  </si>
  <si>
    <t>In an atmospheric engine, what does air pressure push against?</t>
  </si>
  <si>
    <t>Who gave her royal assent to the Scotland Act of 1998?</t>
  </si>
  <si>
    <t>1000 and 1900</t>
  </si>
  <si>
    <t>socialism in one country'</t>
  </si>
  <si>
    <t>December 12</t>
  </si>
  <si>
    <t>sex offenders</t>
  </si>
  <si>
    <t>some hornworts and algae</t>
  </si>
  <si>
    <t>protective radiation shield</t>
  </si>
  <si>
    <t>a roof</t>
  </si>
  <si>
    <t>15 miles</t>
  </si>
  <si>
    <t>uses unfermented grape juice</t>
  </si>
  <si>
    <t>NP-hard problems</t>
  </si>
  <si>
    <t>Tyne and Wear Metro</t>
  </si>
  <si>
    <t>The United Methodist Church (UMC) is a mainline Protestant Methodist denomination. In the 19th century its main predecessor was a leader in Evangelicalism. Founded in 1968 by the union of the Methodist Church (USA) and the Evangelical United Brethren Church, the UMC traces its roots back to the revival movement of John and Charles Wesley in England as well as the Great Awakening in the United States. As such, the church's theological orientation is decidedly Wesleyan. It embraces both liturgical and evangelical elements.</t>
  </si>
  <si>
    <t>What is the estimate of how many physicians give out drugs on their own?</t>
  </si>
  <si>
    <t>What can curtail the risk of occupational injuries in the construction industry?</t>
  </si>
  <si>
    <t>a green algal derived chloroplast</t>
  </si>
  <si>
    <t>e Red Army</t>
  </si>
  <si>
    <t>Murray Gold and Ben Foster</t>
  </si>
  <si>
    <t>What did the Zuider Zee brackish lagoon change into?</t>
  </si>
  <si>
    <t>From which countries did the Norse originate?</t>
  </si>
  <si>
    <t>five times</t>
  </si>
  <si>
    <t>respect</t>
  </si>
  <si>
    <t>In which case was a Dutch national not entitled to continue receiving benefits when he moved to Belgium?</t>
  </si>
  <si>
    <t>From what does photosynthesis get oxygen?</t>
  </si>
  <si>
    <t>The "Huguenot Street Historic District" in New Paltz</t>
  </si>
  <si>
    <t>What type of algorithm is trial division?</t>
  </si>
  <si>
    <t>What was the name of the King of the Scots?</t>
  </si>
  <si>
    <t>was not covered in any newspapers in the days, weeks and months after it happened.</t>
  </si>
  <si>
    <t>What exchange in Warsaw is one of the most important for Central and Eastern Europe?</t>
  </si>
  <si>
    <t>What did this help accomplish?</t>
  </si>
  <si>
    <t>How many outputs are expected for each input in a function problem?</t>
  </si>
  <si>
    <t>Until the early 1980s, industry was a major source of water pollution. Although many plants and factories can be found along the Rhine up into Switzerland, it is along the Lower Rhine that the bulk of them are concentrated, as the river passes the major cities of Cologne, Düsseldorf and Duisburg. Duisburg is the home of Europe's largest inland port and functions as a hub to the sea ports of Rotterdam, Antwerp and Amsterdam. The Ruhr, which joins the Rhine in Duisburg, is nowadays a clean river, thanks to a combination of stricter environmental controls, a transition from heavy industry to light industry and cleanup measures, such as the reforestation of Slag and brownfields. The Ruhr currently provides the region with drinking water. It contributes 70 m3/s (2,500 cu ft/s) to the Rhine. Other rivers in the Ruhr Area, above all, the Emscher, still carry a considerable degree of pollution.</t>
  </si>
  <si>
    <t>During that year, Tesla worked in Pittsburgh, helping to create an alternating current system to power the city's streetcars. He found the time there frustrating because of conflicts between him and the other Westinghouse engineers over how best to implement AC power. Between them, they settled on a 60-cycle AC current system Tesla proposed (to match the working frequency of Tesla's motor), although they soon found that, since Tesla's induction motor could only run at a constant speed, it would not work for street cars. They ended up using a DC traction motor instead.</t>
  </si>
  <si>
    <t>forts Shirley had erected at the Oneida Carry</t>
  </si>
  <si>
    <t>How do both chloroplast membranes compare to cyanobacterium's original double membranes?</t>
  </si>
  <si>
    <t>cloud storage</t>
  </si>
  <si>
    <t>the local church</t>
  </si>
  <si>
    <t>1961 to 1972</t>
  </si>
  <si>
    <t>What did the increase in skilled workers lead to?</t>
  </si>
  <si>
    <t>advantages in long-distance, high-voltage transmission</t>
  </si>
  <si>
    <t>The T. T. Tsui Gallery</t>
  </si>
  <si>
    <t>over 2,000</t>
  </si>
  <si>
    <t>as a draftsman</t>
  </si>
  <si>
    <t>Some of the museum's collection of Korean boxes are inlaid with what objects?</t>
  </si>
  <si>
    <t>What type of launch was happening during the Apollo 1 incident?</t>
  </si>
  <si>
    <t>When is the Evolution Festival hosted?</t>
  </si>
  <si>
    <t>Where in China is Genghis Khan most favorably viewed today?</t>
  </si>
  <si>
    <t>extinction of the dinosaurs</t>
  </si>
  <si>
    <t>WTRF-TV</t>
  </si>
  <si>
    <t>Sunday Times University of the Year</t>
  </si>
  <si>
    <t>What was Tesla's position at the Budapest Telephone Exchange?</t>
  </si>
  <si>
    <t>What do extremely unequal societies tend to be?</t>
  </si>
  <si>
    <t>What logo is used for all merchandise that features past Doctors?</t>
  </si>
  <si>
    <t>What is the position of the satellite that allowed sky to broadcast channels almost elclusively for the United Kingdom?</t>
  </si>
  <si>
    <t>Computer Science Network</t>
  </si>
  <si>
    <t>cattle were brought across</t>
  </si>
  <si>
    <t>What is the process by which pathogens evade the immune system by hiding inside the host cells called?</t>
  </si>
  <si>
    <t>a genuine love of God with heart, soul, mind, and strength, and a genuine love of our neighbors as ourselves</t>
  </si>
  <si>
    <t>the Church of St Thomas the Martyr</t>
  </si>
  <si>
    <t>What is something that is often torn up and included in sedimentary rock?</t>
  </si>
  <si>
    <t>a blue British police box</t>
  </si>
  <si>
    <t>European</t>
  </si>
  <si>
    <t>semi-arid savanna to the north and east</t>
  </si>
  <si>
    <t>March 29, 1883</t>
  </si>
  <si>
    <t>Other than the Automobile Club of Southern California, what other AAA Auto Club chose to simplify the divide?</t>
  </si>
  <si>
    <t>email</t>
  </si>
  <si>
    <t>Perhaps the most significant difference between primary school and secondary school teaching is the relationship between teachers and children. In primary schools each class has a teacher who stays with them for most of the week and will teach them the whole curriculum. In secondary schools they will be taught by different subject specialists each session during the week and may have ten or more different teachers. The relationship between children and their teachers tends to be closer in the primary school where they act as form tutor, specialist teacher and surrogate parent during the course of the day.</t>
  </si>
  <si>
    <t>When were Shimer College students allowed to transfer to the University of Chicago?</t>
  </si>
  <si>
    <t>p − 1</t>
  </si>
  <si>
    <t>Closely related fields in theoretical computer science are analysis of algorithms and computability theory. A key distinction between analysis of algorithms and computational complexity theory is that the former is devoted to analyzing the amount of resources needed by a particular algorithm to solve a problem, whereas the latter asks a more general question about all possible algorithms that could be used to solve the same problem. More precisely, it tries to classify problems that can or cannot be solved with appropriately restricted resources. In turn, imposing restrictions on the available resources is what distinguishes computational complexity from computability theory: the latter theory asks what kind of problems can, in principle, be solved algorithmically.</t>
  </si>
  <si>
    <t>What were the three parts of Kublai's government?</t>
  </si>
  <si>
    <t>How would the operator of observe the reflected signal?</t>
  </si>
  <si>
    <t>change of heart</t>
  </si>
  <si>
    <t>Digital Spy</t>
  </si>
  <si>
    <t>Older than The Game by 23 years, the Harvard-Yale Regatta was the original source of the athletic rivalry between the two schools. It is held annually in June on the Thames River in eastern Connecticut. The Harvard crew is typically considered to be one of the top teams in the country in rowing. Today, Harvard fields top teams in several other sports, such as the Harvard Crimson men's ice hockey team (with a strong rivalry against Cornell), squash, and even recently won NCAA titles in Men's and Women's Fencing. Harvard also won the Intercollegiate Sailing Association National Championships in 2003.</t>
  </si>
  <si>
    <t>scientific papers and independently documented results from other scientific bodies</t>
  </si>
  <si>
    <t>Where do the branches Waal and Nederrijn-Lek discharge to?</t>
  </si>
  <si>
    <t>Who were otachi?</t>
  </si>
  <si>
    <t>What will concentrated oxygen greatly speed up?</t>
  </si>
  <si>
    <t>What is the most critical resource in the analysis of computational problems associated with non-deterministic Turing machines?</t>
  </si>
  <si>
    <t xml:space="preserve">Where does newly created wealth concentrate? </t>
  </si>
  <si>
    <t>parabolic path</t>
  </si>
  <si>
    <t>smaller trade relations with their neighbours</t>
  </si>
  <si>
    <t>propulsion</t>
  </si>
  <si>
    <t>the Egyptian Islamic Jihad organization</t>
  </si>
  <si>
    <t>What happened in 1992 in a UK-wide process?</t>
  </si>
  <si>
    <t>fifty thousand dollars</t>
  </si>
  <si>
    <t>ought to live</t>
  </si>
  <si>
    <t>In addition to teaching within the family, where else is informal teaching done?</t>
  </si>
  <si>
    <t>What is Psalm 31:5?</t>
  </si>
  <si>
    <t>Premiering the day after the assassination of John F. Kennedy, the first episode of Doctor Who was repeated with the second episode the following week. Doctor Who has always appeared initially on the BBC's mainstream BBC One channel, where it is regarded as a family show, drawing audiences of many millions of viewers; episodes are now repeated on BBC Three. The programme's popularity has waxed and waned over the decades, with three notable periods of high ratings. The first of these was the "Dalekmania" period (circa 1964–1965), when the popularity of the Daleks regularly brought Doctor Who ratings of between 9 and 14 million, even for stories which did not feature them. The second was the late 1970s, when Tom Baker occasionally drew audiences of over 12 million.</t>
  </si>
  <si>
    <t>What does 'gram-negative' mean?</t>
  </si>
  <si>
    <t>Where can a tribute to the fall of Warsaw be found?</t>
  </si>
  <si>
    <t>a better relevant income</t>
  </si>
  <si>
    <t>Where might a teacher teach that is not inside a building?</t>
  </si>
  <si>
    <t>What does an increase in the income share of the bottom 20 percent of people of a society result in?</t>
  </si>
  <si>
    <t>What is thought to have happened to the y. pestis that caused the black death?</t>
  </si>
  <si>
    <t>Book of Exodus,</t>
  </si>
  <si>
    <t>Imperialism has played an important role in the histories of Japan, Korea, the Assyrian Empire, the Chinese Empire, the Roman Empire, Greece, the Byzantine Empire, the Persian Empire, the Ottoman Empire, Ancient Egypt, the British Empire, India, and many other empires. Imperialism was a basic component to the conquests of Genghis Khan during the Mongol Empire, and of other war-lords. Historically recognized Muslim empires number in the dozens. Sub-Saharan Africa has also featured dozens of empires that predate the European colonial era, for example the Ethiopian Empire, Oyo Empire, Asante Union, Luba Empire, Lunda Empire, and Mutapa Empire. The Americas during the pre-Columbian era also had large empires such as the Aztec Empire and the Incan Empire.</t>
  </si>
  <si>
    <t>the owner of the property</t>
  </si>
  <si>
    <t>Because of certain statements what was the believed state of his religious views?</t>
  </si>
  <si>
    <t>What theory was arrived at in 1811 that presented the assumption of diatomic molecules?</t>
  </si>
  <si>
    <t>For most organisms, what is the dominant system of defense?</t>
  </si>
  <si>
    <t>What is the NASUWT?</t>
  </si>
  <si>
    <t>may be of interest to a particular area such as a member's own constituency</t>
  </si>
  <si>
    <t>How many universities does Newcastle have?</t>
  </si>
  <si>
    <t>Articles 106 and 107</t>
  </si>
  <si>
    <t>filling of molecular orbitals</t>
  </si>
  <si>
    <t xml:space="preserve">If the tops of the rock units within the folds remain pointing upwards, they are called what? </t>
  </si>
  <si>
    <t>a combination of anthrax and other pandemics</t>
  </si>
  <si>
    <t>the Fourth Intercolonial War and the Great War for the Empire</t>
  </si>
  <si>
    <t>reduce consumer costs</t>
  </si>
  <si>
    <t>10 February 1763</t>
  </si>
  <si>
    <t>Under intense light</t>
  </si>
  <si>
    <t>the spirit of protest should be maintained all the way</t>
  </si>
  <si>
    <t>In what year did the university first see a drop in applications?</t>
  </si>
  <si>
    <t>What are those with lower incomes often unable to manage?</t>
  </si>
  <si>
    <t>How much did it cost to build the stadium where Super Bowl 50 was played?</t>
  </si>
  <si>
    <t>About 61.1% of Victorians describe themselves as Christian. Roman Catholics form the single largest religious group in the state with 26.7% of the Victorian population, followed by Anglicans and members of the Uniting Church. Buddhism is the state's largest non-Christian religion, with 168,637 members as of the most recent census. Victoria is also home of 152,775 Muslims and 45,150 Jews. Hinduism is the fastest growing religion. Around 20% of Victorians claim no religion. Amongst those who declare a religious affiliation, church attendance is low.</t>
  </si>
  <si>
    <t>What does a teacher teach in primary school?</t>
  </si>
  <si>
    <t>Microorganisms or toxins that successfully enter an organism encounter the cells and mechanisms of the innate immune system. The innate response is usually triggered when microbes are identified by pattern recognition receptors, which recognize components that are conserved among broad groups of microorganisms, or when damaged, injured or stressed cells send out alarm signals, many of which (but not all) are recognized by the same receptors as those that recognize pathogens. Innate immune defenses are non-specific, meaning these systems respond to pathogens in a generic way. This system does not confer long-lasting immunity against a pathogen. The innate immune system is the dominant system of host defense in most organisms.</t>
  </si>
  <si>
    <t>distribution</t>
  </si>
  <si>
    <t>What are examples of economic actors?</t>
  </si>
  <si>
    <t>ground</t>
  </si>
  <si>
    <t>reflective</t>
  </si>
  <si>
    <t>gain the support of the British and regain authority over his own people</t>
  </si>
  <si>
    <t>Christ</t>
  </si>
  <si>
    <t>What happened to Apollo 13?</t>
  </si>
  <si>
    <t>the vehicle and everything inside of it is at rest:</t>
  </si>
  <si>
    <t>The Newlywed Game</t>
  </si>
  <si>
    <t>How many factors of health and social problems did Wilkinson and PIckett identify?</t>
  </si>
  <si>
    <t>On what date did Luther die?</t>
  </si>
  <si>
    <t>With a budget of $230,000, the surviving original lunar broadcast data from Apollo 11 was compiled by Nafzger and assigned to Lowry Digital for restoration. The video was processed to remove random noise and camera shake without destroying historical legitimacy. The images were from tapes in Australia, the CBS News archive, and kinescope recordings made at Johnson Space Center. The restored video, remaining in black and white, contains conservative digital enhancements and did not include sound quality improvements.</t>
  </si>
  <si>
    <t>the coastal beaches and the game reserves</t>
  </si>
  <si>
    <t>Were Tesla's experiments high-voltage or low-voltage?</t>
  </si>
  <si>
    <t>obey her conscience rather than human law</t>
  </si>
  <si>
    <t>How long may the Amazon rainforest be threatened, according to some computer models?</t>
  </si>
  <si>
    <t>what is the fee range for accessing BSkyB's EPG?</t>
  </si>
  <si>
    <t>Music of the Spheres</t>
  </si>
  <si>
    <t>Chancel Chapel</t>
  </si>
  <si>
    <t>What has been the result of this publicity?</t>
  </si>
  <si>
    <t>Terra preta (black earth), which is distributed over large areas in the Amazon forest, is now widely accepted as a product of indigenous soil management. The development of this fertile soil allowed agriculture and silviculture in the previously hostile environment; meaning that large portions of the Amazon rainforest are probably the result of centuries of human management, rather than naturally occurring as has previously been supposed. In the region of the Xingu tribe, remains of some of these large settlements in the middle of the Amazon forest were found in 2003 by Michael Heckenberger and colleagues of the University of Florida. Among those were evidence of roads, bridges and large plazas.</t>
  </si>
  <si>
    <t>Where do dikes form?</t>
  </si>
  <si>
    <t>In which etude of Neumes rythmiques do the primes 41, 43, 47 and 53 appear in?</t>
  </si>
  <si>
    <t>during the 1980s</t>
  </si>
  <si>
    <t>corrupt</t>
  </si>
  <si>
    <t>In what battle were the Mongols defeated by the Tran?</t>
  </si>
  <si>
    <t>What did Luther add to his catechisms?</t>
  </si>
  <si>
    <t>Who was Emma's brother?</t>
  </si>
  <si>
    <t>the deportation of the French-speaking Acadian population</t>
  </si>
  <si>
    <t>On 10 January 1943, New York City mayor Fiorello La Guardia read a eulogy written by Slovene-American author Louis Adamic live over the WNYC radio while violin pieces "Ave Maria" and "Tamo daleko" were played in the background. On 12 January, two thousand people attended a state funeral for Tesla at the Cathedral of Saint John the Divine. After the funeral, Tesla's body was taken to the Ferncliff Cemetery in Ardsley, New York, where it was later cremated. The following day, a second service was conducted by prominent priests in the Trinity Chapel (today's Serbian Orthodox Cathedral of Saint Sava) in New York City.</t>
  </si>
  <si>
    <t>Anabaptists</t>
  </si>
  <si>
    <t>degree to which these flags retain their original colors remains unknown</t>
  </si>
  <si>
    <t>the North Sea</t>
  </si>
  <si>
    <t>explored the lineage of mediaeval music and instrumentation and related how those contributed to contemporary music 500 years later</t>
  </si>
  <si>
    <t>What is a a developing economy's level of inequality bulging out called?</t>
  </si>
  <si>
    <t>Shi Tianze was a Han Chinese who lived in the Jin dynasty. Interethnic marriage between Han and Jurchen became common at this time. His father was Shi Bingzhi (史秉直, Shih Ping-chih). Shi Bingzhi was married to a Jurchen woman (surname Na-ho) and a Han Chinese woman (surname Chang); it is unknown which of them was Shi Tianze's mother. Shi Tianze was married to two Jurchen women, a Han Chinese woman, and a Korean woman, and his son Shi Gang was born to one of his Jurchen wives. The surnames of his Jurchen wives were Mo-nien and Na-ho; the surname of his Korean wife was Li; and the surname of his Han Chinese wife was Shi. Shi Tianze defected to Mongol forces upon their invasion of the Jin dynasty. His son Shi Gang married a Kerait woman; the Kerait were Mongolified Turkic people and were considered part of the "Mongol nation". Shi Tianze (Shih T'ien-tse), Zhang Rou (Chang Jou, 張柔), and Yan Shi (Yen Shih, 嚴實) and other high ranking Chinese who served in the Jin dynasty and defected to the Mongols helped build the structure for the administration of the new state. Chagaan (Tsagaan) and Zhang Rou jointly launched an attack on the Song dynasty ordered by Töregene Khatun.</t>
  </si>
  <si>
    <t>black background</t>
  </si>
  <si>
    <t>the west</t>
  </si>
  <si>
    <t>adaptive and innate immune responses</t>
  </si>
  <si>
    <t>gender roles and customs</t>
  </si>
  <si>
    <t>The Deadly Assassin and Mawdryn Undead</t>
  </si>
  <si>
    <t>a more assertive and confrontational style</t>
  </si>
  <si>
    <t>CBSSports.com</t>
  </si>
  <si>
    <t>What is a mechanical barrier in insects that protects the insect?</t>
  </si>
  <si>
    <t>How much Saharan dust remains in the air over the Amazon each year?</t>
  </si>
  <si>
    <t>voucher</t>
  </si>
  <si>
    <t>$4.093 million</t>
  </si>
  <si>
    <t>their functions</t>
  </si>
  <si>
    <t>Stable and radioactive isotope studies provide insight into what?</t>
  </si>
  <si>
    <t>Who did Edward make archbishop of Canterbury?</t>
  </si>
  <si>
    <t>What can cause salaries to go higher than the range?</t>
  </si>
  <si>
    <t>damage to the skin</t>
  </si>
  <si>
    <t>the weakness in school discipline</t>
  </si>
  <si>
    <t>this would have also produced a single constitutional document</t>
  </si>
  <si>
    <t>backing for the uprising</t>
  </si>
  <si>
    <t>Scottish Parliament grew</t>
  </si>
  <si>
    <t>What does increasing inequality harm?</t>
  </si>
  <si>
    <t>ring R</t>
  </si>
  <si>
    <t>much higher</t>
  </si>
  <si>
    <t>Which animal's venom did Pierre-Louis Moreau de Maupertuis work with?</t>
  </si>
  <si>
    <t>What was the outcome of living in the California Redwood tree?</t>
  </si>
  <si>
    <t>7000 years</t>
  </si>
  <si>
    <t>John and Charles Wesley in England</t>
  </si>
  <si>
    <t>Colonialism often means a country doing what?</t>
  </si>
  <si>
    <t>In August 1227, during the fall of Yinchuan, the capital of Western Xia, Genghis Khan died. The exact cause of his death remains a mystery, and is variously attributed to being killed in action against the Western Xia, illness, falling from his horse, or wounds sustained in hunting or battle. According to The Secret History of the Mongols Genghis Khan fell from his horse while hunting and died because of the injury. He was already old and tired from his journeys. The Galician–Volhynian Chronicle alleges he was killed by the Western Xia in battle, while Marco Polo wrote that he died after the infection of an arrow wound he received during his final campaign. Later Mongol chronicles connect Genghis' death with a Western Xia princess taken as war booty. One chronicle from the early 17th century even relates the legend that the princess hid a small dagger and stabbed him, though some Mongol authors have doubted this version and suspected it to be an invention by the rival Oirads.</t>
  </si>
  <si>
    <t>The UChicago Arts program joins academic departments and programs in the Division of the Humanities and the College, as well as professional organizations including the Court Theatre, the Oriental Institute, the Smart Museum of Art, the Renaissance Society, University of Chicago Presents, and student arts organizations. The university has an artist-in-residence program and scholars in performance studies, contemporary art criticism, and film history. It has offered a doctorate in music composition since 1933 and in Cinema &amp; Media studies since 2000, a master of fine arts in visual arts (early 1970s), and a master of arts in the humanities with a creative writing track (2000). It has bachelor's degree programs in visual arts, music, and art history, and, more recently, Cinema &amp; Media studies (1996) and theater &amp; performance studies (2002). The College's general education core includes a “dramatic, music, and visual arts” requirement, requiring students to study the history of the arts, stage desire, or begin working with sculpture. Several thousand major and non-major undergraduates enroll annually in creative and performing arts classes. UChicago is often considered the birthplace of improvisational comedy as the Compass Players student comedy troupe evolved into The Second City improv theater troupe in 1959. The Reva and David Logan Center for the Arts opened in October 2012, five years after a $35 million gift from alumnus David Logan and his wife Reva. The center includes spaces for exhibitions, performances, classes, and media production. The Logan Center was designed by Tod Williams and Billie Tsien. This building is actually entirely glass. The brick is a facade designed to keep the glass safe from the wind. The architects later removed sections of the bricks when pressure arose in the form of complaints that the views of the city were blocked.</t>
  </si>
  <si>
    <t>Which country faced a complete embargo in the EEC?</t>
  </si>
  <si>
    <t>In 2000, ABC launched a web-based promotional campaign focused around its circle logo, also called "the dot", in which comic book character Little Dot prompted visitors to "download the dot", a program which would cause the ABC logo to fly around the screen and settle in the bottom-right corner. The network hired the Troika Design Group to design and produce its 2001–02 identity, which continued using the black-and-yellow coloring of the logo and featured dots and stripes in various promotional and identification spots.</t>
  </si>
  <si>
    <t>authorized a half-penny sales tax</t>
  </si>
  <si>
    <t>different animals and humans performimg various actions</t>
  </si>
  <si>
    <t>Loudoun, a capable administrator but a cautious field commander, planned one major operation for 1757: an attack on New France's capital, Quebec. Leaving a sizable force at Fort William Henry to distract Montcalm, he began organizing for the expedition to Quebec. He was then ordered by William Pitt, the Secretary of State responsible for the colonies, to attack Louisbourg first. Beset by delays of all kinds, the expedition was finally ready to sail from Halifax, Nova Scotia in early August. In the meantime French ships had escaped the British blockade of the French coast, and a fleet outnumbering the British one awaited Loudoun at Louisbourg. Faced with this strength, Loudoun returned to New York amid news that a massacre had occurred at Fort William Henry.</t>
  </si>
  <si>
    <t>Which country was worried that the US would invade the Middle East?</t>
  </si>
  <si>
    <t>glacier</t>
  </si>
  <si>
    <t>What type of exercise does research show receives a boost in performance from oxygen?</t>
  </si>
  <si>
    <t>Because everyday clothing from previous eras has not generally survived</t>
  </si>
  <si>
    <t>fertility</t>
  </si>
  <si>
    <t>to people who give services "for remuneration"</t>
  </si>
  <si>
    <t>The early Cambrian sessile frond-like fossil Stromatoveris, from China's Chengjiang lagerstätte and dated to about 515 million years ago, is very similar to Vendobionta of the preceding Ediacaran period. De-Gan Shu, Simon Conway Morris et al. found on its branches what they considered rows of cilia, used for filter feeding. They suggested that Stromatoveris was an evolutionary "aunt" of ctenophores, and that ctenophores originated from sessile animals whose descendants became swimmers and changed the cilia from a feeding mechanism to a propulsion system.</t>
  </si>
  <si>
    <t>algebraic</t>
  </si>
  <si>
    <t>official school sport</t>
  </si>
  <si>
    <t>Where is a teacher most likely to be teaching at?</t>
  </si>
  <si>
    <t>3 days.</t>
  </si>
  <si>
    <t>pharmacists are increasingly expected to be compensated for their patient care skills</t>
  </si>
  <si>
    <t>an interactive host to host connection was made between the IBM mainframe computer systems at the University of Michigan in Ann Arbor and Wayne State</t>
  </si>
  <si>
    <t>In the fall of 1937, after midnight one night, Tesla left the Hotel New Yorker to make his regular commute to the cathedral and the library to feed the pigeons. While crossing a street a couple of blocks from the hotel, Tesla was unable to dodge a moving taxicab and was thrown heavily to the ground. Tesla's back was severely wrenched and three of his ribs were broken in the accident (the full extent of his injuries will never be known; Tesla refused to consult a doctor—an almost lifelong custom). Tesla didn't raise any question as to who was at fault and refused medical aid, only asking to be taken to his hotel via cab. Tesla was bedridden for some months and was unable to continue feeding pigeons from his window; soon, they failed to come. In early 1938, Tesla was able to get up. He at once resumed the pigeon-feeding walks on a much more limited scale, but frequently had a messenger act for him.</t>
  </si>
  <si>
    <t>What were steam engines used as a source of?</t>
  </si>
  <si>
    <t>How do chloroplasts trigger the plant's immune system?</t>
  </si>
  <si>
    <t>Midsummer’s Night</t>
  </si>
  <si>
    <t>What protestant religions made Northern European counties safe for Huguenot immigration?</t>
  </si>
  <si>
    <t>articles 1 to 7</t>
  </si>
  <si>
    <t>What is the goal of individual civil disobedience?</t>
  </si>
  <si>
    <t>Alberta and British Columbia</t>
  </si>
  <si>
    <t>How many interceptions did Manning have at the end of the game?</t>
  </si>
  <si>
    <t>substantially increased the asking price</t>
  </si>
  <si>
    <t>1550 to 1900</t>
  </si>
  <si>
    <t>What did the Shah do when faced with defeat by Genghis Khan's forces?</t>
  </si>
  <si>
    <t>How do regimes fight against cultural imperialism?</t>
  </si>
  <si>
    <t>What type of physics model did Einstein fail to make?</t>
  </si>
  <si>
    <t>Maududi believed that Islam needed what to be established?</t>
  </si>
  <si>
    <t>Where is corporal punishment usually performed these days?</t>
  </si>
  <si>
    <t>When imperialism impacts social norms of a state, what is it called?</t>
  </si>
  <si>
    <t>Donald Davies</t>
  </si>
  <si>
    <t>What is one condition that an element p of R must satisfy in order to be considered a prime element?</t>
  </si>
  <si>
    <t>On 6 November 1915, a Reuters news agency report from London had the 1915 Nobel Prize in Physics awarded to Thomas Edison and Nikola Tesla; however, on 15 November, a Reuters story from Stockholm stated the prize that year was being awarded to Sir William Henry Bragg and William Lawrence Bragg "for their services in the analysis of crystal structure by means of X-rays.":245 There were unsubstantiated rumors at the time that Tesla and/or Edison had refused the prize.:245 The Nobel Foundation said, "Any rumor that a person has not been given a Nobel Prize because he has made known his intention to refuse the reward is ridiculous"; a recipient could only decline a Nobel Prize after he is announced a winner.:245</t>
  </si>
  <si>
    <t>Great Mongol State</t>
  </si>
  <si>
    <t>The television network has eight owned-and-operated and over 232 affiliated television stations throughout the United States and its territories. Most Canadians have access to at least one U.S.-based ABC affiliate, either over-the-air (in areas located within proximity to the Canada–United States border) or through a cable, satellite or IPTV provider, although most ABC programs are subject to simultaneous substitution regulations imposed by the Canadian Radio-television and Telecommunications Commission that allow pay television providers to replace an American station's signal with the feed of a Canadian broadcaster to protect domestic programming rights and advertising revenue. ABC News provides news and features content for select radio stations owned by Citadel Broadcasting, which purchased the ABC Radio properties in 2007.</t>
  </si>
  <si>
    <t>Cities that anchor the regions are often the hub for what kind of activity?</t>
  </si>
  <si>
    <t>stronger in the Scottish Parliament than in other parliamentary systems</t>
  </si>
  <si>
    <t>a plastid that lacks chlorophyll</t>
  </si>
  <si>
    <t>What can increase the tension force on a load?</t>
  </si>
  <si>
    <t>What years did Doctor Who win five consecutive awards?</t>
  </si>
  <si>
    <t>What is the United States busiest commercial port?</t>
  </si>
  <si>
    <t>Triassic Period</t>
  </si>
  <si>
    <t>Edward John Noble, the owner of Life Savers candy, drugstore chain Rexall and New York City radio station WMCA, purchased the network for $8 million. Due to FCC ownership rules, the transaction, which was to include the purchase of three RCA stations by Noble, would require him to resell his station with the FCC's approval. The Commission authorized the transaction on October 12, 1943. Soon afterward, the Blue Network was purchased by the new company Noble founded, the American Broadcasting System. Noble subsequently acquired the rights to the "American Broadcasting Company" name from George B. Storer in 1944; its parent company adopted the corporate name American Broadcasting Companies, Inc. Woods retained his position as president and CEO of ABC until December 1949, and was subsequently promoted to vice-chairman of the board before leaving ABC altogether on June 30, 1951.</t>
  </si>
  <si>
    <t>high risk of a conflict of interest</t>
  </si>
  <si>
    <t>Luther and his wife moved into a former monastery, "The Black Cloister," a wedding present from the new elector John the Steadfast (1525–32). They embarked on what appeared to have been a happy and successful marriage, though money was often short. Between bearing six children, Hans – June 1526; Elizabeth – 10 December 1527, who died within a few months; Magdalene – 1529, who died in Luther's arms in 1542; Martin – 1531; Paul – January 1533; and Margaret – 1534; Katharina helped the couple earn a living by farming the land and taking in boarders. Luther confided to Michael Stiefel on 11 August 1526: "My Katie is in all things so obliging and pleasing to me that I would not exchange my poverty for the riches of Croesus."</t>
  </si>
  <si>
    <t>What causes triplet oxygen to react slowly?</t>
  </si>
  <si>
    <t>What separates the neuroimmune system and peripheral immune system in humans?</t>
  </si>
  <si>
    <t>What is the name of one algebraic generalization prime numbers have inspired?</t>
  </si>
  <si>
    <t>What did Tesla develop in 1887?</t>
  </si>
  <si>
    <t>What is another country that permits physicians to give out drugs from within their practice?</t>
  </si>
  <si>
    <t>If P = NP is unsolved, and reduction is applied to a known NP-complete problem vis a vis Π2 to  Π1, what conclusion can be drawn for Π1?</t>
  </si>
  <si>
    <t>Saudi</t>
  </si>
  <si>
    <t>Since September 2004, the official home of the Scottish Parliament has been a new Scottish Parliament Building, in the Holyrood area of Edinburgh. The Scottish Parliament building was designed by Spanish architect Enric Miralles in partnership with local Edinburgh Architecture firm RMJM which was led by Design Principal Tony Kettle. Some of the principal features of the complex include leaf-shaped buildings, a grass-roofed branch merging into adjacent parkland and gabion walls formed from the stones of previous buildings. Throughout the building there are many repeated motifs, such as shapes based on Raeburn's Skating Minister. Crow-stepped gables and the upturned boat skylights of the Garden Lobby, complete the unique architecture. Queen Elizabeth II opened the new building on 9 October 2004.</t>
  </si>
  <si>
    <t>What type of radar was used to classify trees into four categories?</t>
  </si>
  <si>
    <t>pinch in two</t>
  </si>
  <si>
    <t>major</t>
  </si>
  <si>
    <t xml:space="preserve">What department in the U.S. spearheaded the efforts against Islamism? </t>
  </si>
  <si>
    <t>10–15% of the population</t>
  </si>
  <si>
    <t>What type of markets is the dwelling type below?</t>
  </si>
  <si>
    <t>cell which contains chloroplasts</t>
  </si>
  <si>
    <t>Under the terms of the Scotland Act 1978, an elected assembly would be set up in Edinburgh provided that the majority of the Scottish electorate voted for it in a referendum to be held on 1 March 1979 that represented at least 40% of the total electorate. The 1979 Scottish devolution referendum to establish a devolved Scottish Assembly failed. Although the vote was 51.6% in favour of a Scottish Assembly, this figure did not equal the 40% of the total electorate threshold deemed necessary to pass the measure, as 32.9% of the eligible voting population did not, or had been unable to, vote.</t>
  </si>
  <si>
    <t>substantial privilege</t>
  </si>
  <si>
    <t>In what types of organisms did the adaptive immune system first evolve?</t>
  </si>
  <si>
    <t>In Europe there are old pharmacies still operating in Dubrovnik, Croatia, located inside the Franciscan monastery, opened in 1317; and in the Town Hall Square of Tallinn, Estonia, dating from at least 1422. The oldest is claimed to have been set up in 1221 in the Church of Santa Maria Novella in Florence, Italy, which now houses a perfume museum. The medieval Esteve Pharmacy, located in Llívia, a Catalan enclave close to Puigcerdà, also now a museum, dates back to the 15th century, keeping albarellos from the 16th and 17th centuries, old prescription books and antique drugs.</t>
  </si>
  <si>
    <t>The Italian Constitutional Court</t>
  </si>
  <si>
    <t>What is another name for exoteric?</t>
  </si>
  <si>
    <t>What are the secondary sources of primary law?</t>
  </si>
  <si>
    <t>What type of writings did the reading of the Qur'an bring out in Luther?</t>
  </si>
  <si>
    <t>Alan Dershowitz and Lawrence Lessig</t>
  </si>
  <si>
    <t>help preserve society's tolerance</t>
  </si>
  <si>
    <t>prices</t>
  </si>
  <si>
    <t>Why was Tesla returned to Gospic?</t>
  </si>
  <si>
    <t>Oxygen is the most abundant chemical element by mass in the Earth's biosphere, air, sea and land. Oxygen is the third most abundant chemical element in the universe, after hydrogen and helium. About 0.9% of the Sun's mass is oxygen. Oxygen constitutes 49.2% of the Earth's crust by mass and is the major component of the world's oceans (88.8% by mass). Oxygen gas is the second most common component of the Earth's atmosphere, taking up 20.8% of its volume and 23.1% of its mass (some 1015 tonnes).[d] Earth is unusual among the planets of the Solar System in having such a high concentration of oxygen gas in its atmosphere: Mars (with 0.1% O
2 by volume) and Venus have far lower concentrations. The O
2 surrounding these other planets is produced solely by ultraviolet radiation impacting oxygen-containing molecules such as carbon dioxide.</t>
  </si>
  <si>
    <t>$5 million in cash</t>
  </si>
  <si>
    <t>£4.2bn</t>
  </si>
  <si>
    <t>Kibaki closed the gap and then overtook his opponent</t>
  </si>
  <si>
    <t>Canada</t>
  </si>
  <si>
    <t>"business as usual" (BAU)</t>
  </si>
  <si>
    <t>two thousand</t>
  </si>
  <si>
    <t>widespread education</t>
  </si>
  <si>
    <t>300–600 nanometers</t>
  </si>
  <si>
    <t>What theorem states that the probability that a number n is prime is inversely proportional to its logarithm?</t>
  </si>
  <si>
    <t>What is the scenario called in which we don't change our greenhouse gas creation practices?</t>
  </si>
  <si>
    <t>In the 1930s, radio in the United States was dominated by three companies: the Columbia Broadcasting System (CBS), the Mutual Broadcasting System and the National Broadcasting Company (NBC). The last was owned by electronics manufacturer Radio Corporation of America (RCA), which owned two radio networks that each ran different varieties of programming, NBC Blue and NBC Red. The NBC Blue Network was created in 1927 for the primary purpose of testing new programs on markets of lesser importance than those served by NBC Red, which served the major cities, and to test drama series.</t>
  </si>
  <si>
    <t>What kind of marriage was this ?</t>
  </si>
  <si>
    <t>What Western was a flagship program for ABC around 1954?</t>
  </si>
  <si>
    <t>large</t>
  </si>
  <si>
    <t>a trade magazine for the construction industry</t>
  </si>
  <si>
    <t>sometimes the eaten alga's cell membrane, and the phagosomal vacuole from the host's cell membrane</t>
  </si>
  <si>
    <t>In addition to schools, where else is popularly based authority effective?</t>
  </si>
  <si>
    <t>around a billion years ago</t>
  </si>
  <si>
    <t>Who did the Parliament rent additional buildings from?</t>
  </si>
  <si>
    <t>What is the power-to-weight ratio of a steam plant compared to that of an internal combustion engine?</t>
  </si>
  <si>
    <t>Parliament Square, High Street and George IV Bridge in Edinburgh</t>
  </si>
  <si>
    <t>Who has elected the President of Warsaw since 1990?</t>
  </si>
  <si>
    <t>the Uighurs surrendered peacefully without violently resisting</t>
  </si>
  <si>
    <t>goals he receives from his superior.</t>
  </si>
  <si>
    <t>What is a particular problem in biology that would benefit from determining that P = NP?</t>
  </si>
  <si>
    <t>What is the name of the water body that is found to the east?</t>
  </si>
  <si>
    <t>Word and Image Department</t>
  </si>
  <si>
    <t>cross-cutting relationships</t>
  </si>
  <si>
    <t>coordinating lead author of the Fifth Assessment Report</t>
  </si>
  <si>
    <t>King George III</t>
  </si>
  <si>
    <t>Along with electric motors, what type of engines superseded piston steam engines?</t>
  </si>
  <si>
    <t>115 °F</t>
  </si>
  <si>
    <t>with the signal being viewed on a fluorescent screen</t>
  </si>
  <si>
    <t>low-skilled workers in the poor countries</t>
  </si>
  <si>
    <t>What type of film were excerpts from the show film on?</t>
  </si>
  <si>
    <t>Some theories of civil disobedience hold that civil disobedience is only justified against governmental entities. Brownlee argues that disobedience in opposition to the decisions of non-governmental agencies such as trade unions, banks, and private universities can be justified if it reflects "a larger challenge to the legal system that permits those decisions to be taken". The same principle, she argues, applies to breaches of law in protest against international organizations and foreign governments.</t>
  </si>
  <si>
    <t>What was the Anglo-Norman language's final form?</t>
  </si>
  <si>
    <t>To where is most of the abalone and lobster caught in Victorian waters shipped?</t>
  </si>
  <si>
    <t>Islamism, also known as Political Islam (Arabic: إسلام سياسي‎ islām siyāsī), is an Islamic revival movement often characterized by moral conservatism, literalism, and the attempt "to implement Islamic values in all spheres of life." Islamism favors the reordering of government and society in accordance with the Shari'a. The different Islamist movements have been described as "oscillating between two poles": at one end is a strategy of Islamization of society through state power seized by revolution or invasion; at the other "reformist" pole Islamists work to Islamize society gradually "from the bottom up". The movements have "arguably altered the Middle East more than any trend since the modern states gained independence", redefining "politics and even borders" according to one journalist (Robin Wright).</t>
  </si>
  <si>
    <t>How many miles across the Atlantic Ocean does Saharan dust travel?</t>
  </si>
  <si>
    <t>status superior to all others in health-related fields</t>
  </si>
  <si>
    <t>What has caused China to suspend their railway project?</t>
  </si>
  <si>
    <t>How many interceptions did Aqib Talib have for the regular season?</t>
  </si>
  <si>
    <t>NP-complete Boolean satisfiability problem</t>
  </si>
  <si>
    <t>frequency and severity of micrometeorite impacts</t>
  </si>
  <si>
    <t>altered the existing treaties</t>
  </si>
  <si>
    <t>To help reduce consumption, in 1974 a national maximum speed limit of 55 mph (about 88 km/h) was imposed through the Emergency Highway Energy Conservation Act. Development of the Strategic Petroleum Reserve began in 1975, and in 1977 the cabinet-level Department of Energy was created, followed by the National Energy Act of 1978.[citation needed] On November 28, 1995, Bill Clinton signed the National Highway Designation Act, ending the federal 55 mph (89 km/h) speed limit, allowing states to restore their prior maximum speed limit.</t>
  </si>
  <si>
    <t>What month is the warmest in Fresno?</t>
  </si>
  <si>
    <t>to constantly expand investment</t>
  </si>
  <si>
    <t>How are the votes weighted to ensure that smaller states aren't dominated by larger ones?</t>
  </si>
  <si>
    <t>offering a higher wage</t>
  </si>
  <si>
    <t>What may a force on one part of an object affect?</t>
  </si>
  <si>
    <t>Where did Luther describe the resting place of the saints?</t>
  </si>
  <si>
    <t>Sicily and the south of Europe</t>
  </si>
  <si>
    <t>sorcery or even poison</t>
  </si>
  <si>
    <t>What is a maze of membranous tubes?</t>
  </si>
  <si>
    <t>What conditions must be met to prescribe a controlled substance?</t>
  </si>
  <si>
    <t>According to PolitiFact the top 400 richest Americans "have more wealth than half of all Americans combined." According to the New York Times on July 22, 2014, the "richest 1 percent in the United States now own more wealth than the bottom 90 percent". Inherited wealth may help explain why many Americans who have become rich may have had a "substantial head start". In September 2012, according to the Institute for Policy Studies, "over 60 percent" of the Forbes richest 400 Americans "grew up in substantial privilege".</t>
  </si>
  <si>
    <t>oxide compounds</t>
  </si>
  <si>
    <t>What did Luther try to do for the Jews?</t>
  </si>
  <si>
    <t>The Chinese medical tradition of the Yuan had "Four Great Schools" that the Yuan inherited from the Jin dynasty. All four schools were based on the same intellectual foundation, but advocated different theoretical approaches toward medicine. Under the Mongols, the practice of Chinese medicine spread to other parts of the empire. Chinese physicians were brought along military campaigns by the Mongols as they expanded towards the west. Chinese medical techniques such as acupuncture, moxibustion, pulse diagnosis, and various herbal drugs and elixirs were transmitted westward to the Middle East and the rest of the empire. Several medical advances were made in the Yuan period. The physician Wei Yilin (1277–1347) invented a suspension method for reducing dislocated joints, which he performed using anesthetics. The Mongol physician Hu Sihui described the importance of a healthy diet in a 1330 medical treatise.</t>
  </si>
  <si>
    <t>Christianity and French culture</t>
  </si>
  <si>
    <t>At what point in the day was the couple married?</t>
  </si>
  <si>
    <t>the same in every inertial frame of reference</t>
  </si>
  <si>
    <t>Word and Image department.</t>
  </si>
  <si>
    <t>Construction involves the translation of what?</t>
  </si>
  <si>
    <t>over 2,</t>
  </si>
  <si>
    <t>Jamukha, and his protector, Toghrul Khan</t>
  </si>
  <si>
    <t>Gospić</t>
  </si>
  <si>
    <t>Gasquet (1908) claimed that the Latin name atra mors (Black Death) for the 14th-century epidemic first appeared in modern times in 1631 in a book on Danish history by J.I. Pontanus: "Vulgo &amp; ab effectu atram mortem vocatibant. ("Commonly and from its effects, they called it the black death"). The name spread through Scandinavia and then Germany, gradually becoming attached to the mid 14th-century epidemic as a proper name. In England, it was not until 1823 that the medieval epidemic was first called the Black Death.</t>
  </si>
  <si>
    <t>Which major cities in Eastern Europe were not destroyed by the Mongol invasion?</t>
  </si>
  <si>
    <t>According to Wilson's theorem, what factorial must be divisible by n if some integer n &gt; 4 is to be considered composite?</t>
  </si>
  <si>
    <t>greater equality</t>
  </si>
  <si>
    <t xml:space="preserve">When were x-rays discovered? </t>
  </si>
  <si>
    <t>What are dart frogs are known to secrete?</t>
  </si>
  <si>
    <t>placing them on prophetic faith.</t>
  </si>
  <si>
    <t>the Electorate of Brandenburg and Electorate of the Palatinate</t>
  </si>
  <si>
    <t>Which theory justifies imperialism in part?</t>
  </si>
  <si>
    <t>neuroimmune</t>
  </si>
  <si>
    <t>What component of water is more soluble than nitrogen?</t>
  </si>
  <si>
    <t>What principle highlights the significance of primes in number theory</t>
  </si>
  <si>
    <t>method by which the medications are requested and received</t>
  </si>
  <si>
    <t>authors Richard Wilkinson and Kate Pickett</t>
  </si>
  <si>
    <t>Newtonian equations</t>
  </si>
  <si>
    <t>Emperor Chengzong</t>
  </si>
  <si>
    <t>reduce costs and maximize profits</t>
  </si>
  <si>
    <t>What are the three most abundent elements of the universe by mass?</t>
  </si>
  <si>
    <t>giving</t>
  </si>
  <si>
    <t>adding the two force magnitudes or subtracting one from the other</t>
  </si>
  <si>
    <t>University President Robert Maynard Hutchins de-emphasized varsity athletics</t>
  </si>
  <si>
    <t>Why do police and fire services fall under the purview of the Scottish Parliament?</t>
  </si>
  <si>
    <t>community-based</t>
  </si>
  <si>
    <t>a balance sensor consisting of a statolith</t>
  </si>
  <si>
    <t>Three</t>
  </si>
  <si>
    <t>What gained ground when Arab nationalism suffered?</t>
  </si>
  <si>
    <t>Where did the discharge from glaciers go in Europe in the last Ice Age?</t>
  </si>
  <si>
    <t>the 20th</t>
  </si>
  <si>
    <t>What was the name of the battle that marked the first Confederate win in Florida?</t>
  </si>
  <si>
    <t>What type of outcomes can even stable markets lead to?</t>
  </si>
  <si>
    <t>allegations of professional misconduct</t>
  </si>
  <si>
    <t>What other kind of sport is popular in southern California?</t>
  </si>
  <si>
    <t xml:space="preserve">Who analyzes rock samples from drill cores in the lab? </t>
  </si>
  <si>
    <t>When were the shortcomings of Aristotle's physics overcome?</t>
  </si>
  <si>
    <t>if the EU does not comply with its basic constitutional rights and principles</t>
  </si>
  <si>
    <t>North and West Africa, as well as South-East Asia,</t>
  </si>
  <si>
    <t>General Teaching Council for Scotland</t>
  </si>
  <si>
    <t>1756 to the signing of the peace treaty in 1763</t>
  </si>
  <si>
    <t>early twentieth century</t>
  </si>
  <si>
    <t>What prompted Shen Kuo to believe the land was formed by erosion of the mountains?</t>
  </si>
  <si>
    <t>he is announced a winner</t>
  </si>
  <si>
    <t>Italian Plague</t>
  </si>
  <si>
    <t>gift of God's grace</t>
  </si>
  <si>
    <t>the housing bubble</t>
  </si>
  <si>
    <t>What language did the Court of Justice accept to be required to teach in a Dublin college in Groner v Minister for Education?</t>
  </si>
  <si>
    <t>thousands of years</t>
  </si>
  <si>
    <t>economy</t>
  </si>
  <si>
    <t>Along with a desire for more steam pressure, what were early drivers looking to generate when they fastened safety valves down?</t>
  </si>
  <si>
    <t>What type of number theory utilizes and studies prime ideals?</t>
  </si>
  <si>
    <t>What was a major success, especially in rebuilding Warsaw?</t>
  </si>
  <si>
    <t>11 million</t>
  </si>
  <si>
    <t>How are the pyrenoid and thylakoids arranged?</t>
  </si>
  <si>
    <t>Murderous, Thieving Hordes</t>
  </si>
  <si>
    <t>poor management, internal divisions, and effective Canadian scouts</t>
  </si>
  <si>
    <t>destroyed</t>
  </si>
  <si>
    <t>How many crank rotations are there in an engine cycle?</t>
  </si>
  <si>
    <t>Only a few drops</t>
  </si>
  <si>
    <t>What does a teacher need to be with regards to their subject matter?</t>
  </si>
  <si>
    <t>"winds up" the debate</t>
  </si>
  <si>
    <t>reliance on teaching fellows</t>
  </si>
  <si>
    <t>high fuel prices and new competition</t>
  </si>
  <si>
    <t>lipid monolayer</t>
  </si>
  <si>
    <t>What characteristic in recent years has been strongly tied with health in developed countries?</t>
  </si>
  <si>
    <t>the public.</t>
  </si>
  <si>
    <t>factories</t>
  </si>
  <si>
    <t>Which company owns ABC?</t>
  </si>
  <si>
    <t>How did trying to establish a devolved Scottish Assembly go in 1979?</t>
  </si>
  <si>
    <t>for draining the surrounding land and polders</t>
  </si>
  <si>
    <t>What followed The Late Show with Stephen Colbert?</t>
  </si>
  <si>
    <t>What were the protesters doing with Christ's counsel?</t>
  </si>
  <si>
    <t>white</t>
  </si>
  <si>
    <t>What story of little truth is a pillar of history?</t>
  </si>
  <si>
    <t>Starting in the late 1950s, American computer scientist Paul Baran developed the concept Distributed Adaptive Message Block Switching with the goal to provide a fault-tolerant, efficient routing method for telecommunication messages as part of a research program at the RAND Corporation, funded by the US Department of Defense. This concept contrasted and contradicted the theretofore established principles of pre-allocation of network bandwidth, largely fortified by the development of telecommunications in the Bell System. The new concept found little resonance among network implementers until the independent work of Donald Davies at the National Physical Laboratory (United Kingdom) (NPL) in the late 1960s. Davies is credited with coining the modern name packet switching and inspiring numerous packet switching networks in Europe in the decade following, including the incorporation of the concept in the early ARPANET in the United States.</t>
  </si>
  <si>
    <t>instruction</t>
  </si>
  <si>
    <t>quick and decisive</t>
  </si>
  <si>
    <t>What portion of bird species make up the world's total live in the rainforest?</t>
  </si>
  <si>
    <t>When was the the second German empire founded?</t>
  </si>
  <si>
    <t>international drug suppliers, rather than consumers</t>
  </si>
  <si>
    <t>avionics, telecommunications, and computers</t>
  </si>
  <si>
    <t>the radius () of the Earth</t>
  </si>
  <si>
    <t>about three hours</t>
  </si>
  <si>
    <t>The mermaid (syrenka) is Warsaw's symbol and can be found on statues throughout the city and on the city's coat of arms. This imagery has been in use since at least the mid-14th century. The oldest existing armed seal of Warsaw is from the year 1390, consisting of a round seal bordered with the Latin inscription Sigilium Civitatis Varsoviensis (Seal of the city of Warsaw). City records as far back as 1609 document the use of a crude form of a sea monster with a female upper body and holding a sword in its claws. In 1653 the poet Zygmunt Laukowski asks the question:</t>
  </si>
  <si>
    <t>What is formed when a phagosome fuses with a lysosome?</t>
  </si>
  <si>
    <t>How many scientists called to change the IPCC in Feb 2010?</t>
  </si>
  <si>
    <t>English university</t>
  </si>
  <si>
    <t>drought resistant</t>
  </si>
  <si>
    <t>emotional contagion</t>
  </si>
  <si>
    <t>What is the benefit of polypeptide binding?</t>
  </si>
  <si>
    <t>regulatory T cells</t>
  </si>
  <si>
    <t>How were leaders back in Europe feeling about news from Celeron expedition?</t>
  </si>
  <si>
    <t>How many people were lost in Algiers during 1620-21?</t>
  </si>
  <si>
    <t>For whom was this new mass intended?</t>
  </si>
  <si>
    <t>individually</t>
  </si>
  <si>
    <t>Who has performed all the Doctor Who music since the 2005 Christmas special?</t>
  </si>
  <si>
    <t>Along with sport and art, what is a type of talent scholarship?</t>
  </si>
  <si>
    <t>combination of hermaphroditism and early reproduction</t>
  </si>
  <si>
    <t>How many points are there in the foundation of the Reformation?</t>
  </si>
  <si>
    <t>Where does the Newcastle Student Radio station broadcast from during terms?</t>
  </si>
  <si>
    <t>worked to radicalize the Islamist movement</t>
  </si>
  <si>
    <t>What is the main difference between online pharmacies and community pharmacies?</t>
  </si>
  <si>
    <t>The Normans thereafter adopted the growing feudal doctrines of the rest of France, and worked them into a functional hierarchical system in both Normandy and in England. The new Norman rulers were culturally and ethnically distinct from the old French aristocracy, most of whom traced their lineage to Franks of the Carolingian dynasty. Most Norman knights remained poor and land-hungry, and by 1066 Normandy had been exporting fighting horsemen for more than a generation. Many Normans of Italy, France and England eventually served as avid Crusaders under the Italo-Norman prince Bohemund I and the Anglo-Norman king Richard the Lion-Heart.</t>
  </si>
  <si>
    <t>Other than Point Conception, what landmark is used in the other definition of southern California?</t>
  </si>
  <si>
    <t>two new regiments</t>
  </si>
  <si>
    <t>gilt bronze</t>
  </si>
  <si>
    <t>The movement which would become The United Methodist Church began in the mid-18th century within the Church of England. A small group of students, including John Wesley, Charles Wesley and George Whitefield, met on the Oxford University campus. They focused on Bible study, methodical study of scripture and living a holy life. Other students mocked them, saying they were the "Holy Club" and "the Methodists", being methodical and exceptionally detailed in their Bible study, opinions and disciplined lifestyle. Eventually, the so-called Methodists started individual societies or classes for members of the Church of England who wanted to live a more religious life.</t>
  </si>
  <si>
    <t>Who treats the majority of the population medically?</t>
  </si>
  <si>
    <t>Southern California is home to Los Angeles International Airport, the second-busiest airport in the United States by passenger volume (see World's busiest airports by passenger traffic) and the third by international passenger volume (see Busiest airports in the United States by international passenger traffic); San Diego International Airport the busiest single runway airport in the world; Van Nuys Airport, the world's busiest general aviation airport; major commercial airports at Orange County, Bakersfield, Ontario, Burbank and Long Beach; and numerous smaller commercial and general aviation airports.</t>
  </si>
  <si>
    <t>The Asante and Lunda Empires were in which region?</t>
  </si>
  <si>
    <t>What do young Ctenophores generaly look like?</t>
  </si>
  <si>
    <t>Seven Days to the River Rhine</t>
  </si>
  <si>
    <t>drug product selection</t>
  </si>
  <si>
    <t>Where does The Council meet?</t>
  </si>
  <si>
    <t>gastric acid</t>
  </si>
  <si>
    <t>herring barrels.</t>
  </si>
  <si>
    <t>archipelago-like estuary</t>
  </si>
  <si>
    <t xml:space="preserve">What did Tesla struggle with while in school? </t>
  </si>
  <si>
    <t>pathogen-infected cells</t>
  </si>
  <si>
    <t>high-gain S-band</t>
  </si>
  <si>
    <t>ability to elude host immune responses</t>
  </si>
  <si>
    <t>add O2 instead of CO2</t>
  </si>
  <si>
    <t>chloroplasts derived from a green alga</t>
  </si>
  <si>
    <t>in a modern context</t>
  </si>
  <si>
    <t>treatment</t>
  </si>
  <si>
    <t>What is Jacksonville's hottest month on average?</t>
  </si>
  <si>
    <t>SI unit of magnetic flux density</t>
  </si>
  <si>
    <t>21 February 1804</t>
  </si>
  <si>
    <t>static friction</t>
  </si>
  <si>
    <t>What type of space in Warsaw are the Botanic Garden and University Library garden?</t>
  </si>
  <si>
    <t>southern Suriname</t>
  </si>
  <si>
    <t>destructive</t>
  </si>
  <si>
    <t>twelve residential Houses</t>
  </si>
  <si>
    <t>What was the base rate for a 30-second ad during Super Bowl 50?</t>
  </si>
  <si>
    <t>benefits of good works could be obtained by donating money to the church</t>
  </si>
  <si>
    <t>Developments in which scientists influenced the creation of pharmacology in medieval Islam?</t>
  </si>
  <si>
    <t>matrices</t>
  </si>
  <si>
    <t>the Conservative Party</t>
  </si>
  <si>
    <t>What offers a conceptual definition of force?</t>
  </si>
  <si>
    <t>What is the only story of the original series where Doctor Who travels alone?</t>
  </si>
  <si>
    <t>Exploration</t>
  </si>
  <si>
    <t>Jacksonville,_Florida</t>
  </si>
  <si>
    <t>The most useful instrument for analyzing the performance of steam engines is the steam engine indicator. Early versions were in use by 1851, but the most successful indicator was developed for the high speed engine inventor and manufacturer Charles Porter by Charles Richard and exhibited at London Exhibition in 1862. The steam engine indicator traces on paper the pressure in the cylinder throughout the cycle, which can be used to spot various problems and calculate developed horsepower. It was routinely used by engineers, mechanics and insurance inspectors. The engine indicator can also be used on internal combustion engines. See image of indicator diagram below (in Types of motor units section).</t>
  </si>
  <si>
    <t>electrical, water, sewage, phone, and cable</t>
  </si>
  <si>
    <t>How many volumes does the John Crerar Library roughly hold?</t>
  </si>
  <si>
    <t>Due to pressure from film studios wanting to increase their production, as the major networks began airing theatrically released films, ABC joined CBS and NBC in broadcasting films on Sunday nights in 1962, with the launch of the ABC Sunday Night Movie, which debuted a year behind its competitors and was initially presented in black-and-white. Despite a significant increase in viewership (with its audience share having increased to 33% from the 15% share it had in 1953), ABC remained in third place; the company had a total revenue of $15.5 million, a third of the revenue pulled in by CBS at the same period. To catch up, ABC followed up The Flintstones with another animated series from Hanna-Barbera, The Jetsons, which debuted on September 23, 1962 as the first television series to be broadcast in color on the network. On April 1, 1963, ABC debuted the soap opera General Hospital, which would go on to become the television network's long-running entertainment program. That year also saw the premiere of The Fugitive (on September 17), a drama series centering on a man on the run after being accused of committing a murder he did not commit.</t>
  </si>
  <si>
    <t>How were the men who did tasks like those of today's pharmacists viewed in Japan in the Asuka and Nara periods?</t>
  </si>
  <si>
    <t>free trade</t>
  </si>
  <si>
    <t>Luther spoke out against the Jews in Saxony, Brandenburg, and Silesia. Josel of Rosheim, the Jewish spokesman who tried to help the Jews of Saxony in 1537, later blamed their plight on "that priest whose name was Martin Luther—may his body and soul be bound up in hell!—who wrote and issued many heretical books in which he said that whoever would help the Jews was doomed to perdition." Josel asked the city of Strasbourg to forbid the sale of Luther's anti-Jewish works: they refused initially, but did so when a Lutheran pastor in Hochfelden used a sermon to urge his parishioners to murder Jews. Luther's influence persisted after his death. Throughout the 1580s, riots led to the expulsion of Jews from several German Lutheran states.</t>
  </si>
  <si>
    <t>sent Dieskau to Fort St. Frédéric to meet that threat</t>
  </si>
  <si>
    <t>jailer</t>
  </si>
  <si>
    <t>the Mongols</t>
  </si>
  <si>
    <t>low economic growth</t>
  </si>
  <si>
    <t>By justification certain racial and geographical theories, Europe thought of itself as what?</t>
  </si>
  <si>
    <t>Archangel Michael</t>
  </si>
  <si>
    <t>humid subtropical climate</t>
  </si>
  <si>
    <t>What lead to the UK to subscribe to the agreement on Social Policy?</t>
  </si>
  <si>
    <t>bourgeois</t>
  </si>
  <si>
    <t>What contributed to the decreased inequality between trained and untrained workers?</t>
  </si>
  <si>
    <t>When was a study published confirming the 2001 IPCC projections?</t>
  </si>
  <si>
    <t>giving her brother Polynices a proper burial.</t>
  </si>
  <si>
    <t>idea of torments</t>
  </si>
  <si>
    <t>The Church rejects was as an instrument of what?</t>
  </si>
  <si>
    <t>In the United States, what is a usual turbine speed with 60 Hertz of power?</t>
  </si>
  <si>
    <t>Lower</t>
  </si>
  <si>
    <t>What is the revised version of The Book of Common Prayer called?</t>
  </si>
  <si>
    <t>the poor application of well-established IPCC procedures</t>
  </si>
  <si>
    <t>Another important library – the University Library, founded in 1816, is home to over two million items. The building was designed by architects Marek Budzyński and Zbigniew Badowski and opened on 15 December 1999. It is surrounded by green. The University Library garden, designed by Irena Bajerska, was opened on 12 June 2002. It is one of the largest and most beautiful roof gardens in Europe with an area of more than 10,000 m2 (107,639.10 sq ft), and plants covering 5,111 m2 (55,014.35 sq ft). As the university garden it is open to the public every day.</t>
  </si>
  <si>
    <t>How does Victoria rank as to population density?</t>
  </si>
  <si>
    <t>reported rates of mortality in rural areas during the 14th-century pandemic were inconsistent with the modern bubonic plague</t>
  </si>
  <si>
    <t>How much time did he claim had to pass before he gave the ray to the world?</t>
  </si>
  <si>
    <t>first oil shock</t>
  </si>
  <si>
    <t>January 18, 1974,</t>
  </si>
  <si>
    <t>six series of theses</t>
  </si>
  <si>
    <t>What building material does the entrance hall and flanking staircases use predominantly?</t>
  </si>
  <si>
    <t>What country uses the Bowl of Hygieia as a symbol of pharmacy?</t>
  </si>
  <si>
    <t>7th century</t>
  </si>
  <si>
    <t>"The word ‘empire’ comes from the Latin word imperium; for which the closest modern English equivalent would perhaps be ‘sovereignty’, or simply ‘rule’". The greatest distinction of an empire is through the amount of land that a nation has conquered and expanded. Political power grew from conquering land, however cultural and economic aspects flourished through sea and trade routes. A distinction about empires is "that although political empires were built mostly by expansion overland, economic and cultural influences spread at least as much by sea". Some of the main aspects of trade that went overseas consisted of animals and plant products. European empires in Asia and Africa "have come to be seen as the classic forms of imperialism: and indeed most books on the subject confine themselves to the European seaborne empires". European expansion caused the world to be divided by how developed and developing nation are portrayed through the world systems theory. The two main regions are the core and the periphery. The core consists of high areas of income and profit; the periphery is on the opposing side of the spectrum consisting of areas of low income and profit. These critical theories of Geo-politics have led to increased discussion of the meaning and impact of imperialism on the modern post-colonial world. The Russian leader Lenin suggested that "imperialism was the highest form of capitalism, claiming that imperialism developed after colonialism, and was distinguished from colonialism by monopoly capitalism". This idea from Lenin stresses how important new political world order has become in our modern era. Geopolitics now focuses on states becoming major economic players in the market; some states today are viewed as empires due to their political and economic authority over other nations.</t>
  </si>
  <si>
    <t>For its part, the television network produced a few new hits during 1977: January saw the premiere of Roots, a miniseries based on an Alex Haley novel that was published the previous year; in September, The Love Boat, a comedy-drama anthology series produced by Aaron Spelling which was based around the crew of a cruise ship and featured three stories centered partly on the ship's various passengers; although critically lambasted, the series turned out to be a ratings success and lasted nine seasons. Roots went on to become one of the highest-rated programs in American television history, with unprecedented ratings for its finale. The success of Roots, Happy Days and The Love Boat allowed the network to take first place in the ratings for the first time in the 1976–77 season. On September 13, 1977, the network debuted Soap, a controversial soap opera parody which became known for being the first television series to feature an openly gay main character (played by a then-unknown Billy Crystal); it last ran on the network on April 20, 1981.</t>
  </si>
  <si>
    <t>96.26%</t>
  </si>
  <si>
    <t>Dutch</t>
  </si>
  <si>
    <t>What was the entity that stepped in and caused Miami's Sun Life Stadium to no longer be in the running to host Super Bowl 50?</t>
  </si>
  <si>
    <t>The University of Chicago also maintains facilities apart from its main campus. The university's Booth School of Business maintains campuses in Singapore, London, and the downtown Streeterville neighborhood of Chicago. The Center in Paris, a campus located on the left bank of the Seine in Paris, hosts various undergraduate and graduate study programs. In fall 2010, the University of Chicago also opened a center in Beijing, near Renmin University's campus in Haidian District. The most recent additions are a center in New Delhi, India, which opened in 2014, and a center in Hong Kong which opened in 2015.</t>
  </si>
  <si>
    <t>What country does the Rhine empty?</t>
  </si>
  <si>
    <t>Who is subject to vetting?</t>
  </si>
  <si>
    <t>What is the name associated with the eight areas that make up a part of southern California?</t>
  </si>
  <si>
    <t>C3 angiosperms, and even some gymnosperms</t>
  </si>
  <si>
    <t>Under which policy are labor unions encouraged?</t>
  </si>
  <si>
    <t>Southern</t>
  </si>
  <si>
    <t>dangerous by-products of oxygen use in organisms</t>
  </si>
  <si>
    <t>a knight winning a bout</t>
  </si>
  <si>
    <t>the early 1960s</t>
  </si>
  <si>
    <t>Hughes Hotel</t>
  </si>
  <si>
    <t>the Huguenot rebellions</t>
  </si>
  <si>
    <t>What was Luther involved in dealing with the minds in Mansfeld?</t>
  </si>
  <si>
    <t>public order</t>
  </si>
  <si>
    <t>look at both the possibilities</t>
  </si>
  <si>
    <t>What net loss did the Conservatives suffer?</t>
  </si>
  <si>
    <t>What was Warsaw's Old Town listed as in 1980?</t>
  </si>
  <si>
    <t>To fix carbon dioxide into sugar molecules in the process of photosynthesis, chloroplasts use an enzyme called rubisco. Rubisco has a problem—it has trouble distinguishing between carbon dioxide and oxygen, so at high oxygen concentrations, rubisco starts accidentally adding oxygen to sugar precursors. This has the end result of ATP energy being wasted and CO2 being released, all with no sugar being produced. This is a big problem, since O2 is produced by the initial light reactions of photosynthesis, causing issues down the line in the Calvin cycle which uses rubisco.</t>
  </si>
  <si>
    <t>British Superintendent for Indian Affairs</t>
  </si>
  <si>
    <t>the British Isles</t>
  </si>
  <si>
    <t>What CBS website provided a stream?</t>
  </si>
  <si>
    <t>What was Frensh military presence at start of war?</t>
  </si>
  <si>
    <t>a four-carbon compound</t>
  </si>
  <si>
    <t>work sorrow over sin in man's heart</t>
  </si>
  <si>
    <t>Where was the Muslim Brotherhood founded?</t>
  </si>
  <si>
    <t>the time taken</t>
  </si>
  <si>
    <t>Which monarchs was the Victoria and Albert Museum named after?</t>
  </si>
  <si>
    <t>What were requests made to British?</t>
  </si>
  <si>
    <t>What was the first internet2 network named</t>
  </si>
  <si>
    <t>In 1926, Tesla commented on the ills of the social subservience of women and the struggle of women toward gender equality, and indicated that humanity's future would be run by "Queen Bees." He believed that women would become the dominant sex in the future.</t>
  </si>
  <si>
    <t>A few galleries were redesigned in the 1990s including the Indian, Japanese, Chinese, iron work, the main glass galleries and the main silverware gallery which was further enhanced in 2002 when some of the Victorian decoration was recreated. This included two of the ten columns having their ceramic decoration replaced and the elaborate painted designs restored on the ceiling. As part of the 2006 renovation the mosaic floors in the sculpture gallery were restored—most of the Victorian floors were covered in linoleum after the Second World War. After the success of the British Galleries, opened in 2001, it was decided to embark on a major redesign of all the galleries in the museum; this is known as "FuturePlan", and was created in consultation with the exhibition designers and masterplanners Metaphor. The plan is expected to take about ten years and was started in 2002. To date several galleries have been redesigned, notably, in 2002: the main Silver Gallery, Contemporary; in 2003: Photography, the main entrance, The Painting Galleries; in 2004: the tunnel to the subway leading to South Kensington tube station, New signage throughout the museum, architecture, V&amp;A and RIBA reading rooms and stores, metalware, Members' Room, contemporary glass, the Gilbert Bayes sculpture gallery; in 2005: portrait miniatures, prints and drawings, displays in Room 117, the garden, sacred silver and stained glass; in 2006: Central Hall Shop, Islamic Middle East, the new café, sculpture galleries. Several designers and architects have been involved in this work. Eva Jiřičná designed the enhancements to the main entrance and rotunda, the new shop, the tunnel and the sculpture galleries. Gareth Hoskins was responsible for contemporary and architecture, Softroom, Islamic Middle East and the Members' Room, McInnes Usher McKnight Architects (MUMA) were responsible for the new Cafe and designed the new Medieval and Renaissance galleries which opened in 2009.</t>
  </si>
  <si>
    <t>Gospić, Austrian Empire</t>
  </si>
  <si>
    <t>To further highlight the difference between a problem and an instance, consider the following instance of the decision version of the traveling salesman problem: Is there a route of at most 2000 kilometres passing through all of Germany's 15 largest cities? The quantitative answer to this particular problem instance is of little use for solving other instances of the problem, such as asking for a round trip through all sites in Milan whose total length is at most 10 km. For this reason, complexity theory addresses computational problems and not particular problem instances.</t>
  </si>
  <si>
    <t>the public switched data network operated by the Dutch PTT Telecom</t>
  </si>
  <si>
    <t>up to three-fourths of the population</t>
  </si>
  <si>
    <t>restriction modification system</t>
  </si>
  <si>
    <t>Jellyfish and sea anemones belong to which group/</t>
  </si>
  <si>
    <t>direct effect or indirect effect on the laws of European Union member states</t>
  </si>
  <si>
    <t>Harold WInston's supported which country's during its six day war?</t>
  </si>
  <si>
    <t>Diatomic oxygen gas</t>
  </si>
  <si>
    <t>the member state cannot enforce conflicting laws</t>
  </si>
  <si>
    <t>arbitrary integers</t>
  </si>
  <si>
    <t>focused on identity and unity, which were critical issues at the time</t>
  </si>
  <si>
    <t>ideal strings that are massless</t>
  </si>
  <si>
    <t>yes or no</t>
  </si>
  <si>
    <t>at a luncheon in his honor</t>
  </si>
  <si>
    <t>What ethnicity was Shi Tianze?</t>
  </si>
  <si>
    <t>What do some believe about this pronunciation?</t>
  </si>
  <si>
    <t>Which two Mongol leaders added Persia to the Mongol Empire?</t>
  </si>
  <si>
    <t>thylakoids and intermembrane space</t>
  </si>
  <si>
    <t>Virginia in the South to Nova Scotia in the North</t>
  </si>
  <si>
    <t>mustered local militia companies, generally ill trained and available only for short periods, to deal with native threats, but did not have any standing forces.</t>
  </si>
  <si>
    <t>It is that power which enables us to love and motivates us to seek a relationship with God through Jesus Christ.</t>
  </si>
  <si>
    <t>What increases rapidly as per capita income increases?</t>
  </si>
  <si>
    <t>What type of steam engine produces most electricity in the world today?</t>
  </si>
  <si>
    <t>What was Warner Sinback</t>
  </si>
  <si>
    <t>The French thought bringing what would uplift other regions?</t>
  </si>
  <si>
    <t>What month, every four years, are the ordinary general elections held on?</t>
  </si>
  <si>
    <t>on Biblical grounds</t>
  </si>
  <si>
    <t>What kind of disorders occur when part of the immune system isn't active?</t>
  </si>
  <si>
    <t>his papers</t>
  </si>
  <si>
    <t>In 2009 what was the total of Grants awarded from Harvard?</t>
  </si>
  <si>
    <t>Under which courts is most EU law applied?</t>
  </si>
  <si>
    <t>redistribution mechanisms such as social welfare programs</t>
  </si>
  <si>
    <t>immunoglobulins and T cell receptors</t>
  </si>
  <si>
    <t>When does the annual animal migration occur?</t>
  </si>
  <si>
    <t>1524–25</t>
  </si>
  <si>
    <t>the Colony of Victoria Act</t>
  </si>
  <si>
    <t>exoskeleton</t>
  </si>
  <si>
    <t>Cuba</t>
  </si>
  <si>
    <t>continental European liberalism</t>
  </si>
  <si>
    <t>the Swynnerton Plan, which was used to both reward loyalists and punish Mau Mau.</t>
  </si>
  <si>
    <t>supplant it.</t>
  </si>
  <si>
    <t>Who may seek changes or exemptions in the law that governs the land where the building will be built?</t>
  </si>
  <si>
    <t>the early 1950s</t>
  </si>
  <si>
    <t>What was the first Doctor Who show that TVOntario ran?</t>
  </si>
  <si>
    <t>When a person’s capabilities are lowered, they are in some way deprived of earning as much income as they would otherwise. An old, ill man cannot earn as much as a healthy young man; gender roles and customs may prevent a woman from receiving an education or working outside the home. There may be an epidemic that causes widespread panic, or there could be rampant violence in the area that prevents people from going to work for fear of their lives. As a result, income and economic inequality increases, and it becomes more difficult to reduce the gap without additional aid. To prevent such inequality, this approach believes it’s important to have political freedom, economic facilities, social opportunities, transparency guarantees, and protective security to ensure that people aren’t denied their functionings, capabilities, and agency and can thus work towards a better relevant income.</t>
  </si>
  <si>
    <t>internal combustion</t>
  </si>
  <si>
    <t>2005–2010</t>
  </si>
  <si>
    <t>p is not a prime factor of q.</t>
  </si>
  <si>
    <t>Lunar Excursion Module</t>
  </si>
  <si>
    <t>What was the basis mentioned for the develpment of the general theory of relativity?</t>
  </si>
  <si>
    <t>In early 1938</t>
  </si>
  <si>
    <t>natural obstacle</t>
  </si>
  <si>
    <t>grant a consent search of his property,</t>
  </si>
  <si>
    <t>What kind of bureaucracy did the Normans institute?</t>
  </si>
  <si>
    <t>use of technology,</t>
  </si>
  <si>
    <t>means to invest</t>
  </si>
  <si>
    <t>What had Bhutto planned on banning within six months, before he was overthrown?</t>
  </si>
  <si>
    <t>the immune system</t>
  </si>
  <si>
    <t>kinetic</t>
  </si>
  <si>
    <t>paying his rent at the Hotel New Yorker</t>
  </si>
  <si>
    <t>Who is responsible for ensuring the Parliament works smoothly?</t>
  </si>
  <si>
    <t>Egg of Columbus</t>
  </si>
  <si>
    <t>massive financial commitment</t>
  </si>
  <si>
    <t>we are neither making maximum effort nor achieving results necessary if this country is to reach a position of leadership</t>
  </si>
  <si>
    <t>What insight of Galileo was associated with constant velocity?</t>
  </si>
  <si>
    <t>2011-12 saw ABC drop to 4th in ratings among what important demographic?</t>
  </si>
  <si>
    <t>Tibetan monastery of Kumbum Monastery</t>
  </si>
  <si>
    <t>The plugs-out test began on the morning of January 27, 1967, and immediately was plagued with problems. First the crew noticed a strange odor in their spacesuits, which delayed the sealing of the hatch. Then, communications problems frustrated the astronauts and forced a hold in the simulated countdown. During this hold, an electrical fire began in the cabin, and spread quickly in the high pressure, 100% oxygen atmosphere. Pressure rose high enough from the fire that the cabin burst and the fire erupted onto the pad area, frustrating attempts to rescue the crew. The astronauts were asphyxiated before the hatch could be opened.</t>
  </si>
  <si>
    <t>civil</t>
  </si>
  <si>
    <t>When economic inequality is smaller, more waste and pollution is?</t>
  </si>
  <si>
    <t>What is the highest level of the UMC?</t>
  </si>
  <si>
    <t>What kind of chloroplasts do Euglenophytes have?</t>
  </si>
  <si>
    <t>Luther wrote "Ach Gott, vom Himmel sieh darein" ("Oh God, look down from heaven"). "Nun komm, der Heiden Heiland" (Now come, Savior of the gentiles), based on Veni redemptor gentium, became the main hymn (Hauptlied) for Advent. He transformed A solus ortus cardine to "Christum wir sollen loben schon" ("We should now praise Christ") and Veni Creator Spiritus to "Komm, Gott Schöpfer, Heiliger Geist" ("Come, Holy Spirit, Lord God"). He wrote two hymns on the Ten Commandments, "Dies sind die heilgen Zehn Gebot" and "Mensch, willst du leben seliglich". His "Gelobet seist du, Jesu Christ" ("Praise be to You, Jesus Christ") became the main hymn for Christmas. He wrote for Pentecost "Nun bitten wir den Heiligen Geist", and adopted for Easter "Christ ist erstanden" (Christ is risen), based on Victimae paschali laudes. "Mit Fried und Freud ich fahr dahin", a paraphrase of Nunc dimittis, was intended for Purification, but became also a funeral hymn. He paraphrased the Te Deum as "Herr Gott, dich loben wir" with a simplified form of the melody. It became known as the German Te Deum.</t>
  </si>
  <si>
    <t>with the Father</t>
  </si>
  <si>
    <t>Montreal Protocol</t>
  </si>
  <si>
    <t>How many Huguenots were killed during this purge?</t>
  </si>
  <si>
    <t>Vistula Valley</t>
  </si>
  <si>
    <t>King Charles III</t>
  </si>
  <si>
    <t>Parliament of the United Kingdom at Westminster</t>
  </si>
  <si>
    <t>24 August – 3 October 1572</t>
  </si>
  <si>
    <t>At what address did Goldenson secure a new headquarters for ABC?</t>
  </si>
  <si>
    <t xml:space="preserve">How would one write T(n) = 7n2 + 15n + 40 in big O notation? </t>
  </si>
  <si>
    <t>committee</t>
  </si>
  <si>
    <t>he could set the earth's crust into such a state of vibration that it would rise and fall hundreds of feet and practically destroy civilization</t>
  </si>
  <si>
    <t>the curriculum.</t>
  </si>
  <si>
    <t xml:space="preserve">What was Zia-ul-Haq accused of using Islamization to legitimize? </t>
  </si>
  <si>
    <t>How many photosynthetic carotenoids are there?</t>
  </si>
  <si>
    <t>What effect does rubisco's flaw have?</t>
  </si>
  <si>
    <t>How far is Fresno from Los Angeles?</t>
  </si>
  <si>
    <t>break their vows without sin,</t>
  </si>
  <si>
    <t>preserving Mongol interests in China and satisfying the demands of his Chinese subjects</t>
  </si>
  <si>
    <t>What was the first series to be televised in color on ABC?</t>
  </si>
  <si>
    <t>Super Bowl Opening Night.</t>
  </si>
  <si>
    <t>What does the minister who was the catalyst of the Members Business do by speaking after everyone else?</t>
  </si>
  <si>
    <t>inversely</t>
  </si>
  <si>
    <t>821,784</t>
  </si>
  <si>
    <t>foot of the mast</t>
  </si>
  <si>
    <t>21-minute</t>
  </si>
  <si>
    <t>fashion, architecture, product design, graphic arts and photography</t>
  </si>
  <si>
    <t>What two bodies must the Parliament go through first to pass legislation?</t>
  </si>
  <si>
    <t>Min system</t>
  </si>
  <si>
    <t>port's trade</t>
  </si>
  <si>
    <t>Where did he work on the oscillators?</t>
  </si>
  <si>
    <t>What was the goal of this Roman disobedience?</t>
  </si>
  <si>
    <t>The city still contains many theatres. The largest, the Theatre Royal on Grey Street, first opened in 1837, designed by John and Benjamin Green. It has hosted a season of performances from the Royal Shakespeare Company for over 25 years, as well as touring productions of West End musicals. The Mill Volvo Tyne Theatre hosts smaller touring productions, whilst other venues feature local talent. Northern Stage, formally known as the Newcastle Playhouse and Gulbenkian Studio, hosts various local, national and international productions in addition to those produced by the Northern Stage company. Other theatres in the city include the Live Theatre, the People's Theatre and the Jubilee Theatre. NewcastleGateshead was voted in 2006 as the arts capital of the UK in a survey conducted by the Artsworld TV channel.</t>
  </si>
  <si>
    <t>Dutch Republic</t>
  </si>
  <si>
    <t>behind the foot of the mast of a moving ship</t>
  </si>
  <si>
    <t>What are some of the causes of child labor?</t>
  </si>
  <si>
    <t>Who controlled Sicily before the Normans?</t>
  </si>
  <si>
    <t>canalisation projects</t>
  </si>
  <si>
    <t>Who did Denver beat in the AFC championship?</t>
  </si>
  <si>
    <t>a substantial portion of Central Asia and China</t>
  </si>
  <si>
    <t>Besides publishing To the Christian Nobility of the German Nation and On the Babylonian Captivity of the Church, what other work did Luther produce in 1520?</t>
  </si>
  <si>
    <t>Luther's Small Catechism proved especially effective in helping parents teach their children; likewise the Larger Catechism was effective for pastors. Using the German vernacular, they expressed the Apostles' Creed in simpler, more personal, Trinitarian language. He rewrote each article of the Creed to express the character of the Father, the Son, or the Holy Spirit. Luther's goal was to enable the catechumens to see themselves as a personal object of the work of the three persons of the Trinity, each of which works in the catechumen's life. That is, Luther depicted the Trinity not as a doctrine to be learned, but as persons to be known. The Father creates, the Son redeems, and the Spirit sanctifies, a divine unity with separate personalities. Salvation originates with the Father and draws the believer to the Father. Luther's treatment of the Apostles' Creed must be understood in the context of the Decalogue (the Ten Commandments) and the Lord's Prayer, which are also part of the Lutheran catechical teaching.</t>
  </si>
  <si>
    <t>Another important role of the immune system is to identify and eliminate tumors. This is called immune surveillance. The transformed cells of tumors express antigens that are not found on normal cells. To the immune system, these antigens appear foreign, and their presence causes immune cells to attack the transformed tumor cells. The antigens expressed by tumors have several sources; some are derived from oncogenic viruses like human papillomavirus, which causes cervical cancer, while others are the organism's own proteins that occur at low levels in normal cells but reach high levels in tumor cells. One example is an enzyme called tyrosinase that, when expressed at high levels, transforms certain skin cells (e.g. melanocytes) into tumors called melanomas. A third possible source of tumor antigens are proteins normally important for regulating cell growth and survival, that commonly mutate into cancer inducing molecules called oncogenes.</t>
  </si>
  <si>
    <t>What formation has an asymmetrical pattern of different terraces?</t>
  </si>
  <si>
    <t>430 BC.</t>
  </si>
  <si>
    <t>What are the "Big Five" animals in Kenya?</t>
  </si>
  <si>
    <t>What proclamation abolished protestantism in France?</t>
  </si>
  <si>
    <t>Genesis</t>
  </si>
  <si>
    <t>What do these teachers NOT do?</t>
  </si>
  <si>
    <t>inferior</t>
  </si>
  <si>
    <t>Classifying the stages of what is important to mapping aspects of the Amazon?</t>
  </si>
  <si>
    <t>between 1835 and 1842,</t>
  </si>
  <si>
    <t>mainly in southwestern France</t>
  </si>
  <si>
    <t>tentacles</t>
  </si>
  <si>
    <t>7–4–2–3 system</t>
  </si>
  <si>
    <t>what did he do for $2 a day?</t>
  </si>
  <si>
    <t>ended inconclusively</t>
  </si>
  <si>
    <t>15 February 1546</t>
  </si>
  <si>
    <t>the American Revolution</t>
  </si>
  <si>
    <t>cocoa butter</t>
  </si>
  <si>
    <t>The programme's first serial, An Unearthly Child, shows that the Doctor has a granddaughter, Susan Foreman. In the 1967 serial, Tomb of the Cybermen, when Victoria Waterfield doubts the Doctor can remember his family because of, "being so ancient", the Doctor says that he can when he really wants to—"The rest of the time they sleep in my mind". The 2005 series reveals that the Ninth Doctor thought he was the last surviving Time Lord, and that his home planet had been destroyed; in "The Empty Child" (2005), Dr. Constantine states that, "Before the war even began, I was a father and a grandfather. Now I am neither." The Doctor remarks in response, "Yeah, I know the feeling." In "Smith and Jones" (2007), when asked if he had a brother, he replied, "No, not any more." In both "Fear Her" (2006) and "The Doctor's Daughter" (2008), he states that he had, in the past, been a father.</t>
  </si>
  <si>
    <t>when Germany started to build her own</t>
  </si>
  <si>
    <t>What are the two major subsystems of the immune system?</t>
  </si>
  <si>
    <t>Why were the Uighurs ranked higher by the Mongols?</t>
  </si>
  <si>
    <t>electromagnetic force</t>
  </si>
  <si>
    <t>What is the principle that states that with sedimentary rocks, inclusions must be older than the formation that contains them?</t>
  </si>
  <si>
    <t>48.8 °C (119.8 °F)</t>
  </si>
  <si>
    <t>2012 Act</t>
  </si>
  <si>
    <t>mother is wrongly claiming to be living alone</t>
  </si>
  <si>
    <t>Queen Victoria and Prince Albert</t>
  </si>
  <si>
    <t>What are the most powerful class of anti-inflammatory drugs?</t>
  </si>
  <si>
    <t>on three grounds</t>
  </si>
  <si>
    <t>low latitude</t>
  </si>
  <si>
    <t>How far west did the Mongol Empire extend after Kuchlug's demise?</t>
  </si>
  <si>
    <t>"villes de sûreté"</t>
  </si>
  <si>
    <t>These attacks resonated with conservative Muslims and the problem did not go away with Saddam's defeat either, since American troops remained stationed in the kingdom, and a de facto cooperation with the Palestinian-Israeli peace process developed. Saudi Arabia attempted to compensate for its loss of prestige among these groups by repressing those domestic Islamists who attacked it (bin Laden being a prime example), and increasing aid to Islamic groups (Islamist madrassas around the world and even aiding some violent Islamist groups) that did not, but its pre-war influence on behalf of moderation was greatly reduced. One result of this was a campaign of attacks on government officials and tourists in Egypt, a bloody civil war in Algeria and Osama bin Laden's terror attacks climaxing in the 9/11 attack.</t>
  </si>
  <si>
    <t>When did the age of imperialism end?</t>
  </si>
  <si>
    <t>At the time of its formation, how many members did the UMC have?</t>
  </si>
  <si>
    <t>ABC's daytime schedule currently features talk shows The View and The Chew, and the soap opera General Hospital, the latter of which is the longest-running entertainment program in the history of the ABC television network, having aired since 1963. ABC also broadcasts the morning news program Good Morning America and has done so since 1975, though that program is not considered to be part of the ABC Daytime block. In addition to the long-running All My Children (1970–2011) and One Life to Live (1968–2012), notable past soap operas seen on the daytime lineup include Ryan's Hope, Dark Shadows, Loving, The City and Port Charles. ABC also aired the last nine years of the Procter &amp; Gamble-produced soap The Edge of Night, following its cancellation by CBS in 1975. ABC Daytime has also aired a number of game shows, including The Dating Game, The Newlywed Game, Let's Make a Deal, Password, Split Second, The $10,000/$20,000 Pyramid, Family Feud, The Better Sex, Trivia Trap, All-Star Blitz and Hot Streak.</t>
  </si>
  <si>
    <t>Which part of the immune system protects the brain?</t>
  </si>
  <si>
    <t>6.4 nanometers</t>
  </si>
  <si>
    <t>Islam's pivotal turning point as occurring not with the death of Ali</t>
  </si>
  <si>
    <t>Doctor in Bible.</t>
  </si>
  <si>
    <t>about 3 miles</t>
  </si>
  <si>
    <t>How long has the imagery of the mermaid been used by Warsaw?</t>
  </si>
  <si>
    <t>What must be passed using democratic means by the entire school community?</t>
  </si>
  <si>
    <t>While photosystem II photolyzes water to obtain and energize new electrons, photosystem I simply reenergizes depleted electrons at the end of an electron transport chain. Normally, the reenergized electrons are taken by NADP+, though sometimes they can flow back down more H+-pumping electron transport chains to transport more hydrogen ions into the thylakoid space to generate more ATP. This is termed cyclic photophosphorylation because the electrons are recycled. Cyclic photophosphorylation is common in C4 plants, which need more ATP than NADPH.</t>
  </si>
  <si>
    <t>the 50 fund</t>
  </si>
  <si>
    <t>the neuroimmune system</t>
  </si>
  <si>
    <t>How many seats must a political party have to be represented on the Parliamentary Bureau?</t>
  </si>
  <si>
    <t>contained in P or equal to P.</t>
  </si>
  <si>
    <t>two-thirds</t>
  </si>
  <si>
    <t>Mission Impossible</t>
  </si>
  <si>
    <t>higher aggregate utility</t>
  </si>
  <si>
    <t>manage the pharmacy department and specialised areas in pharmacy practice</t>
  </si>
  <si>
    <t>a consortium of several contractors</t>
  </si>
  <si>
    <t>regain authority over his own people</t>
  </si>
  <si>
    <t>Parachutes</t>
  </si>
  <si>
    <t>Who designed the iron gates that decorate the new entrance building?</t>
  </si>
  <si>
    <t>Where did Maududi exert the most impact?</t>
  </si>
  <si>
    <t>Besides viniculture, what is the other dominate economic sector in the middle rhine?</t>
  </si>
  <si>
    <t>competing harms defense</t>
  </si>
  <si>
    <t>What do donated genes give evidence of?</t>
  </si>
  <si>
    <t>the Harris School of Public Policy Studies</t>
  </si>
  <si>
    <t>ideal underpinning</t>
  </si>
  <si>
    <t>the Catholic Church in the region</t>
  </si>
  <si>
    <t>immunoinformatics</t>
  </si>
  <si>
    <t>Parliamentary time</t>
  </si>
  <si>
    <t>What was the pedestrian mall renamed?</t>
  </si>
  <si>
    <t>integers of quadratic number fields</t>
  </si>
  <si>
    <t>Petrologists can also use fluid inclusion data and perform high temperature and pressure physical experiments to understand the temperatures and pressures at which different mineral phases appear, and how they change through igneous and metamorphic processes. This research can be extrapolated to the field to understand metamorphic processes and the conditions of crystallization of igneous rocks. This work can also help to explain processes that occur within the Earth, such as subduction and magma chamber evolution.</t>
  </si>
  <si>
    <t>Against whom did the Camisards rise up to fight?</t>
  </si>
  <si>
    <t>The Scottish Parliament</t>
  </si>
  <si>
    <t>What can people work towards if they aren't denied their functionings, capabilities and agency?</t>
  </si>
  <si>
    <t>What is issued once construction is complete and a final inspection has been passed?</t>
  </si>
  <si>
    <t>Oriental Institute</t>
  </si>
  <si>
    <t>New England Patriots</t>
  </si>
  <si>
    <t>What cell type is also used for immune response in most types of invertebrate life?</t>
  </si>
  <si>
    <t>What is one way to use pure speech to reach as much people as possible to protest?</t>
  </si>
  <si>
    <t>What are new responsibilities pharmacy technicians now deal with?</t>
  </si>
  <si>
    <t>How long might a speaker address the members during the Time of Reflection?</t>
  </si>
  <si>
    <t>tribes in western portions of the Great Lakes region</t>
  </si>
  <si>
    <t>When was a vote help to ratify the change to the constitution?</t>
  </si>
  <si>
    <t>buried lead plates</t>
  </si>
  <si>
    <t>algebraic aspects</t>
  </si>
  <si>
    <t>Who are the chief administrators of the church?</t>
  </si>
  <si>
    <t>roof</t>
  </si>
  <si>
    <t>The IPCC receives funding through the IPCC Trust Fund, established in 1989 by the United Nations Environment Programme (UNEP) and the World Meteorological Organization (WMO), Costs of the Secretary and of housing the secretariat are provided by the WMO, while UNEP meets the cost of the Depute Secretary. Annual cash contributions to the Trust Fund are made by the WMO, by UNEP, and by IPCC Members; the scale of payments is determined by the IPCC Panel, which is also responsible for considering and adopting by consensus the annual budget. The organisation is required to comply with the Financial Regulations and Rules of the WMO.</t>
  </si>
  <si>
    <t>a diversion</t>
  </si>
  <si>
    <t>bones</t>
  </si>
  <si>
    <t>the Van de Graaff generator</t>
  </si>
  <si>
    <t>turbo-electric transmission,</t>
  </si>
  <si>
    <t>What policy did the Kelven Report contain?</t>
  </si>
  <si>
    <t>societies</t>
  </si>
  <si>
    <t>What is the atmosphere in a school using popularly based authority?</t>
  </si>
  <si>
    <t xml:space="preserve">What was developed for the Air Force </t>
  </si>
  <si>
    <t>deprived of earning as much income as they would otherwise</t>
  </si>
  <si>
    <t>at the opposite end from the mouth</t>
  </si>
  <si>
    <t>The silver and gold collection of the V&amp;A is divided into which categories?</t>
  </si>
  <si>
    <t>To what pathogen that causes gas gangrene is oxygen poisonous?</t>
  </si>
  <si>
    <t>extinction of the dinosaurs and the wetter climate</t>
  </si>
  <si>
    <t>The term imperialism has been applied to western countries, and which eastern county?</t>
  </si>
  <si>
    <t>political support</t>
  </si>
  <si>
    <t>What can orthogonal forces be when there are three components with two at right angles to each other?</t>
  </si>
  <si>
    <t>How did Tesla know he was being struck by the particle?</t>
  </si>
  <si>
    <t>Evidence indicates that Cydippids are not what?</t>
  </si>
  <si>
    <t>Under the Scotland Act 1998, ordinary general elections for the Scottish Parliament are held on the first Thursday in May every four years (1999, 2003, 2007 and so on). The date of the poll may be varied by up to one month either way by the Monarch on the proposal of the Presiding Officer. If the Parliament itself resolves that it should be dissolved (with at least two-thirds of the Members voting in favour), or if the Parliament fails to nominate one of its members to be First Minister within 28 days of a General Election or of the position becoming vacant, the Presiding Officer proposes a date for an extraordinary general election and the Parliament is dissolved by the Queen by royal proclamation. Extraordinary general elections are in addition to ordinary general elections, unless held less than six months before the due date of an ordinary general election, in which case they supplant it. The following ordinary election reverts to the first Thursday in May, a multiple of four years after 1999 (i.e., 5 May 2011, 7 May 2015, etc.).</t>
  </si>
  <si>
    <t>Karp reductions and Levin reductions</t>
  </si>
  <si>
    <t>condenser</t>
  </si>
  <si>
    <t>What caused the dynamos to be burnt out?</t>
  </si>
  <si>
    <t>How concentrated do the hydrogen ions get in the thylakoid space?</t>
  </si>
  <si>
    <t>Khwarezmian and Xia controlled lands</t>
  </si>
  <si>
    <t>general assembly of the estates of the Holy Roman Empire</t>
  </si>
  <si>
    <t>peacekeeping</t>
  </si>
  <si>
    <t>How high do plague fevers run?</t>
  </si>
  <si>
    <t>bays</t>
  </si>
  <si>
    <t>principal's office.</t>
  </si>
  <si>
    <t>still managed to thrive</t>
  </si>
  <si>
    <t>returned to New York</t>
  </si>
  <si>
    <t>How is winter weather in Jacksonville described as?</t>
  </si>
  <si>
    <t>What do chloroplasts do like mitochondria?</t>
  </si>
  <si>
    <t>When could V&amp;A Dundee?</t>
  </si>
  <si>
    <t>low</t>
  </si>
  <si>
    <t>What have some plants repurposed the peptidoglycan layer genes for?</t>
  </si>
  <si>
    <t>What country currently has a group who call themselves Huguenots?</t>
  </si>
  <si>
    <t>a certain number of teacher's salaries are paid by the State</t>
  </si>
  <si>
    <t>8–15</t>
  </si>
  <si>
    <t>What is the primary mission of the Daleks?</t>
  </si>
  <si>
    <t>half a million</t>
  </si>
  <si>
    <t>What type of professional is a Pharmacy Technician considered to be?</t>
  </si>
  <si>
    <t>political power</t>
  </si>
  <si>
    <t>What was redesigned to allow better maneuverability in the LRV?</t>
  </si>
  <si>
    <t>Lunar Module Pilot</t>
  </si>
  <si>
    <t>At the same time the Mongols imported Central Asian Muslims to serve as administrators in China, the Mongols also sent Han Chinese and Khitans from China to serve as administrators over the Muslim population in Bukhara in Central Asia, using foreigners to curtail the power of the local peoples of both lands. Han Chinese were moved to Central Asian areas like Besh Baliq, Almaliq, and Samarqand by the Mongols where they worked as artisans and farmers. Alans were recruited into the Mongol forces with one unit called "Right Alan Guard" which was combined with "recently surrendered" soldiers, Mongols, and Chinese soldiers stationed in the area of the former Kingdom of Qocho and in Besh Balikh the Mongols established a Chinese military colony led by Chinese general Qi Kongzhi (Ch'i Kung-chih). After the Mongol conquest of Central Asia by Genghis Khan, foreigners were chosen as administrators and co-management with Chinese and Qara-Khitays (Khitans) of gardens and fields in Samarqand was put upon the Muslims as a requirement since Muslims were not allowed to manage without them. The Mongol appointed Governor of Samarqand was a Qara-Khitay (Khitan), held the title Taishi, familiar with Chinese culture his name was Ahai</t>
  </si>
  <si>
    <t>Colony of Victoria Act 1855</t>
  </si>
  <si>
    <t>path between two space-time events</t>
  </si>
  <si>
    <t>Since forces are perceived as pushes or pulls, this can provide an intuitive understanding for describing forces. As with other physical concepts (e.g. temperature), the intuitive understanding of forces is quantified using precise operational definitions that are consistent with direct observations and compared to a standard measurement scale. Through experimentation, it is determined that laboratory measurements of forces are fully consistent with the conceptual definition of force offered by Newtonian mechanics.</t>
  </si>
  <si>
    <t>over 10,000</t>
  </si>
  <si>
    <t>use of force and violence and refusal to submit to arrest</t>
  </si>
  <si>
    <t>The show globe</t>
  </si>
  <si>
    <t>seclude himself</t>
  </si>
  <si>
    <t>Which logo was used for the third Doctor Who's last season?</t>
  </si>
  <si>
    <t>Where was Tesla's property sent?</t>
  </si>
  <si>
    <t>a statement</t>
  </si>
  <si>
    <t>installed electrical arc light based illumination systems</t>
  </si>
  <si>
    <t>individual states</t>
  </si>
  <si>
    <t>Where did Jebe's division of Genghis Khan's army campaign in Khwarezmia?</t>
  </si>
  <si>
    <t>comedies and family-oriented</t>
  </si>
  <si>
    <t>the FBI ordered the Alien Property Custodian to seize Tesla's belongings</t>
  </si>
  <si>
    <t>What is the name of the fund that focuses on youth, community and sustainable environments?</t>
  </si>
  <si>
    <t>Luther's hymns inspired composers to write music. Johann Sebastian Bach included several verses as chorales in his cantatas and based chorale cantatas entirely on them, namely Christ lag in Todes Banden, BWV 4, as early as possibly 1707, in his second annual cycle (1724 to 1725) Ach Gott, vom Himmel sieh darein, BWV 2, Christ unser Herr zum Jordan kam, BWV 7, Nun komm, der Heiden Heiland, BWV 62, Gelobet seist du, Jesu Christ, BWV 91, and Aus tiefer Not schrei ich zu dir, BWV 38, later Ein feste Burg ist unser Gott, BWV 80, and in 1735 Wär Gott nicht mit uns diese Zeit, BWV 14.</t>
  </si>
  <si>
    <t>What type of reaction is present in the emergency oxygen generator of an airplane?</t>
  </si>
  <si>
    <t>How long had John Paul II been the pope in 1979?</t>
  </si>
  <si>
    <t>the young and the elderly</t>
  </si>
  <si>
    <t>In August 1999, ABC premiered a special series event, Who Wants to Be a Millionaire, a game show based on the British program of the same title. Hosted throughout its ABC tenure by Regis Philbin, the program became a major ratings success throughout its initial summer run, which led ABC to renew Millionaire as a regular series, returning on January 18, 2000. At its peak, the program aired as much as six nights a week. Buoyed by Millionaire, during the 1999–2000 season, ABC became the first network to move from third to first place in the ratings during a single television season. Millionaire ended its run on the network's primetime lineup after three years in 2002, with Buena Vista Television relaunching the show as a syndicated program (under that incarnation's original host Meredith Vieira) in September of that year.</t>
  </si>
  <si>
    <t>black</t>
  </si>
  <si>
    <t>domestic social reforms</t>
  </si>
  <si>
    <t>the Puente Hills Fault</t>
  </si>
  <si>
    <t>After Archbishop Albrecht reviewed the Theses, where did he send them?</t>
  </si>
  <si>
    <t>Juveniles</t>
  </si>
  <si>
    <t>the same message routing methodology as developed by Baran</t>
  </si>
  <si>
    <t>Lake Baikal</t>
  </si>
  <si>
    <t>covalent double bond</t>
  </si>
  <si>
    <t>Several public-key cryptography algorithms, such as RSA and the Diffie–Hellman key exchange, are based on large prime numbers (for example, 512-bit primes are frequently used for RSA and 1024-bit primes are typical for Diffie–Hellman.). RSA relies on the assumption that it is much easier (i.e., more efficient) to perform the multiplication of two (large) numbers x and y than to calculate x and y (assumed coprime) if only the product xy is known. The Diffie–Hellman key exchange relies on the fact that there are efficient algorithms for modular exponentiation, while the reverse operation the discrete logarithm is thought to be a hard problem.</t>
  </si>
  <si>
    <t>blockade French ports, sent out their fleet in February 1755</t>
  </si>
  <si>
    <t>Relegation to secondary status for ABC resulted in viewership how much lower than their competitors, according to Goldenson?</t>
  </si>
  <si>
    <t>obscures the fact that Indians fought on both sides of the conflict, and that this was part of the Seven Years' War</t>
  </si>
  <si>
    <t>Where did the black death originate?</t>
  </si>
  <si>
    <t>the mountains</t>
  </si>
  <si>
    <t>What are Apicomplexans a type of?</t>
  </si>
  <si>
    <t>For how long did Tesla receive this compensation?</t>
  </si>
  <si>
    <t>What type of steam engines produced most power up to the early 20th century?</t>
  </si>
  <si>
    <t>When was the Ottoman empire at its height?</t>
  </si>
  <si>
    <t>the Italian Plague of 1629–1631</t>
  </si>
  <si>
    <t>How many homes had BSkyB's direct-to-home satellite service available to them in 2010?</t>
  </si>
  <si>
    <t>How does the IPCC prepare Special Reports?</t>
  </si>
  <si>
    <t>$12</t>
  </si>
  <si>
    <t>Peter Davison, Colin Baker, Sylvester McCoy and Paul McGann</t>
  </si>
  <si>
    <t>20 hours</t>
  </si>
  <si>
    <t>during the campaign for a free India</t>
  </si>
  <si>
    <t>How many Kenyans are living below the poverty level?</t>
  </si>
  <si>
    <t>in their graves and in heaven</t>
  </si>
  <si>
    <t>How many barrels of oil is it estimated Kenya has?</t>
  </si>
  <si>
    <t>Most Platyctenida have oval bodies that are flattened in the oral-aboral direction, with a pair of tentilla-bearing tentacles on the aboral surface. They cling to and creep on surfaces by everting the pharynx and using it as a muscular "foot". All but one of the known platyctenid species lack comb-rows. Platyctenids are usually cryptically colored, live on rocks, algae, or the body surfaces of other invertebrates, and are often revealed by their long tentacles with many sidebranches, seen streaming off the back of the ctenophore into the current.</t>
  </si>
  <si>
    <t>strong sedimentation</t>
  </si>
  <si>
    <t>How frequent is snow in the Southwest of the state?</t>
  </si>
  <si>
    <t>Prudential Insurance Company of America.</t>
  </si>
  <si>
    <t>What philosophies underlay Chinese medicine?</t>
  </si>
  <si>
    <t>graph isomorphism</t>
  </si>
  <si>
    <t>the kilogram-force (</t>
  </si>
  <si>
    <t>a noble death.</t>
  </si>
  <si>
    <t>How many major bus stations are in the city of Newcastle?</t>
  </si>
  <si>
    <t>oxygen supplementation</t>
  </si>
  <si>
    <t>the lawfulness of an action depends on whether it was appropriate and necessary to achieve the objectives legitimately pursued</t>
  </si>
  <si>
    <t>What are environmentalists concerned about losing in the Amazon forest?</t>
  </si>
  <si>
    <t>When was the salary range listed valid for (month and year)?</t>
  </si>
  <si>
    <t>set of triples</t>
  </si>
  <si>
    <t>to increase the chloroplast's surface area for cross-membrane transport</t>
  </si>
  <si>
    <t>numerous</t>
  </si>
  <si>
    <t>Who did Reuters claim won the 1915 Nobel prize in Physics?</t>
  </si>
  <si>
    <t>St. Lawrence River valley</t>
  </si>
  <si>
    <t>Besides cultural events, what other tourist attraction does Victoria have?</t>
  </si>
  <si>
    <t>a private research university</t>
  </si>
  <si>
    <t>What do tribes use Google Earth and GPS for?</t>
  </si>
  <si>
    <t>For a field F containing 0 and 1, what would be the prime field?</t>
  </si>
  <si>
    <t xml:space="preserve">Non-revolutionary civil disobedience is a simple disobedience of laws on the grounds that they are judged "wrong" by an individual conscience, or as part of an effort to render certain laws ineffective, to cause their repeal, or to exert pressure to get one's political wishes on some other issue. Revolutionary civil disobedience is more of an active attempt to overthrow a government (or to change cultural traditions, social customs, religious beliefs, etc...revolution doesn't have to be political, i.e. "cultural revolution", it simply implies sweeping and widespread change to a section of the social fabric). Gandhi's acts have been described as revolutionary civil disobedience. It has been claimed that the Hungarians under Ferenc Deák directed revolutionary civil disobedience against the Austrian government. Thoreau also wrote of civil disobedience accomplishing "peaceable revolution." Howard Zinn, Harvey Wheeler, and others have identified the right espoused in The Declaration of Independence to "alter or abolish" an unjust government to be a principle of civil disobedience. </t>
  </si>
  <si>
    <t>What third type of plea uses creative words?</t>
  </si>
  <si>
    <t>Between Bingen and Bonn, the Middle Rhine flows through the Rhine Gorge, a formation which was created by erosion. The rate of erosion equaled the uplift in the region, such that the river was left at about its original level while the surrounding lands raised. The gorge is quite deep and is the stretch of the river which is known for its many castles and vineyards. It is a UNESCO World Heritage Site (2002) and known as "the Romantic Rhine", with more than 40 castles and fortresses from the Middle Ages and many quaint and lovely country villages.</t>
  </si>
  <si>
    <t>a closed system of particles</t>
  </si>
  <si>
    <t>comb jelly.</t>
  </si>
  <si>
    <t>Mid-Atlantic</t>
  </si>
  <si>
    <t>How many metropolitan areas does Southern California's population encompass?</t>
  </si>
  <si>
    <t>in amylopectin starch granules that are located in their cytoplasm</t>
  </si>
  <si>
    <t>What layers of a leaf have chloroplasts?</t>
  </si>
  <si>
    <t>General Pharmaceutical Council (GPhC) register</t>
  </si>
  <si>
    <t>The Norman dynasty had a major political, cultural and military impact on medieval Europe and even the Near East. The Normans were famed for their martial spirit and eventually for their Christian piety, becoming exponents of the Catholic orthodoxy into which they assimilated. They adopted the Gallo-Romance language of the Frankish land they settled, their dialect becoming known as Norman, Normaund or Norman French, an important literary language. The Duchy of Normandy, which they formed by treaty with the French crown, was a great fief of medieval France, and under Richard I of Normandy was forged into a cohesive and formidable principality in feudal tenure. The Normans are noted both for their culture, such as their unique Romanesque architecture and musical traditions, and for their significant military accomplishments and innovations. Norman adventurers founded the Kingdom of Sicily under Roger II after conquering southern Italy on the Saracens and Byzantines, and an expedition on behalf of their duke, William the Conqueror, led to the Norman conquest of England at the Battle of Hastings in 1066. Norman cultural and military influence spread from these new European centres to the Crusader states of the Near East, where their prince Bohemond I founded the Principality of Antioch in the Levant, to Scotland and Wales in Great Britain, to Ireland, and to the coasts of north Africa and the Canary Islands.</t>
  </si>
  <si>
    <t>The United Methodist Church (UMC) practices infant and adult baptism. Baptized Members are those who have been baptized as an infant or child, but who have not subsequently professed their own faith. These Baptized Members become Professing Members through confirmation and sometimes the profession of faith. Individuals who were not previously baptized are baptized as part of their profession of faith and thus become Professing Members in this manner. Individuals may also become a Professing Member through transfer from another Christian denomination.</t>
  </si>
  <si>
    <t>high risk of a conflict of interest and/or the avoidance of absolute powers</t>
  </si>
  <si>
    <t>writings in volumes</t>
  </si>
  <si>
    <t>the bound on the complexity of reductions</t>
  </si>
  <si>
    <t>"new converts"</t>
  </si>
  <si>
    <t>Which two religions did Tesla express respect for?</t>
  </si>
  <si>
    <t>the most popular show</t>
  </si>
  <si>
    <t>What rate of unionization do Scandinavian nations have?</t>
  </si>
  <si>
    <t>Chris Keates, the general secretary of National Association of Schoolmasters Union of Women Teachers, said that teachers who have sex with pupils over the age of consent should not be placed on the sex offenders register and that prosecution for statutory rape "is a real anomaly in the law that we are concerned about." This has led to outrage from child protection and parental rights groups. Fears of being labelled a pedophile or hebephile has led to several men who enjoy teaching avoiding the profession. This has in some jurisdictions reportedly led to a shortage of male teachers.</t>
  </si>
  <si>
    <t xml:space="preserve">What is the bend of Rhine in Basel called? </t>
  </si>
  <si>
    <t>norm gets smaller</t>
  </si>
  <si>
    <t>higher</t>
  </si>
  <si>
    <t>Jews</t>
  </si>
  <si>
    <t>beta decay (of neutrons in atomic nuclei)</t>
  </si>
  <si>
    <t>antagonistic</t>
  </si>
  <si>
    <t>Who did the attacks resonate most with?</t>
  </si>
  <si>
    <t>Who was Iqbal a critic of?</t>
  </si>
  <si>
    <t>The first fortified settlements on the site of today's Warsaw were located in Bródno (9th/10th century) and Jazdów (12th/13th century). After Jazdów was raided by nearby clans and dukes, a new similar settlement was established on the site of a small fishing village called Warszowa. The Prince of Płock, Bolesław II of Masovia, established this settlement, the modern-day Warsaw, in about 1300. In the beginning of the 14th century it became one of the seats of the Dukes of Masovia, becoming the official capital of Masovian Duchy in 1413. 14th-century Warsaw's economy rested on mostly crafts and trade. Upon the extinction of the local ducal line, the duchy was reincorporated into the Polish Crown in 1526.</t>
  </si>
  <si>
    <t>Mankind</t>
  </si>
  <si>
    <t>What was used to accelerate the tungsten pellets?</t>
  </si>
  <si>
    <t>American Institute of Electrical Engineers</t>
  </si>
  <si>
    <t>against governmental entities</t>
  </si>
  <si>
    <t>In the 1960s, a series of discoveries, the most important of which was seafloor spreading, showed that the Earth's lithosphere, which includes the crust and rigid uppermost portion of the upper mantle, is separated into a number of tectonic plates that move across the plastically deforming, solid, upper mantle, which is called the asthenosphere. There is an intimate coupling between the movement of the plates on the surface and the convection of the mantle: oceanic plate motions and mantle convection currents always move in the same direction, because the oceanic lithosphere is the rigid upper thermal boundary layer of the convecting mantle. This coupling between rigid plates moving on the surface of the Earth and the convecting mantle is called plate tectonics.</t>
  </si>
  <si>
    <t>A fundamental error</t>
  </si>
  <si>
    <t>The party awarded a seat is the one with the highest what?</t>
  </si>
  <si>
    <t>commercial, scientific, and cultural</t>
  </si>
  <si>
    <t>What part of cryptophyte chloroplasts is similar to chlorarachniophytes?</t>
  </si>
  <si>
    <t>What happened to Dane?</t>
  </si>
  <si>
    <t>prostaglandins</t>
  </si>
  <si>
    <t>Immunology is strongly experimental in everyday practice but is also characterized by an ongoing theoretical attitude. Many theories have been suggested in immunology from the end of the nineteenth century up to the present time. The end of the 19th century and the beginning of the 20th century saw a battle between "cellular" and "humoral" theories of immunity. According to the cellular theory of immunity, represented in particular by Elie Metchnikoff, it was cells – more precisely, phagocytes – that were responsible for immune responses. In contrast, the humoral theory of immunity, held, among others, by Robert Koch and Emil von Behring, stated that the active immune agents were soluble components (molecules) found in the organism’s “humors” rather than its cells.</t>
  </si>
  <si>
    <t>When did Japan release a statement to tell Israelis to withdraw from the Palestine?</t>
  </si>
  <si>
    <t>The following table gives the largest known primes of the mentioned types. Some of these primes have been found using distributed computing. In 2009, the Great Internet Mersenne Prime Search project was awarded a US$100,000 prize for first discovering a prime with at least 10 million digits. The Electronic Frontier Foundation also offers $150,000 and $250,000 for primes with at least 100 million digits and 1 billion digits, respectively. Some of the largest primes not known to have any particular form (that is, no simple formula such as that of Mersenne primes) have been found by taking a piece of semi-random binary data, converting it to a number n, multiplying it by 256k for some positive integer k, and searching for possible primes within the interval [256kn + 1, 256k(n + 1) − 1].[citation needed]</t>
  </si>
  <si>
    <t>large-scale Jewish conversion</t>
  </si>
  <si>
    <t>housing</t>
  </si>
  <si>
    <t>A deterministic Turing machine</t>
  </si>
  <si>
    <t>This motivates the concept of a problem being hard for a complexity class. A problem X is hard for a class of problems C if every problem in C can be reduced to X. Thus no problem in C is harder than X, since an algorithm for X allows us to solve any problem in C. Of course, the notion of hard problems depends on the type of reduction being used. For complexity classes larger than P, polynomial-time reductions are commonly used. In particular, the set of problems that are hard for NP is the set of NP-hard problems.</t>
  </si>
  <si>
    <t>manned lunar landings</t>
  </si>
  <si>
    <t>Most of the Rhine's current course was not under the ice during the last Ice Age; although, its source must still have been a glacier. A tundra, with Ice Age flora and fauna, stretched across middle Europe, from Asia to the Atlantic Ocean. Such was the case during the Last Glacial Maximum, ca. 22,000–14,000 yr BP, when ice-sheets covered Scandinavia, the Baltics, Scotland and the Alps, but left the space between as open tundra. The loess or wind-blown dust over that tundra, settled in and around the Rhine Valley, contributing to its current agricultural usefulness.</t>
  </si>
  <si>
    <t>What did Luther seek to restore?</t>
  </si>
  <si>
    <t>31–24</t>
  </si>
  <si>
    <t>What were the names of Tesla's new partners?</t>
  </si>
  <si>
    <t>lay servants</t>
  </si>
  <si>
    <t>Where was the first settlement in Victoria?</t>
  </si>
  <si>
    <t>never</t>
  </si>
  <si>
    <t>environment</t>
  </si>
  <si>
    <t>value of the Caribbean islands' sugar</t>
  </si>
  <si>
    <t>The Weavers</t>
  </si>
  <si>
    <t>Many types of Turing machines are used to define complexity classes, such as deterministic Turing machines, probabilistic Turing machines, non-deterministic Turing machines, quantum Turing machines, symmetric Turing machines and alternating Turing machines. They are all equally powerful in principle, but when resources (such as time or space) are bounded, some of these may be more powerful than others.</t>
  </si>
  <si>
    <t xml:space="preserve">Is the packet header long </t>
  </si>
  <si>
    <t>closed system</t>
  </si>
  <si>
    <t>What molecules are recognized as foreign by the immune system?</t>
  </si>
  <si>
    <t>nine members,</t>
  </si>
  <si>
    <t>What is a course of study called?</t>
  </si>
  <si>
    <t>In which year were the North and South Courts opened?</t>
  </si>
  <si>
    <t>What is a PPP also known as?</t>
  </si>
  <si>
    <t>Northern Rhodesia</t>
  </si>
  <si>
    <t>1 were considered a prime</t>
  </si>
  <si>
    <t>ten million</t>
  </si>
  <si>
    <t>had to be converted</t>
  </si>
  <si>
    <t>"The Use of Money,"</t>
  </si>
  <si>
    <t>The Presiding Officer (or Deputy Presiding Officer) decides who speaks in chamber debates and the amount of time for which they are allowed to speak. Normally, the Presiding Officer tries to achieve a balance between different viewpoints and political parties when selecting members to speak. Typically, ministers or party leaders open debates, with opening speakers given between 5 and 20 minutes, and succeeding speakers allocated less time. The Presiding Officer can reduce speaking time if a large number of members wish to participate in the debate. Debate is more informal than in some parliamentary systems. Members may call each other directly by name, rather than by constituency or cabinet position, and hand clapping is allowed. Speeches to the chamber are normally delivered in English, but members may use Scots, Gaelic, or any other language with the agreement of the Presiding Officer. The Scottish Parliament has conducted debates in the Gaelic language.</t>
  </si>
  <si>
    <t>clear</t>
  </si>
  <si>
    <t>48.8 °C</t>
  </si>
  <si>
    <t>Lincoln Continental,</t>
  </si>
  <si>
    <t>Why do some people chose to go to jail for their disobedience?</t>
  </si>
  <si>
    <t>The tentacles of cydippid ctenophores are typically fringed with tentilla ("little tentacles"), although a few genera have simple tentacles without these sidebranches. The tentacles and tentilla are densely covered with microscopic colloblasts that capture prey by sticking to it. Colloblasts are specialized mushroom-shaped cells in the outer layer of the epidermis, and have three main components: a domed head with vesicles (chambers) that contain adhesive; a stalk that anchors the cell in the lower layer of the epidermis or in the mesoglea; and a spiral thread that coils round the stalk and is attached to the head and to the root of the stalk. The function of the spiral thread is uncertain, but it may absorb stress when prey tries to escape, and thus prevent the collobast from being torn apart. In addition to colloblasts, members of the genus Haeckelia, which feed mainly on jellyfish, incorporate their victims' stinging nematocytes into their own tentacles – some cnidaria-eating nudibranchs similarly incorporate nematocytes into their bodies for defense. The tentilla of Euplokamis differ significantly from those of other cydippids: they contain striated muscle, a cell type otherwise unknown in the phylum Ctenophora; and they are coiled when relaxed, while the tentilla of all other known ctenophores elongate when relaxed. Euplokamis' tentilla have three types of movement that are used in capturing prey: they may flick out very quickly (in 40 to 60 milliseconds); they can wriggle, which may lure prey by behaving like small planktonic worms; and they coil round prey. The unique flicking is an uncoiling movement powered by contraction of the striated muscle. The wriggling motion is produced by smooth muscles, but of a highly specialized type. Coiling around prey is accomplished largely by the return of the tentilla to their inactive state, but the coils may be tightened by smooth muscle.</t>
  </si>
  <si>
    <t>When was the construction that changed the Rhine's Delta?</t>
  </si>
  <si>
    <t>coercive</t>
  </si>
  <si>
    <t>Chloroplasts have their own DNA, often abbreviated as ctDNA, or cpDNA. It is also known as the plastome. Its existence was first proved in 1962, and first sequenced in 1986—when two Japanese research teams sequenced the chloroplast DNA of liverwort and tobacco. Since then, hundreds of chloroplast DNAs from various species have been sequenced, but they're mostly those of land plants and green algae—glaucophytes, red algae, and other algal groups are extremely underrepresented, potentially introducing some bias in views of "typical" chloroplast DNA structure and content.</t>
  </si>
  <si>
    <t>Kalka River</t>
  </si>
  <si>
    <t>surrendering either its continental North American possessions east of the Mississippi or the Caribbean islands of Guadeloupe and Martinique</t>
  </si>
  <si>
    <t>world classic of epoch-making oratory</t>
  </si>
  <si>
    <t>mouth of the Monongahela River (the site of present-day Pittsburgh, Pennsylvania)</t>
  </si>
  <si>
    <t>Between about 1964 and 1973, large amounts of older material stored in the BBC's various video tape and film libraries were either destroyed,[note 3] wiped, or suffered from poor storage which led to severe deterioration from broadcast quality. This included many old episodes of Doctor Who, mostly stories featuring the first two Doctors: William Hartnell and Patrick Troughton. In all, 97 of 253 episodes produced during the first six years of the programme are not held in the BBC's archives (most notably seasons 3, 4, &amp; 5, from which 79 episodes are missing). In 1972, almost all episodes then made were known to exist at the BBC, while by 1978 the practice of wiping tapes and destroying "spare" film copies had been brought to a stop.</t>
  </si>
  <si>
    <t>Gothic</t>
  </si>
  <si>
    <t>1965–66 season</t>
  </si>
  <si>
    <t>There are over 10,000 objects made from silver or gold in the collection, the display (about 15% of the collection) is divided into secular and sacred covering both Christian (Roman Catholic, Anglican and Greek Orthodox) and Jewish liturgical vessels and items. The main silver gallery is divided into these areas: British silver pre-1800; British silver 1800 to 1900; modernist to contemporary silver; European silver. The collection includes the earliest known piece of English silver with a dated hallmark, a silver gilt beaker dated 1496–97. Silversmiths' whose work is represented in the collection include Paul de Lamerie and Paul Storr whose Castlereagh Inkstand dated 1817–19 is one of his finest works. The main iron work gallery covers European wrought and cast iron from the mediaeval period to the early 20th century. The master of wrought ironwork Jean Tijou is represented by both examples of his work and designs on paper. One of the largest items is the Hereford Screen, weighing nearly 8 tonnes, 10.5 metres high and 11 metres wide, designed by Sir George Gilbert Scott in 1862 for the chancel in Hereford Cathedral, from which it was removed in 1967. It was made by Skidmore &amp; Company. Its structure of timber and cast iron is embellished with wrought iron, burnished brass and copper. Much of the copper and ironwork is painted in a wide range of colours. The arches and columns are decorated with polished quartz and panels of mosaic.</t>
  </si>
  <si>
    <t>U.S. Defense Secretary</t>
  </si>
  <si>
    <t>What do the owners of more capital end up having?</t>
  </si>
  <si>
    <t>clerical</t>
  </si>
  <si>
    <t>The General Conference</t>
  </si>
  <si>
    <t>The invasion failed both militarily and politically, as Pitt again planned significant campaigns against New France</t>
  </si>
  <si>
    <t>along the upper Tana River</t>
  </si>
  <si>
    <t>When did the earliest examples of civil disobedience as a whole occur?</t>
  </si>
  <si>
    <t>What do chloroplasts use to fix carbon dioxide into sugar?</t>
  </si>
  <si>
    <t>How many times was Cam Newton sacked?</t>
  </si>
  <si>
    <t>How many siblings did Tesla have?</t>
  </si>
  <si>
    <t>after he had noticed damaged film in his laboratory in previous experiments</t>
  </si>
  <si>
    <t>decline in hormone levels with age</t>
  </si>
  <si>
    <t>Every May since 1987, the University of Chicago has held the University of Chicago Scavenger Hunt, in which large teams of students compete to obtain notoriously esoteric items from a list. Since 1963, the Festival of the Arts (FOTA) takes over campus for 7–10 days of exhibitions and interactive artistic endeavors. Every January, the university holds a week-long winter festival, Kuviasungnerk/Kangeiko, which include early morning exercise routines and fitness workshops. The university also annually holds a summer carnival and concert called Summer Breeze that hosts outside musicians, and is home to Doc Films, a student film society founded in 1932 that screens films nightly at the university. Since 1946, the university has organized the Latke-Hamantash Debate, which involves humorous discussions about the relative merits and meanings of latkes and hamantashen.</t>
  </si>
  <si>
    <t>What interpretation of Islam is, for many of the adherents, the "gold standard" of their religion?</t>
  </si>
  <si>
    <t>power outage</t>
  </si>
  <si>
    <t>cone-shaped</t>
  </si>
  <si>
    <t>How else can petrologists understand the temperature at which different mineral phases appear?</t>
  </si>
  <si>
    <t>The executive summary of the WG I Summary for Policymakers report says they are certain that emissions resulting from human activities are substantially increasing the atmospheric concentrations of the greenhouse gases, resulting on average in an additional warming of the Earth's surface. They calculate with confidence that CO2 has been responsible for over half the enhanced greenhouse effect. They predict that under a "business as usual" (BAU) scenario, global mean temperature will increase by about 0.3 °C per decade during the [21st] century. They judge that global mean surface air temperature has increased by 0.3 to 0.6 °C over the last 100 years, broadly consistent with prediction of climate models, but also of the same magnitude as natural climate variability. The unequivocal detection of the enhanced greenhouse effect is not likely for a decade or more.</t>
  </si>
  <si>
    <t>The Rhine gets how much water from the Aare?</t>
  </si>
  <si>
    <t>inside hospitals and clinics</t>
  </si>
  <si>
    <t>What is tertiary endosymbiosis of haptophyte chloroplasts expected to create?</t>
  </si>
  <si>
    <t>The Catholic Church in France</t>
  </si>
  <si>
    <t>near the top end of the range given by IPCC's 2001 projection</t>
  </si>
  <si>
    <t>Hypersensitivity is an immune response that damages the body's own tissues. They are divided into four classes (Type I – IV) based on the mechanisms involved and the time course of the hypersensitive reaction. Type I hypersensitivity is an immediate or anaphylactic reaction, often associated with allergy. Symptoms can range from mild discomfort to death. Type I hypersensitivity is mediated by IgE, which triggers degranulation of mast cells and basophils when cross-linked by antigen. Type II hypersensitivity occurs when antibodies bind to antigens on the patient's own cells, marking them for destruction. This is also called antibody-dependent (or cytotoxic) hypersensitivity, and is mediated by IgG and IgM antibodies. Immune complexes (aggregations of antigens, complement proteins, and IgG and IgM antibodies) deposited in various tissues trigger Type III hypersensitivity reactions. Type IV hypersensitivity (also known as cell-mediated or delayed type hypersensitivity) usually takes between two and three days to develop. Type IV reactions are involved in many autoimmune and infectious diseases, but may also involve contact dermatitis (poison ivy). These reactions are mediated by T cells, monocytes, and macrophages.</t>
  </si>
  <si>
    <t>Ctenophores form an animal phylum that is more complex than sponges, about as complex as cnidarians (jellyfish, sea anemones, etc.), and less complex than bilaterians (which include almost all other animals). Unlike sponges, both ctenophores and cnidarians have: cells bound by inter-cell connections and carpet-like basement membranes; muscles; nervous systems; and some have sensory organs. Ctenophores are distinguished from all other animals by having colloblasts, which are sticky and adhere to prey, although a few ctenophore species lack them.</t>
  </si>
  <si>
    <t>Decision</t>
  </si>
  <si>
    <t>straight lines</t>
  </si>
  <si>
    <t>sleep</t>
  </si>
  <si>
    <t>What kind of market is Kenya considered?</t>
  </si>
  <si>
    <t>What fixed set of factors determine the actions of a deterministic Turing machine</t>
  </si>
  <si>
    <t>optional education</t>
  </si>
  <si>
    <t>steep and steady decline</t>
  </si>
  <si>
    <t>What happens after the lead melts?</t>
  </si>
  <si>
    <t>What is preserved in a closed system of forces when acted upon?</t>
  </si>
  <si>
    <t>Roughly, how much oxygen makes up the Earth crust?</t>
  </si>
  <si>
    <t>The Jetsons</t>
  </si>
  <si>
    <t>Why did Tesla go to Karlovac?</t>
  </si>
  <si>
    <t>all the normal forms of parental discipline</t>
  </si>
  <si>
    <t>the AKS primality test</t>
  </si>
  <si>
    <t>How is unregistered property held in informal form?</t>
  </si>
  <si>
    <t>Name two series that have been reboots rather than plot continuations.</t>
  </si>
  <si>
    <t>What was the shape that Faget designed for the Apollo command module?</t>
  </si>
  <si>
    <t>What are the largest objects in the V&amp;A ceramics and glass collection?</t>
  </si>
  <si>
    <t>all the horrible wars</t>
  </si>
  <si>
    <t>commutative ring</t>
  </si>
  <si>
    <t>Which country had trading posts in India before Britain?</t>
  </si>
  <si>
    <t>the Regenstein Library</t>
  </si>
  <si>
    <t>Much of the work of the Scottish Parliament is done in committee. The role of committees is stronger in the Scottish Parliament than in other parliamentary systems, partly as a means of strengthening the role of backbenchers in their scrutiny of the government and partly to compensate for the fact that there is no revising chamber. The principal role of committees in the Scottish Parliament is to take evidence from witnesses, conduct inquiries and scrutinise legislation. Committee meetings take place on Tuesday, Wednesday and Thursday morning when Parliament is sitting. Committees can also meet at other locations throughout Scotland.</t>
  </si>
  <si>
    <t>What British cultural trend during the Georgian is linked to design during the same period?</t>
  </si>
  <si>
    <t>When did representatives start working on the finer details of the deal?</t>
  </si>
  <si>
    <t>northwestern Canada</t>
  </si>
  <si>
    <t>religious beliefs</t>
  </si>
  <si>
    <t>win an acquittal</t>
  </si>
  <si>
    <t>How much rain per year does Fresno get on average?</t>
  </si>
  <si>
    <t>potentially dangerous</t>
  </si>
  <si>
    <t>According to certain Geographical theories what type of human does a tropical climate produce?</t>
  </si>
  <si>
    <t>Lead fusible plugs may be present in the crown of the boiler's firebox. If the water level drops, such that the temperature of the firebox crown increases significantly, the lead melts and the steam escapes, warning the operators, who may then manually suppress the fire. Except in the smallest of boilers the steam escape has little effect on dampening the fire. The plugs are also too small in area to lower steam pressure significantly, depressurizing the boiler. If they were any larger, the volume of escaping steam would itself endanger the crew.[citation needed]</t>
  </si>
  <si>
    <t>What were the first two stations to carry ABC's programming?</t>
  </si>
  <si>
    <t>The Scotland Act 1998, which was passed by the Parliament of the United Kingdom and given royal assent by Queen Elizabeth II on 19 November 1998, governs the functions and role of the Scottish Parliament and delimits its legislative competence. The Scotland Act 2012 extends the devolved competencies. For the purposes of parliamentary sovereignty, the Parliament of the United Kingdom at Westminster continues to constitute the supreme legislature of Scotland. However, under the terms of the Scotland Act, Westminster agreed to devolve some of its responsibilities over Scottish domestic policy to the Scottish Parliament. Such "devolved matters" include education, health, agriculture and justice. The Scotland Act enabled the Scottish Parliament to pass primary legislation on these issues. A degree of domestic authority, and all foreign policy, remain with the UK Parliament in Westminster. The Scottish Parliament has the power to pass laws and has limited tax-varying capability. Another of the roles of the Parliament is to hold the Scottish Government to account.</t>
  </si>
  <si>
    <t>claimants' "Sky TV bills</t>
  </si>
  <si>
    <t>Pleurobrachia, Beroe and Mnemiopsis</t>
  </si>
  <si>
    <t>magnitude</t>
  </si>
  <si>
    <t>Who is elected at the beginning of each term?</t>
  </si>
  <si>
    <t>Scottish independence</t>
  </si>
  <si>
    <t>The Three Doctors</t>
  </si>
  <si>
    <t>What "war" was Tesla involved in?</t>
  </si>
  <si>
    <t>Italian physicist</t>
  </si>
  <si>
    <t>CBS provided digital streams of the game via CBSSports.com, and the CBS Sports apps on tablets, Windows 10, Xbox One and other digital media players (such as Chromecast and Roku). Due to Verizon Communications exclusivity, streaming on smartphones was only provided to Verizon Wireless customers via the NFL Mobile service. The ESPN Deportes Spanish broadcast was made available through WatchESPN.</t>
  </si>
  <si>
    <t>The Hoppings, reputedly the largest travelling fair in Europe, takes place on Newcastle Town Moor every June. The event has its origins in the Temperance Movement during the early 1880s and coincides with the annual race week at High Gosforth Park. Newcastle Community Green Festival, which claims to be the UK's biggest free community environmental festival, also takes place every June, in Leazes Park. The Northern Rock Cyclone, a cycling festival, takes place within, or starting from, Newcastle in June. The Northern Pride Festival and Parade is held in Leazes Park and in the city's Gay Community in mid July. The Ouseburn Festival, a family oriented weekend festival near the city centre, incorporating a "Family Fun Day" and "Carnival Day", is held in late July.</t>
  </si>
  <si>
    <t>Oxygen is a chemical element with symbol O and atomic number 8. It is a member of the chalcogen group on the periodic table and is a highly reactive nonmetal and oxidizing agent that readily forms compounds (notably oxides) with most elements. By mass, oxygen is the third-most abundant element in the universe, after hydrogen and helium. At standard temperature and pressure, two atoms of the element bind to form dioxygen, a colorless and odorless diatomic gas with the formula O
2. Diatomic oxygen gas constitutes 20.8% of the Earth's atmosphere. However, monitoring of atmospheric oxygen levels show a global downward trend, because of fossil-fuel burning. Oxygen is the most abundant element by mass in the Earth's crust as part of oxide compounds such as silicon dioxide, making up almost half of the crust's mass.</t>
  </si>
  <si>
    <t>Which country today is a remnant of the Ottoman empire?</t>
  </si>
  <si>
    <t>free</t>
  </si>
  <si>
    <t>would be the most reliable and that there was a Westinghouse system to light incandescent bulbs using two-phase alternating current</t>
  </si>
  <si>
    <t>Central Asian Muslims</t>
  </si>
  <si>
    <t>Ctenophora are less complex than which other phylum?</t>
  </si>
  <si>
    <t>the Tesla coil.</t>
  </si>
  <si>
    <t>When Céloron's expedition arrived at Logstown, the Native Americans in the area informed Céloron that they owned the Ohio Country and that they would trade with the British regardless of the French. Céloron continued south until his expedition reached the confluence of the Ohio and the Miami rivers, which lay just south of the village of Pickawillany, the home of the Miami chief known as "Old Briton". Céloron threatened "Old Briton" with severe consequences if he continued to trade with the British. "Old Briton" ignored the warning. Disappointed, Céloron returned to Montreal in November 1749.</t>
  </si>
  <si>
    <t xml:space="preserve">What were the years two Regulations that conflicted with an Italian law originate in the Simmenthal SpA case? </t>
  </si>
  <si>
    <t>Rhodoplasts have a double membrane with an intermembrane space and phycobilin pigments organized into phycobilisomes on the thylakoid membranes, preventing their thylakoids from stacking. Some contain pyrenoids. Rhodoplasts have chlorophyll a and phycobilins for photosynthetic pigments; the phycobilin phycoerytherin is responsible for giving many red algae their distinctive red color. However, since they also contain the blue-green chlorophyll a and other pigments, many are reddish to purple from the combination. The red phycoerytherin pigment is an adaptation to help red algae catch more sunlight in deep water—as such, some red algae that live in shallow water have less phycoerytherin in their rhodoplasts, and can appear more greenish. Rhodoplasts synthesize a form of starch called floridean, which collects into granules outside the rhodoplast, in the cytoplasm of the red alga.</t>
  </si>
  <si>
    <t>The Brotherhood was the only opposition group in Egypt able to do what during elections?</t>
  </si>
  <si>
    <t>growing quickly</t>
  </si>
  <si>
    <t>Why is majority rule used?</t>
  </si>
  <si>
    <t>How many vice presidents are on the Student Board?</t>
  </si>
  <si>
    <t>energy content</t>
  </si>
  <si>
    <t>autoimmune diseases, inflammatory diseases and cancer</t>
  </si>
  <si>
    <t>European Parliament and the Council of the European Union</t>
  </si>
  <si>
    <t>Who was one man who joined hands and said "Lord of the Church, we are united in Thee...?"</t>
  </si>
  <si>
    <t>due to a malfunction in the chameleon circuit</t>
  </si>
  <si>
    <t>What fields of study were advanced during the Yuan?</t>
  </si>
  <si>
    <t>synthesize a small fraction of their proteins</t>
  </si>
  <si>
    <t>The Lone Ranger</t>
  </si>
  <si>
    <t>Breaking down barriers to trade and enhancing the free movement of goods is meant to reduce what?</t>
  </si>
  <si>
    <t>increased</t>
  </si>
  <si>
    <t>compresses the most recent era</t>
  </si>
  <si>
    <t>How sure did the statement say scientists were that temperatures would keep rising?</t>
  </si>
  <si>
    <t>What football program was debuted by ABC in 1970?</t>
  </si>
  <si>
    <t>Can BSkyB veto the presence of channels on their EPG?</t>
  </si>
  <si>
    <t>A specific algorithm demonstrating T(n) represents what measure of time complexity?</t>
  </si>
  <si>
    <t>Why should one not go to jail?</t>
  </si>
  <si>
    <t>What is the universal band that digital recievers will receive free to air channels on?</t>
  </si>
  <si>
    <t>fast forwarding</t>
  </si>
  <si>
    <t>downward</t>
  </si>
  <si>
    <t>potential drug interactions, adverse drug reactions, and assess patient drug allergies</t>
  </si>
  <si>
    <t>Cost engineers and estimators</t>
  </si>
  <si>
    <t>lower incomes</t>
  </si>
  <si>
    <t>In 1226, immediately after returning from the west, Genghis Khan began a retaliatory attack on the Tanguts. His armies quickly took Heisui, Ganzhou, and Suzhou (not the Suzhou in Jiangsu province), and in the autumn he took Xiliang-fu[disambiguation needed]. One of the Tangut generals challenged the Mongols to a battle near Helan Mountains but was defeated. In November, Genghis laid siege to the Tangut city Lingzhou and crossed the Yellow River, defeating the Tangut relief army. According to legend, it was here that Genghis Khan reportedly saw a line of five stars arranged in the sky and interpreted it as an omen of his victory.</t>
  </si>
  <si>
    <t>What was the total number of patents that Tesla had?</t>
  </si>
  <si>
    <t>graph isomorphism problem</t>
  </si>
  <si>
    <t>crowd out Muslim heritage</t>
  </si>
  <si>
    <t>in the kingdom</t>
  </si>
  <si>
    <t>"golden anniversary</t>
  </si>
  <si>
    <t xml:space="preserve">Where did the Chinese Nationalists move the mausoleum away from advancing Chinese Communist forces? </t>
  </si>
  <si>
    <t>When did Syria and Egypt launch a surprise attack on Israel?</t>
  </si>
  <si>
    <t>What are some large pharmacy management companies?</t>
  </si>
  <si>
    <t>Completing Q with respect to what will produce the field of real numbers?</t>
  </si>
  <si>
    <t>a glass case suspended from the lid</t>
  </si>
  <si>
    <t>five million</t>
  </si>
  <si>
    <t>Not designed to fly through the Earth's atmosphere or return to Earth</t>
  </si>
  <si>
    <t>William of Volpiano and John of Ravenna</t>
  </si>
  <si>
    <t>Citizenship of the EU has increasingly been seen as a "fundamental" status of member state nationals by the Court of Justice, and has accordingly increased the number of social services that people can access wherever they move. The Court has required that higher education, along with other forms of vocational training, should be more access, albeit with qualifying periods. In Commission v Austria the Court held that Austria was not entitled to restrict places in Austrian universities to Austrian students to avoid "structural, staffing and financial problems" if (mainly German) foreign students applied for places because there was little evidence of an actual problem.</t>
  </si>
  <si>
    <t>the Seattle Seahawks</t>
  </si>
  <si>
    <t>In what two serials was the number of regenerations set?</t>
  </si>
  <si>
    <t>in areas its forces occupied in Eastern Europe</t>
  </si>
  <si>
    <t>How did the unequal treatment of Chinese versus Mongols in the Yuan make the dynasty seem?</t>
  </si>
  <si>
    <t>colonialism</t>
  </si>
  <si>
    <t>In what episode is it brought up that the First Doctor might not actually be the first Doctor?</t>
  </si>
  <si>
    <t>In what theoretical machine is it confirmed that a problem in P belies membership in the NP class?</t>
  </si>
  <si>
    <t>Activation of a helper T cell causes it to release what chemicals that influence cell activity?</t>
  </si>
  <si>
    <t>Who sees a patient after a nurse can not help anymore?</t>
  </si>
  <si>
    <t>What does 'plastid' mean?</t>
  </si>
  <si>
    <t>Who besides Woodrow Wilson himself had the idea for the inquiry?</t>
  </si>
  <si>
    <t>Levi's Stadium.</t>
  </si>
  <si>
    <t>taught a large class of students</t>
  </si>
  <si>
    <t>Which country's arms purchase from the US became 5 times more than Israel?</t>
  </si>
  <si>
    <t>Kenya</t>
  </si>
  <si>
    <t>What did NSFNET promote</t>
  </si>
  <si>
    <t>six children</t>
  </si>
  <si>
    <t>What was the verdict on other alleged errors?</t>
  </si>
  <si>
    <t>How many turnovers did Cam Newton have?</t>
  </si>
  <si>
    <t>trade with Constantinople</t>
  </si>
  <si>
    <t>July 18, 2006</t>
  </si>
  <si>
    <t>the turbine casing</t>
  </si>
  <si>
    <t>obligately anaerobic</t>
  </si>
  <si>
    <t>symbols</t>
  </si>
  <si>
    <t>the continuous input of sediment into the lake will silt up the lake</t>
  </si>
  <si>
    <t>Development of the fertilized eggs is direct, in other words there is no distinctive larval form, and juveniles of all groups generally resemble miniature cydippid adults. In the genus Beroe the juveniles, like the adults, lack tentacles and tentacle sheaths. In most species the juveniles gradually develop the body forms of their parents. In some groups, such as the flat, bottom-dwelling platyctenids, the juveniles behave more like true larvae, as they live among the plankton and thus occupy a different ecological niche from their parents and attain the adult form by a more radical metamorphosis, after dropping to the sea-floor.</t>
  </si>
  <si>
    <t>he dropped out of school</t>
  </si>
  <si>
    <t xml:space="preserve">The 4 sales and service centers are viewed as </t>
  </si>
  <si>
    <t>draining the surrounding land and polders</t>
  </si>
  <si>
    <t>Where did Jebe and Subutai spend the winter following the split of the Mongol army?</t>
  </si>
  <si>
    <t>former flooded terraces</t>
  </si>
  <si>
    <t>What did 'Da Yuan Tong Zhi' mean?</t>
  </si>
  <si>
    <t>What are the laws of physics of Galileo, in reference to objest in motion and rest?</t>
  </si>
  <si>
    <t>The "50" given to the Super Bowl winner is plated with how many karats of gold?</t>
  </si>
  <si>
    <t>a new indoor complex</t>
  </si>
  <si>
    <t>How many tackles did Von Miller accomlish by himself in the game?</t>
  </si>
  <si>
    <t>Cloth of St Gereon</t>
  </si>
  <si>
    <t>Canadians, including their commanding officer</t>
  </si>
  <si>
    <t>Oxygen gas</t>
  </si>
  <si>
    <t>stout man</t>
  </si>
  <si>
    <t>What helps the process of free movement of goods?</t>
  </si>
  <si>
    <t>What measurement do scientists used to determine the quality of water?</t>
  </si>
  <si>
    <t>What do pyrenoids store?</t>
  </si>
  <si>
    <t>Higher rates of health and social problems are just two of examples of effects from what?</t>
  </si>
  <si>
    <t>harmoniously</t>
  </si>
  <si>
    <t>the new structure would enable school drop-outs at all levels either to be self-employed or to secure employment in the informal sector</t>
  </si>
  <si>
    <t>What was report P-2626</t>
  </si>
  <si>
    <t>deflate</t>
  </si>
  <si>
    <t>tenfold</t>
  </si>
  <si>
    <t>normal faulting and through the ductile stretching and thinning</t>
  </si>
  <si>
    <t>Switzerland and the Netherlands</t>
  </si>
  <si>
    <t>Fresno is marked by a semi-arid climate (Köppen BSh), with mild, moist winters and hot and dry summers, thus displaying Mediterranean characteristics. December and January are the coldest months, and average around 46.5 °F (8.1 °C), and there are 14 nights with freezing lows annually, with the coldest night of the year typically bottoming out below 30 °F (−1.1 °C). July is the warmest month, averaging 83.0 °F (28.3 °C); normally, there are 32 days of 100 °F (37.8 °C)+ highs and 106 days of 90 °F (32.2 °C)+ highs, and in July and August, there are only three or four days where the high does not reach 90 °F (32.2 °C). Summers provide considerable sunshine, with July peaking at 97 percent of the total possible sunlight hours; conversely, January is the lowest with only 46 percent of the daylight time in sunlight because of thick tule fog. However, the year averages 81% of possible sunshine, for a total of 3550 hours. Average annual precipitation is around 11.5 inches (292.1 mm), which, by definition, would classify the area as a semidesert. Most of the wind rose direction occurrences derive from the northwest, as winds are driven downward along the axis of the California Central Valley; in December, January and February there is an increased presence of southeastern wind directions in the wind rose statistics. Fresno meteorology was selected in a national U.S. Environmental Protection Agency study for analysis of equilibrium temperature for use of ten-year meteorological data to represent a warm, dry western United States locale.</t>
  </si>
  <si>
    <t>In 1899, John Jacob Astor IV invested $100,000 for Tesla to further develop and produce a new lighting system. Instead, Tesla used the money to fund his Colorado Springs experiments.</t>
  </si>
  <si>
    <t>"comb" and the Greek suffix -φορος meaning "carrying"</t>
  </si>
  <si>
    <t>What type of civil war was fought between political and tribal warlords?</t>
  </si>
  <si>
    <t>In 1939 Chinese Nationalist soldiers took the mausoleum from its position at the 'Lord's Enclosure' (Mongolian: Edsen Khoroo) in Mongolia to protect it from Japanese troops. It was taken through Communist-held territory in Yan'an some 900 km on carts to safety at a Buddhist monastery, the Dongshan Dafo Dian, where it remained for ten years. In 1949, as Communist troops advanced, the Nationalist soldiers moved it another 200 km farther west to the famous Tibetan monastery of Kumbum Monastery or Ta'er Shi near Xining, which soon fell under Communist control. In early 1954, Genghis Khan's bier and relics were returned to the Lord's Enclosure in Mongolia. By 1956 a new temple was erected there to house them. In 1968 during the Cultural Revolution, Red Guards destroyed almost everything of value. The "relics" were remade in the 1970s and a great marble statue of Genghis was completed in 1989.</t>
  </si>
  <si>
    <t>What is an example of a mechanical barrier on leaves?</t>
  </si>
  <si>
    <t>annexing outlying communities</t>
  </si>
  <si>
    <t>series 1</t>
  </si>
  <si>
    <t>have violated some specific laws, but I am guilty of doing no w</t>
  </si>
  <si>
    <t>What one word did the NFL commissioner use to describe what Super Bowl 50 was intended to be?</t>
  </si>
  <si>
    <t>19th century</t>
  </si>
  <si>
    <t>English Heritage</t>
  </si>
  <si>
    <t>What are committees in the Scottish Parliament compared to other systems?</t>
  </si>
  <si>
    <t>London</t>
  </si>
  <si>
    <t>Six-time Grammy winner and Academy Award nominee Lady Gaga performed the national anthem, while Academy Award winner Marlee Matlin provided American Sign Language (ASL) translation.</t>
  </si>
  <si>
    <t>City council</t>
  </si>
  <si>
    <t>Who is the university accredited by?</t>
  </si>
  <si>
    <t>What is a way you can show police officers civil disobedience ?</t>
  </si>
  <si>
    <t>Economist Joseph Stiglitz presented evidence in 2009 that both global inequality and inequality within countries prevent growth by limiting aggregate demand. Economist Branko Milanovic, wrote in 2001 that, "The view that income inequality harms growth – or that improved equality can help sustain growth – has become more widely held in recent years. ... The main reason for this shift is the increasing importance of human capital in development. When physical capital mattered most, savings and investments were key. Then it was important to have a large contingent of rich people who could save a greater proportion of their income than the poor and invest it in physical capital. But now that human capital is scarcer than machines, widespread education has become the secret to growth."</t>
  </si>
  <si>
    <t>What do petrologists use electron microprobes in the laboratory for?</t>
  </si>
  <si>
    <t>How many rows of combs are there?</t>
  </si>
  <si>
    <t>What has successfully dealt with ozone depletion?</t>
  </si>
  <si>
    <t>Christ's message and teachings</t>
  </si>
  <si>
    <t>at larger distances</t>
  </si>
  <si>
    <t>What group operates St Dominic's College in Wanganui?</t>
  </si>
  <si>
    <t>combustible materials</t>
  </si>
  <si>
    <t>Filipino</t>
  </si>
  <si>
    <t>Levels of what things are used to determine emission factors?</t>
  </si>
  <si>
    <t>often many times</t>
  </si>
  <si>
    <t>What did Luther call his stay a Wartburg Castle?</t>
  </si>
  <si>
    <t>invasion of the Khwarezmid Empire</t>
  </si>
  <si>
    <t>his butchery</t>
  </si>
  <si>
    <t>What might the Amazon forest become if it passes the tipping point and starts to die?</t>
  </si>
  <si>
    <t>The area where Jacksonville currently sits has been inhabited for how many years?</t>
  </si>
  <si>
    <t>actions-oriented</t>
  </si>
  <si>
    <t>What is the exam at the end of Form Four?</t>
  </si>
  <si>
    <t>What additional membranes do secondary chloroplasts have?</t>
  </si>
  <si>
    <t>a High Sheriff and one of the founders of the Bank of Ireland</t>
  </si>
  <si>
    <t>A language solved in quadratic time implies the use of what type of Turing machine?</t>
  </si>
  <si>
    <t>What is the process of vaccination also known as?</t>
  </si>
  <si>
    <t>Between 1402 and 1405, the expedition led by the Norman noble Jean de Bethencourt and the Poitevine Gadifer de la Salle conquered the Canarian islands of Lanzarote, Fuerteventura and El Hierro off the Atlantic coast of Africa. Their troops were gathered in Normandy, Gascony and were later reinforced by Castilian colonists.</t>
  </si>
  <si>
    <t>As in the House of Commons, a number of qualifications apply to being an MSP. Such qualifications were introduced under the House of Commons Disqualification Act 1975 and the British Nationality Act 1981. Specifically, members must be over the age of 18 and must be a citizen of the United Kingdom, the Republic of Ireland, one of the countries in the Commonwealth of Nations, a citizen of a British overseas territory, or a European Union citizen resident in the UK. Members of the police and the armed forces are disqualified from sitting in the Scottish Parliament as elected MSPs, and similarly, civil servants and members of foreign legislatures are disqualified. An individual may not sit in the Scottish Parliament if he or she is judged to be insane under the terms of the Mental Health (Care and Treatment) (Scotland) Act 2003.</t>
  </si>
  <si>
    <t>Breathing pure O
2 in space applications, such as in some modern space suits, or in early spacecraft such as Apollo, causes no damage due to the low total pressures used. In the case of spacesuits, the O
2 partial pressure in the breathing gas is, in general, about 30 kPa (1.4 times normal), and the resulting O
2 partial pressure in the astronaut's arterial blood is only marginally more than normal sea-level O
2 partial pressure (for more information on this, see space suit and arterial blood gas).</t>
  </si>
  <si>
    <t>Where did the Rhine occupy during the Holocene?</t>
  </si>
  <si>
    <t>South Coast Metro</t>
  </si>
  <si>
    <t>Newcastle and Gateshead</t>
  </si>
  <si>
    <t>a series of strikes</t>
  </si>
  <si>
    <t>The Broncos took an early lead in Super Bowl 50 and never trailed. Newton was limited by Denver's defense, which sacked him seven times and forced him into three turnovers, including a fumble which they recovered for a touchdown. Denver linebacker Von Miller was named Super Bowl MVP, recording five solo tackles, 2½ sacks, and two forced fumbles.</t>
  </si>
  <si>
    <t>co-ordinate and supervise the functions of the Government</t>
  </si>
  <si>
    <t>What were the two main theories of immunity at the end of the 19th century?</t>
  </si>
  <si>
    <t>What is one of the reason that US production has been held responsible for recessions and lower economic growth?</t>
  </si>
  <si>
    <t>Where is Energiprojekt AB based?</t>
  </si>
  <si>
    <t>37° 9' 58.23"</t>
  </si>
  <si>
    <t>What did the Gulf War inadvertently do in the early 1990s?</t>
  </si>
  <si>
    <t>country taking physical control of another</t>
  </si>
  <si>
    <t>known client</t>
  </si>
  <si>
    <t>a new form</t>
  </si>
  <si>
    <t>the arid plains of Central Asia</t>
  </si>
  <si>
    <t>two weeks</t>
  </si>
  <si>
    <t>capacity as public official</t>
  </si>
  <si>
    <t>What is an object's mass proportional to at the surface of the Earth?</t>
  </si>
  <si>
    <t>provide better absolute bounds on the timing and rates of deposition</t>
  </si>
  <si>
    <t>What is the throat called?</t>
  </si>
  <si>
    <t>large compensation pools</t>
  </si>
  <si>
    <t>gauge the prevalence of public sector corruption in various countries</t>
  </si>
  <si>
    <t>Marshall Space Flight Center (MSFC)</t>
  </si>
  <si>
    <t>What are injectors used to supply?</t>
  </si>
  <si>
    <t>offer a higher quality of education</t>
  </si>
  <si>
    <t>through Kingdom of Qocho and Tibetan intermediaries</t>
  </si>
  <si>
    <t>independently developed the same message routing methodology as developed by Baran</t>
  </si>
  <si>
    <t>27.7 million</t>
  </si>
  <si>
    <t>biostratigraphers</t>
  </si>
  <si>
    <t>Who found that there was a developed culture of Commissioner's who lacked responsibility?</t>
  </si>
  <si>
    <t>$7.5 million</t>
  </si>
  <si>
    <t>8 February 2007</t>
  </si>
  <si>
    <t>What shape of space did Tesla consider a "false conception"?</t>
  </si>
  <si>
    <t>Who were the sculpture galleries that opened in 2006 named after?</t>
  </si>
  <si>
    <t>18th and 19th centuries</t>
  </si>
  <si>
    <t>Wilson's geographer</t>
  </si>
  <si>
    <t>first Director</t>
  </si>
  <si>
    <t>University of Paris</t>
  </si>
  <si>
    <t>San Joaquin Light &amp; Power Building</t>
  </si>
  <si>
    <t>What is the virus in humans that causes cervical cancer?</t>
  </si>
  <si>
    <t>killed many of the Canadians</t>
  </si>
  <si>
    <t>Who was Louis XIV's main rival?</t>
  </si>
  <si>
    <t>The Higher Learning Commission</t>
  </si>
  <si>
    <t>University of North Florida</t>
  </si>
  <si>
    <t>green algal derived chloroplast</t>
  </si>
  <si>
    <t>What did Tesla claim his resonant frequencies could do in the World Today article?</t>
  </si>
  <si>
    <t>members</t>
  </si>
  <si>
    <t>What can the IPCC's report deadlines cause to be omitted?</t>
  </si>
  <si>
    <t>spring reaction force</t>
  </si>
  <si>
    <t>The Muslim Brotherhood's competence compares well against what type of local governments?</t>
  </si>
  <si>
    <t>domestic legislation of the Scottish Parliament</t>
  </si>
  <si>
    <t>Britain gained control of French Canada and Acadia, colonies containing approximately 80,000 primarily French-speaking Roman Catholic residents. The deportation of Acadians beginning in 1755 resulted in land made available to migrants from Europe and the colonies further south. The British resettled many Acadians throughout its North American provinces, but many went to France, and some went to New Orleans, which they had expected to remain French. Some were sent to colonize places as diverse as French Guiana and the Falkland Islands; these latter efforts were unsuccessful. Others migrated to places like Saint-Domingue, and fled to New Orleans after the Haitian Revolution. The Louisiana population contributed to the founding of the modern Cajun population. (The French word "Acadien" evolved to "Cadien", then to "Cajun".)</t>
  </si>
  <si>
    <t>What theatre was the best example of "Polish monumental theatre"?</t>
  </si>
  <si>
    <t>a construction manager, design engineer, construction engineer or project manager</t>
  </si>
  <si>
    <t>inherited from the Jin dynasty</t>
  </si>
  <si>
    <t>What does the CPI scale measure?</t>
  </si>
  <si>
    <t>Internet Protocol (IP)</t>
  </si>
  <si>
    <t>one day</t>
  </si>
  <si>
    <t>input encoding</t>
  </si>
  <si>
    <t>outdoors</t>
  </si>
  <si>
    <t>six series of theses against Agricola</t>
  </si>
  <si>
    <t>What is the Victoria state bird?</t>
  </si>
  <si>
    <t>NL and NC</t>
  </si>
  <si>
    <t>How are laboratory measurements of forces determined?</t>
  </si>
  <si>
    <t>What effect does European Union law have on laws of member states?</t>
  </si>
  <si>
    <t>What is a term for schools that receive government assistance?</t>
  </si>
  <si>
    <t>Hasar, Hachiun, and Temüge</t>
  </si>
  <si>
    <t>What is the temperature in the highest portion of the mountain range in winter?</t>
  </si>
  <si>
    <t>mass of the system</t>
  </si>
  <si>
    <t>What did Schurf's letter say  Luther's return caused?</t>
  </si>
  <si>
    <t>What issues were not addressed in the Treaty of Aix-la-Chapelle?</t>
  </si>
  <si>
    <t>Shirley and Johnson.</t>
  </si>
  <si>
    <t>What book did Luther translate into German at this time?</t>
  </si>
  <si>
    <t>Pitt's plan called for what attacks?</t>
  </si>
  <si>
    <t>What might offering bonuses help reduce?</t>
  </si>
  <si>
    <t>show globe</t>
  </si>
  <si>
    <t>The justifying grace</t>
  </si>
  <si>
    <t>Who did Temüjin's mother adopt to help integrate the tribes he conquered?</t>
  </si>
  <si>
    <t>How many customaries does Norman customary law have?</t>
  </si>
  <si>
    <t>Outside of its use of automobiles, what else is southern California famous for using?</t>
  </si>
  <si>
    <t>What animals did Tesla care for?</t>
  </si>
  <si>
    <t>the defection of a number of Kenyan athletes to represent other countries</t>
  </si>
  <si>
    <t>the 16th century</t>
  </si>
  <si>
    <t>Treaties establishing the European Union</t>
  </si>
  <si>
    <t>How many days did the River Tyne have the Bambuco Bridge?</t>
  </si>
  <si>
    <t>the Portuguese</t>
  </si>
  <si>
    <t>Sky TV bills</t>
  </si>
  <si>
    <t>Along what geographic feature are nine residential houses located?</t>
  </si>
  <si>
    <t>protein structure prediction</t>
  </si>
  <si>
    <t>The V&amp;A Theatre &amp; Performance galleries, formerly the Theatre Museum, opened in March 2009. The collections are stored by the V&amp;A, and are available for research, exhibitions and other shows. They hold the UK's biggest national collection of material about live performance in the UK since Shakespeare's day, covering drama, dance, musical theatre, circus, music hall, rock and pop, and most other forms of live entertainment. Types of items displayed include costumes, set models, wigs, prompt books, and posters.</t>
  </si>
  <si>
    <t>a bachelor's degree</t>
  </si>
  <si>
    <t>weightlessness</t>
  </si>
  <si>
    <t>the Battle of Bạch Đằng</t>
  </si>
  <si>
    <t>What UN organizations established the IPCC?</t>
  </si>
  <si>
    <t>at least 90% certain</t>
  </si>
  <si>
    <t>How much did Saudi Arabia spend on spreading Wahhabism?</t>
  </si>
  <si>
    <t>rapid expansion in telecommunication and financial activity</t>
  </si>
  <si>
    <t>porcelain, cloth and wallpaper</t>
  </si>
  <si>
    <t>self and non-self molecules</t>
  </si>
  <si>
    <t>Other forms of plague have been implicated by modern scientists. The modern bubonic plague has a mortality rate of 30–75% and symptoms including fever of 38–41 °C (100–106 °F), headaches, painful aching joints, nausea and vomiting, and a general feeling of malaise. Left untreated, of those that contract the bubonic plague, 80 percent die within eight days. Pneumonic plague has a mortality rate of 90 to 95 percent. Symptoms include fever, cough, and blood-tinged sputum. As the disease progresses, sputum becomes free flowing and bright red. Septicemic plague is the least common of the three forms, with a mortality rate near 100%. Symptoms are high fevers and purple skin patches (purpura due to disseminated intravascular coagulation). In cases of pneumonic and particularly septicemic plague, the progress of the disease is so rapid that there would often be no time for the development of the enlarged lymph nodes that were noted as buboes.</t>
  </si>
  <si>
    <t>manage the pharmacy department and specialised areas</t>
  </si>
  <si>
    <t>What is the largest ABC station operator in terms of market reach?</t>
  </si>
  <si>
    <t>Where did the highwaymen take Luther?</t>
  </si>
  <si>
    <t>The traveling salesman problem is an example of what type of problem?</t>
  </si>
  <si>
    <t>How many Panthers defense players were selected for the Pro Bowl?</t>
  </si>
  <si>
    <t>When did they raise the price of oil to $5.11?</t>
  </si>
  <si>
    <t>When did oil start getting priced in the terms of gold?</t>
  </si>
  <si>
    <t>What is very important for the growth of the economy?</t>
  </si>
  <si>
    <t>The sculpture of Amida Nyorai that is included in the V&amp;A's Japanese art collection is dated to which century?</t>
  </si>
  <si>
    <t>Wahhabi/Salafi jihadist extremist militant group</t>
  </si>
  <si>
    <t>During the mid-Eocene, it is believed that the drainage basin of the Amazon was split along the middle of the continent by the Purus Arch. Water on the eastern side flowed toward the Atlantic, while to the west water flowed toward the Pacific across the Amazonas Basin. As the Andes Mountains rose, however, a large basin was created that enclosed a lake; now known as the Solimões Basin. Within the last 5–10 million years, this accumulating water broke through the Purus Arch, joining the easterly flow toward the Atlantic.</t>
  </si>
  <si>
    <t>Reciprocating piston type</t>
  </si>
  <si>
    <t>masses</t>
  </si>
  <si>
    <t>What was the name of the Doctor Who play from the 1980's?</t>
  </si>
  <si>
    <t xml:space="preserve">How are the packets routed </t>
  </si>
  <si>
    <t>the 50th</t>
  </si>
  <si>
    <t>What types of work did the Han do in Central Asia?</t>
  </si>
  <si>
    <t>mineral deposits</t>
  </si>
  <si>
    <t>Academy of the Pavilion of the Star of Literature</t>
  </si>
  <si>
    <t>What is inequality associated with higher levels of?</t>
  </si>
  <si>
    <t>tripartite</t>
  </si>
  <si>
    <t>How much of the population of Earth ended up seeing the images of the Earth and the Moon?</t>
  </si>
  <si>
    <t>Newtonian mechanics</t>
  </si>
  <si>
    <t>tax rate</t>
  </si>
  <si>
    <t>What tool do stratigraphers use to see their data in three dimensions?</t>
  </si>
  <si>
    <t>isolated areas</t>
  </si>
  <si>
    <t>What term do Islamists think should be applied to them?</t>
  </si>
  <si>
    <t>Larger drugs (&gt;500 Da) can provoke a neutralizing immune response, particularly if the drugs are administered repeatedly, or in larger doses. This limits the effectiveness of drugs based on larger peptides and proteins (which are typically larger than 6000 Da). In some cases, the drug itself is not immunogenic, but may be co-administered with an immunogenic compound, as is sometimes the case for Taxol. Computational methods have been developed to predict the immunogenicity of peptides and proteins, which are particularly useful in designing therapeutic antibodies, assessing likely virulence of mutations in viral coat particles, and validation of proposed peptide-based drug treatments. Early techniques relied mainly on the observation that hydrophilic amino acids are overrepresented in epitope regions than hydrophobic amino acids; however, more recent developments rely on machine learning techniques using databases of existing known epitopes, usually on well-studied virus proteins, as a training set. A publicly accessible database has been established for the cataloguing of epitopes from pathogens known to be recognizable by B cells. The emerging field of bioinformatics-based studies of immunogenicity is referred to as immunoinformatics. Immunoproteomics is the study of large sets of proteins (proteomics) involved in the immune response.</t>
  </si>
  <si>
    <t>How did this effect the producer prices?</t>
  </si>
  <si>
    <t>Beating the Odds: The Untold Story Behind the Rise of ABC</t>
  </si>
  <si>
    <t>Who set aside seed funding for the week-long event leading up to the Super Bowl?</t>
  </si>
  <si>
    <t>What is the title for a seminary graduate who serves a two-three-year term in full-time appointment after being commissioned?</t>
  </si>
  <si>
    <t>The uniflow engine is an attempt to fix an issue that arises in what cycle?</t>
  </si>
  <si>
    <t>The censuring of the Santer Commission  resulted in which main case?</t>
  </si>
  <si>
    <t>trial and rehabilitation of Joan of Arc</t>
  </si>
  <si>
    <t>scourge</t>
  </si>
  <si>
    <t>What is another general name for a religious teacher?</t>
  </si>
  <si>
    <t>Anglo-Saxon</t>
  </si>
  <si>
    <t>Taihō Code (701) and re-stated in the Yōrō Code</t>
  </si>
  <si>
    <t>Since the Peace of Westphalia, the Upper Rhine formed a contentious border between France and Germany. Establishing "natural borders" on the Rhine was a long-term goal of French foreign policy, since the Middle Ages, though the language border was – and is – far more to the west. French leaders, such as Louis XIV and Napoleon Bonaparte, tried with varying degrees of success to annex lands west of the Rhine. The Confederation of the Rhine was established by Napoleon, as a French client state, in 1806 and lasted until 1814, during which time it served as a significant source of resources and military manpower for the First French Empire. In 1840, the Rhine crisis, prompted by French prime minister Adolphe Thiers's desire to reinstate the Rhine as a natural border, led to a diplomatic crisis and a wave of nationalism in Germany.</t>
  </si>
  <si>
    <t>What did Luther not mean for the new mass to replace?</t>
  </si>
  <si>
    <t>What does NADPH store?</t>
  </si>
  <si>
    <t>remain silent if his opponents did</t>
  </si>
  <si>
    <t>What two resources commonly consumed by alternate models are typically known to vary?</t>
  </si>
  <si>
    <t>NP-hard</t>
  </si>
  <si>
    <t>The Open Championship golf and The Wimbledon</t>
  </si>
  <si>
    <t>Immunodeficiency occurs</t>
  </si>
  <si>
    <t>third use of the law</t>
  </si>
  <si>
    <t>0.5–1.4 m [50–140 cm]</t>
  </si>
  <si>
    <t>When did the FCC freeze incoming applications for new stations?</t>
  </si>
  <si>
    <t>Plotting the relationship between level of income and inequality, Kuznets saw middle-income developing economies level of inequality bulging out to form what is now known as the Kuznets curve. Kuznets demonstrated this relationship using cross-sectional data. However, more recent testing of this theory with superior panel data has shown it to be very weak. Kuznets' curve predicts that income inequality will eventually decrease given time. As an example, income inequality did fall in the United States during its High school movement from 1910 to 1940 and thereafter.[citation needed] However, recent data shows that the level of income inequality began to rise after the 1970s. This does not necessarily disprove Kuznets' theory.[citation needed] It may be possible that another Kuznets' cycle is occurring, specifically the move from the manufacturing sector to the service sector.[citation needed] This implies that it may be possible for multiple Kuznets' cycles to be in effect at any given time.</t>
  </si>
  <si>
    <t>What was enhanced in 2014?</t>
  </si>
  <si>
    <t>two men</t>
  </si>
  <si>
    <t>negotiated between endpoints</t>
  </si>
  <si>
    <t>First</t>
  </si>
  <si>
    <t>Executive Committee</t>
  </si>
  <si>
    <t>Who is the final judge of right and wrong?</t>
  </si>
  <si>
    <t>What does the UN want to stabilize?</t>
  </si>
  <si>
    <t>service to the neighbor in the common, daily vocations of this perishing world</t>
  </si>
  <si>
    <t>continuing their protest</t>
  </si>
  <si>
    <t>What point did the theologians differ on concerning the Last Supper?</t>
  </si>
  <si>
    <t>Who assisted Wesley with ordaining Whatcoat and Vasey as presbyters?</t>
  </si>
  <si>
    <t>at the right bank of the Vistula, by the eastern border of Warsaw</t>
  </si>
  <si>
    <t>In The Church of Jesus Christ of Latter-day Saints (LDS Church), the teacher is an office in the Aaronic priesthood, generally conferred on young boys or recent converts, and has little in common with the "spiritual teacher" archetype. The role of "spiritual teacher" may be filled by many individuals in the LDS Church, often a trusted friend, who may hold any office, from Elder to Bishop, or no office at all. The emphasis on spiritual mentorship in the LDS Church is similar to that in the more "low-church" traditions of Protestantism, with a stronger emphasis placed on the husband and father of a family to provide spiritual guidance for all of his family, ideally in consultation with his wife, even if the husband is not a member of the LDS Church, based on interpretatios of certain Biblical texts which proclaim the spiritual authority of husbands in marriage. Even Priesthood representatives are expected to defer to the father of the house when in his home. Further, additional spiritual guidance is offered by those holding the office of Patriarch, which is supposed by Latter-day Saints to grant certain gifts of the Spirit, such as the ability to prophesy, to its holders. This guidance is generally offered during a ceremony called the patriarchal blessing.</t>
  </si>
  <si>
    <t>The IPCC does not carry out research nor does it monitor climate related data. Lead authors of IPCC reports assess the available information about climate change based on published sources. According to IPCC guidelines, authors should give priority to peer-reviewed sources. Authors may refer to non-peer-reviewed sources (the "grey literature"), provided that they are of sufficient quality. Examples of non-peer-reviewed sources include model results, reports from government agencies and non-governmental organizations, and industry journals. Each subsequent IPCC report notes areas where the science has improved since the previous report and also notes areas where further research is required.</t>
  </si>
  <si>
    <t>What kind of network was ABC when it first began?</t>
  </si>
  <si>
    <t>Some elements of the Brotherhood, though perhaps against orders, did engage in violence against the government, and its founder Al-Banna was assassinated in 1949 in retaliation for the assassination of Egypt's premier Mahmud Fami Naqrashi three months earlier. The Brotherhood has suffered periodic repression in Egypt and has been banned several times, in 1948 and several years later following confrontations with Egyptian president Gamal Abdul Nasser, who jailed thousands of members for several years.</t>
  </si>
  <si>
    <t>In 1271, Kublai Khan imposed the name Great Yuan (Chinese: 大元; pinyin: Dà Yuán; Wade–Giles: Ta-Yüan), establishing the Yuan dynasty. "Dà Yuán" (大元) is from the sentence "大哉乾元" (dà zai Qián Yuán / "Great is Qián, the Primal") in the Commentaries on the Classic of Changes (I Ching) section regarding Qián (乾). The counterpart in Mongolian language was Dai Ön Ulus, also rendered as Ikh Yuan Üls or Yekhe Yuan Ulus. In Mongolian, Dai Ön (Great Yuan) is often used in conjunction with the "Yeke Mongghul Ulus" (lit. "Great Mongol State"), resulting in Dai Ön Yeke Mongghul Ulus (Mongolian script: ), meaning "Great Yuan Great Mongol State". The Yuan dynasty is also known as the "Mongol dynasty" or "Mongol Dynasty of China", similar to the names "Manchu dynasty" or "Manchu Dynasty of China" for the Qing dynasty. Furthermore, the Yuan is sometimes known as the "Empire of the Great Khan" or "Khanate of the Great Khan", which particularly appeared on some Yuan maps, since Yuan emperors held the nominal title of Great Khan. Nevertheless, both terms can also refer to the khanate within the Mongol Empire directly ruled by Great Khans before the actual establishment of the Yuan dynasty by Kublai Khan in 1271.</t>
  </si>
  <si>
    <t>England</t>
  </si>
  <si>
    <t>informal" imperialism</t>
  </si>
  <si>
    <t>What is an underbid?</t>
  </si>
  <si>
    <t>corporal punishment</t>
  </si>
  <si>
    <t>arthritis, and an ear infection</t>
  </si>
  <si>
    <t>What has started to change the way teachers teach in the classroom, generally?</t>
  </si>
  <si>
    <t>juveniles are capable of reproduction</t>
  </si>
  <si>
    <t>In this last connection, the name could suggest the derogatory inference of superstitious worship; popular fancy held that Huguon, the gate of King Hugo, was haunted by the ghost of le roi Huguet (regarded by Roman Catholics as an infamous scoundrel) and other spirits, who instead of being in Purgatory came back to harm the living at night. It was in this place in Tours that the prétendus réformés ("these supposedly 'reformed'") habitually gathered at night, both for political purposes, and for prayer and singing psalms. Such explanations have been traced to the contemporary, Reguier de la Plancha (d. 1560), who in De l'Estat de France offered the following account as to the origin of the name, as cited by The Cape Monthly:</t>
  </si>
  <si>
    <t>Catholicism</t>
  </si>
  <si>
    <t>optimisation of a drug treatment</t>
  </si>
  <si>
    <t>Where did the congregation at St. George's initially meet in 1767?</t>
  </si>
  <si>
    <t>Sentences</t>
  </si>
  <si>
    <t>pressure to reduce costs and maximize profits</t>
  </si>
  <si>
    <t>environmental factors like light color and intensity</t>
  </si>
  <si>
    <t>in southern China</t>
  </si>
  <si>
    <t>unpaired electrons</t>
  </si>
  <si>
    <t>each party's strength in Parliament</t>
  </si>
  <si>
    <t>denoted scalar quantities</t>
  </si>
  <si>
    <t>What did Guo Shoujing do for calendars?</t>
  </si>
  <si>
    <t>serious depopulation and permanent change in both economic and social structures</t>
  </si>
  <si>
    <t>separately from physicians</t>
  </si>
  <si>
    <t>Chloroplasts can serve as cellular sensors. After detecting stress in a cell, which might be due to a pathogen, chloroplasts begin producing molecules like salicylic acid, jasmonic acid, nitric oxide and reactive oxygen species which can serve as defense-signals. As cellular signals, reactive oxygen species are unstable molecules, so they probably don't leave the chloroplast, but instead pass on their signal to an unknown second messenger molecule. All these molecules initiate retrograde signaling—signals from the chloroplast that regulate gene expression in the nucleus.</t>
  </si>
  <si>
    <t>Spanish moss</t>
  </si>
  <si>
    <t>The owner typically awards a contract to who?</t>
  </si>
  <si>
    <t>What type of power was displayed at the World's fair by Westinghouse and Tesla?</t>
  </si>
  <si>
    <t>Chloroplasts' main role is to conduct photosynthesis, where the photosynthetic pigment chlorophyll captures the energy from sunlight and converts it and stores it in the energy-storage molecules ATP and NADPH while freeing oxygen from water. They then use the ATP and NADPH to make organic molecules from carbon dioxide in a process known as the Calvin cycle. Chloroplasts carry out a number of other functions, including fatty acid synthesis, much amino acid synthesis, and the immune response in plants. The number of chloroplasts per cell varies from 1 in algae up to 100 in plants like Arabidopsis and wheat.</t>
  </si>
  <si>
    <t>the red algal endosymbiont's original cell membrane</t>
  </si>
  <si>
    <t>What US war has a large amount of Civil Disobedients?</t>
  </si>
  <si>
    <t>A Turing machine</t>
  </si>
  <si>
    <t>What could a teacher help in organizing?</t>
  </si>
  <si>
    <t>Virtually all nuclear power plants generate electricity by heating water to provide steam that drives a turbine connected to an electrical generator. Nuclear-powered ships and submarines either use a steam turbine directly for main propulsion, with generators providing auxiliary power, or else employ turbo-electric transmission, where the steam drives a turbo generator set with propulsion provided by electric motors. A limited number of steam turbine railroad locomotives were manufactured. Some non-condensing direct-drive locomotives did meet with some success for long haul freight operations in Sweden and for express passenger work in Britain, but were not repeated. Elsewhere, notably in the U.S.A., more advanced designs with electric transmission were built experimentally, but not reproduced. It was found that steam turbines were not ideally suited to the railroad environment and these locomotives failed to oust the classic reciprocating steam unit in the way that modern diesel and electric traction has done.[citation needed]</t>
  </si>
  <si>
    <t xml:space="preserve">What two women were defying the pharaoh in the story from the book of Exodus? </t>
  </si>
  <si>
    <t>What is the name of the private day school for K-12 students the university runs?</t>
  </si>
  <si>
    <t>What has an equivalence between mass and space-time?</t>
  </si>
  <si>
    <t>general relativity</t>
  </si>
  <si>
    <t>What are Los Angeles, Orange, San Diego, San Bernardino and Riverside?</t>
  </si>
  <si>
    <t>punishment essay</t>
  </si>
  <si>
    <t>two or more</t>
  </si>
  <si>
    <t>What was given as the cause of death?</t>
  </si>
  <si>
    <t>80 million adherents</t>
  </si>
  <si>
    <t>1996 General Conference the</t>
  </si>
  <si>
    <t>What have studies on income inequality sometimes found evidence confirming?</t>
  </si>
  <si>
    <t>Muslim medicine</t>
  </si>
  <si>
    <t>What kind of deprivation results in diminished immune response and lower antibody production?</t>
  </si>
  <si>
    <t>each state</t>
  </si>
  <si>
    <t>At what time did Martin Luther die?</t>
  </si>
  <si>
    <t>increased the asking price</t>
  </si>
  <si>
    <t>Cydippid ctenophores have bodies that are more or less rounded, sometimes nearly spherical and other times more cylindrical or egg-shaped; the common coastal "sea gooseberry," Pleurobrachia, sometimes has an egg-shaped body with the mouth at the narrow end, although some individuals are more uniformly round. From opposite sides of the body extends a pair of long, slender tentacles, each housed in a sheath into which it can be withdrawn. Some species of cydippids have bodies that are flattened to various extents, so that they are wider in the plane of the tentacles.</t>
  </si>
  <si>
    <t>The Rankine cycle is sometimes referred to as a practical Carnot cycle because, when an efficient turbine is used, the TS diagram begins to resemble the Carnot cycle. The main difference is that heat addition (in the boiler) and rejection (in the condenser) are isobaric (constant pressure) processes in the Rankine cycle and isothermal (constant temperature) processes in the theoretical Carnot cycle. In this cycle a pump is used to pressurize the working fluid which is received from the condenser as a liquid not as a gas. Pumping the working fluid in liquid form during the cycle requires a small fraction of the energy to transport it compared to the energy needed to compress the working fluid in gaseous form in a compressor (as in the Carnot cycle). The cycle of a reciprocating steam engine differs from that of turbines because of condensation and re-evaporation occurring in the cylinder or in the steam inlet passages.</t>
  </si>
  <si>
    <t>James Bryant Conant (president, 1933–1953) reinvigorated creative scholarship to guarantee its preeminence among research institutions. He saw higher education as a vehicle of opportunity for the talented rather than an entitlement for the wealthy, so Conant devised programs to identify, recruit, and support talented youth. In 1943, he asked the faculty make a definitive statement about what general education ought to be, at the secondary as well as the college level. The resulting Report, published in 1945, was one of the most influential manifestos in the history of American education in the 20th century.</t>
  </si>
  <si>
    <t>How many inhabitants does the Los Angeles area contain?</t>
  </si>
  <si>
    <t>Vosges Mountains</t>
  </si>
  <si>
    <t>How successful was the French revised efforts?</t>
  </si>
  <si>
    <t>How many times was Cam Newton sacked in Super Bowl 50?</t>
  </si>
  <si>
    <t>rules</t>
  </si>
  <si>
    <t>September 5, 1985</t>
  </si>
  <si>
    <t>In what way did Lavoisier see that the tin he used in his experiment had increased?</t>
  </si>
  <si>
    <t>Which TFEU article defines the ordinary legislative procedure that applies for majority of EU acts?</t>
  </si>
  <si>
    <t>The first historical reference to Warsaw dates back to the year 1313, at a time when Kraków served as the Polish capital city. Due to its central location between the Polish–Lithuanian Commonwealth's capitals of Kraków and Vilnius, Warsaw became the capital of the Commonwealth and of the Crown of the Kingdom of Poland when King Sigismund III Vasa moved his court from Kraków to Warsaw in 1596. After the Third Partition of Poland in 1795, Warsaw was incorporated into the Kingdom of Prussia. In 1806 during the Napoleonic Wars, the city became the official capital of the Grand Duchy of Warsaw, a puppet state of the First French Empire established by Napoleon Bonaparte. In accordance with the decisions of the Congress of Vienna, the Russian Empire annexed Warsaw in 1815 and it became part of the "Congress Kingdom". Only in 1918 did it regain independence from the foreign rule and emerge as a new capital of the independent Republic of Poland. The German invasion in 1939, the massacre of the Jewish population and deportations to concentration camps led to the uprising in the Warsaw ghetto in 1943 and to the major and devastating Warsaw Uprising between August and October 1944. Warsaw gained the title of the "Phoenix City" because it has survived many wars, conflicts and invasions throughout its long history. Most notably, the city required painstaking rebuilding after the extensive damage it suffered in World War II, which destroyed 85% of its buildings. On 9 November 1940, the city was awarded Poland's highest military decoration for heroism, the Virtuti Militari, during the Siege of Warsaw (1939).</t>
  </si>
  <si>
    <t>evenly</t>
  </si>
  <si>
    <t>mainstream Indian nationalist and secularist Indian National Congress</t>
  </si>
  <si>
    <t>In low-light conditions</t>
  </si>
  <si>
    <t>market and technology realities</t>
  </si>
  <si>
    <t>Another position in the United Methodist Church is that of the lay servant. Although not considered clergy, lay speakers often preach during services of worship when an ordained elder, Local Pastor, Associate Member or deacon is unavailable. There are two categories of lay servants: local church lay servant, who serve in and through their local churches, and certified lay servants, who serve in their own churches, in other churches, and through district or conference projects and programs. To be recognized as local church lay servant, they must be recommended by their pastor and Church Council or Charge Conference, and complete the basic course for lay servant. Each year they must reapply, reporting how they have served and continued to learn during that year. To be recognized as certified lay servant, they must be recommended by their pastor and Church Council or Charge Conference, complete the basic course and one advanced lay servant course, and be interviewed by the District or Conference Committee on Lay Speaking. They must report and reapply annually; and they must complete at least one advanced course every three years.</t>
  </si>
  <si>
    <t>A new song we raise</t>
  </si>
  <si>
    <t>What did Martin Brecht call Luther's stand on the Jews?</t>
  </si>
  <si>
    <t>In Britain, Norman art primarily survives as stonework or metalwork, such as capitals and baptismal fonts. In southern Italy, however, Norman artwork survives plentifully in forms strongly influenced by its Greek, Lombard, and Arab forebears. Of the royal regalia preserved in Palermo, the crown is Byzantine in style and the coronation cloak is of Arab craftsmanship with Arabic inscriptions. Many churches preserve sculptured fonts, capitals, and more importantly mosaics, which were common in Norman Italy and drew heavily on the Greek heritage. Lombard Salerno was a centre of ivorywork in the 11th century and this continued under Norman domination. Finally should be noted the intercourse between French Crusaders traveling to the Holy Land who brought with them French artefacts with which to gift the churches at which they stopped in southern Italy amongst their Norman cousins. For this reason many south Italian churches preserve works from France alongside their native pieces.</t>
  </si>
  <si>
    <t>some complexity classes</t>
  </si>
  <si>
    <t>the laws of physics</t>
  </si>
  <si>
    <t>What chemical did Priestley use in his experiments on oxygen?</t>
  </si>
  <si>
    <t>unit-dose, or a single dose of medicine</t>
  </si>
  <si>
    <t>He had to work at various electrical repair jobs</t>
  </si>
  <si>
    <t>division and administration of the newly conquered territory</t>
  </si>
  <si>
    <t>the Fermat primality test</t>
  </si>
  <si>
    <t>WHat allows customers to get Sky+ functions if they do not subscribe to BSkyB's channels?</t>
  </si>
  <si>
    <t>If a detention requires a pupil to just sit there, how are they required to sit?</t>
  </si>
  <si>
    <t>upper Danube</t>
  </si>
  <si>
    <t>In March 2015, how many owned-and-operated stations did ABC have?</t>
  </si>
  <si>
    <t>leaves</t>
  </si>
  <si>
    <t>Who was Boleslaw II of Masovia?</t>
  </si>
  <si>
    <t>Which time period does the sculpture collection cover?</t>
  </si>
  <si>
    <t>John Paul II</t>
  </si>
  <si>
    <t>What is similar to literacy that a teacher would teach?</t>
  </si>
  <si>
    <t>Why is it difficult to resolve disagreements about the changes in the Amazon rainforest?</t>
  </si>
  <si>
    <t>What other English towns were sites of Huguenot settlement?</t>
  </si>
  <si>
    <t>a monthly subscription</t>
  </si>
  <si>
    <t>Baptized Members</t>
  </si>
  <si>
    <t>IPCC author Richard Lindzen has made a number of criticisms of the TAR. Among his criticisms, Lindzen has stated that the WGI Summary for Policymakers (SPM) does not faithfully summarize the full WGI report. For example, Lindzen states that the SPM understates the uncertainty associated with climate models. John Houghton, who was a co-chair of TAR WGI, has responded to Lindzen's criticisms of the SPM. Houghton has stressed that the SPM is agreed upon by delegates from many of the world's governments, and that any changes to the SPM must be supported by scientific evidence.</t>
  </si>
  <si>
    <t>The Wars of Religion</t>
  </si>
  <si>
    <t>The Mark of Anarchy was written to protest against what?</t>
  </si>
  <si>
    <t>the TARDIS</t>
  </si>
  <si>
    <t>creating a comprehensive drug therapy plan for patient-specific problems</t>
  </si>
  <si>
    <t>prime number theorem</t>
  </si>
  <si>
    <t>They focused on Bible study, methodical study of scripture and living a holy life</t>
  </si>
  <si>
    <t>Two of the expeditions were successful, with Fort Duquesne and Louisbourg</t>
  </si>
  <si>
    <t>Article 34 meant states could be responsible for what?</t>
  </si>
  <si>
    <t>How were enemy prisoners used tactically by Mongol armies?</t>
  </si>
  <si>
    <t>a combination of poor management, internal divisions, and effective Canadian scouts, French regular forces, and Indian warrior allies</t>
  </si>
  <si>
    <t>When less workers are required, what happens to the job market?</t>
  </si>
  <si>
    <t>What function is a teacher's role similar to?</t>
  </si>
  <si>
    <t>gastric acid and proteases</t>
  </si>
  <si>
    <t>In World War II, it was recognised that the Rhine would present a formidable natural obstacle to the invasion of Germany, by the Western Allies. The Rhine bridge at Arnhem, immortalized in the book, A Bridge Too Far and the film, was a central focus of the battle for Arnhem, during the failed Operation Market Garden of September 1944. The bridges at Nijmegen, over the Waal distributary of the Rhine, were also an objective of Operation Market Garden. In a separate operation, the Ludendorff Bridge, crossing the Rhine at Remagen, became famous, when U.S. forces were able to capture it intact – much to their own surprise – after the Germans failed to demolish it. This also became the subject of a film, The Bridge at Remagen. Seven Days to the River Rhine was a Warsaw Pact war plan for an invasion of Western Europe during the Cold War.</t>
  </si>
  <si>
    <t>Maxime Faget's preliminary Apollo design employed a cone-shaped command module, supported by one of several service modules providing propulsion and electrical power, sized appropriately for the space station, cislunar, and lunar landing missions. Once Kennedy's Moon landing goal became official, detailed design began of a Command/Service Module (CSM) in which the crew would spend the entire direct-ascent mission and lift off from the lunar surface for the return trip, after being soft-landed by a larger landing propulsion module. The final choice of lunar orbit rendezvous changed the CSM's role to the translunar ferry used to transport the crew, along with a new spacecraft, the Lunar Excursion Module (LEM, later shortened to Lunar Module, LM) which would take two men to the lunar surface and return them to the CSM.</t>
  </si>
  <si>
    <t>How many members make up the Judicial Council?</t>
  </si>
  <si>
    <t>Why have Mongolian politicians considered regulating the use of Genghis Khan's name?</t>
  </si>
  <si>
    <t>sold</t>
  </si>
  <si>
    <t>What type of surveys show the location of stratigraphic units in the subsurface?</t>
  </si>
  <si>
    <t>conservative</t>
  </si>
  <si>
    <t>estates of the Holy Roman Empire</t>
  </si>
  <si>
    <t>income inequality</t>
  </si>
  <si>
    <t>How much support is there for the US approach to economic development?</t>
  </si>
  <si>
    <t>satellite television</t>
  </si>
  <si>
    <t>How many volumes are contained in the library?</t>
  </si>
  <si>
    <t>Many famous potters, such as Josiah Wedgwood, William De Morgan and Bernard Leach as well as Mintons &amp; Royal Doulton are represented in the collection. There is an extensive collection of Delftware produced in both Britain and Holland, which includes a circa 1695 flower pyramid over a metre in height. Bernard Palissy has several examples of his work in the collection including dishes, jugs and candlesticks. The largest objects in the collection are a series of elaborately ornamented ceramic stoves from the 16th and 17th centuries, made in Germany and Switzerland. There is an unrivalled collection of Italian maiolica and lustreware from Spain. The collection of Iznik pottery from Turkey is the largest in the world.</t>
  </si>
  <si>
    <t>Singlet oxygen is a name given to several higher-energy species of molecular O
2 in which all the electron spins are paired. It is much more reactive towards common organic molecules than is molecular oxygen per se. In nature, singlet oxygen is commonly formed from water during photosynthesis, using the energy of sunlight. It is also produced in the troposphere by the photolysis of ozone by light of short wavelength, and by the immune system as a source of active oxygen. Carotenoids in photosynthetic organisms (and possibly also in animals) play a major role in absorbing energy from singlet oxygen and converting it to the unexcited ground state before it can cause harm to tissues.</t>
  </si>
  <si>
    <t>Mexico</t>
  </si>
  <si>
    <t>What is beta carotene?</t>
  </si>
  <si>
    <t>sponges</t>
  </si>
  <si>
    <t>a secret ballot</t>
  </si>
  <si>
    <t>Why does competition among workers drive down wages?</t>
  </si>
  <si>
    <t>the mainstream Indian nationalist and secularist Indian National Congress</t>
  </si>
  <si>
    <t>five most populous in the state</t>
  </si>
  <si>
    <t>What is stage 1 in the life of a bill?</t>
  </si>
  <si>
    <t>The city has two universities — Newcastle University and Northumbria University. Newcastle University has its origins in the School of Medicine and Surgery, established in 1834 and became independent from Durham University on 1 August 1963 to form the University of Newcastle upon Tyne. Newcastle University is now one of the UK's leading international universities. It won the coveted Sunday Times University of the Year award in 2000. Northumbria University has its origins in the Newcastle Polytechnic, established in 1969 and became the University of Northumbria at Newcastle in 1992 as part of the UK-wide process in which polytechnics became new universities. Northumbria University was voted 'Best New University' by The Times Good University Guide 2005 and also won a much coveted company award of the "Most IT enabled organisation" (in the UK), by the IT industry magazine Computing.</t>
  </si>
  <si>
    <t>What does the substitution of equipment for labor raise for workers?</t>
  </si>
  <si>
    <t>Lake George</t>
  </si>
  <si>
    <t>early twentieth century homes</t>
  </si>
  <si>
    <t>What seed was the Carolina Panthers?</t>
  </si>
  <si>
    <t>What does BSkyB's sport portfolio include?</t>
  </si>
  <si>
    <t>in King George's reign</t>
  </si>
  <si>
    <t>Associate Membership</t>
  </si>
  <si>
    <t>mining licence fees</t>
  </si>
  <si>
    <t>water tower</t>
  </si>
  <si>
    <t>jellyfish</t>
  </si>
  <si>
    <t>What do radical Islamist organizations reject entirely?</t>
  </si>
  <si>
    <t xml:space="preserve">where do plasma waves occur? </t>
  </si>
  <si>
    <t>Plant cells respond to the molecules associated with pathogens known as what?</t>
  </si>
  <si>
    <t>deadly explosives</t>
  </si>
  <si>
    <t>courtyard adjoining the Assembly Hall</t>
  </si>
  <si>
    <t>Mitochondria</t>
  </si>
  <si>
    <t>in obtaining cost-effective medication and avoiding the unnecessary use of medication that may have side-effects</t>
  </si>
  <si>
    <t>What can it sometimes take up to 14 years to get permission to build on?</t>
  </si>
  <si>
    <t>How were the Mongol garrison families earning money?</t>
  </si>
  <si>
    <t>What was the final score of the AFC Championship Game?</t>
  </si>
  <si>
    <t>What has lately been being viewed as a fundamental status of member state nationals by the Court of Justice?</t>
  </si>
  <si>
    <t>Treaty provisions</t>
  </si>
  <si>
    <t>What do some Mongolians feel non-Mongolian historians exaggerate about Genghis Khan?</t>
  </si>
  <si>
    <t>big O notation</t>
  </si>
  <si>
    <t>How many chloroplasts are in stomatal guard cells?</t>
  </si>
  <si>
    <t>when the oxygen concentration is too high</t>
  </si>
  <si>
    <t>economic or financial factors</t>
  </si>
  <si>
    <t>In a market economy, what is inequality a reflection of?</t>
  </si>
  <si>
    <t>Goldenson proposed a merger between UPT and what network in October 1954?</t>
  </si>
  <si>
    <t>When was Geegen the emperor?</t>
  </si>
  <si>
    <t xml:space="preserve">What is the conventional method to measure the Rhine? </t>
  </si>
  <si>
    <t>Systemic acquired resistance</t>
  </si>
  <si>
    <t>between Han and Jurchen</t>
  </si>
  <si>
    <t>humoral system</t>
  </si>
  <si>
    <t>giving her brother Polynices a proper burial</t>
  </si>
  <si>
    <t>What was believed to be the cause of devastation to the civilization?</t>
  </si>
  <si>
    <t>validity of the social contract</t>
  </si>
  <si>
    <t>Who may teachers ignore, in order to prioritize attention?</t>
  </si>
  <si>
    <t>The Normans (Norman: Nourmands; French: Normands; Latin: Normanni) were the people who in the 10th and 11th centuries gave their name to Normandy, a region in France. They were descended from Norse ("Norman" comes from "Norseman") raiders and pirates from Denmark, Iceland and Norway who, under their leader Rollo, agreed to swear fealty to King Charles III of West Francia. Through generations of assimilation and mixing with the native Frankish and Roman-Gaulish populations, their descendants would gradually merge with the Carolingian-based cultures of West Francia. The distinct cultural and ethnic identity of the Normans emerged initially in the first half of the 10th century, and it continued to evolve over the succeeding centuries.</t>
  </si>
  <si>
    <t>October 16, 2012,</t>
  </si>
  <si>
    <t>Compared to other Australian cities, what is the size of Melbourne?</t>
  </si>
  <si>
    <t>design typical of Eastern bloc countries</t>
  </si>
  <si>
    <t>within five years</t>
  </si>
  <si>
    <t>3,000 miles</t>
  </si>
  <si>
    <t>sequential hermaphrodites</t>
  </si>
  <si>
    <t>Who officially opened the V&amp;A?</t>
  </si>
  <si>
    <t>When the Mongols placed the Uighurs of the Kingdom of Qocho over the Koreans at the court the Korean King objected, then the Mongol Emperor Kublai Khan rebuked the Korean King, saying that the Uighur King of Qocho was ranked higher than the Karluk Kara-Khanid ruler, who in turn was ranked higher than the Korean King, who was ranked last, because the Uighurs surrendered to the Mongols first, the Karluks surrendered after the Uighurs, and the Koreans surrendered last, and that the Uighurs surrendered peacefully without violently resisting.</t>
  </si>
  <si>
    <t>soft power</t>
  </si>
  <si>
    <t>From 1510 to 1520, Luther lectured on the Psalms, the books of Hebrews, Romans, and Galatians. As he studied these portions of the Bible, he came to view the use of terms such as penance and righteousness by the Catholic Church in new ways. He became convinced that the church was corrupt in its ways and had lost sight of what he saw as several of the central truths of Christianity. The most important for Luther was the doctrine of justification – God's act of declaring a sinner righteous – by faith alone through God's grace. He began to teach that salvation or redemption is a gift of God's grace, attainable only through faith in Jesus as the Messiah. "This one and firm rock, which we call the doctrine of justification," he wrote, "is the chief article of the whole Christian doctrine, which comprehends the understanding of all godliness."</t>
  </si>
  <si>
    <t>In autoimmune disorders, the immune system doesn't distinguish between what types of cells?</t>
  </si>
  <si>
    <t>What Swiss city was the center of the Calvinist movement?</t>
  </si>
  <si>
    <t>established Church</t>
  </si>
  <si>
    <t>How did Celeron feel about Native relations?</t>
  </si>
  <si>
    <t>DTIME(f(n)).</t>
  </si>
  <si>
    <t>cannot be written as the knot sum of two nontrivial knots</t>
  </si>
  <si>
    <t>What gave Priestley the claim to being the first discovered of oxygen?</t>
  </si>
  <si>
    <t>inauspicious typhoon</t>
  </si>
  <si>
    <t>When did people once again start to show an interest in Tesla?</t>
  </si>
  <si>
    <t>military</t>
  </si>
  <si>
    <t>only justified against governmental entities</t>
  </si>
  <si>
    <t>What was one proposal to let the IPCC respond to new evidence faster?</t>
  </si>
  <si>
    <t>role in spreading awareness of, and access to, national networking and was a major milestone on the path to development of the global Internet</t>
  </si>
  <si>
    <t>ABC continued NBC Blue's tradition of what?</t>
  </si>
  <si>
    <t>from 1892 to 1894</t>
  </si>
  <si>
    <t>What nationality is the architect Enric Miralles?</t>
  </si>
  <si>
    <t>Greater Sacramento</t>
  </si>
  <si>
    <t>For exercise</t>
  </si>
  <si>
    <t xml:space="preserve">When rock folds deep in the Earth it can fold one of two ways, when it buckles upwards it creates what? </t>
  </si>
  <si>
    <t>The climate is cooler</t>
  </si>
  <si>
    <t>satisfaction and happiness</t>
  </si>
  <si>
    <t>supervisory church</t>
  </si>
  <si>
    <t>one hundred colleges and universities</t>
  </si>
  <si>
    <t>only pharmacists</t>
  </si>
  <si>
    <t>103 miles</t>
  </si>
  <si>
    <t>Christianity</t>
  </si>
  <si>
    <t>Approximately how many items from the Islamic world are held in the V&amp;A collection?</t>
  </si>
  <si>
    <t>The customary law of Normandy was developed between the 10th and 13th centuries and survives today through the legal systems of Jersey and Guernsey in the Channel Islands. Norman customary law was transcribed in two customaries in Latin by two judges for use by them and their colleagues: These are the Très ancien coutumier (Very ancient customary), authored between 1200 and 1245; and the Grand coutumier de Normandie (Great customary of Normandy, originally Summa de legibus Normanniae in curia laïcali), authored between 1235 and 1245.</t>
  </si>
  <si>
    <t>Denmark, Iceland and Norway</t>
  </si>
  <si>
    <t>Pigeon peas are very drought resistant,</t>
  </si>
  <si>
    <t>between 1.4 and 5.8 °C</t>
  </si>
  <si>
    <t>Six of the seven lines of the commuter rail system, Metrolink, run out of Downtown Los Angeles, connecting Los Angeles, Ventura, San Bernardino, Riverside, Orange, and San Diego counties with the other line connecting San Bernardino, Riverside, and Orange counties directly.</t>
  </si>
  <si>
    <t>In 1952, following pressure from Tesla's nephew, Sava Kosanović, Tesla's entire estate was shipped to Belgrade in 80 trunks marked N.T. In 1957, Kosanović's secretary Charlotte Muzar transported Tesla's ashes from the United States to Belgrade. The ashes are displayed in a gold-plated sphere on a marble pedestal in the Nikola Tesla Museum.</t>
  </si>
  <si>
    <t>$759,900</t>
  </si>
  <si>
    <t>What was the bubonic plague mechanism reliant on?</t>
  </si>
  <si>
    <t>What is the yearly cost of some notable prep schools in New England?</t>
  </si>
  <si>
    <t>Manhattan Storage and Warehouse Company</t>
  </si>
  <si>
    <t>What did the Mongols shield themselves with while attacking Samarkand?</t>
  </si>
  <si>
    <t>throughout the 14th to 17th centuries</t>
  </si>
  <si>
    <t>How many narrow gauge rail lines were previously government owned?</t>
  </si>
  <si>
    <t>the abuse of dominant position</t>
  </si>
  <si>
    <t>What does Luther write that this life doesn't have?</t>
  </si>
  <si>
    <t xml:space="preserve">How did user of Tymnet connect </t>
  </si>
  <si>
    <t>What did Neoclassical economics view the inequality in the distribution of income as being from?</t>
  </si>
  <si>
    <t>If someone is being taught at their place of residence, what is it called?</t>
  </si>
  <si>
    <t>the Vince Lombardi Trophy</t>
  </si>
  <si>
    <t>What was Westinghouse potentially trying to avoid by paying Tesla?</t>
  </si>
  <si>
    <t>When did the FCC approve UPT's purchase of ABC?</t>
  </si>
  <si>
    <t>privately in the principal's office</t>
  </si>
  <si>
    <t>article 49</t>
  </si>
  <si>
    <t xml:space="preserve">What is the position Derek Wolfe plays currently? </t>
  </si>
  <si>
    <t>What do coastal beroids not have that other ctenophora have?</t>
  </si>
  <si>
    <t>weak policies, corruption, inadequate health workers, weak management and poor leadership in the public health sector</t>
  </si>
  <si>
    <t>"belt animals"</t>
  </si>
  <si>
    <t>What are cilia used for?</t>
  </si>
  <si>
    <t>cramped and unsanitary</t>
  </si>
  <si>
    <t>the center of mass</t>
  </si>
  <si>
    <t>What channel did ABC launch in 1981 that focused on cultural and arts programming?</t>
  </si>
  <si>
    <t>Which committee made an effort to invite companies owned by people, who are transgender or gay, to take part in contract business associated with Super Bowl 50.</t>
  </si>
  <si>
    <t>southern Italy</t>
  </si>
  <si>
    <t>museum</t>
  </si>
  <si>
    <t>meaning that all who are truly believers in every age belong to the holy Church invisible, while the United Methodist Church is a branch of the Church visible,</t>
  </si>
  <si>
    <t>hold a set speed</t>
  </si>
  <si>
    <t>Where did Iroquois Confederation control?</t>
  </si>
  <si>
    <t>Mental Health (Care and Treatment) (Scotland) Act 2003</t>
  </si>
  <si>
    <t>Where was France's Huguenot population largely centered?</t>
  </si>
  <si>
    <t>During the 1970s and sometimes later, Western and pro-Western governments often supported sometimes fledgling Islamists and Islamist groups that later came to be seen as dangerous enemies. Islamists were considered by Western governments bulwarks against—what were thought to be at the time—more dangerous leftist/communist/nationalist insurgents/opposition, which Islamists were correctly seen as opposing. The US spent billions of dollars to aid the mujahideen Muslim Afghanistan enemies of the Soviet Union, and non-Afghan veterans of the war returned home with their prestige, "experience, ideology, and weapons", and had considerable impact.</t>
  </si>
  <si>
    <t>What is the IEEE?</t>
  </si>
  <si>
    <t>as persons</t>
  </si>
  <si>
    <t>What was the ideal duty of a Newcomen engine?</t>
  </si>
  <si>
    <t>Within southern California are two major cities, Los Angeles and San Diego, as well as three of the country's largest metropolitan areas. With a population of 3,792,621, Los Angeles is the most populous city in California and the second most populous in the United States. To the south and with a population of 1,307,402 is San Diego, the second most populous city in the state and the eighth most populous in the nation.</t>
  </si>
  <si>
    <t>How much does the Rhine discharge at the Dutch border?</t>
  </si>
  <si>
    <t>the helical thylakoid model</t>
  </si>
  <si>
    <t xml:space="preserve">Gateways allowed private companies to do what </t>
  </si>
  <si>
    <t>Writers whose papers are in the library are as diverse as Charles Dickens and Beatrix Potter. Illuminated manuscripts in the library dating from the 12th to 16th centuries include: the Eadwine Psalter[citation needed], Canterbury; Pocket Book of Hours, Reims; Missal from the Royal Abbey of Saint Denis, Paris; the Simon Marmion Book of Hours, Bruges; 1524 Charter illuminated by Lucas Horenbout, London; the Armagnac manuscript of the trial and rehabilitation of Joan of Arc, Rouen. also the Victorian period is represented by William Morris.</t>
  </si>
  <si>
    <t>open forest and grassland</t>
  </si>
  <si>
    <t>synod</t>
  </si>
  <si>
    <t>green parts</t>
  </si>
  <si>
    <t>extends a vitamin D receptor</t>
  </si>
  <si>
    <t>What is the total cost of attendance in 2012-13?</t>
  </si>
  <si>
    <t>Demographically, it was the most diverse city in Poland, with significant numbers of foreign-born inhabitants. In addition to the Polish majority, there was a significant Jewish minority in Warsaw. According to Russian census of 1897, out of the total population of 638,000, Jews constituted 219,000 (around 34% percent). Warsaw's prewar Jewish population of more than 350,000 constituted about 30 percent of the city's total population. In 1933, out of 1,178,914 inhabitants 833,500 were of Polish mother tongue. World War II changed the demographics of the city, and to this day there is much less ethnic diversity than in the previous 300 years of Warsaw's history. Most of the modern day population growth is based on internal migration and urbanisation.</t>
  </si>
  <si>
    <t>civil, military, and censorial offices</t>
  </si>
  <si>
    <t>If the teacher focuses on maintaining order, what does this take time away from?</t>
  </si>
  <si>
    <t>high density</t>
  </si>
  <si>
    <t>When was the Dutch Revolt?</t>
  </si>
  <si>
    <t>In 1564 a group of Norman Huguenots under the leadership of Jean Ribault established the small colony of Fort Caroline on the banks of the St. Johns River in what is today Jacksonville, Florida. The effort was the first at any permanent European settlement in the present-day continental United States, but survived only a short time. A September 1565 French naval attack against the new Spanish colony at St. Augustine failed when its ships were hit by a hurricane on their way to the Spanish encampment at Fort Matanzas. Hundreds of French soldiers were stranded and surrendered to the numerically inferior Spanish forces led by Pedro Menendez. Menendez proceeded to massacre the defenseless Huguenots, after which he wiped out the Fort Caroline garrison.</t>
  </si>
  <si>
    <t>60 days</t>
  </si>
  <si>
    <t>the relationship between teachers and children</t>
  </si>
  <si>
    <t>the metric slug</t>
  </si>
  <si>
    <t>school functions</t>
  </si>
  <si>
    <t>New Orleans' Mercedes-Benz Superdome, Miami's Sun Life Stadium, and the San Francisco Bay Area's Levi's Stadium.</t>
  </si>
  <si>
    <t>God's wrath to Christians.</t>
  </si>
  <si>
    <t>$125 per month</t>
  </si>
  <si>
    <t>5 million</t>
  </si>
  <si>
    <t>Some scholars, such as Mark U. Edwards in his book Luther's Last Battles: Politics and Polemics 1531–46 (1983), suggest that since Luther's increasingly antisemitic views developed during the years his health deteriorated, it is possible they were at least partly the product of a declining state of mind. Edwards also comments that Luther often deliberately used "vulgarity and violence" for effect, both in his writings condemning the Jews and in diatribes against "Turks" (Muslims) and Catholics.</t>
  </si>
  <si>
    <t>quality rental units</t>
  </si>
  <si>
    <t>With modern insights into quantum mechanics and technology that can accelerate particles close to the speed of light, particle physics has devised a Standard Model to describe forces between particles smaller than atoms. The Standard Model predicts that exchanged particles called gauge bosons are the fundamental means by which forces are emitted and absorbed. Only four main interactions are known: in order of decreasing strength, they are: strong, electromagnetic, weak, and gravitational.:2–10:79 High-energy particle physics observations made during the 1970s and 1980s confirmed that the weak and electromagnetic forces are expressions of a more fundamental electroweak interaction.</t>
  </si>
  <si>
    <t>How many years have imperialistic practices existed?</t>
  </si>
  <si>
    <t>With the show's 2005 revival, executive producer Russell T Davies stated his intention to reintroduce classic icons of Doctor Who one step at a time: the Autons with the Nestene Consciousness and Daleks in series 1, Cybermen in series 2, the Macra and the Master in series 3, the Sontarans and Davros in series 4, and the Time Lords (Rassilon) in the 2009–10 Specials. Davies' successor, Steven Moffat, has continued the trend by reviving the Silurians in series 5, Cybermats in series 6, the Great Intelligence and the Ice Warriors in Series 7, and Zygons in the 50th Anniversary Special. Since its 2005 return, the series has also introduced new recurring aliens: Slitheen (Raxacoricofallapatorian), Ood, Judoon, Weeping Angels and the Silence.</t>
  </si>
  <si>
    <t>a violation of criminal law that does not infringe the rights of others</t>
  </si>
  <si>
    <t>What is the name of Harvard's basketball facility?</t>
  </si>
  <si>
    <t>O(n2)</t>
  </si>
  <si>
    <t>dial-up terminal to a PAD, or, by linking a permanent X.25 node</t>
  </si>
  <si>
    <t>Justifying Grace or Accepting Grace is that grace, offered by God to all people, that we receive by faith and trust in Christ, through which God pardons the believer of sin. It is in justifying grace we are received by God, in spite of our sin. In this reception, we are forgiven through the atoning work of Jesus Christ on the cross. The justifying grace cancels our guilt and empowers us to resist the power of sin and to fully love God and neighbor. Today, justifying grace is also known as conversion, "accepting Jesus as your personal Lord and Savior," or being "born again". John Wesley originally called this experience the New Birth. This experience can occur in different ways; it can be one transforming moment, such as an altar call experience, or it may involve a series of decisions across a period of time.</t>
  </si>
  <si>
    <t>broadcasting</t>
  </si>
  <si>
    <t>America's Funniest Home Videos</t>
  </si>
  <si>
    <t>Baran developed the concept of distributed adaptive message block switching during his research at the RAND Corporation for the US Air Force into survivable communications networks, first presented to the Air Force in the summer of 1961 as briefing B-265, later published as RAND report P-2626 in 1962, and finally in report RM 3420 in 1964. Report P-2626 described a general architecture for a large-scale, distributed, survivable communications network. The work focuses on three key ideas: use of a decentralized network with multiple paths between any two points, dividing user messages into message blocks, later called packets, and delivery of these messages by store and forward switching.</t>
  </si>
  <si>
    <t>When many people are arrested, what is a common tactic negotiating?</t>
  </si>
  <si>
    <t>Committee on Commerce, Science and Transportation</t>
  </si>
  <si>
    <t>Goldbach's</t>
  </si>
  <si>
    <t>combs</t>
  </si>
  <si>
    <t>After a chloroplast polypeptide is synthesized on a ribosome in the cytosol, an enzyme specific to chloroplast proteins phosphorylates, or adds a phosphate group to many (but not all) of them in their transit sequences. Phosphorylation helps many proteins bind the polypeptide, keeping it from folding prematurely. This is important because it prevents chloroplast proteins from assuming their active form and carrying out their chloroplast functions in the wrong place—the cytosol. At the same time, they have to keep just enough shape so that they can be recognized by the chloroplast. These proteins also help the polypeptide get imported into the chloroplast.</t>
  </si>
  <si>
    <t>Of what does the covalent double bond result from ?</t>
  </si>
  <si>
    <t>What do a great majority of rocks sampled from the moon show?</t>
  </si>
  <si>
    <t>What did Lepidodinium viride lose?</t>
  </si>
  <si>
    <t>Who is most likely to be doing formal teaching?</t>
  </si>
  <si>
    <t>What is the oncorhynchus also called?</t>
  </si>
  <si>
    <t>The Ottoman Empire was an imperial state that lasted from 1299 to 1923. During the 16th and 17th centuries, in particular at the height of its power under the reign of Suleiman the Magnificent, the Ottoman Empire was a powerful multinational, multilingual empire controlling much of Southeast Europe, Western Asia, the Caucasus, North Africa, and the Horn of Africa. At the beginning of the 17th century the empire contained 32 provinces and numerous vassal states. Some of these were later absorbed into the empire, while others were granted various types of autonomy during the course of centuries.</t>
  </si>
  <si>
    <t>channels 2 through 6</t>
  </si>
  <si>
    <t>Who dates rocks, precisely, within the stratigraphic section?</t>
  </si>
  <si>
    <t>The Tyneside flat was the dominant housing form constructed at the time when the industrial centres on Tyneside were growing most rapidly. They can still be found in areas such as South Heaton in Newcastle but once dominated the streetscape on both sides of the Tyne. Tyneside flats were built as terraces, one of each pair of doors led to an upstairs flat while the other led into the ground-floor flat, each of two or three rooms. A new development in the Ouseburn valley has recreated them; Architects Cany Ash and Robert Sakula were attracted by the possibilities of high density without building high and getting rid of common areas.</t>
  </si>
  <si>
    <t>Dendritic cells (DC) are phagocytes in tissues that are in contact with the external environment; therefore, they are located mainly in the skin, nose, lungs, stomach, and intestines. They are named for their resemblance to neuronal dendrites, as both have many spine-like projections, but dendritic cells are in no way connected to the nervous system. Dendritic cells serve as a link between the bodily tissues and the innate and adaptive immune systems, as they present antigens to T cells, one of the key cell types of the adaptive immune system.</t>
  </si>
  <si>
    <t>the product of the host's cell membrane infolding to form a vesicle to surround the ancestral cyanobacterium</t>
  </si>
  <si>
    <t>a historical fluke</t>
  </si>
  <si>
    <t>In 2004, declassified documents revealed that the U.S. was so distraught by the rise in oil prices and being challenged by under-developed countries that they briefly considered military action to forcibly seize Middle Eastern oilfields in late 1973. Although no explicit plan was mentioned, a conversation between U.S. Secretary of Defense James Schlesinger and British Ambassador to the United States Lord Cromer revealed Schlesinger had told him that "it was no longer obvious to him that the U.S. could not use force." British Prime Minister Edward Heath was so worried by this prospect that he ordered a British intelligence estimate of U.S. intentions, which concluded America "might consider it could not tolerate a situation in which the U.S. and its allies were at the mercy of a small group of unreasonable countries," and that they would prefer a rapid operation to seize oilfields in Saudi Arabia and Kuwait, and possibly Abu Dhabi in military action was decided upon. Although the Soviet response to such an act would likely not involve force, intelligence warned "the American occupation would need to last 10 years as the West developed alternative energy sources, and would result in the ‘total alienation’ of the Arabs and much of the rest of the Third World."</t>
  </si>
  <si>
    <t>rock units</t>
  </si>
  <si>
    <t>Extra pay</t>
  </si>
  <si>
    <t>the elected MSPs</t>
  </si>
  <si>
    <t>Luther and his colleagues introduced the new order of worship during their visitation of the Electorate of Saxony, which began in 1527. They also assessed the standard of pastoral care and Christian education in the territory. "Merciful God, what misery I have seen," Luther wrote, "the common people knowing nothing at all of Christian doctrine ... and unfortunately many pastors are well-nigh unskilled and incapable of teaching."</t>
  </si>
  <si>
    <t>quantitative</t>
  </si>
  <si>
    <t>irreducible elements</t>
  </si>
  <si>
    <t>What drove increased rental prices in East New York?</t>
  </si>
  <si>
    <t>the Academy Awards</t>
  </si>
  <si>
    <t>The National Art Library at the V&amp;A is known by what other name?</t>
  </si>
  <si>
    <t>Recently, chloroplasts have caught attention by developers of genetically modified crops. Since, in most flowering plants, chloroplasts are not inherited from the male parent, transgenes in these plastids cannot be disseminated by pollen. This makes plastid transformation a valuable tool for the creation and cultivation of genetically modified plants that are biologically contained, thus posing significantly lower environmental risks. This biological containment strategy is therefore suitable for establishing the coexistence of conventional and organic agriculture. While the reliability of this mechanism has not yet been studied for all relevant crop species, recent results in tobacco plants are promising, showing a failed containment rate of transplastomic plants at 3 in 1,000,000.</t>
  </si>
  <si>
    <t>The function of long-lived memory cells is an example of what kind of immune response?</t>
  </si>
  <si>
    <t>In 2012 the Economist Intelligence Unit ranked Warsaw as the 32nd most liveable city in the world. It was also ranked as one of the most liveable cities in Central Europe. Today Warsaw is considered an "Alpha–" global city, a major international tourist destination and a significant cultural, political and economic hub. Warsaw's economy, by a wide variety of industries, is characterised by FMCG manufacturing, metal processing, steel and electronic manufacturing and food processing. The city is a significant centre of research and development, BPO, ITO, as well as of the Polish media industry. The Warsaw Stock Exchange is one of the largest and most important in Central and Eastern Europe. Frontex, the European Union agency for external border security, has its headquarters in Warsaw. It has been said that Warsaw, together with Frankfurt, London, Paris and Barcelona is one of the cities with the highest number of skyscrapers in the European Union. Warsaw has also been called "Eastern Europe’s chic cultural capital with thriving art and club scenes and serious restaurants".</t>
  </si>
  <si>
    <t>temperance movement.</t>
  </si>
  <si>
    <t>biomolecules</t>
  </si>
  <si>
    <t>When forces are acting on an extended body, what do you need to account for motion effects?</t>
  </si>
  <si>
    <t>hunter's garb</t>
  </si>
  <si>
    <t>via a D loop mechanism</t>
  </si>
  <si>
    <t>Court of Justice</t>
  </si>
  <si>
    <t>antiforms</t>
  </si>
  <si>
    <t>Suzuki Chokichi's incense burner dated 1875 is made of what from material?</t>
  </si>
  <si>
    <t>What was Julian Hawthorne's relation to Tesla?</t>
  </si>
  <si>
    <t>What happens to the packet at the destination</t>
  </si>
  <si>
    <t>Where does the Middle Rhine flow between Bingen and Bonn?</t>
  </si>
  <si>
    <t>To which period is the largest item from Italy that is included in the sculpture collection dated?</t>
  </si>
  <si>
    <t>Kublai's government after 1262 was a compromise between preserving Mongol interests in China and satisfying the demands of his Chinese subjects. He instituted the reforms proposed by his Chinese advisers by centralizing the bureaucracy, expanding the circulation of paper money, and maintaining the traditional monopolies on salt and iron. He restored the Imperial Secretariat and left the local administrative structure of past Chinese dynasties unchanged. However, Kublai rejected plans to revive the Confucian imperial examinations and divided Yuan society into three, later four, classes with the Han Chinese occupying the lowest rank. Kublai's Chinese advisers still wielded significant power in the government, but their official rank was nebulous.</t>
  </si>
  <si>
    <t>On the Councils and the Church</t>
  </si>
  <si>
    <t>What new name was given to the media day?</t>
  </si>
  <si>
    <t>Methodist institutions may be named after a biblical figure (e.g., "St. James UMC"). Methodists also honor notable heroes and heroines of the Christian faith and look to these prominent saints as providing examples of holy living and commitment to Christ that are worthy of imitation (see 1 Corinthians 11:1). Such exemplary saints include martyrs, confessors of the Faith, evangelists, or important biblical figures such as Saint Matthew, Lutheran theologian and martyr to the Nazis Dietrich Bonhoeffer, Salvation Army Founder William Booth, African missionary David Livingstone and Methodism's revered founder John Wesley are among many cited as Protestant saints.</t>
  </si>
  <si>
    <t>King Malcolm III of Scotland</t>
  </si>
  <si>
    <t>Vietnam</t>
  </si>
  <si>
    <t>religious freedom</t>
  </si>
  <si>
    <t>end of the current Parliament</t>
  </si>
  <si>
    <t>Tesla also explained the principles of the rotating magnetic field in an induction motor by demonstrating how to make a copper egg stand on end using a device he constructed known as the Egg of Columbus.</t>
  </si>
  <si>
    <t>trouble distinguishing between carbon dioxide and oxygen</t>
  </si>
  <si>
    <t>Has the tourism sector had growth or reduction?</t>
  </si>
  <si>
    <t>What are some Chlorophyta and euglenid chloroplasts missing?</t>
  </si>
  <si>
    <t>parallel to the canalized Rhine</t>
  </si>
  <si>
    <t>The Brotherhood's members are against consuming what beverage?</t>
  </si>
  <si>
    <t>In experiments, a bridge of what element can be built between poles of a magnet?</t>
  </si>
  <si>
    <t>What other topics can Civil disobedience pertain to?</t>
  </si>
  <si>
    <t>fully human</t>
  </si>
  <si>
    <t>How recently has the homes in Fresno been restored?</t>
  </si>
  <si>
    <t>To monitor what event would measuring radiance from vegetation provide information?</t>
  </si>
  <si>
    <t>After the 1940s</t>
  </si>
  <si>
    <t>How do co-teachers work with each other to fulfill the needs of students?</t>
  </si>
  <si>
    <t>easier credit</t>
  </si>
  <si>
    <t>What was the age difference between Newton and Manning in Super Bowl 50?</t>
  </si>
  <si>
    <t>about seven-eighths</t>
  </si>
  <si>
    <t>Thermochemical techniques</t>
  </si>
  <si>
    <t>July 2015</t>
  </si>
  <si>
    <t>In the most basic sense what did a Turing machine emulate?</t>
  </si>
  <si>
    <t>sand</t>
  </si>
  <si>
    <t>the Eldon Square Shopping Centre</t>
  </si>
  <si>
    <t>What were the annual carriage fees for the channels?</t>
  </si>
  <si>
    <t>Luther secretly returned to Wittenberg on 6 March 1522. He wrote to the Elector: "During my absence, Satan has entered my sheepfold, and committed ravages which I cannot repair by writing, but only by my personal presence and living word." For eight days in Lent, beginning on Invocavit Sunday, 9 March, Luther preached eight sermons, which became known as the "Invocavit Sermons". In these sermons, he hammered home the primacy of core Christian values such as love, patience, charity, and freedom, and reminded the citizens to trust God's word rather than violence to bring about necessary change.</t>
  </si>
  <si>
    <t>Ismailiyah, Egypt</t>
  </si>
  <si>
    <t>Which timeline is further expanded in the fourth scale?</t>
  </si>
  <si>
    <t>states and governments</t>
  </si>
  <si>
    <t>What expression is generally used to convey upper or lower bounds?</t>
  </si>
  <si>
    <t>a nervous breakdown</t>
  </si>
  <si>
    <t>"The Islamic State", formerly known as the "Islamic State of Iraq and the Levant" and before that as the "Islamic State of Iraq", (and called the acronym Daesh by its many detractors), is a Wahhabi/Salafi jihadist extremist militant group which is led by and mainly composed of Sunni Arabs from Iraq and Syria. In 2014, the group proclaimed itself a caliphate, with religious, political and military authority over all Muslims worldwide. As of March 2015[update], it had control over territory occupied by ten million people in Iraq and Syria, and has nominal control over small areas of Libya, Nigeria and Afghanistan. (While a self-described state, it lacks international recognition.) The group also operates or has affiliates in other parts of the world, including North Africa and South Asia.</t>
  </si>
  <si>
    <t>left</t>
  </si>
  <si>
    <t>Reciprocating piston</t>
  </si>
  <si>
    <t>Who discovered this and where did they come from?</t>
  </si>
  <si>
    <t>naval Battle of the Restigouche</t>
  </si>
  <si>
    <t>Numerical</t>
  </si>
  <si>
    <t>natural motion</t>
  </si>
  <si>
    <t>What do chloroplasts use their ribosomes for?</t>
  </si>
  <si>
    <t>142 pounds (64 kg)</t>
  </si>
  <si>
    <t>the Song Emperor</t>
  </si>
  <si>
    <t>What was the principle shown in The Mark of Anarchy?</t>
  </si>
  <si>
    <t>German-Swiss border</t>
  </si>
  <si>
    <t>What is normally eaten for lunch and supper?</t>
  </si>
  <si>
    <t>1938</t>
  </si>
  <si>
    <t>Private Education Student Financial Assistance</t>
  </si>
  <si>
    <t>State Route 180 comes from which direction via Mendota?</t>
  </si>
  <si>
    <t>San Joaquin Valley Railroad</t>
  </si>
  <si>
    <t>A deterministic Turing machine is the most basic Turing machine, which uses a fixed set of rules to determine its future actions. A probabilistic Turing machine is a deterministic Turing machine with an extra supply of random bits. The ability to make probabilistic decisions often helps algorithms solve problems more efficiently. Algorithms that use random bits are called randomized algorithms. A non-deterministic Turing machine is a deterministic Turing machine with an added feature of non-determinism, which allows a Turing machine to have multiple possible future actions from a given state. One way to view non-determinism is that the Turing machine branches into many possible computational paths at each step, and if it solves the problem in any of these branches, it is said to have solved the problem. Clearly, this model is not meant to be a physically realizable model, it is just a theoretically interesting abstract machine that gives rise to particularly interesting complexity classes. For examples, see non-deterministic algorithm.</t>
  </si>
  <si>
    <t>What was the name of Temüjin's laws?</t>
  </si>
  <si>
    <t>When Sky Digital was launched in 1998 the new service used the Astra 2A satellite which was located at the 28.5°E orbital position, unlike the analogue service which was broadcast from 19.2°E. This was subsequently followed by more Astra satellites as well as Eutelsat's Eurobird 1 (now Eutelsat 33C) at 28.5°E), enabled the company to launch a new all-digital service, Sky, with the potential to carry hundreds of television and radio channels. The old position was shared with broadcasters from several European countries, while the new position at 28.5°E came to be used almost exclusively for channels that broadcast to the United Kingdom.</t>
  </si>
  <si>
    <t>if its solution requires significant resources</t>
  </si>
  <si>
    <t>What Western country is corporal punishment still allowed?</t>
  </si>
  <si>
    <t>leading a Spirit-filled and Christ-like life aimed toward love</t>
  </si>
  <si>
    <t>closed Augustinian cloister</t>
  </si>
  <si>
    <t>What is the general term used to describe the output to any given input in a problem instance?</t>
  </si>
  <si>
    <t>What device is a dry cooling tower similar to?</t>
  </si>
  <si>
    <t>What position in the government does Robert Gates hold?</t>
  </si>
  <si>
    <t>What was Edison's reply as to what Tesla didn't understand when Tesla asked for payment?</t>
  </si>
  <si>
    <t xml:space="preserve">What part do events in Victoria's economy  play? </t>
  </si>
  <si>
    <t>What was Tesla's attitude toward the idea that matter could be turned into energy?</t>
  </si>
  <si>
    <t>May 3, 2013</t>
  </si>
  <si>
    <t>The flushing action of what expels pathogens from the eyes?</t>
  </si>
  <si>
    <t>red algal chloroplast lineage</t>
  </si>
  <si>
    <t>waxy cuticle</t>
  </si>
  <si>
    <t>KOA (850 AM) and KRFX (103.5 FM)</t>
  </si>
  <si>
    <t>gift</t>
  </si>
  <si>
    <t>Kenyan athletes (particularly Kalenjin)</t>
  </si>
  <si>
    <t>When the Methodists in America were separated from the Church of England</t>
  </si>
  <si>
    <t>receptors</t>
  </si>
  <si>
    <t>each six months</t>
  </si>
  <si>
    <t>yes</t>
  </si>
  <si>
    <t>arrived too late</t>
  </si>
  <si>
    <t>drowned in the Mur River</t>
  </si>
  <si>
    <t>flammable cabin</t>
  </si>
  <si>
    <t xml:space="preserve">DEC originally had 3 layers but evolved into how many layers </t>
  </si>
  <si>
    <t>In 1854 at Ballarat there was an armed rebellion against the government of Victoria by miners protesting against mining taxes (the "Eureka Stockade"). This was crushed by British troops, but the discontents prompted colonial authorities to reform the administration (particularly reducing the hated mining licence fees) and extend the franchise. Within a short time, the Imperial Parliament granted Victoria responsible government with the passage of the Colony of Victoria Act 1855. Some of the leaders of the Eureka rebellion went on to become members of the Victorian Parliament.</t>
  </si>
  <si>
    <t>How many schools and institutions does the church operate overseas?</t>
  </si>
  <si>
    <t>Festival of the Arts</t>
  </si>
  <si>
    <t>Why would rampant violence prevent people from going to work?</t>
  </si>
  <si>
    <t>a statue of fame</t>
  </si>
  <si>
    <t>Which group benefited from the funds distributed by the religious charity, al-Haramain Foundation?</t>
  </si>
  <si>
    <t>hatred of the Jews</t>
  </si>
  <si>
    <t>the colonies of British America and New France</t>
  </si>
  <si>
    <t>Who normally supervises a construction job?</t>
  </si>
  <si>
    <t>head of government</t>
  </si>
  <si>
    <t>Sizeable minorities of other faiths do exist (Muslim 11.2%, indigenous beliefs 1.7%), and nonreligious 2.4%. Sixty percent of the Muslim population lives in Kenya's Coastal Region, comprising 50% of the total population there. Roughly 4% of Muslims are Ahmadiyya, 8% Shia and another 8% are non-denominational Muslims, while 73% are Sunni. Western areas of the Coast Region are mostly Christian. The upper part of Kenya's Eastern Region is home to 10% of the country's Muslims, where they constitute the majority religious group. In addition, there is a large Hindu population in Kenya (around 300,000), who have played a key role in the local economy; they are mostly of Indian origin.</t>
  </si>
  <si>
    <t>special efforts</t>
  </si>
  <si>
    <t>2.666 million residents</t>
  </si>
  <si>
    <t>What type of status did the UMC vote to seek in the National Association of Evangelicals?</t>
  </si>
  <si>
    <t>Where can a lot Tesla's writings be found?</t>
  </si>
  <si>
    <t>Dendritic cells are named that because they resemble what?</t>
  </si>
  <si>
    <t>after sustaining an injury which would be fatal to most other species</t>
  </si>
  <si>
    <t>What are chloroplasts in mesophyll cells specialized for?</t>
  </si>
  <si>
    <t>Curiously, around half of the protein products of transferred genes aren't even targeted back to the chloroplast. Many became exaptations, taking on new functions like participating in cell division, protein routing, and even disease resistance. A few chloroplast genes found new homes in the mitochondrial genome—most became nonfunctional pseudogenes, though a few tRNA genes still work in the mitochondrion. Some transferred chloroplast DNA protein products get directed to the secretory pathway (though it should be noted that many secondary plastids are bounded by an outermost membrane derived from the host's cell membrane, and therefore topologically outside of the cell, because to reach the chloroplast from the cytosol, you have to cross the cell membrane, just like if you were headed for the extracellular space. In those cases, chloroplast-targeted proteins do initially travel along the secretory pathway).</t>
  </si>
  <si>
    <t>relatively equal distributions of wealth</t>
  </si>
  <si>
    <t>What is the name of the mystical type of Islam?</t>
  </si>
  <si>
    <t>Agents of S.H.I.E.L.D</t>
  </si>
  <si>
    <t>constant pressure</t>
  </si>
  <si>
    <t>anti-communist fervor</t>
  </si>
  <si>
    <t>since the Lower Paleolithic period</t>
  </si>
  <si>
    <t>caning</t>
  </si>
  <si>
    <t>how long did Tesla spend redesigning the motor and generators?</t>
  </si>
  <si>
    <t>signals from the chloroplast that regulate gene expression in the nucleus</t>
  </si>
  <si>
    <t>Supreme Court</t>
  </si>
  <si>
    <t>What consist of one ore more Annual Conferences?</t>
  </si>
  <si>
    <t>Which gas makes up 20.8% of the Earth's atmosphere?</t>
  </si>
  <si>
    <t>countries—in East Asia</t>
  </si>
  <si>
    <t>How did the final Song emperor die?</t>
  </si>
  <si>
    <t>What topic do private bills typically have?</t>
  </si>
  <si>
    <t>trans-Atlantic wireless telecommunications facility</t>
  </si>
  <si>
    <t>In the 1965-66 season, what place did ABC find it's self among the other networks in ratings?</t>
  </si>
  <si>
    <t>the programme was not permitted to contain any "bug-eyed monsters"</t>
  </si>
  <si>
    <t>peptidoglycan wall between their double membrane</t>
  </si>
  <si>
    <t>older than the fault</t>
  </si>
  <si>
    <t>8 mm cine film and clips that were shown on other programmes</t>
  </si>
  <si>
    <t>some activists who commit civil disobedience as a group collectively refuse to sign bail until certain demands are met</t>
  </si>
  <si>
    <t>The role of teacher is often formal and ongoing, carried out at a school or other place of formal education. In many countries, a person who wishes to become a teacher must first obtain specified professional qualifications or credentials from a university or college. These professional qualifications may include the study of pedagogy, the science of teaching. Teachers, like other professionals, may have to continue their education after they qualify, a process known as continuing professional development. Teachers may use a lesson plan to facilitate student learning, providing a course of study which is called the curriculum.</t>
  </si>
  <si>
    <t>in the 10th and 11th centuries</t>
  </si>
  <si>
    <t>macroscopically as a structural force</t>
  </si>
  <si>
    <t>In confirmation and membership preparation classes,</t>
  </si>
  <si>
    <t xml:space="preserve">How is packet switching characterized </t>
  </si>
  <si>
    <t>the Earth</t>
  </si>
  <si>
    <t>Several project structures can assist the owner in this integration, including design-build, partnering and construction management. In general, each of these project structures allows the owner to integrate the services of architects, interior designers, engineers and constructors throughout design and construction. In response, many companies are growing beyond traditional offerings of design or construction services alone and are placing more emphasis on establishing relationships with other necessary participants through the design-build process.</t>
  </si>
  <si>
    <t>compute primes</t>
  </si>
  <si>
    <t>Antibodies are transferred to the gut of the infant through what means?</t>
  </si>
  <si>
    <t>What constitutional change was considered?</t>
  </si>
  <si>
    <t>The University of Warsaw was established in 1816, when the partitions of Poland separated Warsaw from the oldest and most influential Polish academic center, in Kraków. Warsaw University of Technology is the second academic school of technology in the country, and one of the largest in East-Central Europe, employing 2,000 professors. Other institutions for higher education include the Medical University of Warsaw, the largest medical school in Poland and one of the most prestigious, the National Defence University, highest military academic institution in Poland, the Fryderyk Chopin University of Music the oldest and largest music school in Poland, and one of the largest in Europe, the Warsaw School of Economics, the oldest and most renowned economic university in the country, and the Warsaw University of Life Sciences the largest agricultural university founded in 1818.</t>
  </si>
  <si>
    <t>coronation of Queen Elizabeth II</t>
  </si>
  <si>
    <t>What fortification was built in the 19th century after the defeat of the November Uprising?</t>
  </si>
  <si>
    <t>violence that subsequently engulfed the country</t>
  </si>
  <si>
    <t>charter schools</t>
  </si>
  <si>
    <t>less civilized</t>
  </si>
  <si>
    <t>The crisis reduced the demand for large cars. 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Japanese imports became mass-market leaders with unibody construction and front-wheel drive, which became de facto standards.</t>
  </si>
  <si>
    <t>destroy civilization</t>
  </si>
  <si>
    <t>Carotenoids</t>
  </si>
  <si>
    <t>What was East and Central Africa's economy boosted by?</t>
  </si>
  <si>
    <t>What type of commutative ring does the Lasker–Noether theorem express every ideal as an intersection of primary ideals in?</t>
  </si>
  <si>
    <t>"No, that's no good"</t>
  </si>
  <si>
    <t>youth-oriented programming</t>
  </si>
  <si>
    <t>How large are Plastoglobuli?</t>
  </si>
  <si>
    <t>Newton's Third Law is a result of applying symmetry to situations where forces can be attributed to the presence of different objects. The third law means that all forces are interactions between different bodies,[Note 3] and thus that there is no such thing as a unidirectional force or a force that acts on only one body. Whenever a first body exerts a force F on a second body, the second body exerts a force −F on the first body. F and −F are equal in magnitude and opposite in direction. This law is sometimes referred to as the action-reaction law, with F called the "action" and −F the "reaction". The action and the reaction are simultaneous:</t>
  </si>
  <si>
    <t>stroma</t>
  </si>
  <si>
    <t>background check and psychiatric evaluation</t>
  </si>
  <si>
    <t>upper classes</t>
  </si>
  <si>
    <t>The UMC was a founding member of what coalition?</t>
  </si>
  <si>
    <t>the Arizona Cardinals</t>
  </si>
  <si>
    <t>What new technology allowed ABC to pre-record its shows?</t>
  </si>
  <si>
    <t>returned to New York amid news that a massacre had occurred at Fort William Henry.</t>
  </si>
  <si>
    <t>Buckland Valley</t>
  </si>
  <si>
    <t>What does the inability to separate Islam from Islamism lead many in the West to support?</t>
  </si>
  <si>
    <t>What is held outside the formal legal ownership registration system in many developing countries?</t>
  </si>
  <si>
    <t>What is the common coastal pleurobrachia called?</t>
  </si>
  <si>
    <t>can have infinitely many primes only when a and q are coprime, i.e., their greatest common divisor is one. If this necessary condition is satisfied, Dirichlet's theorem on arithmetic progressions asserts that the progression contains infinitely many primes. The picture below illustrates this with q = 9: the numbers are "wrapped around" as soon as a multiple of 9 is passed. Primes are highlighted in red. The rows (=progressions) starting with a = 3, 6, or 9 contain at most one prime number. In all other rows (a = 1, 2, 4, 5, 7, and 8) there are infinitely many prime numbers. What is more, the primes are distributed equally among those rows in the long run—the density of all primes congruent a modulo 9 is 1/6.</t>
  </si>
  <si>
    <t>An early important political response to the opening of hostilities was the convening of the Albany Congress in June and July, 1754. The goal of the congress was to formalize a unified front in trade and negotiations with various Indians, since allegiance of the various tribes and nations was seen to be pivotal in the success in the war that was unfolding. The plan that the delegates agreed to was never ratified by the colonial legislatures nor approved of by the crown. Nevertheless, the format of the congress and many specifics of the plan became the prototype for confederation during the War of Independence.</t>
  </si>
  <si>
    <t>Why are there more poor people in the United States and Europe than China?</t>
  </si>
  <si>
    <t>What term is used to explain a change in the appearance of Doctor Who?</t>
  </si>
  <si>
    <t>from the 16th and 17th centuries</t>
  </si>
  <si>
    <t>immediately</t>
  </si>
  <si>
    <t>3 million followers</t>
  </si>
  <si>
    <t>the pre-Heian Imperial court</t>
  </si>
  <si>
    <t>live</t>
  </si>
  <si>
    <t>Chinggis Khaan International Airport</t>
  </si>
  <si>
    <t>the 1940s</t>
  </si>
  <si>
    <t>aligning his personal goals with his academic goals</t>
  </si>
  <si>
    <t>Tesla made predictions about the relevant issues of a post-World War I environment in a printed article, "Science and Discovery are the great Forces which will lead to the Consummation of the War" (20 December 1914). Tesla believed that the League of Nations was not a remedy for the times and issues.[citation needed]</t>
  </si>
  <si>
    <t>3 days</t>
  </si>
  <si>
    <t>jailer and hangman of my poor soul.</t>
  </si>
  <si>
    <t>What event was the worst example of Huguenot persecution?</t>
  </si>
  <si>
    <t>story of the posting on the door</t>
  </si>
  <si>
    <t>the husband and father</t>
  </si>
  <si>
    <t xml:space="preserve">What took place in his lab in 1895, causing him to lose thousands of dollars of data and tools? </t>
  </si>
  <si>
    <t>environmental degradation</t>
  </si>
  <si>
    <t>One of the claimants of the English throne opposing William the Conqueror, Edgar Atheling, eventually fled to Scotland. King Malcolm III of Scotland married Edgar's sister Margaret, and came into opposition to William who had already disputed Scotland's southern borders. William invaded Scotland in 1072, riding as far as Abernethy where he met up with his fleet of ships. Malcolm submitted, paid homage to William and surrendered his son Duncan as a hostage, beginning a series of arguments as to whether the Scottish Crown owed allegiance to the King of England.</t>
  </si>
  <si>
    <t>About how many of the Asian population was Hmong?</t>
  </si>
  <si>
    <t>the highest</t>
  </si>
  <si>
    <t>How many Africans were brought into the United States during the slave trade?</t>
  </si>
  <si>
    <t>triple</t>
  </si>
  <si>
    <t>What is Luther's opinion of what the law covers??</t>
  </si>
  <si>
    <t>What feature of the Shah's army enable the weary Mongol forces easy early victories?</t>
  </si>
  <si>
    <t>During summers, for what tournaments does ABC air highlight programs?</t>
  </si>
  <si>
    <t>glucose monomers in the chloroplast can be linked together</t>
  </si>
  <si>
    <t>What does being an MSP share with the House of Commons?</t>
  </si>
  <si>
    <t>the eggs and sperm mature at different times</t>
  </si>
  <si>
    <t>1973_oil_crisis</t>
  </si>
  <si>
    <t>What area is Newcastle's milder winters and cooler summers most similar to?</t>
  </si>
  <si>
    <t>Geographical theories such as environmental determinism also suggested that tropical environments created uncivilized people in need of European guidance. For instance, American geographer Ellen Churchill Semple argued that even though human beings originated in the tropics they were only able to become fully human in the temperate zone. Tropicality can be paralleled with Edward Said’s Orientalism as the west’s construction of the east as the “other”. According to Siad, orientalism allowed Europe to establish itself as the superior and the norm, which justified its dominance over the essentialized Orient.</t>
  </si>
  <si>
    <t>Those involved with the design and execution of the infrastructure</t>
  </si>
  <si>
    <t>liquid oxygen tank exploded,</t>
  </si>
  <si>
    <t>Chinese dynasties</t>
  </si>
  <si>
    <t>prevent the installation of pagan images in the Temple in Jerusalem</t>
  </si>
  <si>
    <t>Although it is generally accepted that EU law has primacy, not all EU laws give citizens standing to bring claims: that is, not all EU laws have "direct effect". In Van Gend en Loos v Nederlandse Administratie der Belastingen it was held that the provisions of the Treaties (and EU Regulations) are directly effective, if they are (1) clear and unambiguous (2) unconditional, and (3) did not require EU or national authorities to take further action to implement them. Van Gend en Loos, a postal company, claimed that what is now TFEU article 30 prevented the Dutch Customs Authorities charging tariffs, when it imported urea-formaldehyde plastics from Germany to the Netherlands. After a Dutch court made a reference, the Court of Justice held that even though the Treaties did not "expressly" confer a right on citizens or companies to bring claims, they could do so. Historically, international treaties had only allowed states to have legal claims for their enforcement, but the Court of Justice proclaimed "the Community constitutes a new legal order of international law". Because article 30 clearly, unconditionally and immediately stated that no quantitative restrictions could be placed on trade, without a good justification, Van Gend en Loos could recover the money it paid for the tariff. EU Regulations are the same as Treaty provisions in this sense, because as TFEU article 288 states, they are ‘directly applicable in all Member States’. Moreover, member states comes under a duty not to replicate Regulations in their own law, in order to prevent confusion. For instance, in Commission v Italy the Court of Justice held that Italy had breached a duty under the Treaties, both by failing to operate a scheme to pay farmers a premium to slaughter cows (to reduce dairy overproduction), and by reproducing the rules in a decree with various additions. "Regulations," held the Court of Justice, "come into force solely by virtue of their publication" and implementation could have the effect of "jeopardizing their simultaneous and uniform application in the whole of the Union." On the other hand, some Regulations may themselves expressly require implementing measures, in which case those specific rules should be followed.</t>
  </si>
  <si>
    <t>What is the Safair Rally known as?</t>
  </si>
  <si>
    <t>By what means were scientists able to liquefy air?</t>
  </si>
  <si>
    <t>Why did Kublai's successors lose control of the rest of the Mongol empire?</t>
  </si>
  <si>
    <t>What were the towns granted to the Huguenots in 1598 collectively called?</t>
  </si>
  <si>
    <t>20th century,</t>
  </si>
  <si>
    <t>in regional cities</t>
  </si>
  <si>
    <t>Southern California contains a Mediterranean climate, with infrequent rain and many sunny days. Summers are hot and dry, while winters are a bit warm or mild and wet. Serious rain can occur unusually. In the summers, temperature ranges are 90-60's while as winters are 70-50's, usually all of Southern California have Mediterranean climate. But snow is very rare in the Southwest of the state, it occurs on the Southeast of the state.</t>
  </si>
  <si>
    <t>In some rural areas in the United Kingdom, there are dispensing physicians who are allowed to both prescribe and dispense prescription-only medicines to their patients from within their practices. The law requires that the GP practice be located in a designated rural area and that there is also a specified, minimum distance (currently 1.6 kilometres) between a patient's home and the nearest retail pharmacy. This law also exists in Austria for general physicians if the nearest pharmacy is more than 4 kilometers away, or where none is registered in the city.</t>
  </si>
  <si>
    <t>When did Sky launch a TV advertising campaign target towards women?</t>
  </si>
  <si>
    <t>no jail time</t>
  </si>
  <si>
    <t>What does the Geordie dialect keep of the older language which came before it?</t>
  </si>
  <si>
    <t>, make it more difficult for a system to function</t>
  </si>
  <si>
    <t>What is the current main judicial body of the EU?</t>
  </si>
  <si>
    <t>Southern California's economy can be described as one of the largest in the United States and what other characteristic?</t>
  </si>
  <si>
    <t>What declaration predicated the emigration of Huguenot refugees?</t>
  </si>
  <si>
    <t>bark of mulberry trees</t>
  </si>
  <si>
    <t>How long was he bedridden with cholera?</t>
  </si>
  <si>
    <t>green</t>
  </si>
  <si>
    <t>Great Exhibition of 1851</t>
  </si>
  <si>
    <t>No Child Left Behind</t>
  </si>
  <si>
    <t>tool of the devil</t>
  </si>
  <si>
    <t>12 December 1963</t>
  </si>
  <si>
    <t>northern China</t>
  </si>
  <si>
    <t>force and violence and refusal to submit to arrest</t>
  </si>
  <si>
    <t>in the chloroplasts of C4 plants,</t>
  </si>
  <si>
    <t>a plug-n-play system</t>
  </si>
  <si>
    <t>traditional Chinese autocratic-bureaucratic system</t>
  </si>
  <si>
    <t>even</t>
  </si>
  <si>
    <t>Luther's anti-Jewish works</t>
  </si>
  <si>
    <t>What bargain did his father make with him if Tesla recovered?</t>
  </si>
  <si>
    <t>everyday Germans</t>
  </si>
  <si>
    <t>staying with the same group of peers for all classes</t>
  </si>
  <si>
    <t>informed Céloron that they owned the Ohio Country and that they would trade with the British regardless of the French</t>
  </si>
  <si>
    <t>What long term agenda was the acts of plundering Muslim lands by the West?</t>
  </si>
  <si>
    <t>citizens</t>
  </si>
  <si>
    <t>Matthew 5:38-39</t>
  </si>
  <si>
    <t>equality in the income distribution</t>
  </si>
  <si>
    <t>The Central Region, consisting of present-day Hebei, Shandong, Shanxi, the south-eastern part of present-day Inner Mongolia and the Henan areas to the north of the Yellow River, was considered the most important region of the dynasty and directly governed by the Central Secretariat (or Zhongshu Sheng) at Khanbaliq (modern Beijing); similarly, another top-level administrative department called the Bureau of Buddhist and Tibetan Affairs (or Xuanzheng Yuan) held administrative rule over the whole of modern-day Tibet and a part of Sichuan, Qinghai and Kashmir.</t>
  </si>
  <si>
    <t>sent Dieskau to Fort St. Frédéric</t>
  </si>
  <si>
    <t>seizing power</t>
  </si>
  <si>
    <t>amylopectin starch granules</t>
  </si>
  <si>
    <t>weakness in school discipline</t>
  </si>
  <si>
    <t>Filipino community</t>
  </si>
  <si>
    <t>Throughout the centuries, the Kenyan Coast has played host to many merchants and explorers. Among the cities that line the Kenyan coast is the City of Malindi. It has remained an important Swahili settlement since the 14th century and once rivalled Mombasa for dominance in the African Great Lakes region. Malindi has traditionally been a friendly port city for foreign powers. In 1414, the Chinese trader and explorer Zheng He representing the Ming Dynasty visited the East African coast on one of his last 'treasure voyages'. Malindi authorities welcomed the Portuguese explorer Vasco da Gama in 1498.</t>
  </si>
  <si>
    <t>What court is able to interpret European Union law?</t>
  </si>
  <si>
    <t>ordinary Eastern or bubonic plague</t>
  </si>
  <si>
    <t>the Panic of 1901</t>
  </si>
  <si>
    <t>at night</t>
  </si>
  <si>
    <t>What is this doctrine of God appointing authorities called?</t>
  </si>
  <si>
    <t>Who does the wage gap between genders provide an advantage?</t>
  </si>
  <si>
    <t>taught</t>
  </si>
  <si>
    <t>Southern California's economy is diverse and one of the largest in the United States. It is dominated and heavily dependent upon abundance of petroleum, as opposed to other regions where automobiles not nearly as dominant, the vast majority of transport runs on this fuel. Southern California is famous for tourism and Hollywood (film, television, and music). Other industries include software, automotive, ports, finance, tourism, biomedical, and regional logistics. The region was a leader in the housing bubble 2001–2007, and has been heavily impacted by the housing crash.</t>
  </si>
  <si>
    <t>Time magazine</t>
  </si>
  <si>
    <t>What happened to the rate of flow in the Rhine during the Rhine straightening program?</t>
  </si>
  <si>
    <t>the First Minister</t>
  </si>
  <si>
    <t>phagocytic vacuole</t>
  </si>
  <si>
    <t>destruction of the forest</t>
  </si>
  <si>
    <t>status superior to all others in health-related fields such as physicians and acupuncturists</t>
  </si>
  <si>
    <t>unanimity</t>
  </si>
  <si>
    <t>sediment deposits</t>
  </si>
  <si>
    <t>extended structure</t>
  </si>
  <si>
    <t>normal force</t>
  </si>
  <si>
    <t>Why was Wesley compelled to break with standard practice and ordain two of his lay preachers as presbyters?</t>
  </si>
  <si>
    <t>Petitcodiac in 1755 and at Bloody Creek near Annapolis Royal in 1757</t>
  </si>
  <si>
    <t>What did Tesla spend Astor's money on?</t>
  </si>
  <si>
    <t>The production of what signalling molecules is regulated by the immune system?</t>
  </si>
  <si>
    <t>Who filed an objection to the BBC using the blue police box in Doctor Who merchandise?</t>
  </si>
  <si>
    <t>discarded</t>
  </si>
  <si>
    <t>risen with increased income inequality</t>
  </si>
  <si>
    <t>the 16th</t>
  </si>
  <si>
    <t>four public charter schools</t>
  </si>
  <si>
    <t>government-owned</t>
  </si>
  <si>
    <t>persons to be known.</t>
  </si>
  <si>
    <t>By sunlight, what compound did  Priestley concentrate on to make the gas he called "dephlogisticated air"?</t>
  </si>
  <si>
    <t>the VA, the Indian Health Service, and NIH</t>
  </si>
  <si>
    <t>physically strike him</t>
  </si>
  <si>
    <t>When was Tesla returned to Gospic?</t>
  </si>
  <si>
    <t>Atlantic</t>
  </si>
  <si>
    <t>According to the UMC, persons who are addicted to pornography have altered perceptions of whom?</t>
  </si>
  <si>
    <t>What is attributed to the income inequality in the United States?</t>
  </si>
  <si>
    <t>What government set standards do all schools have to meet?</t>
  </si>
  <si>
    <t>Where is the lowest point of Warsaw located?</t>
  </si>
  <si>
    <t>What was part of the aftermath of the elections in 2007?</t>
  </si>
  <si>
    <t>"cellular" and "humoral" theories</t>
  </si>
  <si>
    <t>dreadnought battleships</t>
  </si>
  <si>
    <t>half a mile</t>
  </si>
  <si>
    <t>Which khanates had converted to Islam?</t>
  </si>
  <si>
    <t>south side of the garden</t>
  </si>
  <si>
    <t>Who are the un-elected subordinates of member state governments?</t>
  </si>
  <si>
    <t>CBSSports</t>
  </si>
  <si>
    <t>During what period did the Tower Theatre re-open?</t>
  </si>
  <si>
    <t>the Red Sea</t>
  </si>
  <si>
    <t>$57,000</t>
  </si>
  <si>
    <t>worst-case time complexity</t>
  </si>
  <si>
    <t>When did Kibaki and Odinga sing an agreement on the formation of government?</t>
  </si>
  <si>
    <t>St. Lawrence and Mississippi watersheds, did business with local tribes, and often married Indian women</t>
  </si>
  <si>
    <t>orbital scientific instrument</t>
  </si>
  <si>
    <t>toward the center of the curving path</t>
  </si>
  <si>
    <t>One of the more notable applications of printing technology was the chao, the paper money of the Yuan. Chao were made from the bark of mulberry trees. The Yuan government used woodblocks to print paper money, but switched to bronze plates in 1275. The Mongols experimented with establishing the Chinese-style paper monetary system in Mongol-controlled territories outside of China. The Yuan minister Bolad was sent to Iran, where he explained Yuan paper money to the Il-khanate court of Gaykhatu. The Il-khanate government issued paper money in 1294, but public distrust of the exotic new currency doomed the experiment.</t>
  </si>
  <si>
    <t>he was defeated</t>
  </si>
  <si>
    <t>photosynthesis</t>
  </si>
  <si>
    <t>Germany and Scandinavia</t>
  </si>
  <si>
    <t>rich and well socially standing</t>
  </si>
  <si>
    <t>VTOL aircraft</t>
  </si>
  <si>
    <t>Where did the president appoint cabinet members from?</t>
  </si>
  <si>
    <t>In Tibetan Buddhism the teachers of Dharma in Tibet are most commonly called a Lama. A Lama who has through phowa and siddhi consciously determined to be reborn, often many times, in order to continue their Bodhisattva vow is called a Tulku.</t>
  </si>
  <si>
    <t>yellow fever</t>
  </si>
  <si>
    <t>a financial instrument that was usable across a large number of merchants and also allowed cardholders to revolve a balance</t>
  </si>
  <si>
    <t>not always</t>
  </si>
  <si>
    <t>If (as WWF argued), population levels would start to drop to a sustainable level</t>
  </si>
  <si>
    <t>big</t>
  </si>
  <si>
    <t>Jesus Christ was born a Jew</t>
  </si>
  <si>
    <t>internal</t>
  </si>
  <si>
    <t>smaller, weaker swimmers such as rotifers and mollusc and crustacean larvae</t>
  </si>
  <si>
    <t>the Karluk Kara-Khanid ruler</t>
  </si>
  <si>
    <t>What do the top 400 richest Americans have more of than half of all Americans combined?</t>
  </si>
  <si>
    <t>ring</t>
  </si>
  <si>
    <t>antigen presentation</t>
  </si>
  <si>
    <t>At the begin of the Holocene (~11,700 years ago), the Rhine occupied its Late-Glacial valley. As a meandering river, it reworked its ice-age braidplain. As sea-level continued to rise in the Netherlands, the formation of the Holocene Rhine-Meuse delta began (~8,000 years ago). Coeval absolute sea-level rise and tectonic subsidence have strongly influenced delta evolution. Other factors of importance to the shape of the delta are the local tectonic activities of the Peel Boundary Fault, the substrate and geomorphology, as inherited from the Last Glacial and the coastal-marine dynamics, such as barrier and tidal inlet formations.</t>
  </si>
  <si>
    <t>New Birth</t>
  </si>
  <si>
    <t>What is a type of disobedience against the federal government?</t>
  </si>
  <si>
    <t>What type of value would the zeta function have if there were finite primes?</t>
  </si>
  <si>
    <t>Where are reserved matters stated in the Scotland Act?</t>
  </si>
  <si>
    <t>Middle Rhine Valley</t>
  </si>
  <si>
    <t>The motion picture, television, and music industry is centered on the Los Angeles in southern California. Hollywood, a district within Los Angeles, is also a name associated with the motion picture industry. Headquartered in southern California are The Walt Disney Company (which also owns ABC), Sony Pictures, Universal, MGM, Paramount Pictures, 20th Century Fox, and Warner Brothers. Universal, Warner Brothers, and Sony also run major record companies as well.</t>
  </si>
  <si>
    <t>The university runs a number of academic institutions and programs apart from its undergraduate and postgraduate schools. It operates the University of Chicago Laboratory Schools (a private day school for K-12 students and day care), the Sonia Shankman Orthogenic School (a residential treatment program for those with behavioral and emotional problems), and four public charter schools on the South Side of Chicago administered by the university's Urban Education Institute. In addition, the Hyde Park Day School, a school for students with learning disabilities, maintains a location on the University of Chicago campus. Since 1983, the University of Chicago has maintained the University of Chicago School Mathematics Project, a mathematics program used in urban primary and secondary schools. The university runs a program called the Council on Advanced Studies in the Social Sciences and Humanities, which administers interdisciplinary workshops to provide a forum for graduate students, faculty, and visiting scholars to present scholarly work in progress. The university also operates the University of Chicago Press, the largest university press in the United States.</t>
  </si>
  <si>
    <t>the United States</t>
  </si>
  <si>
    <t>The reason for the order of the classes and the reason why people were placed in a certain class was the date they surrendered to the Mongols, and had nothing to do with their ethnicity. The earlier they surrendered to the Mongols, the higher they were placed, the more the held out, the lower they were ranked. The Northern Chinese were ranked higher and Southern Chinese were ranked lower because southern China withstood and fought to the last before caving in. Major commerce during this era gave rise to favorable conditions for private southern Chinese manufacturers and merchants.</t>
  </si>
  <si>
    <t>Genoese traders</t>
  </si>
  <si>
    <t>May 21, 2013,</t>
  </si>
  <si>
    <t>90% to 93%</t>
  </si>
  <si>
    <t>August 1999</t>
  </si>
  <si>
    <t>American Medical Association</t>
  </si>
  <si>
    <t>The Kronenberg Palace had been an exceptional example of what type of architecture?</t>
  </si>
  <si>
    <t>How many nations control this region in total?</t>
  </si>
  <si>
    <t>The average Mongol garrison family of the Yuan dynasty seems to have lived a life of decaying rural leisure, with income from the harvests of their Chinese tenants eaten up by costs of equipping and dispatching men for their tours of duty. The Mongols practiced debt slavery, and by 1290 in all parts of the Mongol Empire commoners were selling their children into slavery. Seeing this as damaging to the Mongol nation, Kublai in 1291 forbade the sale abroad of Mongols. Kublai wished to persuade the Chinese that he was becoming increasingly sinicized while maintaining his Mongolian credentials with his own people. He set up a civilian administration to rule, built a capital within China, supported Chinese religions and culture, and devised suitable economic and political institutions for the court. But at the same time he never abandoned his Mongolian heritage.</t>
  </si>
  <si>
    <t>Business Connect</t>
  </si>
  <si>
    <t>How did Vaudreuil react when Johnson was seen as larger threat?</t>
  </si>
  <si>
    <t>the United Nations Environment Programme (UNEP) and the World Meteorological Organization (WMO)</t>
  </si>
  <si>
    <t>low total pressures used</t>
  </si>
  <si>
    <t>In the 1910s, New York–based filmmakers were attracted to Jacksonville's warm climate, exotic locations, excellent rail access, and cheap labor. Over the course of the decade, more than 30 silent film studios were established, earning Jacksonville the title of "Winter Film Capital of the World". However, the emergence of Hollywood as a major film production center ended the city's film industry. One converted movie studio site, Norman Studios, remains in Arlington; It has been converted to the Jacksonville Silent Film Museum at Norman Studios.</t>
  </si>
  <si>
    <t>What is the key accomplishment of Genghis Khan that modern Mongolians celebrate?</t>
  </si>
  <si>
    <t>From where was von Braun transferred to go to NASA?</t>
  </si>
  <si>
    <t>He who does great things.</t>
  </si>
  <si>
    <t>many imperial powers</t>
  </si>
  <si>
    <t>What was the proportion of Huguenots to Catholics at their peak?</t>
  </si>
  <si>
    <t>alternating current system</t>
  </si>
  <si>
    <t>The pound-force has a metric counterpart, less commonly used than the newton: the kilogram-force (kgf) (sometimes kilopond), is the force exerted by standard gravity on one kilogram of mass. The kilogram-force leads to an alternate, but rarely used unit of mass: the metric slug (sometimes mug or hyl) is that mass that accelerates at 1 m·s−2 when subjected to a force of 1 kgf. The kilogram-force is not a part of the modern SI system, and is generally deprecated; however it still sees use for some purposes as expressing aircraft weight, jet thrust, bicycle spoke tension, torque wrench settings and engine output torque. Other arcane units of force include the sthène, which is equivalent to 1000 N, and the kip, which is equivalent to 1000 lbf.</t>
  </si>
  <si>
    <t>What was the dominant housing template when industrial centres were growing the fastest?</t>
  </si>
  <si>
    <t>What causes Pauli repulsion?</t>
  </si>
  <si>
    <t>What type of forested areas can be found on the highest terrace?</t>
  </si>
  <si>
    <t>Grey Street</t>
  </si>
  <si>
    <t>In 1735, where did John and Charles Wesley teach the gospel in America?</t>
  </si>
  <si>
    <t>home viewers who made tape recordings</t>
  </si>
  <si>
    <t>the death of Elisabeth Sladen</t>
  </si>
  <si>
    <t>Between what times does Good Morning America air on ABC?</t>
  </si>
  <si>
    <t>Who provides the bill of quantities?</t>
  </si>
  <si>
    <t>micrometeoroid impact craters</t>
  </si>
  <si>
    <t>over 14,000</t>
  </si>
  <si>
    <t>What is St. John's Cathedral an example of, stylistically?</t>
  </si>
  <si>
    <t>St. Johns River</t>
  </si>
  <si>
    <t>Frederick William, Elector of Brandenburg, invited Huguenots to settle in his realms, and a number of their descendants rose to positions of prominence in Prussia. Several prominent German military, cultural, and political figures were ethnic Huguenot, including poet Theodor Fontane, General Hermann von François, the hero of the First World War Battle of Tannenberg, Luftwaffe General and fighter ace Adolf Galland, Luftwaffe flying ace Hans-Joachim Marseille, and famed U-boat captain Lothar von Arnauld de la Perière. The last Prime Minister of the (East) German Democratic Republic, Lothar de Maizière, is also a descendant of a Huguenot family, as is the German Federal Minister of the Interior, Thomas de Maizière.</t>
  </si>
  <si>
    <t>How much more oxygen dissolves at 0 degrees C than at 20 degrees C?</t>
  </si>
  <si>
    <t>Wealth concentration</t>
  </si>
  <si>
    <t>NFL Mobile service.</t>
  </si>
  <si>
    <t>What is the prophecy in Daniel that interested Luther?</t>
  </si>
  <si>
    <t>Did I write that?</t>
  </si>
  <si>
    <t>tax system</t>
  </si>
  <si>
    <t>photosynthetic cyanobacterium that was engulfed by an early eukaryotic cell</t>
  </si>
  <si>
    <t>Why is using O2 instead of CO2 less efficient?</t>
  </si>
  <si>
    <t>teacher's salaries are paid by the State</t>
  </si>
  <si>
    <t>PNU and ODM camps</t>
  </si>
  <si>
    <t>padlocking the gates</t>
  </si>
  <si>
    <t>by over 100%</t>
  </si>
  <si>
    <t>What church runs some private schools in Victoria?</t>
  </si>
  <si>
    <t>weather</t>
  </si>
  <si>
    <t>What direction do ctenophore swim?</t>
  </si>
  <si>
    <t>whether or not to plead guilty</t>
  </si>
  <si>
    <t>Southern California consists of one of the more varied collections of geologic, topographic, and natural ecosystem landscapes in a diversity outnumbering other major regions in the state and country. The region spans from Pacific Ocean islands, shorelines, beaches, and coastal plains, through the Transverse and Peninsular Ranges with their peaks, into the large and small interior valleys, to the vast deserts of California.</t>
  </si>
  <si>
    <t>his health deteriorated</t>
  </si>
  <si>
    <t>patents</t>
  </si>
  <si>
    <t>As well as period rooms, the collection includes parts of buildings, for example the two top stories of the facade of Sir Paul Pindar's house dated c1600 from Bishopsgate with elaborately carved wood work and leaded windows, a rare survivor of the Great Fire of London, there is a brick portal from a London house of the English Restoration period and a fireplace from the gallery of Northumberland house. European examples include a dormer window dated 1523–35 from the chateau of Montal. There are several examples from Italian Renaissance buildings including, portals, fireplaces, balconies and a stone buffet that used to have a built in fountain. The main architecture gallery has a series of pillars from various buildings and different periods, for example a column from the Alhambra. Examples covering Asia are in those galleries concerned with those countries, as well as models and photographs in the main architecture gallery.</t>
  </si>
  <si>
    <t>At what university's facility did the Panthers practice?</t>
  </si>
  <si>
    <t>Drogo</t>
  </si>
  <si>
    <t xml:space="preserve">Did the rainforest managed to thrive during the glacial periods? </t>
  </si>
  <si>
    <t>Pathogens can rapidly evolve and adapt, and thereby avoid detection and neutralization by the immune system; however, multiple defense mechanisms have also evolved to recognize and neutralize pathogens. Even simple unicellular organisms such as bacteria possess a rudimentary immune system, in the form of enzymes that protect against bacteriophage infections. Other basic immune mechanisms evolved in ancient eukaryotes and remain in their modern descendants, such as plants and invertebrates. These mechanisms include phagocytosis, antimicrobial peptides called defensins, and the complement system. Jawed vertebrates, including humans, have even more sophisticated defense mechanisms, including the ability to adapt over time to recognize specific pathogens more efficiently. Adaptive (or acquired) immunity creates immunological memory after an initial response to a specific pathogen, leading to an enhanced response to subsequent encounters with that same pathogen. This process of acquired immunity is the basis of vaccination.</t>
  </si>
  <si>
    <t>What drove residents to quieter suburban housing?</t>
  </si>
  <si>
    <t>It is expected that the continuous input of sediment into the lake will silt up the lake</t>
  </si>
  <si>
    <t>two weeks later</t>
  </si>
  <si>
    <t>When was Warsaw completely razed to the ground by bombing raids?</t>
  </si>
  <si>
    <t>infected cells seal themselves off and undergo programmed cell death</t>
  </si>
  <si>
    <t>How much was NASA's procured spending on the Apollo project estimated to be at in 2005 after inflation?</t>
  </si>
  <si>
    <t>What campaign did the Communist regime initiate after WWII?</t>
  </si>
  <si>
    <t>How many paid holiday days do most member states require?</t>
  </si>
  <si>
    <t>Brotherhood</t>
  </si>
  <si>
    <t>August 10, 1948</t>
  </si>
  <si>
    <t>remote sensing</t>
  </si>
  <si>
    <t>Creon, the current King of Thebes, who is trying to stop her from giving her brother Polynices a proper burial</t>
  </si>
  <si>
    <t>Where was the language Luther used in his translations spoken?</t>
  </si>
  <si>
    <t>at the end of the 19th century</t>
  </si>
  <si>
    <t>€25,000 per year</t>
  </si>
  <si>
    <t>explosives</t>
  </si>
  <si>
    <t>Apollo Applications Program</t>
  </si>
  <si>
    <t>The Black Death ravaged much of the Islamic world. Plague was present in at least one location in the Islamic world virtually every year between 1500 and 1850. Plague repeatedly struck the cities of North Africa. Algiers lost 30 to 50 thousand inhabitants to it in 1620–21, and again in 1654–57, 1665, 1691, and 1740–42. Plague remained a major event in Ottoman society until the second quarter of the 19th century. Between 1701 and 1750, thirty-seven larger and smaller epidemics were recorded in Constantinople, and an additional thirty-one between 1751 and 1800. Baghdad has suffered severely from visitations of the plague, and sometimes two-thirds of its population has been wiped out.</t>
  </si>
  <si>
    <t>What are the 3 post popular libraries for undergraduates in the Harvard system?</t>
  </si>
  <si>
    <t>How many stages did the Saturn V end up having?</t>
  </si>
  <si>
    <t>What Doctor Who story from 1970 is available on Blu-ray?</t>
  </si>
  <si>
    <t>What did tesla incorrectly believe about x-rays?</t>
  </si>
  <si>
    <t>National Party of Australia</t>
  </si>
  <si>
    <t>punish the Miami people</t>
  </si>
  <si>
    <t>What did the peasants believe Luther would do for them?</t>
  </si>
  <si>
    <t>each side proposing that action be taken</t>
  </si>
  <si>
    <t>indulgences for the living</t>
  </si>
  <si>
    <t>annually in June</t>
  </si>
  <si>
    <t>interventive</t>
  </si>
  <si>
    <t>The 1970s were highlighted by several successful comedy, fantasy, action and superhero-themed series for the network including Kung Fu, The Six Million Dollar Man, Wonder Woman, Starsky &amp; Hutch, Charlie's Angels, The Bionic Woman, Fantasy Island and Battlestar Galactica. Many of these series were greenlit by Silverman, who left ABC in 1978 to become president of NBC's entertainment division. The rousing success of Happy Days also led to a successful spin-off series, Laverne &amp; Shirley, which debuted in 1976. Charlie's Angels and Three's Company (which debuted in 1977) were two prime examples of a trend among the major networks during the 1970s known as "jiggle TV", featuring attractive, often buxom, women in main and guest roles.</t>
  </si>
  <si>
    <t>Sometimes the prosecution proposes a plea bargain to civil disobedients, as in the case of the Camden 28, in which the defendants were offered an opportunity to plead guilty to one misdemeanor count and receive no jail time. In some mass arrest situations, the activists decide to use solidarity tactics to secure the same plea bargain for everyone. But some activists have opted to enter a blind plea, pleading guilty without any plea agreement in place. Mohandas Gandhi pleaded guilty and told the court, "I am here to . . . submit cheerfully to the highest penalty that can be inflicted upon me for what in law is a deliberate crime and what appears to me to be the highest duty of a citizen."</t>
  </si>
  <si>
    <t>three to five</t>
  </si>
  <si>
    <t>The point at which different radiometric isotopes stop diffusing into and out of the crystal lattice is called what?</t>
  </si>
  <si>
    <t>roughly spherical</t>
  </si>
  <si>
    <t>parts of Europe that had smaller trade relations with their neighbours</t>
  </si>
  <si>
    <t>Who revolted in the Ispah Rebellion?</t>
  </si>
  <si>
    <t>Philo of Byzantium ____ surmised that air converted to fire</t>
  </si>
  <si>
    <t>How much did Westinghouse pay for Tesla's patents in order to escape its financial problems?</t>
  </si>
  <si>
    <t>Many important complexity classes can be defined by bounding the time or space used by the algorithm. Some important complexity classes of decision problems defined in this manner are the following:</t>
  </si>
  <si>
    <t>Agriculture</t>
  </si>
  <si>
    <t>Courts have distinguished between two types of civil disobedience: "Indirect civil disobedience involves violating a law which is not, itself, the object of protest, whereas direct civil disobedience involves protesting the existence of a particular law by breaking that law." During the Vietnam War, courts typically refused to excuse the perpetrators of illegal protests from punishment on the basis of their challenging the legality of the Vietnam War; the courts ruled it was a political question. The necessity defense has sometimes been used as a shadow defense by civil disobedients to deny guilt without denouncing their politically motivated acts, and to present their political beliefs in the courtroom. However, court cases such as U.S. v. Schoon have greatly curtailed the availability of the political necessity defense. Likewise, when Carter Wentworth was charged for his role in the Clamshell Alliance's 1977 illegal occupation of the Seabrook Station Nuclear Power Plant, the judge instructed the jury to disregard his competing harms defense, and he was found guilty. Fully Informed Jury Association activists have sometimes handed out educational leaflets inside courthouses despite admonitions not to; according to FIJA, many of them have escaped prosecution because "prosecutors have reasoned (correctly) that if they arrest fully informed jury leafleters, the leaflets will have to be given to the leafleter's own jury as evidence."</t>
  </si>
  <si>
    <t>girls and women</t>
  </si>
  <si>
    <t>system to function</t>
  </si>
  <si>
    <t>unified front in trade and negotiations with various Indians</t>
  </si>
  <si>
    <t>floor</t>
  </si>
  <si>
    <t>conservation of mechanical energy</t>
  </si>
  <si>
    <t>granted the Protestants equality with Catholics under the throne and a degree of religious and political freedom within their domains</t>
  </si>
  <si>
    <t>Before the return of the collections after the war, the Britain Can Make It exhibition was held between September and November 1946, attracting nearly a million and a half visitors. This was organised by the Council of Industrial Design established by the British government in 1944 "to promote by all practicable means the improvement of design in the products of British industry". The success of this exhibition led to the planning of the Festival of Britain (1951). By 1948 most of the collections had been returned to the museum.</t>
  </si>
  <si>
    <t>sometime during their educational career.</t>
  </si>
  <si>
    <t>magnetic</t>
  </si>
  <si>
    <t>neuronal dendrites</t>
  </si>
  <si>
    <t>Aboriginal</t>
  </si>
  <si>
    <t>The Tower District is centered around which historic theatre?</t>
  </si>
  <si>
    <t>sedimentary</t>
  </si>
  <si>
    <t>Sports Night</t>
  </si>
  <si>
    <t>What type of immune cells help to destroy abnormal cells in tumors?</t>
  </si>
  <si>
    <t>While studying law and philosophy in England and Germany, Iqbal became a member of the London branch of the All India Muslim League. He came back to Lahore in 1908. While dividing his time between law practice and philosophical poetry, Iqbal had remained active in the Muslim League. He did not support Indian involvement in World War I and remained in close touch with Muslim political leaders such as Muhammad Ali Johar and Muhammad Ali Jinnah. He was a critic of the mainstream Indian nationalist and secularist Indian National Congress. Iqbal's seven English lectures were published by Oxford University press in 1934 in a book titled The Reconstruction of Religious Thought in Islam. These lectures dwell on the role of Islam as a religion as well as a political and legal philosophy in the modern age.</t>
  </si>
  <si>
    <t xml:space="preserve">What did Tymnet connect </t>
  </si>
  <si>
    <t>patients' prescriptions and patient safety issues</t>
  </si>
  <si>
    <t>Frontiers from between Nova Scotia and Acadia in the north, to the Ohio Country in the south, were claimed by both sides.</t>
  </si>
  <si>
    <t>When was Luther's last sermon?</t>
  </si>
  <si>
    <t>What does the TARDIS look like?</t>
  </si>
  <si>
    <t>How many hundred of years was Scotland directly governed by the parliament of Great Britain?</t>
  </si>
  <si>
    <t>phlogiston theory</t>
  </si>
  <si>
    <t>What class of ships is an example of large passenger liners?</t>
  </si>
  <si>
    <t>Tracy Wolfson and Evan Washburn</t>
  </si>
  <si>
    <t>Of what nationality was Martin Luther?</t>
  </si>
  <si>
    <t>natural ecosystem</t>
  </si>
  <si>
    <t>its supporters</t>
  </si>
  <si>
    <t>Why the narrow part of St. John's River called Cowford?</t>
  </si>
  <si>
    <t>recant</t>
  </si>
  <si>
    <t>AppleTalk was a proprietary suite of networking protocols developed by Apple Inc. in 1985 for Apple Macintosh computers. It was the primary protocol used by Apple devices through the 1980s and 90s. AppleTalk included features that allowed local area networks to be established ad hoc without the requirement for a centralized router or server. The AppleTalk system automatically assigned addresses, updated the distributed namespace, and configured any required inter-network routing. It was a plug-n-play system.</t>
  </si>
  <si>
    <t>the Kenya Certificate of Secondary Education</t>
  </si>
  <si>
    <t>“capability deprivation”</t>
  </si>
  <si>
    <t>$216,000</t>
  </si>
  <si>
    <t>Civil disobedience can occur when people speak about a certain topic that is deemed as?</t>
  </si>
  <si>
    <t>What are the three parchment-bound manuscripts of the Codex Forster called?</t>
  </si>
  <si>
    <t>What book was Iqbal's seven English lectures published as?</t>
  </si>
  <si>
    <t>those who feel that only doctors can reliably assess contraindications, risk/benefit ratios, and an individual's overall suitability for use of a medication</t>
  </si>
  <si>
    <t>bright red-orange carotenoid found in nearly all chloroplasts</t>
  </si>
  <si>
    <t>non-Mongol physicians</t>
  </si>
  <si>
    <t>What does high inequality go hand-in-hand with?</t>
  </si>
  <si>
    <t>Apollo_program</t>
  </si>
  <si>
    <t>In the fall of 1937</t>
  </si>
  <si>
    <t>How do centripetal forces act in relation to vectors of velocity?</t>
  </si>
  <si>
    <t>increase in tea drinking</t>
  </si>
  <si>
    <t>According to the text, how much money did the Host Committee raise?</t>
  </si>
  <si>
    <t>identifying rocks</t>
  </si>
  <si>
    <t>What was Tesla likely to do with his work?</t>
  </si>
  <si>
    <t>mortar and pestle and the ℞ (recipere) character</t>
  </si>
  <si>
    <t>reflects the desire to encourage consensus amongst elected members</t>
  </si>
  <si>
    <t>commutator</t>
  </si>
  <si>
    <t>nuclear</t>
  </si>
  <si>
    <t>It has been argued that the term "civil disobedience" has always suffered from ambiguity and in modern times, become utterly debased. Marshall Cohen notes, "It has been used to describe everything from bringing a test-case in the federal courts to taking aim at a federal official. Indeed, for Vice President Agnew it has become a code-word describing the activities of muggers, arsonists, draft evaders, campaign hecklers, campus militants, anti-war demonstrators, juvenile delinquents and political assassins."</t>
  </si>
  <si>
    <t>initiate legislation against the Commission's wishes</t>
  </si>
  <si>
    <t>How much do ctenophore eat in a day?</t>
  </si>
  <si>
    <t>In the U.S. federal health care system (including the VA, the Indian Health Service, and NIH) ambulatory care pharmacists are given full independent prescribing authority. In some states such North Carolina and New Mexico these pharmacist clinicians are given collaborative prescriptive and diagnostic authority. In 2011 the board of Pharmaceutical Specialties approved ambulatory care pharmacy practice as a separate board certification. The official designation for pharmacists who pass the ambulatory care pharmacy specialty certification exam will be Board Certified Ambulatory Care Pharmacist and these pharmacists will carry the initials BCACP.</t>
  </si>
  <si>
    <t>online pharmacies</t>
  </si>
  <si>
    <t>The area of the modern city of Jacksonville has been inhabited for thousands of years. On Black Hammock Island in the national Timucuan Ecological and Historic Preserve, a University of North Florida team discovered some of the oldest remnants of pottery in the United States, dating to 2500 BC. In the 16th century, the beginning of the historical era, the region was inhabited by the Mocama, a coastal subgroup of the Timucua people. At the time of contact with Europeans, all Mocama villages in present-day Jacksonville were part of the powerful chiefdom known as the Saturiwa, centered around the mouth of the St. Johns River. One early map shows a village called Ossachite at the site of what is now downtown Jacksonville; this may be the earliest recorded name for that area.</t>
  </si>
  <si>
    <t>radius</t>
  </si>
  <si>
    <t>in regard to indulgences for the dead</t>
  </si>
  <si>
    <t>Roughly how many clubs are ran at the university?</t>
  </si>
  <si>
    <t>time and space</t>
  </si>
  <si>
    <t>Lexus</t>
  </si>
  <si>
    <t>1976–77 season</t>
  </si>
  <si>
    <t>What field of computer science is primarily concerned with determining the likelihood of whether or not a problem can ultimately be solved using algorithms?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</si>
</sst>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color theme="1"/>
      <name val="Calibri"/>
      <scheme val="minor"/>
    </font>
    <font>
      <color theme="1"/>
      <name val="Calibri"/>
      <scheme val="minor"/>
    </font>
    <font>
      <u/>
      <color rgb="FF0000FF"/>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s>
  <sheetData>
    <row r="1">
      <c r="A1" s="1" t="s">
        <v>0</v>
      </c>
      <c r="B1" s="1" t="s">
        <v>1</v>
      </c>
    </row>
    <row r="2">
      <c r="A2" s="2" t="s">
        <v>2</v>
      </c>
      <c r="B2" s="2" t="str">
        <f>IFERROR(__xludf.DUMMYFUNCTION("GOOGLETRANSLATE(A2, ""en"", ""mt"")"),"Liema lingwa tintuża fi skejjel sekondarji Ċiniżi fil-Malasja?")</f>
        <v>Liema lingwa tintuża fi skejjel sekondarji Ċiniżi fil-Malasja?</v>
      </c>
    </row>
    <row r="3">
      <c r="A3" s="2" t="s">
        <v>3</v>
      </c>
      <c r="B3" s="2" t="str">
        <f>IFERROR(__xludf.DUMMYFUNCTION("GOOGLETRANSLATE(A3, ""en"", ""mt"")"),"Xi jfisser it-temperaturi medji fis-sajf?")</f>
        <v>Xi jfisser it-temperaturi medji fis-sajf?</v>
      </c>
    </row>
    <row r="4">
      <c r="A4" s="2" t="s">
        <v>4</v>
      </c>
      <c r="B4" s="2" t="str">
        <f>IFERROR(__xludf.DUMMYFUNCTION("GOOGLETRANSLATE(A4, ""en"", ""mt"")"),"Min sfrutta l-Gran Brittanja fl-Indja?")</f>
        <v>Min sfrutta l-Gran Brittanja fl-Indja?</v>
      </c>
    </row>
    <row r="5">
      <c r="A5" s="2" t="s">
        <v>5</v>
      </c>
      <c r="B5" s="2" t="str">
        <f>IFERROR(__xludf.DUMMYFUNCTION("GOOGLETRANSLATE(A5, ""en"", ""mt"")"),"Mill-Eocene 'l hawn, l-orogenija Alpina li għaddejja kkawżat sistema ta' Rift N-S biex tiżviluppa f'din iż-żona. L-elementi ewlenin ta 'din il-qasma huma l-Upper Rhine Graben, fil-Lbiċ tal-Ġermanja u l-Lvant ta' Franza u l-imbarazz ta 'Lower Rhine, fil-ma"&amp;"jjistral tal-Ġermanja u l-Olanda tax-Xlokk. Saż-żmien tal-Miocene, sistema ta 'xmajjar kienet żviluppat fil-parti ta' fuq tar-Renu, li kompliet lejn it-tramuntana u hija meqjusa bħala l-ewwel xmara Rhine. Dak iż-żmien, huwa għadu ma wettaqx kwittanza mill"&amp;"-Alpi; Minflok, il-friskaturi tal-ilma tar-Rhone u d-Danubju ixxotta l-ġnub tat-tramuntana tal-Alpi.")</f>
        <v>Mill-Eocene 'l hawn, l-orogenija Alpina li għaddejja kkawżat sistema ta' Rift N-S biex tiżviluppa f'din iż-żona. L-elementi ewlenin ta 'din il-qasma huma l-Upper Rhine Graben, fil-Lbiċ tal-Ġermanja u l-Lvant ta' Franza u l-imbarazz ta 'Lower Rhine, fil-majjistral tal-Ġermanja u l-Olanda tax-Xlokk. Saż-żmien tal-Miocene, sistema ta 'xmajjar kienet żviluppat fil-parti ta' fuq tar-Renu, li kompliet lejn it-tramuntana u hija meqjusa bħala l-ewwel xmara Rhine. Dak iż-żmien, huwa għadu ma wettaqx kwittanza mill-Alpi; Minflok, il-friskaturi tal-ilma tar-Rhone u d-Danubju ixxotta l-ġnub tat-tramuntana tal-Alpi.</v>
      </c>
    </row>
    <row r="6">
      <c r="A6" s="2" t="s">
        <v>6</v>
      </c>
      <c r="B6" s="2" t="str">
        <f>IFERROR(__xludf.DUMMYFUNCTION("GOOGLETRANSLATE(A6, ""en"", ""mt"")"),"Invaginazzjonijiet li jiffurmaw kannizzata ta 'tubi fl-istoma tagħhom")</f>
        <v>Invaginazzjonijiet li jiffurmaw kannizzata ta 'tubi fl-istoma tagħhom</v>
      </c>
    </row>
    <row r="7">
      <c r="A7" s="2" t="s">
        <v>7</v>
      </c>
      <c r="B7" s="2" t="str">
        <f>IFERROR(__xludf.DUMMYFUNCTION("GOOGLETRANSLATE(A7, ""en"", ""mt"")"),"Ħsarat ta 'Puente Hills")</f>
        <v>Ħsarat ta 'Puente Hills</v>
      </c>
    </row>
    <row r="8">
      <c r="A8" s="2" t="s">
        <v>8</v>
      </c>
      <c r="B8" s="2" t="str">
        <f>IFERROR(__xludf.DUMMYFUNCTION("GOOGLETRANSLATE(A8, ""en"", ""mt"")"),"L-algoritmi kollha possibbli")</f>
        <v>L-algoritmi kollha possibbli</v>
      </c>
    </row>
    <row r="9">
      <c r="A9" s="2" t="s">
        <v>9</v>
      </c>
      <c r="B9" s="2" t="str">
        <f>IFERROR(__xludf.DUMMYFUNCTION("GOOGLETRANSLATE(A9, ""en"", ""mt"")"),"Somma ta 'diviżuri")</f>
        <v>Somma ta 'diviżuri</v>
      </c>
    </row>
    <row r="10">
      <c r="A10" s="2" t="s">
        <v>10</v>
      </c>
      <c r="B10" s="2" t="str">
        <f>IFERROR(__xludf.DUMMYFUNCTION("GOOGLETRANSLATE(A10, ""en"", ""mt"")"),"Id-diżubbidjenza ċivili hija ġeneralment definita bħala li għandha x'taqsam mar-relazzjoni ta 'ċittadin mal-istat u l-liġijiet tiegħu, kif distint minn impass kostituzzjonali li fih żewġ aġenziji pubbliċi, speċjalment żewġ fergħat ugwalment sovrani tal-gv"&amp;"ern, kunflitt. Pereżempju, jekk il-kap tal-gvern ta 'pajjiż kien jirrifjuta li jinforza deċiżjoni ta' l-ogħla qorti ta 'dak il-pajjiż, ma tkunx diżubbidjenza ċivili, peress li l-kap tal-gvern ikun qed jaġixxi fil-kapaċità tagħha jew tiegħu bħala uffiċjal "&amp;"pubbliku aktar milli privat ċittadin.")</f>
        <v>Id-diżubbidjenza ċivili hija ġeneralment definita bħala li għandha x'taqsam mar-relazzjoni ta 'ċittadin mal-istat u l-liġijiet tiegħu, kif distint minn impass kostituzzjonali li fih żewġ aġenziji pubbliċi, speċjalment żewġ fergħat ugwalment sovrani tal-gvern, kunflitt. Pereżempju, jekk il-kap tal-gvern ta 'pajjiż kien jirrifjuta li jinforza deċiżjoni ta' l-ogħla qorti ta 'dak il-pajjiż, ma tkunx diżubbidjenza ċivili, peress li l-kap tal-gvern ikun qed jaġixxi fil-kapaċità tagħha jew tiegħu bħala uffiċjal pubbliku aktar milli privat ċittadin.</v>
      </c>
    </row>
    <row r="11">
      <c r="A11" s="2" t="s">
        <v>11</v>
      </c>
      <c r="B11" s="2" t="str">
        <f>IFERROR(__xludf.DUMMYFUNCTION("GOOGLETRANSLATE(A11, ""en"", ""mt"")"),"Negozjanti u Negozjanti ta 'Hamburg")</f>
        <v>Negozjanti u Negozjanti ta 'Hamburg</v>
      </c>
    </row>
    <row r="12">
      <c r="A12" s="2" t="s">
        <v>12</v>
      </c>
      <c r="B12" s="2" t="str">
        <f>IFERROR(__xludf.DUMMYFUNCTION("GOOGLETRANSLATE(A12, ""en"", ""mt"")"),"X’ħeġġeġ il-kummerċ taħt il-wan?")</f>
        <v>X’ħeġġeġ il-kummerċ taħt il-wan?</v>
      </c>
    </row>
    <row r="13">
      <c r="A13" s="2" t="s">
        <v>13</v>
      </c>
      <c r="B13" s="2" t="str">
        <f>IFERROR(__xludf.DUMMYFUNCTION("GOOGLETRANSLATE(A13, ""en"", ""mt"")"),"Klassifikazzjoni Industrijali Standard")</f>
        <v>Klassifikazzjoni Industrijali Standard</v>
      </c>
    </row>
    <row r="14">
      <c r="A14" s="2" t="s">
        <v>14</v>
      </c>
      <c r="B14" s="2" t="str">
        <f>IFERROR(__xludf.DUMMYFUNCTION("GOOGLETRANSLATE(A14, ""en"", ""mt"")"),"356 ± 47 tunnellata")</f>
        <v>356 ± 47 tunnellata</v>
      </c>
    </row>
    <row r="15">
      <c r="A15" s="2" t="s">
        <v>15</v>
      </c>
      <c r="B15" s="2" t="str">
        <f>IFERROR(__xludf.DUMMYFUNCTION("GOOGLETRANSLATE(A15, ""en"", ""mt"")"),"Norman Mercenary")</f>
        <v>Norman Mercenary</v>
      </c>
    </row>
    <row r="16">
      <c r="A16" s="2" t="s">
        <v>16</v>
      </c>
      <c r="B16" s="2" t="str">
        <f>IFERROR(__xludf.DUMMYFUNCTION("GOOGLETRANSLATE(A16, ""en"", ""mt"")"),"Lega tas-Swabi")</f>
        <v>Lega tas-Swabi</v>
      </c>
    </row>
    <row r="17">
      <c r="A17" s="2" t="s">
        <v>17</v>
      </c>
      <c r="B17" s="2" t="str">
        <f>IFERROR(__xludf.DUMMYFUNCTION("GOOGLETRANSLATE(A17, ""en"", ""mt"")"),"Skond Luther dak li jiġġustina?")</f>
        <v>Skond Luther dak li jiġġustina?</v>
      </c>
    </row>
    <row r="18">
      <c r="A18" s="2" t="s">
        <v>18</v>
      </c>
      <c r="B18" s="2" t="str">
        <f>IFERROR(__xludf.DUMMYFUNCTION("GOOGLETRANSLATE(A18, ""en"", ""mt"")"),"Min jagħżel il-membri tal-Parlament Ewropew?")</f>
        <v>Min jagħżel il-membri tal-Parlament Ewropew?</v>
      </c>
    </row>
    <row r="19">
      <c r="A19" s="2" t="s">
        <v>19</v>
      </c>
      <c r="B19" s="2" t="str">
        <f>IFERROR(__xludf.DUMMYFUNCTION("GOOGLETRANSLATE(A19, ""en"", ""mt"")"),"X’għamel il-President Kennedy bi tweġiba għat-titjira Sovjetika fir-rigward tal-programm tal-Amerika?")</f>
        <v>X’għamel il-President Kennedy bi tweġiba għat-titjira Sovjetika fir-rigward tal-programm tal-Amerika?</v>
      </c>
    </row>
    <row r="20">
      <c r="A20" s="2" t="s">
        <v>20</v>
      </c>
      <c r="B20" s="2" t="str">
        <f>IFERROR(__xludf.DUMMYFUNCTION("GOOGLETRANSLATE(A20, ""en"", ""mt"")"),"Avvanzi fit-Teknoloġija tal-Istampar 3D")</f>
        <v>Avvanzi fit-Teknoloġija tal-Istampar 3D</v>
      </c>
    </row>
    <row r="21" ht="15.75" customHeight="1">
      <c r="A21" s="2" t="s">
        <v>21</v>
      </c>
      <c r="B21" s="2" t="str">
        <f>IFERROR(__xludf.DUMMYFUNCTION("GOOGLETRANSLATE(A21, ""en"", ""mt"")"),"Meta fetħet l-Operazzjoni Anvil?")</f>
        <v>Meta fetħet l-Operazzjoni Anvil?</v>
      </c>
    </row>
    <row r="22" ht="15.75" customHeight="1">
      <c r="A22" s="2" t="s">
        <v>22</v>
      </c>
      <c r="B22" s="2" t="str">
        <f>IFERROR(__xludf.DUMMYFUNCTION("GOOGLETRANSLATE(A22, ""en"", ""mt"")"),"Minbarra d-downtown ta 'San Bernardino, u l-belt universitarja, x'inhu l-isem ta' distrett ta 'negozju ieħor fiż-żona ta' San Bernardino-Riverside?")</f>
        <v>Minbarra d-downtown ta 'San Bernardino, u l-belt universitarja, x'inhu l-isem ta' distrett ta 'negozju ieħor fiż-żona ta' San Bernardino-Riverside?</v>
      </c>
    </row>
    <row r="23" ht="15.75" customHeight="1">
      <c r="A23" s="2" t="s">
        <v>23</v>
      </c>
      <c r="B23" s="2" t="str">
        <f>IFERROR(__xludf.DUMMYFUNCTION("GOOGLETRANSLATE(A23, ""en"", ""mt"")"),"X'jiġri meta l-kapaċitajiet ta 'persuna Aer naqqsu, kif għandu x'jaqsam mad-dħul tagħha?")</f>
        <v>X'jiġri meta l-kapaċitajiet ta 'persuna Aer naqqsu, kif għandu x'jaqsam mad-dħul tagħha?</v>
      </c>
    </row>
    <row r="24" ht="15.75" customHeight="1">
      <c r="A24" s="2" t="s">
        <v>24</v>
      </c>
      <c r="B24" s="2" t="str">
        <f>IFERROR(__xludf.DUMMYFUNCTION("GOOGLETRANSLATE(A24, ""en"", ""mt"")"),"Fuq xiex kien jiddependi n-numru ta 'leġjuni fi żminijiet Rumani?")</f>
        <v>Fuq xiex kien jiddependi n-numru ta 'leġjuni fi żminijiet Rumani?</v>
      </c>
    </row>
    <row r="25" ht="15.75" customHeight="1">
      <c r="A25" s="2" t="s">
        <v>25</v>
      </c>
      <c r="B25" s="2" t="str">
        <f>IFERROR(__xludf.DUMMYFUNCTION("GOOGLETRANSLATE(A25, ""en"", ""mt"")"),"In-Nofsinhar ta ’California hija d-dar għal bosta distretti kummerċjali ewlenin. Distretti tan-Negozju Ċentrali (CBD) jinkludu downtown ta ’Los Angeles, Downtown San Diego, Downtown San Bernardino, Downtown Bakersfield, South Coast Metro u Downtown Rivers"&amp;"ide.")</f>
        <v>In-Nofsinhar ta ’California hija d-dar għal bosta distretti kummerċjali ewlenin. Distretti tan-Negozju Ċentrali (CBD) jinkludu downtown ta ’Los Angeles, Downtown San Diego, Downtown San Bernardino, Downtown Bakersfield, South Coast Metro u Downtown Riverside.</v>
      </c>
    </row>
    <row r="26" ht="15.75" customHeight="1">
      <c r="A26" s="2" t="s">
        <v>26</v>
      </c>
      <c r="B26" s="2" t="str">
        <f>IFERROR(__xludf.DUMMYFUNCTION("GOOGLETRANSLATE(A26, ""en"", ""mt"")"),"It-tentakli twal fuq il-Pleurbrachia huma protetti minn liema?")</f>
        <v>It-tentakli twal fuq il-Pleurbrachia huma protetti minn liema?</v>
      </c>
    </row>
    <row r="27" ht="15.75" customHeight="1">
      <c r="A27" s="2" t="s">
        <v>27</v>
      </c>
      <c r="B27" s="2" t="str">
        <f>IFERROR(__xludf.DUMMYFUNCTION("GOOGLETRANSLATE(A27, ""en"", ""mt"")"),"Xi diżubbidjenti ċivili jħossu li huwa fuqhom li jaċċettaw il-kastig minħabba t-twemmin tagħhom fil-validità tal-kuntratt soċjali, li huwa miżmum biex jorbot il-liġijiet kollha li gvern li jilħaq ċerti standards tal-leġittimità stabbilixxa, jew inkella js"&amp;"ofru l-penali Imniżżel fil-liġi. Dubbidjenti ċivili oħra li jiffavorixxu l-eżistenza tal-gvern għadhom ma jemmnux fil-leġittimità tal-gvern partikolari tagħhom, jew ma jemmnux fil-leġittimità ta 'liġi partikolari li tkun adottat. U għadhom diżubbidjenti ċ"&amp;"ivili oħra, li huma anarkisti, ma jemmnux fil-leġittimità ta 'xi gvern, u għalhekk ma tara l-ebda ħtieġa li taċċetta kastig għal ksur tal-liġi kriminali li ma tikserx id-drittijiet ta' ħaddieħor.")</f>
        <v>Xi diżubbidjenti ċivili jħossu li huwa fuqhom li jaċċettaw il-kastig minħabba t-twemmin tagħhom fil-validità tal-kuntratt soċjali, li huwa miżmum biex jorbot il-liġijiet kollha li gvern li jilħaq ċerti standards tal-leġittimità stabbilixxa, jew inkella jsofru l-penali Imniżżel fil-liġi. Dubbidjenti ċivili oħra li jiffavorixxu l-eżistenza tal-gvern għadhom ma jemmnux fil-leġittimità tal-gvern partikolari tagħhom, jew ma jemmnux fil-leġittimità ta 'liġi partikolari li tkun adottat. U għadhom diżubbidjenti ċivili oħra, li huma anarkisti, ma jemmnux fil-leġittimità ta 'xi gvern, u għalhekk ma tara l-ebda ħtieġa li taċċetta kastig għal ksur tal-liġi kriminali li ma tikserx id-drittijiet ta' ħaddieħor.</v>
      </c>
    </row>
    <row r="28" ht="15.75" customHeight="1">
      <c r="A28" s="2" t="s">
        <v>28</v>
      </c>
      <c r="B28" s="2" t="str">
        <f>IFERROR(__xludf.DUMMYFUNCTION("GOOGLETRANSLATE(A28, ""en"", ""mt"")"),"Ftuħ tard bil-lejl")</f>
        <v>Ftuħ tard bil-lejl</v>
      </c>
    </row>
    <row r="29" ht="15.75" customHeight="1">
      <c r="A29" s="2" t="s">
        <v>29</v>
      </c>
      <c r="B29" s="2" t="str">
        <f>IFERROR(__xludf.DUMMYFUNCTION("GOOGLETRANSLATE(A29, ""en"", ""mt"")"),"Rebeljoni Iżlamika")</f>
        <v>Rebeljoni Iżlamika</v>
      </c>
    </row>
    <row r="30" ht="15.75" customHeight="1">
      <c r="A30" s="2" t="s">
        <v>30</v>
      </c>
      <c r="B30" s="2" t="str">
        <f>IFERROR(__xludf.DUMMYFUNCTION("GOOGLETRANSLATE(A30, ""en"", ""mt"")"),"Spanja")</f>
        <v>Spanja</v>
      </c>
    </row>
    <row r="31" ht="15.75" customHeight="1">
      <c r="A31" s="2" t="s">
        <v>31</v>
      </c>
      <c r="B31" s="2" t="str">
        <f>IFERROR(__xludf.DUMMYFUNCTION("GOOGLETRANSLATE(A31, ""en"", ""mt"")"),"Erġa 'jġib il-kitbiet tiegħu")</f>
        <v>Erġa 'jġib il-kitbiet tiegħu</v>
      </c>
    </row>
    <row r="32" ht="15.75" customHeight="1">
      <c r="A32" s="2" t="s">
        <v>32</v>
      </c>
      <c r="B32" s="2" t="str">
        <f>IFERROR(__xludf.DUMMYFUNCTION("GOOGLETRANSLATE(A32, ""en"", ""mt"")"),"Mhux sorpriż, ir-rebħa tal-Mujahideen kontra s-Sovjetiċi fis-snin 80 naqset milli tipproduċi xiex?")</f>
        <v>Mhux sorpriż, ir-rebħa tal-Mujahideen kontra s-Sovjetiċi fis-snin 80 naqset milli tipproduċi xiex?</v>
      </c>
    </row>
    <row r="33" ht="15.75" customHeight="1">
      <c r="A33" s="2" t="s">
        <v>33</v>
      </c>
      <c r="B33" s="2" t="str">
        <f>IFERROR(__xludf.DUMMYFUNCTION("GOOGLETRANSLATE(A33, ""en"", ""mt"")"),"Kemm ivarjaw stimi tal-popolazzjoni matul il-pesta?")</f>
        <v>Kemm ivarjaw stimi tal-popolazzjoni matul il-pesta?</v>
      </c>
    </row>
    <row r="34" ht="15.75" customHeight="1">
      <c r="A34" s="2" t="s">
        <v>34</v>
      </c>
      <c r="B34" s="2" t="str">
        <f>IFERROR(__xludf.DUMMYFUNCTION("GOOGLETRANSLATE(A34, ""en"", ""mt"")"),"Il-Lega Musulmana kollha tal-Indja")</f>
        <v>Il-Lega Musulmana kollha tal-Indja</v>
      </c>
    </row>
    <row r="35" ht="15.75" customHeight="1">
      <c r="A35" s="2" t="s">
        <v>35</v>
      </c>
      <c r="B35" s="2" t="str">
        <f>IFERROR(__xludf.DUMMYFUNCTION("GOOGLETRANSLATE(A35, ""en"", ""mt"")"),"X'kienu l-oriġini tal-familja Raouliii?")</f>
        <v>X'kienu l-oriġini tal-familja Raouliii?</v>
      </c>
    </row>
    <row r="36" ht="15.75" customHeight="1">
      <c r="A36" s="2" t="s">
        <v>36</v>
      </c>
      <c r="B36" s="2" t="str">
        <f>IFERROR(__xludf.DUMMYFUNCTION("GOOGLETRANSLATE(A36, ""en"", ""mt"")"),"Spearhead mill-ispazju")</f>
        <v>Spearhead mill-ispazju</v>
      </c>
    </row>
    <row r="37" ht="15.75" customHeight="1">
      <c r="A37" s="2" t="s">
        <v>37</v>
      </c>
      <c r="B37" s="2" t="str">
        <f>IFERROR(__xludf.DUMMYFUNCTION("GOOGLETRANSLATE(A37, ""en"", ""mt"")"),"Liema dar kienet is-sit ta 'skola tal-insiġ f'Canterbury?")</f>
        <v>Liema dar kienet is-sit ta 'skola tal-insiġ f'Canterbury?</v>
      </c>
    </row>
    <row r="38" ht="15.75" customHeight="1">
      <c r="A38" s="2" t="s">
        <v>38</v>
      </c>
      <c r="B38" s="2" t="str">
        <f>IFERROR(__xludf.DUMMYFUNCTION("GOOGLETRANSLATE(A38, ""en"", ""mt"")"),"$ 680 biljun")</f>
        <v>$ 680 biljun</v>
      </c>
    </row>
    <row r="39" ht="15.75" customHeight="1">
      <c r="A39" s="2" t="s">
        <v>39</v>
      </c>
      <c r="B39" s="2" t="str">
        <f>IFERROR(__xludf.DUMMYFUNCTION("GOOGLETRANSLATE(A39, ""en"", ""mt"")"),"innovazzjonijiet politiċi")</f>
        <v>innovazzjonijiet politiċi</v>
      </c>
    </row>
    <row r="40" ht="15.75" customHeight="1">
      <c r="A40" s="2" t="s">
        <v>40</v>
      </c>
      <c r="B40" s="2" t="str">
        <f>IFERROR(__xludf.DUMMYFUNCTION("GOOGLETRANSLATE(A40, ""en"", ""mt"")"),"Uragan Dora")</f>
        <v>Uragan Dora</v>
      </c>
    </row>
    <row r="41" ht="15.75" customHeight="1">
      <c r="A41" s="2" t="s">
        <v>41</v>
      </c>
      <c r="B41" s="2" t="str">
        <f>IFERROR(__xludf.DUMMYFUNCTION("GOOGLETRANSLATE(A41, ""en"", ""mt"")"),"Kemm hemm skejjel iffinanzjati mill-LEA 11 sa 18-il skola fi Newcastle?")</f>
        <v>Kemm hemm skejjel iffinanzjati mill-LEA 11 sa 18-il skola fi Newcastle?</v>
      </c>
    </row>
    <row r="42" ht="15.75" customHeight="1">
      <c r="A42" s="2" t="s">
        <v>42</v>
      </c>
      <c r="B42" s="2" t="str">
        <f>IFERROR(__xludf.DUMMYFUNCTION("GOOGLETRANSLATE(A42, ""en"", ""mt"")"),"Minbarra d-distrett tan-negozju ċentrali ewlieni tiegħu, fejn jinsabu l-maġġoranza tad-distretti tan-negozju ta 'San Diego?")</f>
        <v>Minbarra d-distrett tan-negozju ċentrali ewlieni tiegħu, fejn jinsabu l-maġġoranza tad-distretti tan-negozju ta 'San Diego?</v>
      </c>
    </row>
    <row r="43" ht="15.75" customHeight="1">
      <c r="A43" s="2" t="s">
        <v>43</v>
      </c>
      <c r="B43" s="2" t="str">
        <f>IFERROR(__xludf.DUMMYFUNCTION("GOOGLETRANSLATE(A43, ""en"", ""mt"")"),"rikurrenti")</f>
        <v>rikurrenti</v>
      </c>
    </row>
    <row r="44" ht="15.75" customHeight="1">
      <c r="A44" s="2" t="s">
        <v>44</v>
      </c>
      <c r="B44" s="2" t="str">
        <f>IFERROR(__xludf.DUMMYFUNCTION("GOOGLETRANSLATE(A44, ""en"", ""mt"")"),"Madankollu, fl-1883–84 il-Ġermanja bdiet tibni imperu kolonjali fl-Afrika u fil-Paċifiku t'Isfel, qabel ma tilfet l-interess fl-imperjalizmu. L-istoriċi ddiskutew eżattament għaliex il-Ġermanja għamlet din il-mossa f'daqqa u b'ħajja qasira. [Verifika meħt"&amp;"ieġa] Bismarck kienet konxja li l-opinjoni pubblika kienet bdiet titlob kolonji għal raġunijiet ta 'prestiġju Ġermaniż. Huwa kien influwenzat minn negozjanti u negozjanti ta 'Hamburg, il-ġirien tiegħu fi Friedrichsruh. It-twaqqif tal-Imperu Kolonjali Ġerm"&amp;"aniż ipproċeda bla xkiel, u beda bil-Guinea Ġermaniża Ġermaniża fl-1884.")</f>
        <v>Madankollu, fl-1883–84 il-Ġermanja bdiet tibni imperu kolonjali fl-Afrika u fil-Paċifiku t'Isfel, qabel ma tilfet l-interess fl-imperjalizmu. L-istoriċi ddiskutew eżattament għaliex il-Ġermanja għamlet din il-mossa f'daqqa u b'ħajja qasira. [Verifika meħtieġa] Bismarck kienet konxja li l-opinjoni pubblika kienet bdiet titlob kolonji għal raġunijiet ta 'prestiġju Ġermaniż. Huwa kien influwenzat minn negozjanti u negozjanti ta 'Hamburg, il-ġirien tiegħu fi Friedrichsruh. It-twaqqif tal-Imperu Kolonjali Ġermaniż ipproċeda bla xkiel, u beda bil-Guinea Ġermaniża Ġermaniża fl-1884.</v>
      </c>
    </row>
    <row r="45" ht="15.75" customHeight="1">
      <c r="A45" s="2" t="s">
        <v>45</v>
      </c>
      <c r="B45" s="2" t="str">
        <f>IFERROR(__xludf.DUMMYFUNCTION("GOOGLETRANSLATE(A45, ""en"", ""mt"")"),"numru Prim")</f>
        <v>numru Prim</v>
      </c>
    </row>
    <row r="46" ht="15.75" customHeight="1">
      <c r="A46" s="2" t="s">
        <v>46</v>
      </c>
      <c r="B46" s="2" t="str">
        <f>IFERROR(__xludf.DUMMYFUNCTION("GOOGLETRANSLATE(A46, ""en"", ""mt"")"),"postijiet fejn l-ilma jiswa ħafna")</f>
        <v>postijiet fejn l-ilma jiswa ħafna</v>
      </c>
    </row>
    <row r="47" ht="15.75" customHeight="1">
      <c r="A47" s="2" t="s">
        <v>47</v>
      </c>
      <c r="B47" s="2" t="str">
        <f>IFERROR(__xludf.DUMMYFUNCTION("GOOGLETRANSLATE(A47, ""en"", ""mt"")"),"Ix-xandir tal-WBAI ftit mill-kummiedja ta 'George Carlin eventwalment wassal għal xiex?")</f>
        <v>Ix-xandir tal-WBAI ftit mill-kummiedja ta 'George Carlin eventwalment wassal għal xiex?</v>
      </c>
    </row>
    <row r="48" ht="15.75" customHeight="1">
      <c r="A48" s="2" t="s">
        <v>48</v>
      </c>
      <c r="B48" s="2" t="str">
        <f>IFERROR(__xludf.DUMMYFUNCTION("GOOGLETRANSLATE(A48, ""en"", ""mt"")"),"F'liema proċess hemm bżonn l-assorbiment mill-ossiġnu?")</f>
        <v>F'liema proċess hemm bżonn l-assorbiment mill-ossiġnu?</v>
      </c>
    </row>
    <row r="49" ht="15.75" customHeight="1">
      <c r="A49" s="2" t="s">
        <v>49</v>
      </c>
      <c r="B49" s="2" t="str">
        <f>IFERROR(__xludf.DUMMYFUNCTION("GOOGLETRANSLATE(A49, ""en"", ""mt"")"),"Kunsill Metodist Dinji")</f>
        <v>Kunsill Metodist Dinji</v>
      </c>
    </row>
    <row r="50" ht="15.75" customHeight="1">
      <c r="A50" s="2" t="s">
        <v>50</v>
      </c>
      <c r="B50" s="2" t="str">
        <f>IFERROR(__xludf.DUMMYFUNCTION("GOOGLETRANSLATE(A50, ""en"", ""mt"")"),"Il-prinċipji ta 'l-imperjalizmu huma ta' spiss ġeneralizzati għall-politiki u l-prattiki ta 'l-Imperu Brittaniku ""matul l-aħħar ġenerazzjoni, u jipproċedu pjuttost b'dijanjosi milli b'deskrizzjoni storika"". L-imperjalizmu Brittaniku spiss uża l-kunċett "&amp;"ta 'terra nullius (espressjoni Latina li toħroġ mil-liġi Rumana li tfisser ""art vojta""). Il-pajjiż ta 'l-Awstralja jservi bħala studju ta' każ b'relazzjoni mal-ftehim Brittaniku u l-ħakma kolonjali tal-kontinent fis-seklu tmintax, kif kien ippremjat fuq"&amp;" Terra Nullius, u l-kolonizzaturi tiegħu qiesu li ma ntużawx mill-abitanti aboriġini skarsa tagħha.")</f>
        <v>Il-prinċipji ta 'l-imperjalizmu huma ta' spiss ġeneralizzati għall-politiki u l-prattiki ta 'l-Imperu Brittaniku "matul l-aħħar ġenerazzjoni, u jipproċedu pjuttost b'dijanjosi milli b'deskrizzjoni storika". L-imperjalizmu Brittaniku spiss uża l-kunċett ta 'terra nullius (espressjoni Latina li toħroġ mil-liġi Rumana li tfisser "art vojta"). Il-pajjiż ta 'l-Awstralja jservi bħala studju ta' każ b'relazzjoni mal-ftehim Brittaniku u l-ħakma kolonjali tal-kontinent fis-seklu tmintax, kif kien ippremjat fuq Terra Nullius, u l-kolonizzaturi tiegħu qiesu li ma ntużawx mill-abitanti aboriġini skarsa tagħha.</v>
      </c>
    </row>
    <row r="51" ht="15.75" customHeight="1">
      <c r="A51" s="2" t="s">
        <v>51</v>
      </c>
      <c r="B51" s="2" t="str">
        <f>IFERROR(__xludf.DUMMYFUNCTION("GOOGLETRANSLATE(A51, ""en"", ""mt"")"),"jittrattaw il-preskrizzjonijiet tal-pazjenti u l-problemi ta 'sigurtà tal-pazjent")</f>
        <v>jittrattaw il-preskrizzjonijiet tal-pazjenti u l-problemi ta 'sigurtà tal-pazjent</v>
      </c>
    </row>
    <row r="52" ht="15.75" customHeight="1">
      <c r="A52" s="2" t="s">
        <v>52</v>
      </c>
      <c r="B52" s="2" t="str">
        <f>IFERROR(__xludf.DUMMYFUNCTION("GOOGLETRANSLATE(A52, ""en"", ""mt"")"),"Xi jagħmlu xi spiżeriji tal-komunità?")</f>
        <v>Xi jagħmlu xi spiżeriji tal-komunità?</v>
      </c>
    </row>
    <row r="53" ht="15.75" customHeight="1">
      <c r="A53" s="2" t="s">
        <v>53</v>
      </c>
      <c r="B53" s="2" t="str">
        <f>IFERROR(__xludf.DUMMYFUNCTION("GOOGLETRANSLATE(A53, ""en"", ""mt"")"),"tinforma lill-ġurija u lill-pubbliku")</f>
        <v>tinforma lill-ġurija u lill-pubbliku</v>
      </c>
    </row>
    <row r="54" ht="15.75" customHeight="1">
      <c r="A54" s="2" t="s">
        <v>54</v>
      </c>
      <c r="B54" s="2" t="str">
        <f>IFERROR(__xludf.DUMMYFUNCTION("GOOGLETRANSLATE(A54, ""en"", ""mt"")"),"Huwa seta 'jħoss uġigħ qawwi qawwi")</f>
        <v>Huwa seta 'jħoss uġigħ qawwi qawwi</v>
      </c>
    </row>
    <row r="55" ht="15.75" customHeight="1">
      <c r="A55" s="2" t="s">
        <v>55</v>
      </c>
      <c r="B55" s="2" t="str">
        <f>IFERROR(__xludf.DUMMYFUNCTION("GOOGLETRANSLATE(A55, ""en"", ""mt"")"),"X'tip ta 'sistemi topoloġiċi jinstabu f'numri fir-Rabat?")</f>
        <v>X'tip ta 'sistemi topoloġiċi jinstabu f'numri fir-Rabat?</v>
      </c>
    </row>
    <row r="56" ht="15.75" customHeight="1">
      <c r="A56" s="2" t="s">
        <v>56</v>
      </c>
      <c r="B56" s="2" t="str">
        <f>IFERROR(__xludf.DUMMYFUNCTION("GOOGLETRANSLATE(A56, ""en"", ""mt"")"),"X'tip ta 'komposti jifforma l-ossiġnu l-aktar komunement?")</f>
        <v>X'tip ta 'komposti jifforma l-ossiġnu l-aktar komunement?</v>
      </c>
    </row>
    <row r="57" ht="15.75" customHeight="1">
      <c r="A57" s="2" t="s">
        <v>57</v>
      </c>
      <c r="B57" s="2" t="str">
        <f>IFERROR(__xludf.DUMMYFUNCTION("GOOGLETRANSLATE(A57, ""en"", ""mt"")"),"avjoniċi, telekomunikazzjonijiet, u kompjuters.")</f>
        <v>avjoniċi, telekomunikazzjonijiet, u kompjuters.</v>
      </c>
    </row>
    <row r="58" ht="15.75" customHeight="1">
      <c r="A58" s="2" t="s">
        <v>58</v>
      </c>
      <c r="B58" s="2" t="str">
        <f>IFERROR(__xludf.DUMMYFUNCTION("GOOGLETRANSLATE(A58, ""en"", ""mt"")"),"X'inhu l-mewt stmat għal persuni ċivili Pollakki?")</f>
        <v>X'inhu l-mewt stmat għal persuni ċivili Pollakki?</v>
      </c>
    </row>
    <row r="59" ht="15.75" customHeight="1">
      <c r="A59" s="2" t="s">
        <v>59</v>
      </c>
      <c r="B59" s="2" t="str">
        <f>IFERROR(__xludf.DUMMYFUNCTION("GOOGLETRANSLATE(A59, ""en"", ""mt"")"),"Il-Knisja Metodista Magħquda hija l-akbar denominazzjoni fi ħdan il-moviment Metodist usa ', li għandu madwar 80 miljun osservant madwar id-dinja. Fl-Istati Uniti, l-UMC tinsab bħala l-ikbar denominazzjoni Protestanti ewlenija, l-akbar knisja Protestanta "&amp;"wara l-Konvenzjoni Battista tan-Nofsinhar, u t-tielet l-akbar denominazzjoni Nisranija. Mill-2014, is-sħubija mad-dinja kollha kienet madwar 12-il miljun: 7.2 miljun fl-Istati Uniti, u 4.4 miljun fl-Afrika, l-Asja u l-Ewropa. Huwa membru tal-Kunsill Dinji"&amp;" tal-Knejjes, tal-Kunsill Metodist Dinji, u assoċjazzjonijiet reliġjużi oħra. Fl-2015, Pew Research stmat li 3.6% tal-popolazzjoni ta 'l-Istati Uniti, jew 9 miljun aderenti għall-adulti, jidentifikaw lilhom infushom mal-Knisja Metodista Magħquda li żvelat"&amp;" numru ferm akbar ta' osservanti minn sħubija rreġistrata.")</f>
        <v>Il-Knisja Metodista Magħquda hija l-akbar denominazzjoni fi ħdan il-moviment Metodist usa ', li għandu madwar 80 miljun osservant madwar id-dinja. Fl-Istati Uniti, l-UMC tinsab bħala l-ikbar denominazzjoni Protestanti ewlenija, l-akbar knisja Protestanta wara l-Konvenzjoni Battista tan-Nofsinhar, u t-tielet l-akbar denominazzjoni Nisranija. Mill-2014, is-sħubija mad-dinja kollha kienet madwar 12-il miljun: 7.2 miljun fl-Istati Uniti, u 4.4 miljun fl-Afrika, l-Asja u l-Ewropa. Huwa membru tal-Kunsill Dinji tal-Knejjes, tal-Kunsill Metodist Dinji, u assoċjazzjonijiet reliġjużi oħra. Fl-2015, Pew Research stmat li 3.6% tal-popolazzjoni ta 'l-Istati Uniti, jew 9 miljun aderenti għall-adulti, jidentifikaw lilhom infushom mal-Knisja Metodista Magħquda li żvelat numru ferm akbar ta' osservanti minn sħubija rreġistrata.</v>
      </c>
    </row>
    <row r="60" ht="15.75" customHeight="1">
      <c r="A60" s="2" t="s">
        <v>60</v>
      </c>
      <c r="B60" s="2" t="str">
        <f>IFERROR(__xludf.DUMMYFUNCTION("GOOGLETRANSLATE(A60, ""en"", ""mt"")"),"aktar minn mija")</f>
        <v>aktar minn mija</v>
      </c>
    </row>
    <row r="61" ht="15.75" customHeight="1">
      <c r="A61" s="2" t="s">
        <v>61</v>
      </c>
      <c r="B61" s="2" t="str">
        <f>IFERROR(__xludf.DUMMYFUNCTION("GOOGLETRANSLATE(A61, ""en"", ""mt"")"),"X'tip ta 'grupp huwa l-Istat Iżlamiku?")</f>
        <v>X'tip ta 'grupp huwa l-Istat Iżlamiku?</v>
      </c>
    </row>
    <row r="62" ht="15.75" customHeight="1">
      <c r="A62" s="2" t="s">
        <v>62</v>
      </c>
      <c r="B62" s="2" t="str">
        <f>IFERROR(__xludf.DUMMYFUNCTION("GOOGLETRANSLATE(A62, ""en"", ""mt"")"),"titlob vjaġġ bir-ritorn mis-siti kollha f'Milan li t-tul totali tiegħu huwa l-aktar 10 km")</f>
        <v>titlob vjaġġ bir-ritorn mis-siti kollha f'Milan li t-tul totali tiegħu huwa l-aktar 10 km</v>
      </c>
    </row>
    <row r="63" ht="15.75" customHeight="1">
      <c r="A63" s="2" t="s">
        <v>63</v>
      </c>
      <c r="B63" s="2" t="str">
        <f>IFERROR(__xludf.DUMMYFUNCTION("GOOGLETRANSLATE(A63, ""en"", ""mt"")"),"ex monasteru")</f>
        <v>ex monasteru</v>
      </c>
    </row>
    <row r="64" ht="15.75" customHeight="1">
      <c r="A64" s="2" t="s">
        <v>64</v>
      </c>
      <c r="B64" s="2" t="str">
        <f>IFERROR(__xludf.DUMMYFUNCTION("GOOGLETRANSLATE(A64, ""en"", ""mt"")"),"Fejn jgħixu Ctenophora?")</f>
        <v>Fejn jgħixu Ctenophora?</v>
      </c>
    </row>
    <row r="65" ht="15.75" customHeight="1">
      <c r="A65" s="2" t="s">
        <v>65</v>
      </c>
      <c r="B65" s="2" t="str">
        <f>IFERROR(__xludf.DUMMYFUNCTION("GOOGLETRANSLATE(A65, ""en"", ""mt"")"),"X'inhu mod ieħor kif tiddikjara l-kundizzjoni li infinitament ħafna primes jistgħu jeżistu biss jekk A u Q huma koprime?")</f>
        <v>X'inhu mod ieħor kif tiddikjara l-kundizzjoni li infinitament ħafna primes jistgħu jeżistu biss jekk A u Q huma koprime?</v>
      </c>
    </row>
    <row r="66" ht="15.75" customHeight="1">
      <c r="A66" s="2" t="s">
        <v>66</v>
      </c>
      <c r="B66" s="2" t="str">
        <f>IFERROR(__xludf.DUMMYFUNCTION("GOOGLETRANSLATE(A66, ""en"", ""mt"")"),"Dispost ħażin ħafna lejn il-Franċiżi")</f>
        <v>Dispost ħażin ħafna lejn il-Franċiżi</v>
      </c>
    </row>
    <row r="67" ht="15.75" customHeight="1">
      <c r="A67" s="2" t="s">
        <v>67</v>
      </c>
      <c r="B67" s="2" t="str">
        <f>IFERROR(__xludf.DUMMYFUNCTION("GOOGLETRANSLATE(A67, ""en"", ""mt"")"),"Jin Dynasty.")</f>
        <v>Jin Dynasty.</v>
      </c>
    </row>
    <row r="68" ht="15.75" customHeight="1">
      <c r="A68" s="2" t="s">
        <v>68</v>
      </c>
      <c r="B68" s="2" t="str">
        <f>IFERROR(__xludf.DUMMYFUNCTION("GOOGLETRANSLATE(A68, ""en"", ""mt"")"),"Għaliex Tesla riedet fondi minn Morgan?")</f>
        <v>Għaliex Tesla riedet fondi minn Morgan?</v>
      </c>
    </row>
    <row r="69" ht="15.75" customHeight="1">
      <c r="A69" s="2" t="s">
        <v>69</v>
      </c>
      <c r="B69" s="2" t="str">
        <f>IFERROR(__xludf.DUMMYFUNCTION("GOOGLETRANSLATE(A69, ""en"", ""mt"")"),"tolleranti")</f>
        <v>tolleranti</v>
      </c>
    </row>
    <row r="70" ht="15.75" customHeight="1">
      <c r="A70" s="2" t="s">
        <v>70</v>
      </c>
      <c r="B70" s="2" t="str">
        <f>IFERROR(__xludf.DUMMYFUNCTION("GOOGLETRANSLATE(A70, ""en"", ""mt"")"),"Mard awtoimmuni")</f>
        <v>Mard awtoimmuni</v>
      </c>
    </row>
    <row r="71" ht="15.75" customHeight="1">
      <c r="A71" s="2" t="s">
        <v>71</v>
      </c>
      <c r="B71" s="2" t="str">
        <f>IFERROR(__xludf.DUMMYFUNCTION("GOOGLETRANSLATE(A71, ""en"", ""mt"")"),"Steam jaħrab,")</f>
        <v>Steam jaħrab,</v>
      </c>
    </row>
    <row r="72" ht="15.75" customHeight="1">
      <c r="A72" s="2" t="s">
        <v>72</v>
      </c>
      <c r="B72" s="2" t="str">
        <f>IFERROR(__xludf.DUMMYFUNCTION("GOOGLETRANSLATE(A72, ""en"", ""mt"")"),"Il-kollezzjonijiet tal-Lvant Imbiegħed jinkludu aktar minn 70,000 xogħol ta 'arti mill-pajjiżi tal-Asja tal-Lvant: iċ-Ċina, il-Ġappun u l-Korea. Il-Gallerija T. T. Tsui tal-Art Ċiniża nfetħet fl-1991, li turi ġabra rappreżentattiva tal-V &amp; bħala madwar 16"&amp;",000 oġġett miċ-Ċina, li tmur mir-4 millennju QK sal-lum. Għalkemm il-biċċa l-kbira tal-arti taħdem fuq il-wiri data mid-dinastiji Ming u Qing, hemm eżempji exquisite ta 'oġġetti li jmorru mid-dinastija Tang u perjodi preċedenti. Notevolment, kap tal-bron"&amp;"ż ta 'metre-għoli tal-Buddha datat għal C.750 AD u wieħed mill-eqdem oġġetti ta' ras ta '2,000 sena minn ras ta' ġada minn difna, skulturi oħra jinkludu gwardjani tal-qabar daqs il-ħajja. Eżempji klassiċi ta 'manifattura Ċiniża huma murija li jinkludu lak"&amp;"er, ħarir, porċellana, ġada u enamel cloisonné. Żewġ ritratti tal-antenati kbar ta 'raġel u mara miżbugħa fl-akwarell fuq il-ħarir joħorġu mis-seklu 18. Hemm tabella unika tal-laker Ċiniż, magħmula fil-workshops imperjali matul ir-renju tal-Imperatur Xuan"&amp;"de fid-dinastija Ming. Eżempji ta 'ħwejjeġ huma murija wkoll. Wieħed mill-ikbar oġġetti huwa sodda minn nofs is-seklu 17. Ix-xogħol ta 'disinjaturi Ċiniżi kontemporanji huwa muri wkoll.")</f>
        <v>Il-kollezzjonijiet tal-Lvant Imbiegħed jinkludu aktar minn 70,000 xogħol ta 'arti mill-pajjiżi tal-Asja tal-Lvant: iċ-Ċina, il-Ġappun u l-Korea. Il-Gallerija T. T. Tsui tal-Art Ċiniża nfetħet fl-1991, li turi ġabra rappreżentattiva tal-V &amp; bħala madwar 16,000 oġġett miċ-Ċina, li tmur mir-4 millennju QK sal-lum. Għalkemm il-biċċa l-kbira tal-arti taħdem fuq il-wiri data mid-dinastiji Ming u Qing, hemm eżempji exquisite ta 'oġġetti li jmorru mid-dinastija Tang u perjodi preċedenti. Notevolment, kap tal-bronż ta 'metre-għoli tal-Buddha datat għal C.750 AD u wieħed mill-eqdem oġġetti ta' ras ta '2,000 sena minn ras ta' ġada minn difna, skulturi oħra jinkludu gwardjani tal-qabar daqs il-ħajja. Eżempji klassiċi ta 'manifattura Ċiniża huma murija li jinkludu laker, ħarir, porċellana, ġada u enamel cloisonné. Żewġ ritratti tal-antenati kbar ta 'raġel u mara miżbugħa fl-akwarell fuq il-ħarir joħorġu mis-seklu 18. Hemm tabella unika tal-laker Ċiniż, magħmula fil-workshops imperjali matul ir-renju tal-Imperatur Xuande fid-dinastija Ming. Eżempji ta 'ħwejjeġ huma murija wkoll. Wieħed mill-ikbar oġġetti huwa sodda minn nofs is-seklu 17. Ix-xogħol ta 'disinjaturi Ċiniżi kontemporanji huwa muri wkoll.</v>
      </c>
    </row>
    <row r="73" ht="15.75" customHeight="1">
      <c r="A73" s="2" t="s">
        <v>73</v>
      </c>
      <c r="B73" s="2" t="str">
        <f>IFERROR(__xludf.DUMMYFUNCTION("GOOGLETRANSLATE(A73, ""en"", ""mt"")"),"Kemm id-dħul huwa privat?")</f>
        <v>Kemm id-dħul huwa privat?</v>
      </c>
    </row>
    <row r="74" ht="15.75" customHeight="1">
      <c r="A74" s="2" t="s">
        <v>74</v>
      </c>
      <c r="B74" s="2" t="str">
        <f>IFERROR(__xludf.DUMMYFUNCTION("GOOGLETRANSLATE(A74, ""en"", ""mt"")"),"Għaliex huwa importanti r-rikonoxximent tas-sekwenza Shine-Dalgarno?")</f>
        <v>Għaliex huwa importanti r-rikonoxximent tas-sekwenza Shine-Dalgarno?</v>
      </c>
    </row>
    <row r="75" ht="15.75" customHeight="1">
      <c r="A75" s="2" t="s">
        <v>75</v>
      </c>
      <c r="B75" s="2" t="str">
        <f>IFERROR(__xludf.DUMMYFUNCTION("GOOGLETRANSLATE(A75, ""en"", ""mt"")"),"Progressività tat-taxxa aktar wieqfa applikata għall-infiq soċjali")</f>
        <v>Progressività tat-taxxa aktar wieqfa applikata għall-infiq soċjali</v>
      </c>
    </row>
    <row r="76" ht="15.75" customHeight="1">
      <c r="A76" s="2" t="s">
        <v>76</v>
      </c>
      <c r="B76" s="2" t="str">
        <f>IFERROR(__xludf.DUMMYFUNCTION("GOOGLETRANSLATE(A76, ""en"", ""mt"")"),"li d-diżubbidjenza ċivili hija ġustifikata biss kontra entitajiet governattivi")</f>
        <v>li d-diżubbidjenza ċivili hija ġustifikata biss kontra entitajiet governattivi</v>
      </c>
    </row>
    <row r="77" ht="15.75" customHeight="1">
      <c r="A77" s="2" t="s">
        <v>77</v>
      </c>
      <c r="B77" s="2" t="str">
        <f>IFERROR(__xludf.DUMMYFUNCTION("GOOGLETRANSLATE(A77, ""en"", ""mt"")"),"X'kienet it-teorija ta 'Norman Cantor dwar il-pesta?")</f>
        <v>X'kienet it-teorija ta 'Norman Cantor dwar il-pesta?</v>
      </c>
    </row>
    <row r="78" ht="15.75" customHeight="1">
      <c r="A78" s="2" t="s">
        <v>78</v>
      </c>
      <c r="B78" s="2" t="str">
        <f>IFERROR(__xludf.DUMMYFUNCTION("GOOGLETRANSLATE(A78, ""en"", ""mt"")"),"Din il-bidla diġà bdiet f'xi pajjiżi; Pereżempju, l-ispiżjara fl-Awstralja jirċievu remunerazzjoni mill-gvern Awstraljan biex iwettqu reviżjonijiet komprensivi ta 'mediċini fid-dar. Fil-Kanada, l-ispiżjara f'ċerti provinċji għandhom drittijiet ta 'preskri"&amp;"zzjoni limitati (bħal fl-Alberta u l-Kolumbja Brittanika) jew huma remunerati mill-gvern provinċjali tagħhom għal servizzi estiżi bħal reviżjonijiet ta' mediċini (medschecks fl-Ontario). Fir-Renju Unit, l-ispiżjara li jagħmlu taħriġ addizzjonali qed jiksb"&amp;"u drittijiet li jippreskrivu u dan minħabba edukazzjoni fl-ispiżerija. Huma wkoll qed jitħallsu mill-Gvern għar-reviżjonijiet tal-użu tal-mediċina. Fl-Iskozja l-ispiżjar jista 'jikteb preskrizzjonijiet għal pazjenti rreġistrati Skoċċiżi tal-mediċini regol"&amp;"ari tagħhom, għall-maġġoranza tal-mediċini, ħlief għal mediċini kkontrollati, meta l-pazjent ma jkunx jista' jara lit-tabib tagħhom, kif jista 'jiġri jekk huma' l bogħod mid-dar jew it-tabib huwa mhux disponibbli. Fl-Istati Uniti, il-kura farmaċewtika jew"&amp;" l-ispiżerija klinika kellhom influwenza li qed tevolvi fuq il-prattika tal-ispiżerija. Barra minn hekk, il-grad tad-Duttur tal-Ispiżerija (Pharm. D.) issa huwa meħtieġ qabel ma jidħol fil-prattika u xi spiżjara issa jtemmu sena jew sentejn ta 'taħriġ ta'"&amp;" residenza jew boroż ta 'studju wara l-gradwazzjoni. Barra minn hekk, l-ispiżjara konsulenti, li tradizzjonalment operaw primarjament fid-djar tal-anzjani issa qed jespandu f'konsultazzjoni diretta mal-pazjenti, taħt il-bandiera ta '""Pharmacy tal-Kura An"&amp;"zjana.""")</f>
        <v>Din il-bidla diġà bdiet f'xi pajjiżi; Pereżempju, l-ispiżjara fl-Awstralja jirċievu remunerazzjoni mill-gvern Awstraljan biex iwettqu reviżjonijiet komprensivi ta 'mediċini fid-dar. Fil-Kanada, l-ispiżjara f'ċerti provinċji għandhom drittijiet ta 'preskrizzjoni limitati (bħal fl-Alberta u l-Kolumbja Brittanika) jew huma remunerati mill-gvern provinċjali tagħhom għal servizzi estiżi bħal reviżjonijiet ta' mediċini (medschecks fl-Ontario). Fir-Renju Unit, l-ispiżjara li jagħmlu taħriġ addizzjonali qed jiksbu drittijiet li jippreskrivu u dan minħabba edukazzjoni fl-ispiżerija. Huma wkoll qed jitħallsu mill-Gvern għar-reviżjonijiet tal-użu tal-mediċina. Fl-Iskozja l-ispiżjar jista 'jikteb preskrizzjonijiet għal pazjenti rreġistrati Skoċċiżi tal-mediċini regolari tagħhom, għall-maġġoranza tal-mediċini, ħlief għal mediċini kkontrollati, meta l-pazjent ma jkunx jista' jara lit-tabib tagħhom, kif jista 'jiġri jekk huma' l bogħod mid-dar jew it-tabib huwa mhux disponibbli. Fl-Istati Uniti, il-kura farmaċewtika jew l-ispiżerija klinika kellhom influwenza li qed tevolvi fuq il-prattika tal-ispiżerija. Barra minn hekk, il-grad tad-Duttur tal-Ispiżerija (Pharm. D.) issa huwa meħtieġ qabel ma jidħol fil-prattika u xi spiżjara issa jtemmu sena jew sentejn ta 'taħriġ ta' residenza jew boroż ta 'studju wara l-gradwazzjoni. Barra minn hekk, l-ispiżjara konsulenti, li tradizzjonalment operaw primarjament fid-djar tal-anzjani issa qed jespandu f'konsultazzjoni diretta mal-pazjenti, taħt il-bandiera ta '"Pharmacy tal-Kura Anzjana."</v>
      </c>
    </row>
    <row r="79" ht="15.75" customHeight="1">
      <c r="A79" s="2" t="s">
        <v>79</v>
      </c>
      <c r="B79" s="2" t="str">
        <f>IFERROR(__xludf.DUMMYFUNCTION("GOOGLETRANSLATE(A79, ""en"", ""mt"")"),"Peress li l-ctenofori moderni kollha ħlief il-beroids għandhom larva simili għal ċidippidi, ġie assunt ħafna li l-aħħar antenat komuni tagħhom kien jixbah ukoll cydippids, li għandhom korp b'forma ta 'bajd u par ta' tentakli li jistgħu jinġibdu lura. L-an"&amp;"aliżi purament morfoloġika ta 'Richard Harbison fl-1985 ikkonkludiet li ċ-ċidippidi mhumiex monofiletiċi, fi kliem ieħor ma fihomx id-dixxendenti kollha u biss ta' antenat komuni wieħed li kien innifsu ċidippid. Minflok huwa sab li diversi familji Cydippi"&amp;"d kienu aktar simili għal membri ta 'ordnijiet oħra ta' ctenophore milli għal cydippids oħra. Huwa ssuġġerixxa wkoll li l-aħħar antenat komuni ta 'ctenophores moderni kien jew simili ta' cydippid jew simili għal beroid. Analiżi molekulari tal-filoġenija f"&amp;"l-2001, bl-użu ta '26 speċi, inklużi 4 dawk skoperti riċentement, ikkonfermaw li ċ-ċidippids mhumiex monofiletiċi u kkonkludew li l-aħħar antenat komuni ta 'ctenophores moderni kien simili għal cydippid. Instab ukoll li d-differenzi ġenetiċi bejn dawn l-i"&amp;"speċi kienu żgħar ħafna - daqshekk żgħar li r-relazzjonijiet bejn il-lobata, cestida u thalassocalycida baqgħu inċerti. Dan jissuġġerixxi li l-aħħar antenat komuni ta 'ctenophores moderni kien relattivament reċenti, u forsi kien xortik tajba biżżejjed bie"&amp;"x jgħix l-avveniment ta' estinzjoni Kretaċeju-Paleogene 65.5 miljun sena ilu waqt li n-nisel ieħor jitħassar. Meta l-analiżi twessgħet biex tinkludi rappreżentanti ta 'phyla oħra, hija kkonkludiet li ċ-cnidarians huma probabbilment relatati aktar mill-qri"&amp;"b mal-bilaterjani milli kull grupp huwa ma' ctenophores iżda li din id-dijanjosi hija inċerta.")</f>
        <v>Peress li l-ctenofori moderni kollha ħlief il-beroids għandhom larva simili għal ċidippidi, ġie assunt ħafna li l-aħħar antenat komuni tagħhom kien jixbah ukoll cydippids, li għandhom korp b'forma ta 'bajd u par ta' tentakli li jistgħu jinġibdu lura. L-analiżi purament morfoloġika ta 'Richard Harbison fl-1985 ikkonkludiet li ċ-ċidippidi mhumiex monofiletiċi, fi kliem ieħor ma fihomx id-dixxendenti kollha u biss ta' antenat komuni wieħed li kien innifsu ċidippid. Minflok huwa sab li diversi familji Cydippid kienu aktar simili għal membri ta 'ordnijiet oħra ta' ctenophore milli għal cydippids oħra. Huwa ssuġġerixxa wkoll li l-aħħar antenat komuni ta 'ctenophores moderni kien jew simili ta' cydippid jew simili għal beroid. Analiżi molekulari tal-filoġenija fl-2001, bl-użu ta '26 speċi, inklużi 4 dawk skoperti riċentement, ikkonfermaw li ċ-ċidippids mhumiex monofiletiċi u kkonkludew li l-aħħar antenat komuni ta 'ctenophores moderni kien simili għal cydippid. Instab ukoll li d-differenzi ġenetiċi bejn dawn l-ispeċi kienu żgħar ħafna - daqshekk żgħar li r-relazzjonijiet bejn il-lobata, cestida u thalassocalycida baqgħu inċerti. Dan jissuġġerixxi li l-aħħar antenat komuni ta 'ctenophores moderni kien relattivament reċenti, u forsi kien xortik tajba biżżejjed biex jgħix l-avveniment ta' estinzjoni Kretaċeju-Paleogene 65.5 miljun sena ilu waqt li n-nisel ieħor jitħassar. Meta l-analiżi twessgħet biex tinkludi rappreżentanti ta 'phyla oħra, hija kkonkludiet li ċ-cnidarians huma probabbilment relatati aktar mill-qrib mal-bilaterjani milli kull grupp huwa ma' ctenophores iżda li din id-dijanjosi hija inċerta.</v>
      </c>
    </row>
    <row r="80" ht="15.75" customHeight="1">
      <c r="A80" s="2" t="s">
        <v>80</v>
      </c>
      <c r="B80" s="2" t="str">
        <f>IFERROR(__xludf.DUMMYFUNCTION("GOOGLETRANSLATE(A80, ""en"", ""mt"")"),"Biex terġa 'titbena")</f>
        <v>Biex terġa 'titbena</v>
      </c>
    </row>
    <row r="81" ht="15.75" customHeight="1">
      <c r="A81" s="2" t="s">
        <v>81</v>
      </c>
      <c r="B81" s="2" t="str">
        <f>IFERROR(__xludf.DUMMYFUNCTION("GOOGLETRANSLATE(A81, ""en"", ""mt"")"),"In-nuqqasijiet tal-fiżika Aristoteljana ma jiġux ikkoreġuti għal kollox sa x-xogħol tas-seklu 17 ta 'Galileo Galilei, li kien influwenzat mill-idea medjevali tard li l-oġġetti fil-moviment sfurzat ġarrbu forza intrinsika ta' impetu. Galileo bena esperimen"&amp;"t li fih il-ġebel u l-kanun tal-kanun kienu rrumblati l-inklinazzjoni biex jikkontestaw it-teorija Aristoteljana tal-moviment kmieni fis-seklu 17. Huwa wera li l-korpi ġew aċċellerati mill-gravità sa punt li kien indipendenti mill-massa tagħhom u argument"&amp;"a li l-oġġetti jżommu l-veloċità tagħhom sakemm ma jaġixxux minn forza, pereżempju frizzjoni.")</f>
        <v>In-nuqqasijiet tal-fiżika Aristoteljana ma jiġux ikkoreġuti għal kollox sa x-xogħol tas-seklu 17 ta 'Galileo Galilei, li kien influwenzat mill-idea medjevali tard li l-oġġetti fil-moviment sfurzat ġarrbu forza intrinsika ta' impetu. Galileo bena esperiment li fih il-ġebel u l-kanun tal-kanun kienu rrumblati l-inklinazzjoni biex jikkontestaw it-teorija Aristoteljana tal-moviment kmieni fis-seklu 17. Huwa wera li l-korpi ġew aċċellerati mill-gravità sa punt li kien indipendenti mill-massa tagħhom u argumenta li l-oġġetti jżommu l-veloċità tagħhom sakemm ma jaġixxux minn forza, pereżempju frizzjoni.</v>
      </c>
    </row>
    <row r="82" ht="15.75" customHeight="1">
      <c r="A82" s="2" t="s">
        <v>82</v>
      </c>
      <c r="B82" s="2" t="str">
        <f>IFERROR(__xludf.DUMMYFUNCTION("GOOGLETRANSLATE(A82, ""en"", ""mt"")"),"Port ta 'Los Angeles")</f>
        <v>Port ta 'Los Angeles</v>
      </c>
    </row>
    <row r="83" ht="15.75" customHeight="1">
      <c r="A83" s="2" t="s">
        <v>83</v>
      </c>
      <c r="B83" s="2" t="str">
        <f>IFERROR(__xludf.DUMMYFUNCTION("GOOGLETRANSLATE(A83, ""en"", ""mt"")"),"Fejn kien jinsab il-Politeknika Awstrijaka?")</f>
        <v>Fejn kien jinsab il-Politeknika Awstrijaka?</v>
      </c>
    </row>
    <row r="84" ht="15.75" customHeight="1">
      <c r="A84" s="2" t="s">
        <v>84</v>
      </c>
      <c r="B84" s="2" t="str">
        <f>IFERROR(__xludf.DUMMYFUNCTION("GOOGLETRANSLATE(A84, ""en"", ""mt"")"),"Knisja LDS")</f>
        <v>Knisja LDS</v>
      </c>
    </row>
    <row r="85" ht="15.75" customHeight="1">
      <c r="A85" s="2" t="s">
        <v>85</v>
      </c>
      <c r="B85" s="2" t="str">
        <f>IFERROR(__xludf.DUMMYFUNCTION("GOOGLETRANSLATE(A85, ""en"", ""mt"")"),"10 sa 15-il miljun persuna")</f>
        <v>10 sa 15-il miljun persuna</v>
      </c>
    </row>
    <row r="86" ht="15.75" customHeight="1">
      <c r="A86" s="2" t="s">
        <v>86</v>
      </c>
      <c r="B86" s="2" t="str">
        <f>IFERROR(__xludf.DUMMYFUNCTION("GOOGLETRANSLATE(A86, ""en"", ""mt"")"),"Cyanobacterium fotosintetiku li kien maħkum minn ċellola ewkarjotika bikrija")</f>
        <v>Cyanobacterium fotosintetiku li kien maħkum minn ċellola ewkarjotika bikrija</v>
      </c>
    </row>
    <row r="87" ht="15.75" customHeight="1">
      <c r="A87" s="2" t="s">
        <v>87</v>
      </c>
      <c r="B87" s="2" t="str">
        <f>IFERROR(__xludf.DUMMYFUNCTION("GOOGLETRANSLATE(A87, ""en"", ""mt"")"),"Liema oġġetti jinkludu l-kollezzjoni John Jones?")</f>
        <v>Liema oġġetti jinkludu l-kollezzjoni John Jones?</v>
      </c>
    </row>
    <row r="88" ht="15.75" customHeight="1">
      <c r="A88" s="2" t="s">
        <v>88</v>
      </c>
      <c r="B88" s="2" t="str">
        <f>IFERROR(__xludf.DUMMYFUNCTION("GOOGLETRANSLATE(A88, ""en"", ""mt"")"),"F'liema lingwa saru l-klassijiet fl-iskola ta 'Tesla?")</f>
        <v>F'liema lingwa saru l-klassijiet fl-iskola ta 'Tesla?</v>
      </c>
    </row>
    <row r="89" ht="15.75" customHeight="1">
      <c r="A89" s="2" t="s">
        <v>89</v>
      </c>
      <c r="B89" s="2" t="str">
        <f>IFERROR(__xludf.DUMMYFUNCTION("GOOGLETRANSLATE(A89, ""en"", ""mt"")"),"Xi elementi tal-fratellanza indirizzaw liema azzjoni kontra l-gvern?")</f>
        <v>Xi elementi tal-fratellanza indirizzaw liema azzjoni kontra l-gvern?</v>
      </c>
    </row>
    <row r="90" ht="15.75" customHeight="1">
      <c r="A90" s="2" t="s">
        <v>90</v>
      </c>
      <c r="B90" s="2" t="str">
        <f>IFERROR(__xludf.DUMMYFUNCTION("GOOGLETRANSLATE(A90, ""en"", ""mt"")"),"Liema skola attendew kemm Hank Marvin kif ukoll Bruce Welch?")</f>
        <v>Liema skola attendew kemm Hank Marvin kif ukoll Bruce Welch?</v>
      </c>
    </row>
    <row r="91" ht="15.75" customHeight="1">
      <c r="A91" s="2" t="s">
        <v>91</v>
      </c>
      <c r="B91" s="2" t="str">
        <f>IFERROR(__xludf.DUMMYFUNCTION("GOOGLETRANSLATE(A91, ""en"", ""mt"")"),"F'Mejju 2013, ABC nediet ""Watch ABC"", rilaxx tas-servizzi tradizzjonali tagħha ta 'streaming b'ħafna pjattaformi li jinkludu l-portal ta' streaming eżistenti tan-netwerk fuq ABC.com u app mobbli għal smartphones u kompjuters tal-pilloli; Minbarra li jip"&amp;"provdi episodji ta 'tul sħiħ ta' programmi ABC, is-servizz jippermetti flussi ta 'programmazzjoni ħajjin ta' affiljati lokali ABC fi swieq magħżula (l-ewwel offerta bħal din minn netwerk ta 'xandir ta' l-Istati Uniti). Simili għas-servizz WatchESPN ta 'Ne"&amp;"twork Sister ESPN (li oriġina l-marka ""Watch"" użata mis-servizzi ta' streaming tan-netwerks tat-televiżjoni ta 'Disney), flussi ħajjin ta' stazzjonijiet ABC huma disponibbli biss għal abbonati awtentikati ta 'fornituri tat-televiżjoni bi ħlas parteċipan"&amp;"ti f'ċerti swieq. New York City O&amp;O WABC-TV u Philadelphia O&amp;O WPVI-TV kienu l-ewwel stazzjonijiet li joffru flussi ta 'programmazzjoni tagħhom fuq is-servizz (bi preview b'xejn għal dawk li mhumiex sottoskritti sa Ġunju 2013), bis-sitta li fadal ABC o &amp; "&amp;"os joffru flussi Bidu tal-istaġun 2013–14. Hearst Television laħaq ukoll ftehim biex joffri flussi ta 'affiljati ABC tiegħu (inklużi stazzjonijiet f'Boston, Kansas City, Milwaukee u West Palm Beach) għas-servizz.")</f>
        <v>F'Mejju 2013, ABC nediet "Watch ABC", rilaxx tas-servizzi tradizzjonali tagħha ta 'streaming b'ħafna pjattaformi li jinkludu l-portal ta' streaming eżistenti tan-netwerk fuq ABC.com u app mobbli għal smartphones u kompjuters tal-pilloli; Minbarra li jipprovdi episodji ta 'tul sħiħ ta' programmi ABC, is-servizz jippermetti flussi ta 'programmazzjoni ħajjin ta' affiljati lokali ABC fi swieq magħżula (l-ewwel offerta bħal din minn netwerk ta 'xandir ta' l-Istati Uniti). Simili għas-servizz WatchESPN ta 'Network Sister ESPN (li oriġina l-marka "Watch" użata mis-servizzi ta' streaming tan-netwerks tat-televiżjoni ta 'Disney), flussi ħajjin ta' stazzjonijiet ABC huma disponibbli biss għal abbonati awtentikati ta 'fornituri tat-televiżjoni bi ħlas parteċipanti f'ċerti swieq. New York City O&amp;O WABC-TV u Philadelphia O&amp;O WPVI-TV kienu l-ewwel stazzjonijiet li joffru flussi ta 'programmazzjoni tagħhom fuq is-servizz (bi preview b'xejn għal dawk li mhumiex sottoskritti sa Ġunju 2013), bis-sitta li fadal ABC o &amp; os joffru flussi Bidu tal-istaġun 2013–14. Hearst Television laħaq ukoll ftehim biex joffri flussi ta 'affiljati ABC tiegħu (inklużi stazzjonijiet f'Boston, Kansas City, Milwaukee u West Palm Beach) għas-servizz.</v>
      </c>
    </row>
    <row r="92" ht="15.75" customHeight="1">
      <c r="A92" s="2" t="s">
        <v>92</v>
      </c>
      <c r="B92" s="2" t="str">
        <f>IFERROR(__xludf.DUMMYFUNCTION("GOOGLETRANSLATE(A92, ""en"", ""mt"")"),"L-artijiet għolja ċentrali")</f>
        <v>L-artijiet għolja ċentrali</v>
      </c>
    </row>
    <row r="93" ht="15.75" customHeight="1">
      <c r="A93" s="2" t="s">
        <v>93</v>
      </c>
      <c r="B93" s="2" t="str">
        <f>IFERROR(__xludf.DUMMYFUNCTION("GOOGLETRANSLATE(A93, ""en"", ""mt"")"),"twemmin fil-validità tal-kuntratt soċjali")</f>
        <v>twemmin fil-validità tal-kuntratt soċjali</v>
      </c>
    </row>
    <row r="94" ht="15.75" customHeight="1">
      <c r="A94" s="2" t="s">
        <v>94</v>
      </c>
      <c r="B94" s="2" t="str">
        <f>IFERROR(__xludf.DUMMYFUNCTION("GOOGLETRANSLATE(A94, ""en"", ""mt"")"),"Xi jfissru l-kliem Kirinyaga, Kirenyaa, u Kiinyaa?")</f>
        <v>Xi jfissru l-kliem Kirinyaga, Kirenyaa, u Kiinyaa?</v>
      </c>
    </row>
    <row r="95" ht="15.75" customHeight="1">
      <c r="A95" s="2" t="s">
        <v>95</v>
      </c>
      <c r="B95" s="2" t="str">
        <f>IFERROR(__xludf.DUMMYFUNCTION("GOOGLETRANSLATE(A95, ""en"", ""mt"")"),"Min ivvota kontra l-annessjoni ta 'Jacksonville?")</f>
        <v>Min ivvota kontra l-annessjoni ta 'Jacksonville?</v>
      </c>
    </row>
    <row r="96" ht="15.75" customHeight="1">
      <c r="A96" s="2" t="s">
        <v>96</v>
      </c>
      <c r="B96" s="2" t="str">
        <f>IFERROR(__xludf.DUMMYFUNCTION("GOOGLETRANSLATE(A96, ""en"", ""mt"")"),"irtir imħassar")</f>
        <v>irtir imħassar</v>
      </c>
    </row>
    <row r="97" ht="15.75" customHeight="1">
      <c r="A97" s="2" t="s">
        <v>97</v>
      </c>
      <c r="B97" s="2" t="str">
        <f>IFERROR(__xludf.DUMMYFUNCTION("GOOGLETRANSLATE(A97, ""en"", ""mt"")"),"Sistema tal-ferrovija ħafifa tal-metro")</f>
        <v>Sistema tal-ferrovija ħafifa tal-metro</v>
      </c>
    </row>
    <row r="98" ht="15.75" customHeight="1">
      <c r="A98" s="2" t="s">
        <v>98</v>
      </c>
      <c r="B98" s="2" t="str">
        <f>IFERROR(__xludf.DUMMYFUNCTION("GOOGLETRANSLATE(A98, ""en"", ""mt"")"),"Min issellef il-karikaturi ta 'Raphael lill-mużew?")</f>
        <v>Min issellef il-karikaturi ta 'Raphael lill-mużew?</v>
      </c>
    </row>
    <row r="99" ht="15.75" customHeight="1">
      <c r="A99" s="2" t="s">
        <v>99</v>
      </c>
      <c r="B99" s="2" t="str">
        <f>IFERROR(__xludf.DUMMYFUNCTION("GOOGLETRANSLATE(A99, ""en"", ""mt"")"),"suċċess")</f>
        <v>suċċess</v>
      </c>
    </row>
    <row r="100" ht="15.75" customHeight="1">
      <c r="A100" s="2" t="s">
        <v>100</v>
      </c>
      <c r="B100" s="2" t="str">
        <f>IFERROR(__xludf.DUMMYFUNCTION("GOOGLETRANSLATE(A100, ""en"", ""mt"")"),"L-għerq kwadru ta 'n.")</f>
        <v>L-għerq kwadru ta 'n.</v>
      </c>
    </row>
    <row r="101" ht="15.75" customHeight="1">
      <c r="A101" s="2" t="s">
        <v>101</v>
      </c>
      <c r="B101" s="2" t="str">
        <f>IFERROR(__xludf.DUMMYFUNCTION("GOOGLETRANSLATE(A101, ""en"", ""mt"")"),"Lvant-Punent")</f>
        <v>Lvant-Punent</v>
      </c>
    </row>
    <row r="102" ht="15.75" customHeight="1">
      <c r="A102" s="2" t="s">
        <v>102</v>
      </c>
      <c r="B102" s="2" t="str">
        <f>IFERROR(__xludf.DUMMYFUNCTION("GOOGLETRANSLATE(A102, ""en"", ""mt"")"),"L-għalliema jiffaċċjaw diversi perikli fuq ix-xogħol fil-linja ta 'xogħol tagħhom, inkluż l-istress fuq ix-xogħol, li jista' jkollu impatt negattiv fuq is-saħħa mentali u fiżika tal-għalliema, il-produttività, u l-prestazzjoni tal-istudenti. L-istress jis"&amp;"ta 'jkun ikkawżat minn bidla organizzattiva, relazzjonijiet ma' studenti, għalliema sħabhom, u persunal amministrattiv, ambjent tax-xogħol, aspettattivi biex tissostitwixxi, sigħat twal b'ammont ta 'xogħol tqil, u spezzjonijiet. L-għalliema huma wkoll f'r"&amp;"iskju għoli għal ħruq fuq ix-xogħol.")</f>
        <v>L-għalliema jiffaċċjaw diversi perikli fuq ix-xogħol fil-linja ta 'xogħol tagħhom, inkluż l-istress fuq ix-xogħol, li jista' jkollu impatt negattiv fuq is-saħħa mentali u fiżika tal-għalliema, il-produttività, u l-prestazzjoni tal-istudenti. L-istress jista 'jkun ikkawżat minn bidla organizzattiva, relazzjonijiet ma' studenti, għalliema sħabhom, u persunal amministrattiv, ambjent tax-xogħol, aspettattivi biex tissostitwixxi, sigħat twal b'ammont ta 'xogħol tqil, u spezzjonijiet. L-għalliema huma wkoll f'riskju għoli għal ħruq fuq ix-xogħol.</v>
      </c>
    </row>
    <row r="103" ht="15.75" customHeight="1">
      <c r="A103" s="2" t="s">
        <v>103</v>
      </c>
      <c r="B103" s="2" t="str">
        <f>IFERROR(__xludf.DUMMYFUNCTION("GOOGLETRANSLATE(A103, ""en"", ""mt"")"),"kummerċjali")</f>
        <v>kummerċjali</v>
      </c>
    </row>
    <row r="104" ht="15.75" customHeight="1">
      <c r="A104" s="2" t="s">
        <v>104</v>
      </c>
      <c r="B104" s="2" t="str">
        <f>IFERROR(__xludf.DUMMYFUNCTION("GOOGLETRANSLATE(A104, ""en"", ""mt"")"),"Gvern tal-Unjoni")</f>
        <v>Gvern tal-Unjoni</v>
      </c>
    </row>
    <row r="105" ht="15.75" customHeight="1">
      <c r="A105" s="2" t="s">
        <v>105</v>
      </c>
      <c r="B105" s="2" t="str">
        <f>IFERROR(__xludf.DUMMYFUNCTION("GOOGLETRANSLATE(A105, ""en"", ""mt"")"),"il-kolja Tesla")</f>
        <v>il-kolja Tesla</v>
      </c>
    </row>
    <row r="106" ht="15.75" customHeight="1">
      <c r="A106" s="2" t="s">
        <v>106</v>
      </c>
      <c r="B106" s="2" t="str">
        <f>IFERROR(__xludf.DUMMYFUNCTION("GOOGLETRANSLATE(A106, ""en"", ""mt"")"),"iż-żewġ djar tal-Kungress.")</f>
        <v>iż-żewġ djar tal-Kungress.</v>
      </c>
    </row>
    <row r="107" ht="15.75" customHeight="1">
      <c r="A107" s="2" t="s">
        <v>107</v>
      </c>
      <c r="B107" s="2" t="str">
        <f>IFERROR(__xludf.DUMMYFUNCTION("GOOGLETRANSLATE(A107, ""en"", ""mt"")"),"Liema tribujiet għaqdu Genghis Khan?")</f>
        <v>Liema tribujiet għaqdu Genghis Khan?</v>
      </c>
    </row>
    <row r="108" ht="15.75" customHeight="1">
      <c r="A108" s="2" t="s">
        <v>108</v>
      </c>
      <c r="B108" s="2" t="str">
        <f>IFERROR(__xludf.DUMMYFUNCTION("GOOGLETRANSLATE(A108, ""en"", ""mt"")"),"Liema lingwa hija mitkellma fil-Kenja?")</f>
        <v>Liema lingwa hija mitkellma fil-Kenja?</v>
      </c>
    </row>
    <row r="109" ht="15.75" customHeight="1">
      <c r="A109" s="2" t="s">
        <v>109</v>
      </c>
      <c r="B109" s="2" t="str">
        <f>IFERROR(__xludf.DUMMYFUNCTION("GOOGLETRANSLATE(A109, ""en"", ""mt"")"),"X’kien ivvintat minn Savery?")</f>
        <v>X’kien ivvintat minn Savery?</v>
      </c>
    </row>
    <row r="110" ht="15.75" customHeight="1">
      <c r="A110" s="2" t="s">
        <v>110</v>
      </c>
      <c r="B110" s="2" t="str">
        <f>IFERROR(__xludf.DUMMYFUNCTION("GOOGLETRANSLATE(A110, ""en"", ""mt"")"),"F'każ tal-ħġieġ")</f>
        <v>F'każ tal-ħġieġ</v>
      </c>
    </row>
    <row r="111" ht="15.75" customHeight="1">
      <c r="A111" s="2" t="s">
        <v>111</v>
      </c>
      <c r="B111" s="2" t="str">
        <f>IFERROR(__xludf.DUMMYFUNCTION("GOOGLETRANSLATE(A111, ""en"", ""mt"")"),"Liema artikolu TFEU jiddikjara li l-istati huma eżentati milli jiksru d-drittijiet ta 'stabbiliment meta jeżerċitaw awtorità uffiċjali?")</f>
        <v>Liema artikolu TFEU jiddikjara li l-istati huma eżentati milli jiksru d-drittijiet ta 'stabbiliment meta jeżerċitaw awtorità uffiċjali?</v>
      </c>
    </row>
    <row r="112" ht="15.75" customHeight="1">
      <c r="A112" s="2" t="s">
        <v>112</v>
      </c>
      <c r="B112" s="2" t="str">
        <f>IFERROR(__xludf.DUMMYFUNCTION("GOOGLETRANSLATE(A112, ""en"", ""mt"")"),"Għal min ħadmu l-istudjużi ġeografiċi?")</f>
        <v>Għal min ħadmu l-istudjużi ġeografiċi?</v>
      </c>
    </row>
    <row r="113" ht="15.75" customHeight="1">
      <c r="A113" s="2" t="s">
        <v>113</v>
      </c>
      <c r="B113" s="2" t="str">
        <f>IFERROR(__xludf.DUMMYFUNCTION("GOOGLETRANSLATE(A113, ""en"", ""mt"")"),"Minħabba l-animozità tagħhom lejn xulxin")</f>
        <v>Minħabba l-animozità tagħhom lejn xulxin</v>
      </c>
    </row>
    <row r="114" ht="15.75" customHeight="1">
      <c r="A114" s="2" t="s">
        <v>114</v>
      </c>
      <c r="B114" s="2" t="str">
        <f>IFERROR(__xludf.DUMMYFUNCTION("GOOGLETRANSLATE(A114, ""en"", ""mt"")"),"spazji vojta fuq mapep kontemporanji")</f>
        <v>spazji vojta fuq mapep kontemporanji</v>
      </c>
    </row>
    <row r="115" ht="15.75" customHeight="1">
      <c r="A115" s="2" t="s">
        <v>115</v>
      </c>
      <c r="B115" s="2" t="str">
        <f>IFERROR(__xludf.DUMMYFUNCTION("GOOGLETRANSLATE(A115, ""en"", ""mt"")"),"X'inhi d-data eżatta tal-ftuħ uffiċjali tal-V &amp; A?")</f>
        <v>X'inhi d-data eżatta tal-ftuħ uffiċjali tal-V &amp; A?</v>
      </c>
    </row>
    <row r="116" ht="15.75" customHeight="1">
      <c r="A116" s="2" t="s">
        <v>116</v>
      </c>
      <c r="B116" s="2" t="str">
        <f>IFERROR(__xludf.DUMMYFUNCTION("GOOGLETRANSLATE(A116, ""en"", ""mt"")"),"Fejn ir-reġjun tal-Amażonja jivvaluta fost id-Dinja kollha għall-ammont ta 'bijodiversità tiegħu?")</f>
        <v>Fejn ir-reġjun tal-Amażonja jivvaluta fost id-Dinja kollha għall-ammont ta 'bijodiversità tiegħu?</v>
      </c>
    </row>
    <row r="117" ht="15.75" customHeight="1">
      <c r="A117" s="2" t="s">
        <v>117</v>
      </c>
      <c r="B117" s="2" t="str">
        <f>IFERROR(__xludf.DUMMYFUNCTION("GOOGLETRANSLATE(A117, ""en"", ""mt"")"),"jiddependu fuq pressjoni osmotika")</f>
        <v>jiddependu fuq pressjoni osmotika</v>
      </c>
    </row>
    <row r="118" ht="15.75" customHeight="1">
      <c r="A118" s="2" t="s">
        <v>118</v>
      </c>
      <c r="B118" s="2" t="str">
        <f>IFERROR(__xludf.DUMMYFUNCTION("GOOGLETRANSLATE(A118, ""en"", ""mt"")"),"istokompatibilità")</f>
        <v>istokompatibilità</v>
      </c>
    </row>
    <row r="119" ht="15.75" customHeight="1">
      <c r="A119" s="2" t="s">
        <v>119</v>
      </c>
      <c r="B119" s="2" t="str">
        <f>IFERROR(__xludf.DUMMYFUNCTION("GOOGLETRANSLATE(A119, ""en"", ""mt"")"),"rikombinazzjoni omologa")</f>
        <v>rikombinazzjoni omologa</v>
      </c>
    </row>
    <row r="120" ht="15.75" customHeight="1">
      <c r="A120" s="2" t="s">
        <v>120</v>
      </c>
      <c r="B120" s="2" t="str">
        <f>IFERROR(__xludf.DUMMYFUNCTION("GOOGLETRANSLATE(A120, ""en"", ""mt"")"),"Dan ippermetta n-netwerks taż-żona lokali jiġu stabbiliti ad hoc mingħajr il-ħtieġa għal router ċentralizzat jew server")</f>
        <v>Dan ippermetta n-netwerks taż-żona lokali jiġu stabbiliti ad hoc mingħajr il-ħtieġa għal router ċentralizzat jew server</v>
      </c>
    </row>
    <row r="121" ht="15.75" customHeight="1">
      <c r="A121" s="2" t="s">
        <v>121</v>
      </c>
      <c r="B121" s="2" t="str">
        <f>IFERROR(__xludf.DUMMYFUNCTION("GOOGLETRANSLATE(A121, ""en"", ""mt"")"),"Skond il-paragun ta 'Sheldon Ungar mat-tisħin globali, l-atturi fil-każ tat-tnaqqis tal-ożonu kellhom għarfien aħjar tal-injoranza u l-inċertezzi xjentifiċi. Il-każ ta 'l-ożonu kkomunikat lil persuni lajċi ""b'metafori li jgħaqqdu faċli biex jinftiehmu de"&amp;"rivati ​​mill-kultura popolari"" u relatati ma' ""riskji immedjati b'relevanza ta 'kuljum"", filwaqt li l-opinjoni pubblika dwar it-tibdil fil-klima ma tara l-ebda periklu imminenti. Il-mitigazzjoni gradwali tal-isfida tas-saff tal-ożonu kienet ibbażata w"&amp;"koll fuq it-tnaqqis ta 'kunflitti ta' qsim ta 'piż reġjonali. Fil-każ tal-konklużjonijiet tal-IPCC u l-falliment tal-protokoll Kyoto, li jvarjaw l-analiżi tal-kost-benefiċċju u l-kunflitti ta 'qsim ta' piż fir-rigward tad-distribuzzjoni tat-tnaqqis tal-em"&amp;"issjonijiet jibqgħu problema mhux solvuta. Fir-Renju Unit, rapport għal Kumitat tal-House of Lords talab biex iħeġġeġ lill-IPCC biex jinvolvi valutazzjonijiet aħjar tal-ispejjeż u l-benefiċċji tal-bidla fil-klima iżda r-reviżjoni tal-poppa ordnata mill-gv"&amp;"ern tar-Renju Unit għamlet argument aktar qawwi favur il-ġlieda kontra t-tibdil fil-klima magħmul mill-bniedem -")</f>
        <v>Skond il-paragun ta 'Sheldon Ungar mat-tisħin globali, l-atturi fil-każ tat-tnaqqis tal-ożonu kellhom għarfien aħjar tal-injoranza u l-inċertezzi xjentifiċi. Il-każ ta 'l-ożonu kkomunikat lil persuni lajċi "b'metafori li jgħaqqdu faċli biex jinftiehmu derivati ​​mill-kultura popolari" u relatati ma' "riskji immedjati b'relevanza ta 'kuljum", filwaqt li l-opinjoni pubblika dwar it-tibdil fil-klima ma tara l-ebda periklu imminenti. Il-mitigazzjoni gradwali tal-isfida tas-saff tal-ożonu kienet ibbażata wkoll fuq it-tnaqqis ta 'kunflitti ta' qsim ta 'piż reġjonali. Fil-każ tal-konklużjonijiet tal-IPCC u l-falliment tal-protokoll Kyoto, li jvarjaw l-analiżi tal-kost-benefiċċju u l-kunflitti ta 'qsim ta' piż fir-rigward tad-distribuzzjoni tat-tnaqqis tal-emissjonijiet jibqgħu problema mhux solvuta. Fir-Renju Unit, rapport għal Kumitat tal-House of Lords talab biex iħeġġeġ lill-IPCC biex jinvolvi valutazzjonijiet aħjar tal-ispejjeż u l-benefiċċji tal-bidla fil-klima iżda r-reviżjoni tal-poppa ordnata mill-gvern tar-Renju Unit għamlet argument aktar qawwi favur il-ġlieda kontra t-tibdil fil-klima magħmul mill-bniedem -</v>
      </c>
    </row>
    <row r="122" ht="15.75" customHeight="1">
      <c r="A122" s="2" t="s">
        <v>122</v>
      </c>
      <c r="B122" s="2" t="str">
        <f>IFERROR(__xludf.DUMMYFUNCTION("GOOGLETRANSLATE(A122, ""en"", ""mt"")"),"Abercrombie ġie mfakkar u mibdul")</f>
        <v>Abercrombie ġie mfakkar u mibdul</v>
      </c>
    </row>
    <row r="123" ht="15.75" customHeight="1">
      <c r="A123" s="2" t="s">
        <v>123</v>
      </c>
      <c r="B123" s="2" t="str">
        <f>IFERROR(__xludf.DUMMYFUNCTION("GOOGLETRANSLATE(A123, ""en"", ""mt"")"),"Min ġeneralment huwa meqjus fuq l-istess livell bħal tobba, avukati, inġiniera, u accountants (chartered jew CPA)?")</f>
        <v>Min ġeneralment huwa meqjus fuq l-istess livell bħal tobba, avukati, inġiniera, u accountants (chartered jew CPA)?</v>
      </c>
    </row>
    <row r="124" ht="15.75" customHeight="1">
      <c r="A124" s="2" t="s">
        <v>124</v>
      </c>
      <c r="B124" s="2" t="str">
        <f>IFERROR(__xludf.DUMMYFUNCTION("GOOGLETRANSLATE(A124, ""en"", ""mt"")"),"edukazzjoni,")</f>
        <v>edukazzjoni,</v>
      </c>
    </row>
    <row r="125" ht="15.75" customHeight="1">
      <c r="A125" s="2" t="s">
        <v>125</v>
      </c>
      <c r="B125" s="2" t="str">
        <f>IFERROR(__xludf.DUMMYFUNCTION("GOOGLETRANSLATE(A125, ""en"", ""mt"")"),"X’taħseb li Mote Mote s-sistema tal-klassi Yuan verament irrappreżentat?")</f>
        <v>X’taħseb li Mote Mote s-sistema tal-klassi Yuan verament irrappreżentat?</v>
      </c>
    </row>
    <row r="126" ht="15.75" customHeight="1">
      <c r="A126" s="2" t="s">
        <v>126</v>
      </c>
      <c r="B126" s="2" t="str">
        <f>IFERROR(__xludf.DUMMYFUNCTION("GOOGLETRANSLATE(A126, ""en"", ""mt"")"),"Liema imperu mhux Ċiniż irnexxielu d-dinastija Yuan?")</f>
        <v>Liema imperu mhux Ċiniż irnexxielu d-dinastija Yuan?</v>
      </c>
    </row>
    <row r="127" ht="15.75" customHeight="1">
      <c r="A127" s="2" t="s">
        <v>127</v>
      </c>
      <c r="B127" s="2" t="str">
        <f>IFERROR(__xludf.DUMMYFUNCTION("GOOGLETRANSLATE(A127, ""en"", ""mt"")"),"talli ma jkollokx permess ta 'residenza")</f>
        <v>talli ma jkollokx permess ta 'residenza</v>
      </c>
    </row>
    <row r="128" ht="15.75" customHeight="1">
      <c r="A128" s="2" t="s">
        <v>128</v>
      </c>
      <c r="B128" s="2" t="str">
        <f>IFERROR(__xludf.DUMMYFUNCTION("GOOGLETRANSLATE(A128, ""en"", ""mt"")"),"livelli għoljin ta 'inugwaljanza")</f>
        <v>livelli għoljin ta 'inugwaljanza</v>
      </c>
    </row>
    <row r="129" ht="15.75" customHeight="1">
      <c r="A129" s="2" t="s">
        <v>129</v>
      </c>
      <c r="B129" s="2" t="str">
        <f>IFERROR(__xludf.DUMMYFUNCTION("GOOGLETRANSLATE(A129, ""en"", ""mt"")"),"L-estinzjoni tal-Kretaċeju-Paleogene")</f>
        <v>L-estinzjoni tal-Kretaċeju-Paleogene</v>
      </c>
    </row>
    <row r="130" ht="15.75" customHeight="1">
      <c r="A130" s="2" t="s">
        <v>130</v>
      </c>
      <c r="B130" s="2" t="str">
        <f>IFERROR(__xludf.DUMMYFUNCTION("GOOGLETRANSLATE(A130, ""en"", ""mt"")"),"Min kien il-ħakkiem Karluk Kara-Khanid ikklassifikat hawn fuq?")</f>
        <v>Min kien il-ħakkiem Karluk Kara-Khanid ikklassifikat hawn fuq?</v>
      </c>
    </row>
    <row r="131" ht="15.75" customHeight="1">
      <c r="A131" s="2" t="s">
        <v>131</v>
      </c>
      <c r="B131" s="2" t="str">
        <f>IFERROR(__xludf.DUMMYFUNCTION("GOOGLETRANSLATE(A131, ""en"", ""mt"")"),"1⁄3")</f>
        <v>1⁄3</v>
      </c>
    </row>
    <row r="132" ht="15.75" customHeight="1">
      <c r="A132" s="2" t="s">
        <v>132</v>
      </c>
      <c r="B132" s="2" t="str">
        <f>IFERROR(__xludf.DUMMYFUNCTION("GOOGLETRANSLATE(A132, ""en"", ""mt"")"),"gwida")</f>
        <v>gwida</v>
      </c>
    </row>
    <row r="133" ht="15.75" customHeight="1">
      <c r="A133" s="2" t="s">
        <v>133</v>
      </c>
      <c r="B133" s="2" t="str">
        <f>IFERROR(__xludf.DUMMYFUNCTION("GOOGLETRANSLATE(A133, ""en"", ""mt"")"),"Minn fejn id-dinofisi kisbet il-kloroplasti tagħha?")</f>
        <v>Minn fejn id-dinofisi kisbet il-kloroplasti tagħha?</v>
      </c>
    </row>
    <row r="134" ht="15.75" customHeight="1">
      <c r="A134" s="2" t="s">
        <v>134</v>
      </c>
      <c r="B134" s="2" t="str">
        <f>IFERROR(__xludf.DUMMYFUNCTION("GOOGLETRANSLATE(A134, ""en"", ""mt"")"),"numru wieħed")</f>
        <v>numru wieħed</v>
      </c>
    </row>
    <row r="135" ht="15.75" customHeight="1">
      <c r="A135" s="2" t="s">
        <v>135</v>
      </c>
      <c r="B135" s="2" t="str">
        <f>IFERROR(__xludf.DUMMYFUNCTION("GOOGLETRANSLATE(A135, ""en"", ""mt"")"),"kloroplast derivat mill-alka ħamra")</f>
        <v>kloroplast derivat mill-alka ħamra</v>
      </c>
    </row>
    <row r="136" ht="15.75" customHeight="1">
      <c r="A136" s="2" t="s">
        <v>136</v>
      </c>
      <c r="B136" s="2" t="str">
        <f>IFERROR(__xludf.DUMMYFUNCTION("GOOGLETRANSLATE(A136, ""en"", ""mt"")"),"20–18,")</f>
        <v>20–18,</v>
      </c>
    </row>
    <row r="137" ht="15.75" customHeight="1">
      <c r="A137" s="2" t="s">
        <v>137</v>
      </c>
      <c r="B137" s="2" t="str">
        <f>IFERROR(__xludf.DUMMYFUNCTION("GOOGLETRANSLATE(A137, ""en"", ""mt"")"),"L-ossiġnu huwa preżenti fl-atmosfera fi kwantitajiet ta 'traċċa fil-forma ta' dijossidu tal-karbonju (CO
2). Il-blat tal-qoxra tad-Dinja huwa magħmul f'parti kbira ta 'ossidi tas-silikon (Silica Sio
2, kif misjub fil-granit u l-kwarz), aluminju (ossidu ta"&amp;"l-aluminju al
2o
3, fil-bauxite u l-kurundun), ħadid (ħadid (iii) ossidu Fe
2o
3, fl-ematite u s-sadid), u karbonat tal-kalċju (fil-franka). Il-kumplament tal-qoxra tad-dinja huwa magħmul ukoll minn komposti ta 'ossiġnu, b'mod partikolari diversi silikati"&amp;" kumplessi (f'minerali tas-silikat). Il-mantell tad-Dinja, ta 'massa ferm akbar mill-qoxra, huwa magħmul fil-biċċa l-kbira minn silikati ta' manjeżju u ħadid.")</f>
        <v>L-ossiġnu huwa preżenti fl-atmosfera fi kwantitajiet ta 'traċċa fil-forma ta' dijossidu tal-karbonju (CO
2). Il-blat tal-qoxra tad-Dinja huwa magħmul f'parti kbira ta 'ossidi tas-silikon (Silica Sio
2, kif misjub fil-granit u l-kwarz), aluminju (ossidu tal-aluminju al
2o
3, fil-bauxite u l-kurundun), ħadid (ħadid (iii) ossidu Fe
2o
3, fl-ematite u s-sadid), u karbonat tal-kalċju (fil-franka). Il-kumplament tal-qoxra tad-dinja huwa magħmul ukoll minn komposti ta 'ossiġnu, b'mod partikolari diversi silikati kumplessi (f'minerali tas-silikat). Il-mantell tad-Dinja, ta 'massa ferm akbar mill-qoxra, huwa magħmul fil-biċċa l-kbira minn silikati ta' manjeżju u ħadid.</v>
      </c>
    </row>
    <row r="138" ht="15.75" customHeight="1">
      <c r="A138" s="2" t="s">
        <v>138</v>
      </c>
      <c r="B138" s="2" t="str">
        <f>IFERROR(__xludf.DUMMYFUNCTION("GOOGLETRANSLATE(A138, ""en"", ""mt"")"),"ftit")</f>
        <v>ftit</v>
      </c>
    </row>
    <row r="139" ht="15.75" customHeight="1">
      <c r="A139" s="2" t="s">
        <v>139</v>
      </c>
      <c r="B139" s="2" t="str">
        <f>IFERROR(__xludf.DUMMYFUNCTION("GOOGLETRANSLATE(A139, ""en"", ""mt"")"),"Sufizmu")</f>
        <v>Sufizmu</v>
      </c>
    </row>
    <row r="140" ht="15.75" customHeight="1">
      <c r="A140" s="2" t="s">
        <v>140</v>
      </c>
      <c r="B140" s="2" t="str">
        <f>IFERROR(__xludf.DUMMYFUNCTION("GOOGLETRANSLATE(A140, ""en"", ""mt"")"),"Liema nies ġabu wieħed mill-ewwel eżempji ta 'diżubbidjenza ċivili?")</f>
        <v>Liema nies ġabu wieħed mill-ewwel eżempji ta 'diżubbidjenza ċivili?</v>
      </c>
    </row>
    <row r="141" ht="15.75" customHeight="1">
      <c r="A141" s="2" t="s">
        <v>141</v>
      </c>
      <c r="B141" s="2" t="str">
        <f>IFERROR(__xludf.DUMMYFUNCTION("GOOGLETRANSLATE(A141, ""en"", ""mt"")"),"Jista 'jkun daħal fl-Ewropa f'żewġ mewġ")</f>
        <v>Jista 'jkun daħal fl-Ewropa f'żewġ mewġ</v>
      </c>
    </row>
    <row r="142" ht="15.75" customHeight="1">
      <c r="A142" s="2" t="s">
        <v>142</v>
      </c>
      <c r="B142" s="2" t="str">
        <f>IFERROR(__xludf.DUMMYFUNCTION("GOOGLETRANSLATE(A142, ""en"", ""mt"")"),"X'inhu l-isem tal-funzjoni użata għall-akbar numru sħiħ mhux akbar min-numru in kwistjoni?")</f>
        <v>X'inhu l-isem tal-funzjoni użata għall-akbar numru sħiħ mhux akbar min-numru in kwistjoni?</v>
      </c>
    </row>
    <row r="143" ht="15.75" customHeight="1">
      <c r="A143" s="2" t="s">
        <v>143</v>
      </c>
      <c r="B143" s="2" t="str">
        <f>IFERROR(__xludf.DUMMYFUNCTION("GOOGLETRANSLATE(A143, ""en"", ""mt"")"),"Mudell standard")</f>
        <v>Mudell standard</v>
      </c>
    </row>
    <row r="144" ht="15.75" customHeight="1">
      <c r="A144" s="2" t="s">
        <v>144</v>
      </c>
      <c r="B144" s="2" t="str">
        <f>IFERROR(__xludf.DUMMYFUNCTION("GOOGLETRANSLATE(A144, ""en"", ""mt"")"),"regolamenti u direttivi")</f>
        <v>regolamenti u direttivi</v>
      </c>
    </row>
    <row r="145" ht="15.75" customHeight="1">
      <c r="A145" s="2" t="s">
        <v>145</v>
      </c>
      <c r="B145" s="2" t="str">
        <f>IFERROR(__xludf.DUMMYFUNCTION("GOOGLETRANSLATE(A145, ""en"", ""mt"")"),"'art vojta'")</f>
        <v>'art vojta'</v>
      </c>
    </row>
    <row r="146" ht="15.75" customHeight="1">
      <c r="A146" s="2" t="s">
        <v>146</v>
      </c>
      <c r="B146" s="2" t="str">
        <f>IFERROR(__xludf.DUMMYFUNCTION("GOOGLETRANSLATE(A146, ""en"", ""mt"")"),"Iż-żewġ simboli l-aktar komunement assoċjati mal-ispiżerija f'pajjiżi li jitkellmu bl-Ingliż huma l-mehrież u l-lida u l-karattru ℞ (reċipjent), li ħafna drabi huwa miktub bħala ""rx"" fit-test ittajpjat. Il-globu tal-ispettaklu ntuża wkoll sal-bidu tas-s"&amp;"eklu 20. L-organizzazzjonijiet tal-ispiżerija spiss jużaw simboli oħra, bħall-iskutella ta 'l-iġeia li ħafna drabi tintuża fl-Olanda, miżuri koniċi, u kaduċewes fil-logos tagħhom. Simboli oħra huma komuni f'pajjiżi differenti: is-Salib Grieg aħdar fi Fran"&amp;"za, l-Arġentina, ir-Renju Unit, il-Belġju, l-Irlanda, l-Italja, Spanja, u l-Indja, il-Gaper dejjem aktar rari fl-Olanda, u ittra stilizzata ħamra A fil-Ġermanja u l-Awstrija (Minn Apotheke, il-kelma Ġermaniża għall-ispiżerija, mill-istess għerq Griega bħa"&amp;"ll-kelma Ingliża 'Apothecary').")</f>
        <v>Iż-żewġ simboli l-aktar komunement assoċjati mal-ispiżerija f'pajjiżi li jitkellmu bl-Ingliż huma l-mehrież u l-lida u l-karattru ℞ (reċipjent), li ħafna drabi huwa miktub bħala "rx" fit-test ittajpjat. Il-globu tal-ispettaklu ntuża wkoll sal-bidu tas-seklu 20. L-organizzazzjonijiet tal-ispiżerija spiss jużaw simboli oħra, bħall-iskutella ta 'l-iġeia li ħafna drabi tintuża fl-Olanda, miżuri koniċi, u kaduċewes fil-logos tagħhom. Simboli oħra huma komuni f'pajjiżi differenti: is-Salib Grieg aħdar fi Franza, l-Arġentina, ir-Renju Unit, il-Belġju, l-Irlanda, l-Italja, Spanja, u l-Indja, il-Gaper dejjem aktar rari fl-Olanda, u ittra stilizzata ħamra A fil-Ġermanja u l-Awstrija (Minn Apotheke, il-kelma Ġermaniża għall-ispiżerija, mill-istess għerq Griega bħall-kelma Ingliża 'Apothecary').</v>
      </c>
    </row>
    <row r="147" ht="15.75" customHeight="1">
      <c r="A147" s="2" t="s">
        <v>147</v>
      </c>
      <c r="B147" s="2" t="str">
        <f>IFERROR(__xludf.DUMMYFUNCTION("GOOGLETRANSLATE(A147, ""en"", ""mt"")"),"Maġġoranza fil-Parlament")</f>
        <v>Maġġoranza fil-Parlament</v>
      </c>
    </row>
    <row r="148" ht="15.75" customHeight="1">
      <c r="A148" s="2" t="s">
        <v>148</v>
      </c>
      <c r="B148" s="2" t="str">
        <f>IFERROR(__xludf.DUMMYFUNCTION("GOOGLETRANSLATE(A148, ""en"", ""mt"")"),"Downtown Santa Monica u d-downtown Glendale huma parti minn liema żona?")</f>
        <v>Downtown Santa Monica u d-downtown Glendale huma parti minn liema żona?</v>
      </c>
    </row>
    <row r="149" ht="15.75" customHeight="1">
      <c r="A149" s="2" t="s">
        <v>149</v>
      </c>
      <c r="B149" s="2" t="str">
        <f>IFERROR(__xludf.DUMMYFUNCTION("GOOGLETRANSLATE(A149, ""en"", ""mt"")"),"qed jiġu abbozzati")</f>
        <v>qed jiġu abbozzati</v>
      </c>
    </row>
    <row r="150" ht="15.75" customHeight="1">
      <c r="A150" s="2" t="s">
        <v>150</v>
      </c>
      <c r="B150" s="2" t="str">
        <f>IFERROR(__xludf.DUMMYFUNCTION("GOOGLETRANSLATE(A150, ""en"", ""mt"")"),"L-Imperu Ruman")</f>
        <v>L-Imperu Ruman</v>
      </c>
    </row>
    <row r="151" ht="15.75" customHeight="1">
      <c r="A151" s="2" t="s">
        <v>151</v>
      </c>
      <c r="B151" s="2" t="str">
        <f>IFERROR(__xludf.DUMMYFUNCTION("GOOGLETRANSLATE(A151, ""en"", ""mt"")"),"gvernijiet")</f>
        <v>gvernijiet</v>
      </c>
    </row>
    <row r="152" ht="15.75" customHeight="1">
      <c r="A152" s="2" t="s">
        <v>152</v>
      </c>
      <c r="B152" s="2" t="str">
        <f>IFERROR(__xludf.DUMMYFUNCTION("GOOGLETRANSLATE(A152, ""en"", ""mt"")"),"Il-verżjoni tal-2005 ta 'Doctor Who")</f>
        <v>Il-verżjoni tal-2005 ta 'Doctor Who</v>
      </c>
    </row>
    <row r="153" ht="15.75" customHeight="1">
      <c r="A153" s="2" t="s">
        <v>153</v>
      </c>
      <c r="B153" s="2" t="str">
        <f>IFERROR(__xludf.DUMMYFUNCTION("GOOGLETRANSLATE(A153, ""en"", ""mt"")"),"It-titjib tal-port mill-aħħar tas-seklu 19 għamlu lil Jacksonville port maġġuri militari u ċivili tal-fond. Il-post tax-xmajjar tiegħu jiffaċilita żewġ bażijiet tan-Navy tal-Istati Uniti u l-Port ta 'Jacksonville, it-tielet l-akbar port tal-baħar ta' Flor"&amp;"ida. Iż-żewġ bażijiet tan-Navy Amerikana, Blount Island Command u l-Bażi tas-sottomarini Navali fil-viċin jiffurmaw it-tielet l-akbar preżenza militari fl-Istati Uniti. Fatturi sinifikanti fl-ekonomija lokali jinkludu servizzi bħal banek, assigurazzjoni, "&amp;"kura tas-saħħa u loġistika. Bħal f'ħafna mill-Florida, it-turiżmu huwa importanti wkoll għaż-żona ta 'Jacksonville, partikolarment it-turiżmu relatat mal-golf. Nies minn Jacksonville jistgħu jissejħu ""Jacksonvillians"" jew ""Jaxsons"" (spjegati wkoll ""J"&amp;"axons"").")</f>
        <v>It-titjib tal-port mill-aħħar tas-seklu 19 għamlu lil Jacksonville port maġġuri militari u ċivili tal-fond. Il-post tax-xmajjar tiegħu jiffaċilita żewġ bażijiet tan-Navy tal-Istati Uniti u l-Port ta 'Jacksonville, it-tielet l-akbar port tal-baħar ta' Florida. Iż-żewġ bażijiet tan-Navy Amerikana, Blount Island Command u l-Bażi tas-sottomarini Navali fil-viċin jiffurmaw it-tielet l-akbar preżenza militari fl-Istati Uniti. Fatturi sinifikanti fl-ekonomija lokali jinkludu servizzi bħal banek, assigurazzjoni, kura tas-saħħa u loġistika. Bħal f'ħafna mill-Florida, it-turiżmu huwa importanti wkoll għaż-żona ta 'Jacksonville, partikolarment it-turiżmu relatat mal-golf. Nies minn Jacksonville jistgħu jissejħu "Jacksonvillians" jew "Jaxsons" (spjegati wkoll "Jaxons").</v>
      </c>
    </row>
    <row r="154" ht="15.75" customHeight="1">
      <c r="A154" s="2" t="s">
        <v>154</v>
      </c>
      <c r="B154" s="2" t="str">
        <f>IFERROR(__xludf.DUMMYFUNCTION("GOOGLETRANSLATE(A154, ""en"", ""mt"")"),"Minn xiex kien il-kunċett ta 'forza?")</f>
        <v>Minn xiex kien il-kunċett ta 'forza?</v>
      </c>
    </row>
    <row r="155" ht="15.75" customHeight="1">
      <c r="A155" s="2" t="s">
        <v>155</v>
      </c>
      <c r="B155" s="2" t="str">
        <f>IFERROR(__xludf.DUMMYFUNCTION("GOOGLETRANSLATE(A155, ""en"", ""mt"")"),"1677–1683")</f>
        <v>1677–1683</v>
      </c>
    </row>
    <row r="156" ht="15.75" customHeight="1">
      <c r="A156" s="2" t="s">
        <v>156</v>
      </c>
      <c r="B156" s="2" t="str">
        <f>IFERROR(__xludf.DUMMYFUNCTION("GOOGLETRANSLATE(A156, ""en"", ""mt"")"),"element ta 'tisħin elettriku")</f>
        <v>element ta 'tisħin elettriku</v>
      </c>
    </row>
    <row r="157" ht="15.75" customHeight="1">
      <c r="A157" s="2" t="s">
        <v>157</v>
      </c>
      <c r="B157" s="2" t="str">
        <f>IFERROR(__xludf.DUMMYFUNCTION("GOOGLETRANSLATE(A157, ""en"", ""mt"")"),"Kemm thylakoids tal-granal jistgħu jkunu f'kull granum?")</f>
        <v>Kemm thylakoids tal-granal jistgħu jkunu f'kull granum?</v>
      </c>
    </row>
    <row r="158" ht="15.75" customHeight="1">
      <c r="A158" s="2" t="s">
        <v>158</v>
      </c>
      <c r="B158" s="2" t="str">
        <f>IFERROR(__xludf.DUMMYFUNCTION("GOOGLETRANSLATE(A158, ""en"", ""mt"")"),"blat metamorfiku")</f>
        <v>blat metamorfiku</v>
      </c>
    </row>
    <row r="159" ht="15.75" customHeight="1">
      <c r="A159" s="2" t="s">
        <v>159</v>
      </c>
      <c r="B159" s="2" t="str">
        <f>IFERROR(__xludf.DUMMYFUNCTION("GOOGLETRANSLATE(A159, ""en"", ""mt"")"),"Skond l-ekonomisti David Castells-Quintana u Vicente Royuela, l-inugwaljanza dejjem tiżdied tagħmel ħsara lit-tkabbir ekonomiku. Qgħad għoli u persistenti, li fih l-inugwaljanza tiżdied, għandu effett negattiv fuq tkabbir ekonomiku sussegwenti fit-tul. Il"&amp;"-qgħad jista 'jagħmel ħsara lit-tkabbir mhux biss minħabba li huwa ħela ta' riżorsi, iżda wkoll minħabba li jiġġenera pressjonijiet ridistributtivi u distorsjonijiet sussegwenti, imexxi lin-nies għall-faqar, jillimita l-likwidità li tillimita l-mobilità t"&amp;"ax-xogħol, u tnaqqas l-istima personali li tippromwovi d-diżlokazzjoni soċjali, l-inkwiet u l-kunflitt. Il-politiki li jimmiraw biex jikkontrollaw il-qgħad u b'mod partikolari biex inaqqsu l-effetti assoċjati mal-inugwaljanza tiegħu jappoġġjaw it-tkabbir "&amp;"ekonomiku.")</f>
        <v>Skond l-ekonomisti David Castells-Quintana u Vicente Royuela, l-inugwaljanza dejjem tiżdied tagħmel ħsara lit-tkabbir ekonomiku. Qgħad għoli u persistenti, li fih l-inugwaljanza tiżdied, għandu effett negattiv fuq tkabbir ekonomiku sussegwenti fit-tul. Il-qgħad jista 'jagħmel ħsara lit-tkabbir mhux biss minħabba li huwa ħela ta' riżorsi, iżda wkoll minħabba li jiġġenera pressjonijiet ridistributtivi u distorsjonijiet sussegwenti, imexxi lin-nies għall-faqar, jillimita l-likwidità li tillimita l-mobilità tax-xogħol, u tnaqqas l-istima personali li tippromwovi d-diżlokazzjoni soċjali, l-inkwiet u l-kunflitt. Il-politiki li jimmiraw biex jikkontrollaw il-qgħad u b'mod partikolari biex inaqqsu l-effetti assoċjati mal-inugwaljanza tiegħu jappoġġjaw it-tkabbir ekonomiku.</v>
      </c>
    </row>
    <row r="160" ht="15.75" customHeight="1">
      <c r="A160" s="2" t="s">
        <v>160</v>
      </c>
      <c r="B160" s="2" t="str">
        <f>IFERROR(__xludf.DUMMYFUNCTION("GOOGLETRANSLATE(A160, ""en"", ""mt"")"),"In-numri ewlenin influwenzaw ħafna artisti u kittieba. Il-kompożitur Franċiż Olivier Messiaen uża n-numri ewlenin biex joħloq mużika ametrika permezz ta '""fenomeni naturali"". F'xogħlijiet bħal La Nativité du Seigneur (1935) u Quatre Études de Rythme (19"&amp;"49-50), huwa fl-istess ħin jimpjega motivi b'tulijiet mogħtija minn numri primarji differenti biex joħolqu ritmi imprevedibbli: il-Primes 41, 43, 47 u 53 jidhru fil-Primes It-tielet Étude, ""Neumes Rythmiques"". Skond Messiaen dan il-mod ta 'kompożizzjoni"&amp;" kien ""ispirat mill-movimenti tan-natura, movimenti ta' tul ta 'żmien ħieles u mhux ugwali"".")</f>
        <v>In-numri ewlenin influwenzaw ħafna artisti u kittieba. Il-kompożitur Franċiż Olivier Messiaen uża n-numri ewlenin biex joħloq mużika ametrika permezz ta '"fenomeni naturali". F'xogħlijiet bħal La Nativité du Seigneur (1935) u Quatre Études de Rythme (1949-50), huwa fl-istess ħin jimpjega motivi b'tulijiet mogħtija minn numri primarji differenti biex joħolqu ritmi imprevedibbli: il-Primes 41, 43, 47 u 53 jidhru fil-Primes It-tielet Étude, "Neumes Rythmiques". Skond Messiaen dan il-mod ta 'kompożizzjoni kien "ispirat mill-movimenti tan-natura, movimenti ta' tul ta 'żmien ħieles u mhux ugwali".</v>
      </c>
    </row>
    <row r="161" ht="15.75" customHeight="1">
      <c r="A161" s="2" t="s">
        <v>161</v>
      </c>
      <c r="B161" s="2" t="str">
        <f>IFERROR(__xludf.DUMMYFUNCTION("GOOGLETRANSLATE(A161, ""en"", ""mt"")"),"Liema funzjoni twettaq l-ożonu għall-pjaneta?")</f>
        <v>Liema funzjoni twettaq l-ożonu għall-pjaneta?</v>
      </c>
    </row>
    <row r="162" ht="15.75" customHeight="1">
      <c r="A162" s="2" t="s">
        <v>162</v>
      </c>
      <c r="B162" s="2" t="str">
        <f>IFERROR(__xludf.DUMMYFUNCTION("GOOGLETRANSLATE(A162, ""en"", ""mt"")"),"30 ta 'Settembru, 1960")</f>
        <v>30 ta 'Settembru, 1960</v>
      </c>
    </row>
    <row r="163" ht="15.75" customHeight="1">
      <c r="A163" s="2" t="s">
        <v>163</v>
      </c>
      <c r="B163" s="2" t="str">
        <f>IFERROR(__xludf.DUMMYFUNCTION("GOOGLETRANSLATE(A163, ""en"", ""mt"")"),"£ 34m")</f>
        <v>£ 34m</v>
      </c>
    </row>
    <row r="164" ht="15.75" customHeight="1">
      <c r="A164" s="2" t="s">
        <v>164</v>
      </c>
      <c r="B164" s="2" t="str">
        <f>IFERROR(__xludf.DUMMYFUNCTION("GOOGLETRANSLATE(A164, ""en"", ""mt"")"),"Bosta mill-veritajiet ċentrali tal-Kristjaneżmu")</f>
        <v>Bosta mill-veritajiet ċentrali tal-Kristjaneżmu</v>
      </c>
    </row>
    <row r="165" ht="15.75" customHeight="1">
      <c r="A165" s="2" t="s">
        <v>165</v>
      </c>
      <c r="B165" s="2" t="str">
        <f>IFERROR(__xludf.DUMMYFUNCTION("GOOGLETRANSLATE(A165, ""en"", ""mt"")"),"Kummentarju dwar il-Ġenesi")</f>
        <v>Kummentarju dwar il-Ġenesi</v>
      </c>
    </row>
    <row r="166" ht="15.75" customHeight="1">
      <c r="A166" s="2" t="s">
        <v>166</v>
      </c>
      <c r="B166" s="2" t="str">
        <f>IFERROR(__xludf.DUMMYFUNCTION("GOOGLETRANSLATE(A166, ""en"", ""mt"")"),"Buddiżmu Tibetan")</f>
        <v>Buddiżmu Tibetan</v>
      </c>
    </row>
    <row r="167" ht="15.75" customHeight="1">
      <c r="A167" s="2" t="s">
        <v>167</v>
      </c>
      <c r="B167" s="2" t="str">
        <f>IFERROR(__xludf.DUMMYFUNCTION("GOOGLETRANSLATE(A167, ""en"", ""mt"")"),"Taħt liema direttiva l-UE armat restrizzjonijiet fuq ir-restrizzjonijiet fuq il-kummerċjalizzazzjoni u r-reklamar?")</f>
        <v>Taħt liema direttiva l-UE armat restrizzjonijiet fuq ir-restrizzjonijiet fuq il-kummerċjalizzazzjoni u r-reklamar?</v>
      </c>
    </row>
    <row r="168" ht="15.75" customHeight="1">
      <c r="A168" s="2" t="s">
        <v>168</v>
      </c>
      <c r="B168" s="2" t="str">
        <f>IFERROR(__xludf.DUMMYFUNCTION("GOOGLETRANSLATE(A168, ""en"", ""mt"")"),"miġbura fit-toroq")</f>
        <v>miġbura fit-toroq</v>
      </c>
    </row>
    <row r="169" ht="15.75" customHeight="1">
      <c r="A169" s="2" t="s">
        <v>169</v>
      </c>
      <c r="B169" s="2" t="str">
        <f>IFERROR(__xludf.DUMMYFUNCTION("GOOGLETRANSLATE(A169, ""en"", ""mt"")"),"Wara li ċaħad il-konfessjoni obbligatorja, x'sejjaħ Luther?")</f>
        <v>Wara li ċaħad il-konfessjoni obbligatorja, x'sejjaħ Luther?</v>
      </c>
    </row>
    <row r="170" ht="15.75" customHeight="1">
      <c r="A170" s="2" t="s">
        <v>170</v>
      </c>
      <c r="B170" s="2" t="str">
        <f>IFERROR(__xludf.DUMMYFUNCTION("GOOGLETRANSLATE(A170, ""en"", ""mt"")"),"Liema festival huwa miżmum fil-komunità omosesswali ta 'Newcastle f'nofs Lulju?")</f>
        <v>Liema festival huwa miżmum fil-komunità omosesswali ta 'Newcastle f'nofs Lulju?</v>
      </c>
    </row>
    <row r="171" ht="15.75" customHeight="1">
      <c r="A171" s="2" t="s">
        <v>171</v>
      </c>
      <c r="B171" s="2" t="str">
        <f>IFERROR(__xludf.DUMMYFUNCTION("GOOGLETRANSLATE(A171, ""en"", ""mt"")"),"X'qed jara lil missier Martin li daħal fil-kjostru bħala ħela ta '?")</f>
        <v>X'qed jara lil missier Martin li daħal fil-kjostru bħala ħela ta '?</v>
      </c>
    </row>
    <row r="172" ht="15.75" customHeight="1">
      <c r="A172" s="2" t="s">
        <v>172</v>
      </c>
      <c r="B172" s="2" t="str">
        <f>IFERROR(__xludf.DUMMYFUNCTION("GOOGLETRANSLATE(A172, ""en"", ""mt"")"),"Kif hija l-fergħa ġudizzjarja tal-UE fattur importanti fl-iżvilupp tal-liġi tal-UE?")</f>
        <v>Kif hija l-fergħa ġudizzjarja tal-UE fattur importanti fl-iżvilupp tal-liġi tal-UE?</v>
      </c>
    </row>
    <row r="173" ht="15.75" customHeight="1">
      <c r="A173" s="2" t="s">
        <v>173</v>
      </c>
      <c r="B173" s="2" t="str">
        <f>IFERROR(__xludf.DUMMYFUNCTION("GOOGLETRANSLATE(A173, ""en"", ""mt"")"),"Liema apparati ġew ikkreditati bħala l-forza li tiċċaqlaq tar-rivoluzzjoni industrijali?")</f>
        <v>Liema apparati ġew ikkreditati bħala l-forza li tiċċaqlaq tar-rivoluzzjoni industrijali?</v>
      </c>
    </row>
    <row r="174" ht="15.75" customHeight="1">
      <c r="A174" s="2" t="s">
        <v>174</v>
      </c>
      <c r="B174" s="2" t="str">
        <f>IFERROR(__xludf.DUMMYFUNCTION("GOOGLETRANSLATE(A174, ""en"", ""mt"")"),"jirrendu ċerti liġijiet ineffettivi")</f>
        <v>jirrendu ċerti liġijiet ineffettivi</v>
      </c>
    </row>
    <row r="175" ht="15.75" customHeight="1">
      <c r="A175" s="2" t="s">
        <v>175</v>
      </c>
      <c r="B175" s="2" t="str">
        <f>IFERROR(__xludf.DUMMYFUNCTION("GOOGLETRANSLATE(A175, ""en"", ""mt"")"),"L-anzjan / djaknu proviżorju")</f>
        <v>L-anzjan / djaknu proviżorju</v>
      </c>
    </row>
    <row r="176" ht="15.75" customHeight="1">
      <c r="A176" s="2" t="s">
        <v>176</v>
      </c>
      <c r="B176" s="2" t="str">
        <f>IFERROR(__xludf.DUMMYFUNCTION("GOOGLETRANSLATE(A176, ""en"", ""mt"")"),"Fejn tinsab il-Mużew Victoria u Albert?")</f>
        <v>Fejn tinsab il-Mużew Victoria u Albert?</v>
      </c>
    </row>
    <row r="177" ht="15.75" customHeight="1">
      <c r="A177" s="2" t="s">
        <v>177</v>
      </c>
      <c r="B177" s="2" t="str">
        <f>IFERROR(__xludf.DUMMYFUNCTION("GOOGLETRANSLATE(A177, ""en"", ""mt"")"),"Il-Ġnien Sassonu")</f>
        <v>Il-Ġnien Sassonu</v>
      </c>
    </row>
    <row r="178" ht="15.75" customHeight="1">
      <c r="A178" s="2" t="s">
        <v>178</v>
      </c>
      <c r="B178" s="2" t="str">
        <f>IFERROR(__xludf.DUMMYFUNCTION("GOOGLETRANSLATE(A178, ""en"", ""mt"")"),"Min appoġġja politiki li għandhom soluzzjonijiet li jidhru tajbin imma għandhom prospetti ħżiena?")</f>
        <v>Min appoġġja politiki li għandhom soluzzjonijiet li jidhru tajbin imma għandhom prospetti ħżiena?</v>
      </c>
    </row>
    <row r="179" ht="15.75" customHeight="1">
      <c r="A179" s="2" t="s">
        <v>179</v>
      </c>
      <c r="B179" s="2" t="str">
        <f>IFERROR(__xludf.DUMMYFUNCTION("GOOGLETRANSLATE(A179, ""en"", ""mt"")"),"kuntest modern")</f>
        <v>kuntest modern</v>
      </c>
    </row>
    <row r="180" ht="15.75" customHeight="1">
      <c r="A180" s="2" t="s">
        <v>180</v>
      </c>
      <c r="B180" s="2" t="str">
        <f>IFERROR(__xludf.DUMMYFUNCTION("GOOGLETRANSLATE(A180, ""en"", ""mt"")"),"X'tip ta 'gradjenti għandu cpDNA?")</f>
        <v>X'tip ta 'gradjenti għandu cpDNA?</v>
      </c>
    </row>
    <row r="181" ht="15.75" customHeight="1">
      <c r="A181" s="2" t="s">
        <v>181</v>
      </c>
      <c r="B181" s="2" t="str">
        <f>IFERROR(__xludf.DUMMYFUNCTION("GOOGLETRANSLATE(A181, ""en"", ""mt"")"),"F'liema pressjoni jissaħħan l-ilma fiċ-ċiklu ta 'Rankine?")</f>
        <v>F'liema pressjoni jissaħħan l-ilma fiċ-ċiklu ta 'Rankine?</v>
      </c>
    </row>
    <row r="182" ht="15.75" customHeight="1">
      <c r="A182" s="2" t="s">
        <v>182</v>
      </c>
      <c r="B182" s="2" t="str">
        <f>IFERROR(__xludf.DUMMYFUNCTION("GOOGLETRANSLATE(A182, ""en"", ""mt"")"),"Fit-triq inbniet is-sostituzzjoni tar-Royal Theatre Royal?")</f>
        <v>Fit-triq inbniet is-sostituzzjoni tar-Royal Theatre Royal?</v>
      </c>
    </row>
    <row r="183" ht="15.75" customHeight="1">
      <c r="A183" s="2" t="s">
        <v>183</v>
      </c>
      <c r="B183" s="2" t="str">
        <f>IFERROR(__xludf.DUMMYFUNCTION("GOOGLETRANSLATE(A183, ""en"", ""mt"")"),"Parti ewlenija tas-sinsla tal-internet")</f>
        <v>Parti ewlenija tas-sinsla tal-internet</v>
      </c>
    </row>
    <row r="184" ht="15.75" customHeight="1">
      <c r="A184" s="2" t="s">
        <v>184</v>
      </c>
      <c r="B184" s="2" t="str">
        <f>IFERROR(__xludf.DUMMYFUNCTION("GOOGLETRANSLATE(A184, ""en"", ""mt"")"),"Henry Cole Wing")</f>
        <v>Henry Cole Wing</v>
      </c>
    </row>
    <row r="185" ht="15.75" customHeight="1">
      <c r="A185" s="2" t="s">
        <v>185</v>
      </c>
      <c r="B185" s="2" t="str">
        <f>IFERROR(__xludf.DUMMYFUNCTION("GOOGLETRANSLATE(A185, ""en"", ""mt"")"),"Qtil ta ’Kristu,")</f>
        <v>Qtil ta ’Kristu,</v>
      </c>
    </row>
    <row r="186" ht="15.75" customHeight="1">
      <c r="A186" s="2" t="s">
        <v>186</v>
      </c>
      <c r="B186" s="2" t="str">
        <f>IFERROR(__xludf.DUMMYFUNCTION("GOOGLETRANSLATE(A186, ""en"", ""mt"")"),"tillimita d-domanda aggregata")</f>
        <v>tillimita d-domanda aggregata</v>
      </c>
    </row>
    <row r="187" ht="15.75" customHeight="1">
      <c r="A187" s="2" t="s">
        <v>187</v>
      </c>
      <c r="B187" s="2" t="str">
        <f>IFERROR(__xludf.DUMMYFUNCTION("GOOGLETRANSLATE(A187, ""en"", ""mt"")"),"Xi jfisser l-ewwel mużew tal-posters fid-dinja waħda mill-ikbar kollezzjonijiet fid-dinja?")</f>
        <v>Xi jfisser l-ewwel mużew tal-posters fid-dinja waħda mill-ikbar kollezzjonijiet fid-dinja?</v>
      </c>
    </row>
    <row r="188" ht="15.75" customHeight="1">
      <c r="A188" s="2" t="s">
        <v>188</v>
      </c>
      <c r="B188" s="2" t="str">
        <f>IFERROR(__xludf.DUMMYFUNCTION("GOOGLETRANSLATE(A188, ""en"", ""mt"")"),"Charles Brenton Huggins u Janet Rowley")</f>
        <v>Charles Brenton Huggins u Janet Rowley</v>
      </c>
    </row>
    <row r="189" ht="15.75" customHeight="1">
      <c r="A189" s="2" t="s">
        <v>189</v>
      </c>
      <c r="B189" s="2" t="str">
        <f>IFERROR(__xludf.DUMMYFUNCTION("GOOGLETRANSLATE(A189, ""en"", ""mt"")"),"Liema parti hija favorita f'Bedigo u Geelong?")</f>
        <v>Liema parti hija favorita f'Bedigo u Geelong?</v>
      </c>
    </row>
    <row r="190" ht="15.75" customHeight="1">
      <c r="A190" s="2" t="s">
        <v>190</v>
      </c>
      <c r="B190" s="2" t="str">
        <f>IFERROR(__xludf.DUMMYFUNCTION("GOOGLETRANSLATE(A190, ""en"", ""mt"")"),"Kif in-numru Prime P fil-postulat ta 'Bertrand huwa espress matematikament?")</f>
        <v>Kif in-numru Prime P fil-postulat ta 'Bertrand huwa espress matematikament?</v>
      </c>
    </row>
    <row r="191" ht="15.75" customHeight="1">
      <c r="A191" s="2" t="s">
        <v>191</v>
      </c>
      <c r="B191" s="2" t="str">
        <f>IFERROR(__xludf.DUMMYFUNCTION("GOOGLETRANSLATE(A191, ""en"", ""mt"")"),"Forster I, Forster II, u Forster III,")</f>
        <v>Forster I, Forster II, u Forster III,</v>
      </c>
    </row>
    <row r="192" ht="15.75" customHeight="1">
      <c r="A192" s="2" t="s">
        <v>192</v>
      </c>
      <c r="B192" s="2" t="str">
        <f>IFERROR(__xludf.DUMMYFUNCTION("GOOGLETRANSLATE(A192, ""en"", ""mt"")"),"Flimkien ma 'magni tal-baħar u unitajiet industrijali, f'liema magni kienu qed jikkomponu popolari?")</f>
        <v>Flimkien ma 'magni tal-baħar u unitajiet industrijali, f'liema magni kienu qed jikkomponu popolari?</v>
      </c>
    </row>
    <row r="193" ht="15.75" customHeight="1">
      <c r="A193" s="2" t="s">
        <v>193</v>
      </c>
      <c r="B193" s="2" t="str">
        <f>IFERROR(__xludf.DUMMYFUNCTION("GOOGLETRANSLATE(A193, ""en"", ""mt"")"),"kolonizzazzjoni")</f>
        <v>kolonizzazzjoni</v>
      </c>
    </row>
    <row r="194" ht="15.75" customHeight="1">
      <c r="A194" s="2" t="s">
        <v>194</v>
      </c>
      <c r="B194" s="2" t="str">
        <f>IFERROR(__xludf.DUMMYFUNCTION("GOOGLETRANSLATE(A194, ""en"", ""mt"")"),"Liema xmara oriġinarjament illimitat id-dukat")</f>
        <v>Liema xmara oriġinarjament illimitat id-dukat</v>
      </c>
    </row>
    <row r="195" ht="15.75" customHeight="1">
      <c r="A195" s="2" t="s">
        <v>195</v>
      </c>
      <c r="B195" s="2" t="str">
        <f>IFERROR(__xludf.DUMMYFUNCTION("GOOGLETRANSLATE(A195, ""en"", ""mt"")"),"Taħt liema kundizzjoni huwa element irreducibbli?")</f>
        <v>Taħt liema kundizzjoni huwa element irreducibbli?</v>
      </c>
    </row>
    <row r="196" ht="15.75" customHeight="1">
      <c r="A196" s="2" t="s">
        <v>196</v>
      </c>
      <c r="B196" s="2" t="str">
        <f>IFERROR(__xludf.DUMMYFUNCTION("GOOGLETRANSLATE(A196, ""en"", ""mt"")"),"Sistema Biex Tħaddem il-Streetcars tal-Belt")</f>
        <v>Sistema Biex Tħaddem il-Streetcars tal-Belt</v>
      </c>
    </row>
    <row r="197" ht="15.75" customHeight="1">
      <c r="A197" s="2" t="s">
        <v>197</v>
      </c>
      <c r="B197" s="2" t="str">
        <f>IFERROR(__xludf.DUMMYFUNCTION("GOOGLETRANSLATE(A197, ""en"", ""mt"")"),"Fasciitis plantar")</f>
        <v>Fasciitis plantar</v>
      </c>
    </row>
    <row r="198" ht="15.75" customHeight="1">
      <c r="A198" s="2" t="s">
        <v>198</v>
      </c>
      <c r="B198" s="2" t="str">
        <f>IFERROR(__xludf.DUMMYFUNCTION("GOOGLETRANSLATE(A198, ""en"", ""mt"")"),"L-ammont ta 'art li pajjiż jikkontrolla huwa l-akbar tiegħu x'inhu?")</f>
        <v>L-ammont ta 'art li pajjiż jikkontrolla huwa l-akbar tiegħu x'inhu?</v>
      </c>
    </row>
    <row r="199" ht="15.75" customHeight="1">
      <c r="A199" s="2" t="s">
        <v>199</v>
      </c>
      <c r="B199" s="2" t="str">
        <f>IFERROR(__xludf.DUMMYFUNCTION("GOOGLETRANSLATE(A199, ""en"", ""mt"")"),"Arkivju tal-Mużew Nikola Tesla")</f>
        <v>Arkivju tal-Mużew Nikola Tesla</v>
      </c>
    </row>
    <row r="200" ht="15.75" customHeight="1">
      <c r="A200" s="2" t="s">
        <v>200</v>
      </c>
      <c r="B200" s="2" t="str">
        <f>IFERROR(__xludf.DUMMYFUNCTION("GOOGLETRANSLATE(A200, ""en"", ""mt"")"),"Attakk tal-patoġen")</f>
        <v>Attakk tal-patoġen</v>
      </c>
    </row>
    <row r="201" ht="15.75" customHeight="1">
      <c r="A201" s="2" t="s">
        <v>201</v>
      </c>
      <c r="B201" s="2" t="str">
        <f>IFERROR(__xludf.DUMMYFUNCTION("GOOGLETRANSLATE(A201, ""en"", ""mt"")"),"3 mili")</f>
        <v>3 mili</v>
      </c>
    </row>
    <row r="202" ht="15.75" customHeight="1">
      <c r="A202" s="2" t="s">
        <v>202</v>
      </c>
      <c r="B202" s="2" t="str">
        <f>IFERROR(__xludf.DUMMYFUNCTION("GOOGLETRANSLATE(A202, ""en"", ""mt"")"),"Epoka Pleistocene")</f>
        <v>Epoka Pleistocene</v>
      </c>
    </row>
    <row r="203" ht="15.75" customHeight="1">
      <c r="A203" s="2" t="s">
        <v>203</v>
      </c>
      <c r="B203" s="2" t="str">
        <f>IFERROR(__xludf.DUMMYFUNCTION("GOOGLETRANSLATE(A203, ""en"", ""mt"")"),"komposti ta 'ossiġenu b'ossidattiv għoli")</f>
        <v>komposti ta 'ossiġenu b'ossidattiv għoli</v>
      </c>
    </row>
    <row r="204" ht="15.75" customHeight="1">
      <c r="A204" s="2" t="s">
        <v>204</v>
      </c>
      <c r="B204" s="2" t="str">
        <f>IFERROR(__xludf.DUMMYFUNCTION("GOOGLETRANSLATE(A204, ""en"", ""mt"")"),"Ir-reġjuni distintivi tan-Nofsinhar ta 'California huma maqsuma kulturalment, politikament u liema karatteristika oħra?")</f>
        <v>Ir-reġjuni distintivi tan-Nofsinhar ta 'California huma maqsuma kulturalment, politikament u liema karatteristika oħra?</v>
      </c>
    </row>
    <row r="205" ht="15.75" customHeight="1">
      <c r="A205" s="2" t="s">
        <v>205</v>
      </c>
      <c r="B205" s="2" t="str">
        <f>IFERROR(__xludf.DUMMYFUNCTION("GOOGLETRANSLATE(A205, ""en"", ""mt"")"),"X'tagħmel l-ippumpjar tal-ilma fil-Mesoglea?")</f>
        <v>X'tagħmel l-ippumpjar tal-ilma fil-Mesoglea?</v>
      </c>
    </row>
    <row r="206" ht="15.75" customHeight="1">
      <c r="A206" s="2" t="s">
        <v>206</v>
      </c>
      <c r="B206" s="2" t="str">
        <f>IFERROR(__xludf.DUMMYFUNCTION("GOOGLETRANSLATE(A206, ""en"", ""mt"")"),"Manifattura FMCG, proċessar tal-metall, azzar u manifattura elettronika u proċessar tal-ikel")</f>
        <v>Manifattura FMCG, proċessar tal-metall, azzar u manifattura elettronika u proċessar tal-ikel</v>
      </c>
    </row>
    <row r="207" ht="15.75" customHeight="1">
      <c r="A207" s="2" t="s">
        <v>207</v>
      </c>
      <c r="B207" s="2" t="str">
        <f>IFERROR(__xludf.DUMMYFUNCTION("GOOGLETRANSLATE(A207, ""en"", ""mt"")"),"X'inhi l-Forest Bielany l-aħħar fdal ta '?")</f>
        <v>X'inhi l-Forest Bielany l-aħħar fdal ta '?</v>
      </c>
    </row>
    <row r="208" ht="15.75" customHeight="1">
      <c r="A208" s="2" t="s">
        <v>208</v>
      </c>
      <c r="B208" s="2" t="str">
        <f>IFERROR(__xludf.DUMMYFUNCTION("GOOGLETRANSLATE(A208, ""en"", ""mt"")"),"bitti")</f>
        <v>bitti</v>
      </c>
    </row>
    <row r="209" ht="15.75" customHeight="1">
      <c r="A209" s="2" t="s">
        <v>209</v>
      </c>
      <c r="B209" s="2" t="str">
        <f>IFERROR(__xludf.DUMMYFUNCTION("GOOGLETRANSLATE(A209, ""en"", ""mt"")"),"veduta differenti")</f>
        <v>veduta differenti</v>
      </c>
    </row>
    <row r="210" ht="15.75" customHeight="1">
      <c r="A210" s="2" t="s">
        <v>210</v>
      </c>
      <c r="B210" s="2" t="str">
        <f>IFERROR(__xludf.DUMMYFUNCTION("GOOGLETRANSLATE(A210, ""en"", ""mt"")"),"Min notevolment tejjeb il-pompa tal-ilma tas-salvataġġ?")</f>
        <v>Min notevolment tejjeb il-pompa tal-ilma tas-salvataġġ?</v>
      </c>
    </row>
    <row r="211" ht="15.75" customHeight="1">
      <c r="A211" s="2" t="s">
        <v>211</v>
      </c>
      <c r="B211" s="2" t="str">
        <f>IFERROR(__xludf.DUMMYFUNCTION("GOOGLETRANSLATE(A211, ""en"", ""mt"")"),"Riżultati tal-mudell, rapporti minn aġenziji tal-gvern u organizzazzjonijiet mhux governattivi, u ġurnali tal-industrija")</f>
        <v>Riżultati tal-mudell, rapporti minn aġenziji tal-gvern u organizzazzjonijiet mhux governattivi, u ġurnali tal-industrija</v>
      </c>
    </row>
    <row r="212" ht="15.75" customHeight="1">
      <c r="A212" s="2" t="s">
        <v>212</v>
      </c>
      <c r="B212" s="2" t="str">
        <f>IFERROR(__xludf.DUMMYFUNCTION("GOOGLETRANSLATE(A212, ""en"", ""mt"")"),"Waqt eskursjoni waħda tal-kaċċa")</f>
        <v>Waqt eskursjoni waħda tal-kaċċa</v>
      </c>
    </row>
    <row r="213" ht="15.75" customHeight="1">
      <c r="A213" s="2" t="s">
        <v>213</v>
      </c>
      <c r="B213" s="2" t="str">
        <f>IFERROR(__xludf.DUMMYFUNCTION("GOOGLETRANSLATE(A213, ""en"", ""mt"")"),"linja dritta")</f>
        <v>linja dritta</v>
      </c>
    </row>
    <row r="214" ht="15.75" customHeight="1">
      <c r="A214" s="2" t="s">
        <v>214</v>
      </c>
      <c r="B214" s="2" t="str">
        <f>IFERROR(__xludf.DUMMYFUNCTION("GOOGLETRANSLATE(A214, ""en"", ""mt"")"),"Rhine għolja")</f>
        <v>Rhine għolja</v>
      </c>
    </row>
    <row r="215" ht="15.75" customHeight="1">
      <c r="A215" s="2" t="s">
        <v>215</v>
      </c>
      <c r="B215" s="2" t="str">
        <f>IFERROR(__xludf.DUMMYFUNCTION("GOOGLETRANSLATE(A215, ""en"", ""mt"")"),"Sajd żejjed u bidliet ambjentali fit-tul")</f>
        <v>Sajd żejjed u bidliet ambjentali fit-tul</v>
      </c>
    </row>
    <row r="216" ht="15.75" customHeight="1">
      <c r="A216" s="2" t="s">
        <v>216</v>
      </c>
      <c r="B216" s="2" t="str">
        <f>IFERROR(__xludf.DUMMYFUNCTION("GOOGLETRANSLATE(A216, ""en"", ""mt"")"),"Espost għall-iskrutinju")</f>
        <v>Espost għall-iskrutinju</v>
      </c>
    </row>
    <row r="217" ht="15.75" customHeight="1">
      <c r="A217" s="2" t="s">
        <v>217</v>
      </c>
      <c r="B217" s="2" t="str">
        <f>IFERROR(__xludf.DUMMYFUNCTION("GOOGLETRANSLATE(A217, ""en"", ""mt"")"),"Fejn tmur il-forza ċentripetali?")</f>
        <v>Fejn tmur il-forza ċentripetali?</v>
      </c>
    </row>
    <row r="218" ht="15.75" customHeight="1">
      <c r="A218" s="2" t="s">
        <v>218</v>
      </c>
      <c r="B218" s="2" t="str">
        <f>IFERROR(__xludf.DUMMYFUNCTION("GOOGLETRANSLATE(A218, ""en"", ""mt"")"),"Kemm huma għoljin ħafna mill-bini bit-turretti?")</f>
        <v>Kemm huma għoljin ħafna mill-bini bit-turretti?</v>
      </c>
    </row>
    <row r="219" ht="15.75" customHeight="1">
      <c r="A219" s="2" t="s">
        <v>219</v>
      </c>
      <c r="B219" s="2" t="str">
        <f>IFERROR(__xludf.DUMMYFUNCTION("GOOGLETRANSLATE(A219, ""en"", ""mt"")"),"X'kienu l-Mohammedanism u t-Turk?")</f>
        <v>X'kienu l-Mohammedanism u t-Turk?</v>
      </c>
    </row>
    <row r="220" ht="15.75" customHeight="1">
      <c r="A220" s="2" t="s">
        <v>220</v>
      </c>
      <c r="B220" s="2" t="str">
        <f>IFERROR(__xludf.DUMMYFUNCTION("GOOGLETRANSLATE(A220, ""en"", ""mt"")"),"Sovjetiku")</f>
        <v>Sovjetiku</v>
      </c>
    </row>
    <row r="221" ht="15.75" customHeight="1">
      <c r="A221" s="2" t="s">
        <v>221</v>
      </c>
      <c r="B221" s="2" t="str">
        <f>IFERROR(__xludf.DUMMYFUNCTION("GOOGLETRANSLATE(A221, ""en"", ""mt"")"),"Ludwig Krapf irreġistra l-isem kien x'inhu?")</f>
        <v>Ludwig Krapf irreġistra l-isem kien x'inhu?</v>
      </c>
    </row>
    <row r="222" ht="15.75" customHeight="1">
      <c r="A222" s="2" t="s">
        <v>222</v>
      </c>
      <c r="B222" s="2" t="str">
        <f>IFERROR(__xludf.DUMMYFUNCTION("GOOGLETRANSLATE(A222, ""en"", ""mt"")"),"Fl-1857 John Sheepshanks ta donazzjoni ta '233 pittura, prinċipalment minn artisti Brittaniċi kontemporanji, u numru simili ta' tpinġijiet għall-mużew bl-intenzjoni li jiffurmaw 'gallerija nazzjonali tal-arti Ingliża', rwol minn meta ttieħed minn Tate Bri"&amp;"ttanja; Artisti rappreżentati huma William Blake, James Barry, Henry Fuseli, Sir Edwin Henry Landseer, Sir David Wilkie, William Mulready, William Powell Frith, Millais u Hippolyte Delaroche. Għalkemm uħud mix-xogħlijiet tal-Kuntistabbli waslu għall-mużew"&amp;" bil-bequest tan-nagħaġ, il-biċċa l-kbira tax-xogħlijiet tal-artist ġew mogħtija minn bintu Isabel fl-1888, inkluż in-numru kbir ta 'skeċċijiet fiż-żejt, l-iktar sinifikanti huwa l-iskeċċ taż-żejt ta' daqs sħiħ tal-1821 għall-1821 Hay Wain. Artisti oħra b"&amp;"'xogħlijiet fil-kollezzjoni jinkludu: Bernardino Fungai, Marcus Gheeraerts The Young, Domenico di Pace Beccafumi, Fioravante Ferramola, Jan Brueghel The Elder, Anthony Van Dyck, Ludovico Carracci, Antonio Verrio, Giovanni Batsta Tiepolo, Domenico TiepoLo,"&amp;" Canalalalo, Frank Hayman, Pompeo Batoni, Benjamin West, Paul Sandby, Richard Wilson, William Etty, Henry Fuseli, Sir Thomas Lawrence, James Barry, Francis Danby, Richard Parkes Bonington u Alphonse Legros.")</f>
        <v>Fl-1857 John Sheepshanks ta donazzjoni ta '233 pittura, prinċipalment minn artisti Brittaniċi kontemporanji, u numru simili ta' tpinġijiet għall-mużew bl-intenzjoni li jiffurmaw 'gallerija nazzjonali tal-arti Ingliża', rwol minn meta ttieħed minn Tate Brittanja; Artisti rappreżentati huma William Blake, James Barry, Henry Fuseli, Sir Edwin Henry Landseer, Sir David Wilkie, William Mulready, William Powell Frith, Millais u Hippolyte Delaroche. Għalkemm uħud mix-xogħlijiet tal-Kuntistabbli waslu għall-mużew bil-bequest tan-nagħaġ, il-biċċa l-kbira tax-xogħlijiet tal-artist ġew mogħtija minn bintu Isabel fl-1888, inkluż in-numru kbir ta 'skeċċijiet fiż-żejt, l-iktar sinifikanti huwa l-iskeċċ taż-żejt ta' daqs sħiħ tal-1821 għall-1821 Hay Wain. Artisti oħra b'xogħlijiet fil-kollezzjoni jinkludu: Bernardino Fungai, Marcus Gheeraerts The Young, Domenico di Pace Beccafumi, Fioravante Ferramola, Jan Brueghel The Elder, Anthony Van Dyck, Ludovico Carracci, Antonio Verrio, Giovanni Batsta Tiepolo, Domenico TiepoLo, Canalalalo, Frank Hayman, Pompeo Batoni, Benjamin West, Paul Sandby, Richard Wilson, William Etty, Henry Fuseli, Sir Thomas Lawrence, James Barry, Francis Danby, Richard Parkes Bonington u Alphonse Legros.</v>
      </c>
    </row>
    <row r="223" ht="15.75" customHeight="1">
      <c r="A223" s="2" t="s">
        <v>223</v>
      </c>
      <c r="B223" s="2" t="str">
        <f>IFERROR(__xludf.DUMMYFUNCTION("GOOGLETRANSLATE(A223, ""en"", ""mt"")"),"disturbi")</f>
        <v>disturbi</v>
      </c>
    </row>
    <row r="224" ht="15.75" customHeight="1">
      <c r="A224" s="2" t="s">
        <v>224</v>
      </c>
      <c r="B224" s="2" t="str">
        <f>IFERROR(__xludf.DUMMYFUNCTION("GOOGLETRANSLATE(A224, ""en"", ""mt"")"),"aħjar")</f>
        <v>aħjar</v>
      </c>
    </row>
    <row r="225" ht="15.75" customHeight="1">
      <c r="A225" s="2" t="s">
        <v>225</v>
      </c>
      <c r="B225" s="2" t="str">
        <f>IFERROR(__xludf.DUMMYFUNCTION("GOOGLETRANSLATE(A225, ""en"", ""mt"")"),"X'tip ta 'konservazzjoni jinkludu li jipprovdu pariri dwar l-immaniġġjar ta' oġġetti?")</f>
        <v>X'tip ta 'konservazzjoni jinkludu li jipprovdu pariri dwar l-immaniġġjar ta' oġġetti?</v>
      </c>
    </row>
    <row r="226" ht="15.75" customHeight="1">
      <c r="A226" s="2" t="s">
        <v>226</v>
      </c>
      <c r="B226" s="2" t="str">
        <f>IFERROR(__xludf.DUMMYFUNCTION("GOOGLETRANSLATE(A226, ""en"", ""mt"")"),"Fuq min jistgħu l-għalliema jiffokaw fuq, sabiex jipprijoritizzaw l-attenzjoni?")</f>
        <v>Fuq min jistgħu l-għalliema jiffokaw fuq, sabiex jipprijoritizzaw l-attenzjoni?</v>
      </c>
    </row>
    <row r="227" ht="15.75" customHeight="1">
      <c r="A227" s="2" t="s">
        <v>227</v>
      </c>
      <c r="B227" s="2" t="str">
        <f>IFERROR(__xludf.DUMMYFUNCTION("GOOGLETRANSLATE(A227, ""en"", ""mt"")"),"Att dwar in-Naturalizzazzjoni ta 'Protestanti Barranin")</f>
        <v>Att dwar in-Naturalizzazzjoni ta 'Protestanti Barranin</v>
      </c>
    </row>
    <row r="228" ht="15.75" customHeight="1">
      <c r="A228" s="2" t="s">
        <v>228</v>
      </c>
      <c r="B228" s="2" t="str">
        <f>IFERROR(__xludf.DUMMYFUNCTION("GOOGLETRANSLATE(A228, ""en"", ""mt"")"),"F'taxxa progressiva, x'jista 'jiżdied hekk kif l-ammont ta' bażi taxxabbli jiżdied?")</f>
        <v>F'taxxa progressiva, x'jista 'jiżdied hekk kif l-ammont ta' bażi taxxabbli jiżdied?</v>
      </c>
    </row>
    <row r="229" ht="15.75" customHeight="1">
      <c r="A229" s="2" t="s">
        <v>229</v>
      </c>
      <c r="B229" s="2" t="str">
        <f>IFERROR(__xludf.DUMMYFUNCTION("GOOGLETRANSLATE(A229, ""en"", ""mt"")"),"Minbarra d-dotazzjonijiet u t-tagħlim, kif l-iskejjel tal-imbark ikopru l-ispejjeż operattivi tagħhom?")</f>
        <v>Minbarra d-dotazzjonijiet u t-tagħlim, kif l-iskejjel tal-imbark ikopru l-ispejjeż operattivi tagħhom?</v>
      </c>
    </row>
    <row r="230" ht="15.75" customHeight="1">
      <c r="A230" s="2" t="s">
        <v>230</v>
      </c>
      <c r="B230" s="2" t="str">
        <f>IFERROR(__xludf.DUMMYFUNCTION("GOOGLETRANSLATE(A230, ""en"", ""mt"")"),"progressiv")</f>
        <v>progressiv</v>
      </c>
    </row>
    <row r="231" ht="15.75" customHeight="1">
      <c r="A231" s="2" t="s">
        <v>231</v>
      </c>
      <c r="B231" s="2" t="str">
        <f>IFERROR(__xludf.DUMMYFUNCTION("GOOGLETRANSLATE(A231, ""en"", ""mt"")"),"X'tip ta 'delta huwa r-Rhine-Meuse?")</f>
        <v>X'tip ta 'delta huwa r-Rhine-Meuse?</v>
      </c>
    </row>
    <row r="232" ht="15.75" customHeight="1">
      <c r="A232" s="2" t="s">
        <v>232</v>
      </c>
      <c r="B232" s="2" t="str">
        <f>IFERROR(__xludf.DUMMYFUNCTION("GOOGLETRANSLATE(A232, ""en"", ""mt"")"),"Xi tfisser magna tat-Turing fuq strixxa ta 'tejp?")</f>
        <v>Xi tfisser magna tat-Turing fuq strixxa ta 'tejp?</v>
      </c>
    </row>
    <row r="233" ht="15.75" customHeight="1">
      <c r="A233" s="2" t="s">
        <v>233</v>
      </c>
      <c r="B233" s="2" t="str">
        <f>IFERROR(__xludf.DUMMYFUNCTION("GOOGLETRANSLATE(A233, ""en"", ""mt"")"),"Galleriji Nazzjonali tal-Iskozja")</f>
        <v>Galleriji Nazzjonali tal-Iskozja</v>
      </c>
    </row>
    <row r="234" ht="15.75" customHeight="1">
      <c r="A234" s="2" t="s">
        <v>234</v>
      </c>
      <c r="B234" s="2" t="str">
        <f>IFERROR(__xludf.DUMMYFUNCTION("GOOGLETRANSLATE(A234, ""en"", ""mt"")"),"X'inhu msemmi bħala l-Istrixxa tad-Djamanti?")</f>
        <v>X'inhu msemmi bħala l-Istrixxa tad-Djamanti?</v>
      </c>
    </row>
    <row r="235" ht="15.75" customHeight="1">
      <c r="A235" s="2" t="s">
        <v>235</v>
      </c>
      <c r="B235" s="2" t="str">
        <f>IFERROR(__xludf.DUMMYFUNCTION("GOOGLETRANSLATE(A235, ""en"", ""mt"")"),"Il-kampus ewlieni ta 'Harvard 209-acre (85 ettaru) huwa ċċentrat fuq Harvard Yard f'Cambridge, madwar 3 mili (5 km) lejn il-punent-majjistral tad-dar tal-istat fiċ-ċentru ta' Boston, u jestendi fil-viċinat tal-Pjazza ta 'Harvard tal-madwar. Harvard Yard i"&amp;"nnifsu fih l-uffiċċji amministrattivi ċentrali u l-libreriji ewlenin tal-università, bini akkademiku inkluż Sever Hall u University Hall, Memorial Church, u l-maġġoranza tad-dormitorji ta 'l-ewwel sena. Sophomore, junior, u studenti anzjani jgħixu fi tnax"&amp;"-il djar residenzjali, li disgħa minnhom huma fin-Nofsinhar ta ’Harvard Yard tul jew ħdejn ix-Xmara Charles. It-tlieta l-oħra jinsabu fi viċinat residenzjali nofs mil fil-majjistral tat-tarzna fil-kwadrangle (komunement imsejjaħ il-quad), li qabel kien fi"&amp;"h studenti tal-Kulleġġ Radcliffe sakemm Radcliffe ingħaqdet is-sistema residenzjali tagħha ma 'Harvard. Kull dar residenzjali fiha kmamar għal dawk li għadhom ma ggradwawx, kaptani tad-djar, u tuturi residenti, kif ukoll sala tal-pranzu u librerija. Il-fa"&amp;"ċilitajiet saru possibbli permezz ta 'rigal mill-istudenti ta' Yale University Edward Harkness.")</f>
        <v>Il-kampus ewlieni ta 'Harvard 209-acre (85 ettaru) huwa ċċentrat fuq Harvard Yard f'Cambridge, madwar 3 mili (5 km) lejn il-punent-majjistral tad-dar tal-istat fiċ-ċentru ta' Boston, u jestendi fil-viċinat tal-Pjazza ta 'Harvard tal-madwar. Harvard Yard innifsu fih l-uffiċċji amministrattivi ċentrali u l-libreriji ewlenin tal-università, bini akkademiku inkluż Sever Hall u University Hall, Memorial Church, u l-maġġoranza tad-dormitorji ta 'l-ewwel sena. Sophomore, junior, u studenti anzjani jgħixu fi tnax-il djar residenzjali, li disgħa minnhom huma fin-Nofsinhar ta ’Harvard Yard tul jew ħdejn ix-Xmara Charles. It-tlieta l-oħra jinsabu fi viċinat residenzjali nofs mil fil-majjistral tat-tarzna fil-kwadrangle (komunement imsejjaħ il-quad), li qabel kien fih studenti tal-Kulleġġ Radcliffe sakemm Radcliffe ingħaqdet is-sistema residenzjali tagħha ma 'Harvard. Kull dar residenzjali fiha kmamar għal dawk li għadhom ma ggradwawx, kaptani tad-djar, u tuturi residenti, kif ukoll sala tal-pranzu u librerija. Il-faċilitajiet saru possibbli permezz ta 'rigal mill-istudenti ta' Yale University Edward Harkness.</v>
      </c>
    </row>
    <row r="236" ht="15.75" customHeight="1">
      <c r="A236" s="2" t="s">
        <v>236</v>
      </c>
      <c r="B236" s="2" t="str">
        <f>IFERROR(__xludf.DUMMYFUNCTION("GOOGLETRANSLATE(A236, ""en"", ""mt"")"),"isuq lil Iżrael barra mill-istrixxa ta ’Gaża")</f>
        <v>isuq lil Iżrael barra mill-istrixxa ta ’Gaża</v>
      </c>
    </row>
    <row r="237" ht="15.75" customHeight="1">
      <c r="A237" s="2" t="s">
        <v>237</v>
      </c>
      <c r="B237" s="2" t="str">
        <f>IFERROR(__xludf.DUMMYFUNCTION("GOOGLETRANSLATE(A237, ""en"", ""mt"")"),"Kunsill tal-Belt ta 'Varsavja")</f>
        <v>Kunsill tal-Belt ta 'Varsavja</v>
      </c>
    </row>
    <row r="238" ht="15.75" customHeight="1">
      <c r="A238" s="2" t="s">
        <v>238</v>
      </c>
      <c r="B238" s="2" t="str">
        <f>IFERROR(__xludf.DUMMYFUNCTION("GOOGLETRANSLATE(A238, ""en"", ""mt"")"),"Liema serje ġiet maħluqa mill-ex-produttur tat-Tabib Who Russell T. Davies?")</f>
        <v>Liema serje ġiet maħluqa mill-ex-produttur tat-Tabib Who Russell T. Davies?</v>
      </c>
    </row>
    <row r="239" ht="15.75" customHeight="1">
      <c r="A239" s="2" t="s">
        <v>239</v>
      </c>
      <c r="B239" s="2" t="str">
        <f>IFERROR(__xludf.DUMMYFUNCTION("GOOGLETRANSLATE(A239, ""en"", ""mt"")"),"X'tipi ta 'preparazzjoni għandhom l-ispiżjara?")</f>
        <v>X'tipi ta 'preparazzjoni għandhom l-ispiżjara?</v>
      </c>
    </row>
    <row r="240" ht="15.75" customHeight="1">
      <c r="A240" s="2" t="s">
        <v>240</v>
      </c>
      <c r="B240" s="2" t="str">
        <f>IFERROR(__xludf.DUMMYFUNCTION("GOOGLETRANSLATE(A240, ""en"", ""mt"")"),"enerġija")</f>
        <v>enerġija</v>
      </c>
    </row>
    <row r="241" ht="15.75" customHeight="1">
      <c r="A241" s="2" t="s">
        <v>241</v>
      </c>
      <c r="B241" s="2" t="str">
        <f>IFERROR(__xludf.DUMMYFUNCTION("GOOGLETRANSLATE(A241, ""en"", ""mt"")"),"Tesla kienet asocial u suxxettibbli li tiskopri ruħu max-xogħol tiegħu. Madankollu, meta kien jimpenja ruħu f'ħajja soċjali, ħafna nies tkellmu b'mod pożittiv u ammirabbli ħafna minn Tesla. Robert Underwood Johnson iddeskrivah bħala li kiseb ""ħlewwa dist"&amp;"inta, sinċerità, pudur, irfinar, ġenerożità, u forza."" Is-segretarju leali tiegħu, Dorothy Skerrit, kiteb: ""It-tbissima ġenjali tiegħu u n-nobbli li jġorru dejjem innotaw il-karatteristiċi gentlemanly li kienu tant għeruq fir-ruħ tiegħu."" Il-ħabib ta '"&amp;"Tesla, Julian Hawthorne, kiteb, ""Rari wieħed jiltaqa' ma 'xjenzat jew inġinier li kien ukoll poeta, filosofu, apprezzatur tal-mużika fina, lingwista, u magħruf ta' ikel u xorb."": 80")</f>
        <v>Tesla kienet asocial u suxxettibbli li tiskopri ruħu max-xogħol tiegħu. Madankollu, meta kien jimpenja ruħu f'ħajja soċjali, ħafna nies tkellmu b'mod pożittiv u ammirabbli ħafna minn Tesla. Robert Underwood Johnson iddeskrivah bħala li kiseb "ħlewwa distinta, sinċerità, pudur, irfinar, ġenerożità, u forza." Is-segretarju leali tiegħu, Dorothy Skerrit, kiteb: "It-tbissima ġenjali tiegħu u n-nobbli li jġorru dejjem innotaw il-karatteristiċi gentlemanly li kienu tant għeruq fir-ruħ tiegħu." Il-ħabib ta 'Tesla, Julian Hawthorne, kiteb, "Rari wieħed jiltaqa' ma 'xjenzat jew inġinier li kien ukoll poeta, filosofu, apprezzatur tal-mużika fina, lingwista, u magħruf ta' ikel u xorb.": 80</v>
      </c>
    </row>
    <row r="242" ht="15.75" customHeight="1">
      <c r="A242" s="2" t="s">
        <v>242</v>
      </c>
      <c r="B242" s="2" t="str">
        <f>IFERROR(__xludf.DUMMYFUNCTION("GOOGLETRANSLATE(A242, ""en"", ""mt"")"),"inugwaljanza akbar u instabilità ekonomika potenzjali")</f>
        <v>inugwaljanza akbar u instabilità ekonomika potenzjali</v>
      </c>
    </row>
    <row r="243" ht="15.75" customHeight="1">
      <c r="A243" s="2" t="s">
        <v>243</v>
      </c>
      <c r="B243" s="2" t="str">
        <f>IFERROR(__xludf.DUMMYFUNCTION("GOOGLETRANSLATE(A243, ""en"", ""mt"")"),"Sistemi tar-Rotta Yam")</f>
        <v>Sistemi tar-Rotta Yam</v>
      </c>
    </row>
    <row r="244" ht="15.75" customHeight="1">
      <c r="A244" s="2" t="s">
        <v>244</v>
      </c>
      <c r="B244" s="2" t="str">
        <f>IFERROR(__xludf.DUMMYFUNCTION("GOOGLETRANSLATE(A244, ""en"", ""mt"")"),"Fis-sistema ta 'telefonati virtwali, in-netwerk jiggarantixxi konsenja sekwenzjata ta' data lill-host")</f>
        <v>Fis-sistema ta 'telefonati virtwali, in-netwerk jiggarantixxi konsenja sekwenzjata ta' data lill-host</v>
      </c>
    </row>
    <row r="245" ht="15.75" customHeight="1">
      <c r="A245" s="2" t="s">
        <v>245</v>
      </c>
      <c r="B245" s="2" t="str">
        <f>IFERROR(__xludf.DUMMYFUNCTION("GOOGLETRANSLATE(A245, ""en"", ""mt"")"),"Il-Viċi President Agnew jiddeskrivi d-diżubbidjenza ċivili f'liema attivitajiet?")</f>
        <v>Il-Viċi President Agnew jiddeskrivi d-diżubbidjenza ċivili f'liema attivitajiet?</v>
      </c>
    </row>
    <row r="246" ht="15.75" customHeight="1">
      <c r="A246" s="2" t="s">
        <v>246</v>
      </c>
      <c r="B246" s="2" t="str">
        <f>IFERROR(__xludf.DUMMYFUNCTION("GOOGLETRANSLATE(A246, ""en"", ""mt"")"),"John Wesley")</f>
        <v>John Wesley</v>
      </c>
    </row>
    <row r="247" ht="15.75" customHeight="1">
      <c r="A247" s="2" t="s">
        <v>247</v>
      </c>
      <c r="B247" s="2" t="str">
        <f>IFERROR(__xludf.DUMMYFUNCTION("GOOGLETRANSLATE(A247, ""en"", ""mt"")"),"b'regoli komuni għall-faħam u l-azzar, u mbagħad l-enerġija atomika")</f>
        <v>b'regoli komuni għall-faħam u l-azzar, u mbagħad l-enerġija atomika</v>
      </c>
    </row>
    <row r="248" ht="15.75" customHeight="1">
      <c r="A248" s="2" t="s">
        <v>248</v>
      </c>
      <c r="B248" s="2" t="str">
        <f>IFERROR(__xludf.DUMMYFUNCTION("GOOGLETRANSLATE(A248, ""en"", ""mt"")"),"Universitajiet privati")</f>
        <v>Universitajiet privati</v>
      </c>
    </row>
    <row r="249" ht="15.75" customHeight="1">
      <c r="A249" s="2" t="s">
        <v>249</v>
      </c>
      <c r="B249" s="2" t="str">
        <f>IFERROR(__xludf.DUMMYFUNCTION("GOOGLETRANSLATE(A249, ""en"", ""mt"")"),"kwantifikat")</f>
        <v>kwantifikat</v>
      </c>
    </row>
    <row r="250" ht="15.75" customHeight="1">
      <c r="A250" s="2" t="s">
        <v>250</v>
      </c>
      <c r="B250" s="2" t="str">
        <f>IFERROR(__xludf.DUMMYFUNCTION("GOOGLETRANSLATE(A250, ""en"", ""mt"")"),"kombustjoni")</f>
        <v>kombustjoni</v>
      </c>
    </row>
    <row r="251" ht="15.75" customHeight="1">
      <c r="A251" s="2" t="s">
        <v>251</v>
      </c>
      <c r="B251" s="2" t="str">
        <f>IFERROR(__xludf.DUMMYFUNCTION("GOOGLETRANSLATE(A251, ""en"", ""mt"")"),"Sferi separati ta 'għarfien")</f>
        <v>Sferi separati ta 'għarfien</v>
      </c>
    </row>
    <row r="252" ht="15.75" customHeight="1">
      <c r="A252" s="2" t="s">
        <v>252</v>
      </c>
      <c r="B252" s="2" t="str">
        <f>IFERROR(__xludf.DUMMYFUNCTION("GOOGLETRANSLATE(A252, ""en"", ""mt"")"),"Liema istitut ħabbar l-università lil kulħadd fl-2008?")</f>
        <v>Liema istitut ħabbar l-università lil kulħadd fl-2008?</v>
      </c>
    </row>
    <row r="253" ht="15.75" customHeight="1">
      <c r="A253" s="2" t="s">
        <v>253</v>
      </c>
      <c r="B253" s="2" t="str">
        <f>IFERROR(__xludf.DUMMYFUNCTION("GOOGLETRANSLATE(A253, ""en"", ""mt"")"),"Ċaħda fl-irqad")</f>
        <v>Ċaħda fl-irqad</v>
      </c>
    </row>
    <row r="254" ht="15.75" customHeight="1">
      <c r="A254" s="2" t="s">
        <v>254</v>
      </c>
      <c r="B254" s="2" t="str">
        <f>IFERROR(__xludf.DUMMYFUNCTION("GOOGLETRANSLATE(A254, ""en"", ""mt"")"),"Fejn hi l-massa tal-oġġett, hija l-veloċità tal-oġġett u hija d-distanza għaċ-ċentru tal-passaġġ ċirkolari u hija l-vettur tal-unità li jipponta fid-direzzjoni radjali 'l barra miċ-ċentru. Dan ifisser li l-forza ċentripetali żbilanċjata li tinħass minn kw"&amp;"alunkwe oġġett hija dejjem diretta lejn iċ-ċentru tal-passaġġ mgħawweġ. Il-forzi bħal dawn jaġixxu perpendikulari mal-vettur tal-veloċità assoċjat mal-moviment ta 'oġġett, u għalhekk ma jbiddlux il-veloċità tal-oġġett (kobor tal-veloċità), iżda biss id-di"&amp;"rezzjoni tal-vettur tal-veloċità. Il-forza żbilanċjata li taċċellera oġġett tista 'tissolva f'komponent li huwa perpendikulari mal-passaġġ, u waħda li hija tanġenzjali għall-passaġġ. Dan jagħti kemm il-forza tanġenzjali, li taċċellera l-oġġett billi tnaqq"&amp;"asha jew tħaffefha, u l-forza radjali (ċentripetali), li tbiddel id-direzzjoni tagħha.")</f>
        <v>Fejn hi l-massa tal-oġġett, hija l-veloċità tal-oġġett u hija d-distanza għaċ-ċentru tal-passaġġ ċirkolari u hija l-vettur tal-unità li jipponta fid-direzzjoni radjali 'l barra miċ-ċentru. Dan ifisser li l-forza ċentripetali żbilanċjata li tinħass minn kwalunkwe oġġett hija dejjem diretta lejn iċ-ċentru tal-passaġġ mgħawweġ. Il-forzi bħal dawn jaġixxu perpendikulari mal-vettur tal-veloċità assoċjat mal-moviment ta 'oġġett, u għalhekk ma jbiddlux il-veloċità tal-oġġett (kobor tal-veloċità), iżda biss id-direzzjoni tal-vettur tal-veloċità. Il-forza żbilanċjata li taċċellera oġġett tista 'tissolva f'komponent li huwa perpendikulari mal-passaġġ, u waħda li hija tanġenzjali għall-passaġġ. Dan jagħti kemm il-forza tanġenzjali, li taċċellera l-oġġett billi tnaqqasha jew tħaffefha, u l-forza radjali (ċentripetali), li tbiddel id-direzzjoni tagħha.</v>
      </c>
    </row>
    <row r="255" ht="15.75" customHeight="1">
      <c r="A255" s="2" t="s">
        <v>255</v>
      </c>
      <c r="B255" s="2" t="str">
        <f>IFERROR(__xludf.DUMMYFUNCTION("GOOGLETRANSLATE(A255, ""en"", ""mt"")"),"Hemm diversi mekkaniżmi li bihom l-entużjażmu tal-għalliem jista 'jiffaċilita livelli ogħla ta' motivazzjoni intrinsika. L-entużjażmu tal-għalliema jista 'jikkontribwixxi għal atmosfera fil-klassi mimlija enerġija u entużjażmu li jitimgħu l-interess tal-i"&amp;"studenti u l-eċċitament fit-tagħlim tas-suġġett. Għalliema entużjasti jistgħu jwasslu wkoll biex l-istudenti jsiru aktar determinati fihom infushom fil-proċess ta 'tagħlim tagħhom stess. Il-kunċett ta 'esponiment sempliċi jindika li l-entużjażmu tal-għall"&amp;"iem jista' jikkontribwixxi għall-aspettattivi tal-istudent dwar motivazzjoni intrinsika fil-kuntest tat-tagħlim. Ukoll, l-entużjażmu jista 'jaġixxi bħala ""tisbieħ motivazzjonali""; iżżid l-interess ta 'student mill-varjetà, in-novità, u s-sorpriża tal-pr"&amp;"eżentazzjoni tal-materjal entużjasti tal-għalliem. Fl-aħħarnett, il-kunċett ta 'kontaġju emozzjonali, jista' japplika wkoll. L-istudenti jistgħu jsiru aktar intrinsikament motivati ​​billi jaqbdu l-entużjażmu u l-enerġija tal-għalliem. [Ċitazzjoni meħtieġ"&amp;"a]")</f>
        <v>Hemm diversi mekkaniżmi li bihom l-entużjażmu tal-għalliem jista 'jiffaċilita livelli ogħla ta' motivazzjoni intrinsika. L-entużjażmu tal-għalliema jista 'jikkontribwixxi għal atmosfera fil-klassi mimlija enerġija u entużjażmu li jitimgħu l-interess tal-istudenti u l-eċċitament fit-tagħlim tas-suġġett. Għalliema entużjasti jistgħu jwasslu wkoll biex l-istudenti jsiru aktar determinati fihom infushom fil-proċess ta 'tagħlim tagħhom stess. Il-kunċett ta 'esponiment sempliċi jindika li l-entużjażmu tal-għalliem jista' jikkontribwixxi għall-aspettattivi tal-istudent dwar motivazzjoni intrinsika fil-kuntest tat-tagħlim. Ukoll, l-entużjażmu jista 'jaġixxi bħala "tisbieħ motivazzjonali"; iżżid l-interess ta 'student mill-varjetà, in-novità, u s-sorpriża tal-preżentazzjoni tal-materjal entużjasti tal-għalliem. Fl-aħħarnett, il-kunċett ta 'kontaġju emozzjonali, jista' japplika wkoll. L-istudenti jistgħu jsiru aktar intrinsikament motivati ​​billi jaqbdu l-entużjażmu u l-enerġija tal-għalliem. [Ċitazzjoni meħtieġa]</v>
      </c>
    </row>
    <row r="256" ht="15.75" customHeight="1">
      <c r="A256" s="2" t="s">
        <v>256</v>
      </c>
      <c r="B256" s="2" t="str">
        <f>IFERROR(__xludf.DUMMYFUNCTION("GOOGLETRANSLATE(A256, ""en"", ""mt"")"),"funzjoni tal-prezz tas-suq tal-ħila")</f>
        <v>funzjoni tal-prezz tas-suq tal-ħila</v>
      </c>
    </row>
    <row r="257" ht="15.75" customHeight="1">
      <c r="A257" s="2" t="s">
        <v>257</v>
      </c>
      <c r="B257" s="2" t="str">
        <f>IFERROR(__xludf.DUMMYFUNCTION("GOOGLETRANSLATE(A257, ""en"", ""mt"")"),"ir-riżultanti (imsejħa wkoll il-forza netta)")</f>
        <v>ir-riżultanti (imsejħa wkoll il-forza netta)</v>
      </c>
    </row>
    <row r="258" ht="15.75" customHeight="1">
      <c r="A258" s="2" t="s">
        <v>258</v>
      </c>
      <c r="B258" s="2" t="str">
        <f>IFERROR(__xludf.DUMMYFUNCTION("GOOGLETRANSLATE(A258, ""en"", ""mt"")"),"Liema parti tal-mużew irċeviet l-ewwel xogħol ewlieni ta 'wara l-gwerra?")</f>
        <v>Liema parti tal-mużew irċeviet l-ewwel xogħol ewlieni ta 'wara l-gwerra?</v>
      </c>
    </row>
    <row r="259" ht="15.75" customHeight="1">
      <c r="A259" s="2" t="s">
        <v>259</v>
      </c>
      <c r="B259" s="2" t="str">
        <f>IFERROR(__xludf.DUMMYFUNCTION("GOOGLETRANSLATE(A259, ""en"", ""mt"")"),"Kumpless tax-Xjenza Allston")</f>
        <v>Kumpless tax-Xjenza Allston</v>
      </c>
    </row>
    <row r="260" ht="15.75" customHeight="1">
      <c r="A260" s="2" t="s">
        <v>260</v>
      </c>
      <c r="B260" s="2" t="str">
        <f>IFERROR(__xludf.DUMMYFUNCTION("GOOGLETRANSLATE(A260, ""en"", ""mt"")"),"Mill-1562 sal-1598")</f>
        <v>Mill-1562 sal-1598</v>
      </c>
    </row>
    <row r="261" ht="15.75" customHeight="1">
      <c r="A261" s="2" t="s">
        <v>261</v>
      </c>
      <c r="B261" s="2" t="str">
        <f>IFERROR(__xludf.DUMMYFUNCTION("GOOGLETRANSLATE(A261, ""en"", ""mt"")"),"Minbarra l-vinikultura, x'inhu settur ekonomiku dominanti tar-Renu Nofsani?")</f>
        <v>Minbarra l-vinikultura, x'inhu settur ekonomiku dominanti tar-Renu Nofsani?</v>
      </c>
    </row>
    <row r="262" ht="15.75" customHeight="1">
      <c r="A262" s="2" t="s">
        <v>262</v>
      </c>
      <c r="B262" s="2" t="str">
        <f>IFERROR(__xludf.DUMMYFUNCTION("GOOGLETRANSLATE(A262, ""en"", ""mt"")"),"Matul l-istadju tal-kompressjoni taċ-ċiklu ta 'Rankine, f'liema stat huwa l-fluwidu tax-xogħol?")</f>
        <v>Matul l-istadju tal-kompressjoni taċ-ċiklu ta 'Rankine, f'liema stat huwa l-fluwidu tax-xogħol?</v>
      </c>
    </row>
    <row r="263" ht="15.75" customHeight="1">
      <c r="A263" s="2" t="s">
        <v>263</v>
      </c>
      <c r="B263" s="2" t="str">
        <f>IFERROR(__xludf.DUMMYFUNCTION("GOOGLETRANSLATE(A263, ""en"", ""mt"")"),"Il-probabbiltà tal-kumplessità tal-każijiet tipprovdi probabbiltajiet varjabbli ta 'liema miżura ġenerali?")</f>
        <v>Il-probabbiltà tal-kumplessità tal-każijiet tipprovdi probabbiltajiet varjabbli ta 'liema miżura ġenerali?</v>
      </c>
    </row>
    <row r="264" ht="15.75" customHeight="1">
      <c r="A264" s="2" t="s">
        <v>264</v>
      </c>
      <c r="B264" s="2" t="str">
        <f>IFERROR(__xludf.DUMMYFUNCTION("GOOGLETRANSLATE(A264, ""en"", ""mt"")"),"X'kien eżempju ta 'tip ta' bastiment tal-gwerra li kien jeħtieġ veloċità għolja?")</f>
        <v>X'kien eżempju ta 'tip ta' bastiment tal-gwerra li kien jeħtieġ veloċità għolja?</v>
      </c>
    </row>
    <row r="265" ht="15.75" customHeight="1">
      <c r="A265" s="2" t="s">
        <v>265</v>
      </c>
      <c r="B265" s="2" t="str">
        <f>IFERROR(__xludf.DUMMYFUNCTION("GOOGLETRANSLATE(A265, ""en"", ""mt"")"),"9–18.")</f>
        <v>9–18.</v>
      </c>
    </row>
    <row r="266" ht="15.75" customHeight="1">
      <c r="A266" s="2" t="s">
        <v>266</v>
      </c>
      <c r="B266" s="2" t="str">
        <f>IFERROR(__xludf.DUMMYFUNCTION("GOOGLETRANSLATE(A266, ""en"", ""mt"")"),"turbina")</f>
        <v>turbina</v>
      </c>
    </row>
    <row r="267" ht="15.75" customHeight="1">
      <c r="A267" s="2" t="s">
        <v>267</v>
      </c>
      <c r="B267" s="2" t="str">
        <f>IFERROR(__xludf.DUMMYFUNCTION("GOOGLETRANSLATE(A267, ""en"", ""mt"")"),"X'biża 'Martin Luther wara li laqtet bolt li tħaffef ħdejh?")</f>
        <v>X'biża 'Martin Luther wara li laqtet bolt li tħaffef ħdejh?</v>
      </c>
    </row>
    <row r="268" ht="15.75" customHeight="1">
      <c r="A268" s="2" t="s">
        <v>268</v>
      </c>
      <c r="B268" s="2" t="str">
        <f>IFERROR(__xludf.DUMMYFUNCTION("GOOGLETRANSLATE(A268, ""en"", ""mt"")"),"ħamrija, xmajjar, pajsaġġi, u glaċieri")</f>
        <v>ħamrija, xmajjar, pajsaġġi, u glaċieri</v>
      </c>
    </row>
    <row r="269" ht="15.75" customHeight="1">
      <c r="A269" s="2" t="s">
        <v>269</v>
      </c>
      <c r="B269" s="2" t="str">
        <f>IFERROR(__xludf.DUMMYFUNCTION("GOOGLETRANSLATE(A269, ""en"", ""mt"")"),"tista 'tipproduċi kemm bajd kif ukoll sperma")</f>
        <v>tista 'tipproduċi kemm bajd kif ukoll sperma</v>
      </c>
    </row>
    <row r="270" ht="15.75" customHeight="1">
      <c r="A270" s="2" t="s">
        <v>270</v>
      </c>
      <c r="B270" s="2" t="str">
        <f>IFERROR(__xludf.DUMMYFUNCTION("GOOGLETRANSLATE(A270, ""en"", ""mt"")"),"Min qatel lil Begter, in-nofs ħuh ta 'Temüjin?")</f>
        <v>Min qatel lil Begter, in-nofs ħuh ta 'Temüjin?</v>
      </c>
    </row>
    <row r="271" ht="15.75" customHeight="1">
      <c r="A271" s="2" t="s">
        <v>271</v>
      </c>
      <c r="B271" s="2" t="str">
        <f>IFERROR(__xludf.DUMMYFUNCTION("GOOGLETRANSLATE(A271, ""en"", ""mt"")"),"X'kien l-antenat tal-kloroplasti?")</f>
        <v>X'kien l-antenat tal-kloroplasti?</v>
      </c>
    </row>
    <row r="272" ht="15.75" customHeight="1">
      <c r="A272" s="2" t="s">
        <v>272</v>
      </c>
      <c r="B272" s="2" t="str">
        <f>IFERROR(__xludf.DUMMYFUNCTION("GOOGLETRANSLATE(A272, ""en"", ""mt"")"),"Matematika applikata għall-kostruzzjoni tal-kalendarji")</f>
        <v>Matematika applikata għall-kostruzzjoni tal-kalendarji</v>
      </c>
    </row>
    <row r="273" ht="15.75" customHeight="1">
      <c r="A273" s="2" t="s">
        <v>273</v>
      </c>
      <c r="B273" s="2" t="str">
        <f>IFERROR(__xludf.DUMMYFUNCTION("GOOGLETRANSLATE(A273, ""en"", ""mt"")"),"Marokk u Etjopja")</f>
        <v>Marokk u Etjopja</v>
      </c>
    </row>
    <row r="274" ht="15.75" customHeight="1">
      <c r="A274" s="2" t="s">
        <v>274</v>
      </c>
      <c r="B274" s="2" t="str">
        <f>IFERROR(__xludf.DUMMYFUNCTION("GOOGLETRANSLATE(A274, ""en"", ""mt"")"),"Liema element kimiku kienet il-kawża tar-riżultat diżastruż ta 'Apollo 1?")</f>
        <v>Liema element kimiku kienet il-kawża tar-riżultat diżastruż ta 'Apollo 1?</v>
      </c>
    </row>
    <row r="275" ht="15.75" customHeight="1">
      <c r="A275" s="2" t="s">
        <v>275</v>
      </c>
      <c r="B275" s="2" t="str">
        <f>IFERROR(__xludf.DUMMYFUNCTION("GOOGLETRANSLATE(A275, ""en"", ""mt"")"),"Divinità ta ’Ġesù")</f>
        <v>Divinità ta ’Ġesù</v>
      </c>
    </row>
    <row r="276" ht="15.75" customHeight="1">
      <c r="A276" s="2" t="s">
        <v>276</v>
      </c>
      <c r="B276" s="2" t="str">
        <f>IFERROR(__xludf.DUMMYFUNCTION("GOOGLETRANSLATE(A276, ""en"", ""mt"")"),"Meta ġie vvintat it-tip mobbli tal-fuħħar?")</f>
        <v>Meta ġie vvintat it-tip mobbli tal-fuħħar?</v>
      </c>
    </row>
    <row r="277" ht="15.75" customHeight="1">
      <c r="A277" s="2" t="s">
        <v>277</v>
      </c>
      <c r="B277" s="2" t="str">
        <f>IFERROR(__xludf.DUMMYFUNCTION("GOOGLETRANSLATE(A277, ""en"", ""mt"")"),"Għaliex il-kloroplasti huma ta 'interess fl-uċuħ tar-raba' OĠM?")</f>
        <v>Għaliex il-kloroplasti huma ta 'interess fl-uċuħ tar-raba' OĠM?</v>
      </c>
    </row>
    <row r="278" ht="15.75" customHeight="1">
      <c r="A278" s="2" t="s">
        <v>278</v>
      </c>
      <c r="B278" s="2" t="str">
        <f>IFERROR(__xludf.DUMMYFUNCTION("GOOGLETRANSLATE(A278, ""en"", ""mt"")"),"Musulmani tal-Punent")</f>
        <v>Musulmani tal-Punent</v>
      </c>
    </row>
    <row r="279" ht="15.75" customHeight="1">
      <c r="A279" s="2" t="s">
        <v>279</v>
      </c>
      <c r="B279" s="2" t="str">
        <f>IFERROR(__xludf.DUMMYFUNCTION("GOOGLETRANSLATE(A279, ""en"", ""mt"")"),"kwantitajiet skalari")</f>
        <v>kwantitajiet skalari</v>
      </c>
    </row>
    <row r="280" ht="15.75" customHeight="1">
      <c r="A280" s="2" t="s">
        <v>280</v>
      </c>
      <c r="B280" s="2" t="str">
        <f>IFERROR(__xludf.DUMMYFUNCTION("GOOGLETRANSLATE(A280, ""en"", ""mt"")"),"Ħidma bla ħniena")</f>
        <v>Ħidma bla ħniena</v>
      </c>
    </row>
    <row r="281" ht="15.75" customHeight="1">
      <c r="A281" s="2" t="s">
        <v>281</v>
      </c>
      <c r="B281" s="2" t="str">
        <f>IFERROR(__xludf.DUMMYFUNCTION("GOOGLETRANSLATE(A281, ""en"", ""mt"")"),"Kemm każijiet ta 'malarja rrappurtaw il-Kenja fl-2006?")</f>
        <v>Kemm każijiet ta 'malarja rrappurtaw il-Kenja fl-2006?</v>
      </c>
    </row>
    <row r="282" ht="15.75" customHeight="1">
      <c r="A282" s="2" t="s">
        <v>282</v>
      </c>
      <c r="B282" s="2" t="str">
        <f>IFERROR(__xludf.DUMMYFUNCTION("GOOGLETRANSLATE(A282, ""en"", ""mt"")"),"periti")</f>
        <v>periti</v>
      </c>
    </row>
    <row r="283" ht="15.75" customHeight="1">
      <c r="A283" s="2" t="s">
        <v>283</v>
      </c>
      <c r="B283" s="2" t="str">
        <f>IFERROR(__xludf.DUMMYFUNCTION("GOOGLETRANSLATE(A283, ""en"", ""mt"")"),"Il-kostruzzjoni tal-bini ġeneralment tkun maqsuma aktar f'liema kategoriji?")</f>
        <v>Il-kostruzzjoni tal-bini ġeneralment tkun maqsuma aktar f'liema kategoriji?</v>
      </c>
    </row>
    <row r="284" ht="15.75" customHeight="1">
      <c r="A284" s="2" t="s">
        <v>284</v>
      </c>
      <c r="B284" s="2" t="str">
        <f>IFERROR(__xludf.DUMMYFUNCTION("GOOGLETRANSLATE(A284, ""en"", ""mt"")"),"mhedda ""Brittanika antika"" b'konsegwenzi severi")</f>
        <v>mhedda "Brittanika antika" b'konsegwenzi severi</v>
      </c>
    </row>
    <row r="285" ht="15.75" customHeight="1">
      <c r="A285" s="2" t="s">
        <v>285</v>
      </c>
      <c r="B285" s="2" t="str">
        <f>IFERROR(__xludf.DUMMYFUNCTION("GOOGLETRANSLATE(A285, ""en"", ""mt"")"),"Tqajjem tħassib dwar jekk il-qasam tal-istadium ta 'Levi kienx ta' kwalità għolja biżżejjed biex jospita Super Bowl; Matul l-istaġun inawgurali, il-grawnd kellu jerġa 'jiġi soded bosta drabi minħabba diversi kwistjonijiet, u matul logħba 6 aktar kmieni fl"&amp;"-istaġun tal-2015, porzjon tat-turf waqa' taħt il-kicker ta 'Baltimore Ravens Justin Tucker, li jikkawżah jiżloq u Miss a Goal Field, għalkemm il-qasam ma kellu l-ebda kwistjonijiet kbar minn dakinhar. Kif inhu s-soltu għal-logħob tas-Super Bowl li lagħab"&amp;" fil-grawnds tal-ħaxix naturali, l-NFL reġgħet issottomettiet il-grawnd b'wiċċ tal-logħob ġdid; A ibridu Bermuda 419 Turf. L-NFL u l-Atlanta Braves Field Director Ed Mangan iddikjaraw li l-grawnd kien f '""forma kbira"" għal Gameday. Madankollu, it-turf w"&amp;"era problema matul il-logħba, b'numru ta 'plejers li għandhom bżonn jibdlu l-bitti tagħhom waqt il-logħba u l-plejer jiżolqu waqt il-logħob kollu matul il-logħba.")</f>
        <v>Tqajjem tħassib dwar jekk il-qasam tal-istadium ta 'Levi kienx ta' kwalità għolja biżżejjed biex jospita Super Bowl; Matul l-istaġun inawgurali, il-grawnd kellu jerġa 'jiġi soded bosta drabi minħabba diversi kwistjonijiet, u matul logħba 6 aktar kmieni fl-istaġun tal-2015, porzjon tat-turf waqa' taħt il-kicker ta 'Baltimore Ravens Justin Tucker, li jikkawżah jiżloq u Miss a Goal Field, għalkemm il-qasam ma kellu l-ebda kwistjonijiet kbar minn dakinhar. Kif inhu s-soltu għal-logħob tas-Super Bowl li lagħab fil-grawnds tal-ħaxix naturali, l-NFL reġgħet issottomettiet il-grawnd b'wiċċ tal-logħob ġdid; A ibridu Bermuda 419 Turf. L-NFL u l-Atlanta Braves Field Director Ed Mangan iddikjaraw li l-grawnd kien f '"forma kbira" għal Gameday. Madankollu, it-turf wera problema matul il-logħba, b'numru ta 'plejers li għandhom bżonn jibdlu l-bitti tagħhom waqt il-logħba u l-plejer jiżolqu waqt il-logħob kollu matul il-logħba.</v>
      </c>
    </row>
    <row r="286" ht="15.75" customHeight="1">
      <c r="A286" s="2" t="s">
        <v>286</v>
      </c>
      <c r="B286" s="2" t="str">
        <f>IFERROR(__xludf.DUMMYFUNCTION("GOOGLETRANSLATE(A286, ""en"", ""mt"")"),"Flimkien ma 'skejjel pubbliċi, x'tip ta' skola ġiet rikonoxxuta taħt l-Att dwar l-Iskejjel ta 'l-Afrika t'Isfel?")</f>
        <v>Flimkien ma 'skejjel pubbliċi, x'tip ta' skola ġiet rikonoxxuta taħt l-Att dwar l-Iskejjel ta 'l-Afrika t'Isfel?</v>
      </c>
    </row>
    <row r="287" ht="15.75" customHeight="1">
      <c r="A287" s="2" t="s">
        <v>287</v>
      </c>
      <c r="B287" s="2" t="str">
        <f>IFERROR(__xludf.DUMMYFUNCTION("GOOGLETRANSLATE(A287, ""en"", ""mt"")"),"Lil min RCA ta l-bejgħ ta 'NBC Blue sa fl-1941?")</f>
        <v>Lil min RCA ta l-bejgħ ta 'NBC Blue sa fl-1941?</v>
      </c>
    </row>
    <row r="288" ht="15.75" customHeight="1">
      <c r="A288" s="2" t="s">
        <v>288</v>
      </c>
      <c r="B288" s="2" t="str">
        <f>IFERROR(__xludf.DUMMYFUNCTION("GOOGLETRANSLATE(A288, ""en"", ""mt"")"),"Kemm flus spejjeż kummerċjali ta '1/2 minuta?")</f>
        <v>Kemm flus spejjeż kummerċjali ta '1/2 minuta?</v>
      </c>
    </row>
    <row r="289" ht="15.75" customHeight="1">
      <c r="A289" s="2" t="s">
        <v>289</v>
      </c>
      <c r="B289" s="2" t="str">
        <f>IFERROR(__xludf.DUMMYFUNCTION("GOOGLETRANSLATE(A289, ""en"", ""mt"")"),"""spinta"" fil-prestazzjoni")</f>
        <v>"spinta" fil-prestazzjoni</v>
      </c>
    </row>
    <row r="290" ht="15.75" customHeight="1">
      <c r="A290" s="2" t="s">
        <v>290</v>
      </c>
      <c r="B290" s="2" t="str">
        <f>IFERROR(__xludf.DUMMYFUNCTION("GOOGLETRANSLATE(A290, ""en"", ""mt"")"),"Kemm puplesiji tal-pistuni jseħħu f'ċiklu tal-magna?")</f>
        <v>Kemm puplesiji tal-pistuni jseħħu f'ċiklu tal-magna?</v>
      </c>
    </row>
    <row r="291" ht="15.75" customHeight="1">
      <c r="A291" s="2" t="s">
        <v>291</v>
      </c>
      <c r="B291" s="2" t="str">
        <f>IFERROR(__xludf.DUMMYFUNCTION("GOOGLETRANSLATE(A291, ""en"", ""mt"")"),"Turingija")</f>
        <v>Turingija</v>
      </c>
    </row>
    <row r="292" ht="15.75" customHeight="1">
      <c r="A292" s="2" t="s">
        <v>292</v>
      </c>
      <c r="B292" s="2" t="str">
        <f>IFERROR(__xludf.DUMMYFUNCTION("GOOGLETRANSLATE(A292, ""en"", ""mt"")"),"mistrieħ")</f>
        <v>mistrieħ</v>
      </c>
    </row>
    <row r="293" ht="15.75" customHeight="1">
      <c r="A293" s="2" t="s">
        <v>293</v>
      </c>
      <c r="B293" s="2" t="str">
        <f>IFERROR(__xludf.DUMMYFUNCTION("GOOGLETRANSLATE(A293, ""en"", ""mt"")"),"X'inhu l-qasam tal-istudju tal-immunogeniċità permezz tal-bijoinformatika magħrufa bħala?")</f>
        <v>X'inhu l-qasam tal-istudju tal-immunogeniċità permezz tal-bijoinformatika magħrufa bħala?</v>
      </c>
    </row>
    <row r="294" ht="15.75" customHeight="1">
      <c r="A294" s="2" t="s">
        <v>294</v>
      </c>
      <c r="B294" s="2" t="str">
        <f>IFERROR(__xludf.DUMMYFUNCTION("GOOGLETRANSLATE(A294, ""en"", ""mt"")"),"Filwaqt li l-kompetizzjoni bejn il-ħaddiema tnaqqas il-pagi għal impjiegi bi provvista għolja ta 'ħaddiem, li l-kompetizzjoni tiegħu tmexxi l-pagi għall-invers?")</f>
        <v>Filwaqt li l-kompetizzjoni bejn il-ħaddiema tnaqqas il-pagi għal impjiegi bi provvista għolja ta 'ħaddiem, li l-kompetizzjoni tiegħu tmexxi l-pagi għall-invers?</v>
      </c>
    </row>
    <row r="295" ht="15.75" customHeight="1">
      <c r="A295" s="2" t="s">
        <v>295</v>
      </c>
      <c r="B295" s="2" t="str">
        <f>IFERROR(__xludf.DUMMYFUNCTION("GOOGLETRANSLATE(A295, ""en"", ""mt"")"),"Problemi ta 'deċiżjoni")</f>
        <v>Problemi ta 'deċiżjoni</v>
      </c>
    </row>
    <row r="296" ht="15.75" customHeight="1">
      <c r="A296" s="2" t="s">
        <v>296</v>
      </c>
      <c r="B296" s="2" t="str">
        <f>IFERROR(__xludf.DUMMYFUNCTION("GOOGLETRANSLATE(A296, ""en"", ""mt"")"),"rispettat ħafna")</f>
        <v>rispettat ħafna</v>
      </c>
    </row>
    <row r="297" ht="15.75" customHeight="1">
      <c r="A297" s="2" t="s">
        <v>297</v>
      </c>
      <c r="B297" s="2" t="str">
        <f>IFERROR(__xludf.DUMMYFUNCTION("GOOGLETRANSLATE(A297, ""en"", ""mt"")"),"Kemm hemm tipi moderni ta 'testijiet ta' primalità għal numri ġenerali n?")</f>
        <v>Kemm hemm tipi moderni ta 'testijiet ta' primalità għal numri ġenerali n?</v>
      </c>
    </row>
    <row r="298" ht="15.75" customHeight="1">
      <c r="A298" s="2" t="s">
        <v>298</v>
      </c>
      <c r="B298" s="2" t="str">
        <f>IFERROR(__xludf.DUMMYFUNCTION("GOOGLETRANSLATE(A298, ""en"", ""mt"")"),"Il-ħames tobba")</f>
        <v>Il-ħames tobba</v>
      </c>
    </row>
    <row r="299" ht="15.75" customHeight="1">
      <c r="A299" s="2" t="s">
        <v>299</v>
      </c>
      <c r="B299" s="2" t="str">
        <f>IFERROR(__xludf.DUMMYFUNCTION("GOOGLETRANSLATE(A299, ""en"", ""mt"")"),"Robert Guiscard")</f>
        <v>Robert Guiscard</v>
      </c>
    </row>
    <row r="300" ht="15.75" customHeight="1">
      <c r="A300" s="2" t="s">
        <v>300</v>
      </c>
      <c r="B300" s="2" t="str">
        <f>IFERROR(__xludf.DUMMYFUNCTION("GOOGLETRANSLATE(A300, ""en"", ""mt"")"),"Ġudikatura")</f>
        <v>Ġudikatura</v>
      </c>
    </row>
    <row r="301" ht="15.75" customHeight="1">
      <c r="A301" s="2" t="s">
        <v>301</v>
      </c>
      <c r="B301" s="2" t="str">
        <f>IFERROR(__xludf.DUMMYFUNCTION("GOOGLETRANSLATE(A301, ""en"", ""mt"")"),"Minn fejn ġew il-biċċa l-kbira tal-kloroplasti?")</f>
        <v>Minn fejn ġew il-biċċa l-kbira tal-kloroplasti?</v>
      </c>
    </row>
    <row r="302" ht="15.75" customHeight="1">
      <c r="A302" s="2" t="s">
        <v>302</v>
      </c>
      <c r="B302" s="2" t="str">
        <f>IFERROR(__xludf.DUMMYFUNCTION("GOOGLETRANSLATE(A302, ""en"", ""mt"")"),"€ 25,000")</f>
        <v>€ 25,000</v>
      </c>
    </row>
    <row r="303" ht="15.75" customHeight="1">
      <c r="A303" s="2" t="s">
        <v>303</v>
      </c>
      <c r="B303" s="2" t="str">
        <f>IFERROR(__xludf.DUMMYFUNCTION("GOOGLETRANSLATE(A303, ""en"", ""mt"")"),"Żona Medika u Akkademika ta 'Longwood")</f>
        <v>Żona Medika u Akkademika ta 'Longwood</v>
      </c>
    </row>
    <row r="304" ht="15.75" customHeight="1">
      <c r="A304" s="2" t="s">
        <v>304</v>
      </c>
      <c r="B304" s="2" t="str">
        <f>IFERROR(__xludf.DUMMYFUNCTION("GOOGLETRANSLATE(A304, ""en"", ""mt"")"),"ideoloġiku")</f>
        <v>ideoloġiku</v>
      </c>
    </row>
    <row r="305" ht="15.75" customHeight="1">
      <c r="A305" s="2" t="s">
        <v>305</v>
      </c>
      <c r="B305" s="2" t="str">
        <f>IFERROR(__xludf.DUMMYFUNCTION("GOOGLETRANSLATE(A305, ""en"", ""mt"")"),"Kemm Walt Disney riedet li ABC tinvesti f'Disneyland?")</f>
        <v>Kemm Walt Disney riedet li ABC tinvesti f'Disneyland?</v>
      </c>
    </row>
    <row r="306" ht="15.75" customHeight="1">
      <c r="A306" s="2" t="s">
        <v>306</v>
      </c>
      <c r="B306" s="2" t="str">
        <f>IFERROR(__xludf.DUMMYFUNCTION("GOOGLETRANSLATE(A306, ""en"", ""mt"")"),"30–60% tal-popolazzjoni totali tal-Ewropa")</f>
        <v>30–60% tal-popolazzjoni totali tal-Ewropa</v>
      </c>
    </row>
    <row r="307" ht="15.75" customHeight="1">
      <c r="A307" s="2" t="s">
        <v>307</v>
      </c>
      <c r="B307" s="2" t="str">
        <f>IFERROR(__xludf.DUMMYFUNCTION("GOOGLETRANSLATE(A307, ""en"", ""mt"")"),"it-tielet u t-tmien tobba")</f>
        <v>it-tielet u t-tmien tobba</v>
      </c>
    </row>
    <row r="308" ht="15.75" customHeight="1">
      <c r="A308" s="2" t="s">
        <v>308</v>
      </c>
      <c r="B308" s="2" t="str">
        <f>IFERROR(__xludf.DUMMYFUNCTION("GOOGLETRANSLATE(A308, ""en"", ""mt"")"),"il-Guanabara Confession of Faith")</f>
        <v>il-Guanabara Confession of Faith</v>
      </c>
    </row>
    <row r="309" ht="15.75" customHeight="1">
      <c r="A309" s="2" t="s">
        <v>309</v>
      </c>
      <c r="B309" s="2" t="str">
        <f>IFERROR(__xludf.DUMMYFUNCTION("GOOGLETRANSLATE(A309, ""en"", ""mt"")"),"X’għamlet il-Kummissjoni Omine?")</f>
        <v>X’għamlet il-Kummissjoni Omine?</v>
      </c>
    </row>
    <row r="310" ht="15.75" customHeight="1">
      <c r="A310" s="2" t="s">
        <v>310</v>
      </c>
      <c r="B310" s="2" t="str">
        <f>IFERROR(__xludf.DUMMYFUNCTION("GOOGLETRANSLATE(A310, ""en"", ""mt"")"),"X'għandek tagħmel probationer biex taqla 'aktar flus, wara 6 snin?")</f>
        <v>X'għandek tagħmel probationer biex taqla 'aktar flus, wara 6 snin?</v>
      </c>
    </row>
    <row r="311" ht="15.75" customHeight="1">
      <c r="A311" s="2" t="s">
        <v>311</v>
      </c>
      <c r="B311" s="2" t="str">
        <f>IFERROR(__xludf.DUMMYFUNCTION("GOOGLETRANSLATE(A311, ""en"", ""mt"")"),"Kemm kien jiswa biex tibni l-istadium ta 'Levi?")</f>
        <v>Kemm kien jiswa biex tibni l-istadium ta 'Levi?</v>
      </c>
    </row>
    <row r="312" ht="15.75" customHeight="1">
      <c r="A312" s="2" t="s">
        <v>312</v>
      </c>
      <c r="B312" s="2" t="str">
        <f>IFERROR(__xludf.DUMMYFUNCTION("GOOGLETRANSLATE(A312, ""en"", ""mt"")"),"Edison Machine Works")</f>
        <v>Edison Machine Works</v>
      </c>
    </row>
    <row r="313" ht="15.75" customHeight="1">
      <c r="A313" s="2" t="s">
        <v>313</v>
      </c>
      <c r="B313" s="2" t="str">
        <f>IFERROR(__xludf.DUMMYFUNCTION("GOOGLETRANSLATE(A313, ""en"", ""mt"")"),"Id-Dgħajjes")</f>
        <v>Id-Dgħajjes</v>
      </c>
    </row>
    <row r="314" ht="15.75" customHeight="1">
      <c r="A314" s="2" t="s">
        <v>314</v>
      </c>
      <c r="B314" s="2" t="str">
        <f>IFERROR(__xludf.DUMMYFUNCTION("GOOGLETRANSLATE(A314, ""en"", ""mt"")"),"Film irqiq ta 'ossidu")</f>
        <v>Film irqiq ta 'ossidu</v>
      </c>
    </row>
    <row r="315" ht="15.75" customHeight="1">
      <c r="A315" s="2" t="s">
        <v>315</v>
      </c>
      <c r="B315" s="2" t="str">
        <f>IFERROR(__xludf.DUMMYFUNCTION("GOOGLETRANSLATE(A315, ""en"", ""mt"")"),"pjaga mibgħuta biex tikkastiga lill-Kristjani")</f>
        <v>pjaga mibgħuta biex tikkastiga lill-Kristjani</v>
      </c>
    </row>
    <row r="316" ht="15.75" customHeight="1">
      <c r="A316" s="2" t="s">
        <v>316</v>
      </c>
      <c r="B316" s="2" t="str">
        <f>IFERROR(__xludf.DUMMYFUNCTION("GOOGLETRANSLATE(A316, ""en"", ""mt"")"),"Meta ġiet imnedija s-sistema 8-4-4?")</f>
        <v>Meta ġiet imnedija s-sistema 8-4-4?</v>
      </c>
    </row>
    <row r="317" ht="15.75" customHeight="1">
      <c r="A317" s="2" t="s">
        <v>317</v>
      </c>
      <c r="B317" s="2" t="str">
        <f>IFERROR(__xludf.DUMMYFUNCTION("GOOGLETRANSLATE(A317, ""en"", ""mt"")"),"juru dimorfiżmu tal-kloroplast distint")</f>
        <v>juru dimorfiżmu tal-kloroplast distint</v>
      </c>
    </row>
    <row r="318" ht="15.75" customHeight="1">
      <c r="A318" s="2" t="s">
        <v>318</v>
      </c>
      <c r="B318" s="2" t="str">
        <f>IFERROR(__xludf.DUMMYFUNCTION("GOOGLETRANSLATE(A318, ""en"", ""mt"")"),"galleriji ta 'arti kontinentali")</f>
        <v>galleriji ta 'arti kontinentali</v>
      </c>
    </row>
    <row r="319" ht="15.75" customHeight="1">
      <c r="A319" s="2" t="s">
        <v>319</v>
      </c>
      <c r="B319" s="2" t="str">
        <f>IFERROR(__xludf.DUMMYFUNCTION("GOOGLETRANSLATE(A319, ""en"", ""mt"")"),"programmi tal-kompjuter")</f>
        <v>programmi tal-kompjuter</v>
      </c>
    </row>
    <row r="320" ht="15.75" customHeight="1">
      <c r="A320" s="2" t="s">
        <v>320</v>
      </c>
      <c r="B320" s="2" t="str">
        <f>IFERROR(__xludf.DUMMYFUNCTION("GOOGLETRANSLATE(A320, ""en"", ""mt"")"),"Kriptografija taċ-ċavetta pubblika")</f>
        <v>Kriptografija taċ-ċavetta pubblika</v>
      </c>
    </row>
    <row r="321" ht="15.75" customHeight="1">
      <c r="A321" s="2" t="s">
        <v>321</v>
      </c>
      <c r="B321" s="2" t="str">
        <f>IFERROR(__xludf.DUMMYFUNCTION("GOOGLETRANSLATE(A321, ""en"", ""mt"")"),"Hekk kif Jamukha u Temüjin injoraw fil-ħbiberija tagħhom, kull wieħed beda jikkonsolida l-poter, u malajr saru rivali. Jamukha appoġġa l-aristokrazija tradizzjonali Mongoljana, filwaqt li Temüjin segwa metodu meritokratiku, u ġibed firxa ta 'segwaċi ta' k"&amp;"lassi usa ', għalkemm baxxa. Minħabba t-telfa preċedenti tiegħu tal-Merkits, u proklamazzjoni mix-Shaman Kokochu li s-sema blu etern warrbu d-dinja għal Temüjin, Temüjin beda jitla 'għall-poter. Fl-1186, Temüjin ġie elett Khan tal-Mongoli. Madankollu, Jam"&amp;"ukha, mhedded mit-tlugħ mgħaġġel ta 'Temüjin, malajr mar biex iwaqqaf l-ambizzjonijiet ta' Temüjin. Fl-1187, huwa nieda attakk kontra l-eks ħabib tiegħu ma 'armata ta' tletin elf truppa. Temüjin bil-għaġla ġabar flimkien is-segwaċi tiegħu biex jiddefendu "&amp;"kontra l-attakk, iżda kien imsawwat b'mod deċiżiv fil-battalja ta 'Dalan Balzhut. JAMUKHA horrified lin-nies bil-kbir u għamel ħsara lill-immaġni tiegħu billi jagħli sebgħin magħluq maskili ħajjin fil-pastard, jaljena ħafna mis-segwaċi potenzjali tiegħu u"&amp;" joħroġ simpatija għal Temüjin. Toghrul, bħala l-patrun ta 'Temüjin, kien eżiljat għall-Qara Khitai. Il-ħajja ta 'Temüjin għall-għaxar snin li ġejjin mhix ċara ħafna, peress li r-rekords storiċi huma l-aktar siekta f'dak il-perjodu.")</f>
        <v>Hekk kif Jamukha u Temüjin injoraw fil-ħbiberija tagħhom, kull wieħed beda jikkonsolida l-poter, u malajr saru rivali. Jamukha appoġġa l-aristokrazija tradizzjonali Mongoljana, filwaqt li Temüjin segwa metodu meritokratiku, u ġibed firxa ta 'segwaċi ta' klassi usa ', għalkemm baxxa. Minħabba t-telfa preċedenti tiegħu tal-Merkits, u proklamazzjoni mix-Shaman Kokochu li s-sema blu etern warrbu d-dinja għal Temüjin, Temüjin beda jitla 'għall-poter. Fl-1186, Temüjin ġie elett Khan tal-Mongoli. Madankollu, Jamukha, mhedded mit-tlugħ mgħaġġel ta 'Temüjin, malajr mar biex iwaqqaf l-ambizzjonijiet ta' Temüjin. Fl-1187, huwa nieda attakk kontra l-eks ħabib tiegħu ma 'armata ta' tletin elf truppa. Temüjin bil-għaġla ġabar flimkien is-segwaċi tiegħu biex jiddefendu kontra l-attakk, iżda kien imsawwat b'mod deċiżiv fil-battalja ta 'Dalan Balzhut. JAMUKHA horrified lin-nies bil-kbir u għamel ħsara lill-immaġni tiegħu billi jagħli sebgħin magħluq maskili ħajjin fil-pastard, jaljena ħafna mis-segwaċi potenzjali tiegħu u joħroġ simpatija għal Temüjin. Toghrul, bħala l-patrun ta 'Temüjin, kien eżiljat għall-Qara Khitai. Il-ħajja ta 'Temüjin għall-għaxar snin li ġejjin mhix ċara ħafna, peress li r-rekords storiċi huma l-aktar siekta f'dak il-perjodu.</v>
      </c>
    </row>
    <row r="322" ht="15.75" customHeight="1">
      <c r="A322" s="2" t="s">
        <v>322</v>
      </c>
      <c r="B322" s="2" t="str">
        <f>IFERROR(__xludf.DUMMYFUNCTION("GOOGLETRANSLATE(A322, ""en"", ""mt"")"),"It-Tieni Liġi tat-Termodinamiċità")</f>
        <v>It-Tieni Liġi tat-Termodinamiċità</v>
      </c>
    </row>
    <row r="323" ht="15.75" customHeight="1">
      <c r="A323" s="2" t="s">
        <v>323</v>
      </c>
      <c r="B323" s="2" t="str">
        <f>IFERROR(__xludf.DUMMYFUNCTION("GOOGLETRANSLATE(A323, ""en"", ""mt"")"),"Liema professjoni huma Cany Ash u Robert Sakula?")</f>
        <v>Liema professjoni huma Cany Ash u Robert Sakula?</v>
      </c>
    </row>
    <row r="324" ht="15.75" customHeight="1">
      <c r="A324" s="2" t="s">
        <v>324</v>
      </c>
      <c r="B324" s="2" t="str">
        <f>IFERROR(__xludf.DUMMYFUNCTION("GOOGLETRANSLATE(A324, ""en"", ""mt"")"),"Salafism jippreżenta li d-demokrazija hija responsabbli għal liema tip ta 'avvenimenti horrible tas-seklu 20?")</f>
        <v>Salafism jippreżenta li d-demokrazija hija responsabbli għal liema tip ta 'avvenimenti horrible tas-seklu 20?</v>
      </c>
    </row>
    <row r="325" ht="15.75" customHeight="1">
      <c r="A325" s="2" t="s">
        <v>325</v>
      </c>
      <c r="B325" s="2" t="str">
        <f>IFERROR(__xludf.DUMMYFUNCTION("GOOGLETRANSLATE(A325, ""en"", ""mt"")"),"Kif jittieħdu d-deċiżjonijiet dwar kif iġibu ruħhom mill-UE?")</f>
        <v>Kif jittieħdu d-deċiżjonijiet dwar kif iġibu ruħhom mill-UE?</v>
      </c>
    </row>
    <row r="326" ht="15.75" customHeight="1">
      <c r="A326" s="2" t="s">
        <v>326</v>
      </c>
      <c r="B326" s="2" t="str">
        <f>IFERROR(__xludf.DUMMYFUNCTION("GOOGLETRANSLATE(A326, ""en"", ""mt"")"),"Meta l-blat jingħalaq fil-fond fl-art jista 'jintewa wieħed minn żewġ modi, meta joħloq' l isfel xiex joħloq?")</f>
        <v>Meta l-blat jingħalaq fil-fond fl-art jista 'jintewa wieħed minn żewġ modi, meta joħloq' l isfel xiex joħloq?</v>
      </c>
    </row>
    <row r="327" ht="15.75" customHeight="1">
      <c r="A327" s="2" t="s">
        <v>327</v>
      </c>
      <c r="B327" s="2" t="str">
        <f>IFERROR(__xludf.DUMMYFUNCTION("GOOGLETRANSLATE(A327, ""en"", ""mt"")"),"""Xiri ta 'Stop One-Stop""")</f>
        <v>"Xiri ta 'Stop One-Stop"</v>
      </c>
    </row>
    <row r="328" ht="15.75" customHeight="1">
      <c r="A328" s="2" t="s">
        <v>328</v>
      </c>
      <c r="B328" s="2" t="str">
        <f>IFERROR(__xludf.DUMMYFUNCTION("GOOGLETRANSLATE(A328, ""en"", ""mt"")"),"X'inhu meqjus bħala l-epitome tar-Romine Romanticism?")</f>
        <v>X'inhu meqjus bħala l-epitome tar-Romine Romanticism?</v>
      </c>
    </row>
    <row r="329" ht="15.75" customHeight="1">
      <c r="A329" s="2" t="s">
        <v>329</v>
      </c>
      <c r="B329" s="2" t="str">
        <f>IFERROR(__xludf.DUMMYFUNCTION("GOOGLETRANSLATE(A329, ""en"", ""mt"")"),"Madwar 8-15")</f>
        <v>Madwar 8-15</v>
      </c>
    </row>
    <row r="330" ht="15.75" customHeight="1">
      <c r="A330" s="2" t="s">
        <v>330</v>
      </c>
      <c r="B330" s="2" t="str">
        <f>IFERROR(__xludf.DUMMYFUNCTION("GOOGLETRANSLATE(A330, ""en"", ""mt"")"),"Meta nediet il-BSKYB huwa s-servizz HDTV?")</f>
        <v>Meta nediet il-BSKYB huwa s-servizz HDTV?</v>
      </c>
    </row>
    <row r="331" ht="15.75" customHeight="1">
      <c r="A331" s="2" t="s">
        <v>331</v>
      </c>
      <c r="B331" s="2" t="str">
        <f>IFERROR(__xludf.DUMMYFUNCTION("GOOGLETRANSLATE(A331, ""en"", ""mt"")"),"X'responsabbiltajiet huma l-ispiżjara li jemmnu li qed jieħdu aktar fil-futur?")</f>
        <v>X'responsabbiltajiet huma l-ispiżjara li jemmnu li qed jieħdu aktar fil-futur?</v>
      </c>
    </row>
    <row r="332" ht="15.75" customHeight="1">
      <c r="A332" s="2" t="s">
        <v>332</v>
      </c>
      <c r="B332" s="2" t="str">
        <f>IFERROR(__xludf.DUMMYFUNCTION("GOOGLETRANSLATE(A332, ""en"", ""mt"")"),"Fejn jiġi pprattikat l-iktar kastig korporali?")</f>
        <v>Fejn jiġi pprattikat l-iktar kastig korporali?</v>
      </c>
    </row>
    <row r="333" ht="15.75" customHeight="1">
      <c r="A333" s="2" t="s">
        <v>333</v>
      </c>
      <c r="B333" s="2" t="str">
        <f>IFERROR(__xludf.DUMMYFUNCTION("GOOGLETRANSLATE(A333, ""en"", ""mt"")"),"X'inhu l-proċess li bih il-kumpless tal-antiġen / antikorpi huwa pproċessat fil-peptidi?")</f>
        <v>X'inhu l-proċess li bih il-kumpless tal-antiġen / antikorpi huwa pproċessat fil-peptidi?</v>
      </c>
    </row>
    <row r="334" ht="15.75" customHeight="1">
      <c r="A334" s="2" t="s">
        <v>334</v>
      </c>
      <c r="B334" s="2" t="str">
        <f>IFERROR(__xludf.DUMMYFUNCTION("GOOGLETRANSLATE(A334, ""en"", ""mt"")"),"kważi xahar")</f>
        <v>kważi xahar</v>
      </c>
    </row>
    <row r="335" ht="15.75" customHeight="1">
      <c r="A335" s="2" t="s">
        <v>335</v>
      </c>
      <c r="B335" s="2" t="str">
        <f>IFERROR(__xludf.DUMMYFUNCTION("GOOGLETRANSLATE(A335, ""en"", ""mt"")"),"Grazzi")</f>
        <v>Grazzi</v>
      </c>
    </row>
    <row r="336" ht="15.75" customHeight="1">
      <c r="A336" s="2" t="s">
        <v>336</v>
      </c>
      <c r="B336" s="2" t="str">
        <f>IFERROR(__xludf.DUMMYFUNCTION("GOOGLETRANSLATE(A336, ""en"", ""mt"")"),"Fil-bidu tas-seklu 11")</f>
        <v>Fil-bidu tas-seklu 11</v>
      </c>
    </row>
    <row r="337" ht="15.75" customHeight="1">
      <c r="A337" s="2" t="s">
        <v>337</v>
      </c>
      <c r="B337" s="2" t="str">
        <f>IFERROR(__xludf.DUMMYFUNCTION("GOOGLETRANSLATE(A337, ""en"", ""mt"")"),"Perfezzjoni Nisranija")</f>
        <v>Perfezzjoni Nisranija</v>
      </c>
    </row>
    <row r="338" ht="15.75" customHeight="1">
      <c r="A338" s="2" t="s">
        <v>338</v>
      </c>
      <c r="B338" s="2" t="str">
        <f>IFERROR(__xludf.DUMMYFUNCTION("GOOGLETRANSLATE(A338, ""en"", ""mt"")"),"isiru eħfef")</f>
        <v>isiru eħfef</v>
      </c>
    </row>
    <row r="339" ht="15.75" customHeight="1">
      <c r="A339" s="2" t="s">
        <v>339</v>
      </c>
      <c r="B339" s="2" t="str">
        <f>IFERROR(__xludf.DUMMYFUNCTION("GOOGLETRANSLATE(A339, ""en"", ""mt"")"),"Il-metodu ewlieni l-ieħor ta 'produzzjoni O
2 gass jinvolvi li tgħaddi fluss ta 'arja nadifa u niexfa minn sodda waħda ta' par ta 'passaġġi molekulari identiċi taż-żeoliti, li jassorbi n-nitroġenu u jagħti fluss tal-gass li huwa 90% sa 93% o
2. Fl-istess "&amp;"ħin, il-gass tan-nitroġenu jinħeles mis-sodda taż-żeoliti l-oħra saturata għan-nitroġenu, billi tnaqqas il-pressjoni operattiva tal-kamra u tiddevja l-parti tal-gass tal-ossiġnu mis-sodda tal-produttur minn ġo fih, fid-direzzjoni ta 'wara tal-fluss. Wara "&amp;"ħin ta 'ċiklu stabbilit it-tħaddim taż-żewġ sodod huwa interkambjat, u b'hekk jippermetti li provvista kontinwa ta' ossiġenu gassuż jiġi ppumpjat permezz ta 'pipeline. Dan huwa magħruf bħala adsorbiment ta 'tbandil tal-pressjoni. Il-gass ta 'l-ossiġnu huw"&amp;"a dejjem aktar miksub minn dawn it-teknoloġiji mhux kriġeniċi (ara wkoll l-adsorbiment relatat ma' swing tal-vakwu).")</f>
        <v>Il-metodu ewlieni l-ieħor ta 'produzzjoni O
2 gass jinvolvi li tgħaddi fluss ta 'arja nadifa u niexfa minn sodda waħda ta' par ta 'passaġġi molekulari identiċi taż-żeoliti, li jassorbi n-nitroġenu u jagħti fluss tal-gass li huwa 90% sa 93% o
2. Fl-istess ħin, il-gass tan-nitroġenu jinħeles mis-sodda taż-żeoliti l-oħra saturata għan-nitroġenu, billi tnaqqas il-pressjoni operattiva tal-kamra u tiddevja l-parti tal-gass tal-ossiġnu mis-sodda tal-produttur minn ġo fih, fid-direzzjoni ta 'wara tal-fluss. Wara ħin ta 'ċiklu stabbilit it-tħaddim taż-żewġ sodod huwa interkambjat, u b'hekk jippermetti li provvista kontinwa ta' ossiġenu gassuż jiġi ppumpjat permezz ta 'pipeline. Dan huwa magħruf bħala adsorbiment ta 'tbandil tal-pressjoni. Il-gass ta 'l-ossiġnu huwa dejjem aktar miksub minn dawn it-teknoloġiji mhux kriġeniċi (ara wkoll l-adsorbiment relatat ma' swing tal-vakwu).</v>
      </c>
    </row>
    <row r="340" ht="15.75" customHeight="1">
      <c r="A340" s="2" t="s">
        <v>340</v>
      </c>
      <c r="B340" s="2" t="str">
        <f>IFERROR(__xludf.DUMMYFUNCTION("GOOGLETRANSLATE(A340, ""en"", ""mt"")"),"Sky Movies u Sky Box Office jinkludu wkoll liema soundtracks fakultattivi?")</f>
        <v>Sky Movies u Sky Box Office jinkludu wkoll liema soundtracks fakultattivi?</v>
      </c>
    </row>
    <row r="341" ht="15.75" customHeight="1">
      <c r="A341" s="2" t="s">
        <v>341</v>
      </c>
      <c r="B341" s="2" t="str">
        <f>IFERROR(__xludf.DUMMYFUNCTION("GOOGLETRANSLATE(A341, ""en"", ""mt"")"),"Axioms tal-kumplessità tal-blum")</f>
        <v>Axioms tal-kumplessità tal-blum</v>
      </c>
    </row>
    <row r="342" ht="15.75" customHeight="1">
      <c r="A342" s="2" t="s">
        <v>342</v>
      </c>
      <c r="B342" s="2" t="str">
        <f>IFERROR(__xludf.DUMMYFUNCTION("GOOGLETRANSLATE(A342, ""en"", ""mt"")"),"X'kienet ir-relazzjoni ta 'Kublai Khan ma' Ogedei Khan?")</f>
        <v>X'kienet ir-relazzjoni ta 'Kublai Khan ma' Ogedei Khan?</v>
      </c>
    </row>
    <row r="343" ht="15.75" customHeight="1">
      <c r="A343" s="2" t="s">
        <v>343</v>
      </c>
      <c r="B343" s="2" t="str">
        <f>IFERROR(__xludf.DUMMYFUNCTION("GOOGLETRANSLATE(A343, ""en"", ""mt"")"),"qalb")</f>
        <v>qalb</v>
      </c>
    </row>
    <row r="344" ht="15.75" customHeight="1">
      <c r="A344" s="2" t="s">
        <v>344</v>
      </c>
      <c r="B344" s="2" t="str">
        <f>IFERROR(__xludf.DUMMYFUNCTION("GOOGLETRANSLATE(A344, ""en"", ""mt"")"),"Kemm għandhom tipi ta 'movimenti Euplokamis Tentilla?")</f>
        <v>Kemm għandhom tipi ta 'movimenti Euplokamis Tentilla?</v>
      </c>
    </row>
    <row r="345" ht="15.75" customHeight="1">
      <c r="A345" s="2" t="s">
        <v>345</v>
      </c>
      <c r="B345" s="2" t="str">
        <f>IFERROR(__xludf.DUMMYFUNCTION("GOOGLETRANSLATE(A345, ""en"", ""mt"")"),"In-netwerk beda jidħol f'xi inkwiet fil-klassifikazzjonijiet sal-2010. Dik is-sena, is-sitt u l-aħħar staġun ta 'Lost saru l-istaġun l-iktar baxx tad-drama mid-debutt tiegħu fl-2004. Il-klassifikazzjonijiet għall-hit li darba kienu stanti marret il-Ġimgħa"&amp;" fil-bidu tar-raba 'staġun tagħha fil-ħarifa ta' l-2009; Tentattiv biex tingħata spinta lill-klassifikazzjonijiet billi ċċaqlaq id-dramedy lejn l-Erbgħa falla, bil-kanċellazzjoni aħħarija tagħha min-netwerk toħroġ reazzjoni negattiva mill-pubbliku, u part"&amp;"ikolarment il-fanbase tal-ispettaklu. Biż-żewġ spettakli preċedenti tan-netwerk issa barra mill-istampa, il-wirjiet tal-aqwa veterani tan-netwerk li fadal huma Desperate Housewives u Grey's Anatomy, u oħra ta 'Hit Drama Brothers &amp; Sisters, kollha temmew l"&amp;"-istaġun 2009-10 li rreġistraw il-klassifikazzjonijiet l-aktar baxxi tagħhom li qatt kien hemm.")</f>
        <v>In-netwerk beda jidħol f'xi inkwiet fil-klassifikazzjonijiet sal-2010. Dik is-sena, is-sitt u l-aħħar staġun ta 'Lost saru l-istaġun l-iktar baxx tad-drama mid-debutt tiegħu fl-2004. Il-klassifikazzjonijiet għall-hit li darba kienu stanti marret il-Ġimgħa fil-bidu tar-raba 'staġun tagħha fil-ħarifa ta' l-2009; Tentattiv biex tingħata spinta lill-klassifikazzjonijiet billi ċċaqlaq id-dramedy lejn l-Erbgħa falla, bil-kanċellazzjoni aħħarija tagħha min-netwerk toħroġ reazzjoni negattiva mill-pubbliku, u partikolarment il-fanbase tal-ispettaklu. Biż-żewġ spettakli preċedenti tan-netwerk issa barra mill-istampa, il-wirjiet tal-aqwa veterani tan-netwerk li fadal huma Desperate Housewives u Grey's Anatomy, u oħra ta 'Hit Drama Brothers &amp; Sisters, kollha temmew l-istaġun 2009-10 li rreġistraw il-klassifikazzjonijiet l-aktar baxxi tagħhom li qatt kien hemm.</v>
      </c>
    </row>
    <row r="346" ht="15.75" customHeight="1">
      <c r="A346" s="2" t="s">
        <v>346</v>
      </c>
      <c r="B346" s="2" t="str">
        <f>IFERROR(__xludf.DUMMYFUNCTION("GOOGLETRANSLATE(A346, ""en"", ""mt"")"),"Kemm membri jistgħu jagħżlu l-votanti li jirrappreżentaw il-kostitwenza?")</f>
        <v>Kemm membri jistgħu jagħżlu l-votanti li jirrappreżentaw il-kostitwenza?</v>
      </c>
    </row>
    <row r="347" ht="15.75" customHeight="1">
      <c r="A347" s="2" t="s">
        <v>347</v>
      </c>
      <c r="B347" s="2" t="str">
        <f>IFERROR(__xludf.DUMMYFUNCTION("GOOGLETRANSLATE(A347, ""en"", ""mt"")"),"Arkitettura ġenerali għal netwerk ta 'komunikazzjonijiet fuq skala kbira, imqassma u sopravivenza")</f>
        <v>Arkitettura ġenerali għal netwerk ta 'komunikazzjonijiet fuq skala kbira, imqassma u sopravivenza</v>
      </c>
    </row>
    <row r="348" ht="15.75" customHeight="1">
      <c r="A348" s="2" t="s">
        <v>348</v>
      </c>
      <c r="B348" s="2" t="str">
        <f>IFERROR(__xludf.DUMMYFUNCTION("GOOGLETRANSLATE(A348, ""en"", ""mt"")"),"telimina l-liġi ta 'akkuża.")</f>
        <v>telimina l-liġi ta 'akkuża.</v>
      </c>
    </row>
    <row r="349" ht="15.75" customHeight="1">
      <c r="A349" s="2" t="s">
        <v>349</v>
      </c>
      <c r="B349" s="2" t="str">
        <f>IFERROR(__xludf.DUMMYFUNCTION("GOOGLETRANSLATE(A349, ""en"", ""mt"")"),"Min xtara jew ikkummissjona x-xogħlijiet ta 'artisti Ewropej inkludew il-galleriji Ingliżi tal-V &amp; A?")</f>
        <v>Min xtara jew ikkummissjona x-xogħlijiet ta 'artisti Ewropej inkludew il-galleriji Ingliżi tal-V &amp; A?</v>
      </c>
    </row>
    <row r="350" ht="15.75" customHeight="1">
      <c r="A350" s="2" t="s">
        <v>350</v>
      </c>
      <c r="B350" s="2" t="str">
        <f>IFERROR(__xludf.DUMMYFUNCTION("GOOGLETRANSLATE(A350, ""en"", ""mt"")"),"X'inhu l-proċess li bih is-sistema immunitarja tidentifika t-tumuri?")</f>
        <v>X'inhu l-proċess li bih is-sistema immunitarja tidentifika t-tumuri?</v>
      </c>
    </row>
    <row r="351" ht="15.75" customHeight="1">
      <c r="A351" s="2" t="s">
        <v>351</v>
      </c>
      <c r="B351" s="2" t="str">
        <f>IFERROR(__xludf.DUMMYFUNCTION("GOOGLETRANSLATE(A351, ""en"", ""mt"")"),"Tridha esposta għall-iskrutinju.")</f>
        <v>Tridha esposta għall-iskrutinju.</v>
      </c>
    </row>
    <row r="352" ht="15.75" customHeight="1">
      <c r="A352" s="2" t="s">
        <v>352</v>
      </c>
      <c r="B352" s="2" t="str">
        <f>IFERROR(__xludf.DUMMYFUNCTION("GOOGLETRANSLATE(A352, ""en"", ""mt"")"),"kien wiegħed")</f>
        <v>kien wiegħed</v>
      </c>
    </row>
    <row r="353" ht="15.75" customHeight="1">
      <c r="A353" s="2" t="s">
        <v>353</v>
      </c>
      <c r="B353" s="2" t="str">
        <f>IFERROR(__xludf.DUMMYFUNCTION("GOOGLETRANSLATE(A353, ""en"", ""mt"")"),"X’kien qed ifittex Sadat billi jeħles lill-Iżlamisti mill-ħabs?")</f>
        <v>X’kien qed ifittex Sadat billi jeħles lill-Iżlamisti mill-ħabs?</v>
      </c>
    </row>
    <row r="354" ht="15.75" customHeight="1">
      <c r="A354" s="2" t="s">
        <v>354</v>
      </c>
      <c r="B354" s="2" t="str">
        <f>IFERROR(__xludf.DUMMYFUNCTION("GOOGLETRANSLATE(A354, ""en"", ""mt"")"),"F’liema seklu seħħew żviluppi importanti tal-mużika klassika fin-Normandija?")</f>
        <v>F’liema seklu seħħew żviluppi importanti tal-mużika klassika fin-Normandija?</v>
      </c>
    </row>
    <row r="355" ht="15.75" customHeight="1">
      <c r="A355" s="2" t="s">
        <v>355</v>
      </c>
      <c r="B355" s="2" t="str">
        <f>IFERROR(__xludf.DUMMYFUNCTION("GOOGLETRANSLATE(A355, ""en"", ""mt"")"),"Konverżjoni Lhudija fuq skala kbira għall-Kristjaneżmu")</f>
        <v>Konverżjoni Lhudija fuq skala kbira għall-Kristjaneżmu</v>
      </c>
    </row>
    <row r="356" ht="15.75" customHeight="1">
      <c r="A356" s="2" t="s">
        <v>356</v>
      </c>
      <c r="B356" s="2" t="str">
        <f>IFERROR(__xludf.DUMMYFUNCTION("GOOGLETRANSLATE(A356, ""en"", ""mt"")"),"Liema trattat jipprovdi li l-liġi tal-Unjoni Ewropea tiġi applikata għal territorji metropolitani ta 'l-istati membri?")</f>
        <v>Liema trattat jipprovdi li l-liġi tal-Unjoni Ewropea tiġi applikata għal territorji metropolitani ta 'l-istati membri?</v>
      </c>
    </row>
    <row r="357" ht="15.75" customHeight="1">
      <c r="A357" s="2" t="s">
        <v>357</v>
      </c>
      <c r="B357" s="2" t="str">
        <f>IFERROR(__xludf.DUMMYFUNCTION("GOOGLETRANSLATE(A357, ""en"", ""mt"")"),"Wara t-trattat sabiħ, kien hemm tentattiv biex tirriforma l-liġi kostituzzjonali tal-Unjoni Ewropea u tagħmilha aktar trasparenti; Dan kien jipproduċi wkoll dokument kostituzzjonali wieħed. Madankollu, bħala riżultat tar-referendum fi Franza u r-referendu"&amp;"m fl-Olanda, it-trattat tal-2004 li jistabbilixxi kostituzzjoni għall-Ewropa qatt ma daħal fis-seħħ. Minflok, it-Trattat ta 'Lisbona ġie promulgat. Is-sustanza tagħha kienet simili ħafna għat-trattat kostituzzjonali propost, iżda kienet formalment trattat"&amp;" li jemenda, u - għalkemm biddel b'mod sinifikanti t-trattati eżistenti - ma ħaditx kompletament.")</f>
        <v>Wara t-trattat sabiħ, kien hemm tentattiv biex tirriforma l-liġi kostituzzjonali tal-Unjoni Ewropea u tagħmilha aktar trasparenti; Dan kien jipproduċi wkoll dokument kostituzzjonali wieħed. Madankollu, bħala riżultat tar-referendum fi Franza u r-referendum fl-Olanda, it-trattat tal-2004 li jistabbilixxi kostituzzjoni għall-Ewropa qatt ma daħal fis-seħħ. Minflok, it-Trattat ta 'Lisbona ġie promulgat. Is-sustanza tagħha kienet simili ħafna għat-trattat kostituzzjonali propost, iżda kienet formalment trattat li jemenda, u - għalkemm biddel b'mod sinifikanti t-trattati eżistenti - ma ħaditx kompletament.</v>
      </c>
    </row>
    <row r="358" ht="15.75" customHeight="1">
      <c r="A358" s="2" t="s">
        <v>358</v>
      </c>
      <c r="B358" s="2" t="str">
        <f>IFERROR(__xludf.DUMMYFUNCTION("GOOGLETRANSLATE(A358, ""en"", ""mt"")"),"Konverżjoni Lhudija għall-Kristjaneżmu")</f>
        <v>Konverżjoni Lhudija għall-Kristjaneżmu</v>
      </c>
    </row>
    <row r="359" ht="15.75" customHeight="1">
      <c r="A359" s="2" t="s">
        <v>359</v>
      </c>
      <c r="B359" s="2" t="str">
        <f>IFERROR(__xludf.DUMMYFUNCTION("GOOGLETRANSLATE(A359, ""en"", ""mt"")"),"Inizjalment mibnija bi tliet saffi, aktar tard (1982) evolviet fi protokoll ta 'netwerking konformi ma' seba 'saffi")</f>
        <v>Inizjalment mibnija bi tliet saffi, aktar tard (1982) evolviet fi protokoll ta 'netwerking konformi ma' seba 'saffi</v>
      </c>
    </row>
    <row r="360" ht="15.75" customHeight="1">
      <c r="A360" s="2" t="s">
        <v>360</v>
      </c>
      <c r="B360" s="2" t="str">
        <f>IFERROR(__xludf.DUMMYFUNCTION("GOOGLETRANSLATE(A360, ""en"", ""mt"")"),"Meta l-kloroplasti jinfirxu ċatti?")</f>
        <v>Meta l-kloroplasti jinfirxu ċatti?</v>
      </c>
    </row>
    <row r="361" ht="15.75" customHeight="1">
      <c r="A361" s="2" t="s">
        <v>361</v>
      </c>
      <c r="B361" s="2" t="str">
        <f>IFERROR(__xludf.DUMMYFUNCTION("GOOGLETRANSLATE(A361, ""en"", ""mt"")"),"Liema juru l-premjijiet tal-films ABC bħalissa għandhom id-drittijiet?")</f>
        <v>Liema juru l-premjijiet tal-films ABC bħalissa għandhom id-drittijiet?</v>
      </c>
    </row>
    <row r="362" ht="15.75" customHeight="1">
      <c r="A362" s="2" t="s">
        <v>362</v>
      </c>
      <c r="B362" s="2" t="str">
        <f>IFERROR(__xludf.DUMMYFUNCTION("GOOGLETRANSLATE(A362, ""en"", ""mt"")"),"Fl-aħħar tal-1886")</f>
        <v>Fl-aħħar tal-1886</v>
      </c>
    </row>
    <row r="363" ht="15.75" customHeight="1">
      <c r="A363" s="2" t="s">
        <v>363</v>
      </c>
      <c r="B363" s="2" t="str">
        <f>IFERROR(__xludf.DUMMYFUNCTION("GOOGLETRANSLATE(A363, ""en"", ""mt"")"),"Liema forzi għandhom iservu bħala brejk fuq il-konċentrazzjoni tal-ġid?")</f>
        <v>Liema forzi għandhom iservu bħala brejk fuq il-konċentrazzjoni tal-ġid?</v>
      </c>
    </row>
    <row r="364" ht="15.75" customHeight="1">
      <c r="A364" s="2" t="s">
        <v>364</v>
      </c>
      <c r="B364" s="2" t="str">
        <f>IFERROR(__xludf.DUMMYFUNCTION("GOOGLETRANSLATE(A364, ""en"", ""mt"")"),"Dak li jagħmel it-tul tal-ġurnata kostanti fid-dinja?")</f>
        <v>Dak li jagħmel it-tul tal-ġurnata kostanti fid-dinja?</v>
      </c>
    </row>
    <row r="365" ht="15.75" customHeight="1">
      <c r="A365" s="2" t="s">
        <v>365</v>
      </c>
      <c r="B365" s="2" t="str">
        <f>IFERROR(__xludf.DUMMYFUNCTION("GOOGLETRANSLATE(A365, ""en"", ""mt"")"),"Uża l-enerġija potenzjali maħżuna f'H +")</f>
        <v>Uża l-enerġija potenzjali maħżuna f'H +</v>
      </c>
    </row>
    <row r="366" ht="15.75" customHeight="1">
      <c r="A366" s="2" t="s">
        <v>366</v>
      </c>
      <c r="B366" s="2" t="str">
        <f>IFERROR(__xludf.DUMMYFUNCTION("GOOGLETRANSLATE(A366, ""en"", ""mt"")"),"Ħamsa u għoxrin romol li stabbilixxew f'Dover")</f>
        <v>Ħamsa u għoxrin romol li stabbilixxew f'Dover</v>
      </c>
    </row>
    <row r="367" ht="15.75" customHeight="1">
      <c r="A367" s="2" t="s">
        <v>367</v>
      </c>
      <c r="B367" s="2" t="str">
        <f>IFERROR(__xludf.DUMMYFUNCTION("GOOGLETRANSLATE(A367, ""en"", ""mt"")"),"Min hi l-akbar u l-iktar ekonomija avvanzata fil-Lvant u l-Afrika Ċentrali?")</f>
        <v>Min hi l-akbar u l-iktar ekonomija avvanzata fil-Lvant u l-Afrika Ċentrali?</v>
      </c>
    </row>
    <row r="368" ht="15.75" customHeight="1">
      <c r="A368" s="2" t="s">
        <v>368</v>
      </c>
      <c r="B368" s="2" t="str">
        <f>IFERROR(__xludf.DUMMYFUNCTION("GOOGLETRANSLATE(A368, ""en"", ""mt"")"),"Tgħallem dwar il-knisja u t-tradizzjoni teoloġika Metodista-Kristjana sabiex jistqarru l-fidi aħħarija tagħhom fi Kristu.")</f>
        <v>Tgħallem dwar il-knisja u t-tradizzjoni teoloġika Metodista-Kristjana sabiex jistqarru l-fidi aħħarija tagħhom fi Kristu.</v>
      </c>
    </row>
    <row r="369" ht="15.75" customHeight="1">
      <c r="A369" s="2" t="s">
        <v>369</v>
      </c>
      <c r="B369" s="2" t="str">
        <f>IFERROR(__xludf.DUMMYFUNCTION("GOOGLETRANSLATE(A369, ""en"", ""mt"")"),"Band Ku universali LNB (9.75 / 10.600 GHz) li hija mwaħħla fl-aħħar tad-dixx u indikata lejn il-kostellazzjoni tas-satellita korretta; Il-biċċa l-kbira tar-riċevituri diġitali jirċievu l-kanali tal-ajru bla ħlas. Xi xandiriet huma bla ħlas u mhux ikkripta"&amp;"ti, uħud huma kriptati iżda ma jeħtiġux abbonament ta 'kull xahar (magħrufa bħala free-to-view), uħud huma kriptati u jeħtieġu abbonament kull xahar, u xi wħud huma servizzi ta' ħlas għal kull veduta. Biex tara l-kontenut encrypted, hemm bżonn ta 'riċevit"&amp;"ur mgħammar tar-Renju Unit (li kollha huma ddedikati għas-servizz tas-sema, u ma jistgħux jintużaw biex jiddekriptaw servizzi oħra) jeħtieġ li jintużaw. CAMs mhux uffiċjali issa huma disponibbli biex jaraw is-servizz, għalkemm l-użu tagħhom jikser il-kunt"&amp;"ratt tal-utent ma 'Sky u jinvalida d-drittijiet tal-utent biex juża l-karta.")</f>
        <v>Band Ku universali LNB (9.75 / 10.600 GHz) li hija mwaħħla fl-aħħar tad-dixx u indikata lejn il-kostellazzjoni tas-satellita korretta; Il-biċċa l-kbira tar-riċevituri diġitali jirċievu l-kanali tal-ajru bla ħlas. Xi xandiriet huma bla ħlas u mhux ikkriptati, uħud huma kriptati iżda ma jeħtiġux abbonament ta 'kull xahar (magħrufa bħala free-to-view), uħud huma kriptati u jeħtieġu abbonament kull xahar, u xi wħud huma servizzi ta' ħlas għal kull veduta. Biex tara l-kontenut encrypted, hemm bżonn ta 'riċevitur mgħammar tar-Renju Unit (li kollha huma ddedikati għas-servizz tas-sema, u ma jistgħux jintużaw biex jiddekriptaw servizzi oħra) jeħtieġ li jintużaw. CAMs mhux uffiċjali issa huma disponibbli biex jaraw is-servizz, għalkemm l-użu tagħhom jikser il-kuntratt tal-utent ma 'Sky u jinvalida d-drittijiet tal-utent biex juża l-karta.</v>
      </c>
    </row>
    <row r="370" ht="15.75" customHeight="1">
      <c r="A370" s="2" t="s">
        <v>370</v>
      </c>
      <c r="B370" s="2" t="str">
        <f>IFERROR(__xludf.DUMMYFUNCTION("GOOGLETRANSLATE(A370, ""en"", ""mt"")"),"Liema netwerk kien iddisinjat mill-Franċiżi")</f>
        <v>Liema netwerk kien iddisinjat mill-Franċiżi</v>
      </c>
    </row>
    <row r="371" ht="15.75" customHeight="1">
      <c r="A371" s="2" t="s">
        <v>371</v>
      </c>
      <c r="B371" s="2" t="str">
        <f>IFERROR(__xludf.DUMMYFUNCTION("GOOGLETRANSLATE(A371, ""en"", ""mt"")"),"Kemm timijiet jistgħu jiftaħar rekord ta '15 -1 staġun regolari?")</f>
        <v>Kemm timijiet jistgħu jiftaħar rekord ta '15 -1 staġun regolari?</v>
      </c>
    </row>
    <row r="372" ht="15.75" customHeight="1">
      <c r="A372" s="2" t="s">
        <v>372</v>
      </c>
      <c r="B372" s="2" t="str">
        <f>IFERROR(__xludf.DUMMYFUNCTION("GOOGLETRANSLATE(A372, ""en"", ""mt"")"),"Il-fruntiera tal-istati tal-Messiku - United")</f>
        <v>Il-fruntiera tal-istati tal-Messiku - United</v>
      </c>
    </row>
    <row r="373" ht="15.75" customHeight="1">
      <c r="A373" s="2" t="s">
        <v>373</v>
      </c>
      <c r="B373" s="2" t="str">
        <f>IFERROR(__xludf.DUMMYFUNCTION("GOOGLETRANSLATE(A373, ""en"", ""mt"")"),"Diversi proċeduri")</f>
        <v>Diversi proċeduri</v>
      </c>
    </row>
    <row r="374" ht="15.75" customHeight="1">
      <c r="A374" s="2" t="s">
        <v>374</v>
      </c>
      <c r="B374" s="2" t="str">
        <f>IFERROR(__xludf.DUMMYFUNCTION("GOOGLETRANSLATE(A374, ""en"", ""mt"")"),"Fid-dijossiġnu kif huma ż-żewġ atomi tal-ossiġnu marbuta flimkien?")</f>
        <v>Fid-dijossiġnu kif huma ż-żewġ atomi tal-ossiġnu marbuta flimkien?</v>
      </c>
    </row>
    <row r="375" ht="15.75" customHeight="1">
      <c r="A375" s="2" t="s">
        <v>375</v>
      </c>
      <c r="B375" s="2" t="str">
        <f>IFERROR(__xludf.DUMMYFUNCTION("GOOGLETRANSLATE(A375, ""en"", ""mt"")"),"Kundizzjonijiet tal-ħażna, testi obbligatorji, tagħmir")</f>
        <v>Kundizzjonijiet tal-ħażna, testi obbligatorji, tagħmir</v>
      </c>
    </row>
    <row r="376" ht="15.75" customHeight="1">
      <c r="A376" s="2" t="s">
        <v>376</v>
      </c>
      <c r="B376" s="2" t="str">
        <f>IFERROR(__xludf.DUMMYFUNCTION("GOOGLETRANSLATE(A376, ""en"", ""mt"")"),"Kenjani għall-Kenja")</f>
        <v>Kenjani għall-Kenja</v>
      </c>
    </row>
    <row r="377" ht="15.75" customHeight="1">
      <c r="A377" s="2" t="s">
        <v>377</v>
      </c>
      <c r="B377" s="2" t="str">
        <f>IFERROR(__xludf.DUMMYFUNCTION("GOOGLETRANSLATE(A377, ""en"", ""mt"")"),"tibgħat email")</f>
        <v>tibgħat email</v>
      </c>
    </row>
    <row r="378" ht="15.75" customHeight="1">
      <c r="A378" s="2" t="s">
        <v>378</v>
      </c>
      <c r="B378" s="2" t="str">
        <f>IFERROR(__xludf.DUMMYFUNCTION("GOOGLETRANSLATE(A378, ""en"", ""mt"")"),"Gvern Awstraljan")</f>
        <v>Gvern Awstraljan</v>
      </c>
    </row>
    <row r="379" ht="15.75" customHeight="1">
      <c r="A379" s="2" t="s">
        <v>379</v>
      </c>
      <c r="B379" s="2" t="str">
        <f>IFERROR(__xludf.DUMMYFUNCTION("GOOGLETRANSLATE(A379, ""en"", ""mt"")"),"ertjat")</f>
        <v>ertjat</v>
      </c>
    </row>
    <row r="380" ht="15.75" customHeight="1">
      <c r="A380" s="2" t="s">
        <v>380</v>
      </c>
      <c r="B380" s="2" t="str">
        <f>IFERROR(__xludf.DUMMYFUNCTION("GOOGLETRANSLATE(A380, ""en"", ""mt"")"),"X'inhu l-isem ta 'l-itwal soċjetà ta' films ta 'studenti li jmexxu kontinwament il-pajjiż?")</f>
        <v>X'inhu l-isem ta 'l-itwal soċjetà ta' films ta 'studenti li jmexxu kontinwament il-pajjiż?</v>
      </c>
    </row>
    <row r="381" ht="15.75" customHeight="1">
      <c r="A381" s="2" t="s">
        <v>381</v>
      </c>
      <c r="B381" s="2" t="str">
        <f>IFERROR(__xludf.DUMMYFUNCTION("GOOGLETRANSLATE(A381, ""en"", ""mt"")"),"Kreditu aktar faċli lil dawk li jaqilgħu bi dħul aktar baxx u medju")</f>
        <v>Kreditu aktar faċli lil dawk li jaqilgħu bi dħul aktar baxx u medju</v>
      </c>
    </row>
    <row r="382" ht="15.75" customHeight="1">
      <c r="A382" s="2" t="s">
        <v>382</v>
      </c>
      <c r="B382" s="2" t="str">
        <f>IFERROR(__xludf.DUMMYFUNCTION("GOOGLETRANSLATE(A382, ""en"", ""mt"")"),"it-tramuntana")</f>
        <v>it-tramuntana</v>
      </c>
    </row>
    <row r="383" ht="15.75" customHeight="1">
      <c r="A383" s="2" t="s">
        <v>383</v>
      </c>
      <c r="B383" s="2" t="str">
        <f>IFERROR(__xludf.DUMMYFUNCTION("GOOGLETRANSLATE(A383, ""en"", ""mt"")"),"Ċili kbar")</f>
        <v>Ċili kbar</v>
      </c>
    </row>
    <row r="384" ht="15.75" customHeight="1">
      <c r="A384" s="2" t="s">
        <v>384</v>
      </c>
      <c r="B384" s="2" t="str">
        <f>IFERROR(__xludf.DUMMYFUNCTION("GOOGLETRANSLATE(A384, ""en"", ""mt"")"),"X'kienet raġuni mhux reliġjuża għall-massakru?")</f>
        <v>X'kienet raġuni mhux reliġjuża għall-massakru?</v>
      </c>
    </row>
    <row r="385" ht="15.75" customHeight="1">
      <c r="A385" s="2" t="s">
        <v>385</v>
      </c>
      <c r="B385" s="2" t="str">
        <f>IFERROR(__xludf.DUMMYFUNCTION("GOOGLETRANSLATE(A385, ""en"", ""mt"")"),"Għaliex tabib jista 'jiddijanjostika numru kbir ta' kundizzjonijiet?")</f>
        <v>Għaliex tabib jista 'jiddijanjostika numru kbir ta' kundizzjonijiet?</v>
      </c>
    </row>
    <row r="386" ht="15.75" customHeight="1">
      <c r="A386" s="2" t="s">
        <v>386</v>
      </c>
      <c r="B386" s="2" t="str">
        <f>IFERROR(__xludf.DUMMYFUNCTION("GOOGLETRANSLATE(A386, ""en"", ""mt"")"),"It-theddida diretta li jmiss għal Temüjin kienet in-Naimans (Naiman Mongols), li magħhom Jamukha u s-segwaċi tiegħu kennu. In-Naimans ma ċedewx, għalkemm setturi biżżejjed mill-ġdid b’mod volontarju ma ’Temüjin. Fl-1201, Khuldai ġie elett lil Jamukha bħal"&amp;"a Gür Khan, ""Ruler Universali"", titlu użat mill-kbarat tal-Qara Khitai. L-assunzjoni ta 'Jamukha ta' dan it-titlu kienet l-aħħar ksur ma 'Temüjin, u Jamukha ffurma koalizzjoni ta' tribujiet biex jopponuh. Qabel il-kunflitt, madankollu, diversi ġenerali "&amp;"abbandunaw Jamukha, inkluż Subutai, ħuh iżgħar magħruf ta 'Jelme. Wara diversi battalji, Jamukha finalment ġie mdawwar għand Temüjin mill-irġiel tiegħu stess fl-1206.")</f>
        <v>It-theddida diretta li jmiss għal Temüjin kienet in-Naimans (Naiman Mongols), li magħhom Jamukha u s-segwaċi tiegħu kennu. In-Naimans ma ċedewx, għalkemm setturi biżżejjed mill-ġdid b’mod volontarju ma ’Temüjin. Fl-1201, Khuldai ġie elett lil Jamukha bħala Gür Khan, "Ruler Universali", titlu użat mill-kbarat tal-Qara Khitai. L-assunzjoni ta 'Jamukha ta' dan it-titlu kienet l-aħħar ksur ma 'Temüjin, u Jamukha ffurma koalizzjoni ta' tribujiet biex jopponuh. Qabel il-kunflitt, madankollu, diversi ġenerali abbandunaw Jamukha, inkluż Subutai, ħuh iżgħar magħruf ta 'Jelme. Wara diversi battalji, Jamukha finalment ġie mdawwar għand Temüjin mill-irġiel tiegħu stess fl-1206.</v>
      </c>
    </row>
    <row r="387" ht="15.75" customHeight="1">
      <c r="A387" s="2" t="s">
        <v>387</v>
      </c>
      <c r="B387" s="2" t="str">
        <f>IFERROR(__xludf.DUMMYFUNCTION("GOOGLETRANSLATE(A387, ""en"", ""mt"")"),"Fuq liema horsepower huma turbini tal-fwar ġeneralment aktar effiċjenti mill-magni tal-fwar li jużaw pistuni reċiprokanti?")</f>
        <v>Fuq liema horsepower huma turbini tal-fwar ġeneralment aktar effiċjenti mill-magni tal-fwar li jużaw pistuni reċiprokanti?</v>
      </c>
    </row>
    <row r="388" ht="15.75" customHeight="1">
      <c r="A388" s="2" t="s">
        <v>388</v>
      </c>
      <c r="B388" s="2" t="str">
        <f>IFERROR(__xludf.DUMMYFUNCTION("GOOGLETRANSLATE(A388, ""en"", ""mt"")"),"Uchicago jiddikjara li għandu x'tip ta 'esperjenza ta' tagħlim meta mqabbel ma 'universitajiet oħra?")</f>
        <v>Uchicago jiddikjara li għandu x'tip ta 'esperjenza ta' tagħlim meta mqabbel ma 'universitajiet oħra?</v>
      </c>
    </row>
    <row r="389" ht="15.75" customHeight="1">
      <c r="A389" s="2" t="s">
        <v>389</v>
      </c>
      <c r="B389" s="2" t="str">
        <f>IFERROR(__xludf.DUMMYFUNCTION("GOOGLETRANSLATE(A389, ""en"", ""mt"")"),"Kemm kellu Chopin meta mar jgħix Varsavja mal-familja tiegħu?")</f>
        <v>Kemm kellu Chopin meta mar jgħix Varsavja mal-familja tiegħu?</v>
      </c>
    </row>
    <row r="390" ht="15.75" customHeight="1">
      <c r="A390" s="2" t="s">
        <v>390</v>
      </c>
      <c r="B390" s="2" t="str">
        <f>IFERROR(__xludf.DUMMYFUNCTION("GOOGLETRANSLATE(A390, ""en"", ""mt"")"),"Movimenti Iżlamiċi Kontra d-Demokratiċi ispirati minn Maududi u Sayyid Qutb")</f>
        <v>Movimenti Iżlamiċi Kontra d-Demokratiċi ispirati minn Maududi u Sayyid Qutb</v>
      </c>
    </row>
    <row r="391" ht="15.75" customHeight="1">
      <c r="A391" s="2" t="s">
        <v>391</v>
      </c>
      <c r="B391" s="2" t="str">
        <f>IFERROR(__xludf.DUMMYFUNCTION("GOOGLETRANSLATE(A391, ""en"", ""mt"")"),"Highlands Ċentrali")</f>
        <v>Highlands Ċentrali</v>
      </c>
    </row>
    <row r="392" ht="15.75" customHeight="1">
      <c r="A392" s="2" t="s">
        <v>392</v>
      </c>
      <c r="B392" s="2" t="str">
        <f>IFERROR(__xludf.DUMMYFUNCTION("GOOGLETRANSLATE(A392, ""en"", ""mt"")"),"Kif tissejjaħ meta jkun hemm tentattiv attiv biex jitwaqqa 'gvern jew sistema ta' twemmin?")</f>
        <v>Kif tissejjaħ meta jkun hemm tentattiv attiv biex jitwaqqa 'gvern jew sistema ta' twemmin?</v>
      </c>
    </row>
    <row r="393" ht="15.75" customHeight="1">
      <c r="A393" s="2" t="s">
        <v>393</v>
      </c>
      <c r="B393" s="2" t="str">
        <f>IFERROR(__xludf.DUMMYFUNCTION("GOOGLETRANSLATE(A393, ""en"", ""mt"")"),"jikkostitwixxu diżubbidjenza ċivili")</f>
        <v>jikkostitwixxu diżubbidjenza ċivili</v>
      </c>
    </row>
    <row r="394" ht="15.75" customHeight="1">
      <c r="A394" s="2" t="s">
        <v>394</v>
      </c>
      <c r="B394" s="2" t="str">
        <f>IFERROR(__xludf.DUMMYFUNCTION("GOOGLETRANSLATE(A394, ""en"", ""mt"")"),"Il-ġnien tas-Sassonu, li jkopri l-erja ta ’15 .5 ettaru, kien formalment ġnien irjali. Hemm aktar minn 100 speċi differenti ta 'siġar u t-toroq huma post fejn joqogħdu u jirrilassaw. Fit-tarf tal-lvant tal-park, jinsab il-qabar tas-suldat mhux magħruf. Fi"&amp;"s-seklu 19 il-ġnien tal-Palazz Krasiński ġie mibdul mill-ġdid minn Franciszek Szanior. Fiż-żona ċentrali tal-park wieħed xorta jista 'jsib siġar qodma li jmorru minn dak il-perjodu: siġra tal-maidenhair, ġewż iswed, ġellewża Torka u siġar tal-ġwienaħ Kawk"&amp;"asi. Bil-bankijiet tagħha, twapet tal-fjuri, għadira bil-papri u bitħa għat-tfal, il-ġnien tal-palazz Krasiński huwa destinazzjoni popolari għall-varsovians. Il-monument tar-rewwixta tal-ghetto ta 'Varsavja jinsab ukoll hawn. Il-park łazienki jkopri l-erj"&amp;"a ta '76 ettaru. Il-karattru u l-istorja uniċi tal-park huma riflessi fl-arkitettura tal-pajsaġġ tiegħu (pavaljuni, skulturi, pontijiet, kaskati, għadajjar) u veġetazzjoni (speċi domestiċi u barranin ta 'siġar u arbuxxelli). Dak li jagħmel dan il-park dif"&amp;"ferenti minn spazji ħodor oħra f'Varsavja huwa l-preżenza ta 'paguni u faġani, li jistgħu jidhru hawn mixi liberament, u carps rjali fl-għadira. Il-Park tal-Palazz Wilanów, imur lura għat-tieni nofs tas-seklu 17. Ikopri l-erja ta '43 ha. Iż-żona ċentrali "&amp;"tagħha ta 'stil Franċiż tikkorrispondi għall-forom barokki tal-qedem tal-palazz. Is-sezzjoni tal-Lvant tal-park, l-eqreb lejn il-palazz, hija l-ġnien b'żewġ livelli bi terrazzin li jħares lejn l-għadira. Il-park madwar il-Palazz tal-Królikania jinsab fuq "&amp;"l-escarpment il-qadim tal-Vistula. Il-park għandu karreġġjati li jiġru fuq ftit livelli fil-fond fir-ravini fuq iż-żewġ naħat tal-palazz.")</f>
        <v>Il-ġnien tas-Sassonu, li jkopri l-erja ta ’15 .5 ettaru, kien formalment ġnien irjali. Hemm aktar minn 100 speċi differenti ta 'siġar u t-toroq huma post fejn joqogħdu u jirrilassaw. Fit-tarf tal-lvant tal-park, jinsab il-qabar tas-suldat mhux magħruf. Fis-seklu 19 il-ġnien tal-Palazz Krasiński ġie mibdul mill-ġdid minn Franciszek Szanior. Fiż-żona ċentrali tal-park wieħed xorta jista 'jsib siġar qodma li jmorru minn dak il-perjodu: siġra tal-maidenhair, ġewż iswed, ġellewża Torka u siġar tal-ġwienaħ Kawkasi. Bil-bankijiet tagħha, twapet tal-fjuri, għadira bil-papri u bitħa għat-tfal, il-ġnien tal-palazz Krasiński huwa destinazzjoni popolari għall-varsovians. Il-monument tar-rewwixta tal-ghetto ta 'Varsavja jinsab ukoll hawn. Il-park łazienki jkopri l-erja ta '76 ettaru. Il-karattru u l-istorja uniċi tal-park huma riflessi fl-arkitettura tal-pajsaġġ tiegħu (pavaljuni, skulturi, pontijiet, kaskati, għadajjar) u veġetazzjoni (speċi domestiċi u barranin ta 'siġar u arbuxxelli). Dak li jagħmel dan il-park differenti minn spazji ħodor oħra f'Varsavja huwa l-preżenza ta 'paguni u faġani, li jistgħu jidhru hawn mixi liberament, u carps rjali fl-għadira. Il-Park tal-Palazz Wilanów, imur lura għat-tieni nofs tas-seklu 17. Ikopri l-erja ta '43 ha. Iż-żona ċentrali tagħha ta 'stil Franċiż tikkorrispondi għall-forom barokki tal-qedem tal-palazz. Is-sezzjoni tal-Lvant tal-park, l-eqreb lejn il-palazz, hija l-ġnien b'żewġ livelli bi terrazzin li jħares lejn l-għadira. Il-park madwar il-Palazz tal-Królikania jinsab fuq l-escarpment il-qadim tal-Vistula. Il-park għandu karreġġjati li jiġru fuq ftit livelli fil-fond fir-ravini fuq iż-żewġ naħat tal-palazz.</v>
      </c>
    </row>
    <row r="395" ht="15.75" customHeight="1">
      <c r="A395" s="2" t="s">
        <v>395</v>
      </c>
      <c r="B395" s="2" t="str">
        <f>IFERROR(__xludf.DUMMYFUNCTION("GOOGLETRANSLATE(A395, ""en"", ""mt"")"),"Screenings tal-episodji klassiċi kollha disponibbli")</f>
        <v>Screenings tal-episodji klassiċi kollha disponibbli</v>
      </c>
    </row>
    <row r="396" ht="15.75" customHeight="1">
      <c r="A396" s="2" t="s">
        <v>396</v>
      </c>
      <c r="B396" s="2" t="str">
        <f>IFERROR(__xludf.DUMMYFUNCTION("GOOGLETRANSLATE(A396, ""en"", ""mt"")"),"Kemm iddum l-Ewropa tal-Punent Ċipru?")</f>
        <v>Kemm iddum l-Ewropa tal-Punent Ċipru?</v>
      </c>
    </row>
    <row r="397" ht="15.75" customHeight="1">
      <c r="A397" s="2" t="s">
        <v>397</v>
      </c>
      <c r="B397" s="2" t="str">
        <f>IFERROR(__xludf.DUMMYFUNCTION("GOOGLETRANSLATE(A397, ""en"", ""mt"")"),"akbar")</f>
        <v>akbar</v>
      </c>
    </row>
    <row r="398" ht="15.75" customHeight="1">
      <c r="A398" s="2" t="s">
        <v>398</v>
      </c>
      <c r="B398" s="2" t="str">
        <f>IFERROR(__xludf.DUMMYFUNCTION("GOOGLETRANSLATE(A398, ""en"", ""mt"")"),"Moviment tal-fwar avvanzat")</f>
        <v>Moviment tal-fwar avvanzat</v>
      </c>
    </row>
    <row r="399" ht="15.75" customHeight="1">
      <c r="A399" s="2" t="s">
        <v>399</v>
      </c>
      <c r="B399" s="2" t="str">
        <f>IFERROR(__xludf.DUMMYFUNCTION("GOOGLETRANSLATE(A399, ""en"", ""mt"")"),"3 ta 'Diċembru")</f>
        <v>3 ta 'Diċembru</v>
      </c>
    </row>
    <row r="400" ht="15.75" customHeight="1">
      <c r="A400" s="2" t="s">
        <v>400</v>
      </c>
      <c r="B400" s="2" t="str">
        <f>IFERROR(__xludf.DUMMYFUNCTION("GOOGLETRANSLATE(A400, ""en"", ""mt"")"),"X’ħej iż-żwieġ ta ’Martin Luther?")</f>
        <v>X’ħej iż-żwieġ ta ’Martin Luther?</v>
      </c>
    </row>
    <row r="401" ht="15.75" customHeight="1">
      <c r="A401" s="2" t="s">
        <v>401</v>
      </c>
      <c r="B401" s="2" t="str">
        <f>IFERROR(__xludf.DUMMYFUNCTION("GOOGLETRANSLATE(A401, ""en"", ""mt"")"),"X'jista 'jkun ikkombinat ma' dejta ġeofiżika biex tipproduċi veduta aħjar tas-sub-wiċċ?")</f>
        <v>X'jista 'jkun ikkombinat ma' dejta ġeofiżika biex tipproduċi veduta aħjar tas-sub-wiċċ?</v>
      </c>
    </row>
    <row r="402" ht="15.75" customHeight="1">
      <c r="A402" s="2" t="s">
        <v>402</v>
      </c>
      <c r="B402" s="2" t="str">
        <f>IFERROR(__xludf.DUMMYFUNCTION("GOOGLETRANSLATE(A402, ""en"", ""mt"")"),"Min lagħbu l-Panthers fil-logħba tal-kampjonat tad-diviżjoni tagħhom?")</f>
        <v>Min lagħbu l-Panthers fil-logħba tal-kampjonat tad-diviżjoni tagħhom?</v>
      </c>
    </row>
    <row r="403" ht="15.75" customHeight="1">
      <c r="A403" s="2" t="s">
        <v>403</v>
      </c>
      <c r="B403" s="2" t="str">
        <f>IFERROR(__xludf.DUMMYFUNCTION("GOOGLETRANSLATE(A403, ""en"", ""mt"")"),"trasport")</f>
        <v>trasport</v>
      </c>
    </row>
    <row r="404" ht="15.75" customHeight="1">
      <c r="A404" s="2" t="s">
        <v>404</v>
      </c>
      <c r="B404" s="2" t="str">
        <f>IFERROR(__xludf.DUMMYFUNCTION("GOOGLETRANSLATE(A404, ""en"", ""mt"")"),"L-iżvilupp ta 'teoriji fundamentali għall-forzi pproċeda skond il-linji ta' unifikazzjoni ta 'ideat differenti. Pereżempju, Isaac Newton unifika l-forza responsabbli għal oġġetti li jaqgħu fil-wiċċ tad-dinja bil-forza responsabbli għall-orbiti tal-mekkani"&amp;"ka ċelesti fit-teorija universali tiegħu tal-gravitazzjoni. Michael Faraday u James Clerk Maxwell urew li l-forzi elettriċi u manjetiċi ġew unifikati permezz ta ’teorija waħda konsistenti tal-elettromanjetiżmu. Fis-seklu 20, l-iżvilupp tal-mekkanika kwant"&amp;"istika wassal għal fehim modern li l-ewwel tliet forzi fundamentali (kollha ħlief il-gravità) huma manifestazzjonijiet tal-materja (fermions) li jinteraġixxu billi jiskambjaw partiċelli virtwali msejħa bosons tal-gauge. Dan il-mudell standard tal-fiżika t"&amp;"al-partikuli jippreżenta xebh bejn il-forzi u x-xjenzati LED biex ibassru l-unifikazzjoni tal-forzi dgħajfa u elettromanjetiċi fit-teorija tal-elettroweak sussegwentement ikkonfermata mill-osservazzjoni. Il-formulazzjoni sħiħa tal-mudell standard tbassar "&amp;"mekkaniżmu HIGGS li għadu mhux osservat, iżda osservazzjonijiet bħal oxxillazzjonijiet tan-newtrino jindikaw li l-mudell standard mhuwiex komplut. Teorija unifikata kbira li tippermetti l-kombinazzjoni ta 'l-interazzjoni Electroweak mal-forza b'saħħitha h"&amp;"ija miżmuma bħala possibbiltà ma' teoriji kandidati bħas-supersimetrija proposta biex takkomoda wħud mill-problemi mhux solvuti pendenti fil-fiżika. Il-fiżiċi għadhom qed jippruvaw jiżviluppaw mudelli ta 'unifikazzjoni awto-konsistenti li jgħaqqdu l-erba'"&amp;" interazzjonijiet fundamentali kollha fit-teorija ta 'kollox. Einstein ipprova u falla f'dan l-isforz, iżda bħalissa l-aktar approċċ popolari biex twieġeb din il-mistoqsija hija t-teorija tal-kordi.: 212–219")</f>
        <v>L-iżvilupp ta 'teoriji fundamentali għall-forzi pproċeda skond il-linji ta' unifikazzjoni ta 'ideat differenti. Pereżempju, Isaac Newton unifika l-forza responsabbli għal oġġetti li jaqgħu fil-wiċċ tad-dinja bil-forza responsabbli għall-orbiti tal-mekkanika ċelesti fit-teorija universali tiegħu tal-gravitazzjoni. Michael Faraday u James Clerk Maxwell urew li l-forzi elettriċi u manjetiċi ġew unifikati permezz ta ’teorija waħda konsistenti tal-elettromanjetiżmu. Fis-seklu 20, l-iżvilupp tal-mekkanika kwantistika wassal għal fehim modern li l-ewwel tliet forzi fundamentali (kollha ħlief il-gravità) huma manifestazzjonijiet tal-materja (fermions) li jinteraġixxu billi jiskambjaw partiċelli virtwali msejħa bosons tal-gauge. Dan il-mudell standard tal-fiżika tal-partikuli jippreżenta xebh bejn il-forzi u x-xjenzati LED biex ibassru l-unifikazzjoni tal-forzi dgħajfa u elettromanjetiċi fit-teorija tal-elettroweak sussegwentement ikkonfermata mill-osservazzjoni. Il-formulazzjoni sħiħa tal-mudell standard tbassar mekkaniżmu HIGGS li għadu mhux osservat, iżda osservazzjonijiet bħal oxxillazzjonijiet tan-newtrino jindikaw li l-mudell standard mhuwiex komplut. Teorija unifikata kbira li tippermetti l-kombinazzjoni ta 'l-interazzjoni Electroweak mal-forza b'saħħitha hija miżmuma bħala possibbiltà ma' teoriji kandidati bħas-supersimetrija proposta biex takkomoda wħud mill-problemi mhux solvuti pendenti fil-fiżika. Il-fiżiċi għadhom qed jippruvaw jiżviluppaw mudelli ta 'unifikazzjoni awto-konsistenti li jgħaqqdu l-erba' interazzjonijiet fundamentali kollha fit-teorija ta 'kollox. Einstein ipprova u falla f'dan l-isforz, iżda bħalissa l-aktar approċċ popolari biex twieġeb din il-mistoqsija hija t-teorija tal-kordi.: 212–219</v>
      </c>
    </row>
    <row r="405" ht="15.75" customHeight="1">
      <c r="A405" s="2" t="s">
        <v>405</v>
      </c>
      <c r="B405" s="2" t="str">
        <f>IFERROR(__xludf.DUMMYFUNCTION("GOOGLETRANSLATE(A405, ""en"", ""mt"")"),"Nies li jagħtu servizzi ""għar-remunerazzjoni""")</f>
        <v>Nies li jagħtu servizzi "għar-remunerazzjoni"</v>
      </c>
    </row>
    <row r="406" ht="15.75" customHeight="1">
      <c r="A406" s="2" t="s">
        <v>406</v>
      </c>
      <c r="B406" s="2" t="str">
        <f>IFERROR(__xludf.DUMMYFUNCTION("GOOGLETRANSLATE(A406, ""en"", ""mt"")"),"L-istorja tal-magna tal-fwar tinfirex lura sa l-ewwel seklu WK; L-ewwel magna tal-fwar rudimentarja rreġistrata hija l-eolipile deskritta mill-eroj tal-matematiku Grieg ta ’Lixandra. Fis-sekli li ġejjin, il-ftit ""magni"" li jaħdmu bil-fwar kienu magħrufa"&amp;", bħall-apparat ta 'l-eolipile, essenzjalment sperimentali użati mill-inventuri biex juru l-proprjetajiet tal-fwar. Apparat rudimentarju tat-turbina tal-fwar ġie deskritt minn Taqi al-Din fl-1551 u minn Giovanni Branca fl-1629. Jerónimo de Ayanz y Beaumon"&amp;"t irċieva privattivi fl-1606 għal ħamsin invenzjonijiet li jaħdmu bil-fwar, inkluża pompa tal-ilma biex tixxotta l-minjieri inundati. Denis Papin, refuġjat Huguenot, għamel xi xogħol utli fuq il-fwar diġestur fl-1679, u l-ewwel uża pistun biex jgħolli l-p"&amp;"iżijiet fl-1690.")</f>
        <v>L-istorja tal-magna tal-fwar tinfirex lura sa l-ewwel seklu WK; L-ewwel magna tal-fwar rudimentarja rreġistrata hija l-eolipile deskritta mill-eroj tal-matematiku Grieg ta ’Lixandra. Fis-sekli li ġejjin, il-ftit "magni" li jaħdmu bil-fwar kienu magħrufa, bħall-apparat ta 'l-eolipile, essenzjalment sperimentali użati mill-inventuri biex juru l-proprjetajiet tal-fwar. Apparat rudimentarju tat-turbina tal-fwar ġie deskritt minn Taqi al-Din fl-1551 u minn Giovanni Branca fl-1629. Jerónimo de Ayanz y Beaumont irċieva privattivi fl-1606 għal ħamsin invenzjonijiet li jaħdmu bil-fwar, inkluża pompa tal-ilma biex tixxotta l-minjieri inundati. Denis Papin, refuġjat Huguenot, għamel xi xogħol utli fuq il-fwar diġestur fl-1679, u l-ewwel uża pistun biex jgħolli l-piżijiet fl-1690.</v>
      </c>
    </row>
    <row r="407" ht="15.75" customHeight="1">
      <c r="A407" s="2" t="s">
        <v>407</v>
      </c>
      <c r="B407" s="2" t="str">
        <f>IFERROR(__xludf.DUMMYFUNCTION("GOOGLETRANSLATE(A407, ""en"", ""mt"")"),"Liema sistema tiġi wara l-ostakli fiżiċi ta 'organiżmu?")</f>
        <v>Liema sistema tiġi wara l-ostakli fiżiċi ta 'organiżmu?</v>
      </c>
    </row>
    <row r="408" ht="15.75" customHeight="1">
      <c r="A408" s="2" t="s">
        <v>408</v>
      </c>
      <c r="B408" s="2" t="str">
        <f>IFERROR(__xludf.DUMMYFUNCTION("GOOGLETRANSLATE(A408, ""en"", ""mt"")"),"Semmi mudell ta 'lussu li sar popolari f'nofs is-snin sebgħin.")</f>
        <v>Semmi mudell ta 'lussu li sar popolari f'nofs is-snin sebgħin.</v>
      </c>
    </row>
    <row r="409" ht="15.75" customHeight="1">
      <c r="A409" s="2" t="s">
        <v>409</v>
      </c>
      <c r="B409" s="2" t="str">
        <f>IFERROR(__xludf.DUMMYFUNCTION("GOOGLETRANSLATE(A409, ""en"", ""mt"")"),"X'għandha l-Pleurobrachia fuq in-naħat opposti ta 'ġisimha?")</f>
        <v>X'għandha l-Pleurobrachia fuq in-naħat opposti ta 'ġisimha?</v>
      </c>
    </row>
    <row r="410" ht="15.75" customHeight="1">
      <c r="A410" s="2" t="s">
        <v>410</v>
      </c>
      <c r="B410" s="2" t="str">
        <f>IFERROR(__xludf.DUMMYFUNCTION("GOOGLETRANSLATE(A410, ""en"", ""mt"")"),"turbina tal-fwar")</f>
        <v>turbina tal-fwar</v>
      </c>
    </row>
    <row r="411" ht="15.75" customHeight="1">
      <c r="A411" s="2" t="s">
        <v>411</v>
      </c>
      <c r="B411" s="2" t="str">
        <f>IFERROR(__xludf.DUMMYFUNCTION("GOOGLETRANSLATE(A411, ""en"", ""mt"")"),"Il-faqar tiegħi għall-għana ta 'Croesus.")</f>
        <v>Il-faqar tiegħi għall-għana ta 'Croesus.</v>
      </c>
    </row>
    <row r="412" ht="15.75" customHeight="1">
      <c r="A412" s="2" t="s">
        <v>412</v>
      </c>
      <c r="B412" s="2" t="str">
        <f>IFERROR(__xludf.DUMMYFUNCTION("GOOGLETRANSLATE(A412, ""en"", ""mt"")"),"Min għen biex isib sponsors u donaturi biex jgħinu bl-ispiża?")</f>
        <v>Min għen biex isib sponsors u donaturi biex jgħinu bl-ispiża?</v>
      </c>
    </row>
    <row r="413" ht="15.75" customHeight="1">
      <c r="A413" s="2" t="s">
        <v>413</v>
      </c>
      <c r="B413" s="2" t="str">
        <f>IFERROR(__xludf.DUMMYFUNCTION("GOOGLETRANSLATE(A413, ""en"", ""mt"")"),"Kif jiġu rilaxxati l-bajd u l-isperma?")</f>
        <v>Kif jiġu rilaxxati l-bajd u l-isperma?</v>
      </c>
    </row>
    <row r="414" ht="15.75" customHeight="1">
      <c r="A414" s="2" t="s">
        <v>414</v>
      </c>
      <c r="B414" s="2" t="str">
        <f>IFERROR(__xludf.DUMMYFUNCTION("GOOGLETRANSLATE(A414, ""en"", ""mt"")"),"L-elezzjoni li saret fl-1988 rat il-miġja tas-sistema Mlolongo (kju), fejn il-votanti suppost kienu jallinjaw wara l-kandidati favoriti tagħhom minflok votazzjoni sigrieta. Dan kien meqjus bħala l-qofol ta 'reġim mhux demokratiku ħafna u wassal għal aġita"&amp;"zzjoni mifruxa għar-riforma kostituzzjonali. Bosta klawsoli kontenzjużi, inkluż waħda li ppermettiet għal partit politiku wieħed biss inbidlu fis-snin ta 'wara. Fl-elezzjonijiet Demokratiċi, Multiparty fl-1992 u fl-1997, Daniel Arap Moi rebaħ l-elezzjoni "&amp;"mill-ġdid.")</f>
        <v>L-elezzjoni li saret fl-1988 rat il-miġja tas-sistema Mlolongo (kju), fejn il-votanti suppost kienu jallinjaw wara l-kandidati favoriti tagħhom minflok votazzjoni sigrieta. Dan kien meqjus bħala l-qofol ta 'reġim mhux demokratiku ħafna u wassal għal aġitazzjoni mifruxa għar-riforma kostituzzjonali. Bosta klawsoli kontenzjużi, inkluż waħda li ppermettiet għal partit politiku wieħed biss inbidlu fis-snin ta 'wara. Fl-elezzjonijiet Demokratiċi, Multiparty fl-1992 u fl-1997, Daniel Arap Moi rebaħ l-elezzjoni mill-ġdid.</v>
      </c>
    </row>
    <row r="415" ht="15.75" customHeight="1">
      <c r="A415" s="2" t="s">
        <v>415</v>
      </c>
      <c r="B415" s="2" t="str">
        <f>IFERROR(__xludf.DUMMYFUNCTION("GOOGLETRANSLATE(A415, ""en"", ""mt"")"),"Segretarju tad-Difiża")</f>
        <v>Segretarju tad-Difiża</v>
      </c>
    </row>
    <row r="416" ht="15.75" customHeight="1">
      <c r="A416" s="2" t="s">
        <v>416</v>
      </c>
      <c r="B416" s="2" t="str">
        <f>IFERROR(__xludf.DUMMYFUNCTION("GOOGLETRANSLATE(A416, ""en"", ""mt"")"),"Semmi żejjed li ġie miżjud mal-produzzjoni tal-kumpatti.")</f>
        <v>Semmi żejjed li ġie miżjud mal-produzzjoni tal-kumpatti.</v>
      </c>
    </row>
    <row r="417" ht="15.75" customHeight="1">
      <c r="A417" s="2" t="s">
        <v>417</v>
      </c>
      <c r="B417" s="2" t="str">
        <f>IFERROR(__xludf.DUMMYFUNCTION("GOOGLETRANSLATE(A417, ""en"", ""mt"")"),"in-nies")</f>
        <v>in-nies</v>
      </c>
    </row>
    <row r="418" ht="15.75" customHeight="1">
      <c r="A418" s="2" t="s">
        <v>418</v>
      </c>
      <c r="B418" s="2" t="str">
        <f>IFERROR(__xludf.DUMMYFUNCTION("GOOGLETRANSLATE(A418, ""en"", ""mt"")"),"Ir-Raba 'Rapport ta' Valutazzjoni tal-IPCC (AR4) ippubblikat fl-2007 deher graff li juri 12-il rikostruzzjoni tat-temperatura bbażati fuq il-prokura, inklużi t-tliet enfasizzati fit-tielet Rapport ta 'Valutazzjoni tal-2001 (TAR); Mann, Bradley &amp; Hughes 19"&amp;"99 bħal qabel, Jones et al. 1998 u Briffa 2000 kienu t-tnejn ġew ikkalibrati minn studji aktar ġodda. Barra minn hekk, analiżi tal-perjodu sħun medjevali kkwotaw rikostruzzjonijiet minn Crowley &amp; Lowery 2000 (kif iċċitat fil-qatran) u Osborn &amp; Briffa 2006"&amp;". Għaxra minn dawn l-14-il rikostruzzjoni koprew 1,000 sena jew itwal. Il-biċċa l-kbira tar-rikostruzzjonijiet qasmu xi serje tad-dejta, partikolarment dejta taċ-ċirku tas-siġar, iżda rikostruzzjonijiet aktar ġodda użaw dejta addizzjonali u koprew żona us"&amp;"a ', bl-użu ta' varjetà ta 'metodi statistiċi. It-taqsima ddiskutiet il-problema ta 'diverġenza li taffettwa ċerta dejta dwar iċ-ċirku tas-siġar.")</f>
        <v>Ir-Raba 'Rapport ta' Valutazzjoni tal-IPCC (AR4) ippubblikat fl-2007 deher graff li juri 12-il rikostruzzjoni tat-temperatura bbażati fuq il-prokura, inklużi t-tliet enfasizzati fit-tielet Rapport ta 'Valutazzjoni tal-2001 (TAR); Mann, Bradley &amp; Hughes 1999 bħal qabel, Jones et al. 1998 u Briffa 2000 kienu t-tnejn ġew ikkalibrati minn studji aktar ġodda. Barra minn hekk, analiżi tal-perjodu sħun medjevali kkwotaw rikostruzzjonijiet minn Crowley &amp; Lowery 2000 (kif iċċitat fil-qatran) u Osborn &amp; Briffa 2006. Għaxra minn dawn l-14-il rikostruzzjoni koprew 1,000 sena jew itwal. Il-biċċa l-kbira tar-rikostruzzjonijiet qasmu xi serje tad-dejta, partikolarment dejta taċ-ċirku tas-siġar, iżda rikostruzzjonijiet aktar ġodda użaw dejta addizzjonali u koprew żona usa ', bl-użu ta' varjetà ta 'metodi statistiċi. It-taqsima ddiskutiet il-problema ta 'diverġenza li taffettwa ċerta dejta dwar iċ-ċirku tas-siġar.</v>
      </c>
    </row>
    <row r="419" ht="15.75" customHeight="1">
      <c r="A419" s="2" t="s">
        <v>419</v>
      </c>
      <c r="B419" s="2" t="str">
        <f>IFERROR(__xludf.DUMMYFUNCTION("GOOGLETRANSLATE(A419, ""en"", ""mt"")"),"Protokoll tal-Internet")</f>
        <v>Protokoll tal-Internet</v>
      </c>
    </row>
    <row r="420" ht="15.75" customHeight="1">
      <c r="A420" s="2" t="s">
        <v>420</v>
      </c>
      <c r="B420" s="2" t="str">
        <f>IFERROR(__xludf.DUMMYFUNCTION("GOOGLETRANSLATE(A420, ""en"", ""mt"")"),"Id-9")</f>
        <v>Id-9</v>
      </c>
    </row>
    <row r="421" ht="15.75" customHeight="1">
      <c r="A421" s="2" t="s">
        <v>421</v>
      </c>
      <c r="B421" s="2" t="str">
        <f>IFERROR(__xludf.DUMMYFUNCTION("GOOGLETRANSLATE(A421, ""en"", ""mt"")"),"X'inhi waħda mill-aktar okkupazzjonijiet perikolużi fid-dinja?")</f>
        <v>X'inhi waħda mill-aktar okkupazzjonijiet perikolużi fid-dinja?</v>
      </c>
    </row>
    <row r="422" ht="15.75" customHeight="1">
      <c r="A422" s="2" t="s">
        <v>422</v>
      </c>
      <c r="B422" s="2" t="str">
        <f>IFERROR(__xludf.DUMMYFUNCTION("GOOGLETRANSLATE(A422, ""en"", ""mt"")"),"Red-Algal")</f>
        <v>Red-Algal</v>
      </c>
    </row>
    <row r="423" ht="15.75" customHeight="1">
      <c r="A423" s="2" t="s">
        <v>423</v>
      </c>
      <c r="B423" s="2" t="str">
        <f>IFERROR(__xludf.DUMMYFUNCTION("GOOGLETRANSLATE(A423, ""en"", ""mt"")"),"1950s sas-snin sebgħin")</f>
        <v>1950s sas-snin sebgħin</v>
      </c>
    </row>
    <row r="424" ht="15.75" customHeight="1">
      <c r="A424" s="2" t="s">
        <v>424</v>
      </c>
      <c r="B424" s="2" t="str">
        <f>IFERROR(__xludf.DUMMYFUNCTION("GOOGLETRANSLATE(A424, ""en"", ""mt"")"),"L-1 ta 'April, 1963")</f>
        <v>L-1 ta 'April, 1963</v>
      </c>
    </row>
    <row r="425" ht="15.75" customHeight="1">
      <c r="A425" s="2" t="s">
        <v>425</v>
      </c>
      <c r="B425" s="2" t="str">
        <f>IFERROR(__xludf.DUMMYFUNCTION("GOOGLETRANSLATE(A425, ""en"", ""mt"")"),"Mantell")</f>
        <v>Mantell</v>
      </c>
    </row>
    <row r="426" ht="15.75" customHeight="1">
      <c r="A426" s="2" t="s">
        <v>426</v>
      </c>
      <c r="B426" s="2" t="str">
        <f>IFERROR(__xludf.DUMMYFUNCTION("GOOGLETRANSLATE(A426, ""en"", ""mt"")"),"L-ispin ta 'x'jista' jipproduċi effett manjetiku għal molekuli ta 'ossiġnu?")</f>
        <v>L-ispin ta 'x'jista' jipproduċi effett manjetiku għal molekuli ta 'ossiġnu?</v>
      </c>
    </row>
    <row r="427" ht="15.75" customHeight="1">
      <c r="A427" s="2" t="s">
        <v>427</v>
      </c>
      <c r="B427" s="2" t="str">
        <f>IFERROR(__xludf.DUMMYFUNCTION("GOOGLETRANSLATE(A427, ""en"", ""mt"")"),"Il-Skylab kellu liema tip ta 'tagħmir abbord li suppost kien jintuża f'missjoni differenti?")</f>
        <v>Il-Skylab kellu liema tip ta 'tagħmir abbord li suppost kien jintuża f'missjoni differenti?</v>
      </c>
    </row>
    <row r="428" ht="15.75" customHeight="1">
      <c r="A428" s="2" t="s">
        <v>428</v>
      </c>
      <c r="B428" s="2" t="str">
        <f>IFERROR(__xludf.DUMMYFUNCTION("GOOGLETRANSLATE(A428, ""en"", ""mt"")"),"miżata ta 'kull xahar")</f>
        <v>miżata ta 'kull xahar</v>
      </c>
    </row>
    <row r="429" ht="15.75" customHeight="1">
      <c r="A429" s="2" t="s">
        <v>429</v>
      </c>
      <c r="B429" s="2" t="str">
        <f>IFERROR(__xludf.DUMMYFUNCTION("GOOGLETRANSLATE(A429, ""en"", ""mt"")"),"ma kien kopert fl-ebda gazzetta")</f>
        <v>ma kien kopert fl-ebda gazzetta</v>
      </c>
    </row>
    <row r="430" ht="15.75" customHeight="1">
      <c r="A430" s="2" t="s">
        <v>430</v>
      </c>
      <c r="B430" s="2" t="str">
        <f>IFERROR(__xludf.DUMMYFUNCTION("GOOGLETRANSLATE(A430, ""en"", ""mt"")"),"Xita mhux frekwenti")</f>
        <v>Xita mhux frekwenti</v>
      </c>
    </row>
    <row r="431" ht="15.75" customHeight="1">
      <c r="A431" s="2" t="s">
        <v>431</v>
      </c>
      <c r="B431" s="2" t="str">
        <f>IFERROR(__xludf.DUMMYFUNCTION("GOOGLETRANSLATE(A431, ""en"", ""mt"")"),"X'inhi r-rispons ipersensittiv ta 'sistema immunitarja tal-pjanti?")</f>
        <v>X'inhi r-rispons ipersensittiv ta 'sistema immunitarja tal-pjanti?</v>
      </c>
    </row>
    <row r="432" ht="15.75" customHeight="1">
      <c r="A432" s="2" t="s">
        <v>432</v>
      </c>
      <c r="B432" s="2" t="str">
        <f>IFERROR(__xludf.DUMMYFUNCTION("GOOGLETRANSLATE(A432, ""en"", ""mt"")"),"jidhru li jsiru eħfef")</f>
        <v>jidhru li jsiru eħfef</v>
      </c>
    </row>
    <row r="433" ht="15.75" customHeight="1">
      <c r="A433" s="2" t="s">
        <v>433</v>
      </c>
      <c r="B433" s="2" t="str">
        <f>IFERROR(__xludf.DUMMYFUNCTION("GOOGLETRANSLATE(A433, ""en"", ""mt"")"),"F'liema qafas ta 'Tesla jiżen kważi eżattament l-istess ammont?")</f>
        <v>F'liema qafas ta 'Tesla jiżen kważi eżattament l-istess ammont?</v>
      </c>
    </row>
    <row r="434" ht="15.75" customHeight="1">
      <c r="A434" s="2" t="s">
        <v>434</v>
      </c>
      <c r="B434" s="2" t="str">
        <f>IFERROR(__xludf.DUMMYFUNCTION("GOOGLETRANSLATE(A434, ""en"", ""mt"")"),"Ħajja aċetika tal-ordnijiet reliġjużi medjevali")</f>
        <v>Ħajja aċetika tal-ordnijiet reliġjużi medjevali</v>
      </c>
    </row>
    <row r="435" ht="15.75" customHeight="1">
      <c r="A435" s="2" t="s">
        <v>435</v>
      </c>
      <c r="B435" s="2" t="str">
        <f>IFERROR(__xludf.DUMMYFUNCTION("GOOGLETRANSLATE(A435, ""en"", ""mt"")"),"Kif jivvutaw il-membri meta jkun hemm diviżjoni?")</f>
        <v>Kif jivvutaw il-membri meta jkun hemm diviżjoni?</v>
      </c>
    </row>
    <row r="436" ht="15.75" customHeight="1">
      <c r="A436" s="2" t="s">
        <v>436</v>
      </c>
      <c r="B436" s="2" t="str">
        <f>IFERROR(__xludf.DUMMYFUNCTION("GOOGLETRANSLATE(A436, ""en"", ""mt"")"),"Liema aċidi amminiċi fihom kubrit?")</f>
        <v>Liema aċidi amminiċi fihom kubrit?</v>
      </c>
    </row>
    <row r="437" ht="15.75" customHeight="1">
      <c r="A437" s="2" t="s">
        <v>437</v>
      </c>
      <c r="B437" s="2" t="str">
        <f>IFERROR(__xludf.DUMMYFUNCTION("GOOGLETRANSLATE(A437, ""en"", ""mt"")"),"Epossidi")</f>
        <v>Epossidi</v>
      </c>
    </row>
    <row r="438" ht="15.75" customHeight="1">
      <c r="A438" s="2" t="s">
        <v>438</v>
      </c>
      <c r="B438" s="2" t="str">
        <f>IFERROR(__xludf.DUMMYFUNCTION("GOOGLETRANSLATE(A438, ""en"", ""mt"")"),"żieda fl-għargħar u sedimentazzjoni")</f>
        <v>żieda fl-għargħar u sedimentazzjoni</v>
      </c>
    </row>
    <row r="439" ht="15.75" customHeight="1">
      <c r="A439" s="2" t="s">
        <v>439</v>
      </c>
      <c r="B439" s="2" t="str">
        <f>IFERROR(__xludf.DUMMYFUNCTION("GOOGLETRANSLATE(A439, ""en"", ""mt"")"),"1964, sakemm kiseb l-ewwel inżul ta 'l-ekwipaġġ f'Lulju 1969,")</f>
        <v>1964, sakemm kiseb l-ewwel inżul ta 'l-ekwipaġġ f'Lulju 1969,</v>
      </c>
    </row>
    <row r="440" ht="15.75" customHeight="1">
      <c r="A440" s="2" t="s">
        <v>440</v>
      </c>
      <c r="B440" s="2" t="str">
        <f>IFERROR(__xludf.DUMMYFUNCTION("GOOGLETRANSLATE(A440, ""en"", ""mt"")"),"Fl-1999, speċjali ieħor, Doctor Who u The Curse of Fatal Death, sar għall-eżenzjoni tal-komiks u aktar tard rilaxxat fuq VHS. Parodija affettiva tas-serje televiżiva, ġiet maqsuma f'erba 'segmenti, li timita l-format tas-serje tradizzjonali, kompluta bi c"&amp;"liffhangers, u tiġri l-istess kuritur diversi drabi meta ġiet imfittxija (il-verżjoni rilaxxata fuq il-vidjow kienet maqsuma f'żewġ episodji biss). Fl-istorja, it-Tabib (Rowan Atkinson) jiltaqa ’kemm mal-kaptan (Jonathan Pryce) kif ukoll id-Daleks. Matul "&amp;"l-ispeċjal it-tabib huwa mġiegħel jirriġenera diversi drabi, bl-inkarnazzjonijiet sussegwenti tiegħu jintlagħbu, fl-ordni, Richard E. Grant, Jim Broadbent, Hugh Grant u Joanna Lumley. L-iskrittura nkitbet minn Steven Moffat, aktar tard biex tkun kittieb e"&amp;"wlieni u produttur eżekuttiv għas-serje Revived.")</f>
        <v>Fl-1999, speċjali ieħor, Doctor Who u The Curse of Fatal Death, sar għall-eżenzjoni tal-komiks u aktar tard rilaxxat fuq VHS. Parodija affettiva tas-serje televiżiva, ġiet maqsuma f'erba 'segmenti, li timita l-format tas-serje tradizzjonali, kompluta bi cliffhangers, u tiġri l-istess kuritur diversi drabi meta ġiet imfittxija (il-verżjoni rilaxxata fuq il-vidjow kienet maqsuma f'żewġ episodji biss). Fl-istorja, it-Tabib (Rowan Atkinson) jiltaqa ’kemm mal-kaptan (Jonathan Pryce) kif ukoll id-Daleks. Matul l-ispeċjal it-tabib huwa mġiegħel jirriġenera diversi drabi, bl-inkarnazzjonijiet sussegwenti tiegħu jintlagħbu, fl-ordni, Richard E. Grant, Jim Broadbent, Hugh Grant u Joanna Lumley. L-iskrittura nkitbet minn Steven Moffat, aktar tard biex tkun kittieb ewlieni u produttur eżekuttiv għas-serje Revived.</v>
      </c>
    </row>
    <row r="441" ht="15.75" customHeight="1">
      <c r="A441" s="2" t="s">
        <v>441</v>
      </c>
      <c r="B441" s="2" t="str">
        <f>IFERROR(__xludf.DUMMYFUNCTION("GOOGLETRANSLATE(A441, ""en"", ""mt"")"),"Din it-tip ta 'sistema hija magħrufa bħala")</f>
        <v>Din it-tip ta 'sistema hija magħrufa bħala</v>
      </c>
    </row>
    <row r="442" ht="15.75" customHeight="1">
      <c r="A442" s="2" t="s">
        <v>442</v>
      </c>
      <c r="B442" s="2" t="str">
        <f>IFERROR(__xludf.DUMMYFUNCTION("GOOGLETRANSLATE(A442, ""en"", ""mt"")"),"Liema parti l-kompożizzjoni tal-atmosfera tad-Dinja hija magħmula minn ossiġnu?")</f>
        <v>Liema parti l-kompożizzjoni tal-atmosfera tad-Dinja hija magħmula minn ossiġnu?</v>
      </c>
    </row>
    <row r="443" ht="15.75" customHeight="1">
      <c r="A443" s="2" t="s">
        <v>443</v>
      </c>
      <c r="B443" s="2" t="str">
        <f>IFERROR(__xludf.DUMMYFUNCTION("GOOGLETRANSLATE(A443, ""en"", ""mt"")"),"Minħabba li ż-żejt kien ipprezzat f'dollari, id-dħul reali tal-produtturi taż-żejt naqas")</f>
        <v>Minħabba li ż-żejt kien ipprezzat f'dollari, id-dħul reali tal-produtturi taż-żejt naqas</v>
      </c>
    </row>
    <row r="444" ht="15.75" customHeight="1">
      <c r="A444" s="2" t="s">
        <v>444</v>
      </c>
      <c r="B444" s="2" t="str">
        <f>IFERROR(__xludf.DUMMYFUNCTION("GOOGLETRANSLATE(A444, ""en"", ""mt"")"),"Is-16 u s-17-il seklu,")</f>
        <v>Is-16 u s-17-il seklu,</v>
      </c>
    </row>
    <row r="445" ht="15.75" customHeight="1">
      <c r="A445" s="2" t="s">
        <v>445</v>
      </c>
      <c r="B445" s="2" t="str">
        <f>IFERROR(__xludf.DUMMYFUNCTION("GOOGLETRANSLATE(A445, ""en"", ""mt"")"),"diżubbidjenza ċivili")</f>
        <v>diżubbidjenza ċivili</v>
      </c>
    </row>
    <row r="446" ht="15.75" customHeight="1">
      <c r="A446" s="2" t="s">
        <v>446</v>
      </c>
      <c r="B446" s="2" t="str">
        <f>IFERROR(__xludf.DUMMYFUNCTION("GOOGLETRANSLATE(A446, ""en"", ""mt"")"),"It-Tajlandja")</f>
        <v>It-Tajlandja</v>
      </c>
    </row>
    <row r="447" ht="15.75" customHeight="1">
      <c r="A447" s="2" t="s">
        <v>447</v>
      </c>
      <c r="B447" s="2" t="str">
        <f>IFERROR(__xludf.DUMMYFUNCTION("GOOGLETRANSLATE(A447, ""en"", ""mt"")"),"Jekk lista kompluta ta 'primes sa hija magħrufa")</f>
        <v>Jekk lista kompluta ta 'primes sa hija magħrufa</v>
      </c>
    </row>
    <row r="448" ht="15.75" customHeight="1">
      <c r="A448" s="2" t="s">
        <v>448</v>
      </c>
      <c r="B448" s="2" t="str">
        <f>IFERROR(__xludf.DUMMYFUNCTION("GOOGLETRANSLATE(A448, ""en"", ""mt"")"),"Meta Luther daħal fis-Senat tal-Fakultà tat-Teoloġija tal-Università ta 'Wittenberg?")</f>
        <v>Meta Luther daħal fis-Senat tal-Fakultà tat-Teoloġija tal-Università ta 'Wittenberg?</v>
      </c>
    </row>
    <row r="449" ht="15.75" customHeight="1">
      <c r="A449" s="2" t="s">
        <v>449</v>
      </c>
      <c r="B449" s="2" t="str">
        <f>IFERROR(__xludf.DUMMYFUNCTION("GOOGLETRANSLATE(A449, ""en"", ""mt"")"),"Min kiteb Luther dwar, imma rarament iltaqa '?")</f>
        <v>Min kiteb Luther dwar, imma rarament iltaqa '?</v>
      </c>
    </row>
    <row r="450" ht="15.75" customHeight="1">
      <c r="A450" s="2" t="s">
        <v>450</v>
      </c>
      <c r="B450" s="2" t="str">
        <f>IFERROR(__xludf.DUMMYFUNCTION("GOOGLETRANSLATE(A450, ""en"", ""mt"")"),"Meta l-FCC imponiet ir-regoli FIN-Syn tagħha fl-1970, ABC ħoloq b'mod proattiv żewġ kumpaniji: WorldVision Enterprises bħala distributur ta 'sindikazzjoni, u ABC Circle Films bħala kumpanija tal-produzzjoni. Madankollu, bejn il-pubblikazzjoni u l-implimen"&amp;"tazzjoni ta 'dawn ir-regolamenti, is-separazzjoni tal-katalgu tan-netwerk saret fl-1973. Id-drittijiet tax-xandir għal produzzjonijiet ta' qabel l-1973 ġew trasferiti għal WorldVision, li saret indipendenti fl-istess sena. Il-kumpanija nbiegħet diversi dr"&amp;"abi minn meta Paramount Television akkwistatha fl-1999, u reċentement ġiet assorbita fid-distribuzzjoni tat-televiżjoni CBS, unità ta 'CBS Corporation. Madankollu, WorldVision biegħ porzjonijiet tal-katalgu tiegħu, inklużi l-libreriji Ruby-Spears u Hanna-"&amp;"Barbera, lis-sistema ta 'xandir Turner fl-1990. Max-xiri ta' Disney fl-1996 ta 'ABC, ABC Circle Films ġie assorbit fi Touchstone Television, sussidjarja ta' Disney, li mbagħad kienet Semmiet ABC Studios fl-2007.")</f>
        <v>Meta l-FCC imponiet ir-regoli FIN-Syn tagħha fl-1970, ABC ħoloq b'mod proattiv żewġ kumpaniji: WorldVision Enterprises bħala distributur ta 'sindikazzjoni, u ABC Circle Films bħala kumpanija tal-produzzjoni. Madankollu, bejn il-pubblikazzjoni u l-implimentazzjoni ta 'dawn ir-regolamenti, is-separazzjoni tal-katalgu tan-netwerk saret fl-1973. Id-drittijiet tax-xandir għal produzzjonijiet ta' qabel l-1973 ġew trasferiti għal WorldVision, li saret indipendenti fl-istess sena. Il-kumpanija nbiegħet diversi drabi minn meta Paramount Television akkwistatha fl-1999, u reċentement ġiet assorbita fid-distribuzzjoni tat-televiżjoni CBS, unità ta 'CBS Corporation. Madankollu, WorldVision biegħ porzjonijiet tal-katalgu tiegħu, inklużi l-libreriji Ruby-Spears u Hanna-Barbera, lis-sistema ta 'xandir Turner fl-1990. Max-xiri ta' Disney fl-1996 ta 'ABC, ABC Circle Films ġie assorbit fi Touchstone Television, sussidjarja ta' Disney, li mbagħad kienet Semmiet ABC Studios fl-2007.</v>
      </c>
    </row>
    <row r="451" ht="15.75" customHeight="1">
      <c r="A451" s="2" t="s">
        <v>451</v>
      </c>
      <c r="B451" s="2" t="str">
        <f>IFERROR(__xludf.DUMMYFUNCTION("GOOGLETRANSLATE(A451, ""en"", ""mt"")"),"Iċ-ċomb plugs fusibbli")</f>
        <v>Iċ-ċomb plugs fusibbli</v>
      </c>
    </row>
    <row r="452" ht="15.75" customHeight="1">
      <c r="A452" s="2" t="s">
        <v>452</v>
      </c>
      <c r="B452" s="2" t="str">
        <f>IFERROR(__xludf.DUMMYFUNCTION("GOOGLETRANSLATE(A452, ""en"", ""mt"")"),"Liema kumpanija tal-ferrovija tipprovdi servizzi lokali u reġjonali?")</f>
        <v>Liema kumpanija tal-ferrovija tipprovdi servizzi lokali u reġjonali?</v>
      </c>
    </row>
    <row r="453" ht="15.75" customHeight="1">
      <c r="A453" s="2" t="s">
        <v>453</v>
      </c>
      <c r="B453" s="2" t="str">
        <f>IFERROR(__xludf.DUMMYFUNCTION("GOOGLETRANSLATE(A453, ""en"", ""mt"")"),"L-Amerka ta 'Fuq")</f>
        <v>L-Amerka ta 'Fuq</v>
      </c>
    </row>
    <row r="454" ht="15.75" customHeight="1">
      <c r="A454" s="2" t="s">
        <v>454</v>
      </c>
      <c r="B454" s="2" t="str">
        <f>IFERROR(__xludf.DUMMYFUNCTION("GOOGLETRANSLATE(A454, ""en"", ""mt"")"),"L-istudenti jibnu relazzjonijiet aktar b'saħħithom ma 'x'tip ta' għalliema?")</f>
        <v>L-istudenti jibnu relazzjonijiet aktar b'saħħithom ma 'x'tip ta' għalliema?</v>
      </c>
    </row>
    <row r="455" ht="15.75" customHeight="1">
      <c r="A455" s="2" t="s">
        <v>455</v>
      </c>
      <c r="B455" s="2" t="str">
        <f>IFERROR(__xludf.DUMMYFUNCTION("GOOGLETRANSLATE(A455, ""en"", ""mt"")"),"Fl-1975, l-istaġun 11 tas-serje rebaħ il-Premju tal-Kittieba tal-Guild tal-Gran Brittanja għall-Aħjar Kitba fis-Serje tat-Tfal. Fl-1996, il-BBC Television organizza l- ""Auntie Awards"" bħala l-qofol tas-serje ""TV60"" tagħhom, li jiċċelebraw 60 sena ta '"&amp;"xandir tat-televiżjoni tal-BBC, fejn Doctor Who ġie vvutat bħala l- ""aqwa drama popolari"" li l-korporazzjoni kienet qatt ipproduċiet, quddiem tali Klassifikazzjonijiet tal-piżijiet tqal bħala EastEnders u diżgrazzja. Fl-2000, Doctor Who ġie kklassifikat"&amp;" fit-tielet fil-lista tal-100 Programm Televiżiv Brittaniku tas-seklu 20, prodott mill-Istitut tal-Film Brittaniku u vvotat mill-professjonisti tal-industrija. Fl-2005, is-serje daħlet l-ewwel fi stħarriġ mill-Magazine SFX ta '""L-Ikbar Science Fiction u "&amp;"Fantasy Television Series Ever"". Ukoll, fil-100 programm tat-TV tal-Greatest Kids (Channel 4 Countdown fl-2001), il-ġirja tal-1963–1989 tqiegħdet fin-numru tmienja.")</f>
        <v>Fl-1975, l-istaġun 11 tas-serje rebaħ il-Premju tal-Kittieba tal-Guild tal-Gran Brittanja għall-Aħjar Kitba fis-Serje tat-Tfal. Fl-1996, il-BBC Television organizza l- "Auntie Awards" bħala l-qofol tas-serje "TV60" tagħhom, li jiċċelebraw 60 sena ta 'xandir tat-televiżjoni tal-BBC, fejn Doctor Who ġie vvutat bħala l- "aqwa drama popolari" li l-korporazzjoni kienet qatt ipproduċiet, quddiem tali Klassifikazzjonijiet tal-piżijiet tqal bħala EastEnders u diżgrazzja. Fl-2000, Doctor Who ġie kklassifikat fit-tielet fil-lista tal-100 Programm Televiżiv Brittaniku tas-seklu 20, prodott mill-Istitut tal-Film Brittaniku u vvotat mill-professjonisti tal-industrija. Fl-2005, is-serje daħlet l-ewwel fi stħarriġ mill-Magazine SFX ta '"L-Ikbar Science Fiction u Fantasy Television Series Ever". Ukoll, fil-100 programm tat-TV tal-Greatest Kids (Channel 4 Countdown fl-2001), il-ġirja tal-1963–1989 tqiegħdet fin-numru tmienja.</v>
      </c>
    </row>
    <row r="456" ht="15.75" customHeight="1">
      <c r="A456" s="2" t="s">
        <v>456</v>
      </c>
      <c r="B456" s="2" t="str">
        <f>IFERROR(__xludf.DUMMYFUNCTION("GOOGLETRANSLATE(A456, ""en"", ""mt"")"),"Kif hija tipikament tipikament id-diżubbidjenza ċivili b'rabta maċ-ċittadin?")</f>
        <v>Kif hija tipikament tipikament id-diżubbidjenza ċivili b'rabta maċ-ċittadin?</v>
      </c>
    </row>
    <row r="457" ht="15.75" customHeight="1">
      <c r="A457" s="2" t="s">
        <v>457</v>
      </c>
      <c r="B457" s="2" t="str">
        <f>IFERROR(__xludf.DUMMYFUNCTION("GOOGLETRANSLATE(A457, ""en"", ""mt"")"),"Tard tas-snin sebgħin")</f>
        <v>Tard tas-snin sebgħin</v>
      </c>
    </row>
    <row r="458" ht="15.75" customHeight="1">
      <c r="A458" s="2" t="s">
        <v>458</v>
      </c>
      <c r="B458" s="2" t="str">
        <f>IFERROR(__xludf.DUMMYFUNCTION("GOOGLETRANSLATE(A458, ""en"", ""mt"")"),"Imwaqqfa mis-Soċjetà tal-Edukazzjoni Battista Amerikana b'donazzjoni mill-magnate taż-żejt u l-aktar raġel sinjur fl-istorja John D. Rockefeller, l-Università ta 'Chicago ġiet inkorporata fl-1890; William Rainey Harper sar l-ewwel president tal-università"&amp;" fl-1891, u l-ewwel klassijiet saru fl-1892. Kemm Harper kif ukoll il-President futur Robert Maynard Hutchins favur il-kurrikulu ta 'Chicago li huma bbażati fuq kwistjonijiet teoretiċi u perenni aktar milli fuq ix-xjenzi applikati u l-utilità kummerċjali."&amp;" Bil-viżjoni ta 'Harper f'moħħha, l-Università ta' Chicago saret ukoll waħda mill-14-il membru fundatur tal-Assoċjazzjoni ta 'l-Universitajiet Amerikani, organizzazzjoni internazzjonali ta' universitajiet ewlenin ta 'riċerka, fl-1900.")</f>
        <v>Imwaqqfa mis-Soċjetà tal-Edukazzjoni Battista Amerikana b'donazzjoni mill-magnate taż-żejt u l-aktar raġel sinjur fl-istorja John D. Rockefeller, l-Università ta 'Chicago ġiet inkorporata fl-1890; William Rainey Harper sar l-ewwel president tal-università fl-1891, u l-ewwel klassijiet saru fl-1892. Kemm Harper kif ukoll il-President futur Robert Maynard Hutchins favur il-kurrikulu ta 'Chicago li huma bbażati fuq kwistjonijiet teoretiċi u perenni aktar milli fuq ix-xjenzi applikati u l-utilità kummerċjali. Bil-viżjoni ta 'Harper f'moħħha, l-Università ta' Chicago saret ukoll waħda mill-14-il membru fundatur tal-Assoċjazzjoni ta 'l-Universitajiet Amerikani, organizzazzjoni internazzjonali ta' universitajiet ewlenin ta 'riċerka, fl-1900.</v>
      </c>
    </row>
    <row r="459" ht="15.75" customHeight="1">
      <c r="A459" s="2" t="s">
        <v>459</v>
      </c>
      <c r="B459" s="2" t="str">
        <f>IFERROR(__xludf.DUMMYFUNCTION("GOOGLETRANSLATE(A459, ""en"", ""mt"")"),"Il-Bajd ta 'Columbus")</f>
        <v>Il-Bajd ta 'Columbus</v>
      </c>
    </row>
    <row r="460" ht="15.75" customHeight="1">
      <c r="A460" s="2" t="s">
        <v>460</v>
      </c>
      <c r="B460" s="2" t="str">
        <f>IFERROR(__xludf.DUMMYFUNCTION("GOOGLETRANSLATE(A460, ""en"", ""mt"")"),"alkoħol")</f>
        <v>alkoħol</v>
      </c>
    </row>
    <row r="461" ht="15.75" customHeight="1">
      <c r="A461" s="2" t="s">
        <v>461</v>
      </c>
      <c r="B461" s="2" t="str">
        <f>IFERROR(__xludf.DUMMYFUNCTION("GOOGLETRANSLATE(A461, ""en"", ""mt"")"),"Għal min kien ifisser il-katekiżmu żgħir?")</f>
        <v>Għal min kien ifisser il-katekiżmu żgħir?</v>
      </c>
    </row>
    <row r="462" ht="15.75" customHeight="1">
      <c r="A462" s="2" t="s">
        <v>462</v>
      </c>
      <c r="B462" s="2" t="str">
        <f>IFERROR(__xludf.DUMMYFUNCTION("GOOGLETRANSLATE(A462, ""en"", ""mt"")"),"Disturbi awtoimmuni")</f>
        <v>Disturbi awtoimmuni</v>
      </c>
    </row>
    <row r="463" ht="15.75" customHeight="1">
      <c r="A463" s="2" t="s">
        <v>463</v>
      </c>
      <c r="B463" s="2" t="str">
        <f>IFERROR(__xludf.DUMMYFUNCTION("GOOGLETRANSLATE(A463, ""en"", ""mt"")"),"Kif huwa deskritt id-dioxygen l-iktar sempliċement deskritt?")</f>
        <v>Kif huwa deskritt id-dioxygen l-iktar sempliċement deskritt?</v>
      </c>
    </row>
    <row r="464" ht="15.75" customHeight="1">
      <c r="A464" s="2" t="s">
        <v>464</v>
      </c>
      <c r="B464" s="2" t="str">
        <f>IFERROR(__xludf.DUMMYFUNCTION("GOOGLETRANSLATE(A464, ""en"", ""mt"")"),"50% aktar")</f>
        <v>50% aktar</v>
      </c>
    </row>
    <row r="465" ht="15.75" customHeight="1">
      <c r="A465" s="2" t="s">
        <v>465</v>
      </c>
      <c r="B465" s="2" t="str">
        <f>IFERROR(__xludf.DUMMYFUNCTION("GOOGLETRANSLATE(A465, ""en"", ""mt"")"),"In-numri ewlenin jagħtu lok għal żewġ kunċetti ġenerali oħra li japplikaw għal elementi ta 'kwalunkwe ċirku kommutattiv, struttura alġebrika fejn iż-żieda, it-tnaqqis u l-multiplikazzjoni huma definiti: elementi ewlenin u elementi irreducibbli. Element p "&amp;"ta 'r jissejjaħ element ewlieni jekk la huwa żero u lanqas unità (i.e., m'għandux invers multiplikattiv) u jissodisfa r-rekwiżit li ġej: mogħti x u y f'R tali li P jaqsam il-prodott xy, allura p jaqsam x jew y. Element huwa irreducibbli jekk ma jkunx unit"&amp;"à u ma jistax jinkiteb bħala prodott ta 'żewġ elementi taċ-ċirku li mhumiex unitajiet. Fiċ-ċirku z ta 'numru sħiħ, is-sett ta' elementi ewlenin huwa daqs is-sett ta 'elementi irreducibbli, li huwa")</f>
        <v>In-numri ewlenin jagħtu lok għal żewġ kunċetti ġenerali oħra li japplikaw għal elementi ta 'kwalunkwe ċirku kommutattiv, struttura alġebrika fejn iż-żieda, it-tnaqqis u l-multiplikazzjoni huma definiti: elementi ewlenin u elementi irreducibbli. Element p ta 'r jissejjaħ element ewlieni jekk la huwa żero u lanqas unità (i.e., m'għandux invers multiplikattiv) u jissodisfa r-rekwiżit li ġej: mogħti x u y f'R tali li P jaqsam il-prodott xy, allura p jaqsam x jew y. Element huwa irreducibbli jekk ma jkunx unità u ma jistax jinkiteb bħala prodott ta 'żewġ elementi taċ-ċirku li mhumiex unitajiet. Fiċ-ċirku z ta 'numru sħiħ, is-sett ta' elementi ewlenin huwa daqs is-sett ta 'elementi irreducibbli, li huwa</v>
      </c>
    </row>
    <row r="466" ht="15.75" customHeight="1">
      <c r="A466" s="2" t="s">
        <v>466</v>
      </c>
      <c r="B466" s="2" t="str">
        <f>IFERROR(__xludf.DUMMYFUNCTION("GOOGLETRANSLATE(A466, ""en"", ""mt"")"),"F'liema data ġie likwifikat l-ossiġnu f'forma stabbli?")</f>
        <v>F'liema data ġie likwifikat l-ossiġnu f'forma stabbli?</v>
      </c>
    </row>
    <row r="467" ht="15.75" customHeight="1">
      <c r="A467" s="2" t="s">
        <v>467</v>
      </c>
      <c r="B467" s="2" t="str">
        <f>IFERROR(__xludf.DUMMYFUNCTION("GOOGLETRANSLATE(A467, ""en"", ""mt"")"),"L-Anglo-Sassoni")</f>
        <v>L-Anglo-Sassoni</v>
      </c>
    </row>
    <row r="468" ht="15.75" customHeight="1">
      <c r="A468" s="2" t="s">
        <v>468</v>
      </c>
      <c r="B468" s="2" t="str">
        <f>IFERROR(__xludf.DUMMYFUNCTION("GOOGLETRANSLATE(A468, ""en"", ""mt"")"),"dmir")</f>
        <v>dmir</v>
      </c>
    </row>
    <row r="469" ht="15.75" customHeight="1">
      <c r="A469" s="2" t="s">
        <v>469</v>
      </c>
      <c r="B469" s="2" t="str">
        <f>IFERROR(__xludf.DUMMYFUNCTION("GOOGLETRANSLATE(A469, ""en"", ""mt"")"),"L-Orkestra Nazzjonali tal-BBC ta 'Wales")</f>
        <v>L-Orkestra Nazzjonali tal-BBC ta 'Wales</v>
      </c>
    </row>
    <row r="470" ht="15.75" customHeight="1">
      <c r="A470" s="2" t="s">
        <v>470</v>
      </c>
      <c r="B470" s="2" t="str">
        <f>IFERROR(__xludf.DUMMYFUNCTION("GOOGLETRANSLATE(A470, ""en"", ""mt"")"),"X’għamlu l-istoriċi fin-nuqqas ta ’figuri taċ-ċensiment?")</f>
        <v>X’għamlu l-istoriċi fin-nuqqas ta ’figuri taċ-ċensiment?</v>
      </c>
    </row>
    <row r="471" ht="15.75" customHeight="1">
      <c r="A471" s="2" t="s">
        <v>471</v>
      </c>
      <c r="B471" s="2" t="str">
        <f>IFERROR(__xludf.DUMMYFUNCTION("GOOGLETRANSLATE(A471, ""en"", ""mt"")"),"Kif tissejjaħ meta r-rata tat-taxxa u l-ammont tal-bażi jiżdiedu fl-istess ħin?")</f>
        <v>Kif tissejjaħ meta r-rata tat-taxxa u l-ammont tal-bażi jiżdiedu fl-istess ħin?</v>
      </c>
    </row>
    <row r="472" ht="15.75" customHeight="1">
      <c r="A472" s="2" t="s">
        <v>472</v>
      </c>
      <c r="B472" s="2" t="str">
        <f>IFERROR(__xludf.DUMMYFUNCTION("GOOGLETRANSLATE(A472, ""en"", ""mt"")"),"sistema magħluqa")</f>
        <v>sistema magħluqa</v>
      </c>
    </row>
    <row r="473" ht="15.75" customHeight="1">
      <c r="A473" s="2" t="s">
        <v>473</v>
      </c>
      <c r="B473" s="2" t="str">
        <f>IFERROR(__xludf.DUMMYFUNCTION("GOOGLETRANSLATE(A473, ""en"", ""mt"")"),"għal Tesla biex tkompli tiżviluppa u tipproduċi sistema ta 'dawl ġdida")</f>
        <v>għal Tesla biex tkompli tiżviluppa u tipproduċi sistema ta 'dawl ġdida</v>
      </c>
    </row>
    <row r="474" ht="15.75" customHeight="1">
      <c r="A474" s="2" t="s">
        <v>474</v>
      </c>
      <c r="B474" s="2" t="str">
        <f>IFERROR(__xludf.DUMMYFUNCTION("GOOGLETRANSLATE(A474, ""en"", ""mt"")"),"L-akbar oġġetti fil-V &amp; A Ceramics and Glass Collection ġew prodotti matul liema perjodu ta 'żmien?")</f>
        <v>L-akbar oġġetti fil-V &amp; A Ceramics and Glass Collection ġew prodotti matul liema perjodu ta 'żmien?</v>
      </c>
    </row>
    <row r="475" ht="15.75" customHeight="1">
      <c r="A475" s="2" t="s">
        <v>475</v>
      </c>
      <c r="B475" s="2" t="str">
        <f>IFERROR(__xludf.DUMMYFUNCTION("GOOGLETRANSLATE(A475, ""en"", ""mt"")"),"Is-salarji għall-għalliema primarji fl-Irlanda jiddependu prinċipalment fuq l-anzjanità (i.e. li għandhom il-pożizzjoni ta 'prinċipal, viċi prinċipali jew assistent prinċipali), esperjenza u kwalifiki. Paga żejda tingħata wkoll għat-tagħlim permezz tal-li"&amp;"ngwa Irlandiża, f'żona ta 'Gaeltacht jew fuq gżira. Il-paga bażika għal għalliem tal-bidu hija ta '€ 27,814 p.a., li tiżdied b'mod inkrimentali għal € 53,423 għal għalliem b'servizz ta '25 sena. Prinċipal ta 'skola kbira b'ħafna snin esperjenza u diversi "&amp;"kwalifiki (M.A., H.Dip., Eċċ.) Jista' jaqla 'aktar minn € 90,000.")</f>
        <v>Is-salarji għall-għalliema primarji fl-Irlanda jiddependu prinċipalment fuq l-anzjanità (i.e. li għandhom il-pożizzjoni ta 'prinċipal, viċi prinċipali jew assistent prinċipali), esperjenza u kwalifiki. Paga żejda tingħata wkoll għat-tagħlim permezz tal-lingwa Irlandiża, f'żona ta 'Gaeltacht jew fuq gżira. Il-paga bażika għal għalliem tal-bidu hija ta '€ 27,814 p.a., li tiżdied b'mod inkrimentali għal € 53,423 għal għalliem b'servizz ta '25 sena. Prinċipal ta 'skola kbira b'ħafna snin esperjenza u diversi kwalifiki (M.A., H.Dip., Eċċ.) Jista' jaqla 'aktar minn € 90,000.</v>
      </c>
    </row>
    <row r="476" ht="15.75" customHeight="1">
      <c r="A476" s="2" t="s">
        <v>476</v>
      </c>
      <c r="B476" s="2" t="str">
        <f>IFERROR(__xludf.DUMMYFUNCTION("GOOGLETRANSLATE(A476, ""en"", ""mt"")"),"eletti u ħatru isqfijiet")</f>
        <v>eletti u ħatru isqfijiet</v>
      </c>
    </row>
    <row r="477" ht="15.75" customHeight="1">
      <c r="A477" s="2" t="s">
        <v>477</v>
      </c>
      <c r="B477" s="2" t="str">
        <f>IFERROR(__xludf.DUMMYFUNCTION("GOOGLETRANSLATE(A477, ""en"", ""mt"")"),"Kemm huwa twil terminu wieħed għal president elett tas-CJEU?")</f>
        <v>Kemm huwa twil terminu wieħed għal president elett tas-CJEU?</v>
      </c>
    </row>
    <row r="478" ht="15.75" customHeight="1">
      <c r="A478" s="2" t="s">
        <v>478</v>
      </c>
      <c r="B478" s="2" t="str">
        <f>IFERROR(__xludf.DUMMYFUNCTION("GOOGLETRANSLATE(A478, ""en"", ""mt"")"),"Marki ewlenin tal-karozzi")</f>
        <v>Marki ewlenin tal-karozzi</v>
      </c>
    </row>
    <row r="479" ht="15.75" customHeight="1">
      <c r="A479" s="2" t="s">
        <v>479</v>
      </c>
      <c r="B479" s="2" t="str">
        <f>IFERROR(__xludf.DUMMYFUNCTION("GOOGLETRANSLATE(A479, ""en"", ""mt"")"),"teatri.")</f>
        <v>teatri.</v>
      </c>
    </row>
    <row r="480" ht="15.75" customHeight="1">
      <c r="A480" s="2" t="s">
        <v>480</v>
      </c>
      <c r="B480" s="2" t="str">
        <f>IFERROR(__xludf.DUMMYFUNCTION("GOOGLETRANSLATE(A480, ""en"", ""mt"")"),"Pubblikazzjonijiet bil-lingwa Ġermaniża")</f>
        <v>Pubblikazzjonijiet bil-lingwa Ġermaniża</v>
      </c>
    </row>
    <row r="481" ht="15.75" customHeight="1">
      <c r="A481" s="2" t="s">
        <v>481</v>
      </c>
      <c r="B481" s="2" t="str">
        <f>IFERROR(__xludf.DUMMYFUNCTION("GOOGLETRANSLATE(A481, ""en"", ""mt"")"),"mibgħuta sitt reġimenti lil Franza Ġdida taħt il-kmand ta 'Baruni Dieskau fl-1755")</f>
        <v>mibgħuta sitt reġimenti lil Franza Ġdida taħt il-kmand ta 'Baruni Dieskau fl-1755</v>
      </c>
    </row>
    <row r="482" ht="15.75" customHeight="1">
      <c r="A482" s="2" t="s">
        <v>482</v>
      </c>
      <c r="B482" s="2" t="str">
        <f>IFERROR(__xludf.DUMMYFUNCTION("GOOGLETRANSLATE(A482, ""en"", ""mt"")"),"Liema sett huwa miżjud siġġu wara li ġie allokat?")</f>
        <v>Liema sett huwa miżjud siġġu wara li ġie allokat?</v>
      </c>
    </row>
    <row r="483" ht="15.75" customHeight="1">
      <c r="A483" s="2" t="s">
        <v>483</v>
      </c>
      <c r="B483" s="2" t="str">
        <f>IFERROR(__xludf.DUMMYFUNCTION("GOOGLETRANSLATE(A483, ""en"", ""mt"")"),"Huwa seta 'interċetta l-esperimenti Ewropej ta' Marconi")</f>
        <v>Huwa seta 'interċetta l-esperimenti Ewropej ta' Marconi</v>
      </c>
    </row>
    <row r="484" ht="15.75" customHeight="1">
      <c r="A484" s="2" t="s">
        <v>484</v>
      </c>
      <c r="B484" s="2" t="str">
        <f>IFERROR(__xludf.DUMMYFUNCTION("GOOGLETRANSLATE(A484, ""en"", ""mt"")"),"Liema aġenzija tal-gvern issorvelja l-patrijiet Buddisti?")</f>
        <v>Liema aġenzija tal-gvern issorvelja l-patrijiet Buddisti?</v>
      </c>
    </row>
    <row r="485" ht="15.75" customHeight="1">
      <c r="A485" s="2" t="s">
        <v>485</v>
      </c>
      <c r="B485" s="2" t="str">
        <f>IFERROR(__xludf.DUMMYFUNCTION("GOOGLETRANSLATE(A485, ""en"", ""mt"")"),"Min fetaħ il-bini l-ġdid tal-Parlament fid-9 ta 'Ottubru, 2004?")</f>
        <v>Min fetaħ il-bini l-ġdid tal-Parlament fid-9 ta 'Ottubru, 2004?</v>
      </c>
    </row>
    <row r="486" ht="15.75" customHeight="1">
      <c r="A486" s="2" t="s">
        <v>486</v>
      </c>
      <c r="B486" s="2" t="str">
        <f>IFERROR(__xludf.DUMMYFUNCTION("GOOGLETRANSLATE(A486, ""en"", ""mt"")"),"Schrödinger")</f>
        <v>Schrödinger</v>
      </c>
    </row>
    <row r="487" ht="15.75" customHeight="1">
      <c r="A487" s="2" t="s">
        <v>487</v>
      </c>
      <c r="B487" s="2" t="str">
        <f>IFERROR(__xludf.DUMMYFUNCTION("GOOGLETRANSLATE(A487, ""en"", ""mt"")"),"Meta seħħ it-tkabbir taż-żona ta 'Varsavja?")</f>
        <v>Meta seħħ it-tkabbir taż-żona ta 'Varsavja?</v>
      </c>
    </row>
    <row r="488" ht="15.75" customHeight="1">
      <c r="A488" s="2" t="s">
        <v>488</v>
      </c>
      <c r="B488" s="2" t="str">
        <f>IFERROR(__xludf.DUMMYFUNCTION("GOOGLETRANSLATE(A488, ""en"", ""mt"")"),"L-akbar sehem tal-provvista tal-elettriku tal-Kenja ġej minn stazzjonijiet idroelettriċi fi digi tul ix-Xmara Tana ta 'Fuq, kif ukoll mid-diga ta' Turkwel Gorge fil-punent. Impjant li jaħdem bil-pitrolju fuq il-kosta, faċilitajiet ġeotermali f'Olkaria (ħd"&amp;"ejn Nairobi), u l-elettriku importat mill-Uganda jiffurmaw il-kumplament tal-provvista. Il-kapaċità installata tal-Kenja kienet ta '1,142 megawatt bejn l-2001 u l-2003. Il-kumpanija li tiġġenera l-elettriku tal-Kenja (Kengen), stabbilita fl-1997 taħt l-is"&amp;"em tal-Kenya Power Company, tieħu ħsieb il-ġenerazzjoni ta' l-elettriku, filwaqt li l-enerġija tal-Kenja tieħu ħsieb it-trasmissjoni tal-elettriku u d-distribuzzjoni sistema fil-pajjiż. In-nuqqasijiet ta 'l-elettriku jseħħu perjodikament, meta n-nixfa tna"&amp;"qqas il-fluss tal-ilma. Biex issir biżżejjed enerġija, il-Kenja għandha l-għan li tibni impjant tal-enerġija nukleari sal-2017.")</f>
        <v>L-akbar sehem tal-provvista tal-elettriku tal-Kenja ġej minn stazzjonijiet idroelettriċi fi digi tul ix-Xmara Tana ta 'Fuq, kif ukoll mid-diga ta' Turkwel Gorge fil-punent. Impjant li jaħdem bil-pitrolju fuq il-kosta, faċilitajiet ġeotermali f'Olkaria (ħdejn Nairobi), u l-elettriku importat mill-Uganda jiffurmaw il-kumplament tal-provvista. Il-kapaċità installata tal-Kenja kienet ta '1,142 megawatt bejn l-2001 u l-2003. Il-kumpanija li tiġġenera l-elettriku tal-Kenja (Kengen), stabbilita fl-1997 taħt l-isem tal-Kenya Power Company, tieħu ħsieb il-ġenerazzjoni ta' l-elettriku, filwaqt li l-enerġija tal-Kenja tieħu ħsieb it-trasmissjoni tal-elettriku u d-distribuzzjoni sistema fil-pajjiż. In-nuqqasijiet ta 'l-elettriku jseħħu perjodikament, meta n-nixfa tnaqqas il-fluss tal-ilma. Biex issir biżżejjed enerġija, il-Kenja għandha l-għan li tibni impjant tal-enerġija nukleari sal-2017.</v>
      </c>
    </row>
    <row r="489" ht="15.75" customHeight="1">
      <c r="A489" s="2" t="s">
        <v>489</v>
      </c>
      <c r="B489" s="2" t="str">
        <f>IFERROR(__xludf.DUMMYFUNCTION("GOOGLETRANSLATE(A489, ""en"", ""mt"")"),"Liema regoli għandha ssegwi l-IPCC?")</f>
        <v>Liema regoli għandha ssegwi l-IPCC?</v>
      </c>
    </row>
    <row r="490" ht="15.75" customHeight="1">
      <c r="A490" s="2" t="s">
        <v>490</v>
      </c>
      <c r="B490" s="2" t="str">
        <f>IFERROR(__xludf.DUMMYFUNCTION("GOOGLETRANSLATE(A490, ""en"", ""mt"")"),"ribosoma")</f>
        <v>ribosoma</v>
      </c>
    </row>
    <row r="491" ht="15.75" customHeight="1">
      <c r="A491" s="2" t="s">
        <v>491</v>
      </c>
      <c r="B491" s="2" t="str">
        <f>IFERROR(__xludf.DUMMYFUNCTION("GOOGLETRANSLATE(A491, ""en"", ""mt"")"),"Il-kloroplast Peridinin oriġinali tagħhom")</f>
        <v>Il-kloroplast Peridinin oriġinali tagħhom</v>
      </c>
    </row>
    <row r="492" ht="15.75" customHeight="1">
      <c r="A492" s="2" t="s">
        <v>492</v>
      </c>
      <c r="B492" s="2" t="str">
        <f>IFERROR(__xludf.DUMMYFUNCTION("GOOGLETRANSLATE(A492, ""en"", ""mt"")"),"Min għelbu l-Carolina Panthers fil-logħba tal-Kampjonat NFC 2015?")</f>
        <v>Min għelbu l-Carolina Panthers fil-logħba tal-Kampjonat NFC 2015?</v>
      </c>
    </row>
    <row r="493" ht="15.75" customHeight="1">
      <c r="A493" s="2" t="s">
        <v>493</v>
      </c>
      <c r="B493" s="2" t="str">
        <f>IFERROR(__xludf.DUMMYFUNCTION("GOOGLETRANSLATE(A493, ""en"", ""mt"")"),"Għaliex Varsavja kisbet it-titlu tal- ""Phoenix City""?")</f>
        <v>Għaliex Varsavja kisbet it-titlu tal- "Phoenix City"?</v>
      </c>
    </row>
    <row r="494" ht="15.75" customHeight="1">
      <c r="A494" s="2" t="s">
        <v>494</v>
      </c>
      <c r="B494" s="2" t="str">
        <f>IFERROR(__xludf.DUMMYFUNCTION("GOOGLETRANSLATE(A494, ""en"", ""mt"")"),"Biex tevita li tkun immirata mill-bojkott")</f>
        <v>Biex tevita li tkun immirata mill-bojkott</v>
      </c>
    </row>
    <row r="495" ht="15.75" customHeight="1">
      <c r="A495" s="2" t="s">
        <v>495</v>
      </c>
      <c r="B495" s="2" t="str">
        <f>IFERROR(__xludf.DUMMYFUNCTION("GOOGLETRANSLATE(A495, ""en"", ""mt"")"),"X'kien il-valur idealizzat tal-imperjalizmu?")</f>
        <v>X'kien il-valur idealizzat tal-imperjalizmu?</v>
      </c>
    </row>
    <row r="496" ht="15.75" customHeight="1">
      <c r="A496" s="2" t="s">
        <v>496</v>
      </c>
      <c r="B496" s="2" t="str">
        <f>IFERROR(__xludf.DUMMYFUNCTION("GOOGLETRANSLATE(A496, ""en"", ""mt"")"),"F'liema data kienet ir-rekord ta 'temperatura baxxa fi Fresno?")</f>
        <v>F'liema data kienet ir-rekord ta 'temperatura baxxa fi Fresno?</v>
      </c>
    </row>
    <row r="497" ht="15.75" customHeight="1">
      <c r="A497" s="2" t="s">
        <v>497</v>
      </c>
      <c r="B497" s="2" t="str">
        <f>IFERROR(__xludf.DUMMYFUNCTION("GOOGLETRANSLATE(A497, ""en"", ""mt"")"),"Iżraeljani")</f>
        <v>Iżraeljani</v>
      </c>
    </row>
    <row r="498" ht="15.75" customHeight="1">
      <c r="A498" s="2" t="s">
        <v>498</v>
      </c>
      <c r="B498" s="2" t="str">
        <f>IFERROR(__xludf.DUMMYFUNCTION("GOOGLETRANSLATE(A498, ""en"", ""mt"")"),"Il-port ta 'Long Beach jappartjeni għal liema reġjun ta' Kalifornja?")</f>
        <v>Il-port ta 'Long Beach jappartjeni għal liema reġjun ta' Kalifornja?</v>
      </c>
    </row>
    <row r="499" ht="15.75" customHeight="1">
      <c r="A499" s="2" t="s">
        <v>499</v>
      </c>
      <c r="B499" s="2" t="str">
        <f>IFERROR(__xludf.DUMMYFUNCTION("GOOGLETRANSLATE(A499, ""en"", ""mt"")"),"Proprjetarji ta 'negozji żgħar")</f>
        <v>Proprjetarji ta 'negozji żgħar</v>
      </c>
    </row>
    <row r="500" ht="15.75" customHeight="1">
      <c r="A500" s="2" t="s">
        <v>500</v>
      </c>
      <c r="B500" s="2" t="str">
        <f>IFERROR(__xludf.DUMMYFUNCTION("GOOGLETRANSLATE(A500, ""en"", ""mt"")"),"Liema rwol prattiku jiddefinixxi l-kumplessità tal-problemi fil-kompjuters ta 'kuljum?")</f>
        <v>Liema rwol prattiku jiddefinixxi l-kumplessità tal-problemi fil-kompjuters ta 'kuljum?</v>
      </c>
    </row>
    <row r="501" ht="15.75" customHeight="1">
      <c r="A501" s="2" t="s">
        <v>501</v>
      </c>
      <c r="B501" s="2" t="str">
        <f>IFERROR(__xludf.DUMMYFUNCTION("GOOGLETRANSLATE(A501, ""en"", ""mt"")"),"liberazzjoni u evita l-ħabs")</f>
        <v>liberazzjoni u evita l-ħabs</v>
      </c>
    </row>
    <row r="502" ht="15.75" customHeight="1">
      <c r="A502" s="2" t="s">
        <v>502</v>
      </c>
      <c r="B502" s="2" t="str">
        <f>IFERROR(__xludf.DUMMYFUNCTION("GOOGLETRANSLATE(A502, ""en"", ""mt"")"),"It-trabi tat-twelid m'għandhom l-ebda esponiment minn qabel għall-mikrobi u huma partikolarment vulnerabbli għall-infezzjoni. Diversi saffi ta ’protezzjoni passiva huma pprovduti mill-omm. Waqt it-tqala, tip partikolari ta 'antikorpi, imsejjaħ IgG, huwa t"&amp;"trasportat minn omm għal tarbija direttament madwar il-plaċenta, u għalhekk it-trabi umani għandhom livelli għoljin ta' antikorpi anke fit-twelid, bl-istess firxa ta 'speċifiċitajiet ta' antiġeni bħal ommhom. Il-ħalib tas-sider jew il-kolostru fih ukoll a"&amp;"ntikorpi li jiġu trasferiti fl-imsaren tat-tarbija u jipproteġu kontra infezzjonijiet batteriċi sakemm it-tarbija tat-twelid tkun tista 'tissintetizza l-antikorpi tiegħu stess. Din hija immunità passiva minħabba li l-fetu fil-fatt ma jagħmel l-ebda ċellol"&amp;"i tal-memorja jew antikorpi - jissellefhom biss. Din l-immunità passiva ġeneralment tkun għal żmien qasir, li ddum minn ftit jiem sa bosta xhur. Fil-mediċina, l-immunità passiva protettiva tista 'wkoll tiġi trasferita artifiċjalment minn individwu għal ie"&amp;"ħor permezz ta' serum b'ħafna antikorpi.")</f>
        <v>It-trabi tat-twelid m'għandhom l-ebda esponiment minn qabel għall-mikrobi u huma partikolarment vulnerabbli għall-infezzjoni. Diversi saffi ta ’protezzjoni passiva huma pprovduti mill-omm. Waqt it-tqala, tip partikolari ta 'antikorpi, imsejjaħ IgG, huwa ttrasportat minn omm għal tarbija direttament madwar il-plaċenta, u għalhekk it-trabi umani għandhom livelli għoljin ta' antikorpi anke fit-twelid, bl-istess firxa ta 'speċifiċitajiet ta' antiġeni bħal ommhom. Il-ħalib tas-sider jew il-kolostru fih ukoll antikorpi li jiġu trasferiti fl-imsaren tat-tarbija u jipproteġu kontra infezzjonijiet batteriċi sakemm it-tarbija tat-twelid tkun tista 'tissintetizza l-antikorpi tiegħu stess. Din hija immunità passiva minħabba li l-fetu fil-fatt ma jagħmel l-ebda ċelloli tal-memorja jew antikorpi - jissellefhom biss. Din l-immunità passiva ġeneralment tkun għal żmien qasir, li ddum minn ftit jiem sa bosta xhur. Fil-mediċina, l-immunità passiva protettiva tista 'wkoll tiġi trasferita artifiċjalment minn individwu għal ieħor permezz ta' serum b'ħafna antikorpi.</v>
      </c>
    </row>
    <row r="503" ht="15.75" customHeight="1">
      <c r="A503" s="2" t="s">
        <v>503</v>
      </c>
      <c r="B503" s="2" t="str">
        <f>IFERROR(__xludf.DUMMYFUNCTION("GOOGLETRANSLATE(A503, ""en"", ""mt"")"),"Kull djaknu b'konnessjoni sħiħa huwa membru ta 'xiex?")</f>
        <v>Kull djaknu b'konnessjoni sħiħa huwa membru ta 'xiex?</v>
      </c>
    </row>
    <row r="504" ht="15.75" customHeight="1">
      <c r="A504" s="2" t="s">
        <v>504</v>
      </c>
      <c r="B504" s="2" t="str">
        <f>IFERROR(__xludf.DUMMYFUNCTION("GOOGLETRANSLATE(A504, ""en"", ""mt"")"),"Islam mhux politiku")</f>
        <v>Islam mhux politiku</v>
      </c>
    </row>
    <row r="505" ht="15.75" customHeight="1">
      <c r="A505" s="2" t="s">
        <v>505</v>
      </c>
      <c r="B505" s="2" t="str">
        <f>IFERROR(__xludf.DUMMYFUNCTION("GOOGLETRANSLATE(A505, ""en"", ""mt"")"),"Kemm art tuża l-irziezet fir-Rabat?")</f>
        <v>Kemm art tuża l-irziezet fir-Rabat?</v>
      </c>
    </row>
    <row r="506" ht="15.75" customHeight="1">
      <c r="A506" s="2" t="s">
        <v>506</v>
      </c>
      <c r="B506" s="2" t="str">
        <f>IFERROR(__xludf.DUMMYFUNCTION("GOOGLETRANSLATE(A506, ""en"", ""mt"")"),"ittri")</f>
        <v>ittri</v>
      </c>
    </row>
    <row r="507" ht="15.75" customHeight="1">
      <c r="A507" s="2" t="s">
        <v>507</v>
      </c>
      <c r="B507" s="2" t="str">
        <f>IFERROR(__xludf.DUMMYFUNCTION("GOOGLETRANSLATE(A507, ""en"", ""mt"")"),"Platyctenids minorenni jaġixxu bħal dak?")</f>
        <v>Platyctenids minorenni jaġixxu bħal dak?</v>
      </c>
    </row>
    <row r="508" ht="15.75" customHeight="1">
      <c r="A508" s="2" t="s">
        <v>508</v>
      </c>
      <c r="B508" s="2" t="str">
        <f>IFERROR(__xludf.DUMMYFUNCTION("GOOGLETRANSLATE(A508, ""en"", ""mt"")"),"Liema qliezet tal-kulur ilbies il-Broncos fis-Super Bowl 50?")</f>
        <v>Liema qliezet tal-kulur ilbies il-Broncos fis-Super Bowl 50?</v>
      </c>
    </row>
    <row r="509" ht="15.75" customHeight="1">
      <c r="A509" s="2" t="s">
        <v>509</v>
      </c>
      <c r="B509" s="2" t="str">
        <f>IFERROR(__xludf.DUMMYFUNCTION("GOOGLETRANSLATE(A509, ""en"", ""mt"")"),"Konsultazzjoni tal-ħaddiema fin-negozji")</f>
        <v>Konsultazzjoni tal-ħaddiema fin-negozji</v>
      </c>
    </row>
    <row r="510" ht="15.75" customHeight="1">
      <c r="A510" s="2" t="s">
        <v>510</v>
      </c>
      <c r="B510" s="2" t="str">
        <f>IFERROR(__xludf.DUMMYFUNCTION("GOOGLETRANSLATE(A510, ""en"", ""mt"")"),"X'inhi ċ-ċavetta biex tinkiseb il-ħiliet meħtieġa għal impjiegi ta 'domanda għolja?")</f>
        <v>X'inhi ċ-ċavetta biex tinkiseb il-ħiliet meħtieġa għal impjiegi ta 'domanda għolja?</v>
      </c>
    </row>
    <row r="511" ht="15.75" customHeight="1">
      <c r="A511" s="2" t="s">
        <v>511</v>
      </c>
      <c r="B511" s="2" t="str">
        <f>IFERROR(__xludf.DUMMYFUNCTION("GOOGLETRANSLATE(A511, ""en"", ""mt"")"),"Iċ-Ċentru tad-Distribuzzjoni tad-Dejta u l-Programm Nazzjonali tal-Inventar tal-Gass Serra")</f>
        <v>Iċ-Ċentru tad-Distribuzzjoni tad-Dejta u l-Programm Nazzjonali tal-Inventar tal-Gass Serra</v>
      </c>
    </row>
    <row r="512" ht="15.75" customHeight="1">
      <c r="A512" s="2" t="s">
        <v>512</v>
      </c>
      <c r="B512" s="2" t="str">
        <f>IFERROR(__xludf.DUMMYFUNCTION("GOOGLETRANSLATE(A512, ""en"", ""mt"")"),"F’dak li sar magħruf bħala l-massakru ta ’Jum San Bartolomew fl-24 ta’ Awwissu - 3 ta ’Ottubru 1572, il-Kattoliċi qatlu eluf ta’ Huguenots f’Pariġi. Massakri simili seħħew fi bliet oħra fil-ġimgħat ta ’wara. Il-bliet u l-ibliet provinċjali ewlenin li jesp"&amp;"erjenzaw il-massakru kienu Aix, Bordeaux, Bourges, Lyons, Meaux, Orleans, Rouen, Toulouse, u Troyes. Kważi 3,000 Protestant inqatlu f'Toulouse biss. L-għadd eżatt ta 'fatalitajiet madwar il-pajjiż mhux magħruf. Fit-23-24 ta ’Awwissu, bejn madwar 2,000 u 3"&amp;",000 Protestant inqatlu f’Pariġi u bejn 3,000 u 7,000 aktar fil-provinċji Franċiżi. Sal-17 ta ’Settembru, kważi 25,000 Protestant kienu ġew massakrati biss f’Pariġi. Lil hinn minn Pariġi, il-qtil kompla sat-3 ta ’Ottubru. Amnestija mogħtija fl-1573 maħfra"&amp;" lill-awturi. [Ċitazzjoni meħtieġa]")</f>
        <v>F’dak li sar magħruf bħala l-massakru ta ’Jum San Bartolomew fl-24 ta’ Awwissu - 3 ta ’Ottubru 1572, il-Kattoliċi qatlu eluf ta’ Huguenots f’Pariġi. Massakri simili seħħew fi bliet oħra fil-ġimgħat ta ’wara. Il-bliet u l-ibliet provinċjali ewlenin li jesperjenzaw il-massakru kienu Aix, Bordeaux, Bourges, Lyons, Meaux, Orleans, Rouen, Toulouse, u Troyes. Kważi 3,000 Protestant inqatlu f'Toulouse biss. L-għadd eżatt ta 'fatalitajiet madwar il-pajjiż mhux magħruf. Fit-23-24 ta ’Awwissu, bejn madwar 2,000 u 3,000 Protestant inqatlu f’Pariġi u bejn 3,000 u 7,000 aktar fil-provinċji Franċiżi. Sal-17 ta ’Settembru, kważi 25,000 Protestant kienu ġew massakrati biss f’Pariġi. Lil hinn minn Pariġi, il-qtil kompla sat-3 ta ’Ottubru. Amnestija mogħtija fl-1573 maħfra lill-awturi. [Ċitazzjoni meħtieġa]</v>
      </c>
    </row>
    <row r="513" ht="15.75" customHeight="1">
      <c r="A513" s="2" t="s">
        <v>513</v>
      </c>
      <c r="B513" s="2" t="str">
        <f>IFERROR(__xludf.DUMMYFUNCTION("GOOGLETRANSLATE(A513, ""en"", ""mt"")"),"possibbiltà tat-trasmissjoni")</f>
        <v>possibbiltà tat-trasmissjoni</v>
      </c>
    </row>
    <row r="514" ht="15.75" customHeight="1">
      <c r="A514" s="2" t="s">
        <v>514</v>
      </c>
      <c r="B514" s="2" t="str">
        <f>IFERROR(__xludf.DUMMYFUNCTION("GOOGLETRANSLATE(A514, ""en"", ""mt"")"),"""Nies sempliċi")</f>
        <v>"Nies sempliċi</v>
      </c>
    </row>
    <row r="515" ht="15.75" customHeight="1">
      <c r="A515" s="2" t="s">
        <v>515</v>
      </c>
      <c r="B515" s="2" t="str">
        <f>IFERROR(__xludf.DUMMYFUNCTION("GOOGLETRANSLATE(A515, ""en"", ""mt"")"),"L-effett tal-intervent ta 'Luther kien immedjat. Wara s-sitt priedka, il-ġurista Wittenberg Jerome Schurf kiteb lill-elettur: ""Oh, liema ferħ ir-ritorn ta 'Dr Martin jinfirex fostna! Il-kliem tiegħu, permezz tal-ħniena divina, qed iġibu lura kuljum nies "&amp;"żbaljati fil-mod tal-verità. """)</f>
        <v>L-effett tal-intervent ta 'Luther kien immedjat. Wara s-sitt priedka, il-ġurista Wittenberg Jerome Schurf kiteb lill-elettur: "Oh, liema ferħ ir-ritorn ta 'Dr Martin jinfirex fostna! Il-kliem tiegħu, permezz tal-ħniena divina, qed iġibu lura kuljum nies żbaljati fil-mod tal-verità. "</v>
      </c>
    </row>
    <row r="516" ht="15.75" customHeight="1">
      <c r="A516" s="2" t="s">
        <v>516</v>
      </c>
      <c r="B516" s="2" t="str">
        <f>IFERROR(__xludf.DUMMYFUNCTION("GOOGLETRANSLATE(A516, ""en"", ""mt"")"),"Il-bini tat-Triq Pilgrim ġie rranġat bejn Novembru 2006 u Mejju 2008; Waqt ix-xogħlijiet ta ’rranġar, iċ-ċinema rrilokat fil-muniċipju l-qadim, Gateshead. F'Mejju 2008 iċ-ċinema Tyneside reġgħet fetħet fil-bini oriġinali rrestawrat u rranġat. Is-sit bħali"&amp;"ssa fih tliet ċinemas, inkluż il-klassiku rrestawrat - l-aħħar ċinema tal-aħbarijiet li għadhom ħajjin tar-Renju Unit għadha f'operazzjoni full-time - flimkien ma 'żewġ skrins ġodda, estensjoni tas-saqaf li fiha l-bar tat-Tyneside, u edukazzjoni u suites "&amp;"ta' tagħlim iddedikati.")</f>
        <v>Il-bini tat-Triq Pilgrim ġie rranġat bejn Novembru 2006 u Mejju 2008; Waqt ix-xogħlijiet ta ’rranġar, iċ-ċinema rrilokat fil-muniċipju l-qadim, Gateshead. F'Mejju 2008 iċ-ċinema Tyneside reġgħet fetħet fil-bini oriġinali rrestawrat u rranġat. Is-sit bħalissa fih tliet ċinemas, inkluż il-klassiku rrestawrat - l-aħħar ċinema tal-aħbarijiet li għadhom ħajjin tar-Renju Unit għadha f'operazzjoni full-time - flimkien ma 'żewġ skrins ġodda, estensjoni tas-saqaf li fiha l-bar tat-Tyneside, u edukazzjoni u suites ta' tagħlim iddedikati.</v>
      </c>
    </row>
    <row r="517" ht="15.75" customHeight="1">
      <c r="A517" s="2" t="s">
        <v>517</v>
      </c>
      <c r="B517" s="2" t="str">
        <f>IFERROR(__xludf.DUMMYFUNCTION("GOOGLETRANSLATE(A517, ""en"", ""mt"")"),"Matul il-ħamest ijiem li ġejjin, saru konferenzi privati ​​biex jiddeterminaw id-destin ta 'Luther. L-Imperatur ippreżenta l-abbozz finali tal-editt ta 'Worms fil-25 ta' Mejju 1521, li ddikjara lil Luther illegali, li pprojbixxa l-letteratura tiegħu, u je"&amp;"ħtieġ l-arrest tiegħu: ""Aħna rridu li jinqabad u jiġi kkastigat bħala eretiku notorju."" Huwa għamilha wkoll reat għal kull min fil-Ġermanja biex jagħti ikel jew kenn lil Luther. Huwa ppermetta lil kulħadd joqtol lil Luther mingħajr konsegwenza legali.")</f>
        <v>Matul il-ħamest ijiem li ġejjin, saru konferenzi privati ​​biex jiddeterminaw id-destin ta 'Luther. L-Imperatur ippreżenta l-abbozz finali tal-editt ta 'Worms fil-25 ta' Mejju 1521, li ddikjara lil Luther illegali, li pprojbixxa l-letteratura tiegħu, u jeħtieġ l-arrest tiegħu: "Aħna rridu li jinqabad u jiġi kkastigat bħala eretiku notorju." Huwa għamilha wkoll reat għal kull min fil-Ġermanja biex jagħti ikel jew kenn lil Luther. Huwa ppermetta lil kulħadd joqtol lil Luther mingħajr konsegwenza legali.</v>
      </c>
    </row>
    <row r="518" ht="15.75" customHeight="1">
      <c r="A518" s="2" t="s">
        <v>518</v>
      </c>
      <c r="B518" s="2" t="str">
        <f>IFERROR(__xludf.DUMMYFUNCTION("GOOGLETRANSLATE(A518, ""en"", ""mt"")"),"Min hu l-President ta 'Tumas?")</f>
        <v>Min hu l-President ta 'Tumas?</v>
      </c>
    </row>
    <row r="519" ht="15.75" customHeight="1">
      <c r="A519" s="2" t="s">
        <v>519</v>
      </c>
      <c r="B519" s="2" t="str">
        <f>IFERROR(__xludf.DUMMYFUNCTION("GOOGLETRANSLATE(A519, ""en"", ""mt"")"),"X'jagħmel għalliem għal xi ħadd li huwa timidu?")</f>
        <v>X'jagħmel għalliem għal xi ħadd li huwa timidu?</v>
      </c>
    </row>
    <row r="520" ht="15.75" customHeight="1">
      <c r="A520" s="2" t="s">
        <v>520</v>
      </c>
      <c r="B520" s="2" t="str">
        <f>IFERROR(__xludf.DUMMYFUNCTION("GOOGLETRANSLATE(A520, ""en"", ""mt"")"),"wirt")</f>
        <v>wirt</v>
      </c>
    </row>
    <row r="521" ht="15.75" customHeight="1">
      <c r="A521" s="2" t="s">
        <v>521</v>
      </c>
      <c r="B521" s="2" t="str">
        <f>IFERROR(__xludf.DUMMYFUNCTION("GOOGLETRANSLATE(A521, ""en"", ""mt"")"),"Biex tenfasizza l-akkademiċi fuq l-atletika")</f>
        <v>Biex tenfasizza l-akkademiċi fuq l-atletika</v>
      </c>
    </row>
    <row r="522" ht="15.75" customHeight="1">
      <c r="A522" s="2" t="s">
        <v>522</v>
      </c>
      <c r="B522" s="2" t="str">
        <f>IFERROR(__xludf.DUMMYFUNCTION("GOOGLETRANSLATE(A522, ""en"", ""mt"")"),"47 ° 39′N 9 ° 19′E / 47.650 ° N 9.317 ° E / 47.650; 9.317.")</f>
        <v>47 ° 39′N 9 ° 19′E / 47.650 ° N 9.317 ° E / 47.650; 9.317.</v>
      </c>
    </row>
    <row r="523" ht="15.75" customHeight="1">
      <c r="A523" s="2" t="s">
        <v>523</v>
      </c>
      <c r="B523" s="2" t="str">
        <f>IFERROR(__xludf.DUMMYFUNCTION("GOOGLETRANSLATE(A523, ""en"", ""mt"")"),"rati ogħla")</f>
        <v>rati ogħla</v>
      </c>
    </row>
    <row r="524" ht="15.75" customHeight="1">
      <c r="A524" s="2" t="s">
        <v>524</v>
      </c>
      <c r="B524" s="2" t="str">
        <f>IFERROR(__xludf.DUMMYFUNCTION("GOOGLETRANSLATE(A524, ""en"", ""mt"")"),"Kif xi studjużi jaraw l-użu tan-Nażisti tax-xogħol ta 'Luther?")</f>
        <v>Kif xi studjużi jaraw l-użu tan-Nażisti tax-xogħol ta 'Luther?</v>
      </c>
    </row>
    <row r="525" ht="15.75" customHeight="1">
      <c r="A525" s="2" t="s">
        <v>525</v>
      </c>
      <c r="B525" s="2" t="str">
        <f>IFERROR(__xludf.DUMMYFUNCTION("GOOGLETRANSLATE(A525, ""en"", ""mt"")"),"adenosine trifosfat")</f>
        <v>adenosine trifosfat</v>
      </c>
    </row>
    <row r="526" ht="15.75" customHeight="1">
      <c r="A526" s="2" t="s">
        <v>526</v>
      </c>
      <c r="B526" s="2" t="str">
        <f>IFERROR(__xludf.DUMMYFUNCTION("GOOGLETRANSLATE(A526, ""en"", ""mt"")"),"Ħafna klassijiet ta 'kumplessità huma definiti bl-użu tal-kunċett ta' tnaqqis. Tnaqqis huwa trasformazzjoni ta 'problema waħda fi problema oħra. Jaqbad il-kunċett informali ta 'problema għall-inqas diffiċli daqs problema oħra. Pereżempju, jekk problema x "&amp;"tista 'tissolva bl-użu ta' algoritmu għal y, X mhix iktar diffiċli minn y, u aħna ngħidu li X tnaqqas għal Y. Hemm ħafna tipi differenti ta 'tnaqqis, ibbażati fuq il-metodu ta' tnaqqis, bħal Tnaqqis tal-kok, tnaqqis tal-karp u tnaqqis tal-levin, u l-marbu"&amp;"t fuq il-kumplessità ta 'tnaqqis, bħal tnaqqis fil-ħin polinomjali jew tnaqqis fl-ispazju ta' log.")</f>
        <v>Ħafna klassijiet ta 'kumplessità huma definiti bl-użu tal-kunċett ta' tnaqqis. Tnaqqis huwa trasformazzjoni ta 'problema waħda fi problema oħra. Jaqbad il-kunċett informali ta 'problema għall-inqas diffiċli daqs problema oħra. Pereżempju, jekk problema x tista 'tissolva bl-użu ta' algoritmu għal y, X mhix iktar diffiċli minn y, u aħna ngħidu li X tnaqqas għal Y. Hemm ħafna tipi differenti ta 'tnaqqis, ibbażati fuq il-metodu ta' tnaqqis, bħal Tnaqqis tal-kok, tnaqqis tal-karp u tnaqqis tal-levin, u l-marbut fuq il-kumplessità ta 'tnaqqis, bħal tnaqqis fil-ħin polinomjali jew tnaqqis fl-ispazju ta' log.</v>
      </c>
    </row>
    <row r="527" ht="15.75" customHeight="1">
      <c r="A527" s="2" t="s">
        <v>527</v>
      </c>
      <c r="B527" s="2" t="str">
        <f>IFERROR(__xludf.DUMMYFUNCTION("GOOGLETRANSLATE(A527, ""en"", ""mt"")"),"Esperjenza NFL")</f>
        <v>Esperjenza NFL</v>
      </c>
    </row>
    <row r="528" ht="15.75" customHeight="1">
      <c r="A528" s="2" t="s">
        <v>528</v>
      </c>
      <c r="B528" s="2" t="str">
        <f>IFERROR(__xludf.DUMMYFUNCTION("GOOGLETRANSLATE(A528, ""en"", ""mt"")"),"B'kuntrast mar-rekwiżiti tal-prodott jew liġijiet oħra li jfixklu l-aċċess tas-suq, il-Qorti tal-Ġustizzja żviluppat preżunzjoni li ""l-arranġamenti tal-bejgħ"" tkun preżunta li ma jaqgħux fl-Artikolu 34 tat-TFEU, jekk japplikaw bl-istess mod lill-bejjieg"&amp;"ħa kollha, u affettwawhom fl-istess mod fil-fatt. Fil-Keck u Mithouard żewġ importaturi sostnew li l-prosekuzzjoni tagħhom taħt liġi tal-kompetizzjoni Franċiża, li ma ħalliethomx ibigħu l-birra tal-picon taħt prezz bl-ingrossa, kienet illegali. L-għan tal"&amp;"-liġi kien li jipprevjeni l-kompetizzjoni tal-griżmejn maqtugħin, u ma jfixklux il-kummerċ. Il-Qorti tal-Ġustizzja ddeċidiet, bħala ""fil-liġi u fil-fatt"" kienet ""arranġament ta 'bejgħ"" bl-istess mod applikabbli (mhux xi ħaġa li tibdel il-kontenut ta' "&amp;"prodott) kienet barra mill-ambitu tal-Artikolu 34, u għalhekk ma kellux għalfejn ikun iġġustifikat. Jista 'jinżamm arranġamenti ta' bejgħ biex ikollhom effett mhux ugwali ""fil-fatt"" partikolarment fejn negozjanti minn stat membru ieħor qed ifittxu li ji"&amp;"dħlu fis-suq, iżda hemm restrizzjonijiet fuq ir-reklamar u l-kummerċjalizzazzjoni. Fil-Konsumentombudsmannen v de Agostini, il-Qorti tal-Ġustizzja rrevediet projbizzjonijiet Żvediżi fuq ir-reklamar lil tfal taħt it-12-il sena, u riklami qarrieqa għal prod"&amp;"otti għall-kura tal-ġilda. Filwaqt li l-projbizzjonijiet baqgħu (ġustifikabbli skont l-Artikolu 36 jew bħala rekwiżit obbligatorju) il-qorti enfasizzat li projbizzjonijiet kompluti tal-kummerċ jistgħu jkunu sproporzjonati jekk ir-reklamar kien ""l-unika f"&amp;"orma effettiva ta 'promozzjoni li tippermetti [negozjant] biex jippenetra"" fis-suq. Fil-Konsumentombudsmannen v Gourmet AB il-qorti ssuġġeriet li projbizzjoni totali għar-reklamar tal-alkoħol fuq ir-radju, it-TV u fir-rivisti jistgħu jaqgħu taħt l-Artiko"&amp;"lu 34 fejn ir-reklamar kien l-uniku mod biex il-bejjiegħa jegħlbu l-konsumaturi ""prattiki soċjali tradizzjonali u għal drawwiet u drawwiet lokali tal-konsumaturi ""Biex jixtru l-prodotti tagħhom, iżda għal darb'oħra l-qrati nazzjonali jiddeċiedu jekk kie"&amp;"nx iġġustifikat skont l-Artikolu 36 biex jipproteġi s-saħħa pubblika. Taħt id-Direttiva dwar il-Prattiki Kummerċjali Inġusti, ir-restrizzjonijiet armonizzati tal-UE fuq ir-restrizzjonijiet fuq il-kummerċjalizzazzjoni u r-reklamar, biex tipprojbixxi li tgħ"&amp;"awweġ l-imġieba medja tal-konsumatur, hija qarrieqa jew aggressiva, u tistipula lista ta 'eżempji li jgħoddu bħala inġusti. Kulma jmur, l-istati jridu jagħtu rikonoxximent reċiproku lill-istandards ta 'regolament ta' xulxin, filwaqt li l-UE ppruvat tarmon"&amp;"izza l-ideali minimi ta 'l-aħjar prattika. L-attentat biex jgħollu l-istandards huwa ttamat li jevita ""razza għall-qiegħ"" regolatorja, filwaqt li jippermetti lill-konsumaturi aċċess għal oġġetti minn madwar il-kontinent.")</f>
        <v>B'kuntrast mar-rekwiżiti tal-prodott jew liġijiet oħra li jfixklu l-aċċess tas-suq, il-Qorti tal-Ġustizzja żviluppat preżunzjoni li "l-arranġamenti tal-bejgħ" tkun preżunta li ma jaqgħux fl-Artikolu 34 tat-TFEU, jekk japplikaw bl-istess mod lill-bejjiegħa kollha, u affettwawhom fl-istess mod fil-fatt. Fil-Keck u Mithouard żewġ importaturi sostnew li l-prosekuzzjoni tagħhom taħt liġi tal-kompetizzjoni Franċiża, li ma ħalliethomx ibigħu l-birra tal-picon taħt prezz bl-ingrossa, kienet illegali. L-għan tal-liġi kien li jipprevjeni l-kompetizzjoni tal-griżmejn maqtugħin, u ma jfixklux il-kummerċ. Il-Qorti tal-Ġustizzja ddeċidiet, bħala "fil-liġi u fil-fatt" kienet "arranġament ta 'bejgħ" bl-istess mod applikabbli (mhux xi ħaġa li tibdel il-kontenut ta' prodott) kienet barra mill-ambitu tal-Artikolu 34, u għalhekk ma kellux għalfejn ikun iġġustifikat. Jista 'jinżamm arranġamenti ta' bejgħ biex ikollhom effett mhux ugwali "fil-fatt" partikolarment fejn negozjanti minn stat membru ieħor qed ifittxu li jidħlu fis-suq, iżda hemm restrizzjonijiet fuq ir-reklamar u l-kummerċjalizzazzjoni. Fil-Konsumentombudsmannen v de Agostini, il-Qorti tal-Ġustizzja rrevediet projbizzjonijiet Żvediżi fuq ir-reklamar lil tfal taħt it-12-il sena, u riklami qarrieqa għal prodotti għall-kura tal-ġilda. Filwaqt li l-projbizzjonijiet baqgħu (ġustifikabbli skont l-Artikolu 36 jew bħala rekwiżit obbligatorju) il-qorti enfasizzat li projbizzjonijiet kompluti tal-kummerċ jistgħu jkunu sproporzjonati jekk ir-reklamar kien "l-unika forma effettiva ta 'promozzjoni li tippermetti [negozjant] biex jippenetra" fis-suq. Fil-Konsumentombudsmannen v Gourmet AB il-qorti ssuġġeriet li projbizzjoni totali għar-reklamar tal-alkoħol fuq ir-radju, it-TV u fir-rivisti jistgħu jaqgħu taħt l-Artikolu 34 fejn ir-reklamar kien l-uniku mod biex il-bejjiegħa jegħlbu l-konsumaturi "prattiki soċjali tradizzjonali u għal drawwiet u drawwiet lokali tal-konsumaturi "Biex jixtru l-prodotti tagħhom, iżda għal darb'oħra l-qrati nazzjonali jiddeċiedu jekk kienx iġġustifikat skont l-Artikolu 36 biex jipproteġi s-saħħa pubblika. Taħt id-Direttiva dwar il-Prattiki Kummerċjali Inġusti, ir-restrizzjonijiet armonizzati tal-UE fuq ir-restrizzjonijiet fuq il-kummerċjalizzazzjoni u r-reklamar, biex tipprojbixxi li tgħawweġ l-imġieba medja tal-konsumatur, hija qarrieqa jew aggressiva, u tistipula lista ta 'eżempji li jgħoddu bħala inġusti. Kulma jmur, l-istati jridu jagħtu rikonoxximent reċiproku lill-istandards ta 'regolament ta' xulxin, filwaqt li l-UE ppruvat tarmonizza l-ideali minimi ta 'l-aħjar prattika. L-attentat biex jgħollu l-istandards huwa ttamat li jevita "razza għall-qiegħ" regolatorja, filwaqt li jippermetti lill-konsumaturi aċċess għal oġġetti minn madwar il-kontinent.</v>
      </c>
    </row>
    <row r="529" ht="15.75" customHeight="1">
      <c r="A529" s="2" t="s">
        <v>529</v>
      </c>
      <c r="B529" s="2" t="str">
        <f>IFERROR(__xludf.DUMMYFUNCTION("GOOGLETRANSLATE(A529, ""en"", ""mt"")"),"Qorti Imperjali Pre-Heian")</f>
        <v>Qorti Imperjali Pre-Heian</v>
      </c>
    </row>
    <row r="530" ht="15.75" customHeight="1">
      <c r="A530" s="2" t="s">
        <v>530</v>
      </c>
      <c r="B530" s="2" t="str">
        <f>IFERROR(__xludf.DUMMYFUNCTION("GOOGLETRANSLATE(A530, ""en"", ""mt"")"),"Tip Nazzjonali")</f>
        <v>Tip Nazzjonali</v>
      </c>
    </row>
    <row r="531" ht="15.75" customHeight="1">
      <c r="A531" s="2" t="s">
        <v>531</v>
      </c>
      <c r="B531" s="2" t="str">
        <f>IFERROR(__xludf.DUMMYFUNCTION("GOOGLETRANSLATE(A531, ""en"", ""mt"")"),"NE1FM tnediet fit-8 ta 'Ġunju 2007, l-ewwel stazzjon tar-radju tal-komunità full-time fiż-żona. Newcastle Student Radio hija mmexxija minn studenti miż-żewġ universitajiet tal-belt, li jxandru mill-bini tal-unjoni tal-istudenti tal-Università ta ’Newcastl"&amp;"e matul iż-żmien. Radio Tyneside kien is-servizz tar-radju volontarju għall-isptarijiet għall-biċċa l-kbira tal-isptarijiet madwar Newcastle u Gateshead mill-1951, ixandar fuq Hospedia u online. Il-belt għandha wkoll stazzjon tal-lollipop tar-radju bbażat"&amp;" fl-Isptar tat-Tfal tal-Gran North fin-Newcastle Royal Victoria Infirmary.")</f>
        <v>NE1FM tnediet fit-8 ta 'Ġunju 2007, l-ewwel stazzjon tar-radju tal-komunità full-time fiż-żona. Newcastle Student Radio hija mmexxija minn studenti miż-żewġ universitajiet tal-belt, li jxandru mill-bini tal-unjoni tal-istudenti tal-Università ta ’Newcastle matul iż-żmien. Radio Tyneside kien is-servizz tar-radju volontarju għall-isptarijiet għall-biċċa l-kbira tal-isptarijiet madwar Newcastle u Gateshead mill-1951, ixandar fuq Hospedia u online. Il-belt għandha wkoll stazzjon tal-lollipop tar-radju bbażat fl-Isptar tat-Tfal tal-Gran North fin-Newcastle Royal Victoria Infirmary.</v>
      </c>
    </row>
    <row r="532" ht="15.75" customHeight="1">
      <c r="A532" s="2" t="s">
        <v>532</v>
      </c>
      <c r="B532" s="2" t="str">
        <f>IFERROR(__xludf.DUMMYFUNCTION("GOOGLETRANSLATE(A532, ""en"", ""mt"")"),"X'għandhom bżonn il-pjanti C4?")</f>
        <v>X'għandhom bżonn il-pjanti C4?</v>
      </c>
    </row>
    <row r="533" ht="15.75" customHeight="1">
      <c r="A533" s="2" t="s">
        <v>533</v>
      </c>
      <c r="B533" s="2" t="str">
        <f>IFERROR(__xludf.DUMMYFUNCTION("GOOGLETRANSLATE(A533, ""en"", ""mt"")"),"Kif huma allokati n-numri totali ta 'siġġijiet lill-partijiet?")</f>
        <v>Kif huma allokati n-numri totali ta 'siġġijiet lill-partijiet?</v>
      </c>
    </row>
    <row r="534" ht="15.75" customHeight="1">
      <c r="A534" s="2" t="s">
        <v>534</v>
      </c>
      <c r="B534" s="2" t="str">
        <f>IFERROR(__xludf.DUMMYFUNCTION("GOOGLETRANSLATE(A534, ""en"", ""mt"")"),"X’għamel Kublai biex jipprevjeni l-ġuħ?")</f>
        <v>X’għamel Kublai biex jipprevjeni l-ġuħ?</v>
      </c>
    </row>
    <row r="535" ht="15.75" customHeight="1">
      <c r="A535" s="2" t="s">
        <v>535</v>
      </c>
      <c r="B535" s="2" t="str">
        <f>IFERROR(__xludf.DUMMYFUNCTION("GOOGLETRANSLATE(A535, ""en"", ""mt"")"),"Fit-tifqigħa tal-Ewwel Gwerra Dinjija f'Awwissu tal-1914, il-gvernaturi tal-Afrika tal-Lvant Brittanika (kif kien ġeneralment magħruf il-protettorat) u l-Afrika tal-Lvant Ġermaniża qablu waqfien f'attentat biex iżommu l-kolonji żgħażagħ barra mill-ostilit"&amp;"ajiet diretti. Lt Col Paul von Lettow-Vorbeck ħa l-kmand tal-forzi militari Ġermaniżi, determinat li jorbot kemm jista 'jkun riżorsi Ingliżi. Maqtugħ kompletament mill-Ġermanja, Von Lettow mexxa kampanja effettiva ta 'gwerra tal-gwerillieri, jgħix barra m"&amp;"ill-art, jaqbad provvisti Ingliżi u baqa' mingħajr telf. Huwa eventwalment ċeda fit-Tramuntana tar-Rhodesia (illum iż-Żambja) erbatax-il jum wara li l-armistizju ġie ffirmat fl-1918.")</f>
        <v>Fit-tifqigħa tal-Ewwel Gwerra Dinjija f'Awwissu tal-1914, il-gvernaturi tal-Afrika tal-Lvant Brittanika (kif kien ġeneralment magħruf il-protettorat) u l-Afrika tal-Lvant Ġermaniża qablu waqfien f'attentat biex iżommu l-kolonji żgħażagħ barra mill-ostilitajiet diretti. Lt Col Paul von Lettow-Vorbeck ħa l-kmand tal-forzi militari Ġermaniżi, determinat li jorbot kemm jista 'jkun riżorsi Ingliżi. Maqtugħ kompletament mill-Ġermanja, Von Lettow mexxa kampanja effettiva ta 'gwerra tal-gwerillieri, jgħix barra mill-art, jaqbad provvisti Ingliżi u baqa' mingħajr telf. Huwa eventwalment ċeda fit-Tramuntana tar-Rhodesia (illum iż-Żambja) erbatax-il jum wara li l-armistizju ġie ffirmat fl-1918.</v>
      </c>
    </row>
    <row r="536" ht="15.75" customHeight="1">
      <c r="A536" s="2" t="s">
        <v>536</v>
      </c>
      <c r="B536" s="2" t="str">
        <f>IFERROR(__xludf.DUMMYFUNCTION("GOOGLETRANSLATE(A536, ""en"", ""mt"")"),"Skond Ellen Churchill Semple liema tip ta 'klima kien meħtieġ biex il-bnedmin isiru kompletament umani?")</f>
        <v>Skond Ellen Churchill Semple liema tip ta 'klima kien meħtieġ biex il-bnedmin isiru kompletament umani?</v>
      </c>
    </row>
    <row r="537" ht="15.75" customHeight="1">
      <c r="A537" s="2" t="s">
        <v>537</v>
      </c>
      <c r="B537" s="2" t="str">
        <f>IFERROR(__xludf.DUMMYFUNCTION("GOOGLETRANSLATE(A537, ""en"", ""mt"")"),"Ċentru tal-Quddiesa")</f>
        <v>Ċentru tal-Quddiesa</v>
      </c>
    </row>
    <row r="538" ht="15.75" customHeight="1">
      <c r="A538" s="2" t="s">
        <v>538</v>
      </c>
      <c r="B538" s="2" t="str">
        <f>IFERROR(__xludf.DUMMYFUNCTION("GOOGLETRANSLATE(A538, ""en"", ""mt"")"),"Il-ftehim il-ġdid jinkludi vidjow fuq talba u definizzjoni għolja?")</f>
        <v>Il-ftehim il-ġdid jinkludi vidjow fuq talba u definizzjoni għolja?</v>
      </c>
    </row>
    <row r="539" ht="15.75" customHeight="1">
      <c r="A539" s="2" t="s">
        <v>539</v>
      </c>
      <c r="B539" s="2" t="str">
        <f>IFERROR(__xludf.DUMMYFUNCTION("GOOGLETRANSLATE(A539, ""en"", ""mt"")"),"Komposti ta 'ossiġenu b'potenzjal ossidattiv għoli")</f>
        <v>Komposti ta 'ossiġenu b'potenzjal ossidattiv għoli</v>
      </c>
    </row>
    <row r="540" ht="15.75" customHeight="1">
      <c r="A540" s="2" t="s">
        <v>540</v>
      </c>
      <c r="B540" s="2" t="str">
        <f>IFERROR(__xludf.DUMMYFUNCTION("GOOGLETRANSLATE(A540, ""en"", ""mt"")"),"f'pari ta 'reazzjoni ta' azzjoni")</f>
        <v>f'pari ta 'reazzjoni ta' azzjoni</v>
      </c>
    </row>
    <row r="541" ht="15.75" customHeight="1">
      <c r="A541" s="2" t="s">
        <v>541</v>
      </c>
      <c r="B541" s="2" t="str">
        <f>IFERROR(__xludf.DUMMYFUNCTION("GOOGLETRANSLATE(A541, ""en"", ""mt"")"),"kemm jekk kien bil-kontenut tagħhom.")</f>
        <v>kemm jekk kien bil-kontenut tagħhom.</v>
      </c>
    </row>
    <row r="542" ht="15.75" customHeight="1">
      <c r="A542" s="2" t="s">
        <v>542</v>
      </c>
      <c r="B542" s="2" t="str">
        <f>IFERROR(__xludf.DUMMYFUNCTION("GOOGLETRANSLATE(A542, ""en"", ""mt"")"),"Liema dizzjunarju fih definizzjoni mhux vjolenti?")</f>
        <v>Liema dizzjunarju fih definizzjoni mhux vjolenti?</v>
      </c>
    </row>
    <row r="543" ht="15.75" customHeight="1">
      <c r="A543" s="2" t="s">
        <v>543</v>
      </c>
      <c r="B543" s="2" t="str">
        <f>IFERROR(__xludf.DUMMYFUNCTION("GOOGLETRANSLATE(A543, ""en"", ""mt"")"),"Anke jekk xi provi ta 'teoremi teoretiċi ta' kumplessità jassumu regolarment xi għażla konkreta ta 'kodifikazzjoni ta' input, wieħed jipprova jżomm id-diskussjoni astratta biżżejjed biex tkun indipendenti mill-għażla tal-kodifikazzjoni. Dan jista 'jinkise"&amp;"b billi jiġi żgurat li rappreżentazzjonijiet differenti jistgħu jiġu trasformati f'xulxin b'mod effiċjenti.")</f>
        <v>Anke jekk xi provi ta 'teoremi teoretiċi ta' kumplessità jassumu regolarment xi għażla konkreta ta 'kodifikazzjoni ta' input, wieħed jipprova jżomm id-diskussjoni astratta biżżejjed biex tkun indipendenti mill-għażla tal-kodifikazzjoni. Dan jista 'jinkiseb billi jiġi żgurat li rappreżentazzjonijiet differenti jistgħu jiġu trasformati f'xulxin b'mod effiċjenti.</v>
      </c>
    </row>
    <row r="544" ht="15.75" customHeight="1">
      <c r="A544" s="2" t="s">
        <v>544</v>
      </c>
      <c r="B544" s="2" t="str">
        <f>IFERROR(__xludf.DUMMYFUNCTION("GOOGLETRANSLATE(A544, ""en"", ""mt"")"),"Futbol tas-Sibt bil-Lejl")</f>
        <v>Futbol tas-Sibt bil-Lejl</v>
      </c>
    </row>
    <row r="545" ht="15.75" customHeight="1">
      <c r="A545" s="2" t="s">
        <v>545</v>
      </c>
      <c r="B545" s="2" t="str">
        <f>IFERROR(__xludf.DUMMYFUNCTION("GOOGLETRANSLATE(A545, ""en"", ""mt"")"),"X'inhu moviment ta 'qawmien mill-ġdid Iżlamiku?")</f>
        <v>X'inhu moviment ta 'qawmien mill-ġdid Iżlamiku?</v>
      </c>
    </row>
    <row r="546" ht="15.75" customHeight="1">
      <c r="A546" s="2" t="s">
        <v>546</v>
      </c>
      <c r="B546" s="2" t="str">
        <f>IFERROR(__xludf.DUMMYFUNCTION("GOOGLETRANSLATE(A546, ""en"", ""mt"")"),"Fejn tgħallem dan il-mexxej favur ir-riforma?")</f>
        <v>Fejn tgħallem dan il-mexxej favur ir-riforma?</v>
      </c>
    </row>
    <row r="547" ht="15.75" customHeight="1">
      <c r="A547" s="2" t="s">
        <v>547</v>
      </c>
      <c r="B547" s="2" t="str">
        <f>IFERROR(__xludf.DUMMYFUNCTION("GOOGLETRANSLATE(A547, ""en"", ""mt"")"),"Kif kienu l-Ingliżi kapaċi jaqtgħu l-provvisti lil Louisbourg?")</f>
        <v>Kif kienu l-Ingliżi kapaċi jaqtgħu l-provvisti lil Louisbourg?</v>
      </c>
    </row>
    <row r="548" ht="15.75" customHeight="1">
      <c r="A548" s="2" t="s">
        <v>548</v>
      </c>
      <c r="B548" s="2" t="str">
        <f>IFERROR(__xludf.DUMMYFUNCTION("GOOGLETRANSLATE(A548, ""en"", ""mt"")"),"Il-kummentarju ta 'Luther dwar il-Ġenesi fih silta li tikkonkludi li ""r-ruħ ma torqodx (anima non sic dormit), iżda tqum (sed vigilat) u tesperjenza viżjonijiet"". Francis Blackburne fl-1765 argumenta li John Jortin qara ħażin dan u siltiet oħra minn Lut"&amp;"her, filwaqt li Gottfried Fritschel irrimarka fl-1867 li fil-fatt jirreferi għar-ruħ ta 'raġel ""f'din il-ħajja"" (Homo Enim f'Hac Vita) għajjien mix-xogħol ta' kuljum tiegħu (Defatigus Diurno Labore) li bil-lejl jidħol fis-sodda tiegħu (sub noctem intrat"&amp;" fil-cubiculum suum) u li l-irqad tiegħu huwa interrott mill-ħolm.")</f>
        <v>Il-kummentarju ta 'Luther dwar il-Ġenesi fih silta li tikkonkludi li "r-ruħ ma torqodx (anima non sic dormit), iżda tqum (sed vigilat) u tesperjenza viżjonijiet". Francis Blackburne fl-1765 argumenta li John Jortin qara ħażin dan u siltiet oħra minn Luther, filwaqt li Gottfried Fritschel irrimarka fl-1867 li fil-fatt jirreferi għar-ruħ ta 'raġel "f'din il-ħajja" (Homo Enim f'Hac Vita) għajjien mix-xogħol ta' kuljum tiegħu (Defatigus Diurno Labore) li bil-lejl jidħol fis-sodda tiegħu (sub noctem intrat fil-cubiculum suum) u li l-irqad tiegħu huwa interrott mill-ħolm.</v>
      </c>
    </row>
    <row r="549" ht="15.75" customHeight="1">
      <c r="A549" s="2" t="s">
        <v>549</v>
      </c>
      <c r="B549" s="2" t="str">
        <f>IFERROR(__xludf.DUMMYFUNCTION("GOOGLETRANSLATE(A549, ""en"", ""mt"")"),"Ix-Xmara Isfar")</f>
        <v>Ix-Xmara Isfar</v>
      </c>
    </row>
    <row r="550" ht="15.75" customHeight="1">
      <c r="A550" s="2" t="s">
        <v>550</v>
      </c>
      <c r="B550" s="2" t="str">
        <f>IFERROR(__xludf.DUMMYFUNCTION("GOOGLETRANSLATE(A550, ""en"", ""mt"")"),"ħin u ħażna")</f>
        <v>ħin u ħażna</v>
      </c>
    </row>
    <row r="551" ht="15.75" customHeight="1">
      <c r="A551" s="2" t="s">
        <v>551</v>
      </c>
      <c r="B551" s="2" t="str">
        <f>IFERROR(__xludf.DUMMYFUNCTION("GOOGLETRANSLATE(A551, ""en"", ""mt"")"),"Liema nies x'aktarx jużaw kliem bħal ""Howay"" u ""Hadaway""?")</f>
        <v>Liema nies x'aktarx jużaw kliem bħal "Howay" u "Hadaway"?</v>
      </c>
    </row>
    <row r="552" ht="15.75" customHeight="1">
      <c r="A552" s="2" t="s">
        <v>552</v>
      </c>
      <c r="B552" s="2" t="str">
        <f>IFERROR(__xludf.DUMMYFUNCTION("GOOGLETRANSLATE(A552, ""en"", ""mt"")"),"41 ° C.")</f>
        <v>41 ° C.</v>
      </c>
    </row>
    <row r="553" ht="15.75" customHeight="1">
      <c r="A553" s="2" t="s">
        <v>553</v>
      </c>
      <c r="B553" s="2" t="str">
        <f>IFERROR(__xludf.DUMMYFUNCTION("GOOGLETRANSLATE(A553, ""en"", ""mt"")"),"Artikolu 101 (1)")</f>
        <v>Artikolu 101 (1)</v>
      </c>
    </row>
    <row r="554" ht="15.75" customHeight="1">
      <c r="A554" s="2" t="s">
        <v>554</v>
      </c>
      <c r="B554" s="2" t="str">
        <f>IFERROR(__xludf.DUMMYFUNCTION("GOOGLETRANSLATE(A554, ""en"", ""mt"")"),"Aktar tard fil-ħajja, Tesla għamlet talbiet dwar arma ""Teleforce"" wara li studjat il-ġeneratur ta 'Van de Graaff. L-istampa rreferiet b'mod varjabbli għaliha bħala ""Ray Peace"" jew Death Ray. Tesla ddeskriviet l-arma bħala li kapaċi tintuża kontra infa"&amp;"nterija bbażata fuq l-art jew għal skopijiet ta 'anti-ajruplani.")</f>
        <v>Aktar tard fil-ħajja, Tesla għamlet talbiet dwar arma "Teleforce" wara li studjat il-ġeneratur ta 'Van de Graaff. L-istampa rreferiet b'mod varjabbli għaliha bħala "Ray Peace" jew Death Ray. Tesla ddeskriviet l-arma bħala li kapaċi tintuża kontra infanterija bbażata fuq l-art jew għal skopijiet ta 'anti-ajruplani.</v>
      </c>
    </row>
    <row r="555" ht="15.75" customHeight="1">
      <c r="A555" s="2" t="s">
        <v>555</v>
      </c>
      <c r="B555" s="2" t="str">
        <f>IFERROR(__xludf.DUMMYFUNCTION("GOOGLETRANSLATE(A555, ""en"", ""mt"")"),"raġonevolment tajjeb")</f>
        <v>raġonevolment tajjeb</v>
      </c>
    </row>
    <row r="556" ht="15.75" customHeight="1">
      <c r="A556" s="2" t="s">
        <v>556</v>
      </c>
      <c r="B556" s="2" t="str">
        <f>IFERROR(__xludf.DUMMYFUNCTION("GOOGLETRANSLATE(A556, ""en"", ""mt"")"),"fit-triq lura lejn Samarkand")</f>
        <v>fit-triq lura lejn Samarkand</v>
      </c>
    </row>
    <row r="557" ht="15.75" customHeight="1">
      <c r="A557" s="2" t="s">
        <v>557</v>
      </c>
      <c r="B557" s="2" t="str">
        <f>IFERROR(__xludf.DUMMYFUNCTION("GOOGLETRANSLATE(A557, ""en"", ""mt"")"),"Meta bdiet is-serje Sarah Jane?")</f>
        <v>Meta bdiet is-serje Sarah Jane?</v>
      </c>
    </row>
    <row r="558" ht="15.75" customHeight="1">
      <c r="A558" s="2" t="s">
        <v>558</v>
      </c>
      <c r="B558" s="2" t="str">
        <f>IFERROR(__xludf.DUMMYFUNCTION("GOOGLETRANSLATE(A558, ""en"", ""mt"")"),"X'inhu fattur wieħed li jżid l-importanza tal-ispiżerija li twettaq f'livell għoli?")</f>
        <v>X'inhu fattur wieħed li jżid l-importanza tal-ispiżerija li twettaq f'livell għoli?</v>
      </c>
    </row>
    <row r="559" ht="15.75" customHeight="1">
      <c r="A559" s="2" t="s">
        <v>559</v>
      </c>
      <c r="B559" s="2" t="str">
        <f>IFERROR(__xludf.DUMMYFUNCTION("GOOGLETRANSLATE(A559, ""en"", ""mt"")"),"Għerq kwadru ta 'n")</f>
        <v>Għerq kwadru ta 'n</v>
      </c>
    </row>
    <row r="560" ht="15.75" customHeight="1">
      <c r="A560" s="2" t="s">
        <v>560</v>
      </c>
      <c r="B560" s="2" t="str">
        <f>IFERROR(__xludf.DUMMYFUNCTION("GOOGLETRANSLATE(A560, ""en"", ""mt"")"),"jispira")</f>
        <v>jispira</v>
      </c>
    </row>
    <row r="561" ht="15.75" customHeight="1">
      <c r="A561" s="2" t="s">
        <v>561</v>
      </c>
      <c r="B561" s="2" t="str">
        <f>IFERROR(__xludf.DUMMYFUNCTION("GOOGLETRANSLATE(A561, ""en"", ""mt"")"),"tmiem is-seklu 19")</f>
        <v>tmiem is-seklu 19</v>
      </c>
    </row>
    <row r="562" ht="15.75" customHeight="1">
      <c r="A562" s="2" t="s">
        <v>562</v>
      </c>
      <c r="B562" s="2" t="str">
        <f>IFERROR(__xludf.DUMMYFUNCTION("GOOGLETRANSLATE(A562, ""en"", ""mt"")"),"Għaliex inbidel il-kejl tar-Rhine?")</f>
        <v>Għaliex inbidel il-kejl tar-Rhine?</v>
      </c>
    </row>
    <row r="563" ht="15.75" customHeight="1">
      <c r="A563" s="2" t="s">
        <v>563</v>
      </c>
      <c r="B563" s="2" t="str">
        <f>IFERROR(__xludf.DUMMYFUNCTION("GOOGLETRANSLATE(A563, ""en"", ""mt"")"),"Liġi Internazzjonali")</f>
        <v>Liġi Internazzjonali</v>
      </c>
    </row>
    <row r="564" ht="15.75" customHeight="1">
      <c r="A564" s="2" t="s">
        <v>564</v>
      </c>
      <c r="B564" s="2" t="str">
        <f>IFERROR(__xludf.DUMMYFUNCTION("GOOGLETRANSLATE(A564, ""en"", ""mt"")"),"Hemm ukoll ħafna postijiet li jfakkru l-istorja erojka ta 'Varsavja. Pawiak, ħabs infami Ġermaniż ta 'Gestapo issa okkupat minn mausoleum ta' memorja tal-martirju u l-mużew, huwa biss il-bidu ta 'mixja fit-traċċi tal-belt erojka. Iċ-Ċittadella ta ’Varsavj"&amp;"a, fortifikazzjoni impressjonanti tas-seklu 19 mibnija wara t-telfa tar-rewwixta ta’ Novembru, kienet post ta ’martri għall-Pollakki. Monument importanti ieħor, l-istatwa ta 'ftit ribelli li tinsab fis-swar tal-belt il-qadima, tikkommemora lit-tfal li ser"&amp;"vew bħala messaġġiera u truppi ta' quddiem fir-rewwixta ta 'Varsavja, filwaqt li l-impressjonanti Monument ta' Varsavja minn Wincenty Kućma ġie mtella 'fil-memorja tal-ikbar insurrezzjoni tat-Tieni Gwerra Dinjija.")</f>
        <v>Hemm ukoll ħafna postijiet li jfakkru l-istorja erojka ta 'Varsavja. Pawiak, ħabs infami Ġermaniż ta 'Gestapo issa okkupat minn mausoleum ta' memorja tal-martirju u l-mużew, huwa biss il-bidu ta 'mixja fit-traċċi tal-belt erojka. Iċ-Ċittadella ta ’Varsavja, fortifikazzjoni impressjonanti tas-seklu 19 mibnija wara t-telfa tar-rewwixta ta’ Novembru, kienet post ta ’martri għall-Pollakki. Monument importanti ieħor, l-istatwa ta 'ftit ribelli li tinsab fis-swar tal-belt il-qadima, tikkommemora lit-tfal li servew bħala messaġġiera u truppi ta' quddiem fir-rewwixta ta 'Varsavja, filwaqt li l-impressjonanti Monument ta' Varsavja minn Wincenty Kućma ġie mtella 'fil-memorja tal-ikbar insurrezzjoni tat-Tieni Gwerra Dinjija.</v>
      </c>
    </row>
    <row r="565" ht="15.75" customHeight="1">
      <c r="A565" s="2" t="s">
        <v>565</v>
      </c>
      <c r="B565" s="2" t="str">
        <f>IFERROR(__xludf.DUMMYFUNCTION("GOOGLETRANSLATE(A565, ""en"", ""mt"")"),"X'se tkun il-produzzjoni għal membru tal-lingwa ta 'problema ta' deċiżjoni?")</f>
        <v>X'se tkun il-produzzjoni għal membru tal-lingwa ta 'problema ta' deċiżjoni?</v>
      </c>
    </row>
    <row r="566" ht="15.75" customHeight="1">
      <c r="A566" s="2" t="s">
        <v>566</v>
      </c>
      <c r="B566" s="2" t="str">
        <f>IFERROR(__xludf.DUMMYFUNCTION("GOOGLETRANSLATE(A566, ""en"", ""mt"")"),"Liema bini mis-seklu 19 inqered bejn l-1950 u s-snin 1960?")</f>
        <v>Liema bini mis-seklu 19 inqered bejn l-1950 u s-snin 1960?</v>
      </c>
    </row>
    <row r="567" ht="15.75" customHeight="1">
      <c r="A567" s="2" t="s">
        <v>567</v>
      </c>
      <c r="B567" s="2" t="str">
        <f>IFERROR(__xludf.DUMMYFUNCTION("GOOGLETRANSLATE(A567, ""en"", ""mt"")"),"Fl-2005, bejn wieħed u ieħor kemm kienu membri fl-UMC?")</f>
        <v>Fl-2005, bejn wieħed u ieħor kemm kienu membri fl-UMC?</v>
      </c>
    </row>
    <row r="568" ht="15.75" customHeight="1">
      <c r="A568" s="2" t="s">
        <v>568</v>
      </c>
      <c r="B568" s="2" t="str">
        <f>IFERROR(__xludf.DUMMYFUNCTION("GOOGLETRANSLATE(A568, ""en"", ""mt"")"),"Uffiċċju tal-Prinċipal")</f>
        <v>Uffiċċju tal-Prinċipal</v>
      </c>
    </row>
    <row r="569" ht="15.75" customHeight="1">
      <c r="A569" s="2" t="s">
        <v>569</v>
      </c>
      <c r="B569" s="2" t="str">
        <f>IFERROR(__xludf.DUMMYFUNCTION("GOOGLETRANSLATE(A569, ""en"", ""mt"")"),"it-tieni repubblika")</f>
        <v>it-tieni repubblika</v>
      </c>
    </row>
    <row r="570" ht="15.75" customHeight="1">
      <c r="A570" s="2" t="s">
        <v>570</v>
      </c>
      <c r="B570" s="2" t="str">
        <f>IFERROR(__xludf.DUMMYFUNCTION("GOOGLETRANSLATE(A570, ""en"", ""mt"")"),"te, prodotti ortikulturali, u kafè")</f>
        <v>te, prodotti ortikulturali, u kafè</v>
      </c>
    </row>
    <row r="571" ht="15.75" customHeight="1">
      <c r="A571" s="2" t="s">
        <v>571</v>
      </c>
      <c r="B571" s="2" t="str">
        <f>IFERROR(__xludf.DUMMYFUNCTION("GOOGLETRANSLATE(A571, ""en"", ""mt"")"),"1964 u 1968")</f>
        <v>1964 u 1968</v>
      </c>
    </row>
    <row r="572" ht="15.75" customHeight="1">
      <c r="A572" s="2" t="s">
        <v>572</v>
      </c>
      <c r="B572" s="2" t="str">
        <f>IFERROR(__xludf.DUMMYFUNCTION("GOOGLETRANSLATE(A572, ""en"", ""mt"")"),"Standards tal-kurrikulu")</f>
        <v>Standards tal-kurrikulu</v>
      </c>
    </row>
    <row r="573" ht="15.75" customHeight="1">
      <c r="A573" s="2" t="s">
        <v>573</v>
      </c>
      <c r="B573" s="2" t="str">
        <f>IFERROR(__xludf.DUMMYFUNCTION("GOOGLETRANSLATE(A573, ""en"", ""mt"")"),"Kif xi kultant jissejjaħ iċ-ċiklu Rankine?")</f>
        <v>Kif xi kultant jissejjaħ iċ-ċiklu Rankine?</v>
      </c>
    </row>
    <row r="574" ht="15.75" customHeight="1">
      <c r="A574" s="2" t="s">
        <v>574</v>
      </c>
      <c r="B574" s="2" t="str">
        <f>IFERROR(__xludf.DUMMYFUNCTION("GOOGLETRANSLATE(A574, ""en"", ""mt"")"),"Estensjoni tal-Ferrovija tal-Kosta tal-Lvant tal-Florida Aktar fin-Nofsinhar")</f>
        <v>Estensjoni tal-Ferrovija tal-Kosta tal-Lvant tal-Florida Aktar fin-Nofsinhar</v>
      </c>
    </row>
    <row r="575" ht="15.75" customHeight="1">
      <c r="A575" s="2" t="s">
        <v>575</v>
      </c>
      <c r="B575" s="2" t="str">
        <f>IFERROR(__xludf.DUMMYFUNCTION("GOOGLETRANSLATE(A575, ""en"", ""mt"")"),"Id-domanda għal akkomodazzjoni ta 'kwalità ogħla żdiedet")</f>
        <v>Id-domanda għal akkomodazzjoni ta 'kwalità ogħla żdiedet</v>
      </c>
    </row>
    <row r="576" ht="15.75" customHeight="1">
      <c r="A576" s="2" t="s">
        <v>576</v>
      </c>
      <c r="B576" s="2" t="str">
        <f>IFERROR(__xludf.DUMMYFUNCTION("GOOGLETRANSLATE(A576, ""en"", ""mt"")"),"Pjanċi tal-għawm")</f>
        <v>Pjanċi tal-għawm</v>
      </c>
    </row>
    <row r="577" ht="15.75" customHeight="1">
      <c r="A577" s="2" t="s">
        <v>577</v>
      </c>
      <c r="B577" s="2" t="str">
        <f>IFERROR(__xludf.DUMMYFUNCTION("GOOGLETRANSLATE(A577, ""en"", ""mt"")"),"Sittin fil-mija")</f>
        <v>Sittin fil-mija</v>
      </c>
    </row>
    <row r="578" ht="15.75" customHeight="1">
      <c r="A578" s="2" t="s">
        <v>578</v>
      </c>
      <c r="B578" s="2" t="str">
        <f>IFERROR(__xludf.DUMMYFUNCTION("GOOGLETRANSLATE(A578, ""en"", ""mt"")"),"Kwalità ta 'istituzzjonijiet ta' pajjiż u livelli għoljin ta 'edukazzjoni")</f>
        <v>Kwalità ta 'istituzzjonijiet ta' pajjiż u livelli għoljin ta 'edukazzjoni</v>
      </c>
    </row>
    <row r="579" ht="15.75" customHeight="1">
      <c r="A579" s="2" t="s">
        <v>579</v>
      </c>
      <c r="B579" s="2" t="str">
        <f>IFERROR(__xludf.DUMMYFUNCTION("GOOGLETRANSLATE(A579, ""en"", ""mt"")"),"Kummissjoni tal-Verità, il-Ġustizzja u r-Rikonċiljazzjoni")</f>
        <v>Kummissjoni tal-Verità, il-Ġustizzja u r-Rikonċiljazzjoni</v>
      </c>
    </row>
    <row r="580" ht="15.75" customHeight="1">
      <c r="A580" s="2" t="s">
        <v>580</v>
      </c>
      <c r="B580" s="2" t="str">
        <f>IFERROR(__xludf.DUMMYFUNCTION("GOOGLETRANSLATE(A580, ""en"", ""mt"")"),"induzzjoni")</f>
        <v>induzzjoni</v>
      </c>
    </row>
    <row r="581" ht="15.75" customHeight="1">
      <c r="A581" s="2" t="s">
        <v>581</v>
      </c>
      <c r="B581" s="2" t="str">
        <f>IFERROR(__xludf.DUMMYFUNCTION("GOOGLETRANSLATE(A581, ""en"", ""mt"")"),"Il-popolazzjoni Franċiża kienet tgħodd madwar 75,000 u kienet ikkonċentrata ħafna tul il-Wied tax-Xmara St Lawrence, b'xi wħud ukoll f'Acadia (New Brunswick tal-lum u partijiet ta 'Nova Scotia, inkluża île Royale (preżenti l-ġurnata Cape Breton Island)). "&amp;"Anqas għexet fi New Orleans, Biloxi, Mississippi, Mobile, Alabama u insedjamenti żgħar fil-pajjiż ta 'l-Illinois, li tgħannqu n-naħa tal-lvant tax-Xmara Mississippi u t-tributarji tagħha. In-negozjanti tal-pil Franċiżi u n-nassaba vvjaġġaw madwar il-Water"&amp;"sheds ta ’San Lawrenz u l-Mississippi, għamlu negozju ma’ tribujiet lokali, u ħafna drabi żżewġu nisa Indjani. In-negozjanti żżewġu ibniet ta 'kapijiet, u ħolqu unjonijiet ta' grad għoli.")</f>
        <v>Il-popolazzjoni Franċiża kienet tgħodd madwar 75,000 u kienet ikkonċentrata ħafna tul il-Wied tax-Xmara St Lawrence, b'xi wħud ukoll f'Acadia (New Brunswick tal-lum u partijiet ta 'Nova Scotia, inkluża île Royale (preżenti l-ġurnata Cape Breton Island)). Anqas għexet fi New Orleans, Biloxi, Mississippi, Mobile, Alabama u insedjamenti żgħar fil-pajjiż ta 'l-Illinois, li tgħannqu n-naħa tal-lvant tax-Xmara Mississippi u t-tributarji tagħha. In-negozjanti tal-pil Franċiżi u n-nassaba vvjaġġaw madwar il-Watersheds ta ’San Lawrenz u l-Mississippi, għamlu negozju ma’ tribujiet lokali, u ħafna drabi żżewġu nisa Indjani. In-negozjanti żżewġu ibniet ta 'kapijiet, u ħolqu unjonijiet ta' grad għoli.</v>
      </c>
    </row>
    <row r="582" ht="15.75" customHeight="1">
      <c r="A582" s="2" t="s">
        <v>582</v>
      </c>
      <c r="B582" s="2" t="str">
        <f>IFERROR(__xludf.DUMMYFUNCTION("GOOGLETRANSLATE(A582, ""en"", ""mt"")"),"tobba")</f>
        <v>tobba</v>
      </c>
    </row>
    <row r="583" ht="15.75" customHeight="1">
      <c r="A583" s="2" t="s">
        <v>583</v>
      </c>
      <c r="B583" s="2" t="str">
        <f>IFERROR(__xludf.DUMMYFUNCTION("GOOGLETRANSLATE(A583, ""en"", ""mt"")"),"Meta t-tribujiet Ġermaniċi qasmu r-Renu biex jemigraw?")</f>
        <v>Meta t-tribujiet Ġermaniċi qasmu r-Renu biex jemigraw?</v>
      </c>
    </row>
    <row r="584" ht="15.75" customHeight="1">
      <c r="A584" s="2" t="s">
        <v>584</v>
      </c>
      <c r="B584" s="2" t="str">
        <f>IFERROR(__xludf.DUMMYFUNCTION("GOOGLETRANSLATE(A584, ""en"", ""mt"")"),"Ġeneraturi ta 'ossiġnu kimiku")</f>
        <v>Ġeneraturi ta 'ossiġnu kimiku</v>
      </c>
    </row>
    <row r="585" ht="15.75" customHeight="1">
      <c r="A585" s="2" t="s">
        <v>585</v>
      </c>
      <c r="B585" s="2" t="str">
        <f>IFERROR(__xludf.DUMMYFUNCTION("GOOGLETRANSLATE(A585, ""en"", ""mt"")"),"Mill-14 sas-Seklu 19")</f>
        <v>Mill-14 sas-Seklu 19</v>
      </c>
    </row>
    <row r="586" ht="15.75" customHeight="1">
      <c r="A586" s="2" t="s">
        <v>586</v>
      </c>
      <c r="B586" s="2" t="str">
        <f>IFERROR(__xludf.DUMMYFUNCTION("GOOGLETRANSLATE(A586, ""en"", ""mt"")"),"Huwa seta 'jħoss uġigħ qawwi qawwi fejn daħal ġismu")</f>
        <v>Huwa seta 'jħoss uġigħ qawwi qawwi fejn daħal ġismu</v>
      </c>
    </row>
    <row r="587" ht="15.75" customHeight="1">
      <c r="A587" s="2" t="s">
        <v>587</v>
      </c>
      <c r="B587" s="2" t="str">
        <f>IFERROR(__xludf.DUMMYFUNCTION("GOOGLETRANSLATE(A587, ""en"", ""mt"")"),"ħafna staġuni ċċelebrati")</f>
        <v>ħafna staġuni ċċelebrati</v>
      </c>
    </row>
    <row r="588" ht="15.75" customHeight="1">
      <c r="A588" s="2" t="s">
        <v>588</v>
      </c>
      <c r="B588" s="2" t="str">
        <f>IFERROR(__xludf.DUMMYFUNCTION("GOOGLETRANSLATE(A588, ""en"", ""mt"")"),"Unità politika taċ-Ċina u ħafna mill-Asja Ċentrali")</f>
        <v>Unità politika taċ-Ċina u ħafna mill-Asja Ċentrali</v>
      </c>
    </row>
    <row r="589" ht="15.75" customHeight="1">
      <c r="A589" s="2" t="s">
        <v>589</v>
      </c>
      <c r="B589" s="2" t="str">
        <f>IFERROR(__xludf.DUMMYFUNCTION("GOOGLETRANSLATE(A589, ""en"", ""mt"")"),"Meta seħħet il-gwerra tal-bdiewa Ġermaniżi?")</f>
        <v>Meta seħħet il-gwerra tal-bdiewa Ġermaniżi?</v>
      </c>
    </row>
    <row r="590" ht="15.75" customHeight="1">
      <c r="A590" s="2" t="s">
        <v>590</v>
      </c>
      <c r="B590" s="2" t="str">
        <f>IFERROR(__xludf.DUMMYFUNCTION("GOOGLETRANSLATE(A590, ""en"", ""mt"")"),"Kemm diviżjonijiet kienu jinkludu l-armata ta 'Genghis Khan f'Khwarezmia?")</f>
        <v>Kemm diviżjonijiet kienu jinkludu l-armata ta 'Genghis Khan f'Khwarezmia?</v>
      </c>
    </row>
    <row r="591" ht="15.75" customHeight="1">
      <c r="A591" s="2" t="s">
        <v>591</v>
      </c>
      <c r="B591" s="2" t="str">
        <f>IFERROR(__xludf.DUMMYFUNCTION("GOOGLETRANSLATE(A591, ""en"", ""mt"")"),"In-Nazzjonijiet Uniti")</f>
        <v>In-Nazzjonijiet Uniti</v>
      </c>
    </row>
    <row r="592" ht="15.75" customHeight="1">
      <c r="A592" s="2" t="s">
        <v>592</v>
      </c>
      <c r="B592" s="2" t="str">
        <f>IFERROR(__xludf.DUMMYFUNCTION("GOOGLETRANSLATE(A592, ""en"", ""mt"")"),"amministrazzjoni kolonjali Ġermaniża Nażista")</f>
        <v>amministrazzjoni kolonjali Ġermaniża Nażista</v>
      </c>
    </row>
    <row r="593" ht="15.75" customHeight="1">
      <c r="A593" s="2" t="s">
        <v>593</v>
      </c>
      <c r="B593" s="2" t="str">
        <f>IFERROR(__xludf.DUMMYFUNCTION("GOOGLETRANSLATE(A593, ""en"", ""mt"")"),"Fl-Induiżmu l-għalliem spiritwali huwa magħruf bħala guru, u, f'ħafna tradizzjonijiet tal-Induiżmu - speċjalment dawk komuni fil-Punent - l-enfasi fuq il-mentoring spiritwali hija estremament għolja, bil-gurus ħafna drabi jeżerċitaw ħafna kontroll fuq il-"&amp;"ħajja tad-dixxipli tagħhom -")</f>
        <v>Fl-Induiżmu l-għalliem spiritwali huwa magħruf bħala guru, u, f'ħafna tradizzjonijiet tal-Induiżmu - speċjalment dawk komuni fil-Punent - l-enfasi fuq il-mentoring spiritwali hija estremament għolja, bil-gurus ħafna drabi jeżerċitaw ħafna kontroll fuq il-ħajja tad-dixxipli tagħhom -</v>
      </c>
    </row>
    <row r="594" ht="15.75" customHeight="1">
      <c r="A594" s="2" t="s">
        <v>594</v>
      </c>
      <c r="B594" s="2" t="str">
        <f>IFERROR(__xludf.DUMMYFUNCTION("GOOGLETRANSLATE(A594, ""en"", ""mt"")"),"fl-iskejjel")</f>
        <v>fl-iskejjel</v>
      </c>
    </row>
    <row r="595" ht="15.75" customHeight="1">
      <c r="A595" s="2" t="s">
        <v>595</v>
      </c>
      <c r="B595" s="2" t="str">
        <f>IFERROR(__xludf.DUMMYFUNCTION("GOOGLETRANSLATE(A595, ""en"", ""mt"")"),"Li tgħawweġ il-grana u t-tilkojdi")</f>
        <v>Li tgħawweġ il-grana u t-tilkojdi</v>
      </c>
    </row>
    <row r="596" ht="15.75" customHeight="1">
      <c r="A596" s="2" t="s">
        <v>596</v>
      </c>
      <c r="B596" s="2" t="str">
        <f>IFERROR(__xludf.DUMMYFUNCTION("GOOGLETRANSLATE(A596, ""en"", ""mt"")"),"Filwaqt li t-trattati u r-regolamenti se jkollhom effett dirett (jekk ċari, inkondizzjonati u immedjati), id-direttivi ġeneralment ma jagħtux liċ-ċittadini (għall-kuntrarju tal-istat membru) li jħarsu biex iħarrku ċittadini oħra. Fit-teorija, dan huwa min"&amp;"ħabba li l-Artikolu 288 tat-TFEU jgħid li d-direttivi huma indirizzati lill-istati membri u ġeneralment ""jitilqu lill-awtoritajiet nazzjonali l-għażla tal-forma u l-metodi"" biex jiġu implimentati. Parzjalment dan jirrifletti li d-direttivi spiss joħolqu"&amp;" standards minimi, u jħalli lill-istati membri japplikaw standards ogħla. Pereżempju, id-direttiva tal-ħin tax-xogħol teħtieġ li kull ħaddiem ikollu mill-inqas 4 ġimgħat imħallsa vaganzi kull sena, iżda ħafna mill-istati membri jeħtieġu aktar minn 28 jum "&amp;"fil-liġi nazzjonali. Madankollu, dwar il-pożizzjoni attwali adottata mill-Qorti tal-Ġustizzja, iċ-ċittadini għandhom il-wieqfa li jagħmlu talbiet ibbażati fuq liġijiet nazzjonali li jimplimentaw direttivi, iżda mhux mid-direttivi nfushom. Id-direttivi m'g"&amp;"ħandhomx hekk imsejħa effett dirett ""orizzontali"" (i.e. bejn partijiet mhux statali). Din il-fehma kienet istantanjament kontroversjali, u fil-bidu tad-disgħinijiet tliet avukati ġenerali argumentaw li d-direttivi għandhom joħolqu drittijiet u dmirijiet"&amp;" għaċ-ċittadini kollha. Il-Qorti tal-Ġustizzja rrifjutat, imma hemm ħames eċċezzjonijiet kbar.")</f>
        <v>Filwaqt li t-trattati u r-regolamenti se jkollhom effett dirett (jekk ċari, inkondizzjonati u immedjati), id-direttivi ġeneralment ma jagħtux liċ-ċittadini (għall-kuntrarju tal-istat membru) li jħarsu biex iħarrku ċittadini oħra. Fit-teorija, dan huwa minħabba li l-Artikolu 288 tat-TFEU jgħid li d-direttivi huma indirizzati lill-istati membri u ġeneralment "jitilqu lill-awtoritajiet nazzjonali l-għażla tal-forma u l-metodi" biex jiġu implimentati. Parzjalment dan jirrifletti li d-direttivi spiss joħolqu standards minimi, u jħalli lill-istati membri japplikaw standards ogħla. Pereżempju, id-direttiva tal-ħin tax-xogħol teħtieġ li kull ħaddiem ikollu mill-inqas 4 ġimgħat imħallsa vaganzi kull sena, iżda ħafna mill-istati membri jeħtieġu aktar minn 28 jum fil-liġi nazzjonali. Madankollu, dwar il-pożizzjoni attwali adottata mill-Qorti tal-Ġustizzja, iċ-ċittadini għandhom il-wieqfa li jagħmlu talbiet ibbażati fuq liġijiet nazzjonali li jimplimentaw direttivi, iżda mhux mid-direttivi nfushom. Id-direttivi m'għandhomx hekk imsejħa effett dirett "orizzontali" (i.e. bejn partijiet mhux statali). Din il-fehma kienet istantanjament kontroversjali, u fil-bidu tad-disgħinijiet tliet avukati ġenerali argumentaw li d-direttivi għandhom joħolqu drittijiet u dmirijiet għaċ-ċittadini kollha. Il-Qorti tal-Ġustizzja rrifjutat, imma hemm ħames eċċezzjonijiet kbar.</v>
      </c>
    </row>
    <row r="597" ht="15.75" customHeight="1">
      <c r="A597" s="2" t="s">
        <v>597</v>
      </c>
      <c r="B597" s="2" t="str">
        <f>IFERROR(__xludf.DUMMYFUNCTION("GOOGLETRANSLATE(A597, ""en"", ""mt"")"),"Meta d-Daleks ġew introdotti mill-ġdid fis-serje Revival?")</f>
        <v>Meta d-Daleks ġew introdotti mill-ġdid fis-serje Revival?</v>
      </c>
    </row>
    <row r="598" ht="15.75" customHeight="1">
      <c r="A598" s="2" t="s">
        <v>598</v>
      </c>
      <c r="B598" s="2" t="str">
        <f>IFERROR(__xludf.DUMMYFUNCTION("GOOGLETRANSLATE(A598, ""en"", ""mt"")"),"Kif jiġu trasmessi l-forzi nukleari?")</f>
        <v>Kif jiġu trasmessi l-forzi nukleari?</v>
      </c>
    </row>
    <row r="599" ht="15.75" customHeight="1">
      <c r="A599" s="2" t="s">
        <v>599</v>
      </c>
      <c r="B599" s="2" t="str">
        <f>IFERROR(__xludf.DUMMYFUNCTION("GOOGLETRANSLATE(A599, ""en"", ""mt"")"),"Laqgħa inizjalment fil-qlugħ loft fi Triq Dock")</f>
        <v>Laqgħa inizjalment fil-qlugħ loft fi Triq Dock</v>
      </c>
    </row>
    <row r="600" ht="15.75" customHeight="1">
      <c r="A600" s="2" t="s">
        <v>600</v>
      </c>
      <c r="B600" s="2" t="str">
        <f>IFERROR(__xludf.DUMMYFUNCTION("GOOGLETRANSLATE(A600, ""en"", ""mt"")"),"X'kien l-iskop tat-truppi ta 'Loudoun fil-Fort Henry?")</f>
        <v>X'kien l-iskop tat-truppi ta 'Loudoun fil-Fort Henry?</v>
      </c>
    </row>
    <row r="601" ht="15.75" customHeight="1">
      <c r="A601" s="2" t="s">
        <v>601</v>
      </c>
      <c r="B601" s="2" t="str">
        <f>IFERROR(__xludf.DUMMYFUNCTION("GOOGLETRANSLATE(A601, ""en"", ""mt"")"),"X’kien jemmen li Martin Luther kiseb il-grazzja ta ’Alla?")</f>
        <v>X’kien jemmen li Martin Luther kiseb il-grazzja ta ’Alla?</v>
      </c>
    </row>
    <row r="602" ht="15.75" customHeight="1">
      <c r="A602" s="2" t="s">
        <v>602</v>
      </c>
      <c r="B602" s="2" t="str">
        <f>IFERROR(__xludf.DUMMYFUNCTION("GOOGLETRANSLATE(A602, ""en"", ""mt"")"),"F'Lulju 2015")</f>
        <v>F'Lulju 2015</v>
      </c>
    </row>
    <row r="603" ht="15.75" customHeight="1">
      <c r="A603" s="2" t="s">
        <v>603</v>
      </c>
      <c r="B603" s="2" t="str">
        <f>IFERROR(__xludf.DUMMYFUNCTION("GOOGLETRANSLATE(A603, ""en"", ""mt"")"),"Sistemi tax-Xmara")</f>
        <v>Sistemi tax-Xmara</v>
      </c>
    </row>
    <row r="604" ht="15.75" customHeight="1">
      <c r="A604" s="2" t="s">
        <v>604</v>
      </c>
      <c r="B604" s="2" t="str">
        <f>IFERROR(__xludf.DUMMYFUNCTION("GOOGLETRANSLATE(A604, ""en"", ""mt"")"),"Artijiet fil-punent tal-Muntanji Appalaċi")</f>
        <v>Artijiet fil-punent tal-Muntanji Appalaċi</v>
      </c>
    </row>
    <row r="605" ht="15.75" customHeight="1">
      <c r="A605" s="2" t="s">
        <v>605</v>
      </c>
      <c r="B605" s="2" t="str">
        <f>IFERROR(__xludf.DUMMYFUNCTION("GOOGLETRANSLATE(A605, ""en"", ""mt"")"),"Kif tissejjaħ iż-żona fejn pjanċa waħda tissottometti taħt ieħor?")</f>
        <v>Kif tissejjaħ iż-żona fejn pjanċa waħda tissottometti taħt ieħor?</v>
      </c>
    </row>
    <row r="606" ht="15.75" customHeight="1">
      <c r="A606" s="2" t="s">
        <v>606</v>
      </c>
      <c r="B606" s="2" t="str">
        <f>IFERROR(__xludf.DUMMYFUNCTION("GOOGLETRANSLATE(A606, ""en"", ""mt"")"),"Apicomplexans huma grupp ieħor ta 'kromalveolati. Bħall-helicosprodia, huma parassitiċi, u għandhom kloroplast mhux fotosintetiku. Darba kienu maħsuba li huma relatati mal-helicosprodia, iżda issa huwa magħruf li l-helicosproida huma alka ħadra aktar mill"&amp;"i kromalveolati. L-apicomplexans jinkludu Plasmodium, il-parassita tal-malarja. Ħafna apicomplexans iżommu kloroplast derivat mill-alka ħamra vestigjali msejħa apikoplast, li huma wirtew mill-antenati tagħhom. Apicomplexans oħra bħal Cryptosporidium tilfu"&amp;" kompletament il-kloroplast. Apicomplexans jaħżnu l-enerġija tagħhom fil-granuli tal-lamtu tal-amilopectin li jinsabu fiċ-ċitoplasma tagħhom, minkejja li huma nonfotosintetiċi.")</f>
        <v>Apicomplexans huma grupp ieħor ta 'kromalveolati. Bħall-helicosprodia, huma parassitiċi, u għandhom kloroplast mhux fotosintetiku. Darba kienu maħsuba li huma relatati mal-helicosprodia, iżda issa huwa magħruf li l-helicosproida huma alka ħadra aktar milli kromalveolati. L-apicomplexans jinkludu Plasmodium, il-parassita tal-malarja. Ħafna apicomplexans iżommu kloroplast derivat mill-alka ħamra vestigjali msejħa apikoplast, li huma wirtew mill-antenati tagħhom. Apicomplexans oħra bħal Cryptosporidium tilfu kompletament il-kloroplast. Apicomplexans jaħżnu l-enerġija tagħhom fil-granuli tal-lamtu tal-amilopectin li jinsabu fiċ-ċitoplasma tagħhom, minkejja li huma nonfotosintetiċi.</v>
      </c>
    </row>
    <row r="607" ht="15.75" customHeight="1">
      <c r="A607" s="2" t="s">
        <v>607</v>
      </c>
      <c r="B607" s="2" t="str">
        <f>IFERROR(__xludf.DUMMYFUNCTION("GOOGLETRANSLATE(A607, ""en"", ""mt"")"),"armi")</f>
        <v>armi</v>
      </c>
    </row>
    <row r="608" ht="15.75" customHeight="1">
      <c r="A608" s="2" t="s">
        <v>608</v>
      </c>
      <c r="B608" s="2" t="str">
        <f>IFERROR(__xludf.DUMMYFUNCTION("GOOGLETRANSLATE(A608, ""en"", ""mt"")"),"Fl-1870, Tesla marret tgħix Karlovac, biex tattendi l-iskola fl-ogħla ġinnasju reali, fejn kien influwenzat profondament minn għalliem tal-matematika Martin Sekulić.: 32 Il-klassijiet saru bil-Ġermaniż, peress li kienet skola fil-fruntiera militari Awstro"&amp;"-Ungeriża - Tesla kien kapaċi jwettaq kalkolu integrali fir-ras tiegħu, li wassal lill-għalliema tiegħu biex jemmnu li kien qed iqarraq. Huwa temm mandat ta 'erba' snin fi tliet snin, jiggradwa fl-1873 .:33")</f>
        <v>Fl-1870, Tesla marret tgħix Karlovac, biex tattendi l-iskola fl-ogħla ġinnasju reali, fejn kien influwenzat profondament minn għalliem tal-matematika Martin Sekulić.: 32 Il-klassijiet saru bil-Ġermaniż, peress li kienet skola fil-fruntiera militari Awstro-Ungeriża - Tesla kien kapaċi jwettaq kalkolu integrali fir-ras tiegħu, li wassal lill-għalliema tiegħu biex jemmnu li kien qed iqarraq. Huwa temm mandat ta 'erba' snin fi tliet snin, jiggradwa fl-1873 .:33</v>
      </c>
    </row>
    <row r="609" ht="15.75" customHeight="1">
      <c r="A609" s="2" t="s">
        <v>609</v>
      </c>
      <c r="B609" s="2" t="str">
        <f>IFERROR(__xludf.DUMMYFUNCTION("GOOGLETRANSLATE(A609, ""en"", ""mt"")"),"riżultat tal-biċċa l-kbira tal-voti")</f>
        <v>riżultat tal-biċċa l-kbira tal-voti</v>
      </c>
    </row>
    <row r="610" ht="15.75" customHeight="1">
      <c r="A610" s="2" t="s">
        <v>610</v>
      </c>
      <c r="B610" s="2" t="str">
        <f>IFERROR(__xludf.DUMMYFUNCTION("GOOGLETRANSLATE(A610, ""en"", ""mt"")"),"Knisja Metodista Magħquda")</f>
        <v>Knisja Metodista Magħquda</v>
      </c>
    </row>
    <row r="611" ht="15.75" customHeight="1">
      <c r="A611" s="2" t="s">
        <v>611</v>
      </c>
      <c r="B611" s="2" t="str">
        <f>IFERROR(__xludf.DUMMYFUNCTION("GOOGLETRANSLATE(A611, ""en"", ""mt"")"),"Liema azzjonijiet aktar tard min-Nazi jistgħu jiġu rintraċċati għar-retorika ta 'Luther?")</f>
        <v>Liema azzjonijiet aktar tard min-Nazi jistgħu jiġu rintraċċati għar-retorika ta 'Luther?</v>
      </c>
    </row>
    <row r="612" ht="15.75" customHeight="1">
      <c r="A612" s="2" t="s">
        <v>612</v>
      </c>
      <c r="B612" s="2" t="str">
        <f>IFERROR(__xludf.DUMMYFUNCTION("GOOGLETRANSLATE(A612, ""en"", ""mt"")"),"Interattiv")</f>
        <v>Interattiv</v>
      </c>
    </row>
    <row r="613" ht="15.75" customHeight="1">
      <c r="A613" s="2" t="s">
        <v>613</v>
      </c>
      <c r="B613" s="2" t="str">
        <f>IFERROR(__xludf.DUMMYFUNCTION("GOOGLETRANSLATE(A613, ""en"", ""mt"")"),"AD 14")</f>
        <v>AD 14</v>
      </c>
    </row>
    <row r="614" ht="15.75" customHeight="1">
      <c r="A614" s="2" t="s">
        <v>614</v>
      </c>
      <c r="B614" s="2" t="str">
        <f>IFERROR(__xludf.DUMMYFUNCTION("GOOGLETRANSLATE(A614, ""en"", ""mt"")"),"mill-fruntiera tal-Lvant")</f>
        <v>mill-fruntiera tal-Lvant</v>
      </c>
    </row>
    <row r="615" ht="15.75" customHeight="1">
      <c r="A615" s="2" t="s">
        <v>615</v>
      </c>
      <c r="B615" s="2" t="str">
        <f>IFERROR(__xludf.DUMMYFUNCTION("GOOGLETRANSLATE(A615, ""en"", ""mt"")"),"p - 1 jew divisor ta 'p - 1")</f>
        <v>p - 1 jew divisor ta 'p - 1</v>
      </c>
    </row>
    <row r="616" ht="15.75" customHeight="1">
      <c r="A616" s="2" t="s">
        <v>616</v>
      </c>
      <c r="B616" s="2" t="str">
        <f>IFERROR(__xludf.DUMMYFUNCTION("GOOGLETRANSLATE(A616, ""en"", ""mt"")"),"Conscription")</f>
        <v>Conscription</v>
      </c>
    </row>
    <row r="617" ht="15.75" customHeight="1">
      <c r="A617" s="2" t="s">
        <v>617</v>
      </c>
      <c r="B617" s="2" t="str">
        <f>IFERROR(__xludf.DUMMYFUNCTION("GOOGLETRANSLATE(A617, ""en"", ""mt"")"),"Duttrina tar-Riforma")</f>
        <v>Duttrina tar-Riforma</v>
      </c>
    </row>
    <row r="618" ht="15.75" customHeight="1">
      <c r="A618" s="2" t="s">
        <v>618</v>
      </c>
      <c r="B618" s="2" t="str">
        <f>IFERROR(__xludf.DUMMYFUNCTION("GOOGLETRANSLATE(A618, ""en"", ""mt"")"),"Okkupazzjoni Ingliża")</f>
        <v>Okkupazzjoni Ingliża</v>
      </c>
    </row>
    <row r="619" ht="15.75" customHeight="1">
      <c r="A619" s="2" t="s">
        <v>619</v>
      </c>
      <c r="B619" s="2" t="str">
        <f>IFERROR(__xludf.DUMMYFUNCTION("GOOGLETRANSLATE(A619, ""en"", ""mt"")"),"kolonizzazzjoni, użu ta 'forza militari, jew mezzi oħra")</f>
        <v>kolonizzazzjoni, użu ta 'forza militari, jew mezzi oħra</v>
      </c>
    </row>
    <row r="620" ht="15.75" customHeight="1">
      <c r="A620" s="2" t="s">
        <v>620</v>
      </c>
      <c r="B620" s="2" t="str">
        <f>IFERROR(__xludf.DUMMYFUNCTION("GOOGLETRANSLATE(A620, ""en"", ""mt"")"),"tgħaddi nixxiegħa ta 'arja nadifa u niexfa minn sodda waħda ta' par ta 'passaġġi molekulari żeoliti identiċi")</f>
        <v>tgħaddi nixxiegħa ta 'arja nadifa u niexfa minn sodda waħda ta' par ta 'passaġġi molekulari żeoliti identiċi</v>
      </c>
    </row>
    <row r="621" ht="15.75" customHeight="1">
      <c r="A621" s="2" t="s">
        <v>621</v>
      </c>
      <c r="B621" s="2" t="str">
        <f>IFERROR(__xludf.DUMMYFUNCTION("GOOGLETRANSLATE(A621, ""en"", ""mt"")"),"il-wan kbir")</f>
        <v>il-wan kbir</v>
      </c>
    </row>
    <row r="622" ht="15.75" customHeight="1">
      <c r="A622" s="2" t="s">
        <v>622</v>
      </c>
      <c r="B622" s="2" t="str">
        <f>IFERROR(__xludf.DUMMYFUNCTION("GOOGLETRANSLATE(A622, ""en"", ""mt"")"),"Spiżjar tal-Kura Ambulatorja Ċertifikata tal-Bord")</f>
        <v>Spiżjar tal-Kura Ambulatorja Ċertifikata tal-Bord</v>
      </c>
    </row>
    <row r="623" ht="15.75" customHeight="1">
      <c r="A623" s="2" t="s">
        <v>623</v>
      </c>
      <c r="B623" s="2" t="str">
        <f>IFERROR(__xludf.DUMMYFUNCTION("GOOGLETRANSLATE(A623, ""en"", ""mt"")"),"il-problema ta 'fatturizzazzjoni sħiħa")</f>
        <v>il-problema ta 'fatturizzazzjoni sħiħa</v>
      </c>
    </row>
    <row r="624" ht="15.75" customHeight="1">
      <c r="A624" s="2" t="s">
        <v>624</v>
      </c>
      <c r="B624" s="2" t="str">
        <f>IFERROR(__xludf.DUMMYFUNCTION("GOOGLETRANSLATE(A624, ""en"", ""mt"")"),"Minn liema distanza jista 'jinstema' r-ragħad artifiċjali.")</f>
        <v>Minn liema distanza jista 'jinstema' r-ragħad artifiċjali.</v>
      </c>
    </row>
    <row r="625" ht="15.75" customHeight="1">
      <c r="A625" s="2" t="s">
        <v>625</v>
      </c>
      <c r="B625" s="2" t="str">
        <f>IFERROR(__xludf.DUMMYFUNCTION("GOOGLETRANSLATE(A625, ""en"", ""mt"")"),"X'inhu d-dispensarju soġġett għal maġġoranza tal-pajjiżi?")</f>
        <v>X'inhu d-dispensarju soġġett għal maġġoranza tal-pajjiżi?</v>
      </c>
    </row>
    <row r="626" ht="15.75" customHeight="1">
      <c r="A626" s="2" t="s">
        <v>626</v>
      </c>
      <c r="B626" s="2" t="str">
        <f>IFERROR(__xludf.DUMMYFUNCTION("GOOGLETRANSLATE(A626, ""en"", ""mt"")"),"Iċ-ċelloli T Delta Gamma jirranġaw il-ġeni TCR biex jipproduċu xiex?")</f>
        <v>Iċ-ċelloli T Delta Gamma jirranġaw il-ġeni TCR biex jipproduċu xiex?</v>
      </c>
    </row>
    <row r="627" ht="15.75" customHeight="1">
      <c r="A627" s="2" t="s">
        <v>627</v>
      </c>
      <c r="B627" s="2" t="str">
        <f>IFERROR(__xludf.DUMMYFUNCTION("GOOGLETRANSLATE(A627, ""en"", ""mt"")"),"Kemm it-trab tas-Saħara huwa minfuħ u jaqa 'fuq il-Baħar tal-Karibew kull sena?")</f>
        <v>Kemm it-trab tas-Saħara huwa minfuħ u jaqa 'fuq il-Baħar tal-Karibew kull sena?</v>
      </c>
    </row>
    <row r="628" ht="15.75" customHeight="1">
      <c r="A628" s="2" t="s">
        <v>628</v>
      </c>
      <c r="B628" s="2" t="str">
        <f>IFERROR(__xludf.DUMMYFUNCTION("GOOGLETRANSLATE(A628, ""en"", ""mt"")"),"X’kien beda wara li kienu fis-seħħ dawn il-programmi ġodda?")</f>
        <v>X’kien beda wara li kienu fis-seħħ dawn il-programmi ġodda?</v>
      </c>
    </row>
    <row r="629" ht="15.75" customHeight="1">
      <c r="A629" s="2" t="s">
        <v>629</v>
      </c>
      <c r="B629" s="2" t="str">
        <f>IFERROR(__xludf.DUMMYFUNCTION("GOOGLETRANSLATE(A629, ""en"", ""mt"")"),"Turiżmu")</f>
        <v>Turiżmu</v>
      </c>
    </row>
    <row r="630" ht="15.75" customHeight="1">
      <c r="A630" s="2" t="s">
        <v>630</v>
      </c>
      <c r="B630" s="2" t="str">
        <f>IFERROR(__xludf.DUMMYFUNCTION("GOOGLETRANSLATE(A630, ""en"", ""mt"")"),"X’forma Luther fl-1525 sal-1529?")</f>
        <v>X’forma Luther fl-1525 sal-1529?</v>
      </c>
    </row>
    <row r="631" ht="15.75" customHeight="1">
      <c r="A631" s="2" t="s">
        <v>631</v>
      </c>
      <c r="B631" s="2" t="str">
        <f>IFERROR(__xludf.DUMMYFUNCTION("GOOGLETRANSLATE(A631, ""en"", ""mt"")"),"Dan jikkawża li l-unità tal-blat kollha kemm hi ssir itwal u irqaq.")</f>
        <v>Dan jikkawża li l-unità tal-blat kollha kemm hi ssir itwal u irqaq.</v>
      </c>
    </row>
    <row r="632" ht="15.75" customHeight="1">
      <c r="A632" s="2" t="s">
        <v>632</v>
      </c>
      <c r="B632" s="2" t="str">
        <f>IFERROR(__xludf.DUMMYFUNCTION("GOOGLETRANSLATE(A632, ""en"", ""mt"")"),"l-eżekuttiv tat-trasport tal-passiġġieri Tyne u jilbes")</f>
        <v>l-eżekuttiv tat-trasport tal-passiġġieri Tyne u jilbes</v>
      </c>
    </row>
    <row r="633" ht="15.75" customHeight="1">
      <c r="A633" s="2" t="s">
        <v>633</v>
      </c>
      <c r="B633" s="2" t="str">
        <f>IFERROR(__xludf.DUMMYFUNCTION("GOOGLETRANSLATE(A633, ""en"", ""mt"")"),"X’taħseb Luther li kien l-uniku sors ta ’għarfien ta’ Alla?")</f>
        <v>X’taħseb Luther li kien l-uniku sors ta ’għarfien ta’ Alla?</v>
      </c>
    </row>
    <row r="634" ht="15.75" customHeight="1">
      <c r="A634" s="2" t="s">
        <v>634</v>
      </c>
      <c r="B634" s="2" t="str">
        <f>IFERROR(__xludf.DUMMYFUNCTION("GOOGLETRANSLATE(A634, ""en"", ""mt"")"),"Lupus eritematos")</f>
        <v>Lupus eritematos</v>
      </c>
    </row>
    <row r="635" ht="15.75" customHeight="1">
      <c r="A635" s="2" t="s">
        <v>635</v>
      </c>
      <c r="B635" s="2" t="str">
        <f>IFERROR(__xludf.DUMMYFUNCTION("GOOGLETRANSLATE(A635, ""en"", ""mt"")"),"X'tipi ta 'magni huma magni tal-fwar?")</f>
        <v>X'tipi ta 'magni huma magni tal-fwar?</v>
      </c>
    </row>
    <row r="636" ht="15.75" customHeight="1">
      <c r="A636" s="2" t="s">
        <v>636</v>
      </c>
      <c r="B636" s="2" t="str">
        <f>IFERROR(__xludf.DUMMYFUNCTION("GOOGLETRANSLATE(A636, ""en"", ""mt"")"),"preżenza personali")</f>
        <v>preżenza personali</v>
      </c>
    </row>
    <row r="637" ht="15.75" customHeight="1">
      <c r="A637" s="2" t="s">
        <v>637</v>
      </c>
      <c r="B637" s="2" t="str">
        <f>IFERROR(__xludf.DUMMYFUNCTION("GOOGLETRANSLATE(A637, ""en"", ""mt"")"),"L-angoli kollha jibqgħu l-istess")</f>
        <v>L-angoli kollha jibqgħu l-istess</v>
      </c>
    </row>
    <row r="638" ht="15.75" customHeight="1">
      <c r="A638" s="2" t="s">
        <v>638</v>
      </c>
      <c r="B638" s="2" t="str">
        <f>IFERROR(__xludf.DUMMYFUNCTION("GOOGLETRANSLATE(A638, ""en"", ""mt"")"),"X'inhu t-tieni port tal-kontejners l-aktar traffikuż fl-Istati Uniti?")</f>
        <v>X'inhu t-tieni port tal-kontejners l-aktar traffikuż fl-Istati Uniti?</v>
      </c>
    </row>
    <row r="639" ht="15.75" customHeight="1">
      <c r="A639" s="2" t="s">
        <v>639</v>
      </c>
      <c r="B639" s="2" t="str">
        <f>IFERROR(__xludf.DUMMYFUNCTION("GOOGLETRANSLATE(A639, ""en"", ""mt"")"),"Provinċji tal-Amerika ta ’Fuq")</f>
        <v>Provinċji tal-Amerika ta ’Fuq</v>
      </c>
    </row>
    <row r="640" ht="15.75" customHeight="1">
      <c r="A640" s="2" t="s">
        <v>640</v>
      </c>
      <c r="B640" s="2" t="str">
        <f>IFERROR(__xludf.DUMMYFUNCTION("GOOGLETRANSLATE(A640, ""en"", ""mt"")"),"Sistema immunitarja adattiva.")</f>
        <v>Sistema immunitarja adattiva.</v>
      </c>
    </row>
    <row r="641" ht="15.75" customHeight="1">
      <c r="A641" s="2" t="s">
        <v>641</v>
      </c>
      <c r="B641" s="2" t="str">
        <f>IFERROR(__xludf.DUMMYFUNCTION("GOOGLETRANSLATE(A641, ""en"", ""mt"")"),"Huwa insista li, peress li l-maħfra kienet waħedha li tagħti, dawk li sostnew li l-indulġenzi ħelsu lix-xerrejja mill-pieni kollha u tahom is-salvazzjoni kienu bi żball. Il-Kristjani, qal, m'għandhomx imwaqqfa meta jsegwu lil Kristu minħabba tali assigura"&amp;"zzjonijiet foloz.")</f>
        <v>Huwa insista li, peress li l-maħfra kienet waħedha li tagħti, dawk li sostnew li l-indulġenzi ħelsu lix-xerrejja mill-pieni kollha u tahom is-salvazzjoni kienu bi żball. Il-Kristjani, qal, m'għandhomx imwaqqfa meta jsegwu lil Kristu minħabba tali assigurazzjonijiet foloz.</v>
      </c>
    </row>
    <row r="642" ht="15.75" customHeight="1">
      <c r="A642" s="2" t="s">
        <v>642</v>
      </c>
      <c r="B642" s="2" t="str">
        <f>IFERROR(__xludf.DUMMYFUNCTION("GOOGLETRANSLATE(A642, ""en"", ""mt"")"),"Kemm kien jilgħab Denver miżmum barra miż-żona finali wara li rċieva l-ballun minn Newton?")</f>
        <v>Kemm kien jilgħab Denver miżmum barra miż-żona finali wara li rċieva l-ballun minn Newton?</v>
      </c>
    </row>
    <row r="643" ht="15.75" customHeight="1">
      <c r="A643" s="2" t="s">
        <v>643</v>
      </c>
      <c r="B643" s="2" t="str">
        <f>IFERROR(__xludf.DUMMYFUNCTION("GOOGLETRANSLATE(A643, ""en"", ""mt"")"),"41 sentenza mill-ġdid")</f>
        <v>41 sentenza mill-ġdid</v>
      </c>
    </row>
    <row r="644" ht="15.75" customHeight="1">
      <c r="A644" s="2" t="s">
        <v>644</v>
      </c>
      <c r="B644" s="2" t="str">
        <f>IFERROR(__xludf.DUMMYFUNCTION("GOOGLETRANSLATE(A644, ""en"", ""mt"")"),"Tqabbil abjad")</f>
        <v>Tqabbil abjad</v>
      </c>
    </row>
    <row r="645" ht="15.75" customHeight="1">
      <c r="A645" s="2" t="s">
        <v>645</v>
      </c>
      <c r="B645" s="2" t="str">
        <f>IFERROR(__xludf.DUMMYFUNCTION("GOOGLETRANSLATE(A645, ""en"", ""mt"")"),"F'liema artikolu t-Trattat ta 'Lisbona jipprojbixxi ftehimiet anti-kompetittivi?")</f>
        <v>F'liema artikolu t-Trattat ta 'Lisbona jipprojbixxi ftehimiet anti-kompetittivi?</v>
      </c>
    </row>
    <row r="646" ht="15.75" customHeight="1">
      <c r="A646" s="2" t="s">
        <v>646</v>
      </c>
      <c r="B646" s="2" t="str">
        <f>IFERROR(__xludf.DUMMYFUNCTION("GOOGLETRANSLATE(A646, ""en"", ""mt"")"),"X'influwenza l-imġieba tal-kloroplasti?")</f>
        <v>X'influwenza l-imġieba tal-kloroplasti?</v>
      </c>
    </row>
    <row r="647" ht="15.75" customHeight="1">
      <c r="A647" s="2" t="s">
        <v>647</v>
      </c>
      <c r="B647" s="2" t="str">
        <f>IFERROR(__xludf.DUMMYFUNCTION("GOOGLETRANSLATE(A647, ""en"", ""mt"")"),"priġunerija")</f>
        <v>priġunerija</v>
      </c>
    </row>
    <row r="648" ht="15.75" customHeight="1">
      <c r="A648" s="2" t="s">
        <v>648</v>
      </c>
      <c r="B648" s="2" t="str">
        <f>IFERROR(__xludf.DUMMYFUNCTION("GOOGLETRANSLATE(A648, ""en"", ""mt"")"),"Kif tista 'ssib l-età assoluta ta' unitajiet tal-blat sedimentarji li ma fihomx iżotopi radjuattivi?")</f>
        <v>Kif tista 'ssib l-età assoluta ta' unitajiet tal-blat sedimentarji li ma fihomx iżotopi radjuattivi?</v>
      </c>
    </row>
    <row r="649" ht="15.75" customHeight="1">
      <c r="A649" s="2" t="s">
        <v>649</v>
      </c>
      <c r="B649" s="2" t="str">
        <f>IFERROR(__xludf.DUMMYFUNCTION("GOOGLETRANSLATE(A649, ""en"", ""mt"")"),"anke numri")</f>
        <v>anke numri</v>
      </c>
    </row>
    <row r="650" ht="15.75" customHeight="1">
      <c r="A650" s="2" t="s">
        <v>650</v>
      </c>
      <c r="B650" s="2" t="str">
        <f>IFERROR(__xludf.DUMMYFUNCTION("GOOGLETRANSLATE(A650, ""en"", ""mt"")"),"Teatri Amerikani tax-Xandir-Paramount, Inc")</f>
        <v>Teatri Amerikani tax-Xandir-Paramount, Inc</v>
      </c>
    </row>
    <row r="651" ht="15.75" customHeight="1">
      <c r="A651" s="2" t="s">
        <v>651</v>
      </c>
      <c r="B651" s="2" t="str">
        <f>IFERROR(__xludf.DUMMYFUNCTION("GOOGLETRANSLATE(A651, ""en"", ""mt"")"),"Huwa espress il-ħin meħtieġ biex tinħareġ tweġiba fuq magna tat-Turing deterministika?")</f>
        <v>Huwa espress il-ħin meħtieġ biex tinħareġ tweġiba fuq magna tat-Turing deterministika?</v>
      </c>
    </row>
    <row r="652" ht="15.75" customHeight="1">
      <c r="A652" s="2" t="s">
        <v>652</v>
      </c>
      <c r="B652" s="2" t="str">
        <f>IFERROR(__xludf.DUMMYFUNCTION("GOOGLETRANSLATE(A652, ""en"", ""mt"")"),"Minbarra t-tort ta 'San Jacinto, u t-tort ta' Elsinore, isemmu tort ieħor.")</f>
        <v>Minbarra t-tort ta 'San Jacinto, u t-tort ta' Elsinore, isemmu tort ieħor.</v>
      </c>
    </row>
    <row r="653" ht="15.75" customHeight="1">
      <c r="A653" s="2" t="s">
        <v>653</v>
      </c>
      <c r="B653" s="2" t="str">
        <f>IFERROR(__xludf.DUMMYFUNCTION("GOOGLETRANSLATE(A653, ""en"", ""mt"")"),"X'kien imdorri minn alleanzi politiċi fost il-konfederazzjonijiet tribali Mongoljani?")</f>
        <v>X'kien imdorri minn alleanzi politiċi fost il-konfederazzjonijiet tribali Mongoljani?</v>
      </c>
    </row>
    <row r="654" ht="15.75" customHeight="1">
      <c r="A654" s="2" t="s">
        <v>654</v>
      </c>
      <c r="B654" s="2" t="str">
        <f>IFERROR(__xludf.DUMMYFUNCTION("GOOGLETRANSLATE(A654, ""en"", ""mt"")"),"Ossiġenu ħieles iseħħ ukoll f'soluzzjoni fil-korpi tal-ilma tad-dinja. Is-solubilità miżjuda ta 'o
2 F'temperaturi aktar baxxi (ara l-proprjetajiet fiżiċi) għandu implikazzjonijiet importanti għall-ħajja tal-oċean, billi l-oċeani polari jappoġġjaw densità"&amp;" tal-ħajja ferm ogħla minħabba l-kontenut ogħla ta 'ossiġnu tagħhom. Ilma mniġġes b'nutrijenti tal-pjanti bħal nitrati jew fosfati jista 'jistimula t-tkabbir ta' l-alka permezz ta 'proċess imsejjaħ ewtrofikazzjoni u t-tħassir ta' dawn l-organiżmi u bijoma"&amp;"terjali oħra jistgħu jnaqqsu l-ammonti ta 'o
2 Fil-korpi tal-ilma ewtrofiċi. Ix-xjentisti jivvalutaw dan l-aspett tal-kwalità tal-ilma billi jkejlu d-domanda bijokimika tal-ilma tal-ilma, jew l-ammont ta 'o
2 meħtieġa biex terġa 'tinkisebha għal konċentra"&amp;"zzjoni normali.")</f>
        <v>Ossiġenu ħieles iseħħ ukoll f'soluzzjoni fil-korpi tal-ilma tad-dinja. Is-solubilità miżjuda ta 'o
2 F'temperaturi aktar baxxi (ara l-proprjetajiet fiżiċi) għandu implikazzjonijiet importanti għall-ħajja tal-oċean, billi l-oċeani polari jappoġġjaw densità tal-ħajja ferm ogħla minħabba l-kontenut ogħla ta 'ossiġnu tagħhom. Ilma mniġġes b'nutrijenti tal-pjanti bħal nitrati jew fosfati jista 'jistimula t-tkabbir ta' l-alka permezz ta 'proċess imsejjaħ ewtrofikazzjoni u t-tħassir ta' dawn l-organiżmi u bijomaterjali oħra jistgħu jnaqqsu l-ammonti ta 'o
2 Fil-korpi tal-ilma ewtrofiċi. Ix-xjentisti jivvalutaw dan l-aspett tal-kwalità tal-ilma billi jkejlu d-domanda bijokimika tal-ilma tal-ilma, jew l-ammont ta 'o
2 meħtieġa biex terġa 'tinkisebha għal konċentrazzjoni normali.</v>
      </c>
    </row>
    <row r="655" ht="15.75" customHeight="1">
      <c r="A655" s="2" t="s">
        <v>655</v>
      </c>
      <c r="B655" s="2" t="str">
        <f>IFERROR(__xludf.DUMMYFUNCTION("GOOGLETRANSLATE(A655, ""en"", ""mt"")"),"1-3 cm (0.39–1.18 in) kull seklu")</f>
        <v>1-3 cm (0.39–1.18 in) kull seklu</v>
      </c>
    </row>
    <row r="656" ht="15.75" customHeight="1">
      <c r="A656" s="2" t="s">
        <v>656</v>
      </c>
      <c r="B656" s="2" t="str">
        <f>IFERROR(__xludf.DUMMYFUNCTION("GOOGLETRANSLATE(A656, ""en"", ""mt"")"),"wieqaf")</f>
        <v>wieqaf</v>
      </c>
    </row>
    <row r="657" ht="15.75" customHeight="1">
      <c r="A657" s="2" t="s">
        <v>657</v>
      </c>
      <c r="B657" s="2" t="str">
        <f>IFERROR(__xludf.DUMMYFUNCTION("GOOGLETRANSLATE(A657, ""en"", ""mt"")"),"Knisja Kattolika Rumana")</f>
        <v>Knisja Kattolika Rumana</v>
      </c>
    </row>
    <row r="658" ht="15.75" customHeight="1">
      <c r="A658" s="2" t="s">
        <v>658</v>
      </c>
      <c r="B658" s="2" t="str">
        <f>IFERROR(__xludf.DUMMYFUNCTION("GOOGLETRANSLATE(A658, ""en"", ""mt"")"),"naqas b’mod sinifikanti")</f>
        <v>naqas b’mod sinifikanti</v>
      </c>
    </row>
    <row r="659" ht="15.75" customHeight="1">
      <c r="A659" s="2" t="s">
        <v>659</v>
      </c>
      <c r="B659" s="2" t="str">
        <f>IFERROR(__xludf.DUMMYFUNCTION("GOOGLETRANSLATE(A659, ""en"", ""mt"")"),"kostitwenza")</f>
        <v>kostitwenza</v>
      </c>
    </row>
    <row r="660" ht="15.75" customHeight="1">
      <c r="A660" s="2" t="s">
        <v>660</v>
      </c>
      <c r="B660" s="2" t="str">
        <f>IFERROR(__xludf.DUMMYFUNCTION("GOOGLETRANSLATE(A660, ""en"", ""mt"")"),"Il-bennejja jitolbu ftit flus biex tlesti l-proġett")</f>
        <v>Il-bennejja jitolbu ftit flus biex tlesti l-proġett</v>
      </c>
    </row>
    <row r="661" ht="15.75" customHeight="1">
      <c r="A661" s="2" t="s">
        <v>661</v>
      </c>
      <c r="B661" s="2" t="str">
        <f>IFERROR(__xludf.DUMMYFUNCTION("GOOGLETRANSLATE(A661, ""en"", ""mt"")"),"Partit tal-Għaqda Nazzjonali")</f>
        <v>Partit tal-Għaqda Nazzjonali</v>
      </c>
    </row>
    <row r="662" ht="15.75" customHeight="1">
      <c r="A662" s="2" t="s">
        <v>662</v>
      </c>
      <c r="B662" s="2" t="str">
        <f>IFERROR(__xludf.DUMMYFUNCTION("GOOGLETRANSLATE(A662, ""en"", ""mt"")"),"proponent estern")</f>
        <v>proponent estern</v>
      </c>
    </row>
    <row r="663" ht="15.75" customHeight="1">
      <c r="A663" s="2" t="s">
        <v>663</v>
      </c>
      <c r="B663" s="2" t="str">
        <f>IFERROR(__xludf.DUMMYFUNCTION("GOOGLETRANSLATE(A663, ""en"", ""mt"")"),"suċċess")</f>
        <v>suċċess</v>
      </c>
    </row>
    <row r="664" ht="15.75" customHeight="1">
      <c r="A664" s="2" t="s">
        <v>664</v>
      </c>
      <c r="B664" s="2" t="str">
        <f>IFERROR(__xludf.DUMMYFUNCTION("GOOGLETRANSLATE(A664, ""en"", ""mt"")"),"Filwaqt li l-biċċa l-kbira tal-ispiżeriji tal-internet ibigħu mediċini bir-riċetta u jeħtieġu preskrizzjoni valida, xi spiżeriji tal-internet ibigħu mediċini bir-riċetta mingħajr ma jeħtieġu riċetta. Bosta klijenti jordnaw mediċini minn spiżeriji bħal daw"&amp;"n biex jevitaw l- ""inkonvenjent"" li jżuru tabib jew biex jiksbu mediċini li t-tobba tagħhom ma riedux jippreskrivu. Madankollu, din il-prattika ġiet ikkritikata bħala potenzjalment perikoluża, speċjalment minn dawk li jħossu li t-tobba biss jistgħu jivv"&amp;"alutaw b'mod affidabbli kontra-indikazzjonijiet, proporzjonijiet ta 'riskju / benefiċċju, u l-adegwatezza ġenerali ta' individwu għall-użu ta 'medikazzjoni. Kien hemm ukoll rapporti ta 'spiżeriji bħal dawn li jqassmu prodotti mhux standard.")</f>
        <v>Filwaqt li l-biċċa l-kbira tal-ispiżeriji tal-internet ibigħu mediċini bir-riċetta u jeħtieġu preskrizzjoni valida, xi spiżeriji tal-internet ibigħu mediċini bir-riċetta mingħajr ma jeħtieġu riċetta. Bosta klijenti jordnaw mediċini minn spiżeriji bħal dawn biex jevitaw l- "inkonvenjent" li jżuru tabib jew biex jiksbu mediċini li t-tobba tagħhom ma riedux jippreskrivu. Madankollu, din il-prattika ġiet ikkritikata bħala potenzjalment perikoluża, speċjalment minn dawk li jħossu li t-tobba biss jistgħu jivvalutaw b'mod affidabbli kontra-indikazzjonijiet, proporzjonijiet ta 'riskju / benefiċċju, u l-adegwatezza ġenerali ta' individwu għall-użu ta 'medikazzjoni. Kien hemm ukoll rapporti ta 'spiżeriji bħal dawn li jqassmu prodotti mhux standard.</v>
      </c>
    </row>
    <row r="665" ht="15.75" customHeight="1">
      <c r="A665" s="2" t="s">
        <v>665</v>
      </c>
      <c r="B665" s="2" t="str">
        <f>IFERROR(__xludf.DUMMYFUNCTION("GOOGLETRANSLATE(A665, ""en"", ""mt"")"),"X'indika l-analiżi mid-depożiti tas-sedimenti?")</f>
        <v>X'indika l-analiżi mid-depożiti tas-sedimenti?</v>
      </c>
    </row>
    <row r="666" ht="15.75" customHeight="1">
      <c r="A666" s="2" t="s">
        <v>666</v>
      </c>
      <c r="B666" s="2" t="str">
        <f>IFERROR(__xludf.DUMMYFUNCTION("GOOGLETRANSLATE(A666, ""en"", ""mt"")"),"X'jistgħu sintetizzati l-apikoplasti?")</f>
        <v>X'jistgħu sintetizzati l-apikoplasti?</v>
      </c>
    </row>
    <row r="667" ht="15.75" customHeight="1">
      <c r="A667" s="2" t="s">
        <v>667</v>
      </c>
      <c r="B667" s="2" t="str">
        <f>IFERROR(__xludf.DUMMYFUNCTION("GOOGLETRANSLATE(A667, ""en"", ""mt"")"),"X’waqqaf Paul-Louis Simond fl-1898?")</f>
        <v>X’waqqaf Paul-Louis Simond fl-1898?</v>
      </c>
    </row>
    <row r="668" ht="15.75" customHeight="1">
      <c r="A668" s="2" t="s">
        <v>668</v>
      </c>
      <c r="B668" s="2" t="str">
        <f>IFERROR(__xludf.DUMMYFUNCTION("GOOGLETRANSLATE(A668, ""en"", ""mt"")"),"Public Pad Service Telepad (bl-użu tad-DNIC 2049")</f>
        <v>Public Pad Service Telepad (bl-użu tad-DNIC 2049</v>
      </c>
    </row>
    <row r="669" ht="15.75" customHeight="1">
      <c r="A669" s="2" t="s">
        <v>669</v>
      </c>
      <c r="B669" s="2" t="str">
        <f>IFERROR(__xludf.DUMMYFUNCTION("GOOGLETRANSLATE(A669, ""en"", ""mt"")"),"Killer T Cell u l-Helper T Cell")</f>
        <v>Killer T Cell u l-Helper T Cell</v>
      </c>
    </row>
    <row r="670" ht="15.75" customHeight="1">
      <c r="A670" s="2" t="s">
        <v>670</v>
      </c>
      <c r="B670" s="2" t="str">
        <f>IFERROR(__xludf.DUMMYFUNCTION("GOOGLETRANSLATE(A670, ""en"", ""mt"")"),"Liema sett ta 'pajjiżi għandhom mobilità ekonomika ogħla mill-Istati Uniti?")</f>
        <v>Liema sett ta 'pajjiżi għandhom mobilità ekonomika ogħla mill-Istati Uniti?</v>
      </c>
    </row>
    <row r="671" ht="15.75" customHeight="1">
      <c r="A671" s="2" t="s">
        <v>671</v>
      </c>
      <c r="B671" s="2" t="str">
        <f>IFERROR(__xludf.DUMMYFUNCTION("GOOGLETRANSLATE(A671, ""en"", ""mt"")"),"50% ossiġnu")</f>
        <v>50% ossiġnu</v>
      </c>
    </row>
    <row r="672" ht="15.75" customHeight="1">
      <c r="A672" s="2" t="s">
        <v>672</v>
      </c>
      <c r="B672" s="2" t="str">
        <f>IFERROR(__xludf.DUMMYFUNCTION("GOOGLETRANSLATE(A672, ""en"", ""mt"")"),"pittura, poeżija, u kaligrafija")</f>
        <v>pittura, poeżija, u kaligrafija</v>
      </c>
    </row>
    <row r="673" ht="15.75" customHeight="1">
      <c r="A673" s="2" t="s">
        <v>673</v>
      </c>
      <c r="B673" s="2" t="str">
        <f>IFERROR(__xludf.DUMMYFUNCTION("GOOGLETRANSLATE(A673, ""en"", ""mt"")"),"Waqt li tipproduċi l-ossiġnu, liema gass jassorbi l-għarbiel taż-żeoliti?")</f>
        <v>Waqt li tipproduċi l-ossiġnu, liema gass jassorbi l-għarbiel taż-żeoliti?</v>
      </c>
    </row>
    <row r="674" ht="15.75" customHeight="1">
      <c r="A674" s="2" t="s">
        <v>674</v>
      </c>
      <c r="B674" s="2" t="str">
        <f>IFERROR(__xludf.DUMMYFUNCTION("GOOGLETRANSLATE(A674, ""en"", ""mt"")"),"Min ipprevjeni l-Broncos milli jmur fis-Super Bowl?")</f>
        <v>Min ipprevjeni l-Broncos milli jmur fis-Super Bowl?</v>
      </c>
    </row>
    <row r="675" ht="15.75" customHeight="1">
      <c r="A675" s="2" t="s">
        <v>675</v>
      </c>
      <c r="B675" s="2" t="str">
        <f>IFERROR(__xludf.DUMMYFUNCTION("GOOGLETRANSLATE(A675, ""en"", ""mt"")"),"Triq il-Baċir")</f>
        <v>Triq il-Baċir</v>
      </c>
    </row>
    <row r="676" ht="15.75" customHeight="1">
      <c r="A676" s="2" t="s">
        <v>676</v>
      </c>
      <c r="B676" s="2" t="str">
        <f>IFERROR(__xludf.DUMMYFUNCTION("GOOGLETRANSLATE(A676, ""en"", ""mt"")"),"X'inhuma l-eċċezzjonijiet fil-Kostituzzjoni li jeħtieġu kunsiderazzjonijiet speċjali biex jiġu emendati?")</f>
        <v>X'inhuma l-eċċezzjonijiet fil-Kostituzzjoni li jeħtieġu kunsiderazzjonijiet speċjali biex jiġu emendati?</v>
      </c>
    </row>
    <row r="677" ht="15.75" customHeight="1">
      <c r="A677" s="2" t="s">
        <v>677</v>
      </c>
      <c r="B677" s="2" t="str">
        <f>IFERROR(__xludf.DUMMYFUNCTION("GOOGLETRANSLATE(A677, ""en"", ""mt"")"),"X'inhi l-ugwaljanza tal-forzi bejn żewġ oġġetti li jeżerċitaw forza fuq xulxin ??")</f>
        <v>X'inhi l-ugwaljanza tal-forzi bejn żewġ oġġetti li jeżerċitaw forza fuq xulxin ??</v>
      </c>
    </row>
    <row r="678" ht="15.75" customHeight="1">
      <c r="A678" s="2" t="s">
        <v>678</v>
      </c>
      <c r="B678" s="2" t="str">
        <f>IFERROR(__xludf.DUMMYFUNCTION("GOOGLETRANSLATE(A678, ""en"", ""mt"")"),"L-U.S.")</f>
        <v>L-U.S.</v>
      </c>
    </row>
    <row r="679" ht="15.75" customHeight="1">
      <c r="A679" s="2" t="s">
        <v>679</v>
      </c>
      <c r="B679" s="2" t="str">
        <f>IFERROR(__xludf.DUMMYFUNCTION("GOOGLETRANSLATE(A679, ""en"", ""mt"")"),"Nixxigħat diġitali")</f>
        <v>Nixxigħat diġitali</v>
      </c>
    </row>
    <row r="680" ht="15.75" customHeight="1">
      <c r="A680" s="2" t="s">
        <v>680</v>
      </c>
      <c r="B680" s="2" t="str">
        <f>IFERROR(__xludf.DUMMYFUNCTION("GOOGLETRANSLATE(A680, ""en"", ""mt"")"),"Los Angeles (bi 3.7 miljun persuna) u San Diego (f'1.3 miljun persuna), it-tnejn fin-Nofsinhar ta 'California, huma l-akbar żewġ bliet fil-Kalifornja kollha (u tnejn mill-ikbar bliet fl-Istati Uniti). Fin-Nofsinhar ta ’California hemm ukoll tnax-il belt b"&amp;"’aktar minn 200,000 resident u 34 belt’ il fuq minn 100,000 f’popolazzjoni. Ħafna mill-ibliet l-iktar żviluppati tan-Nofsinhar ta 'California jinsabu tul jew viċin il-kosta, bl-eċċezzjoni ta' San Bernardino u Riverside.")</f>
        <v>Los Angeles (bi 3.7 miljun persuna) u San Diego (f'1.3 miljun persuna), it-tnejn fin-Nofsinhar ta 'California, huma l-akbar żewġ bliet fil-Kalifornja kollha (u tnejn mill-ikbar bliet fl-Istati Uniti). Fin-Nofsinhar ta ’California hemm ukoll tnax-il belt b’aktar minn 200,000 resident u 34 belt’ il fuq minn 100,000 f’popolazzjoni. Ħafna mill-ibliet l-iktar żviluppati tan-Nofsinhar ta 'California jinsabu tul jew viċin il-kosta, bl-eċċezzjoni ta' San Bernardino u Riverside.</v>
      </c>
    </row>
    <row r="681" ht="15.75" customHeight="1">
      <c r="A681" s="2" t="s">
        <v>681</v>
      </c>
      <c r="B681" s="2" t="str">
        <f>IFERROR(__xludf.DUMMYFUNCTION("GOOGLETRANSLATE(A681, ""en"", ""mt"")"),"Matul is-seklu 10, l-inkursjonijiet inizjalment distruttivi tal-baned tal-gwerra Norveġiżi fix-xmajjar ta 'Franza evolvew f'kampji aktar permanenti li kienu jinkludu nisa lokali u proprjetà personali. Id-Dukat tan-Normandija, li beda fl-911 bħala fiefdom,"&amp;" ġie stabbilit mit-Trattat ta 'Saint-Clair-sur-Epte bejn ir-Re Charles III ta' West Francia u l-famuż ħakkiem Viking Rollo, u kien jinsab fir-renju Frankish ta 'Neustria ta' qabel Jonqos It-trattat offra lil Rollo u l-irġiel tiegħu l-artijiet Franċiżi bej"&amp;"n ix-Xmara Epte u l-Kosta tal-Atlantiku bi skambju għall-protezzjoni tagħhom kontra aktar inkursjonijiet fil-Viking. Iż-żona kienet tikkorrispondi mal-parti tat-tramuntana tan-Normandija ta 'fuq tal-lum' l isfel lejn ix-Xmara Seine, iżda l-dukat eventwalm"&amp;"ent jestendi lejn il-punent lil hinn mis-Seine. It-territorju kien bejn wieħed u ieħor ekwivalenti għall-provinċja l-qadima ta 'Rouen, u rriproduċiet l-istruttura amministrattiva Rumana ta' Gallia lugdunensis II (parti mill-ex Gallia Lugdunensis).")</f>
        <v>Matul is-seklu 10, l-inkursjonijiet inizjalment distruttivi tal-baned tal-gwerra Norveġiżi fix-xmajjar ta 'Franza evolvew f'kampji aktar permanenti li kienu jinkludu nisa lokali u proprjetà personali. Id-Dukat tan-Normandija, li beda fl-911 bħala fiefdom, ġie stabbilit mit-Trattat ta 'Saint-Clair-sur-Epte bejn ir-Re Charles III ta' West Francia u l-famuż ħakkiem Viking Rollo, u kien jinsab fir-renju Frankish ta 'Neustria ta' qabel Jonqos It-trattat offra lil Rollo u l-irġiel tiegħu l-artijiet Franċiżi bejn ix-Xmara Epte u l-Kosta tal-Atlantiku bi skambju għall-protezzjoni tagħhom kontra aktar inkursjonijiet fil-Viking. Iż-żona kienet tikkorrispondi mal-parti tat-tramuntana tan-Normandija ta 'fuq tal-lum' l isfel lejn ix-Xmara Seine, iżda l-dukat eventwalment jestendi lejn il-punent lil hinn mis-Seine. It-territorju kien bejn wieħed u ieħor ekwivalenti għall-provinċja l-qadima ta 'Rouen, u rriproduċiet l-istruttura amministrattiva Rumana ta' Gallia lugdunensis II (parti mill-ex Gallia Lugdunensis).</v>
      </c>
    </row>
    <row r="682" ht="15.75" customHeight="1">
      <c r="A682" s="2" t="s">
        <v>682</v>
      </c>
      <c r="B682" s="2" t="str">
        <f>IFERROR(__xludf.DUMMYFUNCTION("GOOGLETRANSLATE(A682, ""en"", ""mt"")"),"X'jista 'jiġi msemmi wara figura bibliċi?")</f>
        <v>X'jista 'jiġi msemmi wara figura bibliċi?</v>
      </c>
    </row>
    <row r="683" ht="15.75" customHeight="1">
      <c r="A683" s="2" t="s">
        <v>683</v>
      </c>
      <c r="B683" s="2" t="str">
        <f>IFERROR(__xludf.DUMMYFUNCTION("GOOGLETRANSLATE(A683, ""en"", ""mt"")"),"Meta jkun hemm ħafna ħaddiema li jikkompetu għal ftit impjiegi meqjusa bħala dak?")</f>
        <v>Meta jkun hemm ħafna ħaddiema li jikkompetu għal ftit impjiegi meqjusa bħala dak?</v>
      </c>
    </row>
    <row r="684" ht="15.75" customHeight="1">
      <c r="A684" s="2" t="s">
        <v>684</v>
      </c>
      <c r="B684" s="2" t="str">
        <f>IFERROR(__xludf.DUMMYFUNCTION("GOOGLETRANSLATE(A684, ""en"", ""mt"")"),"Kemm oġġetti l-Librerija tal-Università hija d-dar?")</f>
        <v>Kemm oġġetti l-Librerija tal-Università hija d-dar?</v>
      </c>
    </row>
    <row r="685" ht="15.75" customHeight="1">
      <c r="A685" s="2" t="s">
        <v>685</v>
      </c>
      <c r="B685" s="2" t="str">
        <f>IFERROR(__xludf.DUMMYFUNCTION("GOOGLETRANSLATE(A685, ""en"", ""mt"")"),"diżubbidjenza tal-liġijiet")</f>
        <v>diżubbidjenza tal-liġijiet</v>
      </c>
    </row>
    <row r="686" ht="15.75" customHeight="1">
      <c r="A686" s="2" t="s">
        <v>686</v>
      </c>
      <c r="B686" s="2" t="str">
        <f>IFERROR(__xludf.DUMMYFUNCTION("GOOGLETRANSLATE(A686, ""en"", ""mt"")"),"Liema artikoli jiddikjaraw li s-setgħat jibqgħu ma 'stati membri sakemm ma ġewx mogħtija?")</f>
        <v>Liema artikoli jiddikjaraw li s-setgħat jibqgħu ma 'stati membri sakemm ma ġewx mogħtija?</v>
      </c>
    </row>
    <row r="687" ht="15.75" customHeight="1">
      <c r="A687" s="2" t="s">
        <v>687</v>
      </c>
      <c r="B687" s="2" t="str">
        <f>IFERROR(__xludf.DUMMYFUNCTION("GOOGLETRANSLATE(A687, ""en"", ""mt"")"),"Ġeoloġi strutturali")</f>
        <v>Ġeoloġi strutturali</v>
      </c>
    </row>
    <row r="688" ht="15.75" customHeight="1">
      <c r="A688" s="2" t="s">
        <v>688</v>
      </c>
      <c r="B688" s="2" t="str">
        <f>IFERROR(__xludf.DUMMYFUNCTION("GOOGLETRANSLATE(A688, ""en"", ""mt"")"),"ir-rapport tal-WWF")</f>
        <v>ir-rapport tal-WWF</v>
      </c>
    </row>
    <row r="689" ht="15.75" customHeight="1">
      <c r="A689" s="2" t="s">
        <v>689</v>
      </c>
      <c r="B689" s="2" t="str">
        <f>IFERROR(__xludf.DUMMYFUNCTION("GOOGLETRANSLATE(A689, ""en"", ""mt"")"),"Huwa esplora l-muntanji fil-garb tal-kaċċatur")</f>
        <v>Huwa esplora l-muntanji fil-garb tal-kaċċatur</v>
      </c>
    </row>
    <row r="690" ht="15.75" customHeight="1">
      <c r="A690" s="2" t="s">
        <v>690</v>
      </c>
      <c r="B690" s="2" t="str">
        <f>IFERROR(__xludf.DUMMYFUNCTION("GOOGLETRANSLATE(A690, ""en"", ""mt"")"),"prodotti sekondarji perikolużi")</f>
        <v>prodotti sekondarji perikolużi</v>
      </c>
    </row>
    <row r="691" ht="15.75" customHeight="1">
      <c r="A691" s="2" t="s">
        <v>691</v>
      </c>
      <c r="B691" s="2" t="str">
        <f>IFERROR(__xludf.DUMMYFUNCTION("GOOGLETRANSLATE(A691, ""en"", ""mt"")"),"Kif tgħin l-immunità adattiva / akkwistata fil-futur?")</f>
        <v>Kif tgħin l-immunità adattiva / akkwistata fil-futur?</v>
      </c>
    </row>
    <row r="692" ht="15.75" customHeight="1">
      <c r="A692" s="2" t="s">
        <v>692</v>
      </c>
      <c r="B692" s="2" t="str">
        <f>IFERROR(__xludf.DUMMYFUNCTION("GOOGLETRANSLATE(A692, ""en"", ""mt"")"),"Pereżempju, ikkunsidra l-algoritmu ta 'l-issortjar deterministiku Quicksort. Dan isolvi l-problema tal-għażla ta 'lista ta' numri interi li tingħata bħala l-input. L-agħar każ huwa meta l-input jiġi magħżul jew magħżul f'ordni invers, u l-algoritmu jieħu "&amp;"ż-żmien O (N2) għal dan il-każ. Jekk nassumu li l-permutazzjonijiet kollha possibbli tal-lista tal-input huma ugwalment probabbli, il-ħin medju meħud għall-issortjar huwa O (n log n). L-aħjar każ iseħħ meta kull pivoting jaqsam il-lista bin-nofs, jeħtieġ "&amp;"ukoll il-ħin O (n log n).")</f>
        <v>Pereżempju, ikkunsidra l-algoritmu ta 'l-issortjar deterministiku Quicksort. Dan isolvi l-problema tal-għażla ta 'lista ta' numri interi li tingħata bħala l-input. L-agħar każ huwa meta l-input jiġi magħżul jew magħżul f'ordni invers, u l-algoritmu jieħu ż-żmien O (N2) għal dan il-każ. Jekk nassumu li l-permutazzjonijiet kollha possibbli tal-lista tal-input huma ugwalment probabbli, il-ħin medju meħud għall-issortjar huwa O (n log n). L-aħjar każ iseħħ meta kull pivoting jaqsam il-lista bin-nofs, jeħtieġ ukoll il-ħin O (n log n).</v>
      </c>
    </row>
    <row r="693" ht="15.75" customHeight="1">
      <c r="A693" s="2" t="s">
        <v>693</v>
      </c>
      <c r="B693" s="2" t="str">
        <f>IFERROR(__xludf.DUMMYFUNCTION("GOOGLETRANSLATE(A693, ""en"", ""mt"")"),"Liema kitba ispirat l-isem kbir Yuan?")</f>
        <v>Liema kitba ispirat l-isem kbir Yuan?</v>
      </c>
    </row>
    <row r="694" ht="15.75" customHeight="1">
      <c r="A694" s="2" t="s">
        <v>694</v>
      </c>
      <c r="B694" s="2" t="str">
        <f>IFERROR(__xludf.DUMMYFUNCTION("GOOGLETRANSLATE(A694, ""en"", ""mt"")"),"Il-mili ta 'orbitali molekulari ffurmati mill-orbitali atomiċi ta' l-atomi ta 'ossiġnu individwali")</f>
        <v>Il-mili ta 'orbitali molekulari ffurmati mill-orbitali atomiċi ta' l-atomi ta 'ossiġnu individwali</v>
      </c>
    </row>
    <row r="695" ht="15.75" customHeight="1">
      <c r="A695" s="2" t="s">
        <v>695</v>
      </c>
      <c r="B695" s="2" t="str">
        <f>IFERROR(__xludf.DUMMYFUNCTION("GOOGLETRANSLATE(A695, ""en"", ""mt"")"),"Kien hemm ħafna Mongoli b'liema status mhux mistenni?")</f>
        <v>Kien hemm ħafna Mongoli b'liema status mhux mistenni?</v>
      </c>
    </row>
    <row r="696" ht="15.75" customHeight="1">
      <c r="A696" s="2" t="s">
        <v>696</v>
      </c>
      <c r="B696" s="2" t="str">
        <f>IFERROR(__xludf.DUMMYFUNCTION("GOOGLETRANSLATE(A696, ""en"", ""mt"")"),"Meta ġie ppubblikat l-istudju dwar il-ġenomi Y sekwenzjati?")</f>
        <v>Meta ġie ppubblikat l-istudju dwar il-ġenomi Y sekwenzjati?</v>
      </c>
    </row>
    <row r="697" ht="15.75" customHeight="1">
      <c r="A697" s="2" t="s">
        <v>697</v>
      </c>
      <c r="B697" s="2" t="str">
        <f>IFERROR(__xludf.DUMMYFUNCTION("GOOGLETRANSLATE(A697, ""en"", ""mt"")"),"Fejn huma l-Korporazzjonijiet Internazzjonali bil-kwartjieri ġenerali?")</f>
        <v>Fejn huma l-Korporazzjonijiet Internazzjonali bil-kwartjieri ġenerali?</v>
      </c>
    </row>
    <row r="698" ht="15.75" customHeight="1">
      <c r="A698" s="2" t="s">
        <v>698</v>
      </c>
      <c r="B698" s="2" t="str">
        <f>IFERROR(__xludf.DUMMYFUNCTION("GOOGLETRANSLATE(A698, ""en"", ""mt"")"),"Liema Kumitat tas-Senat Kellem il-Kantant f'Lulju 2000?")</f>
        <v>Liema Kumitat tas-Senat Kellem il-Kantant f'Lulju 2000?</v>
      </c>
    </row>
    <row r="699" ht="15.75" customHeight="1">
      <c r="A699" s="2" t="s">
        <v>699</v>
      </c>
      <c r="B699" s="2" t="str">
        <f>IFERROR(__xludf.DUMMYFUNCTION("GOOGLETRANSLATE(A699, ""en"", ""mt"")"),"Komunista")</f>
        <v>Komunista</v>
      </c>
    </row>
    <row r="700" ht="15.75" customHeight="1">
      <c r="A700" s="2" t="s">
        <v>700</v>
      </c>
      <c r="B700" s="2" t="str">
        <f>IFERROR(__xludf.DUMMYFUNCTION("GOOGLETRANSLATE(A700, ""en"", ""mt"")"),"Il-kapaċità attwali tal-fluss spazjali uman tan-NASA, u l-kostruzzjoni ffinanzjata taċ-Ċentru Spazjali Johnson u ċ-Ċentru Spazjali Kennedy tagħha")</f>
        <v>Il-kapaċità attwali tal-fluss spazjali uman tan-NASA, u l-kostruzzjoni ffinanzjata taċ-Ċentru Spazjali Johnson u ċ-Ċentru Spazjali Kennedy tagħha</v>
      </c>
    </row>
    <row r="701" ht="15.75" customHeight="1">
      <c r="A701" s="2" t="s">
        <v>701</v>
      </c>
      <c r="B701" s="2" t="str">
        <f>IFERROR(__xludf.DUMMYFUNCTION("GOOGLETRANSLATE(A701, ""en"", ""mt"")"),"X'kienet ħaġa waħda li ġiet ittestjata speċifikament fuq it-tnedija tat-test Apollo 4 rigward is-CM?")</f>
        <v>X'kienet ħaġa waħda li ġiet ittestjata speċifikament fuq it-tnedija tat-test Apollo 4 rigward is-CM?</v>
      </c>
    </row>
    <row r="702" ht="15.75" customHeight="1">
      <c r="A702" s="2" t="s">
        <v>702</v>
      </c>
      <c r="B702" s="2" t="str">
        <f>IFERROR(__xludf.DUMMYFUNCTION("GOOGLETRANSLATE(A702, ""en"", ""mt"")"),"Maududi kien imħarreġ bħala avukat, imma għażel liema professjonist għalih innifsu minflok?")</f>
        <v>Maududi kien imħarreġ bħala avukat, imma għażel liema professjonist għalih innifsu minflok?</v>
      </c>
    </row>
    <row r="703" ht="15.75" customHeight="1">
      <c r="A703" s="2" t="s">
        <v>703</v>
      </c>
      <c r="B703" s="2" t="str">
        <f>IFERROR(__xludf.DUMMYFUNCTION("GOOGLETRANSLATE(A703, ""en"", ""mt"")"),"lejliet il-Milied")</f>
        <v>lejliet il-Milied</v>
      </c>
    </row>
    <row r="704" ht="15.75" customHeight="1">
      <c r="A704" s="2" t="s">
        <v>704</v>
      </c>
      <c r="B704" s="2" t="str">
        <f>IFERROR(__xludf.DUMMYFUNCTION("GOOGLETRANSLATE(A704, ""en"", ""mt"")"),"Bajd u sperma jimmaturaw fi żminijiet differenti")</f>
        <v>Bajd u sperma jimmaturaw fi żminijiet differenti</v>
      </c>
    </row>
    <row r="705" ht="15.75" customHeight="1">
      <c r="A705" s="2" t="s">
        <v>705</v>
      </c>
      <c r="B705" s="2" t="str">
        <f>IFERROR(__xludf.DUMMYFUNCTION("GOOGLETRANSLATE(A705, ""en"", ""mt"")"),"(sa elf darba daqs ħafna) ġewwa s-sistema tat-tilakoid milli fl-istoma")</f>
        <v>(sa elf darba daqs ħafna) ġewwa s-sistema tat-tilakoid milli fl-istoma</v>
      </c>
    </row>
    <row r="706" ht="15.75" customHeight="1">
      <c r="A706" s="2" t="s">
        <v>706</v>
      </c>
      <c r="B706" s="2" t="str">
        <f>IFERROR(__xludf.DUMMYFUNCTION("GOOGLETRANSLATE(A706, ""en"", ""mt"")"),"Impass kostituzzjonali huwa differenti mid-diżubbidjenza ċivili għaliex ma jinkludix liema tip ta 'persuna?")</f>
        <v>Impass kostituzzjonali huwa differenti mid-diżubbidjenza ċivili għaliex ma jinkludix liema tip ta 'persuna?</v>
      </c>
    </row>
    <row r="707" ht="15.75" customHeight="1">
      <c r="A707" s="2" t="s">
        <v>707</v>
      </c>
      <c r="B707" s="2" t="str">
        <f>IFERROR(__xludf.DUMMYFUNCTION("GOOGLETRANSLATE(A707, ""en"", ""mt"")"),"Liema terminu huwa shorthand għall-ġeneraturi tal-antikorpi?")</f>
        <v>Liema terminu huwa shorthand għall-ġeneraturi tal-antikorpi?</v>
      </c>
    </row>
    <row r="708" ht="15.75" customHeight="1">
      <c r="A708" s="2" t="s">
        <v>708</v>
      </c>
      <c r="B708" s="2" t="str">
        <f>IFERROR(__xludf.DUMMYFUNCTION("GOOGLETRANSLATE(A708, ""en"", ""mt"")"),"Xi tuża Ctenophora għad-diġestjoni u r-respirazzjoni?")</f>
        <v>Xi tuża Ctenophora għad-diġestjoni u r-respirazzjoni?</v>
      </c>
    </row>
    <row r="709" ht="15.75" customHeight="1">
      <c r="A709" s="2" t="s">
        <v>709</v>
      </c>
      <c r="B709" s="2" t="str">
        <f>IFERROR(__xludf.DUMMYFUNCTION("GOOGLETRANSLATE(A709, ""en"", ""mt"")"),"Spazju aħdar ieħor fi Newcastle huwa l-Belt Moor, li tinsab immedjatament fit-tramuntana taċ-ċentru tal-belt. Huwa akbar mill-famuż Hyde Park ta 'Londra u Hampstead Heath flimkien u l-freemen tal-belt għandhom id-dritt li jirgħu baqar fuqha. Id-dritt inċi"&amp;"dentalment jestendi għall-grawnd tal-Park ta 'San Ġakbu, Newcastle United Football Club, għalkemm dan mhux eżerċitat, għalkemm il-Freemen ma jiġbrux kera għat-telf tal-privileġġ. Freemen onorarju jinkludu Bob Geldof, King Harald V tan-Norveġja, Bobby Robs"&amp;"on, Alan Shearer, il-mibki Nelson Mandela u l-Kumpanija Royal Shakespeare. Il-Funfair Hoppings, li qal li huwa l-akbar funfair li jivvjaġġa fl-Ewropa, hawnhekk isir kull sena f'Ġunju.")</f>
        <v>Spazju aħdar ieħor fi Newcastle huwa l-Belt Moor, li tinsab immedjatament fit-tramuntana taċ-ċentru tal-belt. Huwa akbar mill-famuż Hyde Park ta 'Londra u Hampstead Heath flimkien u l-freemen tal-belt għandhom id-dritt li jirgħu baqar fuqha. Id-dritt inċidentalment jestendi għall-grawnd tal-Park ta 'San Ġakbu, Newcastle United Football Club, għalkemm dan mhux eżerċitat, għalkemm il-Freemen ma jiġbrux kera għat-telf tal-privileġġ. Freemen onorarju jinkludu Bob Geldof, King Harald V tan-Norveġja, Bobby Robson, Alan Shearer, il-mibki Nelson Mandela u l-Kumpanija Royal Shakespeare. Il-Funfair Hoppings, li qal li huwa l-akbar funfair li jivvjaġġa fl-Ewropa, hawnhekk isir kull sena f'Ġunju.</v>
      </c>
    </row>
    <row r="710" ht="15.75" customHeight="1">
      <c r="A710" s="2" t="s">
        <v>710</v>
      </c>
      <c r="B710" s="2" t="str">
        <f>IFERROR(__xludf.DUMMYFUNCTION("GOOGLETRANSLATE(A710, ""en"", ""mt"")"),"Qrati tal-Istati Membri")</f>
        <v>Qrati tal-Istati Membri</v>
      </c>
    </row>
    <row r="711" ht="15.75" customHeight="1">
      <c r="A711" s="2" t="s">
        <v>711</v>
      </c>
      <c r="B711" s="2" t="str">
        <f>IFERROR(__xludf.DUMMYFUNCTION("GOOGLETRANSLATE(A711, ""en"", ""mt"")"),"L-Armata l-Ħamra kienet waslet il-belt")</f>
        <v>L-Armata l-Ħamra kienet waslet il-belt</v>
      </c>
    </row>
    <row r="712" ht="15.75" customHeight="1">
      <c r="A712" s="2" t="s">
        <v>712</v>
      </c>
      <c r="B712" s="2" t="str">
        <f>IFERROR(__xludf.DUMMYFUNCTION("GOOGLETRANSLATE(A712, ""en"", ""mt"")"),"Kif jissejħu skejjel sekondarji privati ​​fil-Ġermanja?")</f>
        <v>Kif jissejħu skejjel sekondarji privati ​​fil-Ġermanja?</v>
      </c>
    </row>
    <row r="713" ht="15.75" customHeight="1">
      <c r="A713" s="2" t="s">
        <v>713</v>
      </c>
      <c r="B713" s="2" t="str">
        <f>IFERROR(__xludf.DUMMYFUNCTION("GOOGLETRANSLATE(A713, ""en"", ""mt"")"),"Id-dell tax-xita")</f>
        <v>Id-dell tax-xita</v>
      </c>
    </row>
    <row r="714" ht="15.75" customHeight="1">
      <c r="A714" s="2" t="s">
        <v>714</v>
      </c>
      <c r="B714" s="2" t="str">
        <f>IFERROR(__xludf.DUMMYFUNCTION("GOOGLETRANSLATE(A714, ""en"", ""mt"")"),"Għal xiex huma limitati l-impenn tal-gvern inkompetenti għall-ġustizzja soċjali?")</f>
        <v>Għal xiex huma limitati l-impenn tal-gvern inkompetenti għall-ġustizzja soċjali?</v>
      </c>
    </row>
    <row r="715" ht="15.75" customHeight="1">
      <c r="A715" s="2" t="s">
        <v>715</v>
      </c>
      <c r="B715" s="2" t="str">
        <f>IFERROR(__xludf.DUMMYFUNCTION("GOOGLETRANSLATE(A715, ""en"", ""mt"")"),"X'inhuma xi eżempji ta 'territorji fejn stat membru huwa responsabbli għar-relazzjonijiet esterni?")</f>
        <v>X'inhuma xi eżempji ta 'territorji fejn stat membru huwa responsabbli għar-relazzjonijiet esterni?</v>
      </c>
    </row>
    <row r="716" ht="15.75" customHeight="1">
      <c r="A716" s="2" t="s">
        <v>716</v>
      </c>
      <c r="B716" s="2" t="str">
        <f>IFERROR(__xludf.DUMMYFUNCTION("GOOGLETRANSLATE(A716, ""en"", ""mt"")"),"Il-Kolonja tal-Ġeorġja")</f>
        <v>Il-Kolonja tal-Ġeorġja</v>
      </c>
    </row>
    <row r="717" ht="15.75" customHeight="1">
      <c r="A717" s="2" t="s">
        <v>717</v>
      </c>
      <c r="B717" s="2" t="str">
        <f>IFERROR(__xludf.DUMMYFUNCTION("GOOGLETRANSLATE(A717, ""en"", ""mt"")"),"ottimali")</f>
        <v>ottimali</v>
      </c>
    </row>
    <row r="718" ht="15.75" customHeight="1">
      <c r="A718" s="2" t="s">
        <v>718</v>
      </c>
      <c r="B718" s="2" t="str">
        <f>IFERROR(__xludf.DUMMYFUNCTION("GOOGLETRANSLATE(A718, ""en"", ""mt"")"),"X’qal il-Qorti tal-Ġustizzja li Steymann kienet intitolata?")</f>
        <v>X’qal il-Qorti tal-Ġustizzja li Steymann kienet intitolata?</v>
      </c>
    </row>
    <row r="719" ht="15.75" customHeight="1">
      <c r="A719" s="2" t="s">
        <v>719</v>
      </c>
      <c r="B719" s="2" t="str">
        <f>IFERROR(__xludf.DUMMYFUNCTION("GOOGLETRANSLATE(A719, ""en"", ""mt"")"),"F'liema forma huma l-iktar mediċini fl-isptar?")</f>
        <v>F'liema forma huma l-iktar mediċini fl-isptar?</v>
      </c>
    </row>
    <row r="720" ht="15.75" customHeight="1">
      <c r="A720" s="2" t="s">
        <v>720</v>
      </c>
      <c r="B720" s="2" t="str">
        <f>IFERROR(__xludf.DUMMYFUNCTION("GOOGLETRANSLATE(A720, ""en"", ""mt"")"),"Kathmandu")</f>
        <v>Kathmandu</v>
      </c>
    </row>
    <row r="721" ht="15.75" customHeight="1">
      <c r="A721" s="2" t="s">
        <v>721</v>
      </c>
      <c r="B721" s="2" t="str">
        <f>IFERROR(__xludf.DUMMYFUNCTION("GOOGLETRANSLATE(A721, ""en"", ""mt"")"),"il-kamra tal-lukanda tiegħu")</f>
        <v>il-kamra tal-lukanda tiegħu</v>
      </c>
    </row>
    <row r="722" ht="15.75" customHeight="1">
      <c r="A722" s="2" t="s">
        <v>722</v>
      </c>
      <c r="B722" s="2" t="str">
        <f>IFERROR(__xludf.DUMMYFUNCTION("GOOGLETRANSLATE(A722, ""en"", ""mt"")"),"X'inhi l-attivazzjoni kumplessa ""b'żewġ sinjali"" taċ-ċelloli T?")</f>
        <v>X'inhi l-attivazzjoni kumplessa "b'żewġ sinjali" taċ-ċelloli T?</v>
      </c>
    </row>
    <row r="723" ht="15.75" customHeight="1">
      <c r="A723" s="2" t="s">
        <v>723</v>
      </c>
      <c r="B723" s="2" t="str">
        <f>IFERROR(__xludf.DUMMYFUNCTION("GOOGLETRANSLATE(A723, ""en"", ""mt"")"),"Difiża tal-ħtieġa")</f>
        <v>Difiża tal-ħtieġa</v>
      </c>
    </row>
    <row r="724" ht="15.75" customHeight="1">
      <c r="A724" s="2" t="s">
        <v>724</v>
      </c>
      <c r="B724" s="2" t="str">
        <f>IFERROR(__xludf.DUMMYFUNCTION("GOOGLETRANSLATE(A724, ""en"", ""mt"")"),"Politika tat-Taxxa fuq il-Propjetà")</f>
        <v>Politika tat-Taxxa fuq il-Propjetà</v>
      </c>
    </row>
    <row r="725" ht="15.75" customHeight="1">
      <c r="A725" s="2" t="s">
        <v>725</v>
      </c>
      <c r="B725" s="2" t="str">
        <f>IFERROR(__xludf.DUMMYFUNCTION("GOOGLETRANSLATE(A725, ""en"", ""mt"")"),"korporali")</f>
        <v>korporali</v>
      </c>
    </row>
    <row r="726" ht="15.75" customHeight="1">
      <c r="A726" s="2" t="s">
        <v>726</v>
      </c>
      <c r="B726" s="2" t="str">
        <f>IFERROR(__xludf.DUMMYFUNCTION("GOOGLETRANSLATE(A726, ""en"", ""mt"")"),"Il-blat tal-qoxra tad-Dinja")</f>
        <v>Il-blat tal-qoxra tad-Dinja</v>
      </c>
    </row>
    <row r="727" ht="15.75" customHeight="1">
      <c r="A727" s="2" t="s">
        <v>727</v>
      </c>
      <c r="B727" s="2" t="str">
        <f>IFERROR(__xludf.DUMMYFUNCTION("GOOGLETRANSLATE(A727, ""en"", ""mt"")"),"Kemm hemm fergħat li l-fergħa tar-Rhine tidħol?")</f>
        <v>Kemm hemm fergħat li l-fergħa tar-Rhine tidħol?</v>
      </c>
    </row>
    <row r="728" ht="15.75" customHeight="1">
      <c r="A728" s="2" t="s">
        <v>728</v>
      </c>
      <c r="B728" s="2" t="str">
        <f>IFERROR(__xludf.DUMMYFUNCTION("GOOGLETRANSLATE(A728, ""en"", ""mt"")"),"Min kompla jżomm iċ-Ċittadella ta 'Bukhara wara li l-Mongoli ħadu l-kumplament tal-belt?")</f>
        <v>Min kompla jżomm iċ-Ċittadella ta 'Bukhara wara li l-Mongoli ħadu l-kumplament tal-belt?</v>
      </c>
    </row>
    <row r="729" ht="15.75" customHeight="1">
      <c r="A729" s="2" t="s">
        <v>729</v>
      </c>
      <c r="B729" s="2" t="str">
        <f>IFERROR(__xludf.DUMMYFUNCTION("GOOGLETRANSLATE(A729, ""en"", ""mt"")"),"Minn min kiseb l-SNP 16-il siġġu?")</f>
        <v>Minn min kiseb l-SNP 16-il siġġu?</v>
      </c>
    </row>
    <row r="730" ht="15.75" customHeight="1">
      <c r="A730" s="2" t="s">
        <v>730</v>
      </c>
      <c r="B730" s="2" t="str">
        <f>IFERROR(__xludf.DUMMYFUNCTION("GOOGLETRANSLATE(A730, ""en"", ""mt"")"),"Dħul mill-ħsad tal-kerrejja Ċiniżi tagħhom")</f>
        <v>Dħul mill-ħsad tal-kerrejja Ċiniżi tagħhom</v>
      </c>
    </row>
    <row r="731" ht="15.75" customHeight="1">
      <c r="A731" s="2" t="s">
        <v>731</v>
      </c>
      <c r="B731" s="2" t="str">
        <f>IFERROR(__xludf.DUMMYFUNCTION("GOOGLETRANSLATE(A731, ""en"", ""mt"")"),"Ħafna klassijiet ta 'kumplessità magħrufa huma suspettati li huma inugwali")</f>
        <v>Ħafna klassijiet ta 'kumplessità magħrufa huma suspettati li huma inugwali</v>
      </c>
    </row>
    <row r="732" ht="15.75" customHeight="1">
      <c r="A732" s="2" t="s">
        <v>732</v>
      </c>
      <c r="B732" s="2" t="str">
        <f>IFERROR(__xludf.DUMMYFUNCTION("GOOGLETRANSLATE(A732, ""en"", ""mt"")"),"Fl-1929, il-ħames president tal-università, Robert Maynard Hutchins, ħa l-kariga; L-università għaddiet minn ħafna bidliet matul il-mandat ta '24 sena tiegħu. Hutchins elimina l-futbol tal-varsity mill-università f'attentat biex jenfasizza l-akkademiċi fu"&amp;"q l-atletika, stabbilixxa l-kurrikulu liberali tal-kulleġġ li għadhom ma ggradwawx magħruf bħala l-Qofol Komuni, u organizza x-xogħol gradwat tal-università fil-kurrent tagħha [meta?] Erba 'diviżjonijiet. Fl-1933, Hutchins ippropona pjan li ma rnexxiex bi"&amp;"ex jingħaqad l-Università ta 'Chicago u l-Università tal-Majjistral f'università waħda. Matul il-mandat tiegħu, l-isptarijiet tal-Università ta ’Chicago (issa msejħa l-Università ta’ Chicago Medical Center) temmew il-kostruzzjoni u rreġistraw l-ewwel stud"&amp;"enti mediċi tagħha. Inħoloq ukoll, il-Kumitat għall-Ħsieb Soċjali, istituzzjoni distintiva tal-università.")</f>
        <v>Fl-1929, il-ħames president tal-università, Robert Maynard Hutchins, ħa l-kariga; L-università għaddiet minn ħafna bidliet matul il-mandat ta '24 sena tiegħu. Hutchins elimina l-futbol tal-varsity mill-università f'attentat biex jenfasizza l-akkademiċi fuq l-atletika, stabbilixxa l-kurrikulu liberali tal-kulleġġ li għadhom ma ggradwawx magħruf bħala l-Qofol Komuni, u organizza x-xogħol gradwat tal-università fil-kurrent tagħha [meta?] Erba 'diviżjonijiet. Fl-1933, Hutchins ippropona pjan li ma rnexxiex biex jingħaqad l-Università ta 'Chicago u l-Università tal-Majjistral f'università waħda. Matul il-mandat tiegħu, l-isptarijiet tal-Università ta ’Chicago (issa msejħa l-Università ta’ Chicago Medical Center) temmew il-kostruzzjoni u rreġistraw l-ewwel studenti mediċi tagħha. Inħoloq ukoll, il-Kumitat għall-Ħsieb Soċjali, istituzzjoni distintiva tal-università.</v>
      </c>
    </row>
    <row r="733" ht="15.75" customHeight="1">
      <c r="A733" s="2" t="s">
        <v>733</v>
      </c>
      <c r="B733" s="2" t="str">
        <f>IFERROR(__xludf.DUMMYFUNCTION("GOOGLETRANSLATE(A733, ""en"", ""mt"")"),"F'Novembru 2006, l-elezzjonijiet tal-Kunsill Leġiżlattiv Vittorjan saru taħt sistema ta 'rappreżentanza proporzjonali b'ħafna membri. L-istat tar-Rabat kien maqsum fi tmien elettorati ma 'kull elettorat irrappreżentat minn ħames rappreżentanti eletti b'vo"&amp;"t trasferibbli wieħed. In-numru totali ta 'membri ta' Upper House tnaqqas minn 44 għal 40 u l-mandat tagħhom issa huwa l-istess bħall-membri ta 'l-Isfond tad-Dar - erba' snin. L-elezzjonijiet għall-Parlament Vittorjan issa huma ffissati u jseħħu f'Novembr"&amp;"u kull erba 'snin. Qabel l-elezzjoni tal-2006, il-Kunsill Leġiżlattiv kien jikkonsisti minn 44 membru eletti għal termini ta 'tmien snin minn 22 elettorat ta' żewġ membri.")</f>
        <v>F'Novembru 2006, l-elezzjonijiet tal-Kunsill Leġiżlattiv Vittorjan saru taħt sistema ta 'rappreżentanza proporzjonali b'ħafna membri. L-istat tar-Rabat kien maqsum fi tmien elettorati ma 'kull elettorat irrappreżentat minn ħames rappreżentanti eletti b'vot trasferibbli wieħed. In-numru totali ta 'membri ta' Upper House tnaqqas minn 44 għal 40 u l-mandat tagħhom issa huwa l-istess bħall-membri ta 'l-Isfond tad-Dar - erba' snin. L-elezzjonijiet għall-Parlament Vittorjan issa huma ffissati u jseħħu f'Novembru kull erba 'snin. Qabel l-elezzjoni tal-2006, il-Kunsill Leġiżlattiv kien jikkonsisti minn 44 membru eletti għal termini ta 'tmien snin minn 22 elettorat ta' żewġ membri.</v>
      </c>
    </row>
    <row r="734" ht="15.75" customHeight="1">
      <c r="A734" s="2" t="s">
        <v>734</v>
      </c>
      <c r="B734" s="2" t="str">
        <f>IFERROR(__xludf.DUMMYFUNCTION("GOOGLETRANSLATE(A734, ""en"", ""mt"")"),"Kif huma diffiċli l-ispejjeż li huma diffiċli biex jiġu evitati?")</f>
        <v>Kif huma diffiċli l-ispejjeż li huma diffiċli biex jiġu evitati?</v>
      </c>
    </row>
    <row r="735" ht="15.75" customHeight="1">
      <c r="A735" s="2" t="s">
        <v>735</v>
      </c>
      <c r="B735" s="2" t="str">
        <f>IFERROR(__xludf.DUMMYFUNCTION("GOOGLETRANSLATE(A735, ""en"", ""mt"")"),"Gurus, Mullahs, Rabbis, Rgħajja / Rgħajja taż-Żgħażagħ u Lamas")</f>
        <v>Gurus, Mullahs, Rabbis, Rgħajja / Rgħajja taż-Żgħażagħ u Lamas</v>
      </c>
    </row>
    <row r="736" ht="15.75" customHeight="1">
      <c r="A736" s="2" t="s">
        <v>736</v>
      </c>
      <c r="B736" s="2" t="str">
        <f>IFERROR(__xludf.DUMMYFUNCTION("GOOGLETRANSLATE(A736, ""en"", ""mt"")"),"Montcalm jaljena")</f>
        <v>Montcalm jaljena</v>
      </c>
    </row>
    <row r="737" ht="15.75" customHeight="1">
      <c r="A737" s="2" t="s">
        <v>737</v>
      </c>
      <c r="B737" s="2" t="str">
        <f>IFERROR(__xludf.DUMMYFUNCTION("GOOGLETRANSLATE(A737, ""en"", ""mt"")"),"1855 Kostituzzjoni Kolonjali")</f>
        <v>1855 Kostituzzjoni Kolonjali</v>
      </c>
    </row>
    <row r="738" ht="15.75" customHeight="1">
      <c r="A738" s="2" t="s">
        <v>738</v>
      </c>
      <c r="B738" s="2" t="str">
        <f>IFERROR(__xludf.DUMMYFUNCTION("GOOGLETRANSLATE(A738, ""en"", ""mt"")"),"Kaċċa ta 'diversi annimali")</f>
        <v>Kaċċa ta 'diversi annimali</v>
      </c>
    </row>
    <row r="739" ht="15.75" customHeight="1">
      <c r="A739" s="2" t="s">
        <v>739</v>
      </c>
      <c r="B739" s="2" t="str">
        <f>IFERROR(__xludf.DUMMYFUNCTION("GOOGLETRANSLATE(A739, ""en"", ""mt"")"),"Għaliex xi forzi minħabba dan huma impossibbli li jiġu mmudellati?")</f>
        <v>Għaliex xi forzi minħabba dan huma impossibbli li jiġu mmudellati?</v>
      </c>
    </row>
    <row r="740" ht="15.75" customHeight="1">
      <c r="A740" s="2" t="s">
        <v>740</v>
      </c>
      <c r="B740" s="2" t="str">
        <f>IFERROR(__xludf.DUMMYFUNCTION("GOOGLETRANSLATE(A740, ""en"", ""mt"")"),"Ir-riċetturi tar-rikonoxximent tal-mudelli jirrikonoxxu komponenti preżenti fi gruppi wesgħin ta 'xiex?")</f>
        <v>Ir-riċetturi tar-rikonoxximent tal-mudelli jirrikonoxxu komponenti preżenti fi gruppi wesgħin ta 'xiex?</v>
      </c>
    </row>
    <row r="741" ht="15.75" customHeight="1">
      <c r="A741" s="2" t="s">
        <v>741</v>
      </c>
      <c r="B741" s="2" t="str">
        <f>IFERROR(__xludf.DUMMYFUNCTION("GOOGLETRANSLATE(A741, ""en"", ""mt"")"),"It-twaqqif ta ’knejjes Protestanti ġodda f’reġjuni kkontrollati mill-Kattoliċi")</f>
        <v>It-twaqqif ta ’knejjes Protestanti ġodda f’reġjuni kkontrollati mill-Kattoliċi</v>
      </c>
    </row>
    <row r="742" ht="15.75" customHeight="1">
      <c r="A742" s="2" t="s">
        <v>742</v>
      </c>
      <c r="B742" s="2" t="str">
        <f>IFERROR(__xludf.DUMMYFUNCTION("GOOGLETRANSLATE(A742, ""en"", ""mt"")"),"Bejn liema dati ġie rranġat il-bini fi Triq Pilgrim?")</f>
        <v>Bejn liema dati ġie rranġat il-bini fi Triq Pilgrim?</v>
      </c>
    </row>
    <row r="743" ht="15.75" customHeight="1">
      <c r="A743" s="2" t="s">
        <v>743</v>
      </c>
      <c r="B743" s="2" t="str">
        <f>IFERROR(__xludf.DUMMYFUNCTION("GOOGLETRANSLATE(A743, ""en"", ""mt"")"),"Bħala likwidu f'tankers iżolati apposta")</f>
        <v>Bħala likwidu f'tankers iżolati apposta</v>
      </c>
    </row>
    <row r="744" ht="15.75" customHeight="1">
      <c r="A744" s="2" t="s">
        <v>744</v>
      </c>
      <c r="B744" s="2" t="str">
        <f>IFERROR(__xludf.DUMMYFUNCTION("GOOGLETRANSLATE(A744, ""en"", ""mt"")"),"Liema trattament mediku jintuża biex jibbenefika pazjenti b'disturbi tal-fuklar u tal-pulmun?")</f>
        <v>Liema trattament mediku jintuża biex jibbenefika pazjenti b'disturbi tal-fuklar u tal-pulmun?</v>
      </c>
    </row>
    <row r="745" ht="15.75" customHeight="1">
      <c r="A745" s="2" t="s">
        <v>745</v>
      </c>
      <c r="B745" s="2" t="str">
        <f>IFERROR(__xludf.DUMMYFUNCTION("GOOGLETRANSLATE(A745, ""en"", ""mt"")"),"Liema ktieb jirrikonoxxi l-importanza tal-Kredu Chalcedonian?")</f>
        <v>Liema ktieb jirrikonoxxi l-importanza tal-Kredu Chalcedonian?</v>
      </c>
    </row>
    <row r="746" ht="15.75" customHeight="1">
      <c r="A746" s="2" t="s">
        <v>746</v>
      </c>
      <c r="B746" s="2" t="str">
        <f>IFERROR(__xludf.DUMMYFUNCTION("GOOGLETRANSLATE(A746, ""en"", ""mt"")"),"Fejn Luther sar irrabjat bil-qerda mifruxa tal-propjetà tal-knisja?")</f>
        <v>Fejn Luther sar irrabjat bil-qerda mifruxa tal-propjetà tal-knisja?</v>
      </c>
    </row>
    <row r="747" ht="15.75" customHeight="1">
      <c r="A747" s="2" t="s">
        <v>747</v>
      </c>
      <c r="B747" s="2" t="str">
        <f>IFERROR(__xludf.DUMMYFUNCTION("GOOGLETRANSLATE(A747, ""en"", ""mt"")"),"imkessaħ bl-ilma")</f>
        <v>imkessaħ bl-ilma</v>
      </c>
    </row>
    <row r="748" ht="15.75" customHeight="1">
      <c r="A748" s="2" t="s">
        <v>748</v>
      </c>
      <c r="B748" s="2" t="str">
        <f>IFERROR(__xludf.DUMMYFUNCTION("GOOGLETRANSLATE(A748, ""en"", ""mt"")"),"ittardja l-issiġillar tal-bokkaport")</f>
        <v>ittardja l-issiġillar tal-bokkaport</v>
      </c>
    </row>
    <row r="749" ht="15.75" customHeight="1">
      <c r="A749" s="2" t="s">
        <v>749</v>
      </c>
      <c r="B749" s="2" t="str">
        <f>IFERROR(__xludf.DUMMYFUNCTION("GOOGLETRANSLATE(A749, ""en"", ""mt"")"),"Minbarra l-kriptografija taċ-ċavetta pubblika, x'inhi applikazzjoni oħra għan-numri ewlenin?")</f>
        <v>Minbarra l-kriptografija taċ-ċavetta pubblika, x'inhi applikazzjoni oħra għan-numri ewlenin?</v>
      </c>
    </row>
    <row r="750" ht="15.75" customHeight="1">
      <c r="A750" s="2" t="s">
        <v>750</v>
      </c>
      <c r="B750" s="2" t="str">
        <f>IFERROR(__xludf.DUMMYFUNCTION("GOOGLETRANSLATE(A750, ""en"", ""mt"")"),"l-Ingliżi")</f>
        <v>l-Ingliżi</v>
      </c>
    </row>
    <row r="751" ht="15.75" customHeight="1">
      <c r="A751" s="2" t="s">
        <v>751</v>
      </c>
      <c r="B751" s="2" t="str">
        <f>IFERROR(__xludf.DUMMYFUNCTION("GOOGLETRANSLATE(A751, ""en"", ""mt"")"),"X'tip ta 'kastig xi kultant jiġi offrut lid-diżubbidjenti ċivili?")</f>
        <v>X'tip ta 'kastig xi kultant jiġi offrut lid-diżubbidjenti ċivili?</v>
      </c>
    </row>
    <row r="752" ht="15.75" customHeight="1">
      <c r="A752" s="2" t="s">
        <v>752</v>
      </c>
      <c r="B752" s="2" t="str">
        <f>IFERROR(__xludf.DUMMYFUNCTION("GOOGLETRANSLATE(A752, ""en"", ""mt"")"),"X'ġara bħala riżultat tal-gwerra Russo-Ġappuniża?")</f>
        <v>X'ġara bħala riżultat tal-gwerra Russo-Ġappuniża?</v>
      </c>
    </row>
    <row r="753" ht="15.75" customHeight="1">
      <c r="A753" s="2" t="s">
        <v>753</v>
      </c>
      <c r="B753" s="2" t="str">
        <f>IFERROR(__xludf.DUMMYFUNCTION("GOOGLETRANSLATE(A753, ""en"", ""mt"")"),"l-ewwel tnejn")</f>
        <v>l-ewwel tnejn</v>
      </c>
    </row>
    <row r="754" ht="15.75" customHeight="1">
      <c r="A754" s="2" t="s">
        <v>754</v>
      </c>
      <c r="B754" s="2" t="str">
        <f>IFERROR(__xludf.DUMMYFUNCTION("GOOGLETRANSLATE(A754, ""en"", ""mt"")"),"N - S")</f>
        <v>N - S</v>
      </c>
    </row>
    <row r="755" ht="15.75" customHeight="1">
      <c r="A755" s="2" t="s">
        <v>755</v>
      </c>
      <c r="B755" s="2" t="str">
        <f>IFERROR(__xludf.DUMMYFUNCTION("GOOGLETRANSLATE(A755, ""en"", ""mt"")"),"Ghost of Le Roi Huguet")</f>
        <v>Ghost of Le Roi Huguet</v>
      </c>
    </row>
    <row r="756" ht="15.75" customHeight="1">
      <c r="A756" s="2" t="s">
        <v>756</v>
      </c>
      <c r="B756" s="2" t="str">
        <f>IFERROR(__xludf.DUMMYFUNCTION("GOOGLETRANSLATE(A756, ""en"", ""mt"")"),"In-nuqqas ta ’parlament tal-Iskozja")</f>
        <v>In-nuqqas ta ’parlament tal-Iskozja</v>
      </c>
    </row>
    <row r="757" ht="15.75" customHeight="1">
      <c r="A757" s="2" t="s">
        <v>757</v>
      </c>
      <c r="B757" s="2" t="str">
        <f>IFERROR(__xludf.DUMMYFUNCTION("GOOGLETRANSLATE(A757, ""en"", ""mt"")"),"L-imperjalizmu Ewropew kien iffokat fuq xiex?")</f>
        <v>L-imperjalizmu Ewropew kien iffokat fuq xiex?</v>
      </c>
    </row>
    <row r="758" ht="15.75" customHeight="1">
      <c r="A758" s="2" t="s">
        <v>758</v>
      </c>
      <c r="B758" s="2" t="str">
        <f>IFERROR(__xludf.DUMMYFUNCTION("GOOGLETRANSLATE(A758, ""en"", ""mt"")"),"Anglo-Saxons")</f>
        <v>Anglo-Saxons</v>
      </c>
    </row>
    <row r="759" ht="15.75" customHeight="1">
      <c r="A759" s="2" t="s">
        <v>759</v>
      </c>
      <c r="B759" s="2" t="str">
        <f>IFERROR(__xludf.DUMMYFUNCTION("GOOGLETRANSLATE(A759, ""en"", ""mt"")"),"X'kien eżempju wieħed ta 'pittura mhux Franċiża kien inkluż fil-Bequest ta' Jones ta 'l-1882?")</f>
        <v>X'kien eżempju wieħed ta 'pittura mhux Franċiża kien inkluż fil-Bequest ta' Jones ta 'l-1882?</v>
      </c>
    </row>
    <row r="760" ht="15.75" customHeight="1">
      <c r="A760" s="2" t="s">
        <v>760</v>
      </c>
      <c r="B760" s="2" t="str">
        <f>IFERROR(__xludf.DUMMYFUNCTION("GOOGLETRANSLATE(A760, ""en"", ""mt"")"),"MSPs eletti")</f>
        <v>MSPs eletti</v>
      </c>
    </row>
    <row r="761" ht="15.75" customHeight="1">
      <c r="A761" s="2" t="s">
        <v>761</v>
      </c>
      <c r="B761" s="2" t="str">
        <f>IFERROR(__xludf.DUMMYFUNCTION("GOOGLETRANSLATE(A761, ""en"", ""mt"")"),"F'liema proċess huma riċiklati l-elettroni?")</f>
        <v>F'liema proċess huma riċiklati l-elettroni?</v>
      </c>
    </row>
    <row r="762" ht="15.75" customHeight="1">
      <c r="A762" s="2" t="s">
        <v>762</v>
      </c>
      <c r="B762" s="2" t="str">
        <f>IFERROR(__xludf.DUMMYFUNCTION("GOOGLETRANSLATE(A762, ""en"", ""mt"")"),"Meta japplikaw it-trattati ddikjarati?")</f>
        <v>Meta japplikaw it-trattati ddikjarati?</v>
      </c>
    </row>
    <row r="763" ht="15.75" customHeight="1">
      <c r="A763" s="2" t="s">
        <v>763</v>
      </c>
      <c r="B763" s="2" t="str">
        <f>IFERROR(__xludf.DUMMYFUNCTION("GOOGLETRANSLATE(A763, ""en"", ""mt"")"),"Il-kunċett ""forza""")</f>
        <v>Il-kunċett "forza"</v>
      </c>
    </row>
    <row r="764" ht="15.75" customHeight="1">
      <c r="A764" s="2" t="s">
        <v>764</v>
      </c>
      <c r="B764" s="2" t="str">
        <f>IFERROR(__xludf.DUMMYFUNCTION("GOOGLETRANSLATE(A764, ""en"", ""mt"")"),"Saturathom inkonxjament bl-elettriku")</f>
        <v>Saturathom inkonxjament bl-elettriku</v>
      </c>
    </row>
    <row r="765" ht="15.75" customHeight="1">
      <c r="A765" s="2" t="s">
        <v>765</v>
      </c>
      <c r="B765" s="2" t="str">
        <f>IFERROR(__xludf.DUMMYFUNCTION("GOOGLETRANSLATE(A765, ""en"", ""mt"")"),"Konservazzjoni")</f>
        <v>Konservazzjoni</v>
      </c>
    </row>
    <row r="766" ht="15.75" customHeight="1">
      <c r="A766" s="2" t="s">
        <v>766</v>
      </c>
      <c r="B766" s="2" t="str">
        <f>IFERROR(__xludf.DUMMYFUNCTION("GOOGLETRANSLATE(A766, ""en"", ""mt"")"),"Min hu mitlub jivverifika u jkollu linji ta 'utilità eżistenti mmarkati?")</f>
        <v>Min hu mitlub jivverifika u jkollu linji ta 'utilità eżistenti mmarkati?</v>
      </c>
    </row>
    <row r="767" ht="15.75" customHeight="1">
      <c r="A767" s="2" t="s">
        <v>767</v>
      </c>
      <c r="B767" s="2" t="str">
        <f>IFERROR(__xludf.DUMMYFUNCTION("GOOGLETRANSLATE(A767, ""en"", ""mt"")"),"osservatur")</f>
        <v>osservatur</v>
      </c>
    </row>
    <row r="768" ht="15.75" customHeight="1">
      <c r="A768" s="2" t="s">
        <v>768</v>
      </c>
      <c r="B768" s="2" t="str">
        <f>IFERROR(__xludf.DUMMYFUNCTION("GOOGLETRANSLATE(A768, ""en"", ""mt"")"),"Min kienet il-gwerra tal-kurrenti li saret bejniethom?")</f>
        <v>Min kienet il-gwerra tal-kurrenti li saret bejniethom?</v>
      </c>
    </row>
    <row r="769" ht="15.75" customHeight="1">
      <c r="A769" s="2" t="s">
        <v>769</v>
      </c>
      <c r="B769" s="2" t="str">
        <f>IFERROR(__xludf.DUMMYFUNCTION("GOOGLETRANSLATE(A769, ""en"", ""mt"")"),"Min ivvota fuq il-post għal Super Bowl 50?")</f>
        <v>Min ivvota fuq il-post għal Super Bowl 50?</v>
      </c>
    </row>
    <row r="770" ht="15.75" customHeight="1">
      <c r="A770" s="2" t="s">
        <v>770</v>
      </c>
      <c r="B770" s="2" t="str">
        <f>IFERROR(__xludf.DUMMYFUNCTION("GOOGLETRANSLATE(A770, ""en"", ""mt"")"),"akkomodazzjoni bi prezz raġonevoli")</f>
        <v>akkomodazzjoni bi prezz raġonevoli</v>
      </c>
    </row>
    <row r="771" ht="15.75" customHeight="1">
      <c r="A771" s="2" t="s">
        <v>771</v>
      </c>
      <c r="B771" s="2" t="str">
        <f>IFERROR(__xludf.DUMMYFUNCTION("GOOGLETRANSLATE(A771, ""en"", ""mt"")"),"Tnaqqas in-nar")</f>
        <v>Tnaqqas in-nar</v>
      </c>
    </row>
    <row r="772" ht="15.75" customHeight="1">
      <c r="A772" s="2" t="s">
        <v>772</v>
      </c>
      <c r="B772" s="2" t="str">
        <f>IFERROR(__xludf.DUMMYFUNCTION("GOOGLETRANSLATE(A772, ""en"", ""mt"")"),"Skond skema ta 'aċċess multipli")</f>
        <v>Skond skema ta 'aċċess multipli</v>
      </c>
    </row>
    <row r="773" ht="15.75" customHeight="1">
      <c r="A773" s="2" t="s">
        <v>773</v>
      </c>
      <c r="B773" s="2" t="str">
        <f>IFERROR(__xludf.DUMMYFUNCTION("GOOGLETRANSLATE(A773, ""en"", ""mt"")"),"F'liema pajjiż hemm bżonn ta 'kontroll ta' sfond?")</f>
        <v>F'liema pajjiż hemm bżonn ta 'kontroll ta' sfond?</v>
      </c>
    </row>
    <row r="774" ht="15.75" customHeight="1">
      <c r="A774" s="2" t="s">
        <v>774</v>
      </c>
      <c r="B774" s="2" t="str">
        <f>IFERROR(__xludf.DUMMYFUNCTION("GOOGLETRANSLATE(A774, ""en"", ""mt"")"),"trattament ħażin")</f>
        <v>trattament ħażin</v>
      </c>
    </row>
    <row r="775" ht="15.75" customHeight="1">
      <c r="A775" s="2" t="s">
        <v>775</v>
      </c>
      <c r="B775" s="2" t="str">
        <f>IFERROR(__xludf.DUMMYFUNCTION("GOOGLETRANSLATE(A775, ""en"", ""mt"")"),"X'tip ta 'effett Luther spiss uża fid-diskorsi tiegħu?")</f>
        <v>X'tip ta 'effett Luther spiss uża fid-diskorsi tiegħu?</v>
      </c>
    </row>
    <row r="776" ht="15.75" customHeight="1">
      <c r="A776" s="2" t="s">
        <v>776</v>
      </c>
      <c r="B776" s="2" t="str">
        <f>IFERROR(__xludf.DUMMYFUNCTION("GOOGLETRANSLATE(A776, ""en"", ""mt"")"),"Kunsill Reġjonali Lothian dwar George IV Bridge")</f>
        <v>Kunsill Reġjonali Lothian dwar George IV Bridge</v>
      </c>
    </row>
    <row r="777" ht="15.75" customHeight="1">
      <c r="A777" s="2" t="s">
        <v>777</v>
      </c>
      <c r="B777" s="2" t="str">
        <f>IFERROR(__xludf.DUMMYFUNCTION("GOOGLETRANSLATE(A777, ""en"", ""mt"")"),"Ko-President tal-Tar WGI")</f>
        <v>Ko-President tal-Tar WGI</v>
      </c>
    </row>
    <row r="778" ht="15.75" customHeight="1">
      <c r="A778" s="2" t="s">
        <v>778</v>
      </c>
      <c r="B778" s="2" t="str">
        <f>IFERROR(__xludf.DUMMYFUNCTION("GOOGLETRANSLATE(A778, ""en"", ""mt"")"),"reinvenzjoni bħala konservattiv")</f>
        <v>reinvenzjoni bħala konservattiv</v>
      </c>
    </row>
    <row r="779" ht="15.75" customHeight="1">
      <c r="A779" s="2" t="s">
        <v>779</v>
      </c>
      <c r="B779" s="2" t="str">
        <f>IFERROR(__xludf.DUMMYFUNCTION("GOOGLETRANSLATE(A779, ""en"", ""mt"")"),"Semi-Deserts")</f>
        <v>Semi-Deserts</v>
      </c>
    </row>
    <row r="780" ht="15.75" customHeight="1">
      <c r="A780" s="2" t="s">
        <v>780</v>
      </c>
      <c r="B780" s="2" t="str">
        <f>IFERROR(__xludf.DUMMYFUNCTION("GOOGLETRANSLATE(A780, ""en"", ""mt"")"),"sptarijiet")</f>
        <v>sptarijiet</v>
      </c>
    </row>
    <row r="781" ht="15.75" customHeight="1">
      <c r="A781" s="2" t="s">
        <v>781</v>
      </c>
      <c r="B781" s="2" t="str">
        <f>IFERROR(__xludf.DUMMYFUNCTION("GOOGLETRANSLATE(A781, ""en"", ""mt"")"),"Wara li d-Dornbirner Ach ġie ddevjat, minn fejn joħroġ ir-Rhine issa?")</f>
        <v>Wara li d-Dornbirner Ach ġie ddevjat, minn fejn joħroġ ir-Rhine issa?</v>
      </c>
    </row>
    <row r="782" ht="15.75" customHeight="1">
      <c r="A782" s="2" t="s">
        <v>782</v>
      </c>
      <c r="B782" s="2" t="str">
        <f>IFERROR(__xludf.DUMMYFUNCTION("GOOGLETRANSLATE(A782, ""en"", ""mt"")"),"X'kienu l-pjanijiet ta 'Loudoun għall-1757?")</f>
        <v>X'kienu l-pjanijiet ta 'Loudoun għall-1757?</v>
      </c>
    </row>
    <row r="783" ht="15.75" customHeight="1">
      <c r="A783" s="2" t="s">
        <v>783</v>
      </c>
      <c r="B783" s="2" t="str">
        <f>IFERROR(__xludf.DUMMYFUNCTION("GOOGLETRANSLATE(A783, ""en"", ""mt"")"),"L-eżodu ta 'Huguenots minn Franza ħoloq fossa tal-moħħ, peress li ħafna Huguenots kienu okkupaw postijiet importanti fis-soċjetà. Ir-renju ma rkuprax għal kollox għal snin twal. Ir-rifjut tal-Kuruna Franċiża li tippermetti li n-non-Kattoliċi joqgħodu fi F"&amp;"ranza l-ġdida jista 'jgħin biex jispjega li r-rata bil-mod ta' tkabbir tal-popolazzjoni tal-kolonja meta mqabbla ma 'dik tal-kolonji Ingliżi ġirien, li fetħu l-ftehim għal dissenters reliġjużi. Saż-żmien tal-Gwerra Franċiża u Indjana (il-front tal-Amerika"&amp;" ta ’Fuq tal-Gwerra tas-Seba’ snin), popolazzjoni mdaqqsa ta ’dixxendenza Huguenot kienet tgħix fil-kolonji Ingliżi, u ħafna pparteċipaw fit-telfa Ingliża ta’ New France fl-1759-60.")</f>
        <v>L-eżodu ta 'Huguenots minn Franza ħoloq fossa tal-moħħ, peress li ħafna Huguenots kienu okkupaw postijiet importanti fis-soċjetà. Ir-renju ma rkuprax għal kollox għal snin twal. Ir-rifjut tal-Kuruna Franċiża li tippermetti li n-non-Kattoliċi joqgħodu fi Franza l-ġdida jista 'jgħin biex jispjega li r-rata bil-mod ta' tkabbir tal-popolazzjoni tal-kolonja meta mqabbla ma 'dik tal-kolonji Ingliżi ġirien, li fetħu l-ftehim għal dissenters reliġjużi. Saż-żmien tal-Gwerra Franċiża u Indjana (il-front tal-Amerika ta ’Fuq tal-Gwerra tas-Seba’ snin), popolazzjoni mdaqqsa ta ’dixxendenza Huguenot kienet tgħix fil-kolonji Ingliżi, u ħafna pparteċipaw fit-telfa Ingliża ta’ New France fl-1759-60.</v>
      </c>
    </row>
    <row r="784" ht="15.75" customHeight="1">
      <c r="A784" s="2" t="s">
        <v>784</v>
      </c>
      <c r="B784" s="2" t="str">
        <f>IFERROR(__xludf.DUMMYFUNCTION("GOOGLETRANSLATE(A784, ""en"", ""mt"")"),"l-akbar antisemit ta ’żmienu,")</f>
        <v>l-akbar antisemit ta ’żmienu,</v>
      </c>
    </row>
    <row r="785" ht="15.75" customHeight="1">
      <c r="A785" s="2" t="s">
        <v>785</v>
      </c>
      <c r="B785" s="2" t="str">
        <f>IFERROR(__xludf.DUMMYFUNCTION("GOOGLETRANSLATE(A785, ""en"", ""mt"")"),"Ir-Renu ħiereġ minn Swabia, Franconia u liema post ieħor fis-seklu 10?")</f>
        <v>Ir-Renu ħiereġ minn Swabia, Franconia u liema post ieħor fis-seklu 10?</v>
      </c>
    </row>
    <row r="786" ht="15.75" customHeight="1">
      <c r="A786" s="2" t="s">
        <v>786</v>
      </c>
      <c r="B786" s="2" t="str">
        <f>IFERROR(__xludf.DUMMYFUNCTION("GOOGLETRANSLATE(A786, ""en"", ""mt"")"),"Arpanet")</f>
        <v>Arpanet</v>
      </c>
    </row>
    <row r="787" ht="15.75" customHeight="1">
      <c r="A787" s="2" t="s">
        <v>787</v>
      </c>
      <c r="B787" s="2" t="str">
        <f>IFERROR(__xludf.DUMMYFUNCTION("GOOGLETRANSLATE(A787, ""en"", ""mt"")"),"Din il-projezzjoni ma ġietx inkluża fis-sommarju finali għal dawk li jfasslu l-politika. Minn dakinhar l-IPCC irrikonoxxa li d-data mhix korretta, filwaqt li afferma mill-ġdid li l-konklużjoni fis-sommarju finali kienet robusta. Huma esprimew dispjaċir għ"&amp;"al ""l-applikazzjoni ħażina ta 'proċeduri IPCC stabbiliti sew f'dan il-każ"". Id-data tal-2035 ġiet ikkwotata b'mod korrett mill-IPCC mir-rapport tal-WWF, li ħażin is-sors tiegħu stess, rapport tal-ICSI ""Varjazzjonijiet tal-borra u s-silġ fil-passat u fi"&amp;"l-preżent fuq skala globali u reġjonali"".")</f>
        <v>Din il-projezzjoni ma ġietx inkluża fis-sommarju finali għal dawk li jfasslu l-politika. Minn dakinhar l-IPCC irrikonoxxa li d-data mhix korretta, filwaqt li afferma mill-ġdid li l-konklużjoni fis-sommarju finali kienet robusta. Huma esprimew dispjaċir għal "l-applikazzjoni ħażina ta 'proċeduri IPCC stabbiliti sew f'dan il-każ". Id-data tal-2035 ġiet ikkwotata b'mod korrett mill-IPCC mir-rapport tal-WWF, li ħażin is-sors tiegħu stess, rapport tal-ICSI "Varjazzjonijiet tal-borra u s-silġ fil-passat u fil-preżent fuq skala globali u reġjonali".</v>
      </c>
    </row>
    <row r="788" ht="15.75" customHeight="1">
      <c r="A788" s="2" t="s">
        <v>788</v>
      </c>
      <c r="B788" s="2" t="str">
        <f>IFERROR(__xludf.DUMMYFUNCTION("GOOGLETRANSLATE(A788, ""en"", ""mt"")"),"1% sa 3%")</f>
        <v>1% sa 3%</v>
      </c>
    </row>
    <row r="789" ht="15.75" customHeight="1">
      <c r="A789" s="2" t="s">
        <v>789</v>
      </c>
      <c r="B789" s="2" t="str">
        <f>IFERROR(__xludf.DUMMYFUNCTION("GOOGLETRANSLATE(A789, ""en"", ""mt"")"),"Il-galleriji iżgħar ikopru l-Korea, ir-renji tal-Ħimalaja u l-Asja tax-Xlokk. Il-wirjiet tal-Korea jinkludu ċeramika bil-ħġieġ aħdar, rakkmu tal-ħarir mill-ilbiesi tal-uffiċjali u kaxex li jleqqu intarsjati ma 'omm ta' perka magħmula bejn il-500 AD u l-20"&amp;"00. L-oġġetti tal-Ħimalaja jinkludu skulturi importanti bikrija tal-bronż Nepaliż, xogħol ta 'repoussé u rakkmu. L-arti Tibetana mill-14 sas-seklu 19 hija rrappreżentata minn immaġini reliġjużi notevoli tas-seklu 14 u 15 fl-injam u l-bronż, pitturi tal-is"&amp;"croll u oġġetti ritwali. Art mit-Tajlandja, Burma, il-Kambodja, l-Indoneżja u s-Sri Lanka fid-deheb, il-fidda, il-bronż, il-ġebel, it-terracotta u l-avorju jirrappreżentaw dawn il-kulturi sinjuri u kumplessi, il-wirjiet li jkopru s-sekli 6 sa 19. Skulturi"&amp;" Hindu u Buddisti raffinati jirriflettu l-influwenza tal-Indja; Oġġetti fuq l-ispettaklu jinkludu cutters betel-nut, pettnijiet tal-avorju u ganċijiet tal-bronż palanquin.")</f>
        <v>Il-galleriji iżgħar ikopru l-Korea, ir-renji tal-Ħimalaja u l-Asja tax-Xlokk. Il-wirjiet tal-Korea jinkludu ċeramika bil-ħġieġ aħdar, rakkmu tal-ħarir mill-ilbiesi tal-uffiċjali u kaxex li jleqqu intarsjati ma 'omm ta' perka magħmula bejn il-500 AD u l-2000. L-oġġetti tal-Ħimalaja jinkludu skulturi importanti bikrija tal-bronż Nepaliż, xogħol ta 'repoussé u rakkmu. L-arti Tibetana mill-14 sas-seklu 19 hija rrappreżentata minn immaġini reliġjużi notevoli tas-seklu 14 u 15 fl-injam u l-bronż, pitturi tal-iscroll u oġġetti ritwali. Art mit-Tajlandja, Burma, il-Kambodja, l-Indoneżja u s-Sri Lanka fid-deheb, il-fidda, il-bronż, il-ġebel, it-terracotta u l-avorju jirrappreżentaw dawn il-kulturi sinjuri u kumplessi, il-wirjiet li jkopru s-sekli 6 sa 19. Skulturi Hindu u Buddisti raffinati jirriflettu l-influwenza tal-Indja; Oġġetti fuq l-ispettaklu jinkludu cutters betel-nut, pettnijiet tal-avorju u ganċijiet tal-bronż palanquin.</v>
      </c>
    </row>
    <row r="790" ht="15.75" customHeight="1">
      <c r="A790" s="2" t="s">
        <v>790</v>
      </c>
      <c r="B790" s="2" t="str">
        <f>IFERROR(__xludf.DUMMYFUNCTION("GOOGLETRANSLATE(A790, ""en"", ""mt"")"),"Wara kull elezzjoni għall-Parlament Skoċċiż, fil-bidu ta 'kull sessjoni parlamentari, il-Parlament jagħżel MSP wieħed biex iservi bħala uffiċjal li jippresiedi, l-ekwivalenti tal-kelliem (bħalissa Tricia Marwick), u żewġ MSPs biex iservu bħala deputati (b"&amp;"ħalissa Elaine Smith u John Scott). L-uffiċjal li jippresiedi u d-deputati huma eletti minn votazzjoni sigrieta tal-129 MSPs, li hija l-unika votazzjoni sigrieta mmexxija fil-Parlament Skoċċiż. Prinċipalment, ir-rwol tal-uffiċjal li jippresiedi huwa li ji"&amp;"ppresjedi l-proċeduri tal-kamra u l-korp korporattiv Parlamentari Skoċċiż. Meta jippresjedi laqgħat tal-Parlament, l-uffiċjal li jippresiedi u d-deputati tiegħu / tagħha għandhom ikunu politikament imparzjali. Waqt id-dibattiti, l-uffiċjal li jippresiedi "&amp;"(jew id-deputat) huwa megħjun mill-iskrivani Parlamentari, li jagħtu pariri dwar kif jiġu interpretati l-ordnijiet permanenti li jirregolaw il-proċeduri tal-laqgħat. Skrivan tal-vot joqgħod quddiem l-uffiċjal li jippresiedi u jopera t-tagħmir tal-vot elet"&amp;"troniku u l-arloġġi tal-kamra.")</f>
        <v>Wara kull elezzjoni għall-Parlament Skoċċiż, fil-bidu ta 'kull sessjoni parlamentari, il-Parlament jagħżel MSP wieħed biex iservi bħala uffiċjal li jippresiedi, l-ekwivalenti tal-kelliem (bħalissa Tricia Marwick), u żewġ MSPs biex iservu bħala deputati (bħalissa Elaine Smith u John Scott). L-uffiċjal li jippresiedi u d-deputati huma eletti minn votazzjoni sigrieta tal-129 MSPs, li hija l-unika votazzjoni sigrieta mmexxija fil-Parlament Skoċċiż. Prinċipalment, ir-rwol tal-uffiċjal li jippresiedi huwa li jippresjedi l-proċeduri tal-kamra u l-korp korporattiv Parlamentari Skoċċiż. Meta jippresjedi laqgħat tal-Parlament, l-uffiċjal li jippresiedi u d-deputati tiegħu / tagħha għandhom ikunu politikament imparzjali. Waqt id-dibattiti, l-uffiċjal li jippresiedi (jew id-deputat) huwa megħjun mill-iskrivani Parlamentari, li jagħtu pariri dwar kif jiġu interpretati l-ordnijiet permanenti li jirregolaw il-proċeduri tal-laqgħat. Skrivan tal-vot joqgħod quddiem l-uffiċjal li jippresiedi u jopera t-tagħmir tal-vot elettroniku u l-arloġġi tal-kamra.</v>
      </c>
    </row>
    <row r="791" ht="15.75" customHeight="1">
      <c r="A791" s="2" t="s">
        <v>791</v>
      </c>
      <c r="B791" s="2" t="str">
        <f>IFERROR(__xludf.DUMMYFUNCTION("GOOGLETRANSLATE(A791, ""en"", ""mt"")"),"Min ġab il-Mongoli liċ-Ċina bħala amministraturi?")</f>
        <v>Min ġab il-Mongoli liċ-Ċina bħala amministraturi?</v>
      </c>
    </row>
    <row r="792" ht="15.75" customHeight="1">
      <c r="A792" s="2" t="s">
        <v>792</v>
      </c>
      <c r="B792" s="2" t="str">
        <f>IFERROR(__xludf.DUMMYFUNCTION("GOOGLETRANSLATE(A792, ""en"", ""mt"")"),"Kemm trab tal-kanun inqered fl-attakk?")</f>
        <v>Kemm trab tal-kanun inqered fl-attakk?</v>
      </c>
    </row>
    <row r="793" ht="15.75" customHeight="1">
      <c r="A793" s="2" t="s">
        <v>793</v>
      </c>
      <c r="B793" s="2" t="str">
        <f>IFERROR(__xludf.DUMMYFUNCTION("GOOGLETRANSLATE(A793, ""en"", ""mt"")"),"Għal xiex għandha reputazzjoni tan-Nofsinhar ta 'California?")</f>
        <v>Għal xiex għandha reputazzjoni tan-Nofsinhar ta 'California?</v>
      </c>
    </row>
    <row r="794" ht="15.75" customHeight="1">
      <c r="A794" s="2" t="s">
        <v>794</v>
      </c>
      <c r="B794" s="2" t="str">
        <f>IFERROR(__xludf.DUMMYFUNCTION("GOOGLETRANSLATE(A794, ""en"", ""mt"")"),"X'inhu l-isem tal-ikbar ċentru tax-xiri ta 'ġewwa fl-Ewropa?")</f>
        <v>X'inhu l-isem tal-ikbar ċentru tax-xiri ta 'ġewwa fl-Ewropa?</v>
      </c>
    </row>
    <row r="795" ht="15.75" customHeight="1">
      <c r="A795" s="2" t="s">
        <v>795</v>
      </c>
      <c r="B795" s="2" t="str">
        <f>IFERROR(__xludf.DUMMYFUNCTION("GOOGLETRANSLATE(A795, ""en"", ""mt"")"),"Il-kollezzjoni Soulages ta 'oġġetti tar-Rinaxximent Taljan u Franċiż ġiet akkwistata bejn l-1859 u l-1865, u tinkludi diversi Cassone. Il-kollezzjoni John Jones ta 'arti u għamara Franċiża tas-seklu 18 tħalliet fil-mużew fl-1882, imbagħad stmata għal £ 25"&amp;"0,000. Waħda mill-aktar biċċiet importanti f'din il-kollezzjoni hija l-marketrija komdu mill-Ébéniste Jean Henri Riesener datat C1780. Biċċiet oħra ffirmati għamara fil-kollezzjoni jinkludu Bureau minn Jean-François Oeben, par ta 'pedestalli b'xogħol tar-"&amp;"ram isfar minn André Charles Boulle, komod minn Bernard Vanrisamburgh u ta' xogħol ta 'xogħol minn Martin Carlin. Ebénistes oħra tas-seklu 18 rappreżentati fil-kollezzjoni tal-mużew jinkludu Adam Weisweiler, David Roentgen, Gilles Joubert &amp; Pierre Langloi"&amp;"s. Fl-1901, Sir George Donaldson ta donazzjoni ta ’diversi biċċiet ta’ għamara Art Nouveau lill-mużew, li kien akkwista s-sena ta ’qabel fl-Universelle ta’ Pariġi Espożizzjoni. Dan ġie kkritikat dak iż-żmien, bil-konsegwenza li l-mużew ma baqax jiġbor oġġ"&amp;"etti kontemporanji u ma reġa 'għamel hekk sas-snin 1960. Fl-1986 il-kollezzjoni Lady Abingdon tal-Għamara tal-Imperu Franċiż kienet imħabbra mis-Sinjura T. R. P. Hole.")</f>
        <v>Il-kollezzjoni Soulages ta 'oġġetti tar-Rinaxximent Taljan u Franċiż ġiet akkwistata bejn l-1859 u l-1865, u tinkludi diversi Cassone. Il-kollezzjoni John Jones ta 'arti u għamara Franċiża tas-seklu 18 tħalliet fil-mużew fl-1882, imbagħad stmata għal £ 250,000. Waħda mill-aktar biċċiet importanti f'din il-kollezzjoni hija l-marketrija komdu mill-Ébéniste Jean Henri Riesener datat C1780. Biċċiet oħra ffirmati għamara fil-kollezzjoni jinkludu Bureau minn Jean-François Oeben, par ta 'pedestalli b'xogħol tar-ram isfar minn André Charles Boulle, komod minn Bernard Vanrisamburgh u ta' xogħol ta 'xogħol minn Martin Carlin. Ebénistes oħra tas-seklu 18 rappreżentati fil-kollezzjoni tal-mużew jinkludu Adam Weisweiler, David Roentgen, Gilles Joubert &amp; Pierre Langlois. Fl-1901, Sir George Donaldson ta donazzjoni ta ’diversi biċċiet ta’ għamara Art Nouveau lill-mużew, li kien akkwista s-sena ta ’qabel fl-Universelle ta’ Pariġi Espożizzjoni. Dan ġie kkritikat dak iż-żmien, bil-konsegwenza li l-mużew ma baqax jiġbor oġġetti kontemporanji u ma reġa 'għamel hekk sas-snin 1960. Fl-1986 il-kollezzjoni Lady Abingdon tal-Għamara tal-Imperu Franċiż kienet imħabbra mis-Sinjura T. R. P. Hole.</v>
      </c>
    </row>
    <row r="796" ht="15.75" customHeight="1">
      <c r="A796" s="2" t="s">
        <v>796</v>
      </c>
      <c r="B796" s="2" t="str">
        <f>IFERROR(__xludf.DUMMYFUNCTION("GOOGLETRANSLATE(A796, ""en"", ""mt"")"),"operazzjonijiet li jeħtieġu veloċità kostanti")</f>
        <v>operazzjonijiet li jeħtieġu veloċità kostanti</v>
      </c>
    </row>
    <row r="797" ht="15.75" customHeight="1">
      <c r="A797" s="2" t="s">
        <v>797</v>
      </c>
      <c r="B797" s="2" t="str">
        <f>IFERROR(__xludf.DUMMYFUNCTION("GOOGLETRANSLATE(A797, ""en"", ""mt"")"),"Min jifforma l-gvern tal-istudenti?")</f>
        <v>Min jifforma l-gvern tal-istudenti?</v>
      </c>
    </row>
    <row r="798" ht="15.75" customHeight="1">
      <c r="A798" s="2" t="s">
        <v>798</v>
      </c>
      <c r="B798" s="2" t="str">
        <f>IFERROR(__xludf.DUMMYFUNCTION("GOOGLETRANSLATE(A798, ""en"", ""mt"")"),"Istituzzjonijiet Metodisti")</f>
        <v>Istituzzjonijiet Metodisti</v>
      </c>
    </row>
    <row r="799" ht="15.75" customHeight="1">
      <c r="A799" s="2" t="s">
        <v>799</v>
      </c>
      <c r="B799" s="2" t="str">
        <f>IFERROR(__xludf.DUMMYFUNCTION("GOOGLETRANSLATE(A799, ""en"", ""mt"")"),"Liema karatteristika tiddeskrivi l-aħjar ir-reġjuni agrikoli li jistgħu jinstabu?")</f>
        <v>Liema karatteristika tiddeskrivi l-aħjar ir-reġjuni agrikoli li jistgħu jinstabu?</v>
      </c>
    </row>
    <row r="800" ht="15.75" customHeight="1">
      <c r="A800" s="2" t="s">
        <v>800</v>
      </c>
      <c r="B800" s="2" t="str">
        <f>IFERROR(__xludf.DUMMYFUNCTION("GOOGLETRANSLATE(A800, ""en"", ""mt"")"),"Heterokontophyte")</f>
        <v>Heterokontophyte</v>
      </c>
    </row>
    <row r="801" ht="15.75" customHeight="1">
      <c r="A801" s="2" t="s">
        <v>801</v>
      </c>
      <c r="B801" s="2" t="str">
        <f>IFERROR(__xludf.DUMMYFUNCTION("GOOGLETRANSLATE(A801, ""en"", ""mt"")"),"Luther kien ilu jsofri minn saħħa ħażina għal snin twal, fosthom il-marda ta 'Ménière, vertigo, ħass ħażin, tinnitus, u katarretta f'għajn waħda. Mill-1531 sal-1546, saħħtu marret għall-agħar. Is-snin ta 'ġlieda ma' Ruma, l-antagoniżmi ma 'u fost ir-rifor"&amp;"maturi sħabu, u l-iskandlu li ħareġ mill-bigamija ta' l-inċident ta 'Philip of Hesse, li fih Luther kellu rwol ewlieni, kollha setgħu kkontribwew. Fl-1536, huwa beda jbati minn ġebel tal-kliewi u tal-bużżieqa, u artrite, u infezzjoni fil-widna kissru tanb"&amp;"ur tal-widna. F'Diċembru 1544, huwa beda jħoss l-effetti ta 'l-anġina.")</f>
        <v>Luther kien ilu jsofri minn saħħa ħażina għal snin twal, fosthom il-marda ta 'Ménière, vertigo, ħass ħażin, tinnitus, u katarretta f'għajn waħda. Mill-1531 sal-1546, saħħtu marret għall-agħar. Is-snin ta 'ġlieda ma' Ruma, l-antagoniżmi ma 'u fost ir-riformaturi sħabu, u l-iskandlu li ħareġ mill-bigamija ta' l-inċident ta 'Philip of Hesse, li fih Luther kellu rwol ewlieni, kollha setgħu kkontribwew. Fl-1536, huwa beda jbati minn ġebel tal-kliewi u tal-bużżieqa, u artrite, u infezzjoni fil-widna kissru tanbur tal-widna. F'Diċembru 1544, huwa beda jħoss l-effetti ta 'l-anġina.</v>
      </c>
    </row>
    <row r="802" ht="15.75" customHeight="1">
      <c r="A802" s="2" t="s">
        <v>802</v>
      </c>
      <c r="B802" s="2" t="str">
        <f>IFERROR(__xludf.DUMMYFUNCTION("GOOGLETRANSLATE(A802, ""en"", ""mt"")"),"mużika elettronika")</f>
        <v>mużika elettronika</v>
      </c>
    </row>
    <row r="803" ht="15.75" customHeight="1">
      <c r="A803" s="2" t="s">
        <v>803</v>
      </c>
      <c r="B803" s="2" t="str">
        <f>IFERROR(__xludf.DUMMYFUNCTION("GOOGLETRANSLATE(A803, ""en"", ""mt"")"),"L-istazzjonijiet u l-affiljati kollha li huma u mħaddma mill-ABC kellhom il-faċilitajiet u l-istudjows tagħhom stess, iżda l-entitajiet trasversali nħolqu biex jipproduċu programmazzjoni nazzjonali. Bħala riżultat, serje televiżivi ġew prodotti minn ABC C"&amp;"ircle Films li jibdew fl-1962 u minn Touchstone Television li beda fl-1985, qabel ma Touchstone ġie riorganizzat bħala ABC Studios fi Frar 2007. Mill-ħamsinijiet, ABC kellu żewġ faċilitajiet ta 'produzzjoni ewlenin: l-ABC Television Centre (issa l-Prospec"&amp;"t Studios) fuq Avenue Prospect f'Hollywood, California, maqsuma ma 'l-operazzjonijiet ta' KABC-TV sal-1999; u ċ-Ċentru tat-Televiżjoni ABC, East, sett ta 'studios li jinsabu madwar in-New York City.")</f>
        <v>L-istazzjonijiet u l-affiljati kollha li huma u mħaddma mill-ABC kellhom il-faċilitajiet u l-istudjows tagħhom stess, iżda l-entitajiet trasversali nħolqu biex jipproduċu programmazzjoni nazzjonali. Bħala riżultat, serje televiżivi ġew prodotti minn ABC Circle Films li jibdew fl-1962 u minn Touchstone Television li beda fl-1985, qabel ma Touchstone ġie riorganizzat bħala ABC Studios fi Frar 2007. Mill-ħamsinijiet, ABC kellu żewġ faċilitajiet ta 'produzzjoni ewlenin: l-ABC Television Centre (issa l-Prospect Studios) fuq Avenue Prospect f'Hollywood, California, maqsuma ma 'l-operazzjonijiet ta' KABC-TV sal-1999; u ċ-Ċentru tat-Televiżjoni ABC, East, sett ta 'studios li jinsabu madwar in-New York City.</v>
      </c>
    </row>
    <row r="804" ht="15.75" customHeight="1">
      <c r="A804" s="2" t="s">
        <v>804</v>
      </c>
      <c r="B804" s="2" t="str">
        <f>IFERROR(__xludf.DUMMYFUNCTION("GOOGLETRANSLATE(A804, ""en"", ""mt"")"),"għant")</f>
        <v>għant</v>
      </c>
    </row>
    <row r="805" ht="15.75" customHeight="1">
      <c r="A805" s="2" t="s">
        <v>805</v>
      </c>
      <c r="B805" s="2" t="str">
        <f>IFERROR(__xludf.DUMMYFUNCTION("GOOGLETRANSLATE(A805, ""en"", ""mt"")"),"l-akbar ġid")</f>
        <v>l-akbar ġid</v>
      </c>
    </row>
    <row r="806" ht="15.75" customHeight="1">
      <c r="A806" s="2" t="s">
        <v>806</v>
      </c>
      <c r="B806" s="2" t="str">
        <f>IFERROR(__xludf.DUMMYFUNCTION("GOOGLETRANSLATE(A806, ""en"", ""mt"")"),"L-Asja tal-Lvant: iċ-Ċina, il-Ġappun u l-Korea")</f>
        <v>L-Asja tal-Lvant: iċ-Ċina, il-Ġappun u l-Korea</v>
      </c>
    </row>
    <row r="807" ht="15.75" customHeight="1">
      <c r="A807" s="2" t="s">
        <v>807</v>
      </c>
      <c r="B807" s="2" t="str">
        <f>IFERROR(__xludf.DUMMYFUNCTION("GOOGLETRANSLATE(A807, ""en"", ""mt"")"),"X'inhi r-rata ta 'mortalità tal-pesta pnewmonika?")</f>
        <v>X'inhi r-rata ta 'mortalità tal-pesta pnewmonika?</v>
      </c>
    </row>
    <row r="808" ht="15.75" customHeight="1">
      <c r="A808" s="2" t="s">
        <v>808</v>
      </c>
      <c r="B808" s="2" t="str">
        <f>IFERROR(__xludf.DUMMYFUNCTION("GOOGLETRANSLATE(A808, ""en"", ""mt"")"),"Waħda mill-iktar persuni famużi mwielda f'Varsavja kienet Maria Skłodowska-Curie, li kisbet rikonoxximent internazzjonali għar-riċerka tagħha dwar ir-radjuattività u kienet l-ewwel mara riċevitur tal-Premju Nobel. Mużiċisti famużi jinkludu Władysław Szpil"&amp;"man u Frédéric Chopin. Għalkemm Chopin twieled fir-raħal ta 'Żelazowa Wola, madwar 60 km (37 mi) minn Varsavja, huwa mar il-belt mal-familja tiegħu meta kellu seba' xhur. Casimir Pulaski, ġenerali Pollakk u eroj tal-Gwerra Rivoluzzjonarja Amerikana, twiel"&amp;"ed hawn fl-1745.")</f>
        <v>Waħda mill-iktar persuni famużi mwielda f'Varsavja kienet Maria Skłodowska-Curie, li kisbet rikonoxximent internazzjonali għar-riċerka tagħha dwar ir-radjuattività u kienet l-ewwel mara riċevitur tal-Premju Nobel. Mużiċisti famużi jinkludu Władysław Szpilman u Frédéric Chopin. Għalkemm Chopin twieled fir-raħal ta 'Żelazowa Wola, madwar 60 km (37 mi) minn Varsavja, huwa mar il-belt mal-familja tiegħu meta kellu seba' xhur. Casimir Pulaski, ġenerali Pollakk u eroj tal-Gwerra Rivoluzzjonarja Amerikana, twieled hawn fl-1745.</v>
      </c>
    </row>
    <row r="809" ht="15.75" customHeight="1">
      <c r="A809" s="2" t="s">
        <v>809</v>
      </c>
      <c r="B809" s="2" t="str">
        <f>IFERROR(__xludf.DUMMYFUNCTION("GOOGLETRANSLATE(A809, ""en"", ""mt"")"),"ċelloli tal-moħħ")</f>
        <v>ċelloli tal-moħħ</v>
      </c>
    </row>
    <row r="810" ht="15.75" customHeight="1">
      <c r="A810" s="2" t="s">
        <v>810</v>
      </c>
      <c r="B810" s="2" t="str">
        <f>IFERROR(__xludf.DUMMYFUNCTION("GOOGLETRANSLATE(A810, ""en"", ""mt"")"),"Il-kriżi taż-żejt ikkawżat lill-kumpaniji taż-żejt biex iżidu l-provvisti taż-żejt f'liema żona?")</f>
        <v>Il-kriżi taż-żejt ikkawżat lill-kumpaniji taż-żejt biex iżidu l-provvisti taż-żejt f'liema żona?</v>
      </c>
    </row>
    <row r="811" ht="15.75" customHeight="1">
      <c r="A811" s="2" t="s">
        <v>811</v>
      </c>
      <c r="B811" s="2" t="str">
        <f>IFERROR(__xludf.DUMMYFUNCTION("GOOGLETRANSLATE(A811, ""en"", ""mt"")"),"Mongoli u Semuren")</f>
        <v>Mongoli u Semuren</v>
      </c>
    </row>
    <row r="812" ht="15.75" customHeight="1">
      <c r="A812" s="2" t="s">
        <v>812</v>
      </c>
      <c r="B812" s="2" t="str">
        <f>IFERROR(__xludf.DUMMYFUNCTION("GOOGLETRANSLATE(A812, ""en"", ""mt"")"),"Għal liema responsabbiltajiet kienu limitati t-tekniċi tal-ispiżerija?")</f>
        <v>Għal liema responsabbiltajiet kienu limitati t-tekniċi tal-ispiżerija?</v>
      </c>
    </row>
    <row r="813" ht="15.75" customHeight="1">
      <c r="A813" s="2" t="s">
        <v>813</v>
      </c>
      <c r="B813" s="2" t="str">
        <f>IFERROR(__xludf.DUMMYFUNCTION("GOOGLETRANSLATE(A813, ""en"", ""mt"")"),"Kemm nies jistgħu jżommu l-kapsula tal-merkurju?")</f>
        <v>Kemm nies jistgħu jżommu l-kapsula tal-merkurju?</v>
      </c>
    </row>
    <row r="814" ht="15.75" customHeight="1">
      <c r="A814" s="2" t="s">
        <v>814</v>
      </c>
      <c r="B814" s="2" t="str">
        <f>IFERROR(__xludf.DUMMYFUNCTION("GOOGLETRANSLATE(A814, ""en"", ""mt"")"),"X'inhi l-iktar problema importanti fl-Istati Uniti u bnadi oħra?")</f>
        <v>X'inhi l-iktar problema importanti fl-Istati Uniti u bnadi oħra?</v>
      </c>
    </row>
    <row r="815" ht="15.75" customHeight="1">
      <c r="A815" s="2" t="s">
        <v>815</v>
      </c>
      <c r="B815" s="2" t="str">
        <f>IFERROR(__xludf.DUMMYFUNCTION("GOOGLETRANSLATE(A815, ""en"", ""mt"")"),"Taoism")</f>
        <v>Taoism</v>
      </c>
    </row>
    <row r="816" ht="15.75" customHeight="1">
      <c r="A816" s="2" t="s">
        <v>816</v>
      </c>
      <c r="B816" s="2" t="str">
        <f>IFERROR(__xludf.DUMMYFUNCTION("GOOGLETRANSLATE(A816, ""en"", ""mt"")"),"Leġislatura ta 'Florida")</f>
        <v>Leġislatura ta 'Florida</v>
      </c>
    </row>
    <row r="817" ht="15.75" customHeight="1">
      <c r="A817" s="2" t="s">
        <v>817</v>
      </c>
      <c r="B817" s="2" t="str">
        <f>IFERROR(__xludf.DUMMYFUNCTION("GOOGLETRANSLATE(A817, ""en"", ""mt"")"),"Min kien Warsz?")</f>
        <v>Min kien Warsz?</v>
      </c>
    </row>
    <row r="818" ht="15.75" customHeight="1">
      <c r="A818" s="2" t="s">
        <v>818</v>
      </c>
      <c r="B818" s="2" t="str">
        <f>IFERROR(__xludf.DUMMYFUNCTION("GOOGLETRANSLATE(A818, ""en"", ""mt"")"),"Magni tat-Turing Probabilistiċi, Magni tat-Turing mhux Deterministiċi")</f>
        <v>Magni tat-Turing Probabilistiċi, Magni tat-Turing mhux Deterministiċi</v>
      </c>
    </row>
    <row r="819" ht="15.75" customHeight="1">
      <c r="A819" s="2" t="s">
        <v>819</v>
      </c>
      <c r="B819" s="2" t="str">
        <f>IFERROR(__xludf.DUMMYFUNCTION("GOOGLETRANSLATE(A819, ""en"", ""mt"")"),"Orjentaliżmu")</f>
        <v>Orjentaliżmu</v>
      </c>
    </row>
    <row r="820" ht="15.75" customHeight="1">
      <c r="A820" s="2" t="s">
        <v>820</v>
      </c>
      <c r="B820" s="2" t="str">
        <f>IFERROR(__xludf.DUMMYFUNCTION("GOOGLETRANSLATE(A820, ""en"", ""mt"")"),"Liema firxa ta 'snin kien it-tisħin attwali meta mqabbel ma'?")</f>
        <v>Liema firxa ta 'snin kien it-tisħin attwali meta mqabbel ma'?</v>
      </c>
    </row>
    <row r="821" ht="15.75" customHeight="1">
      <c r="A821" s="2" t="s">
        <v>821</v>
      </c>
      <c r="B821" s="2" t="str">
        <f>IFERROR(__xludf.DUMMYFUNCTION("GOOGLETRANSLATE(A821, ""en"", ""mt"")"),"Liema xogħol ta 'Luther huwa effettiv fit-tagħlim tat-tfal?")</f>
        <v>Liema xogħol ta 'Luther huwa effettiv fit-tagħlim tat-tfal?</v>
      </c>
    </row>
    <row r="822" ht="15.75" customHeight="1">
      <c r="A822" s="2" t="s">
        <v>822</v>
      </c>
      <c r="B822" s="2" t="str">
        <f>IFERROR(__xludf.DUMMYFUNCTION("GOOGLETRANSLATE(A822, ""en"", ""mt"")"),"Bliet Żvizzeri")</f>
        <v>Bliet Żvizzeri</v>
      </c>
    </row>
    <row r="823" ht="15.75" customHeight="1">
      <c r="A823" s="2" t="s">
        <v>823</v>
      </c>
      <c r="B823" s="2" t="str">
        <f>IFERROR(__xludf.DUMMYFUNCTION("GOOGLETRANSLATE(A823, ""en"", ""mt"")"),"Teatru tal-Lecture")</f>
        <v>Teatru tal-Lecture</v>
      </c>
    </row>
    <row r="824" ht="15.75" customHeight="1">
      <c r="A824" s="2" t="s">
        <v>824</v>
      </c>
      <c r="B824" s="2" t="str">
        <f>IFERROR(__xludf.DUMMYFUNCTION("GOOGLETRANSLATE(A824, ""en"", ""mt"")"),"fiduċja fi Kristu")</f>
        <v>fiduċja fi Kristu</v>
      </c>
    </row>
    <row r="825" ht="15.75" customHeight="1">
      <c r="A825" s="2" t="s">
        <v>825</v>
      </c>
      <c r="B825" s="2" t="str">
        <f>IFERROR(__xludf.DUMMYFUNCTION("GOOGLETRANSLATE(A825, ""en"", ""mt"")"),"Xi jħoss Rajan ħoloq linji ta 'difetti finanzjarji profondi?")</f>
        <v>Xi jħoss Rajan ħoloq linji ta 'difetti finanzjarji profondi?</v>
      </c>
    </row>
    <row r="826" ht="15.75" customHeight="1">
      <c r="A826" s="2" t="s">
        <v>826</v>
      </c>
      <c r="B826" s="2" t="str">
        <f>IFERROR(__xludf.DUMMYFUNCTION("GOOGLETRANSLATE(A826, ""en"", ""mt"")"),"ħafna ħwawar oħra mhux elenkati")</f>
        <v>ħafna ħwawar oħra mhux elenkati</v>
      </c>
    </row>
    <row r="827" ht="15.75" customHeight="1">
      <c r="A827" s="2" t="s">
        <v>827</v>
      </c>
      <c r="B827" s="2" t="str">
        <f>IFERROR(__xludf.DUMMYFUNCTION("GOOGLETRANSLATE(A827, ""en"", ""mt"")"),"Acura")</f>
        <v>Acura</v>
      </c>
    </row>
    <row r="828" ht="15.75" customHeight="1">
      <c r="A828" s="2" t="s">
        <v>828</v>
      </c>
      <c r="B828" s="2" t="str">
        <f>IFERROR(__xludf.DUMMYFUNCTION("GOOGLETRANSLATE(A828, ""en"", ""mt"")"),"X'kienet Apple Talk")</f>
        <v>X'kienet Apple Talk</v>
      </c>
    </row>
    <row r="829" ht="15.75" customHeight="1">
      <c r="A829" s="2" t="s">
        <v>829</v>
      </c>
      <c r="B829" s="2" t="str">
        <f>IFERROR(__xludf.DUMMYFUNCTION("GOOGLETRANSLATE(A829, ""en"", ""mt"")"),"Meta ntemmet il-Gwerra Franċiża u Indjana ta 'l-Amerika ta' Fuq?")</f>
        <v>Meta ntemmet il-Gwerra Franċiża u Indjana ta 'l-Amerika ta' Fuq?</v>
      </c>
    </row>
    <row r="830" ht="15.75" customHeight="1">
      <c r="A830" s="2" t="s">
        <v>830</v>
      </c>
      <c r="B830" s="2" t="str">
        <f>IFERROR(__xludf.DUMMYFUNCTION("GOOGLETRANSLATE(A830, ""en"", ""mt"")"),"X'limita l-effiċjenza taċ-ċiklu ta 'Rankine?")</f>
        <v>X'limita l-effiċjenza taċ-ċiklu ta 'Rankine?</v>
      </c>
    </row>
    <row r="831" ht="15.75" customHeight="1">
      <c r="A831" s="2" t="s">
        <v>831</v>
      </c>
      <c r="B831" s="2" t="str">
        <f>IFERROR(__xludf.DUMMYFUNCTION("GOOGLETRANSLATE(A831, ""en"", ""mt"")"),"regolatorju")</f>
        <v>regolatorju</v>
      </c>
    </row>
    <row r="832" ht="15.75" customHeight="1">
      <c r="A832" s="2" t="s">
        <v>832</v>
      </c>
      <c r="B832" s="2" t="str">
        <f>IFERROR(__xludf.DUMMYFUNCTION("GOOGLETRANSLATE(A832, ""en"", ""mt"")"),"Il-kloroplasti għandhom it-tielet ċirku li jaqsam il-plastidi")</f>
        <v>Il-kloroplasti għandhom it-tielet ċirku li jaqsam il-plastidi</v>
      </c>
    </row>
    <row r="833" ht="15.75" customHeight="1">
      <c r="A833" s="2" t="s">
        <v>833</v>
      </c>
      <c r="B833" s="2" t="str">
        <f>IFERROR(__xludf.DUMMYFUNCTION("GOOGLETRANSLATE(A833, ""en"", ""mt"")"),"Il-gwerra ġiet miġġielda primarjament tul il-fruntieri bejn New France u l-kolonji Ingliżi, minn Virginia fin-nofsinhar sa l-Iskozja fit-tramuntana. Dan beda b'tilwima dwar il-kontroll tal-konfluwenza tax-xmajjar Allegheny u Monongahela, imsejħa l-Forks o"&amp;"f the Ohio, u s-sit tal-Fort Franċiż Duquesne u l-lum Pittsburgh, Pennsylvania. It-tilwima faqqgħet fil-vjolenza fil-battalja ta ’Jumonville Glen f’Mejju 1754, li matulha l-milizjani ta’ Virginia taħt il-kmand ta ’George Washington ta ’22 sena ħabbru rond"&amp;"a Franċiża.")</f>
        <v>Il-gwerra ġiet miġġielda primarjament tul il-fruntieri bejn New France u l-kolonji Ingliżi, minn Virginia fin-nofsinhar sa l-Iskozja fit-tramuntana. Dan beda b'tilwima dwar il-kontroll tal-konfluwenza tax-xmajjar Allegheny u Monongahela, imsejħa l-Forks of the Ohio, u s-sit tal-Fort Franċiż Duquesne u l-lum Pittsburgh, Pennsylvania. It-tilwima faqqgħet fil-vjolenza fil-battalja ta ’Jumonville Glen f’Mejju 1754, li matulha l-milizjani ta’ Virginia taħt il-kmand ta ’George Washington ta ’22 sena ħabbru ronda Franċiża.</v>
      </c>
    </row>
    <row r="834" ht="15.75" customHeight="1">
      <c r="A834" s="2" t="s">
        <v>834</v>
      </c>
      <c r="B834" s="2" t="str">
        <f>IFERROR(__xludf.DUMMYFUNCTION("GOOGLETRANSLATE(A834, ""en"", ""mt"")"),"Netwerk fuq livell nazzjonali")</f>
        <v>Netwerk fuq livell nazzjonali</v>
      </c>
    </row>
    <row r="835" ht="15.75" customHeight="1">
      <c r="A835" s="2" t="s">
        <v>835</v>
      </c>
      <c r="B835" s="2" t="str">
        <f>IFERROR(__xludf.DUMMYFUNCTION("GOOGLETRANSLATE(A835, ""en"", ""mt"")"),"Ma 'min kien Ralph inkarigat li qiegħed fil-gwerra?")</f>
        <v>Ma 'min kien Ralph inkarigat li qiegħed fil-gwerra?</v>
      </c>
    </row>
    <row r="836" ht="15.75" customHeight="1">
      <c r="A836" s="2" t="s">
        <v>836</v>
      </c>
      <c r="B836" s="2" t="str">
        <f>IFERROR(__xludf.DUMMYFUNCTION("GOOGLETRANSLATE(A836, ""en"", ""mt"")"),"Fl-Afrika t'Isfel, flimkien ma 'skejjel regolati, liema skejjel huma kklassifikati bħala indipendenti?")</f>
        <v>Fl-Afrika t'Isfel, flimkien ma 'skejjel regolati, liema skejjel huma kklassifikati bħala indipendenti?</v>
      </c>
    </row>
    <row r="837" ht="15.75" customHeight="1">
      <c r="A837" s="2" t="s">
        <v>837</v>
      </c>
      <c r="B837" s="2" t="str">
        <f>IFERROR(__xludf.DUMMYFUNCTION("GOOGLETRANSLATE(A837, ""en"", ""mt"")"),"Min jista 'jieħu azzjoni dixxiplinarja kontra għalliem?")</f>
        <v>Min jista 'jieħu azzjoni dixxiplinarja kontra għalliem?</v>
      </c>
    </row>
    <row r="838" ht="15.75" customHeight="1">
      <c r="A838" s="2" t="s">
        <v>838</v>
      </c>
      <c r="B838" s="2" t="str">
        <f>IFERROR(__xludf.DUMMYFUNCTION("GOOGLETRANSLATE(A838, ""en"", ""mt"")"),"Ir-Renu jifforma delta interna f'liema lag?")</f>
        <v>Ir-Renu jifforma delta interna f'liema lag?</v>
      </c>
    </row>
    <row r="839" ht="15.75" customHeight="1">
      <c r="A839" s="2" t="s">
        <v>839</v>
      </c>
      <c r="B839" s="2" t="str">
        <f>IFERROR(__xludf.DUMMYFUNCTION("GOOGLETRANSLATE(A839, ""en"", ""mt"")"),"X'inhu eżempju wieħed ta 'dominju ta' fatturizzazzjoni uniku?")</f>
        <v>X'inhu eżempju wieħed ta 'dominju ta' fatturizzazzjoni uniku?</v>
      </c>
    </row>
    <row r="840" ht="15.75" customHeight="1">
      <c r="A840" s="2" t="s">
        <v>840</v>
      </c>
      <c r="B840" s="2" t="str">
        <f>IFERROR(__xludf.DUMMYFUNCTION("GOOGLETRANSLATE(A840, ""en"", ""mt"")"),"l-istanza")</f>
        <v>l-istanza</v>
      </c>
    </row>
    <row r="841" ht="15.75" customHeight="1">
      <c r="A841" s="2" t="s">
        <v>841</v>
      </c>
      <c r="B841" s="2" t="str">
        <f>IFERROR(__xludf.DUMMYFUNCTION("GOOGLETRANSLATE(A841, ""en"", ""mt"")"),"Siġġijiet tal-grupp ta 'ħidma")</f>
        <v>Siġġijiet tal-grupp ta 'ħidma</v>
      </c>
    </row>
    <row r="842" ht="15.75" customHeight="1">
      <c r="A842" s="2" t="s">
        <v>842</v>
      </c>
      <c r="B842" s="2" t="str">
        <f>IFERROR(__xludf.DUMMYFUNCTION("GOOGLETRANSLATE(A842, ""en"", ""mt"")"),"tul il-kosta")</f>
        <v>tul il-kosta</v>
      </c>
    </row>
    <row r="843" ht="15.75" customHeight="1">
      <c r="A843" s="2" t="s">
        <v>843</v>
      </c>
      <c r="B843" s="2" t="str">
        <f>IFERROR(__xludf.DUMMYFUNCTION("GOOGLETRANSLATE(A843, ""en"", ""mt"")"),"X'kienet Ban Ki-moon is-Segretarju Ġenerali ta '?")</f>
        <v>X'kienet Ban Ki-moon is-Segretarju Ġenerali ta '?</v>
      </c>
    </row>
    <row r="844" ht="15.75" customHeight="1">
      <c r="A844" s="2" t="s">
        <v>844</v>
      </c>
      <c r="B844" s="2" t="str">
        <f>IFERROR(__xludf.DUMMYFUNCTION("GOOGLETRANSLATE(A844, ""en"", ""mt"")"),"Liema komposti jistgħu jiġu mgħottija bil-molekuli taċ-ċellula ospitanti sabiex virus jevadi d-detezzjoni?")</f>
        <v>Liema komposti jistgħu jiġu mgħottija bil-molekuli taċ-ċellula ospitanti sabiex virus jevadi d-detezzjoni?</v>
      </c>
    </row>
    <row r="845" ht="15.75" customHeight="1">
      <c r="A845" s="2" t="s">
        <v>845</v>
      </c>
      <c r="B845" s="2" t="str">
        <f>IFERROR(__xludf.DUMMYFUNCTION("GOOGLETRANSLATE(A845, ""en"", ""mt"")"),"Tossiċità tal-ossiġnu")</f>
        <v>Tossiċità tal-ossiġnu</v>
      </c>
    </row>
    <row r="846" ht="15.75" customHeight="1">
      <c r="A846" s="2" t="s">
        <v>846</v>
      </c>
      <c r="B846" s="2" t="str">
        <f>IFERROR(__xludf.DUMMYFUNCTION("GOOGLETRANSLATE(A846, ""en"", ""mt"")"),"DataNet 1 kien in-netwerk tad-dejta tal-pubbliku qalbu mit-telekomunikazzjoni PTT Olandiża (issa magħrufa bħala KPN). Datanet 1 strettament irrefera biss għan-netwerk u l-utenti konnessi permezz ta ’linji mikrija (bl-użu tal-X.121 DNIC 2041), l-isem irref"&amp;"era wkoll għas-servizz tal-kuxxinett pubbliku TelePad (bl-użu tad-DNIC 2049). U minħabba li s-servizz ewlieni tal-vidjotex uża n-netwerk u l-apparati tal-kuxxinett modifikat bħala infrastruttura l-isem Datanet 1 intuża wkoll għal dawn is-servizzi. Għalkem"&amp;"m dan l-użu tal-isem ma kienx korrett dawn is-servizzi kollha kienu ġestiti mill-istess nies fi ħdan dipartiment wieħed tal-KPN ikkontribwew għall-konfużjoni.")</f>
        <v>DataNet 1 kien in-netwerk tad-dejta tal-pubbliku qalbu mit-telekomunikazzjoni PTT Olandiża (issa magħrufa bħala KPN). Datanet 1 strettament irrefera biss għan-netwerk u l-utenti konnessi permezz ta ’linji mikrija (bl-użu tal-X.121 DNIC 2041), l-isem irrefera wkoll għas-servizz tal-kuxxinett pubbliku TelePad (bl-użu tad-DNIC 2049). U minħabba li s-servizz ewlieni tal-vidjotex uża n-netwerk u l-apparati tal-kuxxinett modifikat bħala infrastruttura l-isem Datanet 1 intuża wkoll għal dawn is-servizzi. Għalkemm dan l-użu tal-isem ma kienx korrett dawn is-servizzi kollha kienu ġestiti mill-istess nies fi ħdan dipartiment wieħed tal-KPN ikkontribwew għall-konfużjoni.</v>
      </c>
    </row>
    <row r="847" ht="15.75" customHeight="1">
      <c r="A847" s="2" t="s">
        <v>847</v>
      </c>
      <c r="B847" s="2" t="str">
        <f>IFERROR(__xludf.DUMMYFUNCTION("GOOGLETRANSLATE(A847, ""en"", ""mt"")"),"eżotermiku")</f>
        <v>eżotermiku</v>
      </c>
    </row>
    <row r="848" ht="15.75" customHeight="1">
      <c r="A848" s="2" t="s">
        <v>848</v>
      </c>
      <c r="B848" s="2" t="str">
        <f>IFERROR(__xludf.DUMMYFUNCTION("GOOGLETRANSLATE(A848, ""en"", ""mt"")"),"Stroke apoplectic ċaħadlu mid-diskors tiegħu, u miet ftit wara fis-2.45 a.m. fit-18 ta 'Frar 1546, ta '62 sena, f'Eisleben, il-belt tat-twelid tiegħu. Huwa ndifen fil-Knisja tal-Kastell f'Wittenberg, taħt il-pulptu. Il-funeral kien miżmum mill-ħbieb tiegħ"&amp;"u Johannes Bugenhagen u Philipp Melanchthon. Sena wara, truppi tal-avversarju ta ’Luther Charles V, Imperatur Imqaddes Ruman daħlu fil-belt, iżda ġew ordnati minn Charles biex ma jiddisturbawx il-qabar.")</f>
        <v>Stroke apoplectic ċaħadlu mid-diskors tiegħu, u miet ftit wara fis-2.45 a.m. fit-18 ta 'Frar 1546, ta '62 sena, f'Eisleben, il-belt tat-twelid tiegħu. Huwa ndifen fil-Knisja tal-Kastell f'Wittenberg, taħt il-pulptu. Il-funeral kien miżmum mill-ħbieb tiegħu Johannes Bugenhagen u Philipp Melanchthon. Sena wara, truppi tal-avversarju ta ’Luther Charles V, Imperatur Imqaddes Ruman daħlu fil-belt, iżda ġew ordnati minn Charles biex ma jiddisturbawx il-qabar.</v>
      </c>
    </row>
    <row r="849" ht="15.75" customHeight="1">
      <c r="A849" s="2" t="s">
        <v>849</v>
      </c>
      <c r="B849" s="2" t="str">
        <f>IFERROR(__xludf.DUMMYFUNCTION("GOOGLETRANSLATE(A849, ""en"", ""mt"")"),"ipproċessat biex tneħħi l-istorbju bl-addoċċ u ħawwad il-kamera mingħajr ma teqred leġittimità storika")</f>
        <v>ipproċessat biex tneħħi l-istorbju bl-addoċċ u ħawwad il-kamera mingħajr ma teqred leġittimità storika</v>
      </c>
    </row>
    <row r="850" ht="15.75" customHeight="1">
      <c r="A850" s="2" t="s">
        <v>850</v>
      </c>
      <c r="B850" s="2" t="str">
        <f>IFERROR(__xludf.DUMMYFUNCTION("GOOGLETRANSLATE(A850, ""en"", ""mt"")"),"Amsterdam u ż-żona ta 'West Frisia")</f>
        <v>Amsterdam u ż-żona ta 'West Frisia</v>
      </c>
    </row>
    <row r="851" ht="15.75" customHeight="1">
      <c r="A851" s="2" t="s">
        <v>851</v>
      </c>
      <c r="B851" s="2" t="str">
        <f>IFERROR(__xludf.DUMMYFUNCTION("GOOGLETRANSLATE(A851, ""en"", ""mt"")"),"Soċjetà Amerikana tal-Edukazzjoni Battista")</f>
        <v>Soċjetà Amerikana tal-Edukazzjoni Battista</v>
      </c>
    </row>
    <row r="852" ht="15.75" customHeight="1">
      <c r="A852" s="2" t="s">
        <v>852</v>
      </c>
      <c r="B852" s="2" t="str">
        <f>IFERROR(__xludf.DUMMYFUNCTION("GOOGLETRANSLATE(A852, ""en"", ""mt"")"),"il-punent")</f>
        <v>il-punent</v>
      </c>
    </row>
    <row r="853" ht="15.75" customHeight="1">
      <c r="A853" s="2" t="s">
        <v>853</v>
      </c>
      <c r="B853" s="2" t="str">
        <f>IFERROR(__xludf.DUMMYFUNCTION("GOOGLETRANSLATE(A853, ""en"", ""mt"")"),"X'inhi l-karriera ta 'Raghuram Rajan?")</f>
        <v>X'inhi l-karriera ta 'Raghuram Rajan?</v>
      </c>
    </row>
    <row r="854" ht="15.75" customHeight="1">
      <c r="A854" s="2" t="s">
        <v>854</v>
      </c>
      <c r="B854" s="2" t="str">
        <f>IFERROR(__xludf.DUMMYFUNCTION("GOOGLETRANSLATE(A854, ""en"", ""mt"")"),"Lvant Nofsani")</f>
        <v>Lvant Nofsani</v>
      </c>
    </row>
    <row r="855" ht="15.75" customHeight="1">
      <c r="A855" s="2" t="s">
        <v>855</v>
      </c>
      <c r="B855" s="2" t="str">
        <f>IFERROR(__xludf.DUMMYFUNCTION("GOOGLETRANSLATE(A855, ""en"", ""mt"")"),"Uħud mid-dħul marru għax-xiri ta 'armi li aggravaw it-tensjoni politika speċjalment f'liema qasam?")</f>
        <v>Uħud mid-dħul marru għax-xiri ta 'armi li aggravaw it-tensjoni politika speċjalment f'liema qasam?</v>
      </c>
    </row>
    <row r="856" ht="15.75" customHeight="1">
      <c r="A856" s="2" t="s">
        <v>856</v>
      </c>
      <c r="B856" s="2" t="str">
        <f>IFERROR(__xludf.DUMMYFUNCTION("GOOGLETRANSLATE(A856, ""en"", ""mt"")"),"spjegat id-diviżjoni u l-amministrazzjoni tat-territorju li għadu kif ġie maħkuma")</f>
        <v>spjegat id-diviżjoni u l-amministrazzjoni tat-territorju li għadu kif ġie maħkuma</v>
      </c>
    </row>
    <row r="857" ht="15.75" customHeight="1">
      <c r="A857" s="2" t="s">
        <v>857</v>
      </c>
      <c r="B857" s="2" t="str">
        <f>IFERROR(__xludf.DUMMYFUNCTION("GOOGLETRANSLATE(A857, ""en"", ""mt"")"),"l-iktar")</f>
        <v>l-iktar</v>
      </c>
    </row>
    <row r="858" ht="15.75" customHeight="1">
      <c r="A858" s="2" t="s">
        <v>858</v>
      </c>
      <c r="B858" s="2" t="str">
        <f>IFERROR(__xludf.DUMMYFUNCTION("GOOGLETRANSLATE(A858, ""en"", ""mt"")"),"Il-qgħad persistenti għandu x’effett fuq it-tkabbir ekonomiku fit-tul?")</f>
        <v>Il-qgħad persistenti għandu x’effett fuq it-tkabbir ekonomiku fit-tul?</v>
      </c>
    </row>
    <row r="859" ht="15.75" customHeight="1">
      <c r="A859" s="2" t="s">
        <v>859</v>
      </c>
      <c r="B859" s="2" t="str">
        <f>IFERROR(__xludf.DUMMYFUNCTION("GOOGLETRANSLATE(A859, ""en"", ""mt"")"),"Il-leġiżlazzjoni ppermettiet lil California tiġi ammessa fl-Unjoni bħala x'tip ta 'stat?")</f>
        <v>Il-leġiżlazzjoni ppermettiet lil California tiġi ammessa fl-Unjoni bħala x'tip ta 'stat?</v>
      </c>
    </row>
    <row r="860" ht="15.75" customHeight="1">
      <c r="A860" s="2" t="s">
        <v>860</v>
      </c>
      <c r="B860" s="2" t="str">
        <f>IFERROR(__xludf.DUMMYFUNCTION("GOOGLETRANSLATE(A860, ""en"", ""mt"")"),"Liema kulur huma n-numri fil-logo tas-Super Bowl 50?")</f>
        <v>Liema kulur huma n-numri fil-logo tas-Super Bowl 50?</v>
      </c>
    </row>
    <row r="861" ht="15.75" customHeight="1">
      <c r="A861" s="2" t="s">
        <v>861</v>
      </c>
      <c r="B861" s="2" t="str">
        <f>IFERROR(__xludf.DUMMYFUNCTION("GOOGLETRANSLATE(A861, ""en"", ""mt"")"),"Ħafna mill-istess deċiżjonijiet u prinċipji li japplikaw f'investigazzjonijiet u arresti kriminali oħra jinqalgħu wkoll f'każijiet ta 'diżubbidjenza ċivili. Pereżempju, is-suspettat jista 'jkollu bżonn jiddeċiedi jekk jagħtix tfittxija ta' kunsens jew le,"&amp;" u jekk tkellemx jew le ma 'uffiċjali tal-pulizija jew le. Ġeneralment huwa miftiehem fi ħdan il-komunità legali, u ħafna drabi huwa maħsub fil-komunità attivisti, li suspettat jitkellem ma 'investigaturi kriminali jista' jservi l-ebda skop utli, u jista "&amp;"'jkun ta' ħsara. Madankollu, xi diżubbidjenti ċivili madankollu sabuha diffiċli biex jirreżistu li jirrispondu għall-mistoqsijiet tal-investigaturi, xi kultant minħabba nuqqas ta 'fehim tar-ramifikazzjonijiet legali, jew minħabba l-biża' li tidher rude. U"&amp;"koll, xi diżubbidjenti ċivili jfittxu li jużaw l-arrest bħala opportunità biex jagħmlu impressjoni fuq l-uffiċjali. Thoreau kiteb, ""Il-proxxmu ċivili tiegħi, il-ġbir tat-taxxa, huwa l-bniedem stess li għandi nittratta - għax wara kollox, ma 'l-irġiel u m"&amp;"hux mal-parċmina li kont nitfa' - u huwa volontarjament għażel li jkun aġent tal-gvern. Kif għandu jkun jaf sew li hu u jagħmel bħala uffiċjal tal-gvern, jew bħala raġel, sakemm ikun obbligat jikkunsidra jekk hux se jittratta lili, il-proxxmu tiegħu, li g"&amp;"ħalih hu għandu rispett, bħala Ġirien u raġel imħasseb sew, jew bħala maniac u jfixklu l-paċi, u ara jekk jistax jaqbeż din l-ostruzzjoni lejn il-viċinat tiegħu mingħajr ħsieb jew diskors aktar imxerred u aktar impetuż li jikkorrispondu mal-azzjoni tiegħu"&amp;". """)</f>
        <v>Ħafna mill-istess deċiżjonijiet u prinċipji li japplikaw f'investigazzjonijiet u arresti kriminali oħra jinqalgħu wkoll f'każijiet ta 'diżubbidjenza ċivili. Pereżempju, is-suspettat jista 'jkollu bżonn jiddeċiedi jekk jagħtix tfittxija ta' kunsens jew le, u jekk tkellemx jew le ma 'uffiċjali tal-pulizija jew le. Ġeneralment huwa miftiehem fi ħdan il-komunità legali, u ħafna drabi huwa maħsub fil-komunità attivisti, li suspettat jitkellem ma 'investigaturi kriminali jista' jservi l-ebda skop utli, u jista 'jkun ta' ħsara. Madankollu, xi diżubbidjenti ċivili madankollu sabuha diffiċli biex jirreżistu li jirrispondu għall-mistoqsijiet tal-investigaturi, xi kultant minħabba nuqqas ta 'fehim tar-ramifikazzjonijiet legali, jew minħabba l-biża' li tidher rude. Ukoll, xi diżubbidjenti ċivili jfittxu li jużaw l-arrest bħala opportunità biex jagħmlu impressjoni fuq l-uffiċjali. Thoreau kiteb, "Il-proxxmu ċivili tiegħi, il-ġbir tat-taxxa, huwa l-bniedem stess li għandi nittratta - għax wara kollox, ma 'l-irġiel u mhux mal-parċmina li kont nitfa' - u huwa volontarjament għażel li jkun aġent tal-gvern. Kif għandu jkun jaf sew li hu u jagħmel bħala uffiċjal tal-gvern, jew bħala raġel, sakemm ikun obbligat jikkunsidra jekk hux se jittratta lili, il-proxxmu tiegħu, li għalih hu għandu rispett, bħala Ġirien u raġel imħasseb sew, jew bħala maniac u jfixklu l-paċi, u ara jekk jistax jaqbeż din l-ostruzzjoni lejn il-viċinat tiegħu mingħajr ħsieb jew diskors aktar imxerred u aktar impetuż li jikkorrispondu mal-azzjoni tiegħu. "</v>
      </c>
    </row>
    <row r="862" ht="15.75" customHeight="1">
      <c r="A862" s="2" t="s">
        <v>862</v>
      </c>
      <c r="B862" s="2" t="str">
        <f>IFERROR(__xludf.DUMMYFUNCTION("GOOGLETRANSLATE(A862, ""en"", ""mt"")"),"Fulton Mall")</f>
        <v>Fulton Mall</v>
      </c>
    </row>
    <row r="863" ht="15.75" customHeight="1">
      <c r="A863" s="2" t="s">
        <v>863</v>
      </c>
      <c r="B863" s="2" t="str">
        <f>IFERROR(__xludf.DUMMYFUNCTION("GOOGLETRANSLATE(A863, ""en"", ""mt"")"),"granuli fiċ-ċitoplasma tal-ospitanti tad-dinophyte")</f>
        <v>granuli fiċ-ċitoplasma tal-ospitanti tad-dinophyte</v>
      </c>
    </row>
    <row r="864" ht="15.75" customHeight="1">
      <c r="A864" s="2" t="s">
        <v>864</v>
      </c>
      <c r="B864" s="2" t="str">
        <f>IFERROR(__xludf.DUMMYFUNCTION("GOOGLETRANSLATE(A864, ""en"", ""mt"")"),"kaxxa tal-pulizija")</f>
        <v>kaxxa tal-pulizija</v>
      </c>
    </row>
    <row r="865" ht="15.75" customHeight="1">
      <c r="A865" s="2" t="s">
        <v>865</v>
      </c>
      <c r="B865" s="2" t="str">
        <f>IFERROR(__xludf.DUMMYFUNCTION("GOOGLETRANSLATE(A865, ""en"", ""mt"")"),"Il-Knisja Parrokkjali ta ’Sant’Andrija hija tradizzjonalment rikonoxxuta bħala“ l-eqdem knisja f’din il-belt ”. Il-bini preżenti kien beda fis-seklu 12 u l-aħħar żieda għalih, apparti l-vestries, kienet il-loġġa ewlenija fl-1726. Huwa pjuttost possibbli l"&amp;"i kien hemm knisja preċedenti hawn li tmur minn Sassoni Times. Din il-knisja anzjana kienet tkun waħda minn diversi knejjes tul ix-Xmara Tyne ddedikata lil St Andrew, inkluża l-Knisja tal-Prijorju f'Hexham. Il-bini fih aktar ġebel qadim minn kwalunkwe kni"&amp;"sja oħra fi Newcastle. Huwa mdawwar bl-aħħar tal-knisja tal-qedem biex iżomm il-karattru oriġinali tiegħu. Ħafna ismijiet ewlenin assoċjati mal-istorja ta 'Newcastle jaduraw u ġew midfuna hawn. It-torri tal-knisja rċieva battering waqt l-assedju ta ’Newca"&amp;"stle mill-Iskoċċiżi li finalment kisru l-ħajt tal-belt u sfurzaw iċedu. Tlieta mill-kanuni jibqgħu fuq il-post bħala xhieda tal-assedju.")</f>
        <v>Il-Knisja Parrokkjali ta ’Sant’Andrija hija tradizzjonalment rikonoxxuta bħala“ l-eqdem knisja f’din il-belt ”. Il-bini preżenti kien beda fis-seklu 12 u l-aħħar żieda għalih, apparti l-vestries, kienet il-loġġa ewlenija fl-1726. Huwa pjuttost possibbli li kien hemm knisja preċedenti hawn li tmur minn Sassoni Times. Din il-knisja anzjana kienet tkun waħda minn diversi knejjes tul ix-Xmara Tyne ddedikata lil St Andrew, inkluża l-Knisja tal-Prijorju f'Hexham. Il-bini fih aktar ġebel qadim minn kwalunkwe knisja oħra fi Newcastle. Huwa mdawwar bl-aħħar tal-knisja tal-qedem biex iżomm il-karattru oriġinali tiegħu. Ħafna ismijiet ewlenin assoċjati mal-istorja ta 'Newcastle jaduraw u ġew midfuna hawn. It-torri tal-knisja rċieva battering waqt l-assedju ta ’Newcastle mill-Iskoċċiżi li finalment kisru l-ħajt tal-belt u sfurzaw iċedu. Tlieta mill-kanuni jibqgħu fuq il-post bħala xhieda tal-assedju.</v>
      </c>
    </row>
    <row r="866" ht="15.75" customHeight="1">
      <c r="A866" s="2" t="s">
        <v>866</v>
      </c>
      <c r="B866" s="2" t="str">
        <f>IFERROR(__xludf.DUMMYFUNCTION("GOOGLETRANSLATE(A866, ""en"", ""mt"")"),"omm tal-perka")</f>
        <v>omm tal-perka</v>
      </c>
    </row>
    <row r="867" ht="15.75" customHeight="1">
      <c r="A867" s="2" t="s">
        <v>867</v>
      </c>
      <c r="B867" s="2" t="str">
        <f>IFERROR(__xludf.DUMMYFUNCTION("GOOGLETRANSLATE(A867, ""en"", ""mt"")"),"Indjani ġġieldu fuq iż-żewġ naħat tal-kunflitt")</f>
        <v>Indjani ġġieldu fuq iż-żewġ naħat tal-kunflitt</v>
      </c>
    </row>
    <row r="868" ht="15.75" customHeight="1">
      <c r="A868" s="2" t="s">
        <v>868</v>
      </c>
      <c r="B868" s="2" t="str">
        <f>IFERROR(__xludf.DUMMYFUNCTION("GOOGLETRANSLATE(A868, ""en"", ""mt"")"),"Ħsarat Ingliżi fl-Amerika ta ’Fuq")</f>
        <v>Ħsarat Ingliżi fl-Amerika ta ’Fuq</v>
      </c>
    </row>
    <row r="869" ht="15.75" customHeight="1">
      <c r="A869" s="2" t="s">
        <v>869</v>
      </c>
      <c r="B869" s="2" t="str">
        <f>IFERROR(__xludf.DUMMYFUNCTION("GOOGLETRANSLATE(A869, ""en"", ""mt"")"),"patoġeni, minn viruses għal dud parassitiku")</f>
        <v>patoġeni, minn viruses għal dud parassitiku</v>
      </c>
    </row>
    <row r="870" ht="15.75" customHeight="1">
      <c r="A870" s="2" t="s">
        <v>870</v>
      </c>
      <c r="B870" s="2" t="str">
        <f>IFERROR(__xludf.DUMMYFUNCTION("GOOGLETRANSLATE(A870, ""en"", ""mt"")"),"X'għamel Virgin Media BSKYB li rriżulta li Virgin ma ġġorrx il-kanali aktar?")</f>
        <v>X'għamel Virgin Media BSKYB li rriżulta li Virgin ma ġġorrx il-kanali aktar?</v>
      </c>
    </row>
    <row r="871" ht="15.75" customHeight="1">
      <c r="A871" s="2" t="s">
        <v>871</v>
      </c>
      <c r="B871" s="2" t="str">
        <f>IFERROR(__xludf.DUMMYFUNCTION("GOOGLETRANSLATE(A871, ""en"", ""mt"")"),"Awtorità tal-Pulizija Metropolitana")</f>
        <v>Awtorità tal-Pulizija Metropolitana</v>
      </c>
    </row>
    <row r="872" ht="15.75" customHeight="1">
      <c r="A872" s="2" t="s">
        <v>872</v>
      </c>
      <c r="B872" s="2" t="str">
        <f>IFERROR(__xludf.DUMMYFUNCTION("GOOGLETRANSLATE(A872, ""en"", ""mt"")"),"Settembru 1939")</f>
        <v>Settembru 1939</v>
      </c>
    </row>
    <row r="873" ht="15.75" customHeight="1">
      <c r="A873" s="2" t="s">
        <v>873</v>
      </c>
      <c r="B873" s="2" t="str">
        <f>IFERROR(__xludf.DUMMYFUNCTION("GOOGLETRANSLATE(A873, ""en"", ""mt"")"),"L-ebda kamra tar-reviżjoni")</f>
        <v>L-ebda kamra tar-reviżjoni</v>
      </c>
    </row>
    <row r="874" ht="15.75" customHeight="1">
      <c r="A874" s="2" t="s">
        <v>874</v>
      </c>
      <c r="B874" s="2" t="str">
        <f>IFERROR(__xludf.DUMMYFUNCTION("GOOGLETRANSLATE(A874, ""en"", ""mt"")"),"Kemm kienu pro bowlers fuq ir-reat tal-Panthers?")</f>
        <v>Kemm kienu pro bowlers fuq ir-reat tal-Panthers?</v>
      </c>
    </row>
    <row r="875" ht="15.75" customHeight="1">
      <c r="A875" s="2" t="s">
        <v>875</v>
      </c>
      <c r="B875" s="2" t="str">
        <f>IFERROR(__xludf.DUMMYFUNCTION("GOOGLETRANSLATE(A875, ""en"", ""mt"")"),"Ħin mhux deterministiku")</f>
        <v>Ħin mhux deterministiku</v>
      </c>
    </row>
    <row r="876" ht="15.75" customHeight="1">
      <c r="A876" s="2" t="s">
        <v>876</v>
      </c>
      <c r="B876" s="2" t="str">
        <f>IFERROR(__xludf.DUMMYFUNCTION("GOOGLETRANSLATE(A876, ""en"", ""mt"")"),"X'tip ta 'impatt jistgħu r-residenti ta' Newcastle jistennew li l-istorbju tal-belt ikollu fuqhom?")</f>
        <v>X'tip ta 'impatt jistgħu r-residenti ta' Newcastle jistennew li l-istorbju tal-belt ikollu fuqhom?</v>
      </c>
    </row>
    <row r="877" ht="15.75" customHeight="1">
      <c r="A877" s="2" t="s">
        <v>877</v>
      </c>
      <c r="B877" s="2" t="str">
        <f>IFERROR(__xludf.DUMMYFUNCTION("GOOGLETRANSLATE(A877, ""en"", ""mt"")"),"It-teoremi tal-ġerarkija tal-ħin u l-ispazju")</f>
        <v>It-teoremi tal-ġerarkija tal-ħin u l-ispazju</v>
      </c>
    </row>
    <row r="878" ht="15.75" customHeight="1">
      <c r="A878" s="2" t="s">
        <v>878</v>
      </c>
      <c r="B878" s="2" t="str">
        <f>IFERROR(__xludf.DUMMYFUNCTION("GOOGLETRANSLATE(A878, ""en"", ""mt"")"),"output wieħed")</f>
        <v>output wieħed</v>
      </c>
    </row>
    <row r="879" ht="15.75" customHeight="1">
      <c r="A879" s="2" t="s">
        <v>879</v>
      </c>
      <c r="B879" s="2" t="str">
        <f>IFERROR(__xludf.DUMMYFUNCTION("GOOGLETRANSLATE(A879, ""en"", ""mt"")"),"Xi teoriji żviluppati fis-snin sebgħin stabbilixxew toroq possibbli li permezz tagħhom l-inugwaljanza jista 'jkollha effett pożittiv fuq l-iżvilupp ekonomiku. Skond reviżjoni tal-1955, it-tfaddil mis-sinjur, jekk dawn jiżdiedu bl-inugwaljanza, kienu maħsu"&amp;"ba li jikkumpensaw id-domanda mnaqqsa tal-konsumatur. Rapport tal-2013 dwar in-Niġerja jissuġġerixxi li t-tkabbir żdied b'żieda fl-inugwaljanza fid-dħul. Xi teoriji popolari mill-ħamsinijiet sal-2011 iddikjaraw b'mod żbaljat li l-inugwaljanza kellha effet"&amp;"t pożittiv fuq l-iżvilupp ekonomiku. L-analiżi bbażati fuq it-tqabbil ta 'figuri ta' ugwaljanza annwali ma 'rati ta' tkabbir annwali kienu qarrieqa minħabba li hemm bżonn ta 'bosta snin biex effetti jimmanifestaw bħala bidliet fit-tkabbir ekonomiku. L-eko"&amp;"nomisti tal-FMI sabu assoċjazzjoni qawwija bejn livelli aktar baxxi ta 'inugwaljanza f'pajjiżi li qed jiżviluppaw u perjodi sostnuti ta' tkabbir ekonomiku. Pajjiżi li qed jiżviluppaw b'inugwaljanza għolja ""rnexxielhom jibdew it-tkabbir b'rati għoljin għa"&amp;"l ftit snin"" iżda ""perjodi ta 'tkabbir itwal huma assoċjati b'mod qawwi ma' aktar ugwaljanza fid-distribuzzjoni tad-dħul.""")</f>
        <v>Xi teoriji żviluppati fis-snin sebgħin stabbilixxew toroq possibbli li permezz tagħhom l-inugwaljanza jista 'jkollha effett pożittiv fuq l-iżvilupp ekonomiku. Skond reviżjoni tal-1955, it-tfaddil mis-sinjur, jekk dawn jiżdiedu bl-inugwaljanza, kienu maħsuba li jikkumpensaw id-domanda mnaqqsa tal-konsumatur. Rapport tal-2013 dwar in-Niġerja jissuġġerixxi li t-tkabbir żdied b'żieda fl-inugwaljanza fid-dħul. Xi teoriji popolari mill-ħamsinijiet sal-2011 iddikjaraw b'mod żbaljat li l-inugwaljanza kellha effett pożittiv fuq l-iżvilupp ekonomiku. L-analiżi bbażati fuq it-tqabbil ta 'figuri ta' ugwaljanza annwali ma 'rati ta' tkabbir annwali kienu qarrieqa minħabba li hemm bżonn ta 'bosta snin biex effetti jimmanifestaw bħala bidliet fit-tkabbir ekonomiku. L-ekonomisti tal-FMI sabu assoċjazzjoni qawwija bejn livelli aktar baxxi ta 'inugwaljanza f'pajjiżi li qed jiżviluppaw u perjodi sostnuti ta' tkabbir ekonomiku. Pajjiżi li qed jiżviluppaw b'inugwaljanza għolja "rnexxielhom jibdew it-tkabbir b'rati għoljin għal ftit snin" iżda "perjodi ta 'tkabbir itwal huma assoċjati b'mod qawwi ma' aktar ugwaljanza fid-distribuzzjoni tad-dħul."</v>
      </c>
    </row>
    <row r="880" ht="15.75" customHeight="1">
      <c r="A880" s="2" t="s">
        <v>880</v>
      </c>
      <c r="B880" s="2" t="str">
        <f>IFERROR(__xludf.DUMMYFUNCTION("GOOGLETRANSLATE(A880, ""en"", ""mt"")"),"X'jikkawża l-immunodefiċjenza?")</f>
        <v>X'jikkawża l-immunodefiċjenza?</v>
      </c>
    </row>
    <row r="881" ht="15.75" customHeight="1">
      <c r="A881" s="2" t="s">
        <v>881</v>
      </c>
      <c r="B881" s="2" t="str">
        <f>IFERROR(__xludf.DUMMYFUNCTION("GOOGLETRANSLATE(A881, ""en"", ""mt"")"),"Għal xiex ħasbet Tesla li kkontribwixxa l-aċidu nitruż?")</f>
        <v>Għal xiex ħasbet Tesla li kkontribwixxa l-aċidu nitruż?</v>
      </c>
    </row>
    <row r="882" ht="15.75" customHeight="1">
      <c r="A882" s="2" t="s">
        <v>882</v>
      </c>
      <c r="B882" s="2" t="str">
        <f>IFERROR(__xludf.DUMMYFUNCTION("GOOGLETRANSLATE(A882, ""en"", ""mt"")"),"X’kienu jemmnu li ż-żona u t-tradizzjoni ta ’Luther kienu ħatja?")</f>
        <v>X’kienu jemmnu li ż-żona u t-tradizzjoni ta ’Luther kienu ħatja?</v>
      </c>
    </row>
    <row r="883" ht="15.75" customHeight="1">
      <c r="A883" s="2" t="s">
        <v>883</v>
      </c>
      <c r="B883" s="2" t="str">
        <f>IFERROR(__xludf.DUMMYFUNCTION("GOOGLETRANSLATE(A883, ""en"", ""mt"")"),"X'kienet il-pożizzjoni ta 'Tesla ma' Westinghouse?")</f>
        <v>X'kienet il-pożizzjoni ta 'Tesla ma' Westinghouse?</v>
      </c>
    </row>
    <row r="884" ht="15.75" customHeight="1">
      <c r="A884" s="2" t="s">
        <v>884</v>
      </c>
      <c r="B884" s="2" t="str">
        <f>IFERROR(__xludf.DUMMYFUNCTION("GOOGLETRANSLATE(A884, ""en"", ""mt"")"),"Dominanza fl-atletika fuq distanza tan-nofs u fuq distanza twila")</f>
        <v>Dominanza fl-atletika fuq distanza tan-nofs u fuq distanza twila</v>
      </c>
    </row>
    <row r="885" ht="15.75" customHeight="1">
      <c r="A885" s="2" t="s">
        <v>885</v>
      </c>
      <c r="B885" s="2" t="str">
        <f>IFERROR(__xludf.DUMMYFUNCTION("GOOGLETRANSLATE(A885, ""en"", ""mt"")"),"ċitokini")</f>
        <v>ċitokini</v>
      </c>
    </row>
    <row r="886" ht="15.75" customHeight="1">
      <c r="A886" s="2" t="s">
        <v>886</v>
      </c>
      <c r="B886" s="2" t="str">
        <f>IFERROR(__xludf.DUMMYFUNCTION("GOOGLETRANSLATE(A886, ""en"", ""mt"")"),"avveniment ta 'tqabbid, bħal sħana jew xrar")</f>
        <v>avveniment ta 'tqabbid, bħal sħana jew xrar</v>
      </c>
    </row>
    <row r="887" ht="15.75" customHeight="1">
      <c r="A887" s="2" t="s">
        <v>887</v>
      </c>
      <c r="B887" s="2" t="str">
        <f>IFERROR(__xludf.DUMMYFUNCTION("GOOGLETRANSLATE(A887, ""en"", ""mt"")"),"protesta li timblokka traffiku qawwi")</f>
        <v>protesta li timblokka traffiku qawwi</v>
      </c>
    </row>
    <row r="888" ht="15.75" customHeight="1">
      <c r="A888" s="2" t="s">
        <v>888</v>
      </c>
      <c r="B888" s="2" t="str">
        <f>IFERROR(__xludf.DUMMYFUNCTION("GOOGLETRANSLATE(A888, ""en"", ""mt"")"),"Żviluppi ġodda fl-uffiċċju")</f>
        <v>Żviluppi ġodda fl-uffiċċju</v>
      </c>
    </row>
    <row r="889" ht="15.75" customHeight="1">
      <c r="A889" s="2" t="s">
        <v>889</v>
      </c>
      <c r="B889" s="2" t="str">
        <f>IFERROR(__xludf.DUMMYFUNCTION("GOOGLETRANSLATE(A889, ""en"", ""mt"")"),"tassazzjoni")</f>
        <v>tassazzjoni</v>
      </c>
    </row>
    <row r="890" ht="15.75" customHeight="1">
      <c r="A890" s="2" t="s">
        <v>890</v>
      </c>
      <c r="B890" s="2" t="str">
        <f>IFERROR(__xludf.DUMMYFUNCTION("GOOGLETRANSLATE(A890, ""en"", ""mt"")"),"Sistemi ta 'illuminazzjoni bbażati fuq id-dawl elettriku")</f>
        <v>Sistemi ta 'illuminazzjoni bbażati fuq id-dawl elettriku</v>
      </c>
    </row>
    <row r="891" ht="15.75" customHeight="1">
      <c r="A891" s="2" t="s">
        <v>891</v>
      </c>
      <c r="B891" s="2" t="str">
        <f>IFERROR(__xludf.DUMMYFUNCTION("GOOGLETRANSLATE(A891, ""en"", ""mt"")"),"X'tagħmel l-IPCC?")</f>
        <v>X'tagħmel l-IPCC?</v>
      </c>
    </row>
    <row r="892" ht="15.75" customHeight="1">
      <c r="A892" s="2" t="s">
        <v>892</v>
      </c>
      <c r="B892" s="2" t="str">
        <f>IFERROR(__xludf.DUMMYFUNCTION("GOOGLETRANSLATE(A892, ""en"", ""mt"")"),"X'jista 'jirriżulta fil-ħolqien ta' nassa tal-faqar?")</f>
        <v>X'jista 'jirriżulta fil-ħolqien ta' nassa tal-faqar?</v>
      </c>
    </row>
    <row r="893" ht="15.75" customHeight="1">
      <c r="A893" s="2" t="s">
        <v>893</v>
      </c>
      <c r="B893" s="2" t="str">
        <f>IFERROR(__xludf.DUMMYFUNCTION("GOOGLETRANSLATE(A893, ""en"", ""mt"")"),"Liema liġi tgħaqqad veloċitajiet relattivi ma 'inerzja?")</f>
        <v>Liema liġi tgħaqqad veloċitajiet relattivi ma 'inerzja?</v>
      </c>
    </row>
    <row r="894" ht="15.75" customHeight="1">
      <c r="A894" s="2" t="s">
        <v>894</v>
      </c>
      <c r="B894" s="2" t="str">
        <f>IFERROR(__xludf.DUMMYFUNCTION("GOOGLETRANSLATE(A894, ""en"", ""mt"")"),"Bl-istess linji, il-KO-NP hija l-klassi li fiha l-problemi ta 'komplement (i.e. problemi bit-tweġibiet iva / le maqluba) ta' problemi ta 'NP. Huwa maħsub li l-NP mhuwiex daqs il-KO-NP; Madankollu, għadu ma ġiex ippruvat. Intwera li jekk dawn iż-żewġ klass"&amp;"ijiet ta 'kumplessità mhumiex ugwali allura P mhux daqs NP.")</f>
        <v>Bl-istess linji, il-KO-NP hija l-klassi li fiha l-problemi ta 'komplement (i.e. problemi bit-tweġibiet iva / le maqluba) ta' problemi ta 'NP. Huwa maħsub li l-NP mhuwiex daqs il-KO-NP; Madankollu, għadu ma ġiex ippruvat. Intwera li jekk dawn iż-żewġ klassijiet ta 'kumplessità mhumiex ugwali allura P mhux daqs NP.</v>
      </c>
    </row>
    <row r="895" ht="15.75" customHeight="1">
      <c r="A895" s="2" t="s">
        <v>895</v>
      </c>
      <c r="B895" s="2" t="str">
        <f>IFERROR(__xludf.DUMMYFUNCTION("GOOGLETRANSLATE(A895, ""en"", ""mt"")"),"darbtejn")</f>
        <v>darbtejn</v>
      </c>
    </row>
    <row r="896" ht="15.75" customHeight="1">
      <c r="A896" s="2" t="s">
        <v>896</v>
      </c>
      <c r="B896" s="2" t="str">
        <f>IFERROR(__xludf.DUMMYFUNCTION("GOOGLETRANSLATE(A896, ""en"", ""mt"")"),"kura farmaċewtika jew spiżerija klinika")</f>
        <v>kura farmaċewtika jew spiżerija klinika</v>
      </c>
    </row>
    <row r="897" ht="15.75" customHeight="1">
      <c r="A897" s="2" t="s">
        <v>897</v>
      </c>
      <c r="B897" s="2" t="str">
        <f>IFERROR(__xludf.DUMMYFUNCTION("GOOGLETRANSLATE(A897, ""en"", ""mt"")"),"riġenerat")</f>
        <v>riġenerat</v>
      </c>
    </row>
    <row r="898" ht="15.75" customHeight="1">
      <c r="A898" s="2" t="s">
        <v>898</v>
      </c>
      <c r="B898" s="2" t="str">
        <f>IFERROR(__xludf.DUMMYFUNCTION("GOOGLETRANSLATE(A898, ""en"", ""mt"")"),"Liema avveniment ewlieni li seħħ l-Istati Uniti li għamel il-BBC idewwem ix-xandira?")</f>
        <v>Liema avveniment ewlieni li seħħ l-Istati Uniti li għamel il-BBC idewwem ix-xandira?</v>
      </c>
    </row>
    <row r="899" ht="15.75" customHeight="1">
      <c r="A899" s="2" t="s">
        <v>899</v>
      </c>
      <c r="B899" s="2" t="str">
        <f>IFERROR(__xludf.DUMMYFUNCTION("GOOGLETRANSLATE(A899, ""en"", ""mt"")"),"tieħu kontroll fiżiku ta 'ieħor")</f>
        <v>tieħu kontroll fiżiku ta 'ieħor</v>
      </c>
    </row>
    <row r="900" ht="15.75" customHeight="1">
      <c r="A900" s="2" t="s">
        <v>900</v>
      </c>
      <c r="B900" s="2" t="str">
        <f>IFERROR(__xludf.DUMMYFUNCTION("GOOGLETRANSLATE(A900, ""en"", ""mt"")"),"Qabbad żewġ minikompjuters PDP-11")</f>
        <v>Qabbad żewġ minikompjuters PDP-11</v>
      </c>
    </row>
    <row r="901" ht="15.75" customHeight="1">
      <c r="A901" s="2" t="s">
        <v>901</v>
      </c>
      <c r="B901" s="2" t="str">
        <f>IFERROR(__xludf.DUMMYFUNCTION("GOOGLETRANSLATE(A901, ""en"", ""mt"")"),"Kemm idum biex l-effetti jimmanifestaw bħala bidliet fit-tkabbir ekonomiku?")</f>
        <v>Kemm idum biex l-effetti jimmanifestaw bħala bidliet fit-tkabbir ekonomiku?</v>
      </c>
    </row>
    <row r="902" ht="15.75" customHeight="1">
      <c r="A902" s="2" t="s">
        <v>902</v>
      </c>
      <c r="B902" s="2" t="str">
        <f>IFERROR(__xludf.DUMMYFUNCTION("GOOGLETRANSLATE(A902, ""en"", ""mt"")"),"telimina l-pożizzjoni tal-Prim Ministru")</f>
        <v>telimina l-pożizzjoni tal-Prim Ministru</v>
      </c>
    </row>
    <row r="903" ht="15.75" customHeight="1">
      <c r="A903" s="2" t="s">
        <v>903</v>
      </c>
      <c r="B903" s="2" t="str">
        <f>IFERROR(__xludf.DUMMYFUNCTION("GOOGLETRANSLATE(A903, ""en"", ""mt"")"),"Immunosoppressivi")</f>
        <v>Immunosoppressivi</v>
      </c>
    </row>
    <row r="904" ht="15.75" customHeight="1">
      <c r="A904" s="2" t="s">
        <v>904</v>
      </c>
      <c r="B904" s="2" t="str">
        <f>IFERROR(__xludf.DUMMYFUNCTION("GOOGLETRANSLATE(A904, ""en"", ""mt"")"),"Fejn twieled Luther?")</f>
        <v>Fejn twieled Luther?</v>
      </c>
    </row>
    <row r="905" ht="15.75" customHeight="1">
      <c r="A905" s="2" t="s">
        <v>905</v>
      </c>
      <c r="B905" s="2" t="str">
        <f>IFERROR(__xludf.DUMMYFUNCTION("GOOGLETRANSLATE(A905, ""en"", ""mt"")"),"Ipprojbixxa t-tkabbir tal-kafè, introduċa taxxa għarix, u l-art mingħajr art ingħataw inqas u inqas art bi skambju għal xogħolhom")</f>
        <v>Ipprojbixxa t-tkabbir tal-kafè, introduċa taxxa għarix, u l-art mingħajr art ingħataw inqas u inqas art bi skambju għal xogħolhom</v>
      </c>
    </row>
    <row r="906" ht="15.75" customHeight="1">
      <c r="A906" s="2" t="s">
        <v>906</v>
      </c>
      <c r="B906" s="2" t="str">
        <f>IFERROR(__xludf.DUMMYFUNCTION("GOOGLETRANSLATE(A906, ""en"", ""mt"")"),"X'inhu r-rwol tal-għalliema fl-edukazzjoni?")</f>
        <v>X'inhu r-rwol tal-għalliema fl-edukazzjoni?</v>
      </c>
    </row>
    <row r="907" ht="15.75" customHeight="1">
      <c r="A907" s="2" t="s">
        <v>907</v>
      </c>
      <c r="B907" s="2" t="str">
        <f>IFERROR(__xludf.DUMMYFUNCTION("GOOGLETRANSLATE(A907, ""en"", ""mt"")"),"Minkejja l-pożizzjoni għolja mogħtija lill-Musulmani, xi politiki tal-Imperaturi tal-Yuan jiddiskriminaw severament kontrihom, li jirrestrinġu l-qatla halal u prattiki Iżlamiċi oħra bħaċ-ċirkonċiżjoni, kif ukoll il-biċċier tal-kosher għal-Lhud, u ġiegħluh"&amp;"om jieklu l-ikel bil-Mongol. Lejn it-tmiem, il-korruzzjoni u l-persekuzzjoni saru daqshekk severi li l-Ġenerali Musulmani ngħaqdu maċ-Ċiniż Han fir-ribelli kontra l-Mongoli. Il-fundatur Ming Zhu Yuanzhang kellu ġenerali Musulmani bħal Lan Yu li rribella k"&amp;"ontra l-Mongoli u għelebhom fil-ġlieda kontra. Xi komunitajiet Musulmani kellhom kunjom Ċiniż li kien ifisser ""kwartieri"" u jistgħu jfissru wkoll ""grazzi"". Ħafna Musulmani Hui jiddikjaraw li dan huwa minħabba li kellhom rwol importanti fit-twaqqigħ ta"&amp;"l-Mongoli u ngħata grazzi miċ-Ċiniżi Han talli assistewhom. Matul il-ġlieda kontra l-Mongoli, fost l-armati tal-Imperatur Ming Zhu Yuanzhang kien hemm il-Hui Musulman Feng Sheng. Il-Musulmani fil-klassi Semu rrevoljaw ukoll kontra d-dinastija Yuan fir-rib"&amp;"elljoni tal-ISPAH iżda r-ribelljoni ġiet imfarrka u l-Musulmani ġew massakrati mill-kmandant lealista tal-wan Chen Youding.")</f>
        <v>Minkejja l-pożizzjoni għolja mogħtija lill-Musulmani, xi politiki tal-Imperaturi tal-Yuan jiddiskriminaw severament kontrihom, li jirrestrinġu l-qatla halal u prattiki Iżlamiċi oħra bħaċ-ċirkonċiżjoni, kif ukoll il-biċċier tal-kosher għal-Lhud, u ġiegħluhom jieklu l-ikel bil-Mongol. Lejn it-tmiem, il-korruzzjoni u l-persekuzzjoni saru daqshekk severi li l-Ġenerali Musulmani ngħaqdu maċ-Ċiniż Han fir-ribelli kontra l-Mongoli. Il-fundatur Ming Zhu Yuanzhang kellu ġenerali Musulmani bħal Lan Yu li rribella kontra l-Mongoli u għelebhom fil-ġlieda kontra. Xi komunitajiet Musulmani kellhom kunjom Ċiniż li kien ifisser "kwartieri" u jistgħu jfissru wkoll "grazzi". Ħafna Musulmani Hui jiddikjaraw li dan huwa minħabba li kellhom rwol importanti fit-twaqqigħ tal-Mongoli u ngħata grazzi miċ-Ċiniżi Han talli assistewhom. Matul il-ġlieda kontra l-Mongoli, fost l-armati tal-Imperatur Ming Zhu Yuanzhang kien hemm il-Hui Musulman Feng Sheng. Il-Musulmani fil-klassi Semu rrevoljaw ukoll kontra d-dinastija Yuan fir-ribelljoni tal-ISPAH iżda r-ribelljoni ġiet imfarrka u l-Musulmani ġew massakrati mill-kmandant lealista tal-wan Chen Youding.</v>
      </c>
    </row>
    <row r="908" ht="15.75" customHeight="1">
      <c r="A908" s="2" t="s">
        <v>908</v>
      </c>
      <c r="B908" s="2" t="str">
        <f>IFERROR(__xludf.DUMMYFUNCTION("GOOGLETRANSLATE(A908, ""en"", ""mt"")"),"X'inhi l-frażi kollokjali użata biex twassal il-kontinwu ta 'algoritmi b'disponibilità illimitata irrispettivament mill-ħin?")</f>
        <v>X'inhi l-frażi kollokjali użata biex twassal il-kontinwu ta 'algoritmi b'disponibilità illimitata irrispettivament mill-ħin?</v>
      </c>
    </row>
    <row r="909" ht="15.75" customHeight="1">
      <c r="A909" s="2" t="s">
        <v>909</v>
      </c>
      <c r="B909" s="2" t="str">
        <f>IFERROR(__xludf.DUMMYFUNCTION("GOOGLETRANSLATE(A909, ""en"", ""mt"")"),"nies")</f>
        <v>nies</v>
      </c>
    </row>
    <row r="910" ht="15.75" customHeight="1">
      <c r="A910" s="2" t="s">
        <v>910</v>
      </c>
      <c r="B910" s="2" t="str">
        <f>IFERROR(__xludf.DUMMYFUNCTION("GOOGLETRANSLATE(A910, ""en"", ""mt"")"),"Meta l-Metodisti fl-Amerika ġew separati mill-Knisja tal-Ingilterra,")</f>
        <v>Meta l-Metodisti fl-Amerika ġew separati mill-Knisja tal-Ingilterra,</v>
      </c>
    </row>
    <row r="911" ht="15.75" customHeight="1">
      <c r="A911" s="2" t="s">
        <v>911</v>
      </c>
      <c r="B911" s="2" t="str">
        <f>IFERROR(__xludf.DUMMYFUNCTION("GOOGLETRANSLATE(A911, ""en"", ""mt"")"),"Il-ħtieġa għall-ekonomiji kapitalisti biex jespandu kontinwament l-investiment, ir-riżorsi materjali u l-ħaddiema b'tali mod li kien jeħtieġ espansjoni kolonjali.")</f>
        <v>Il-ħtieġa għall-ekonomiji kapitalisti biex jespandu kontinwament l-investiment, ir-riżorsi materjali u l-ħaddiema b'tali mod li kien jeħtieġ espansjoni kolonjali.</v>
      </c>
    </row>
    <row r="912" ht="15.75" customHeight="1">
      <c r="A912" s="2" t="s">
        <v>912</v>
      </c>
      <c r="B912" s="2" t="str">
        <f>IFERROR(__xludf.DUMMYFUNCTION("GOOGLETRANSLATE(A912, ""en"", ""mt"")"),"X'impatt kellu l-moviment tal-edukazzjoni tal-iskola għolja fuq il-pagi tal-ħaddiema tas-sengħa?")</f>
        <v>X'impatt kellu l-moviment tal-edukazzjoni tal-iskola għolja fuq il-pagi tal-ħaddiema tas-sengħa?</v>
      </c>
    </row>
    <row r="913" ht="15.75" customHeight="1">
      <c r="A913" s="2" t="s">
        <v>913</v>
      </c>
      <c r="B913" s="2" t="str">
        <f>IFERROR(__xludf.DUMMYFUNCTION("GOOGLETRANSLATE(A913, ""en"", ""mt"")"),"Eżerċitat mill-Gvern")</f>
        <v>Eżerċitat mill-Gvern</v>
      </c>
    </row>
    <row r="914" ht="15.75" customHeight="1">
      <c r="A914" s="2" t="s">
        <v>914</v>
      </c>
      <c r="B914" s="2" t="str">
        <f>IFERROR(__xludf.DUMMYFUNCTION("GOOGLETRANSLATE(A914, ""en"", ""mt"")"),"Liema entità tittratta kwistjonijiet tal-persunal tal-UE?")</f>
        <v>Liema entità tittratta kwistjonijiet tal-persunal tal-UE?</v>
      </c>
    </row>
    <row r="915" ht="15.75" customHeight="1">
      <c r="A915" s="2" t="s">
        <v>915</v>
      </c>
      <c r="B915" s="2" t="str">
        <f>IFERROR(__xludf.DUMMYFUNCTION("GOOGLETRANSLATE(A915, ""en"", ""mt"")"),"X'kien il-Jacksonville Fire aktar tard magħruf bħala?")</f>
        <v>X'kien il-Jacksonville Fire aktar tard magħruf bħala?</v>
      </c>
    </row>
    <row r="916" ht="15.75" customHeight="1">
      <c r="A916" s="2" t="s">
        <v>916</v>
      </c>
      <c r="B916" s="2" t="str">
        <f>IFERROR(__xludf.DUMMYFUNCTION("GOOGLETRANSLATE(A916, ""en"", ""mt"")"),"Minbarra li ħadet il-boarders, Katharina kif għenet tappoġġja lill-familja?")</f>
        <v>Minbarra li ħadet il-boarders, Katharina kif għenet tappoġġja lill-familja?</v>
      </c>
    </row>
    <row r="917" ht="15.75" customHeight="1">
      <c r="A917" s="2" t="s">
        <v>917</v>
      </c>
      <c r="B917" s="2" t="str">
        <f>IFERROR(__xludf.DUMMYFUNCTION("GOOGLETRANSLATE(A917, ""en"", ""mt"")"),"Pakkett ta 'strumenti xjentifiċi")</f>
        <v>Pakkett ta 'strumenti xjentifiċi</v>
      </c>
    </row>
    <row r="918" ht="15.75" customHeight="1">
      <c r="A918" s="2" t="s">
        <v>918</v>
      </c>
      <c r="B918" s="2" t="str">
        <f>IFERROR(__xludf.DUMMYFUNCTION("GOOGLETRANSLATE(A918, ""en"", ""mt"")"),"L-iqsar triq spazjali bejn żewġ avvenimenti spazjali-ħin.")</f>
        <v>L-iqsar triq spazjali bejn żewġ avvenimenti spazjali-ħin.</v>
      </c>
    </row>
    <row r="919" ht="15.75" customHeight="1">
      <c r="A919" s="2" t="s">
        <v>919</v>
      </c>
      <c r="B919" s="2" t="str">
        <f>IFERROR(__xludf.DUMMYFUNCTION("GOOGLETRANSLATE(A919, ""en"", ""mt"")"),"L-inugwaljanza kif tipprevjeni t-tkabbir?")</f>
        <v>L-inugwaljanza kif tipprevjeni t-tkabbir?</v>
      </c>
    </row>
    <row r="920" ht="15.75" customHeight="1">
      <c r="A920" s="2" t="s">
        <v>920</v>
      </c>
      <c r="B920" s="2" t="str">
        <f>IFERROR(__xludf.DUMMYFUNCTION("GOOGLETRANSLATE(A920, ""en"", ""mt"")"),"Iż-żewġ membrani ċjanobatteriċi, xi kultant il-membrana taċ-ċellula tal-alka li tittiekel, u l-vakuole fagożomali mill-membrana taċ-ċellula tal-ospitanti")</f>
        <v>Iż-żewġ membrani ċjanobatteriċi, xi kultant il-membrana taċ-ċellula tal-alka li tittiekel, u l-vakuole fagożomali mill-membrana taċ-ċellula tal-ospitanti</v>
      </c>
    </row>
    <row r="921" ht="15.75" customHeight="1">
      <c r="A921" s="2" t="s">
        <v>921</v>
      </c>
      <c r="B921" s="2" t="str">
        <f>IFERROR(__xludf.DUMMYFUNCTION("GOOGLETRANSLATE(A921, ""en"", ""mt"")"),"Il-kollezzjoni tal-ħġieġ tkopri 4000 sena ta ’produzzjoni tal-ħġieġ, u għandha aktar minn 6000 oġġett mill-Afrika, il-Gran Brittanja, l-Ewropa, l-Amerika u l-Asja. L-ewwel oġġetti tal-ħġieġ fuq il-wiri ġej mill-Eġittu tal-qedem u jkompli permezz taż-żoni "&amp;"Rumani, Medjevali, Rinaxximentali li jkopru bħal ħġieġ Venezjan u ħġieġ Boemja u perjodi aktar riċenti, inklużi Art Nouveau Glass minn Louis Comfort Tiffany u Émile Gallé, l-istil Art Deco huwa irrappreżentat minn diversi eżempji minn René Lalique. Hemm ħ"&amp;"afna eżempji ta 'linef tal-kristall kemm bl-Ingliż, murija fil-galleriji Ingliżi u barranin pereżempju Venezjana (attribwita għal Giuseppe Briati) datata C1750 huma fil-kollezzjoni. Il-kollezzjoni tal-ħġieġ imtebba hija possibilment l-ifjen fid-dinja, li "&amp;"tkopri l-medjevali għal perjodi moderni, u tkopri l-Ewropa kif ukoll il-Gran Brittanja. Diversi eżempji ta 'ħġieġ Heraldic Ingliż tas-seklu 16 huwa muri fil-galleriji Ingliżi. Ħafna disinjaturi magħrufa tal-ħġieġ imtebba huma rappreżentati fil-kollezzjoni"&amp;" inklużi, mis-seklu 19: Dante Gabriel Rossetti, Edward Burne-Jones u William Morris. Hemm ukoll eżempju tax-xogħol ta 'Frank Lloyd Wright fil-kollezzjoni. Disinjaturi tas-seklu 20 jinkludu Harry Clarke, John Piper, Patrick Reyntiens, Veronica Whall u Bria"&amp;"n Clarke.")</f>
        <v>Il-kollezzjoni tal-ħġieġ tkopri 4000 sena ta ’produzzjoni tal-ħġieġ, u għandha aktar minn 6000 oġġett mill-Afrika, il-Gran Brittanja, l-Ewropa, l-Amerika u l-Asja. L-ewwel oġġetti tal-ħġieġ fuq il-wiri ġej mill-Eġittu tal-qedem u jkompli permezz taż-żoni Rumani, Medjevali, Rinaxximentali li jkopru bħal ħġieġ Venezjan u ħġieġ Boemja u perjodi aktar riċenti, inklużi Art Nouveau Glass minn Louis Comfort Tiffany u Émile Gallé, l-istil Art Deco huwa irrappreżentat minn diversi eżempji minn René Lalique. Hemm ħafna eżempji ta 'linef tal-kristall kemm bl-Ingliż, murija fil-galleriji Ingliżi u barranin pereżempju Venezjana (attribwita għal Giuseppe Briati) datata C1750 huma fil-kollezzjoni. Il-kollezzjoni tal-ħġieġ imtebba hija possibilment l-ifjen fid-dinja, li tkopri l-medjevali għal perjodi moderni, u tkopri l-Ewropa kif ukoll il-Gran Brittanja. Diversi eżempji ta 'ħġieġ Heraldic Ingliż tas-seklu 16 huwa muri fil-galleriji Ingliżi. Ħafna disinjaturi magħrufa tal-ħġieġ imtebba huma rappreżentati fil-kollezzjoni inklużi, mis-seklu 19: Dante Gabriel Rossetti, Edward Burne-Jones u William Morris. Hemm ukoll eżempju tax-xogħol ta 'Frank Lloyd Wright fil-kollezzjoni. Disinjaturi tas-seklu 20 jinkludu Harry Clarke, John Piper, Patrick Reyntiens, Veronica Whall u Brian Clarke.</v>
      </c>
    </row>
    <row r="922" ht="15.75" customHeight="1">
      <c r="A922" s="2" t="s">
        <v>922</v>
      </c>
      <c r="B922" s="2" t="str">
        <f>IFERROR(__xludf.DUMMYFUNCTION("GOOGLETRANSLATE(A922, ""en"", ""mt"")"),"Riċettur taċ-ċelloli T (TCR)")</f>
        <v>Riċettur taċ-ċelloli T (TCR)</v>
      </c>
    </row>
    <row r="923" ht="15.75" customHeight="1">
      <c r="A923" s="2" t="s">
        <v>923</v>
      </c>
      <c r="B923" s="2" t="str">
        <f>IFERROR(__xludf.DUMMYFUNCTION("GOOGLETRANSLATE(A923, ""en"", ""mt"")"),"Meta jinżamm il-funfair fi Newcastle?")</f>
        <v>Meta jinżamm il-funfair fi Newcastle?</v>
      </c>
    </row>
    <row r="924" ht="15.75" customHeight="1">
      <c r="A924" s="2" t="s">
        <v>924</v>
      </c>
      <c r="B924" s="2" t="str">
        <f>IFERROR(__xludf.DUMMYFUNCTION("GOOGLETRANSLATE(A924, ""en"", ""mt"")"),"ridt tiżżewweġ")</f>
        <v>ridt tiżżewweġ</v>
      </c>
    </row>
    <row r="925" ht="15.75" customHeight="1">
      <c r="A925" s="2" t="s">
        <v>925</v>
      </c>
      <c r="B925" s="2" t="str">
        <f>IFERROR(__xludf.DUMMYFUNCTION("GOOGLETRANSLATE(A925, ""en"", ""mt"")"),"Lag überlingen")</f>
        <v>Lag überlingen</v>
      </c>
    </row>
    <row r="926" ht="15.75" customHeight="1">
      <c r="A926" s="2" t="s">
        <v>926</v>
      </c>
      <c r="B926" s="2" t="str">
        <f>IFERROR(__xludf.DUMMYFUNCTION("GOOGLETRANSLATE(A926, ""en"", ""mt"")"),"konsum tal-fjuwil, produzzjoni industrijali u l-bqija")</f>
        <v>konsum tal-fjuwil, produzzjoni industrijali u l-bqija</v>
      </c>
    </row>
    <row r="927" ht="15.75" customHeight="1">
      <c r="A927" s="2" t="s">
        <v>927</v>
      </c>
      <c r="B927" s="2" t="str">
        <f>IFERROR(__xludf.DUMMYFUNCTION("GOOGLETRANSLATE(A927, ""en"", ""mt"")"),"F'liema seklu bdiet l-istorja tal-magna tal-fwar?")</f>
        <v>F'liema seklu bdiet l-istorja tal-magna tal-fwar?</v>
      </c>
    </row>
    <row r="928" ht="15.75" customHeight="1">
      <c r="A928" s="2" t="s">
        <v>928</v>
      </c>
      <c r="B928" s="2" t="str">
        <f>IFERROR(__xludf.DUMMYFUNCTION("GOOGLETRANSLATE(A928, ""en"", ""mt"")"),"Kemm korsijiet iridu jżommu l-universitarji għall-istatus full-time?")</f>
        <v>Kemm korsijiet iridu jżommu l-universitarji għall-istatus full-time?</v>
      </c>
    </row>
    <row r="929" ht="15.75" customHeight="1">
      <c r="A929" s="2" t="s">
        <v>929</v>
      </c>
      <c r="B929" s="2" t="str">
        <f>IFERROR(__xludf.DUMMYFUNCTION("GOOGLETRANSLATE(A929, ""en"", ""mt"")"),"L-għarbiel ta 'Eratosthenes ma jkunx validu kieku dak li kien veru?")</f>
        <v>L-għarbiel ta 'Eratosthenes ma jkunx validu kieku dak li kien veru?</v>
      </c>
    </row>
    <row r="930" ht="15.75" customHeight="1">
      <c r="A930" s="2" t="s">
        <v>930</v>
      </c>
      <c r="B930" s="2" t="str">
        <f>IFERROR(__xludf.DUMMYFUNCTION("GOOGLETRANSLATE(A930, ""en"", ""mt"")"),"Atmosfera ta 'ossiġnu")</f>
        <v>Atmosfera ta 'ossiġnu</v>
      </c>
    </row>
    <row r="931" ht="15.75" customHeight="1">
      <c r="A931" s="2" t="s">
        <v>931</v>
      </c>
      <c r="B931" s="2" t="str">
        <f>IFERROR(__xludf.DUMMYFUNCTION("GOOGLETRANSLATE(A931, ""en"", ""mt"")"),"Diversi avvenimenti kommemorattivi jsiru kull sena. Laqgħat ta 'eluf ta' nies fuq il-banek tal-Vistula fil-lejl ta 'nofs is-sajf għal festival imsejjaħ Wianki (lustrar għall-kuruni) saru tradizzjoni u avveniment annwali fil-programm ta' avvenimenti kultur"&amp;"ali f'Varsavja. Il-festival jittraċċa l-għeruq tiegħu għal ritwali pagan paċifiku fejn ix-xebbiet kienu jżommu l-kuruni tagħhom ta 'ħwawar fuq l-ilma biex ibassru meta kienu se jiżżewġu, u ma' min. Sas-seklu 19 din it-tradizzjoni kienet saret avveniment f"&amp;"estiv, u din tkompli llum. Il-Kunsill tal-Belt jorganizza kunċerti u avvenimenti oħra. Lejliet kull nofs is-sajf, apparti l-wiċċ uffiċjali tal-kuruni, jaqbeż fuq in-nirien, ifittex il-fjura tal-felċi, hemm wirjiet mużikali, diskorsi, fieri u logħob tan-na"&amp;"r tad-dinjitarji mill-bank tax-xmara.")</f>
        <v>Diversi avvenimenti kommemorattivi jsiru kull sena. Laqgħat ta 'eluf ta' nies fuq il-banek tal-Vistula fil-lejl ta 'nofs is-sajf għal festival imsejjaħ Wianki (lustrar għall-kuruni) saru tradizzjoni u avveniment annwali fil-programm ta' avvenimenti kulturali f'Varsavja. Il-festival jittraċċa l-għeruq tiegħu għal ritwali pagan paċifiku fejn ix-xebbiet kienu jżommu l-kuruni tagħhom ta 'ħwawar fuq l-ilma biex ibassru meta kienu se jiżżewġu, u ma' min. Sas-seklu 19 din it-tradizzjoni kienet saret avveniment festiv, u din tkompli llum. Il-Kunsill tal-Belt jorganizza kunċerti u avvenimenti oħra. Lejliet kull nofs is-sajf, apparti l-wiċċ uffiċjali tal-kuruni, jaqbeż fuq in-nirien, ifittex il-fjura tal-felċi, hemm wirjiet mużikali, diskorsi, fieri u logħob tan-nar tad-dinjitarji mill-bank tax-xmara.</v>
      </c>
    </row>
    <row r="932" ht="15.75" customHeight="1">
      <c r="A932" s="2" t="s">
        <v>932</v>
      </c>
      <c r="B932" s="2" t="str">
        <f>IFERROR(__xludf.DUMMYFUNCTION("GOOGLETRANSLATE(A932, ""en"", ""mt"")"),"Liema parti tad-dinja hija magħmula l-aktar minn silikati tal-ħadid u tal-manjeżju?")</f>
        <v>Liema parti tad-dinja hija magħmula l-aktar minn silikati tal-ħadid u tal-manjeżju?</v>
      </c>
    </row>
    <row r="933" ht="15.75" customHeight="1">
      <c r="A933" s="2" t="s">
        <v>933</v>
      </c>
      <c r="B933" s="2" t="str">
        <f>IFERROR(__xludf.DUMMYFUNCTION("GOOGLETRANSLATE(A933, ""en"", ""mt"")"),"F'Lulju 1968, ABC Radio nediet proġett ta 'programmazzjoni speċjali għall-istazzjonijiet FM tagħha, li kien immexxi minn Allen Shaw, eks maniġer tal-programm f'WCFL f'Chicago li ġie avviċinat mill-President tar-Radju ABC Harold L. Neal biex jiżviluppa for"&amp;"mat biex jikkompeti ma' Stazzjonijiet progressivi ġodda tal-blat u d-DJ. Il-kunċett il-ġdid imsejjaħ ""Love Radio"", li deher għażla limitata ta 'ġeneri tal-mużika, ġie mniedi fuq l-istazzjonijiet FM ta' ABC ta 'seba' proprjetà u mħaddma fl-aħħar ta 'Nove"&amp;"mbru 1968; Il-kunċett issostitwixxa kważi l-ipprogrammar kollu pprovdut minn dawn l-istazzjonijiet; Madankollu, diversi affiljati (bħal KXYZ) żammew il-maġġoranza tal-kontenut tagħhom. F’Awwissu tal-1970, Shaw ħabbar li l-politika tal-għażla tal-mużika ta"&amp;" ’ABC FM għandha tiġi riveduta biex tippermetti lis-semmiegħa aċċess għal ħafna stili ta’ mużika.")</f>
        <v>F'Lulju 1968, ABC Radio nediet proġett ta 'programmazzjoni speċjali għall-istazzjonijiet FM tagħha, li kien immexxi minn Allen Shaw, eks maniġer tal-programm f'WCFL f'Chicago li ġie avviċinat mill-President tar-Radju ABC Harold L. Neal biex jiżviluppa format biex jikkompeti ma' Stazzjonijiet progressivi ġodda tal-blat u d-DJ. Il-kunċett il-ġdid imsejjaħ "Love Radio", li deher għażla limitata ta 'ġeneri tal-mużika, ġie mniedi fuq l-istazzjonijiet FM ta' ABC ta 'seba' proprjetà u mħaddma fl-aħħar ta 'Novembru 1968; Il-kunċett issostitwixxa kważi l-ipprogrammar kollu pprovdut minn dawn l-istazzjonijiet; Madankollu, diversi affiljati (bħal KXYZ) żammew il-maġġoranza tal-kontenut tagħhom. F’Awwissu tal-1970, Shaw ħabbar li l-politika tal-għażla tal-mużika ta ’ABC FM għandha tiġi riveduta biex tippermetti lis-semmiegħa aċċess għal ħafna stili ta’ mużika.</v>
      </c>
    </row>
    <row r="934" ht="15.75" customHeight="1">
      <c r="A934" s="2" t="s">
        <v>934</v>
      </c>
      <c r="B934" s="2" t="str">
        <f>IFERROR(__xludf.DUMMYFUNCTION("GOOGLETRANSLATE(A934, ""en"", ""mt"")"),"Konsegwenza proċedurali")</f>
        <v>Konsegwenza proċedurali</v>
      </c>
    </row>
    <row r="935" ht="15.75" customHeight="1">
      <c r="A935" s="2" t="s">
        <v>935</v>
      </c>
      <c r="B935" s="2" t="str">
        <f>IFERROR(__xludf.DUMMYFUNCTION("GOOGLETRANSLATE(A935, ""en"", ""mt"")"),"X'inhu l-akbar numru ta 'membri li jista' jkollu bord ta 'trustees?")</f>
        <v>X'inhu l-akbar numru ta 'membri li jista' jkollu bord ta 'trustees?</v>
      </c>
    </row>
    <row r="936" ht="15.75" customHeight="1">
      <c r="A936" s="2" t="s">
        <v>936</v>
      </c>
      <c r="B936" s="2" t="str">
        <f>IFERROR(__xludf.DUMMYFUNCTION("GOOGLETRANSLATE(A936, ""en"", ""mt"")"),"Kemm hemm destinazzjonijiet disponibbli mad-dinja kollha mill-ajruport ta 'Newcastle?")</f>
        <v>Kemm hemm destinazzjonijiet disponibbli mad-dinja kollha mill-ajruport ta 'Newcastle?</v>
      </c>
    </row>
    <row r="937" ht="15.75" customHeight="1">
      <c r="A937" s="2" t="s">
        <v>937</v>
      </c>
      <c r="B937" s="2" t="str">
        <f>IFERROR(__xludf.DUMMYFUNCTION("GOOGLETRANSLATE(A937, ""en"", ""mt"")"),"L-Introduzzjoni Aċċidentali tal-Mnemiopsis li tiekol l-Amerika ta ’Fuq Ctenophore Beroe Ovata")</f>
        <v>L-Introduzzjoni Aċċidentali tal-Mnemiopsis li tiekol l-Amerika ta ’Fuq Ctenophore Beroe Ovata</v>
      </c>
    </row>
    <row r="938" ht="15.75" customHeight="1">
      <c r="A938" s="2" t="s">
        <v>938</v>
      </c>
      <c r="B938" s="2" t="str">
        <f>IFERROR(__xludf.DUMMYFUNCTION("GOOGLETRANSLATE(A938, ""en"", ""mt"")"),"dgħajsa")</f>
        <v>dgħajsa</v>
      </c>
    </row>
    <row r="939" ht="15.75" customHeight="1">
      <c r="A939" s="2" t="s">
        <v>939</v>
      </c>
      <c r="B939" s="2" t="str">
        <f>IFERROR(__xludf.DUMMYFUNCTION("GOOGLETRANSLATE(A939, ""en"", ""mt"")"),"Modulu tal-Kmand / Servizz (")</f>
        <v>Modulu tal-Kmand / Servizz (</v>
      </c>
    </row>
    <row r="940" ht="15.75" customHeight="1">
      <c r="A940" s="2" t="s">
        <v>940</v>
      </c>
      <c r="B940" s="2" t="str">
        <f>IFERROR(__xludf.DUMMYFUNCTION("GOOGLETRANSLATE(A940, ""en"", ""mt"")"),"fil-pussess ta 'individwi jew entitajiet diġà sinjuri")</f>
        <v>fil-pussess ta 'individwi jew entitajiet diġà sinjuri</v>
      </c>
    </row>
    <row r="941" ht="15.75" customHeight="1">
      <c r="A941" s="2" t="s">
        <v>941</v>
      </c>
      <c r="B941" s="2" t="str">
        <f>IFERROR(__xludf.DUMMYFUNCTION("GOOGLETRANSLATE(A941, ""en"", ""mt"")"),"Tard 19")</f>
        <v>Tard 19</v>
      </c>
    </row>
    <row r="942" ht="15.75" customHeight="1">
      <c r="A942" s="2" t="s">
        <v>942</v>
      </c>
      <c r="B942" s="2" t="str">
        <f>IFERROR(__xludf.DUMMYFUNCTION("GOOGLETRANSLATE(A942, ""en"", ""mt"")"),"Minn liema pajjiżi ġew prodotti l-ġabra ta 'Delftware tal-V &amp; A?")</f>
        <v>Minn liema pajjiżi ġew prodotti l-ġabra ta 'Delftware tal-V &amp; A?</v>
      </c>
    </row>
    <row r="943" ht="15.75" customHeight="1">
      <c r="A943" s="2" t="s">
        <v>943</v>
      </c>
      <c r="B943" s="2" t="str">
        <f>IFERROR(__xludf.DUMMYFUNCTION("GOOGLETRANSLATE(A943, ""en"", ""mt"")"),"L-istudenti kif jitgħallmu dwar il-knisja?")</f>
        <v>L-istudenti kif jitgħallmu dwar il-knisja?</v>
      </c>
    </row>
    <row r="944" ht="15.75" customHeight="1">
      <c r="A944" s="2" t="s">
        <v>944</v>
      </c>
      <c r="B944" s="2" t="str">
        <f>IFERROR(__xludf.DUMMYFUNCTION("GOOGLETRANSLATE(A944, ""en"", ""mt"")"),"X'jista 'Tesla twettaq fir-ras tiegħu?")</f>
        <v>X'jista 'Tesla twettaq fir-ras tiegħu?</v>
      </c>
    </row>
    <row r="945" ht="15.75" customHeight="1">
      <c r="A945" s="2" t="s">
        <v>945</v>
      </c>
      <c r="B945" s="2" t="str">
        <f>IFERROR(__xludf.DUMMYFUNCTION("GOOGLETRANSLATE(A945, ""en"", ""mt"")"),"Kublai Khan ippromwova tkabbir kummerċjali, xjentifiku u kulturali. Huwa appoġġa n-negozjanti tan-netwerk tal-kummerċ tat-toroq tal-ħarir billi pproteġi s-sistema postali Mongoljana, jibni infrastruttura, jipprovdi self li ffinanzjaw karavans tal-kummerċ,"&amp;" u jħeġġeġ iċ-ċirkolazzjoni tal-karti tal-karti tal-karti (鈔, Chao). Pax Mongolica, il-paċi Mongol, ippermetta t-tixrid ta 'teknoloġiji, prodotti, u kultura bejn iċ-Ċina u l-Punent. Kublai espandiet il-Grand Canal miċ-Ċina tan-Nofsinhar għal Daidu fit-Tra"&amp;"muntana. Ir-regola tal-Mongolja kienet kożmopolitana taħt Kublai Khan. Huwa laqa 'viżitaturi barranin fil-qorti tiegħu, bħall-merkant Venezjan Marco Polo, li kiteb il-kont Ewropew l-iktar influwenti taċ-Ċina Yuan. Il-vjaġġi ta 'Marco Polo aktar tard jispi"&amp;"raw ħafna oħrajn bħal Christopher Columbus biex jiċċarġjaw silta lejn il-Lvant Imbiegħed fit-tfittxija tal-ġid leġġendarju tiegħu.")</f>
        <v>Kublai Khan ippromwova tkabbir kummerċjali, xjentifiku u kulturali. Huwa appoġġa n-negozjanti tan-netwerk tal-kummerċ tat-toroq tal-ħarir billi pproteġi s-sistema postali Mongoljana, jibni infrastruttura, jipprovdi self li ffinanzjaw karavans tal-kummerċ, u jħeġġeġ iċ-ċirkolazzjoni tal-karti tal-karti tal-karti (鈔, Chao). Pax Mongolica, il-paċi Mongol, ippermetta t-tixrid ta 'teknoloġiji, prodotti, u kultura bejn iċ-Ċina u l-Punent. Kublai espandiet il-Grand Canal miċ-Ċina tan-Nofsinhar għal Daidu fit-Tramuntana. Ir-regola tal-Mongolja kienet kożmopolitana taħt Kublai Khan. Huwa laqa 'viżitaturi barranin fil-qorti tiegħu, bħall-merkant Venezjan Marco Polo, li kiteb il-kont Ewropew l-iktar influwenti taċ-Ċina Yuan. Il-vjaġġi ta 'Marco Polo aktar tard jispiraw ħafna oħrajn bħal Christopher Columbus biex jiċċarġjaw silta lejn il-Lvant Imbiegħed fit-tfittxija tal-ġid leġġendarju tiegħu.</v>
      </c>
    </row>
    <row r="946" ht="15.75" customHeight="1">
      <c r="A946" s="2" t="s">
        <v>946</v>
      </c>
      <c r="B946" s="2" t="str">
        <f>IFERROR(__xludf.DUMMYFUNCTION("GOOGLETRANSLATE(A946, ""en"", ""mt"")"),"Li tgħallem lill-Kristjani kif għandhom jgħixu huwa dak li juża l-liġi?")</f>
        <v>Li tgħallem lill-Kristjani kif għandhom jgħixu huwa dak li juża l-liġi?</v>
      </c>
    </row>
    <row r="947" ht="15.75" customHeight="1">
      <c r="A947" s="2" t="s">
        <v>947</v>
      </c>
      <c r="B947" s="2" t="str">
        <f>IFERROR(__xludf.DUMMYFUNCTION("GOOGLETRANSLATE(A947, ""en"", ""mt"")"),"negozju")</f>
        <v>negozju</v>
      </c>
    </row>
    <row r="948" ht="15.75" customHeight="1">
      <c r="A948" s="2" t="s">
        <v>948</v>
      </c>
      <c r="B948" s="2" t="str">
        <f>IFERROR(__xludf.DUMMYFUNCTION("GOOGLETRANSLATE(A948, ""en"", ""mt"")"),"Min seta 'ġie msejjaħ biex jiffinanzja l-festival assoċjat mas-Super Bowl f'Santa Clara?")</f>
        <v>Min seta 'ġie msejjaħ biex jiffinanzja l-festival assoċjat mas-Super Bowl f'Santa Clara?</v>
      </c>
    </row>
    <row r="949" ht="15.75" customHeight="1">
      <c r="A949" s="2" t="s">
        <v>949</v>
      </c>
      <c r="B949" s="2" t="str">
        <f>IFERROR(__xludf.DUMMYFUNCTION("GOOGLETRANSLATE(A949, ""en"", ""mt"")"),"Għaliex miexi?")</f>
        <v>Għaliex miexi?</v>
      </c>
    </row>
    <row r="950" ht="15.75" customHeight="1">
      <c r="A950" s="2" t="s">
        <v>950</v>
      </c>
      <c r="B950" s="2" t="str">
        <f>IFERROR(__xludf.DUMMYFUNCTION("GOOGLETRANSLATE(A950, ""en"", ""mt"")"),"Fidi fi Kristu mingħajr l-ebda xogħol tal-liġi")</f>
        <v>Fidi fi Kristu mingħajr l-ebda xogħol tal-liġi</v>
      </c>
    </row>
    <row r="951" ht="15.75" customHeight="1">
      <c r="A951" s="2" t="s">
        <v>951</v>
      </c>
      <c r="B951" s="2" t="str">
        <f>IFERROR(__xludf.DUMMYFUNCTION("GOOGLETRANSLATE(A951, ""en"", ""mt"")"),"Kemm kien kbir il-bini tal-assemblaġġ vertikali?")</f>
        <v>Kemm kien kbir il-bini tal-assemblaġġ vertikali?</v>
      </c>
    </row>
    <row r="952" ht="15.75" customHeight="1">
      <c r="A952" s="2" t="s">
        <v>952</v>
      </c>
      <c r="B952" s="2" t="str">
        <f>IFERROR(__xludf.DUMMYFUNCTION("GOOGLETRANSLATE(A952, ""en"", ""mt"")"),"Il-phycobilins huma t-tielet grupp ta 'pigmenti misjuba fiċ-ċjanobatterji, u glaukofite, alka ħamra, u kloroplasti tal-kriptofiti. Il-phycobilins jidħlu bil-kuluri kollha, għalkemm il-phycoerytherin huwa wieħed mill-pigmenti li jagħmel ħafna alka ħamra ħa"&amp;"mra. Il-phycobilins spiss jorganizzaw kumplessi ta 'proteini relattivament kbar madwar 40 nanometru madwar il-phycobilisomes. Bħal Photosystem I u ATP synthase, il-phycobilisomes jut fl-istoma, li jipprevjenu l-istivar tat-tilkoid fi kloroplasti tal-alka "&amp;"ħamra. Il-kloroplasti tal-kriptofiti u xi ċjanobatterji m'għandhomx il-pigmenti tal-phycobilin organizzati fil-phycobilisomes, u jżommuhom fl-ispazju tat-tilakoid tagħhom minflok.")</f>
        <v>Il-phycobilins huma t-tielet grupp ta 'pigmenti misjuba fiċ-ċjanobatterji, u glaukofite, alka ħamra, u kloroplasti tal-kriptofiti. Il-phycobilins jidħlu bil-kuluri kollha, għalkemm il-phycoerytherin huwa wieħed mill-pigmenti li jagħmel ħafna alka ħamra ħamra. Il-phycobilins spiss jorganizzaw kumplessi ta 'proteini relattivament kbar madwar 40 nanometru madwar il-phycobilisomes. Bħal Photosystem I u ATP synthase, il-phycobilisomes jut fl-istoma, li jipprevjenu l-istivar tat-tilkoid fi kloroplasti tal-alka ħamra. Il-kloroplasti tal-kriptofiti u xi ċjanobatterji m'għandhomx il-pigmenti tal-phycobilin organizzati fil-phycobilisomes, u jżommuhom fl-ispazju tat-tilakoid tagħhom minflok.</v>
      </c>
    </row>
    <row r="953" ht="15.75" customHeight="1">
      <c r="A953" s="2" t="s">
        <v>953</v>
      </c>
      <c r="B953" s="2" t="str">
        <f>IFERROR(__xludf.DUMMYFUNCTION("GOOGLETRANSLATE(A953, ""en"", ""mt"")"),"skejjel prep")</f>
        <v>skejjel prep</v>
      </c>
    </row>
    <row r="954" ht="15.75" customHeight="1">
      <c r="A954" s="2" t="s">
        <v>954</v>
      </c>
      <c r="B954" s="2" t="str">
        <f>IFERROR(__xludf.DUMMYFUNCTION("GOOGLETRANSLATE(A954, ""en"", ""mt"")"),"L-ibliet Żvizzeri")</f>
        <v>L-ibliet Żvizzeri</v>
      </c>
    </row>
    <row r="955" ht="15.75" customHeight="1">
      <c r="A955" s="2" t="s">
        <v>955</v>
      </c>
      <c r="B955" s="2" t="str">
        <f>IFERROR(__xludf.DUMMYFUNCTION("GOOGLETRANSLATE(A955, ""en"", ""mt"")"),"Luther x’sejjaħ il-Quddiesa minflok is-sagrifiċċju?")</f>
        <v>Luther x’sejjaħ il-Quddiesa minflok is-sagrifiċċju?</v>
      </c>
    </row>
    <row r="956" ht="15.75" customHeight="1">
      <c r="A956" s="2" t="s">
        <v>956</v>
      </c>
      <c r="B956" s="2" t="str">
        <f>IFERROR(__xludf.DUMMYFUNCTION("GOOGLETRANSLATE(A956, ""en"", ""mt"")"),"bidla fid-dehra")</f>
        <v>bidla fid-dehra</v>
      </c>
    </row>
    <row r="957" ht="15.75" customHeight="1">
      <c r="A957" s="2" t="s">
        <v>957</v>
      </c>
      <c r="B957" s="2" t="str">
        <f>IFERROR(__xludf.DUMMYFUNCTION("GOOGLETRANSLATE(A957, ""en"", ""mt"")"),"X'inhi rata aktar baxxa ta 'oġġetti soċjali effett?")</f>
        <v>X'inhi rata aktar baxxa ta 'oġġetti soċjali effett?</v>
      </c>
    </row>
    <row r="958" ht="15.75" customHeight="1">
      <c r="A958" s="2" t="s">
        <v>958</v>
      </c>
      <c r="B958" s="2" t="str">
        <f>IFERROR(__xludf.DUMMYFUNCTION("GOOGLETRANSLATE(A958, ""en"", ""mt"")"),"Tettonika tal-pjanċa tista 'titqies bħala l-akkoppjar intimu bejn pjanċi riġidi fuq il-wiċċ tad-dinja u xiex?")</f>
        <v>Tettonika tal-pjanċa tista 'titqies bħala l-akkoppjar intimu bejn pjanċi riġidi fuq il-wiċċ tad-dinja u xiex?</v>
      </c>
    </row>
    <row r="959" ht="15.75" customHeight="1">
      <c r="A959" s="2" t="s">
        <v>959</v>
      </c>
      <c r="B959" s="2" t="str">
        <f>IFERROR(__xludf.DUMMYFUNCTION("GOOGLETRANSLATE(A959, ""en"", ""mt"")"),"Għal liema tip ta 'organiżmi huwa tossiku bl-ossiġnu?")</f>
        <v>Għal liema tip ta 'organiżmi huwa tossiku bl-ossiġnu?</v>
      </c>
    </row>
    <row r="960" ht="15.75" customHeight="1">
      <c r="A960" s="2" t="s">
        <v>960</v>
      </c>
      <c r="B960" s="2" t="str">
        <f>IFERROR(__xludf.DUMMYFUNCTION("GOOGLETRANSLATE(A960, ""en"", ""mt"")"),"Għal liema skejjel tar-reliġjon jirreferu t-terminu 'skejjel parrokkjali' ġeneralment?")</f>
        <v>Għal liema skejjel tar-reliġjon jirreferu t-terminu 'skejjel parrokkjali' ġeneralment?</v>
      </c>
    </row>
    <row r="961" ht="15.75" customHeight="1">
      <c r="A961" s="2" t="s">
        <v>961</v>
      </c>
      <c r="B961" s="2" t="str">
        <f>IFERROR(__xludf.DUMMYFUNCTION("GOOGLETRANSLATE(A961, ""en"", ""mt"")"),"Żona Amorfa tal-Ewropa Ċentrali")</f>
        <v>Żona Amorfa tal-Ewropa Ċentrali</v>
      </c>
    </row>
    <row r="962" ht="15.75" customHeight="1">
      <c r="A962" s="2" t="s">
        <v>962</v>
      </c>
      <c r="B962" s="2" t="str">
        <f>IFERROR(__xludf.DUMMYFUNCTION("GOOGLETRANSLATE(A962, ""en"", ""mt"")"),"il-Bibbja")</f>
        <v>il-Bibbja</v>
      </c>
    </row>
    <row r="963" ht="15.75" customHeight="1">
      <c r="A963" s="2" t="s">
        <v>963</v>
      </c>
      <c r="B963" s="2" t="str">
        <f>IFERROR(__xludf.DUMMYFUNCTION("GOOGLETRANSLATE(A963, ""en"", ""mt"")"),"Xmajjar Skoċċiżi")</f>
        <v>Xmajjar Skoċċiżi</v>
      </c>
    </row>
    <row r="964" ht="15.75" customHeight="1">
      <c r="A964" s="2" t="s">
        <v>964</v>
      </c>
      <c r="B964" s="2" t="str">
        <f>IFERROR(__xludf.DUMMYFUNCTION("GOOGLETRANSLATE(A964, ""en"", ""mt"")"),"Kemm tappoġġja l-evidenza għall-fehma li l-flessibilità tas-suq tax-xogħol ittejjeb ir-riżultati tas-suq tax-xogħol?")</f>
        <v>Kemm tappoġġja l-evidenza għall-fehma li l-flessibilità tas-suq tax-xogħol ittejjeb ir-riżultati tas-suq tax-xogħol?</v>
      </c>
    </row>
    <row r="965" ht="15.75" customHeight="1">
      <c r="A965" s="2" t="s">
        <v>965</v>
      </c>
      <c r="B965" s="2" t="str">
        <f>IFERROR(__xludf.DUMMYFUNCTION("GOOGLETRANSLATE(A965, ""en"", ""mt"")"),"kondensatur separat")</f>
        <v>kondensatur separat</v>
      </c>
    </row>
    <row r="966" ht="15.75" customHeight="1">
      <c r="A966" s="2" t="s">
        <v>966</v>
      </c>
      <c r="B966" s="2" t="str">
        <f>IFERROR(__xludf.DUMMYFUNCTION("GOOGLETRANSLATE(A966, ""en"", ""mt"")"),"tabib")</f>
        <v>tabib</v>
      </c>
    </row>
    <row r="967" ht="15.75" customHeight="1">
      <c r="A967" s="2" t="s">
        <v>967</v>
      </c>
      <c r="B967" s="2" t="str">
        <f>IFERROR(__xludf.DUMMYFUNCTION("GOOGLETRANSLATE(A967, ""en"", ""mt"")"),"Dirett lejn iċ-ċentru tal-passaġġ mgħawweġ")</f>
        <v>Dirett lejn iċ-ċentru tal-passaġġ mgħawweġ</v>
      </c>
    </row>
    <row r="968" ht="15.75" customHeight="1">
      <c r="A968" s="2" t="s">
        <v>968</v>
      </c>
      <c r="B968" s="2" t="str">
        <f>IFERROR(__xludf.DUMMYFUNCTION("GOOGLETRANSLATE(A968, ""en"", ""mt"")"),"X'kienet it-tip tas-soltu ta 'dixxiplina tal-iskola?")</f>
        <v>X'kienet it-tip tas-soltu ta 'dixxiplina tal-iskola?</v>
      </c>
    </row>
    <row r="969" ht="15.75" customHeight="1">
      <c r="A969" s="2" t="s">
        <v>969</v>
      </c>
      <c r="B969" s="2" t="str">
        <f>IFERROR(__xludf.DUMMYFUNCTION("GOOGLETRANSLATE(A969, ""en"", ""mt"")"),"Meta mqabbel ma 'elementi oħra, kemm huwa abbundanti l-ossiġnu?")</f>
        <v>Meta mqabbel ma 'elementi oħra, kemm huwa abbundanti l-ossiġnu?</v>
      </c>
    </row>
    <row r="970" ht="15.75" customHeight="1">
      <c r="A970" s="2" t="s">
        <v>970</v>
      </c>
      <c r="B970" s="2" t="str">
        <f>IFERROR(__xludf.DUMMYFUNCTION("GOOGLETRANSLATE(A970, ""en"", ""mt"")"),"Għal liema skop jintuża l-ossiġnu mill-ħajja tal-annimali?")</f>
        <v>Għal liema skop jintuża l-ossiġnu mill-ħajja tal-annimali?</v>
      </c>
    </row>
    <row r="971" ht="15.75" customHeight="1">
      <c r="A971" s="2" t="s">
        <v>971</v>
      </c>
      <c r="B971" s="2" t="str">
        <f>IFERROR(__xludf.DUMMYFUNCTION("GOOGLETRANSLATE(A971, ""en"", ""mt"")"),"New Jersey, Rhode Island u Delaware")</f>
        <v>New Jersey, Rhode Island u Delaware</v>
      </c>
    </row>
    <row r="972" ht="15.75" customHeight="1">
      <c r="A972" s="2" t="s">
        <v>972</v>
      </c>
      <c r="B972" s="2" t="str">
        <f>IFERROR(__xludf.DUMMYFUNCTION("GOOGLETRANSLATE(A972, ""en"", ""mt"")"),"Meta beda l-moviment li sar il-Knisja Metodista Magħquda?")</f>
        <v>Meta beda l-moviment li sar il-Knisja Metodista Magħquda?</v>
      </c>
    </row>
    <row r="973" ht="15.75" customHeight="1">
      <c r="A973" s="2" t="s">
        <v>973</v>
      </c>
      <c r="B973" s="2" t="str">
        <f>IFERROR(__xludf.DUMMYFUNCTION("GOOGLETRANSLATE(A973, ""en"", ""mt"")"),"Mejju")</f>
        <v>Mejju</v>
      </c>
    </row>
    <row r="974" ht="15.75" customHeight="1">
      <c r="A974" s="2" t="s">
        <v>974</v>
      </c>
      <c r="B974" s="2" t="str">
        <f>IFERROR(__xludf.DUMMYFUNCTION("GOOGLETRANSLATE(A974, ""en"", ""mt"")"),"16 ta 'Ottubru, 1973,")</f>
        <v>16 ta 'Ottubru, 1973,</v>
      </c>
    </row>
    <row r="975" ht="15.75" customHeight="1">
      <c r="A975" s="2" t="s">
        <v>975</v>
      </c>
      <c r="B975" s="2" t="str">
        <f>IFERROR(__xludf.DUMMYFUNCTION("GOOGLETRANSLATE(A975, ""en"", ""mt"")"),"X'tip ta 'korrelazzjoni kienet użata qabel biex tgħin lill-formazzjonijiet tal-blat tad-data?")</f>
        <v>X'tip ta 'korrelazzjoni kienet użata qabel biex tgħin lill-formazzjonijiet tal-blat tad-data?</v>
      </c>
    </row>
    <row r="976" ht="15.75" customHeight="1">
      <c r="A976" s="2" t="s">
        <v>976</v>
      </c>
      <c r="B976" s="2" t="str">
        <f>IFERROR(__xludf.DUMMYFUNCTION("GOOGLETRANSLATE(A976, ""en"", ""mt"")"),"It-tensjoni, il-kompressjoni, u t-tkaxkir huma x'tip ta 'forzi?")</f>
        <v>It-tensjoni, il-kompressjoni, u t-tkaxkir huma x'tip ta 'forzi?</v>
      </c>
    </row>
    <row r="977" ht="15.75" customHeight="1">
      <c r="A977" s="2" t="s">
        <v>977</v>
      </c>
      <c r="B977" s="2" t="str">
        <f>IFERROR(__xludf.DUMMYFUNCTION("GOOGLETRANSLATE(A977, ""en"", ""mt"")"),"Fl-1993, Galor u Zeira wrew li l-inugwaljanza fil-preżenza tal-imperfezzjonijiet tas-suq tal-kreditu għandha effett detrimentali fit-tul fuq il-formazzjoni tal-kapital uman u l-iżvilupp ekonomiku. Studju tal-1996 minn Perotti eżamina l-kanali li permezz t"&amp;"agħhom l-inugwaljanza tista 'taffettwa t-tkabbir ekonomiku. Huwa wera li, skont l-approċċ tal-imperfezzjoni tas-suq tal-kreditu, l-inugwaljanza hija assoċjata ma 'livell aktar baxx ta' formazzjoni ta 'kapital uman (edukazzjoni, esperjenza, u apprendistat)"&amp;" u livell ogħla ta' fertilità, u b'hekk livelli aktar baxxi ta 'tkabbir. Huwa sab li l-inugwaljanza hija assoċjata ma 'livelli ogħla ta' tassazzjoni ridistributtiva, li hija assoċjata ma 'livelli aktar baxxi ta' tkabbir minn tnaqqis fl-iffrankar privat u "&amp;"l-investiment. Perotti kkonkluda li, ""aktar soċjetajiet ugwali għandhom rati ta 'fertilità aktar baxxi u rati ogħla ta' investiment fl-edukazzjoni. It-tnejn huma riflessi f'rati ogħla ta 'tkabbir. Ukoll, soċjetajiet mhux ugwali ħafna għandhom it-tendenza"&amp;" li jkunu politikament u soċjalment instabbli, li huwa rifless f'rati aktar baxxi ta' investiment u għalhekk tkabbir. """)</f>
        <v>Fl-1993, Galor u Zeira wrew li l-inugwaljanza fil-preżenza tal-imperfezzjonijiet tas-suq tal-kreditu għandha effett detrimentali fit-tul fuq il-formazzjoni tal-kapital uman u l-iżvilupp ekonomiku. Studju tal-1996 minn Perotti eżamina l-kanali li permezz tagħhom l-inugwaljanza tista 'taffettwa t-tkabbir ekonomiku. Huwa wera li, skont l-approċċ tal-imperfezzjoni tas-suq tal-kreditu, l-inugwaljanza hija assoċjata ma 'livell aktar baxx ta' formazzjoni ta 'kapital uman (edukazzjoni, esperjenza, u apprendistat) u livell ogħla ta' fertilità, u b'hekk livelli aktar baxxi ta 'tkabbir. Huwa sab li l-inugwaljanza hija assoċjata ma 'livelli ogħla ta' tassazzjoni ridistributtiva, li hija assoċjata ma 'livelli aktar baxxi ta' tkabbir minn tnaqqis fl-iffrankar privat u l-investiment. Perotti kkonkluda li, "aktar soċjetajiet ugwali għandhom rati ta 'fertilità aktar baxxi u rati ogħla ta' investiment fl-edukazzjoni. It-tnejn huma riflessi f'rati ogħla ta 'tkabbir. Ukoll, soċjetajiet mhux ugwali ħafna għandhom it-tendenza li jkunu politikament u soċjalment instabbli, li huwa rifless f'rati aktar baxxi ta' investiment u għalhekk tkabbir. "</v>
      </c>
    </row>
    <row r="978" ht="15.75" customHeight="1">
      <c r="A978" s="2" t="s">
        <v>978</v>
      </c>
      <c r="B978" s="2" t="str">
        <f>IFERROR(__xludf.DUMMYFUNCTION("GOOGLETRANSLATE(A978, ""en"", ""mt"")"),"Is-sistema 7–4–2–3 ġiet adottata")</f>
        <v>Is-sistema 7–4–2–3 ġiet adottata</v>
      </c>
    </row>
    <row r="979" ht="15.75" customHeight="1">
      <c r="A979" s="2" t="s">
        <v>979</v>
      </c>
      <c r="B979" s="2" t="str">
        <f>IFERROR(__xludf.DUMMYFUNCTION("GOOGLETRANSLATE(A979, ""en"", ""mt"")"),"Ħadd ma rnexxielu")</f>
        <v>Ħadd ma rnexxielu</v>
      </c>
    </row>
    <row r="980" ht="15.75" customHeight="1">
      <c r="A980" s="2" t="s">
        <v>980</v>
      </c>
      <c r="B980" s="2" t="str">
        <f>IFERROR(__xludf.DUMMYFUNCTION("GOOGLETRANSLATE(A980, ""en"", ""mt"")"),"Matul il-moviment tal-edukazzjoni tal-iskola sekondarja mill-1910–1940, kien hemm żieda fil-ħaddiema tas-sengħa, li wasslet għal tnaqqis fil-prezz tax-xogħol tas-sengħa. L-edukazzjoni tal-iskola għolja matul il-perjodu kienet iddisinjata biex tgħammar lil"&amp;"l-istudenti b'settijiet ta 'ħiliet meħtieġa biex ikunu jistgħu jwettqu fuq ix-xogħol. Fil-fatt, hija differenti mill-edukazzjoni preżenti tal-iskola sekondarja, li hija meqjusa bħala stepping-stone biex takkwista kulleġġ u gradi avvanzati. Dan it-tnaqqis "&amp;"fil-pagi kkawża perjodu ta 'kompressjoni u tnaqqis fl-inugwaljanza bejn ħaddiema tas-sengħa u dawk mhux kwalifikati. L-edukazzjoni hija importanti ħafna għat-tkabbir tal-ekonomija, madankollu l-inugwaljanza edukattiva fil-ġeneru tinfluwenza wkoll lejn l-e"&amp;"konomija. LagerLof u Galor iddikjaraw li l-inugwaljanza bejn is-sessi fl-edukazzjoni tista 'tirriżulta għal tkabbir ekonomiku baxx, u kontinwa l-inugwaljanza bejn is-sessi fl-edukazzjoni, u b'hekk toħloq nassa tal-faqar. Huwa ssuġġerit li vojt kbir fl-edu"&amp;"kazzjoni maskili u femminili jista 'jindika ritard u għalhekk jista' jkun assoċjat ma 'tkabbir ekonomiku aktar baxx, li jista' jispjega għaliex hemm inugwaljanza ekonomika bejn il-pajjiżi.")</f>
        <v>Matul il-moviment tal-edukazzjoni tal-iskola sekondarja mill-1910–1940, kien hemm żieda fil-ħaddiema tas-sengħa, li wasslet għal tnaqqis fil-prezz tax-xogħol tas-sengħa. L-edukazzjoni tal-iskola għolja matul il-perjodu kienet iddisinjata biex tgħammar lill-istudenti b'settijiet ta 'ħiliet meħtieġa biex ikunu jistgħu jwettqu fuq ix-xogħol. Fil-fatt, hija differenti mill-edukazzjoni preżenti tal-iskola sekondarja, li hija meqjusa bħala stepping-stone biex takkwista kulleġġ u gradi avvanzati. Dan it-tnaqqis fil-pagi kkawża perjodu ta 'kompressjoni u tnaqqis fl-inugwaljanza bejn ħaddiema tas-sengħa u dawk mhux kwalifikati. L-edukazzjoni hija importanti ħafna għat-tkabbir tal-ekonomija, madankollu l-inugwaljanza edukattiva fil-ġeneru tinfluwenza wkoll lejn l-ekonomija. LagerLof u Galor iddikjaraw li l-inugwaljanza bejn is-sessi fl-edukazzjoni tista 'tirriżulta għal tkabbir ekonomiku baxx, u kontinwa l-inugwaljanza bejn is-sessi fl-edukazzjoni, u b'hekk toħloq nassa tal-faqar. Huwa ssuġġerit li vojt kbir fl-edukazzjoni maskili u femminili jista 'jindika ritard u għalhekk jista' jkun assoċjat ma 'tkabbir ekonomiku aktar baxx, li jista' jispjega għaliex hemm inugwaljanza ekonomika bejn il-pajjiżi.</v>
      </c>
    </row>
    <row r="981" ht="15.75" customHeight="1">
      <c r="A981" s="2" t="s">
        <v>981</v>
      </c>
      <c r="B981" s="2" t="str">
        <f>IFERROR(__xludf.DUMMYFUNCTION("GOOGLETRANSLATE(A981, ""en"", ""mt"")"),"0.2 abitanti kull kilometru kwadru")</f>
        <v>0.2 abitanti kull kilometru kwadru</v>
      </c>
    </row>
    <row r="982" ht="15.75" customHeight="1">
      <c r="A982" s="2" t="s">
        <v>982</v>
      </c>
      <c r="B982" s="2" t="str">
        <f>IFERROR(__xludf.DUMMYFUNCTION("GOOGLETRANSLATE(A982, ""en"", ""mt"")"),"tmiem li jispira")</f>
        <v>tmiem li jispira</v>
      </c>
    </row>
    <row r="983" ht="15.75" customHeight="1">
      <c r="A983" s="2" t="s">
        <v>983</v>
      </c>
      <c r="B983" s="2" t="str">
        <f>IFERROR(__xludf.DUMMYFUNCTION("GOOGLETRANSLATE(A983, ""en"", ""mt"")"),"Iżlamiku qawwi")</f>
        <v>Iżlamiku qawwi</v>
      </c>
    </row>
    <row r="984" ht="15.75" customHeight="1">
      <c r="A984" s="2" t="s">
        <v>984</v>
      </c>
      <c r="B984" s="2" t="str">
        <f>IFERROR(__xludf.DUMMYFUNCTION("GOOGLETRANSLATE(A984, ""en"", ""mt"")"),"DOCTER_WHO")</f>
        <v>DOCTER_WHO</v>
      </c>
    </row>
    <row r="985" ht="15.75" customHeight="1">
      <c r="A985" s="2" t="s">
        <v>985</v>
      </c>
      <c r="B985" s="2" t="str">
        <f>IFERROR(__xludf.DUMMYFUNCTION("GOOGLETRANSLATE(A985, ""en"", ""mt"")"),"Il-liġijiet tal-fiżika huma l-istess f'kull qafas ta 'referenza inerzjali")</f>
        <v>Il-liġijiet tal-fiżika huma l-istess f'kull qafas ta 'referenza inerzjali</v>
      </c>
    </row>
    <row r="986" ht="15.75" customHeight="1">
      <c r="A986" s="2" t="s">
        <v>986</v>
      </c>
      <c r="B986" s="2" t="str">
        <f>IFERROR(__xludf.DUMMYFUNCTION("GOOGLETRANSLATE(A986, ""en"", ""mt"")"),"Mewġ wieqaf")</f>
        <v>Mewġ wieqaf</v>
      </c>
    </row>
    <row r="987" ht="15.75" customHeight="1">
      <c r="A987" s="2" t="s">
        <v>987</v>
      </c>
      <c r="B987" s="2" t="str">
        <f>IFERROR(__xludf.DUMMYFUNCTION("GOOGLETRANSLATE(A987, ""en"", ""mt"")"),"fihom muskolu strijat,")</f>
        <v>fihom muskolu strijat,</v>
      </c>
    </row>
    <row r="988" ht="15.75" customHeight="1">
      <c r="A988" s="2" t="s">
        <v>988</v>
      </c>
      <c r="B988" s="2" t="str">
        <f>IFERROR(__xludf.DUMMYFUNCTION("GOOGLETRANSLATE(A988, ""en"", ""mt"")"),"Turkija")</f>
        <v>Turkija</v>
      </c>
    </row>
    <row r="989" ht="15.75" customHeight="1">
      <c r="A989" s="2" t="s">
        <v>989</v>
      </c>
      <c r="B989" s="2" t="str">
        <f>IFERROR(__xludf.DUMMYFUNCTION("GOOGLETRANSLATE(A989, ""en"", ""mt"")"),"l-awtorità aħħarija tal-istati membri")</f>
        <v>l-awtorità aħħarija tal-istati membri</v>
      </c>
    </row>
    <row r="990" ht="15.75" customHeight="1">
      <c r="A990" s="2" t="s">
        <v>990</v>
      </c>
      <c r="B990" s="2" t="str">
        <f>IFERROR(__xludf.DUMMYFUNCTION("GOOGLETRANSLATE(A990, ""en"", ""mt"")"),"riċiklat kontinwament")</f>
        <v>riċiklat kontinwament</v>
      </c>
    </row>
    <row r="991" ht="15.75" customHeight="1">
      <c r="A991" s="2" t="s">
        <v>991</v>
      </c>
      <c r="B991" s="2" t="str">
        <f>IFERROR(__xludf.DUMMYFUNCTION("GOOGLETRANSLATE(A991, ""en"", ""mt"")"),"Operazzjonijiet orjentati lejn il-konnessjoni. Imma X.25 jagħmel dan fis-saff tan-netwerk tal-mudell OSI. Frame Relay jagħmel dan fil-livell tnejn, is-saff tal-link tad-dejta")</f>
        <v>Operazzjonijiet orjentati lejn il-konnessjoni. Imma X.25 jagħmel dan fis-saff tan-netwerk tal-mudell OSI. Frame Relay jagħmel dan fil-livell tnejn, is-saff tal-link tad-dejta</v>
      </c>
    </row>
    <row r="992" ht="15.75" customHeight="1">
      <c r="A992" s="2" t="s">
        <v>992</v>
      </c>
      <c r="B992" s="2" t="str">
        <f>IFERROR(__xludf.DUMMYFUNCTION("GOOGLETRANSLATE(A992, ""en"", ""mt"")"),"President tal-NBC")</f>
        <v>President tal-NBC</v>
      </c>
    </row>
    <row r="993" ht="15.75" customHeight="1">
      <c r="A993" s="2" t="s">
        <v>993</v>
      </c>
      <c r="B993" s="2" t="str">
        <f>IFERROR(__xludf.DUMMYFUNCTION("GOOGLETRANSLATE(A993, ""en"", ""mt"")"),"Iddisinjat biex jarma lill-istudenti b'settijiet ta 'ħiliet meħtieġa biex ikunu jistgħu jwettqu fuq ix-xogħol")</f>
        <v>Iddisinjat biex jarma lill-istudenti b'settijiet ta 'ħiliet meħtieġa biex ikunu jistgħu jwettqu fuq ix-xogħol</v>
      </c>
    </row>
    <row r="994" ht="15.75" customHeight="1">
      <c r="A994" s="2" t="s">
        <v>994</v>
      </c>
      <c r="B994" s="2" t="str">
        <f>IFERROR(__xludf.DUMMYFUNCTION("GOOGLETRANSLATE(A994, ""en"", ""mt"")"),"ekonomiku")</f>
        <v>ekonomiku</v>
      </c>
    </row>
    <row r="995" ht="15.75" customHeight="1">
      <c r="A995" s="2" t="s">
        <v>995</v>
      </c>
      <c r="B995" s="2" t="str">
        <f>IFERROR(__xludf.DUMMYFUNCTION("GOOGLETRANSLATE(A995, ""en"", ""mt"")"),"Ir-Renu t'isfel")</f>
        <v>Ir-Renu t'isfel</v>
      </c>
    </row>
    <row r="996" ht="15.75" customHeight="1">
      <c r="A996" s="2" t="s">
        <v>996</v>
      </c>
      <c r="B996" s="2" t="str">
        <f>IFERROR(__xludf.DUMMYFUNCTION("GOOGLETRANSLATE(A996, ""en"", ""mt"")"),"X'imxerred Edison Machine fl-1890?")</f>
        <v>X'imxerred Edison Machine fl-1890?</v>
      </c>
    </row>
    <row r="997" ht="15.75" customHeight="1">
      <c r="A997" s="2" t="s">
        <v>997</v>
      </c>
      <c r="B997" s="2" t="str">
        <f>IFERROR(__xludf.DUMMYFUNCTION("GOOGLETRANSLATE(A997, ""en"", ""mt"")"),"Iċ-ċili mwebbsa")</f>
        <v>Iċ-ċili mwebbsa</v>
      </c>
    </row>
    <row r="998" ht="15.75" customHeight="1">
      <c r="A998" s="2" t="s">
        <v>998</v>
      </c>
      <c r="B998" s="2" t="str">
        <f>IFERROR(__xludf.DUMMYFUNCTION("GOOGLETRANSLATE(A998, ""en"", ""mt"")"),"Skulturi Ħindu u Buddisti raffinati")</f>
        <v>Skulturi Ħindu u Buddisti raffinati</v>
      </c>
    </row>
    <row r="999" ht="15.75" customHeight="1">
      <c r="A999" s="2" t="s">
        <v>999</v>
      </c>
      <c r="B999" s="2" t="str">
        <f>IFERROR(__xludf.DUMMYFUNCTION("GOOGLETRANSLATE(A999, ""en"", ""mt"")"),"Mewt nobbli")</f>
        <v>Mewt nobbli</v>
      </c>
    </row>
    <row r="1000" ht="15.75" customHeight="1">
      <c r="A1000" s="2" t="s">
        <v>1000</v>
      </c>
      <c r="B1000" s="2" t="str">
        <f>IFERROR(__xludf.DUMMYFUNCTION("GOOGLETRANSLATE(A1000, ""en"", ""mt"")"),"Il-Hay Wain")</f>
        <v>Il-Hay Wain</v>
      </c>
    </row>
    <row r="1001" ht="15.75" customHeight="1">
      <c r="A1001" s="2" t="s">
        <v>1001</v>
      </c>
      <c r="B1001" s="2" t="str">
        <f>IFERROR(__xludf.DUMMYFUNCTION("GOOGLETRANSLATE(A1001, ""en"", ""mt"")"),"squiled saqajh mitt darba għal kull sieq")</f>
        <v>squiled saqajh mitt darba għal kull sieq</v>
      </c>
    </row>
    <row r="1002" ht="15.75" customHeight="1">
      <c r="A1002" s="2" t="s">
        <v>1002</v>
      </c>
      <c r="B1002" s="2" t="str">
        <f>IFERROR(__xludf.DUMMYFUNCTION("GOOGLETRANSLATE(A1002, ""en"", ""mt"")"),"F’xi pajjiżi, edukazzjoni formali tista ’sseħħ permezz ta’ skola tad-dar. It-tagħlim informali jista 'jkun megħjun minn għalliem li jokkupa rwol tranżitorju jew kontinwu, bħal membru tal-familja, jew minn kull min għandu għarfien jew ħiliet fl-ambjent usa"&amp;"' tal-komunità.")</f>
        <v>F’xi pajjiżi, edukazzjoni formali tista ’sseħħ permezz ta’ skola tad-dar. It-tagħlim informali jista 'jkun megħjun minn għalliem li jokkupa rwol tranżitorju jew kontinwu, bħal membru tal-familja, jew minn kull min għandu għarfien jew ħiliet fl-ambjent usa' tal-komunità.</v>
      </c>
    </row>
    <row r="1003" ht="15.75" customHeight="1">
      <c r="A1003" s="2" t="s">
        <v>1003</v>
      </c>
      <c r="B1003" s="2" t="str">
        <f>IFERROR(__xludf.DUMMYFUNCTION("GOOGLETRANSLATE(A1003, ""en"", ""mt"")"),"It-traduzzjoni ta 'Luther użat il-varjant tal-Ġermaniż mitkellem fil-Kanċellerija tas-Sassonu, li jinftiehem kemm għall-Ġermaniżi tat-Tramuntana kif ukoll tan-Nofsinhar. Huwa maħsub il-lingwaġġ qawwi u dirett tiegħu biex jagħmel il-Bibbja aċċessibbli għal"&amp;"l-Ġermaniżi ta 'kuljum, ""għax qed ineħħu impedimenti u diffikultajiet sabiex nies oħra jkunu jistgħu jaqrawha mingħajr tfixkil.""")</f>
        <v>It-traduzzjoni ta 'Luther użat il-varjant tal-Ġermaniż mitkellem fil-Kanċellerija tas-Sassonu, li jinftiehem kemm għall-Ġermaniżi tat-Tramuntana kif ukoll tan-Nofsinhar. Huwa maħsub il-lingwaġġ qawwi u dirett tiegħu biex jagħmel il-Bibbja aċċessibbli għall-Ġermaniżi ta 'kuljum, "għax qed ineħħu impedimenti u diffikultajiet sabiex nies oħra jkunu jistgħu jaqrawha mingħajr tfixkil."</v>
      </c>
    </row>
    <row r="1004" ht="15.75" customHeight="1">
      <c r="A1004" s="2" t="s">
        <v>1004</v>
      </c>
      <c r="B1004" s="2" t="str">
        <f>IFERROR(__xludf.DUMMYFUNCTION("GOOGLETRANSLATE(A1004, ""en"", ""mt"")"),"Il-kontej tagħha ta 'Los Angeles, Orange, San Diego, San Bernardino, u Riverside huma l-ħames l-aktar popolati fl-istat u kollha jinsabu fl-aqwa 15-il kontej l-iktar popolati fl-Istati Uniti.")</f>
        <v>Il-kontej tagħha ta 'Los Angeles, Orange, San Diego, San Bernardino, u Riverside huma l-ħames l-aktar popolati fl-istat u kollha jinsabu fl-aqwa 15-il kontej l-iktar popolati fl-Istati Uniti.</v>
      </c>
    </row>
    <row r="1005" ht="15.75" customHeight="1">
      <c r="A1005" s="2" t="s">
        <v>1005</v>
      </c>
      <c r="B1005" s="2" t="str">
        <f>IFERROR(__xludf.DUMMYFUNCTION("GOOGLETRANSLATE(A1005, ""en"", ""mt"")"),"Uża l-proċeduri bħala forum")</f>
        <v>Uża l-proċeduri bħala forum</v>
      </c>
    </row>
    <row r="1006" ht="15.75" customHeight="1">
      <c r="A1006" s="2" t="s">
        <v>1006</v>
      </c>
      <c r="B1006" s="2" t="str">
        <f>IFERROR(__xludf.DUMMYFUNCTION("GOOGLETRANSLATE(A1006, ""en"", ""mt"")"),"biex tiflaħ il-mewġ u l-partiċelli tas-sediment li jdawru")</f>
        <v>biex tiflaħ il-mewġ u l-partiċelli tas-sediment li jdawru</v>
      </c>
    </row>
    <row r="1007" ht="15.75" customHeight="1">
      <c r="A1007" s="2" t="s">
        <v>1007</v>
      </c>
      <c r="B1007" s="2" t="str">
        <f>IFERROR(__xludf.DUMMYFUNCTION("GOOGLETRANSLATE(A1007, ""en"", ""mt"")"),"Kemm-il lingwa kienet taf Tesla?")</f>
        <v>Kemm-il lingwa kienet taf Tesla?</v>
      </c>
    </row>
    <row r="1008" ht="15.75" customHeight="1">
      <c r="A1008" s="2" t="s">
        <v>1008</v>
      </c>
      <c r="B1008" s="2" t="str">
        <f>IFERROR(__xludf.DUMMYFUNCTION("GOOGLETRANSLATE(A1008, ""en"", ""mt"")"),"Saċerdozju qaddis")</f>
        <v>Saċerdozju qaddis</v>
      </c>
    </row>
    <row r="1009" ht="15.75" customHeight="1">
      <c r="A1009" s="2" t="s">
        <v>1009</v>
      </c>
      <c r="B1009" s="2" t="str">
        <f>IFERROR(__xludf.DUMMYFUNCTION("GOOGLETRANSLATE(A1009, ""en"", ""mt"")"),"prestiġju")</f>
        <v>prestiġju</v>
      </c>
    </row>
    <row r="1010" ht="15.75" customHeight="1">
      <c r="A1010" s="2" t="s">
        <v>1010</v>
      </c>
      <c r="B1010" s="2" t="str">
        <f>IFERROR(__xludf.DUMMYFUNCTION("GOOGLETRANSLATE(A1010, ""en"", ""mt"")"),"Biljetti intelliġenti.")</f>
        <v>Biljetti intelliġenti.</v>
      </c>
    </row>
    <row r="1011" ht="15.75" customHeight="1">
      <c r="A1011" s="2" t="s">
        <v>1011</v>
      </c>
      <c r="B1011" s="2" t="str">
        <f>IFERROR(__xludf.DUMMYFUNCTION("GOOGLETRANSLATE(A1011, ""en"", ""mt"")"),"Perjodu Jurassic")</f>
        <v>Perjodu Jurassic</v>
      </c>
    </row>
    <row r="1012" ht="15.75" customHeight="1">
      <c r="A1012" s="2" t="s">
        <v>1012</v>
      </c>
      <c r="B1012" s="2" t="str">
        <f>IFERROR(__xludf.DUMMYFUNCTION("GOOGLETRANSLATE(A1012, ""en"", ""mt"")"),"Liema tliet tobba kienu fis-sireni taż-żmien?")</f>
        <v>Liema tliet tobba kienu fis-sireni taż-żmien?</v>
      </c>
    </row>
    <row r="1013" ht="15.75" customHeight="1">
      <c r="A1013" s="2" t="s">
        <v>1013</v>
      </c>
      <c r="B1013" s="2" t="str">
        <f>IFERROR(__xludf.DUMMYFUNCTION("GOOGLETRANSLATE(A1013, ""en"", ""mt"")"),"is-saħħa marret għall-agħar")</f>
        <v>is-saħħa marret għall-agħar</v>
      </c>
    </row>
    <row r="1014" ht="15.75" customHeight="1">
      <c r="A1014" s="2" t="s">
        <v>1014</v>
      </c>
      <c r="B1014" s="2" t="str">
        <f>IFERROR(__xludf.DUMMYFUNCTION("GOOGLETRANSLATE(A1014, ""en"", ""mt"")"),"Konservazzjoni tal-momentum")</f>
        <v>Konservazzjoni tal-momentum</v>
      </c>
    </row>
    <row r="1015" ht="15.75" customHeight="1">
      <c r="A1015" s="2" t="s">
        <v>1015</v>
      </c>
      <c r="B1015" s="2" t="str">
        <f>IFERROR(__xludf.DUMMYFUNCTION("GOOGLETRANSLATE(A1015, ""en"", ""mt"")"),"Liema post ieħor ta 'Apollo 1 ittestja fiċ-Ċentru Spazjali Kennedy?")</f>
        <v>Liema post ieħor ta 'Apollo 1 ittestja fiċ-Ċentru Spazjali Kennedy?</v>
      </c>
    </row>
    <row r="1016" ht="15.75" customHeight="1">
      <c r="A1016" s="2" t="s">
        <v>1016</v>
      </c>
      <c r="B1016" s="2" t="str">
        <f>IFERROR(__xludf.DUMMYFUNCTION("GOOGLETRANSLATE(A1016, ""en"", ""mt"")"),"Servizz tal-Librerija Nazzjonali tal-Kenja")</f>
        <v>Servizz tal-Librerija Nazzjonali tal-Kenja</v>
      </c>
    </row>
    <row r="1017" ht="15.75" customHeight="1">
      <c r="A1017" s="2" t="s">
        <v>1017</v>
      </c>
      <c r="B1017" s="2" t="str">
        <f>IFERROR(__xludf.DUMMYFUNCTION("GOOGLETRANSLATE(A1017, ""en"", ""mt"")"),"Luther oġġezzjona għal qal attribwit lil Johann Tetzel li ""malli l-munita fiċ-ċrieki tal-coffer, ir-ruħ mill-purgatorju (attestata wkoll bħala 'fis-sema') molol.""")</f>
        <v>Luther oġġezzjona għal qal attribwit lil Johann Tetzel li "malli l-munita fiċ-ċrieki tal-coffer, ir-ruħ mill-purgatorju (attestata wkoll bħala 'fis-sema') molol."</v>
      </c>
    </row>
    <row r="1018" ht="15.75" customHeight="1">
      <c r="A1018" s="2" t="s">
        <v>1018</v>
      </c>
      <c r="B1018" s="2" t="str">
        <f>IFERROR(__xludf.DUMMYFUNCTION("GOOGLETRANSLATE(A1018, ""en"", ""mt"")"),"Speċifiċità naturali")</f>
        <v>Speċifiċità naturali</v>
      </c>
    </row>
    <row r="1019" ht="15.75" customHeight="1">
      <c r="A1019" s="2" t="s">
        <v>1019</v>
      </c>
      <c r="B1019" s="2" t="str">
        <f>IFERROR(__xludf.DUMMYFUNCTION("GOOGLETRANSLATE(A1019, ""en"", ""mt"")"),"Normandija")</f>
        <v>Normandija</v>
      </c>
    </row>
    <row r="1020" ht="15.75" customHeight="1">
      <c r="A1020" s="2" t="s">
        <v>1020</v>
      </c>
      <c r="B1020" s="2" t="str">
        <f>IFERROR(__xludf.DUMMYFUNCTION("GOOGLETRANSLATE(A1020, ""en"", ""mt"")"),"is-Saraċens")</f>
        <v>is-Saraċens</v>
      </c>
    </row>
    <row r="1021" ht="15.75" customHeight="1">
      <c r="A1021" s="2" t="s">
        <v>1021</v>
      </c>
      <c r="B1021" s="2" t="str">
        <f>IFERROR(__xludf.DUMMYFUNCTION("GOOGLETRANSLATE(A1021, ""en"", ""mt"")"),"31–24,")</f>
        <v>31–24,</v>
      </c>
    </row>
    <row r="1022" ht="15.75" customHeight="1">
      <c r="A1022" s="2" t="s">
        <v>1022</v>
      </c>
      <c r="B1022" s="2" t="str">
        <f>IFERROR(__xludf.DUMMYFUNCTION("GOOGLETRANSLATE(A1022, ""en"", ""mt"")"),"Nagħmlu l-Paċi ma 'l-Iżrael")</f>
        <v>Nagħmlu l-Paċi ma 'l-Iżrael</v>
      </c>
    </row>
    <row r="1023" ht="15.75" customHeight="1">
      <c r="A1023" s="2" t="s">
        <v>1023</v>
      </c>
      <c r="B1023" s="2" t="str">
        <f>IFERROR(__xludf.DUMMYFUNCTION("GOOGLETRANSLATE(A1023, ""en"", ""mt"")"),"X'inhi l-ogħla qorti fl-Unjoni Ewropea?")</f>
        <v>X'inhi l-ogħla qorti fl-Unjoni Ewropea?</v>
      </c>
    </row>
    <row r="1024" ht="15.75" customHeight="1">
      <c r="A1024" s="2" t="s">
        <v>1024</v>
      </c>
      <c r="B1024" s="2" t="str">
        <f>IFERROR(__xludf.DUMMYFUNCTION("GOOGLETRANSLATE(A1024, ""en"", ""mt"")"),"Sekwenzi tal-fossili")</f>
        <v>Sekwenzi tal-fossili</v>
      </c>
    </row>
    <row r="1025" ht="15.75" customHeight="1">
      <c r="A1025" s="2" t="s">
        <v>1025</v>
      </c>
      <c r="B1025" s="2" t="str">
        <f>IFERROR(__xludf.DUMMYFUNCTION("GOOGLETRANSLATE(A1025, ""en"", ""mt"")"),"żieda fl-enfasi fuq id-divertiment u d-divertiment")</f>
        <v>żieda fl-enfasi fuq id-divertiment u d-divertiment</v>
      </c>
    </row>
    <row r="1026" ht="15.75" customHeight="1">
      <c r="A1026" s="2" t="s">
        <v>1026</v>
      </c>
      <c r="B1026" s="2" t="str">
        <f>IFERROR(__xludf.DUMMYFUNCTION("GOOGLETRANSLATE(A1026, ""en"", ""mt"")"),"kompletament reliġjuż u fl-ebda rispett razzjali")</f>
        <v>kompletament reliġjuż u fl-ebda rispett razzjali</v>
      </c>
    </row>
    <row r="1027" ht="15.75" customHeight="1">
      <c r="A1027" s="2" t="s">
        <v>1027</v>
      </c>
      <c r="B1027" s="2" t="str">
        <f>IFERROR(__xludf.DUMMYFUNCTION("GOOGLETRANSLATE(A1027, ""en"", ""mt"")"),"acupuncture, moxibustion, dijanjosi tal-polz, u diversi mediċini tal-ħxejjex")</f>
        <v>acupuncture, moxibustion, dijanjosi tal-polz, u diversi mediċini tal-ħxejjex</v>
      </c>
    </row>
    <row r="1028" ht="15.75" customHeight="1">
      <c r="A1028" s="2" t="s">
        <v>1028</v>
      </c>
      <c r="B1028" s="2" t="str">
        <f>IFERROR(__xludf.DUMMYFUNCTION("GOOGLETRANSLATE(A1028, ""en"", ""mt"")"),"reliġjuż")</f>
        <v>reliġjuż</v>
      </c>
    </row>
    <row r="1029" ht="15.75" customHeight="1">
      <c r="A1029" s="2" t="s">
        <v>1029</v>
      </c>
      <c r="B1029" s="2" t="str">
        <f>IFERROR(__xludf.DUMMYFUNCTION("GOOGLETRANSLATE(A1029, ""en"", ""mt"")"),"il-membrana tal-endosymbiont primarju")</f>
        <v>il-membrana tal-endosymbiont primarju</v>
      </c>
    </row>
    <row r="1030" ht="15.75" customHeight="1">
      <c r="A1030" s="2" t="s">
        <v>1030</v>
      </c>
      <c r="B1030" s="2" t="str">
        <f>IFERROR(__xludf.DUMMYFUNCTION("GOOGLETRANSLATE(A1030, ""en"", ""mt"")"),"Netwerk ta 'Komunikazzjonijiet fuq skala kbira, imqassma, li jista' jibqa 'ħaj")</f>
        <v>Netwerk ta 'Komunikazzjonijiet fuq skala kbira, imqassma, li jista' jibqa 'ħaj</v>
      </c>
    </row>
    <row r="1031" ht="15.75" customHeight="1">
      <c r="A1031" s="2" t="s">
        <v>1031</v>
      </c>
      <c r="B1031" s="2" t="str">
        <f>IFERROR(__xludf.DUMMYFUNCTION("GOOGLETRANSLATE(A1031, ""en"", ""mt"")"),"Ġuħ Saturnjan,")</f>
        <v>Ġuħ Saturnjan,</v>
      </c>
    </row>
    <row r="1032" ht="15.75" customHeight="1">
      <c r="A1032" s="2" t="s">
        <v>1032</v>
      </c>
      <c r="B1032" s="2" t="str">
        <f>IFERROR(__xludf.DUMMYFUNCTION("GOOGLETRANSLATE(A1032, ""en"", ""mt"")"),"L-Università ta 'Chicago kienet is-sit ta' xi esperimenti u movimenti akkademiċi importanti. Fl-ekonomija, l-università kellha rwol importanti fit-tfassil ta 'ideat dwar is-suq ħieles u hija l-isem ta' l-Iskola ta 'l-Ekonomija ta' Chicago, l-Iskola ta 'Ħs"&amp;"ieb Ekonomiku appoġġat minn Milton Friedman u ekonomisti oħra. Id-dipartiment tas-soċjoloġija tal-università kien l-ewwel dipartiment tas-soċjoloġija indipendenti fl-Istati Uniti u welldet l-Iskola tas-Soċjoloġija ta 'Chicago. Fil-fiżika, l-università kie"&amp;"net is-sit taċ-Chicago Pile-1 (l-ewwel reazzjoni nukleari magħmula mill-bniedem awto-sostnuta, parti mill-proġett Manhattan), tal-esperiment tal-qatra taż-żejt ta 'Robert Millikan li kkalkula l-ħlas tal-elettroni, u ta' L-iżvilupp tad-dating tar-radjokarb"&amp;"onju minn Willard F. Libby fl-1947. L-esperiment kimiku li ttestja kif oriġina l-ħajja fuq l-art bikrija, l-esperiment Miller-Urey, sar fl-università. L-irqad REM ġie skopert fl-università fl-1953 minn Nathaniel Kleitman u Eugene Aserinsky.")</f>
        <v>L-Università ta 'Chicago kienet is-sit ta' xi esperimenti u movimenti akkademiċi importanti. Fl-ekonomija, l-università kellha rwol importanti fit-tfassil ta 'ideat dwar is-suq ħieles u hija l-isem ta' l-Iskola ta 'l-Ekonomija ta' Chicago, l-Iskola ta 'Ħsieb Ekonomiku appoġġat minn Milton Friedman u ekonomisti oħra. Id-dipartiment tas-soċjoloġija tal-università kien l-ewwel dipartiment tas-soċjoloġija indipendenti fl-Istati Uniti u welldet l-Iskola tas-Soċjoloġija ta 'Chicago. Fil-fiżika, l-università kienet is-sit taċ-Chicago Pile-1 (l-ewwel reazzjoni nukleari magħmula mill-bniedem awto-sostnuta, parti mill-proġett Manhattan), tal-esperiment tal-qatra taż-żejt ta 'Robert Millikan li kkalkula l-ħlas tal-elettroni, u ta' L-iżvilupp tad-dating tar-radjokarbonju minn Willard F. Libby fl-1947. L-esperiment kimiku li ttestja kif oriġina l-ħajja fuq l-art bikrija, l-esperiment Miller-Urey, sar fl-università. L-irqad REM ġie skopert fl-università fl-1953 minn Nathaniel Kleitman u Eugene Aserinsky.</v>
      </c>
    </row>
    <row r="1033" ht="15.75" customHeight="1">
      <c r="A1033" s="2" t="s">
        <v>1033</v>
      </c>
      <c r="B1033" s="2" t="str">
        <f>IFERROR(__xludf.DUMMYFUNCTION("GOOGLETRANSLATE(A1033, ""en"", ""mt"")"),"Ċertifikazzjoni minn korp rikonoxxut")</f>
        <v>Ċertifikazzjoni minn korp rikonoxxut</v>
      </c>
    </row>
    <row r="1034" ht="15.75" customHeight="1">
      <c r="A1034" s="2" t="s">
        <v>1034</v>
      </c>
      <c r="B1034" s="2" t="str">
        <f>IFERROR(__xludf.DUMMYFUNCTION("GOOGLETRANSLATE(A1034, ""en"", ""mt"")"),"Neo-Confucianism u ddedika lilu nnifsu wkoll fil-Buddiżmu")</f>
        <v>Neo-Confucianism u ddedika lilu nnifsu wkoll fil-Buddiżmu</v>
      </c>
    </row>
    <row r="1035" ht="15.75" customHeight="1">
      <c r="A1035" s="2" t="s">
        <v>1035</v>
      </c>
      <c r="B1035" s="2" t="str">
        <f>IFERROR(__xludf.DUMMYFUNCTION("GOOGLETRANSLATE(A1035, ""en"", ""mt"")"),"F'dawn l-aħħar snin il-karatteristika li korrelata ħafna mas-saħħa f'pajjiżi żviluppati hija l-inugwaljanza fid-dħul. Il-ħolqien ta 'indiċi ta' ""problemi tas-saħħa u soċjali"" minn disa 'fatturi, l-awturi Richard Wilkinson u Kate Pickett sabu problemi ta"&amp;"s-saħħa u soċjali ""aktar komuni f'pajjiżi b'inugwaljanzi ta' dħul ikbar"", u aktar komuni fost l-istati fl-Istati Uniti b'inugwaljanzi ta 'dħul akbar. Studji oħra kkonfermaw din ir-relazzjoni. L-indiċi tal-UNICEF ta '""benesseri tat-tfal f'pajjiżi sinjur"&amp;"i"", li jistudja 40 indikatur fi 22 pajjiż, jikkorrelata ma' ugwaljanza akbar iżda mhux dħul per capita.")</f>
        <v>F'dawn l-aħħar snin il-karatteristika li korrelata ħafna mas-saħħa f'pajjiżi żviluppati hija l-inugwaljanza fid-dħul. Il-ħolqien ta 'indiċi ta' "problemi tas-saħħa u soċjali" minn disa 'fatturi, l-awturi Richard Wilkinson u Kate Pickett sabu problemi tas-saħħa u soċjali "aktar komuni f'pajjiżi b'inugwaljanzi ta' dħul ikbar", u aktar komuni fost l-istati fl-Istati Uniti b'inugwaljanzi ta 'dħul akbar. Studji oħra kkonfermaw din ir-relazzjoni. L-indiċi tal-UNICEF ta '"benesseri tat-tfal f'pajjiżi sinjuri", li jistudja 40 indikatur fi 22 pajjiż, jikkorrelata ma' ugwaljanza akbar iżda mhux dħul per capita.</v>
      </c>
    </row>
    <row r="1036" ht="15.75" customHeight="1">
      <c r="A1036" s="2" t="s">
        <v>1036</v>
      </c>
      <c r="B1036" s="2" t="str">
        <f>IFERROR(__xludf.DUMMYFUNCTION("GOOGLETRANSLATE(A1036, ""en"", ""mt"")"),"Matul il-Gwerra Ċivili Ingliża, it-Tramuntana ddikjarat għar-Re. Bi sforz biex jiksbu Newcastle u l-alleati ta 'Tyne, Cromwell, l-Iskoċċiżi, qabdu l-belt ta' Newburn. Fl-1644 l-Iskoċċiżi mbagħad qabdu l-fortifikazzjoni msaħħa fuq il-Lawe f'South Shields w"&amp;"ara assedju. Fl-1644 il-belt imbagħad ġiet assedjata għal ħafna xhur u eventwalment ġiet maħruġa ('bid-drummes roaring') u mkeċċi mill-alleati ta 'Cromwell. Ir-Re Grateful ta l-motto ""Fortiter Defendit Triumphans"" (""trijonf minn difiża kuraġġuża"") lil"&amp;"l-belt. Charles I kien il-ħabs fi Newcastle mill-Iskoċċiżi fl-1646–7.")</f>
        <v>Matul il-Gwerra Ċivili Ingliża, it-Tramuntana ddikjarat għar-Re. Bi sforz biex jiksbu Newcastle u l-alleati ta 'Tyne, Cromwell, l-Iskoċċiżi, qabdu l-belt ta' Newburn. Fl-1644 l-Iskoċċiżi mbagħad qabdu l-fortifikazzjoni msaħħa fuq il-Lawe f'South Shields wara assedju. Fl-1644 il-belt imbagħad ġiet assedjata għal ħafna xhur u eventwalment ġiet maħruġa ('bid-drummes roaring') u mkeċċi mill-alleati ta 'Cromwell. Ir-Re Grateful ta l-motto "Fortiter Defendit Triumphans" ("trijonf minn difiża kuraġġuża") lill-belt. Charles I kien il-ħabs fi Newcastle mill-Iskoċċiżi fl-1646–7.</v>
      </c>
    </row>
    <row r="1037" ht="15.75" customHeight="1">
      <c r="A1037" s="2" t="s">
        <v>1037</v>
      </c>
      <c r="B1037" s="2" t="str">
        <f>IFERROR(__xludf.DUMMYFUNCTION("GOOGLETRANSLATE(A1037, ""en"", ""mt"")"),"l-Għarab u ħafna mill-bqija tat-tielet dinja")</f>
        <v>l-Għarab u ħafna mill-bqija tat-tielet dinja</v>
      </c>
    </row>
    <row r="1038" ht="15.75" customHeight="1">
      <c r="A1038" s="2" t="s">
        <v>1038</v>
      </c>
      <c r="B1038" s="2" t="str">
        <f>IFERROR(__xludf.DUMMYFUNCTION("GOOGLETRANSLATE(A1038, ""en"", ""mt"")"),"Doctor Who: Aktar minn 30 sena fit-TARDIS")</f>
        <v>Doctor Who: Aktar minn 30 sena fit-TARDIS</v>
      </c>
    </row>
    <row r="1039" ht="15.75" customHeight="1">
      <c r="A1039" s="2" t="s">
        <v>1039</v>
      </c>
      <c r="B1039" s="2" t="str">
        <f>IFERROR(__xludf.DUMMYFUNCTION("GOOGLETRANSLATE(A1039, ""en"", ""mt"")"),"Fuq liema kien il-qgħad persistenti għandu effett negattiv?")</f>
        <v>Fuq liema kien il-qgħad persistenti għandu effett negattiv?</v>
      </c>
    </row>
    <row r="1040" ht="15.75" customHeight="1">
      <c r="A1040" s="2" t="s">
        <v>1040</v>
      </c>
      <c r="B1040" s="2" t="str">
        <f>IFERROR(__xludf.DUMMYFUNCTION("GOOGLETRANSLATE(A1040, ""en"", ""mt"")"),"Industrija tal-Inbid")</f>
        <v>Industrija tal-Inbid</v>
      </c>
    </row>
    <row r="1041" ht="15.75" customHeight="1">
      <c r="A1041" s="2" t="s">
        <v>1041</v>
      </c>
      <c r="B1041" s="2" t="str">
        <f>IFERROR(__xludf.DUMMYFUNCTION("GOOGLETRANSLATE(A1041, ""en"", ""mt"")"),"Fejn hi post ieħor ta 'ġewwa għal għalliem għajr skola?")</f>
        <v>Fejn hi post ieħor ta 'ġewwa għal għalliem għajr skola?</v>
      </c>
    </row>
    <row r="1042" ht="15.75" customHeight="1">
      <c r="A1042" s="2" t="s">
        <v>1042</v>
      </c>
      <c r="B1042" s="2" t="str">
        <f>IFERROR(__xludf.DUMMYFUNCTION("GOOGLETRANSLATE(A1042, ""en"", ""mt"")"),"Fotoliżi ta 'l-ożonu")</f>
        <v>Fotoliżi ta 'l-ożonu</v>
      </c>
    </row>
    <row r="1043" ht="15.75" customHeight="1">
      <c r="A1043" s="2" t="s">
        <v>1043</v>
      </c>
      <c r="B1043" s="2" t="str">
        <f>IFERROR(__xludf.DUMMYFUNCTION("GOOGLETRANSLATE(A1043, ""en"", ""mt"")"),"Madwar 300")</f>
        <v>Madwar 300</v>
      </c>
    </row>
    <row r="1044" ht="15.75" customHeight="1">
      <c r="A1044" s="2" t="s">
        <v>1044</v>
      </c>
      <c r="B1044" s="2" t="str">
        <f>IFERROR(__xludf.DUMMYFUNCTION("GOOGLETRANSLATE(A1044, ""en"", ""mt"")"),"Rigal minn Alla")</f>
        <v>Rigal minn Alla</v>
      </c>
    </row>
    <row r="1045" ht="15.75" customHeight="1">
      <c r="A1045" s="2" t="s">
        <v>1045</v>
      </c>
      <c r="B1045" s="2" t="str">
        <f>IFERROR(__xludf.DUMMYFUNCTION("GOOGLETRANSLATE(A1045, ""en"", ""mt"")"),"Il-konferenza annwali, bejn wieħed u ieħor l-ekwivalenti ta 'djoċesi fit-Tqarbin Anglikana u l-Knisja Kattolika Rumana jew sinodu f'xi denominazzjonijiet Luterani bħall-Knisja Evanġelika Luterana fl-Amerika, hija l-unità bażika ta' organizzazzjoni fi ħdan"&amp;" l-UMC. It-terminu konferenza annwali ħafna drabi jintuża biex jirreferi għaż-żona ġeografika li jkopri kif ukoll il-frekwenza tal-laqgħa. Il-kleru huma membri tal-konferenza annwali tagħhom aktar milli ta 'xi kongregazzjoni lokali, u huma maħtura fi knis"&amp;"ja lokali jew akkuża oħra kull sena mill-isqof residenti tal-konferenza fil-laqgħa tal-konferenza annwali. F'ħafna modi, il-Knisja Metodista Magħquda topera f'organizzazzjoni konnessjoni tal-konferenzi annwali, u l-azzjonijiet meħuda minn konferenza waħda"&amp;" ma jorbtux fuq oħra.")</f>
        <v>Il-konferenza annwali, bejn wieħed u ieħor l-ekwivalenti ta 'djoċesi fit-Tqarbin Anglikana u l-Knisja Kattolika Rumana jew sinodu f'xi denominazzjonijiet Luterani bħall-Knisja Evanġelika Luterana fl-Amerika, hija l-unità bażika ta' organizzazzjoni fi ħdan l-UMC. It-terminu konferenza annwali ħafna drabi jintuża biex jirreferi għaż-żona ġeografika li jkopri kif ukoll il-frekwenza tal-laqgħa. Il-kleru huma membri tal-konferenza annwali tagħhom aktar milli ta 'xi kongregazzjoni lokali, u huma maħtura fi knisja lokali jew akkuża oħra kull sena mill-isqof residenti tal-konferenza fil-laqgħa tal-konferenza annwali. F'ħafna modi, il-Knisja Metodista Magħquda topera f'organizzazzjoni konnessjoni tal-konferenzi annwali, u l-azzjonijiet meħuda minn konferenza waħda ma jorbtux fuq oħra.</v>
      </c>
    </row>
    <row r="1046" ht="15.75" customHeight="1">
      <c r="A1046" s="2" t="s">
        <v>1046</v>
      </c>
      <c r="B1046" s="2" t="str">
        <f>IFERROR(__xludf.DUMMYFUNCTION("GOOGLETRANSLATE(A1046, ""en"", ""mt"")"),"Mill-1421 sal-1904")</f>
        <v>Mill-1421 sal-1904</v>
      </c>
    </row>
    <row r="1047" ht="15.75" customHeight="1">
      <c r="A1047" s="2" t="s">
        <v>1047</v>
      </c>
      <c r="B1047" s="2" t="str">
        <f>IFERROR(__xludf.DUMMYFUNCTION("GOOGLETRANSLATE(A1047, ""en"", ""mt"")"),"derivat formula ta 'interpolazzjoni kubika")</f>
        <v>derivat formula ta 'interpolazzjoni kubika</v>
      </c>
    </row>
    <row r="1048" ht="15.75" customHeight="1">
      <c r="A1048" s="2" t="s">
        <v>1048</v>
      </c>
      <c r="B1048" s="2" t="str">
        <f>IFERROR(__xludf.DUMMYFUNCTION("GOOGLETRANSLATE(A1048, ""en"", ""mt"")"),"Umdità estremament għolja")</f>
        <v>Umdità estremament għolja</v>
      </c>
    </row>
    <row r="1049" ht="15.75" customHeight="1">
      <c r="A1049" s="2" t="s">
        <v>1049</v>
      </c>
      <c r="B1049" s="2" t="str">
        <f>IFERROR(__xludf.DUMMYFUNCTION("GOOGLETRANSLATE(A1049, ""en"", ""mt"")"),"Il-friefet ġew elettrifikati")</f>
        <v>Il-friefet ġew elettrifikati</v>
      </c>
    </row>
    <row r="1050" ht="15.75" customHeight="1">
      <c r="A1050" s="2" t="s">
        <v>1050</v>
      </c>
      <c r="B1050" s="2" t="str">
        <f>IFERROR(__xludf.DUMMYFUNCTION("GOOGLETRANSLATE(A1050, ""en"", ""mt"")"),"Ibdel it-tradizzjonijiet kulturali, drawwiet soċjali, twemmin reliġjuż, eċċ")</f>
        <v>Ibdel it-tradizzjonijiet kulturali, drawwiet soċjali, twemmin reliġjuż, eċċ</v>
      </c>
    </row>
    <row r="1051" ht="15.75" customHeight="1">
      <c r="A1051" s="2" t="s">
        <v>1051</v>
      </c>
      <c r="B1051" s="2" t="str">
        <f>IFERROR(__xludf.DUMMYFUNCTION("GOOGLETRANSLATE(A1051, ""en"", ""mt"")"),"Il-Forzi Armati tal-Kenja")</f>
        <v>Il-Forzi Armati tal-Kenja</v>
      </c>
    </row>
    <row r="1052" ht="15.75" customHeight="1">
      <c r="A1052" s="2" t="s">
        <v>1052</v>
      </c>
      <c r="B1052" s="2" t="str">
        <f>IFERROR(__xludf.DUMMYFUNCTION("GOOGLETRANSLATE(A1052, ""en"", ""mt"")"),"Post Ċentrali")</f>
        <v>Post Ċentrali</v>
      </c>
    </row>
    <row r="1053" ht="15.75" customHeight="1">
      <c r="A1053" s="2" t="s">
        <v>1053</v>
      </c>
      <c r="B1053" s="2" t="str">
        <f>IFERROR(__xludf.DUMMYFUNCTION("GOOGLETRANSLATE(A1053, ""en"", ""mt"")"),"Il-Knisja Metodista Magħquda topponi l-iskrizzjoni bħala inkompatibbli mat-tagħlim tal-Iskrittura. Għalhekk, il-knisja tappoġġja u testendi l-ministeru tagħha għal dawk il-persuni li kuxjenzjalment jopponu l-gwerra kollha, jew kwalunkwe gwerra partikolari"&amp;", u li għalhekk jirrifjutaw li jservu fil-forzi armati jew li jikkooperaw ma 'sistemi ta' konskrizzjoni militari. Madankollu, il-Knisja Metodista Magħquda tappoġġja wkoll u testendi l-ministeru tagħha għal dawk il-persuni li jagħżlu kuxjenzjuż li jservu f"&amp;"il-forzi armati jew li jaċċettaw servizz alternattiv. Il-knisja tiddikjara wkoll li ""bħala Kristjani huma konxji li la t-triq ta 'azzjoni militari, u lanqas il-mod ta' nuqqas ta 'azzjoni ma huma ġusti quddiem Alla.""")</f>
        <v>Il-Knisja Metodista Magħquda topponi l-iskrizzjoni bħala inkompatibbli mat-tagħlim tal-Iskrittura. Għalhekk, il-knisja tappoġġja u testendi l-ministeru tagħha għal dawk il-persuni li kuxjenzjalment jopponu l-gwerra kollha, jew kwalunkwe gwerra partikolari, u li għalhekk jirrifjutaw li jservu fil-forzi armati jew li jikkooperaw ma 'sistemi ta' konskrizzjoni militari. Madankollu, il-Knisja Metodista Magħquda tappoġġja wkoll u testendi l-ministeru tagħha għal dawk il-persuni li jagħżlu kuxjenzjuż li jservu fil-forzi armati jew li jaċċettaw servizz alternattiv. Il-knisja tiddikjara wkoll li "bħala Kristjani huma konxji li la t-triq ta 'azzjoni militari, u lanqas il-mod ta' nuqqas ta 'azzjoni ma huma ġusti quddiem Alla."</v>
      </c>
    </row>
    <row r="1054" ht="15.75" customHeight="1">
      <c r="A1054" s="2" t="s">
        <v>1054</v>
      </c>
      <c r="B1054" s="2" t="str">
        <f>IFERROR(__xludf.DUMMYFUNCTION("GOOGLETRANSLATE(A1054, ""en"", ""mt"")"),"pubbliku")</f>
        <v>pubbliku</v>
      </c>
    </row>
    <row r="1055" ht="15.75" customHeight="1">
      <c r="A1055" s="2" t="s">
        <v>1055</v>
      </c>
      <c r="B1055" s="2" t="str">
        <f>IFERROR(__xludf.DUMMYFUNCTION("GOOGLETRANSLATE(A1055, ""en"", ""mt"")"),"7 ta 'Jannar, 2014")</f>
        <v>7 ta 'Jannar, 2014</v>
      </c>
    </row>
    <row r="1056" ht="15.75" customHeight="1">
      <c r="A1056" s="2" t="s">
        <v>1056</v>
      </c>
      <c r="B1056" s="2" t="str">
        <f>IFERROR(__xludf.DUMMYFUNCTION("GOOGLETRANSLATE(A1056, ""en"", ""mt"")"),"L-attività politika kkawżat sfruttament")</f>
        <v>L-attività politika kkawżat sfruttament</v>
      </c>
    </row>
    <row r="1057" ht="15.75" customHeight="1">
      <c r="A1057" s="2" t="s">
        <v>1057</v>
      </c>
      <c r="B1057" s="2" t="str">
        <f>IFERROR(__xludf.DUMMYFUNCTION("GOOGLETRANSLATE(A1057, ""en"", ""mt"")"),"tnaqqis")</f>
        <v>tnaqqis</v>
      </c>
    </row>
    <row r="1058" ht="15.75" customHeight="1">
      <c r="A1058" s="2" t="s">
        <v>1058</v>
      </c>
      <c r="B1058" s="2" t="str">
        <f>IFERROR(__xludf.DUMMYFUNCTION("GOOGLETRANSLATE(A1058, ""en"", ""mt"")"),"riħa")</f>
        <v>riħa</v>
      </c>
    </row>
    <row r="1059" ht="15.75" customHeight="1">
      <c r="A1059" s="2" t="s">
        <v>1059</v>
      </c>
      <c r="B1059" s="2" t="str">
        <f>IFERROR(__xludf.DUMMYFUNCTION("GOOGLETRANSLATE(A1059, ""en"", ""mt"")"),"Kemm kienet twila l-mewt li tixtieq il-kafè kummerċjali?")</f>
        <v>Kemm kienet twila l-mewt li tixtieq il-kafè kummerċjali?</v>
      </c>
    </row>
    <row r="1060" ht="15.75" customHeight="1">
      <c r="A1060" s="2" t="s">
        <v>1060</v>
      </c>
      <c r="B1060" s="2" t="str">
        <f>IFERROR(__xludf.DUMMYFUNCTION("GOOGLETRANSLATE(A1060, ""en"", ""mt"")"),"X’jagħmlu l-istudenti wara l-iskola primarja?")</f>
        <v>X’jagħmlu l-istudenti wara l-iskola primarja?</v>
      </c>
    </row>
    <row r="1061" ht="15.75" customHeight="1">
      <c r="A1061" s="2" t="s">
        <v>1061</v>
      </c>
      <c r="B1061" s="2" t="str">
        <f>IFERROR(__xludf.DUMMYFUNCTION("GOOGLETRANSLATE(A1061, ""en"", ""mt"")"),"Kemm timijiet tal-NFL marru 15-1 fi staġun wieħed?")</f>
        <v>Kemm timijiet tal-NFL marru 15-1 fi staġun wieħed?</v>
      </c>
    </row>
    <row r="1062" ht="15.75" customHeight="1">
      <c r="A1062" s="2" t="s">
        <v>1062</v>
      </c>
      <c r="B1062" s="2" t="str">
        <f>IFERROR(__xludf.DUMMYFUNCTION("GOOGLETRANSLATE(A1062, ""en"", ""mt"")"),"13")</f>
        <v>13</v>
      </c>
    </row>
    <row r="1063" ht="15.75" customHeight="1">
      <c r="A1063" s="2" t="s">
        <v>1063</v>
      </c>
      <c r="B1063" s="2" t="str">
        <f>IFERROR(__xludf.DUMMYFUNCTION("GOOGLETRANSLATE(A1063, ""en"", ""mt"")"),"Madwar miljun")</f>
        <v>Madwar miljun</v>
      </c>
    </row>
    <row r="1064" ht="15.75" customHeight="1">
      <c r="A1064" s="2" t="s">
        <v>1064</v>
      </c>
      <c r="B1064" s="2" t="str">
        <f>IFERROR(__xludf.DUMMYFUNCTION("GOOGLETRANSLATE(A1064, ""en"", ""mt"")"),"Fuq blat, alka, jew uċuħ tal-ġisem ta 'invertebrati oħra")</f>
        <v>Fuq blat, alka, jew uċuħ tal-ġisem ta 'invertebrati oħra</v>
      </c>
    </row>
    <row r="1065" ht="15.75" customHeight="1">
      <c r="A1065" s="2" t="s">
        <v>1065</v>
      </c>
      <c r="B1065" s="2" t="str">
        <f>IFERROR(__xludf.DUMMYFUNCTION("GOOGLETRANSLATE(A1065, ""en"", ""mt"")"),"Birefringence, pleochroism, ġemellaġġ, u proprjetajiet ta 'interferenza")</f>
        <v>Birefringence, pleochroism, ġemellaġġ, u proprjetajiet ta 'interferenza</v>
      </c>
    </row>
    <row r="1066" ht="15.75" customHeight="1">
      <c r="A1066" s="2" t="s">
        <v>1066</v>
      </c>
      <c r="B1066" s="2" t="str">
        <f>IFERROR(__xludf.DUMMYFUNCTION("GOOGLETRANSLATE(A1066, ""en"", ""mt"")"),"Id-dmirijiet professjonali ta 'għalliem jistgħu jestendu lil hinn mit-tagħlim formali. Barra mill-klassi l-għalliema jistgħu jakkumpanjaw lill-istudenti fuq vjaġġi fuq il-post, jissorveljaw is-swali ta 'studju, jgħinu fl-organizzazzjoni tal-funzjonijiet t"&amp;"al-iskola, u jservu bħala superviżuri għal attivitajiet extra-kurrikulari. F’xi sistemi edukattivi, l-għalliema jista ’jkollhom ir-responsabbiltà għad-dixxiplina tal-istudenti.")</f>
        <v>Id-dmirijiet professjonali ta 'għalliem jistgħu jestendu lil hinn mit-tagħlim formali. Barra mill-klassi l-għalliema jistgħu jakkumpanjaw lill-istudenti fuq vjaġġi fuq il-post, jissorveljaw is-swali ta 'studju, jgħinu fl-organizzazzjoni tal-funzjonijiet tal-iskola, u jservu bħala superviżuri għal attivitajiet extra-kurrikulari. F’xi sistemi edukattivi, l-għalliema jista ’jkollhom ir-responsabbiltà għad-dixxiplina tal-istudenti.</v>
      </c>
    </row>
    <row r="1067" ht="15.75" customHeight="1">
      <c r="A1067" s="2" t="s">
        <v>1067</v>
      </c>
      <c r="B1067" s="2" t="str">
        <f>IFERROR(__xludf.DUMMYFUNCTION("GOOGLETRANSLATE(A1067, ""en"", ""mt"")"),"Subordinati għall-konferenza ġenerali huma l-konferenzi ġurisdizzjonali u ċentrali li jiltaqgħu wkoll kull erba 'snin. L-Istati Uniti hija maqsuma f'ħames ġurisdizzjonijiet: il-grigal, ix-xlokk, iċ-ċentrali tat-tramuntana, iċ-ċentru tan-nofsinhar u l-pune"&amp;"nt. Barra l-Istati Uniti l-knisja hija maqsuma f’seba ’konferenzi ċentrali: l-Afrika, il-Kongo, l-Afrika tal-Punent, l-Ewropa Ċentrali u tan-Nofsinhar, il-Ġermanja, l-Ewropa tat-Tramuntana u l-Filippini. L-iskop ewlieni tal-ġurisdizzjonijiet u l-konferenz"&amp;"i ċentrali huwa li jeleġġi u jaħtru isqfijiet, l-amministraturi ewlenin tal-knisja. L-isqfijiet b'hekk eletti jservu żoni Episkopali, li jikkonsistu f'waħda jew aktar konferenzi annwali.")</f>
        <v>Subordinati għall-konferenza ġenerali huma l-konferenzi ġurisdizzjonali u ċentrali li jiltaqgħu wkoll kull erba 'snin. L-Istati Uniti hija maqsuma f'ħames ġurisdizzjonijiet: il-grigal, ix-xlokk, iċ-ċentrali tat-tramuntana, iċ-ċentru tan-nofsinhar u l-punent. Barra l-Istati Uniti l-knisja hija maqsuma f’seba ’konferenzi ċentrali: l-Afrika, il-Kongo, l-Afrika tal-Punent, l-Ewropa Ċentrali u tan-Nofsinhar, il-Ġermanja, l-Ewropa tat-Tramuntana u l-Filippini. L-iskop ewlieni tal-ġurisdizzjonijiet u l-konferenzi ċentrali huwa li jeleġġi u jaħtru isqfijiet, l-amministraturi ewlenin tal-knisja. L-isqfijiet b'hekk eletti jservu żoni Episkopali, li jikkonsistu f'waħda jew aktar konferenzi annwali.</v>
      </c>
    </row>
    <row r="1068" ht="15.75" customHeight="1">
      <c r="A1068" s="2" t="s">
        <v>1068</v>
      </c>
      <c r="B1068" s="2" t="str">
        <f>IFERROR(__xludf.DUMMYFUNCTION("GOOGLETRANSLATE(A1068, ""en"", ""mt"")"),"L-anzjani b'konnessjoni sħiħa huma kull membru ta 'xiex?")</f>
        <v>L-anzjani b'konnessjoni sħiħa huma kull membru ta 'xiex?</v>
      </c>
    </row>
    <row r="1069" ht="15.75" customHeight="1">
      <c r="A1069" s="2" t="s">
        <v>1069</v>
      </c>
      <c r="B1069" s="2" t="str">
        <f>IFERROR(__xludf.DUMMYFUNCTION("GOOGLETRANSLATE(A1069, ""en"", ""mt"")"),"X'inhu NSFNET")</f>
        <v>X'inhu NSFNET</v>
      </c>
    </row>
    <row r="1070" ht="15.75" customHeight="1">
      <c r="A1070" s="2" t="s">
        <v>1070</v>
      </c>
      <c r="B1070" s="2" t="str">
        <f>IFERROR(__xludf.DUMMYFUNCTION("GOOGLETRANSLATE(A1070, ""en"", ""mt"")"),"X'forma s-sena ta 'wara li ffurmaw in-nobbli Protestanti wara l-iffirmar tal-konfessjoni ta' Augsburg?")</f>
        <v>X'forma s-sena ta 'wara li ffurmaw in-nobbli Protestanti wara l-iffirmar tal-konfessjoni ta' Augsburg?</v>
      </c>
    </row>
    <row r="1071" ht="15.75" customHeight="1">
      <c r="A1071" s="2" t="s">
        <v>1071</v>
      </c>
      <c r="B1071" s="2" t="str">
        <f>IFERROR(__xludf.DUMMYFUNCTION("GOOGLETRANSLATE(A1071, ""en"", ""mt"")"),"Ma 'liema tip ta' diżabilità għalliem jgħin lil student?")</f>
        <v>Ma 'liema tip ta' diżabilità għalliem jgħin lil student?</v>
      </c>
    </row>
    <row r="1072" ht="15.75" customHeight="1">
      <c r="A1072" s="2" t="s">
        <v>1072</v>
      </c>
      <c r="B1072" s="2" t="str">
        <f>IFERROR(__xludf.DUMMYFUNCTION("GOOGLETRANSLATE(A1072, ""en"", ""mt"")"),"Ġnien Sassonu")</f>
        <v>Ġnien Sassonu</v>
      </c>
    </row>
    <row r="1073" ht="15.75" customHeight="1">
      <c r="A1073" s="2" t="s">
        <v>1073</v>
      </c>
      <c r="B1073" s="2" t="str">
        <f>IFERROR(__xludf.DUMMYFUNCTION("GOOGLETRANSLATE(A1073, ""en"", ""mt"")"),"Poteri Imperjali")</f>
        <v>Poteri Imperjali</v>
      </c>
    </row>
    <row r="1074" ht="15.75" customHeight="1">
      <c r="A1074" s="2" t="s">
        <v>1074</v>
      </c>
      <c r="B1074" s="2" t="str">
        <f>IFERROR(__xludf.DUMMYFUNCTION("GOOGLETRANSLATE(A1074, ""en"", ""mt"")"),"Għaliex il-Luterani moderni waqfu jużaw l-innu?")</f>
        <v>Għaliex il-Luterani moderni waqfu jużaw l-innu?</v>
      </c>
    </row>
    <row r="1075" ht="15.75" customHeight="1">
      <c r="A1075" s="2" t="s">
        <v>1075</v>
      </c>
      <c r="B1075" s="2" t="str">
        <f>IFERROR(__xludf.DUMMYFUNCTION("GOOGLETRANSLATE(A1075, ""en"", ""mt"")"),"Librerija tal-Kungress tal-Istati Uniti")</f>
        <v>Librerija tal-Kungress tal-Istati Uniti</v>
      </c>
    </row>
    <row r="1076" ht="15.75" customHeight="1">
      <c r="A1076" s="2" t="s">
        <v>1076</v>
      </c>
      <c r="B1076" s="2" t="str">
        <f>IFERROR(__xludf.DUMMYFUNCTION("GOOGLETRANSLATE(A1076, ""en"", ""mt"")"),"Skond it-teorema ta 'Fermat, liema perjodu 1 / P dejjem jassumi li P huwa prim li mhux 2 jew 5?")</f>
        <v>Skond it-teorema ta 'Fermat, liema perjodu 1 / P dejjem jassumi li P huwa prim li mhux 2 jew 5?</v>
      </c>
    </row>
    <row r="1077" ht="15.75" customHeight="1">
      <c r="A1077" s="2" t="s">
        <v>1077</v>
      </c>
      <c r="B1077" s="2" t="str">
        <f>IFERROR(__xludf.DUMMYFUNCTION("GOOGLETRANSLATE(A1077, ""en"", ""mt"")"),"estiż")</f>
        <v>estiż</v>
      </c>
    </row>
    <row r="1078" ht="15.75" customHeight="1">
      <c r="A1078" s="2" t="s">
        <v>1078</v>
      </c>
      <c r="B1078" s="2" t="str">
        <f>IFERROR(__xludf.DUMMYFUNCTION("GOOGLETRANSLATE(A1078, ""en"", ""mt"")"),"etajiet assoluti")</f>
        <v>etajiet assoluti</v>
      </c>
    </row>
    <row r="1079" ht="15.75" customHeight="1">
      <c r="A1079" s="2" t="s">
        <v>1079</v>
      </c>
      <c r="B1079" s="2" t="str">
        <f>IFERROR(__xludf.DUMMYFUNCTION("GOOGLETRANSLATE(A1079, ""en"", ""mt"")"),"Tkabbir tas-siġar")</f>
        <v>Tkabbir tas-siġar</v>
      </c>
    </row>
    <row r="1080" ht="15.75" customHeight="1">
      <c r="A1080" s="2" t="s">
        <v>1080</v>
      </c>
      <c r="B1080" s="2" t="str">
        <f>IFERROR(__xludf.DUMMYFUNCTION("GOOGLETRANSLATE(A1080, ""en"", ""mt"")"),"F'liema intervall huma wħud mill-ikbar primes mingħajr forma distinta skoperta?")</f>
        <v>F'liema intervall huma wħud mill-ikbar primes mingħajr forma distinta skoperta?</v>
      </c>
    </row>
    <row r="1081" ht="15.75" customHeight="1">
      <c r="A1081" s="2" t="s">
        <v>1081</v>
      </c>
      <c r="B1081" s="2" t="str">
        <f>IFERROR(__xludf.DUMMYFUNCTION("GOOGLETRANSLATE(A1081, ""en"", ""mt"")"),"Fejn imorru ħafna negozjanti u esploraturi?")</f>
        <v>Fejn imorru ħafna negozjanti u esploraturi?</v>
      </c>
    </row>
    <row r="1082" ht="15.75" customHeight="1">
      <c r="A1082" s="2" t="s">
        <v>1082</v>
      </c>
      <c r="B1082" s="2" t="str">
        <f>IFERROR(__xludf.DUMMYFUNCTION("GOOGLETRANSLATE(A1082, ""en"", ""mt"")"),"Kemm kienet twila Tesla?")</f>
        <v>Kemm kienet twila Tesla?</v>
      </c>
    </row>
    <row r="1083" ht="15.75" customHeight="1">
      <c r="A1083" s="2" t="s">
        <v>1083</v>
      </c>
      <c r="B1083" s="2" t="str">
        <f>IFERROR(__xludf.DUMMYFUNCTION("GOOGLETRANSLATE(A1083, ""en"", ""mt"")"),"Teorija tad-Dinja")</f>
        <v>Teorija tad-Dinja</v>
      </c>
    </row>
    <row r="1084" ht="15.75" customHeight="1">
      <c r="A1084" s="2" t="s">
        <v>1084</v>
      </c>
      <c r="B1084" s="2" t="str">
        <f>IFERROR(__xludf.DUMMYFUNCTION("GOOGLETRANSLATE(A1084, ""en"", ""mt"")"),"OAPEC ipproklama l-embargo li trażżan l-esportazzjonijiet lejn diversi pajjiżi u imblukkat il-kunsinni kollha taż-żejt lejn l-Istati Uniti bħala ""pajjiż ostili prinċipali")</f>
        <v>OAPEC ipproklama l-embargo li trażżan l-esportazzjonijiet lejn diversi pajjiżi u imblukkat il-kunsinni kollha taż-żejt lejn l-Istati Uniti bħala "pajjiż ostili prinċipali</v>
      </c>
    </row>
    <row r="1085" ht="15.75" customHeight="1">
      <c r="A1085" s="2" t="s">
        <v>1085</v>
      </c>
      <c r="B1085" s="2" t="str">
        <f>IFERROR(__xludf.DUMMYFUNCTION("GOOGLETRANSLATE(A1085, ""en"", ""mt"")"),"Duttrina ta 'trans-startjazzjoni matul il-massa")</f>
        <v>Duttrina ta 'trans-startjazzjoni matul il-massa</v>
      </c>
    </row>
    <row r="1086" ht="15.75" customHeight="1">
      <c r="A1086" s="2" t="s">
        <v>1086</v>
      </c>
      <c r="B1086" s="2" t="str">
        <f>IFERROR(__xludf.DUMMYFUNCTION("GOOGLETRANSLATE(A1086, ""en"", ""mt"")"),"X'tip ta 'ideali jiġġeneralizzaw elementi ewlenin?")</f>
        <v>X'tip ta 'ideali jiġġeneralizzaw elementi ewlenin?</v>
      </c>
    </row>
    <row r="1087" ht="15.75" customHeight="1">
      <c r="A1087" s="2" t="s">
        <v>1087</v>
      </c>
      <c r="B1087" s="2" t="str">
        <f>IFERROR(__xludf.DUMMYFUNCTION("GOOGLETRANSLATE(A1087, ""en"", ""mt"")"),"enżimi")</f>
        <v>enżimi</v>
      </c>
    </row>
    <row r="1088" ht="15.75" customHeight="1">
      <c r="A1088" s="2" t="s">
        <v>1088</v>
      </c>
      <c r="B1088" s="2" t="str">
        <f>IFERROR(__xludf.DUMMYFUNCTION("GOOGLETRANSLATE(A1088, ""en"", ""mt"")"),"Il-Knisja Metodista Magħquda ssostni li l-gwerra hija inkompatibbli mal-messaġġ u t-tagħlim ta ’Kristu. Għalhekk, il-knisja tirrifjuta l-gwerra bħala strument tal-politika barranija nazzjonali, li għandha tkun impjegata biss bħala l-aħħar rimedju fil-prev"&amp;"enzjoni ta 'ħażen bħal ġenoċidju, soppressjoni brutali tad-drittijiet tal-bniedem, u aggressjoni internazzjonali mhux provokata. Dan jinsisti li l-ewwel dmir morali tan-nazzjonijiet kollha huwa li ssolvi b'mezzi paċifiċi li tinqala 'bejn jew bejniethom; l"&amp;"i l-valuri umani għandhom jiżbqu t-talbiet militari hekk kif il-gvernijiet jiddeterminaw il-prijoritajiet tagħhom; li l-militarizzazzjoni tas-soċjetà trid tiġi kkontestata u waqfet; li l-manifattura, il-bejgħ, u l-iskjerament ta 'armamenti għandhom jitnaq"&amp;"qsu u jiġu kkontrollati; u li l-produzzjoni, il-pussess, jew l-użu ta 'armi nukleari jiġu kkundannati. Konsegwentement, il-Knisja Metodista Magħquda tapprova diżarm ġenerali u komplet taħt kontroll internazzjonali strett u effettiv.")</f>
        <v>Il-Knisja Metodista Magħquda ssostni li l-gwerra hija inkompatibbli mal-messaġġ u t-tagħlim ta ’Kristu. Għalhekk, il-knisja tirrifjuta l-gwerra bħala strument tal-politika barranija nazzjonali, li għandha tkun impjegata biss bħala l-aħħar rimedju fil-prevenzjoni ta 'ħażen bħal ġenoċidju, soppressjoni brutali tad-drittijiet tal-bniedem, u aggressjoni internazzjonali mhux provokata. Dan jinsisti li l-ewwel dmir morali tan-nazzjonijiet kollha huwa li ssolvi b'mezzi paċifiċi li tinqala 'bejn jew bejniethom; li l-valuri umani għandhom jiżbqu t-talbiet militari hekk kif il-gvernijiet jiddeterminaw il-prijoritajiet tagħhom; li l-militarizzazzjoni tas-soċjetà trid tiġi kkontestata u waqfet; li l-manifattura, il-bejgħ, u l-iskjerament ta 'armamenti għandhom jitnaqqsu u jiġu kkontrollati; u li l-produzzjoni, il-pussess, jew l-użu ta 'armi nukleari jiġu kkundannati. Konsegwentement, il-Knisja Metodista Magħquda tapprova diżarm ġenerali u komplet taħt kontroll internazzjonali strett u effettiv.</v>
      </c>
    </row>
    <row r="1089" ht="15.75" customHeight="1">
      <c r="A1089" s="2" t="s">
        <v>1089</v>
      </c>
      <c r="B1089" s="2" t="str">
        <f>IFERROR(__xludf.DUMMYFUNCTION("GOOGLETRANSLATE(A1089, ""en"", ""mt"")"),"Il-Professur Moriarty għall-Sherlock Holmes tat-Tabib")</f>
        <v>Il-Professur Moriarty għall-Sherlock Holmes tat-Tabib</v>
      </c>
    </row>
    <row r="1090" ht="15.75" customHeight="1">
      <c r="A1090" s="2" t="s">
        <v>1090</v>
      </c>
      <c r="B1090" s="2" t="str">
        <f>IFERROR(__xludf.DUMMYFUNCTION("GOOGLETRANSLATE(A1090, ""en"", ""mt"")"),"Min għamel l-għajnuna taż-żieda tal-wan fil-kummerċ?")</f>
        <v>Min għamel l-għajnuna taż-żieda tal-wan fil-kummerċ?</v>
      </c>
    </row>
    <row r="1091" ht="15.75" customHeight="1">
      <c r="A1091" s="2" t="s">
        <v>1091</v>
      </c>
      <c r="B1091" s="2" t="str">
        <f>IFERROR(__xludf.DUMMYFUNCTION("GOOGLETRANSLATE(A1091, ""en"", ""mt"")"),"Fiduċja l-Kelma ta ’Alla")</f>
        <v>Fiduċja l-Kelma ta ’Alla</v>
      </c>
    </row>
    <row r="1092" ht="15.75" customHeight="1">
      <c r="A1092" s="2" t="s">
        <v>1092</v>
      </c>
      <c r="B1092" s="2" t="str">
        <f>IFERROR(__xludf.DUMMYFUNCTION("GOOGLETRANSLATE(A1092, ""en"", ""mt"")"),"Ħafna kumpaniji tal-kostruzzjoni issa qed ipoġġu aktar enfasi fuq xiex?")</f>
        <v>Ħafna kumpaniji tal-kostruzzjoni issa qed ipoġġu aktar enfasi fuq xiex?</v>
      </c>
    </row>
    <row r="1093" ht="15.75" customHeight="1">
      <c r="A1093" s="2" t="s">
        <v>1093</v>
      </c>
      <c r="B1093" s="2" t="str">
        <f>IFERROR(__xludf.DUMMYFUNCTION("GOOGLETRANSLATE(A1093, ""en"", ""mt"")"),"F’liema ktieb iddeskriviet Betty Meggers li l-idea tal-Amażonja kienet popolata ftit?")</f>
        <v>F’liema ktieb iddeskriviet Betty Meggers li l-idea tal-Amażonja kienet popolata ftit?</v>
      </c>
    </row>
    <row r="1094" ht="15.75" customHeight="1">
      <c r="A1094" s="2" t="s">
        <v>1094</v>
      </c>
      <c r="B1094" s="2" t="str">
        <f>IFERROR(__xludf.DUMMYFUNCTION("GOOGLETRANSLATE(A1094, ""en"", ""mt"")"),"X’kontribwixxa għas-severità tal-pesta?")</f>
        <v>X’kontribwixxa għas-severità tal-pesta?</v>
      </c>
    </row>
    <row r="1095" ht="15.75" customHeight="1">
      <c r="A1095" s="2" t="s">
        <v>1095</v>
      </c>
      <c r="B1095" s="2" t="str">
        <f>IFERROR(__xludf.DUMMYFUNCTION("GOOGLETRANSLATE(A1095, ""en"", ""mt"")"),"Ir-Renu huwa l-itwal xmara fil-Ġermanja. Huwa hawn li r-Rhine jiltaqa 'ma' xi tributarji ewlenin tiegħu, bħalma huma l-Neckar, il-Main u, aktar tard, il-Moselle, li tikkontribwixxi kwittanza medja ta 'aktar minn 300 m3 / s (11,000 cu ft / s). Franza fil-g"&amp;"rigal tiskula lejn ir-Renu permezz tal-Moselle; Xmajjar iżgħar ixxotta l-vosges u l-muntanji tal-ġura. Il-biċċa l-kbira tal-Lussemburgu u parti żgħira ħafna tal-Belġju wkoll ixxotta lejn ir-Renu permezz tal-Moselle. Hekk kif tersaq lejn il-fruntiera Oland"&amp;"iża, ir-Rhine għandu rilaxx medju annwali ta '2,290 m3 / s (81,000 cu ft / s) u wisa' medja ta '400 m (1,300 ft).")</f>
        <v>Ir-Renu huwa l-itwal xmara fil-Ġermanja. Huwa hawn li r-Rhine jiltaqa 'ma' xi tributarji ewlenin tiegħu, bħalma huma l-Neckar, il-Main u, aktar tard, il-Moselle, li tikkontribwixxi kwittanza medja ta 'aktar minn 300 m3 / s (11,000 cu ft / s). Franza fil-grigal tiskula lejn ir-Renu permezz tal-Moselle; Xmajjar iżgħar ixxotta l-vosges u l-muntanji tal-ġura. Il-biċċa l-kbira tal-Lussemburgu u parti żgħira ħafna tal-Belġju wkoll ixxotta lejn ir-Renu permezz tal-Moselle. Hekk kif tersaq lejn il-fruntiera Olandiża, ir-Rhine għandu rilaxx medju annwali ta '2,290 m3 / s (81,000 cu ft / s) u wisa' medja ta '400 m (1,300 ft).</v>
      </c>
    </row>
    <row r="1096" ht="15.75" customHeight="1">
      <c r="A1096" s="2" t="s">
        <v>1096</v>
      </c>
      <c r="B1096" s="2" t="str">
        <f>IFERROR(__xludf.DUMMYFUNCTION("GOOGLETRANSLATE(A1096, ""en"", ""mt"")"),"Teorema fundamentali tal-aritmetika")</f>
        <v>Teorema fundamentali tal-aritmetika</v>
      </c>
    </row>
    <row r="1097" ht="15.75" customHeight="1">
      <c r="A1097" s="2" t="s">
        <v>1097</v>
      </c>
      <c r="B1097" s="2" t="str">
        <f>IFERROR(__xludf.DUMMYFUNCTION("GOOGLETRANSLATE(A1097, ""en"", ""mt"")"),"Metodu li jalloka minn qabel il-wisa 'tal-banda tan-netwerk iddedikat")</f>
        <v>Metodu li jalloka minn qabel il-wisa 'tal-banda tan-netwerk iddedikat</v>
      </c>
    </row>
    <row r="1098" ht="15.75" customHeight="1">
      <c r="A1098" s="2" t="s">
        <v>1098</v>
      </c>
      <c r="B1098" s="2" t="str">
        <f>IFERROR(__xludf.DUMMYFUNCTION("GOOGLETRANSLATE(A1098, ""en"", ""mt"")"),"Mediċini aktar speċjalizzati")</f>
        <v>Mediċini aktar speċjalizzati</v>
      </c>
    </row>
    <row r="1099" ht="15.75" customHeight="1">
      <c r="A1099" s="2" t="s">
        <v>1099</v>
      </c>
      <c r="B1099" s="2" t="str">
        <f>IFERROR(__xludf.DUMMYFUNCTION("GOOGLETRANSLATE(A1099, ""en"", ""mt"")"),"In-natura li tista 'tinqata' tal-ħaddiem")</f>
        <v>In-natura li tista 'tinqata' tal-ħaddiem</v>
      </c>
    </row>
    <row r="1100" ht="15.75" customHeight="1">
      <c r="A1100" s="2" t="s">
        <v>1100</v>
      </c>
      <c r="B1100" s="2" t="str">
        <f>IFERROR(__xludf.DUMMYFUNCTION("GOOGLETRANSLATE(A1100, ""en"", ""mt"")"),"Fejn kien midfun Genghis Khan?")</f>
        <v>Fejn kien midfun Genghis Khan?</v>
      </c>
    </row>
    <row r="1101" ht="15.75" customHeight="1">
      <c r="A1101" s="2" t="s">
        <v>1101</v>
      </c>
      <c r="B1101" s="2" t="str">
        <f>IFERROR(__xludf.DUMMYFUNCTION("GOOGLETRANSLATE(A1101, ""en"", ""mt"")"),"X'inhu t-terminu metrika inqas użat minn Newton?")</f>
        <v>X'inhu t-terminu metrika inqas użat minn Newton?</v>
      </c>
    </row>
    <row r="1102" ht="15.75" customHeight="1">
      <c r="A1102" s="2" t="s">
        <v>1102</v>
      </c>
      <c r="B1102" s="2" t="str">
        <f>IFERROR(__xludf.DUMMYFUNCTION("GOOGLETRANSLATE(A1102, ""en"", ""mt"")"),"Missier")</f>
        <v>Missier</v>
      </c>
    </row>
    <row r="1103" ht="15.75" customHeight="1">
      <c r="A1103" s="2" t="s">
        <v>1103</v>
      </c>
      <c r="B1103" s="2" t="str">
        <f>IFERROR(__xludf.DUMMYFUNCTION("GOOGLETRANSLATE(A1103, ""en"", ""mt"")"),"Format tal-Kungress u ħafna speċifiċi tal-pjan saru l-prototip għall-Konfederazzjoni matul il-Gwerra tal-Indipendenza")</f>
        <v>Format tal-Kungress u ħafna speċifiċi tal-pjan saru l-prototip għall-Konfederazzjoni matul il-Gwerra tal-Indipendenza</v>
      </c>
    </row>
    <row r="1104" ht="15.75" customHeight="1">
      <c r="A1104" s="2" t="s">
        <v>1104</v>
      </c>
      <c r="B1104" s="2" t="str">
        <f>IFERROR(__xludf.DUMMYFUNCTION("GOOGLETRANSLATE(A1104, ""en"", ""mt"")"),"Fejn twaqqaf assemblea eletta, skont it-termini tal-Att tal-Iskozja tal-1978?")</f>
        <v>Fejn twaqqaf assemblea eletta, skont it-termini tal-Att tal-Iskozja tal-1978?</v>
      </c>
    </row>
    <row r="1105" ht="15.75" customHeight="1">
      <c r="A1105" s="2" t="s">
        <v>1105</v>
      </c>
      <c r="B1105" s="2" t="str">
        <f>IFERROR(__xludf.DUMMYFUNCTION("GOOGLETRANSLATE(A1105, ""en"", ""mt"")"),"X'kienet it-telespettatur nazzjonali ta 'ABC fl-1958?")</f>
        <v>X'kienet it-telespettatur nazzjonali ta 'ABC fl-1958?</v>
      </c>
    </row>
    <row r="1106" ht="15.75" customHeight="1">
      <c r="A1106" s="2" t="s">
        <v>1106</v>
      </c>
      <c r="B1106" s="2" t="str">
        <f>IFERROR(__xludf.DUMMYFUNCTION("GOOGLETRANSLATE(A1106, ""en"", ""mt"")"),"Il-kolonizzaturi Ingliżi qabżu l-20 sa 1 Franċiżi b'popolazzjoni ta 'madwar 1.5 miljun varjaw tul il-kosta tal-Lvant tal-kontinent, minn Nova Scotia u Newfoundland fit-tramuntana, lejn il-Ġeorġja fin-nofsinhar. Ħafna mill-kolonji anzjani kellhom talbiet f"&amp;"uq l-art li estendew b'mod arbitrarju 'l bogħod lejn il-punent, peress li l-firxa tal-kontinent ma kinitx magħrufa fiż-żmien li ngħataw il-karti provinċjali tagħhom. Filwaqt li ċ-ċentri tal-popolazzjoni tagħhom kienu tul il-kosta, l-insedjamenti kienu qed"&amp;" jikbru fl-intern. In-Nova Scotia, li kienet inqabdet minn Franza fl-1713, xorta kellha popolazzjoni sinifikanti li titkellem bil-Franċiż. Il-Gran Brittanja ddikjarat ukoll l-art ta ’Rupert, fejn il-Kumpanija tal-Bajja ta’ Hudson innegozjat għall-pil ma ’"&amp;"tribujiet lokali.")</f>
        <v>Il-kolonizzaturi Ingliżi qabżu l-20 sa 1 Franċiżi b'popolazzjoni ta 'madwar 1.5 miljun varjaw tul il-kosta tal-Lvant tal-kontinent, minn Nova Scotia u Newfoundland fit-tramuntana, lejn il-Ġeorġja fin-nofsinhar. Ħafna mill-kolonji anzjani kellhom talbiet fuq l-art li estendew b'mod arbitrarju 'l bogħod lejn il-punent, peress li l-firxa tal-kontinent ma kinitx magħrufa fiż-żmien li ngħataw il-karti provinċjali tagħhom. Filwaqt li ċ-ċentri tal-popolazzjoni tagħhom kienu tul il-kosta, l-insedjamenti kienu qed jikbru fl-intern. In-Nova Scotia, li kienet inqabdet minn Franza fl-1713, xorta kellha popolazzjoni sinifikanti li titkellem bil-Franċiż. Il-Gran Brittanja ddikjarat ukoll l-art ta ’Rupert, fejn il-Kumpanija tal-Bajja ta’ Hudson innegozjat għall-pil ma ’tribujiet lokali.</v>
      </c>
    </row>
    <row r="1107" ht="15.75" customHeight="1">
      <c r="A1107" s="2" t="s">
        <v>1107</v>
      </c>
      <c r="B1107" s="2" t="str">
        <f>IFERROR(__xludf.DUMMYFUNCTION("GOOGLETRANSLATE(A1107, ""en"", ""mt"")"),"X’sar is-sigriet għat-tkabbir ekonomiku?")</f>
        <v>X’sar is-sigriet għat-tkabbir ekonomiku?</v>
      </c>
    </row>
    <row r="1108" ht="15.75" customHeight="1">
      <c r="A1108" s="2" t="s">
        <v>1108</v>
      </c>
      <c r="B1108" s="2" t="str">
        <f>IFERROR(__xludf.DUMMYFUNCTION("GOOGLETRANSLATE(A1108, ""en"", ""mt"")"),"L-aħħar vjaġġ ta 'Luther, lejn Mansfeld, ittieħed minħabba t-tħassib tiegħu għall-familji ta' aħwa tiegħu li jkomplu fil-kummerċ tal-minjieri tar-ram ta 'missierhom Hans Luther. L-għajxien tagħhom kien mhedded mill-Konti Albrecht ta ’Mansfeld li ġab l-ind"&amp;"ustrija taħt il-kontroll tiegħu stess. Il-kontroversja li rriżultat kienet tinvolvi l-erba 'għadd ta' Mansfeld: Albrecht, Philip, John George, u Gerhard. Luther ivvjaġġa lejn Mansfeld darbtejn fl-1545 tard biex jipparteċipa fin-negozjati għal ftehim, u ki"&amp;"enet meħtieġa t-tielet żjara fil-bidu tal-1546 għat-tlestija tagħhom.")</f>
        <v>L-aħħar vjaġġ ta 'Luther, lejn Mansfeld, ittieħed minħabba t-tħassib tiegħu għall-familji ta' aħwa tiegħu li jkomplu fil-kummerċ tal-minjieri tar-ram ta 'missierhom Hans Luther. L-għajxien tagħhom kien mhedded mill-Konti Albrecht ta ’Mansfeld li ġab l-industrija taħt il-kontroll tiegħu stess. Il-kontroversja li rriżultat kienet tinvolvi l-erba 'għadd ta' Mansfeld: Albrecht, Philip, John George, u Gerhard. Luther ivvjaġġa lejn Mansfeld darbtejn fl-1545 tard biex jipparteċipa fin-negozjati għal ftehim, u kienet meħtieġa t-tielet żjara fil-bidu tal-1546 għat-tlestija tagħhom.</v>
      </c>
    </row>
    <row r="1109" ht="15.75" customHeight="1">
      <c r="A1109" s="2" t="s">
        <v>1109</v>
      </c>
      <c r="B1109" s="2" t="str">
        <f>IFERROR(__xludf.DUMMYFUNCTION("GOOGLETRANSLATE(A1109, ""en"", ""mt"")"),"Xi jfisser Mark U. Edwards bħala kawża possibbli ta 'l-antisemitiżmu ta' Luther?")</f>
        <v>Xi jfisser Mark U. Edwards bħala kawża possibbli ta 'l-antisemitiżmu ta' Luther?</v>
      </c>
    </row>
    <row r="1110" ht="15.75" customHeight="1">
      <c r="A1110" s="2" t="s">
        <v>1110</v>
      </c>
      <c r="B1110" s="2" t="str">
        <f>IFERROR(__xludf.DUMMYFUNCTION("GOOGLETRANSLATE(A1110, ""en"", ""mt"")"),"ir-raba 'sessjoni")</f>
        <v>ir-raba 'sessjoni</v>
      </c>
    </row>
    <row r="1111" ht="15.75" customHeight="1">
      <c r="A1111" s="2" t="s">
        <v>1111</v>
      </c>
      <c r="B1111" s="2" t="str">
        <f>IFERROR(__xludf.DUMMYFUNCTION("GOOGLETRANSLATE(A1111, ""en"", ""mt"")"),"Salvazzjoni bil-grazzja ta ’Alla")</f>
        <v>Salvazzjoni bil-grazzja ta ’Alla</v>
      </c>
    </row>
    <row r="1112" ht="15.75" customHeight="1">
      <c r="A1112" s="2" t="s">
        <v>1112</v>
      </c>
      <c r="B1112" s="2" t="str">
        <f>IFERROR(__xludf.DUMMYFUNCTION("GOOGLETRANSLATE(A1112, ""en"", ""mt"")"),"Firenze, l-Italja")</f>
        <v>Firenze, l-Italja</v>
      </c>
    </row>
    <row r="1113" ht="15.75" customHeight="1">
      <c r="A1113" s="2" t="s">
        <v>1113</v>
      </c>
      <c r="B1113" s="2" t="str">
        <f>IFERROR(__xludf.DUMMYFUNCTION("GOOGLETRANSLATE(A1113, ""en"", ""mt"")"),"It-tul tar-Rhine huwa mkejjel b'mod konvenzjonali f '""Rhine-Kilometri"" (Rheinkilometer), skala introdotta fl-1939 li tmur mill-Old Rhine Bridge f'Constance (0 km) għal Hoek van Holland (1036.20 km). It-tul tax-xmara huwa mqassar b'mod sinifikanti mill-k"&amp;"ors naturali tax-xmara minħabba numru ta 'proġetti ta' kanalizzazzjoni kompluti fis-seklu 19 u 20 diffiċli biex titkejjel b'mod oġġettiv; Ġie kkwotat bħala 1,232 kilometru (766 mil) mir-Rijkswaterstaat Olandiż fl-2010. [Nota 1]")</f>
        <v>It-tul tar-Rhine huwa mkejjel b'mod konvenzjonali f '"Rhine-Kilometri" (Rheinkilometer), skala introdotta fl-1939 li tmur mill-Old Rhine Bridge f'Constance (0 km) għal Hoek van Holland (1036.20 km). It-tul tax-xmara huwa mqassar b'mod sinifikanti mill-kors naturali tax-xmara minħabba numru ta 'proġetti ta' kanalizzazzjoni kompluti fis-seklu 19 u 20 diffiċli biex titkejjel b'mod oġġettiv; Ġie kkwotat bħala 1,232 kilometru (766 mil) mir-Rijkswaterstaat Olandiż fl-2010. [Nota 1]</v>
      </c>
    </row>
    <row r="1114" ht="15.75" customHeight="1">
      <c r="A1114" s="2" t="s">
        <v>1114</v>
      </c>
      <c r="B1114" s="2" t="str">
        <f>IFERROR(__xludf.DUMMYFUNCTION("GOOGLETRANSLATE(A1114, ""en"", ""mt"")"),"Interazzjonijiet potenzjali tal-mediċina, reazzjonijiet avversi għall-mediċina")</f>
        <v>Interazzjonijiet potenzjali tal-mediċina, reazzjonijiet avversi għall-mediċina</v>
      </c>
    </row>
    <row r="1115" ht="15.75" customHeight="1">
      <c r="A1115" s="2" t="s">
        <v>1115</v>
      </c>
      <c r="B1115" s="2" t="str">
        <f>IFERROR(__xludf.DUMMYFUNCTION("GOOGLETRANSLATE(A1115, ""en"", ""mt"")"),"Nofs il-Faħam")</f>
        <v>Nofs il-Faħam</v>
      </c>
    </row>
    <row r="1116" ht="15.75" customHeight="1">
      <c r="A1116" s="2" t="s">
        <v>1116</v>
      </c>
      <c r="B1116" s="2" t="str">
        <f>IFERROR(__xludf.DUMMYFUNCTION("GOOGLETRANSLATE(A1116, ""en"", ""mt"")"),"Irqajja tal-ġilda vjola")</f>
        <v>Irqajja tal-ġilda vjola</v>
      </c>
    </row>
    <row r="1117" ht="15.75" customHeight="1">
      <c r="A1117" s="2" t="s">
        <v>1117</v>
      </c>
      <c r="B1117" s="2" t="str">
        <f>IFERROR(__xludf.DUMMYFUNCTION("GOOGLETRANSLATE(A1117, ""en"", ""mt"")"),"Is-suċċessjoni ta 'Genghis Khan kienet diġà suġġett sinifikanti matul is-snin ta' wara tar-renju tiegħu, hekk kif wasal fix-xjuħija. Id-diskussjoni fit-tul tal-paternità dwar l-eqdem tifel ta 'Genghis Jochi kienet partikolarment kontenzjuża minħabba l-anz"&amp;"janità ta' Jochi fost l-aħwa. Skond il-kontijiet storiċi tradizzjonali, il-kwistjoni fuq il-paternità ta 'Jochi ġiet imfissra bl-iktar mod qawwi minn Chagatai. Fl-istorja sigrieta tal-Mongoli, eżatt qabel l-invażjoni tal-Imperu Khwarezmid minn Genghis Kha"&amp;"n, Chagatai ddikjara quddiem missieru u aħwa li hu qatt ma jaċċetta lil Jochi bħala s-suċċessur ta 'Genghis Khan. Bi tweġiba għal din it-tensjoni, u possibbilment għal raġunijiet oħra, Ögedei ġie maħtur bħala suċċessur.")</f>
        <v>Is-suċċessjoni ta 'Genghis Khan kienet diġà suġġett sinifikanti matul is-snin ta' wara tar-renju tiegħu, hekk kif wasal fix-xjuħija. Id-diskussjoni fit-tul tal-paternità dwar l-eqdem tifel ta 'Genghis Jochi kienet partikolarment kontenzjuża minħabba l-anzjanità ta' Jochi fost l-aħwa. Skond il-kontijiet storiċi tradizzjonali, il-kwistjoni fuq il-paternità ta 'Jochi ġiet imfissra bl-iktar mod qawwi minn Chagatai. Fl-istorja sigrieta tal-Mongoli, eżatt qabel l-invażjoni tal-Imperu Khwarezmid minn Genghis Khan, Chagatai ddikjara quddiem missieru u aħwa li hu qatt ma jaċċetta lil Jochi bħala s-suċċessur ta 'Genghis Khan. Bi tweġiba għal din it-tensjoni, u possibbilment għal raġunijiet oħra, Ögedei ġie maħtur bħala suċċessur.</v>
      </c>
    </row>
    <row r="1118" ht="15.75" customHeight="1">
      <c r="A1118" s="2" t="s">
        <v>1118</v>
      </c>
      <c r="B1118" s="2" t="str">
        <f>IFERROR(__xludf.DUMMYFUNCTION("GOOGLETRANSLATE(A1118, ""en"", ""mt"")"),"ċittadin")</f>
        <v>ċittadin</v>
      </c>
    </row>
    <row r="1119" ht="15.75" customHeight="1">
      <c r="A1119" s="2" t="s">
        <v>1119</v>
      </c>
      <c r="B1119" s="2" t="str">
        <f>IFERROR(__xludf.DUMMYFUNCTION("GOOGLETRANSLATE(A1119, ""en"", ""mt"")"),"Ħin ta 'Cambrian")</f>
        <v>Ħin ta 'Cambrian</v>
      </c>
    </row>
    <row r="1120" ht="15.75" customHeight="1">
      <c r="A1120" s="2" t="s">
        <v>1120</v>
      </c>
      <c r="B1120" s="2" t="str">
        <f>IFERROR(__xludf.DUMMYFUNCTION("GOOGLETRANSLATE(A1120, ""en"", ""mt"")"),"paċi")</f>
        <v>paċi</v>
      </c>
    </row>
    <row r="1121" ht="15.75" customHeight="1">
      <c r="A1121" s="2" t="s">
        <v>1121</v>
      </c>
      <c r="B1121" s="2" t="str">
        <f>IFERROR(__xludf.DUMMYFUNCTION("GOOGLETRANSLATE(A1121, ""en"", ""mt"")"),"170 biljun")</f>
        <v>170 biljun</v>
      </c>
    </row>
    <row r="1122" ht="15.75" customHeight="1">
      <c r="A1122" s="2" t="s">
        <v>1122</v>
      </c>
      <c r="B1122" s="2" t="str">
        <f>IFERROR(__xludf.DUMMYFUNCTION("GOOGLETRANSLATE(A1122, ""en"", ""mt"")"),"żdied b'mod sinifikanti")</f>
        <v>żdied b'mod sinifikanti</v>
      </c>
    </row>
    <row r="1123" ht="15.75" customHeight="1">
      <c r="A1123" s="2" t="s">
        <v>1123</v>
      </c>
      <c r="B1123" s="2" t="str">
        <f>IFERROR(__xludf.DUMMYFUNCTION("GOOGLETRANSLATE(A1123, ""en"", ""mt"")"),"Biss nies qaddisa essenzjalment")</f>
        <v>Biss nies qaddisa essenzjalment</v>
      </c>
    </row>
    <row r="1124" ht="15.75" customHeight="1">
      <c r="A1124" s="2" t="s">
        <v>1124</v>
      </c>
      <c r="B1124" s="2" t="str">
        <f>IFERROR(__xludf.DUMMYFUNCTION("GOOGLETRANSLATE(A1124, ""en"", ""mt"")"),"Battlestar Galactica u Mara Bionic")</f>
        <v>Battlestar Galactica u Mara Bionic</v>
      </c>
    </row>
    <row r="1125" ht="15.75" customHeight="1">
      <c r="A1125" s="2" t="s">
        <v>1125</v>
      </c>
      <c r="B1125" s="2" t="str">
        <f>IFERROR(__xludf.DUMMYFUNCTION("GOOGLETRANSLATE(A1125, ""en"", ""mt"")"),"Letteratura voluminuża")</f>
        <v>Letteratura voluminuża</v>
      </c>
    </row>
    <row r="1126" ht="15.75" customHeight="1">
      <c r="A1126" s="2" t="s">
        <v>1126</v>
      </c>
      <c r="B1126" s="2" t="str">
        <f>IFERROR(__xludf.DUMMYFUNCTION("GOOGLETRANSLATE(A1126, ""en"", ""mt"")"),"Kemm hemm oġġetti permanenti hemm?")</f>
        <v>Kemm hemm oġġetti permanenti hemm?</v>
      </c>
    </row>
    <row r="1127" ht="15.75" customHeight="1">
      <c r="A1127" s="2" t="s">
        <v>1127</v>
      </c>
      <c r="B1127" s="2" t="str">
        <f>IFERROR(__xludf.DUMMYFUNCTION("GOOGLETRANSLATE(A1127, ""en"", ""mt"")"),"Bejn madwar l-1964 u l-1973")</f>
        <v>Bejn madwar l-1964 u l-1973</v>
      </c>
    </row>
    <row r="1128" ht="15.75" customHeight="1">
      <c r="A1128" s="2" t="s">
        <v>1128</v>
      </c>
      <c r="B1128" s="2" t="str">
        <f>IFERROR(__xludf.DUMMYFUNCTION("GOOGLETRANSLATE(A1128, ""en"", ""mt"")"),"""Ħin ta 'Deċiżjoni""")</f>
        <v>"Ħin ta 'Deċiżjoni"</v>
      </c>
    </row>
    <row r="1129" ht="15.75" customHeight="1">
      <c r="A1129" s="2" t="s">
        <v>1129</v>
      </c>
      <c r="B1129" s="2" t="str">
        <f>IFERROR(__xludf.DUMMYFUNCTION("GOOGLETRANSLATE(A1129, ""en"", ""mt"")"),"Liema università taw l-art għaċ-Ċentru tal-Viċijiet Spazjali bl-ekwipaġġ?")</f>
        <v>Liema università taw l-art għaċ-Ċentru tal-Viċijiet Spazjali bl-ekwipaġġ?</v>
      </c>
    </row>
    <row r="1130" ht="15.75" customHeight="1">
      <c r="A1130" s="2" t="s">
        <v>1130</v>
      </c>
      <c r="B1130" s="2" t="str">
        <f>IFERROR(__xludf.DUMMYFUNCTION("GOOGLETRANSLATE(A1130, ""en"", ""mt"")"),"Doctor Who ġie satirizzat u spoofed f’ħafna okkażjonijiet minn kummidjanti fosthom Spike Milligan (A Dalek jinvadi l-kamra tal-banju tiegħu - Milligan, Naked, hurls sponża tas-sapun fiha) u Lenny Henry. Jon Culshaw spiss jimponi r-raba 'tabib fis-serje BB"&amp;"C Dead Ringers. Doctor Who Fandom ġie wkoll imqabbad fuq programmi bħal Saturday Night Live, The Chaser's War on Everyth -")</f>
        <v>Doctor Who ġie satirizzat u spoofed f’ħafna okkażjonijiet minn kummidjanti fosthom Spike Milligan (A Dalek jinvadi l-kamra tal-banju tiegħu - Milligan, Naked, hurls sponża tas-sapun fiha) u Lenny Henry. Jon Culshaw spiss jimponi r-raba 'tabib fis-serje BBC Dead Ringers. Doctor Who Fandom ġie wkoll imqabbad fuq programmi bħal Saturday Night Live, The Chaser's War on Everyth -</v>
      </c>
    </row>
    <row r="1131" ht="15.75" customHeight="1">
      <c r="A1131" s="2" t="s">
        <v>1131</v>
      </c>
      <c r="B1131" s="2" t="str">
        <f>IFERROR(__xludf.DUMMYFUNCTION("GOOGLETRANSLATE(A1131, ""en"", ""mt"")"),"Lowry diġitali f")</f>
        <v>Lowry diġitali f</v>
      </c>
    </row>
    <row r="1132" ht="15.75" customHeight="1">
      <c r="A1132" s="2" t="s">
        <v>1132</v>
      </c>
      <c r="B1132" s="2" t="str">
        <f>IFERROR(__xludf.DUMMYFUNCTION("GOOGLETRANSLATE(A1132, ""en"", ""mt"")"),"Distretti tan-Negozju Maġġuri")</f>
        <v>Distretti tan-Negozju Maġġuri</v>
      </c>
    </row>
    <row r="1133" ht="15.75" customHeight="1">
      <c r="A1133" s="2" t="s">
        <v>1133</v>
      </c>
      <c r="B1133" s="2" t="str">
        <f>IFERROR(__xludf.DUMMYFUNCTION("GOOGLETRANSLATE(A1133, ""en"", ""mt"")"),"X'għandhom ħafna membri tal-HT iggradwaw biex jingħaqdu?")</f>
        <v>X'għandhom ħafna membri tal-HT iggradwaw biex jingħaqdu?</v>
      </c>
    </row>
    <row r="1134" ht="15.75" customHeight="1">
      <c r="A1134" s="2" t="s">
        <v>1134</v>
      </c>
      <c r="B1134" s="2" t="str">
        <f>IFERROR(__xludf.DUMMYFUNCTION("GOOGLETRANSLATE(A1134, ""en"", ""mt"")"),"X'kienet l-etniċità ta 'Nikola Tesla?")</f>
        <v>X'kienet l-etniċità ta 'Nikola Tesla?</v>
      </c>
    </row>
    <row r="1135" ht="15.75" customHeight="1">
      <c r="A1135" s="2" t="s">
        <v>1135</v>
      </c>
      <c r="B1135" s="2" t="str">
        <f>IFERROR(__xludf.DUMMYFUNCTION("GOOGLETRANSLATE(A1135, ""en"", ""mt"")"),"Arċisqof ta ’Westminster")</f>
        <v>Arċisqof ta ’Westminster</v>
      </c>
    </row>
    <row r="1136" ht="15.75" customHeight="1">
      <c r="A1136" s="2" t="s">
        <v>1136</v>
      </c>
      <c r="B1136" s="2" t="str">
        <f>IFERROR(__xludf.DUMMYFUNCTION("GOOGLETRANSLATE(A1136, ""en"", ""mt"")"),"Loop tal-ispostament doppju")</f>
        <v>Loop tal-ispostament doppju</v>
      </c>
    </row>
    <row r="1137" ht="15.75" customHeight="1">
      <c r="A1137" s="2" t="s">
        <v>1137</v>
      </c>
      <c r="B1137" s="2" t="str">
        <f>IFERROR(__xludf.DUMMYFUNCTION("GOOGLETRANSLATE(A1137, ""en"", ""mt"")"),"F'liema belt hemm il-Mużew Nikola Tesla?")</f>
        <v>F'liema belt hemm il-Mużew Nikola Tesla?</v>
      </c>
    </row>
    <row r="1138" ht="15.75" customHeight="1">
      <c r="A1138" s="2" t="s">
        <v>1138</v>
      </c>
      <c r="B1138" s="2" t="str">
        <f>IFERROR(__xludf.DUMMYFUNCTION("GOOGLETRANSLATE(A1138, ""en"", ""mt"")"),"Biljun sena ilu")</f>
        <v>Biljun sena ilu</v>
      </c>
    </row>
    <row r="1139" ht="15.75" customHeight="1">
      <c r="A1139" s="2" t="s">
        <v>1139</v>
      </c>
      <c r="B1139" s="2" t="str">
        <f>IFERROR(__xludf.DUMMYFUNCTION("GOOGLETRANSLATE(A1139, ""en"", ""mt"")"),"Id-Dinastija Yuan (Ċiniż: 元 朝; Pinyin: Yuán Cháo), uffiċjalment il-Yuan il-Kbir (Ċiniż: 大 大; pinyin: Dà Yuán; Mongoljan: Yehe Yuan Ulus [A]), kien l-imperu jew id-dinastija li tiddeċiedi taċ-Ċina stabbilita mill-Kublija Khan, mexxej tal-klann Borjigin Mon"&amp;"goljan. Għalkemm il-Mongoli kienu ddeċidew territorji inklużi ċ-Ċina tat-Tramuntana tal-lum għal għexieren ta ’snin, ma kienx sal-1271 li Kublai Khan ipproklama uffiċjalment id-dinastija fl-istil tradizzjonali Ċiniż. L-isfera tiegħu kienet, minn dan il-pu"&amp;"nt, iżolata mill-Khanates l-oħra u kkontrollat ​​il-biċċa l-kbira taċ-Ċina preżenti u ż-żoni tal-madwar tagħha, inklużi l-Mongolja moderna u l-Korea. Kienet l-ewwel dinastija barranija li ddeċidiet iċ-Ċina kollha u damet sal-1368, u wara l-ħakkiema Genghi"&amp;"sid tagħha rritornaw lejn art twelidhom u komplew jiddeċiedu d-dinastija tat-tramuntana tal-Yuan. Uħud mill-imperaturi Mongoljani tal-Yuan ħasbu l-lingwa Ċiniża, filwaqt li oħrajn użaw biss il-lingwa nattiva tagħhom (i.e. Mongoljani) u l-iskrittura 'Phags"&amp;"-Pa.")</f>
        <v>Id-Dinastija Yuan (Ċiniż: 元 朝; Pinyin: Yuán Cháo), uffiċjalment il-Yuan il-Kbir (Ċiniż: 大 大; pinyin: Dà Yuán; Mongoljan: Yehe Yuan Ulus [A]), kien l-imperu jew id-dinastija li tiddeċiedi taċ-Ċina stabbilita mill-Kublija Khan, mexxej tal-klann Borjigin Mongoljan. Għalkemm il-Mongoli kienu ddeċidew territorji inklużi ċ-Ċina tat-Tramuntana tal-lum għal għexieren ta ’snin, ma kienx sal-1271 li Kublai Khan ipproklama uffiċjalment id-dinastija fl-istil tradizzjonali Ċiniż. L-isfera tiegħu kienet, minn dan il-punt, iżolata mill-Khanates l-oħra u kkontrollat ​​il-biċċa l-kbira taċ-Ċina preżenti u ż-żoni tal-madwar tagħha, inklużi l-Mongolja moderna u l-Korea. Kienet l-ewwel dinastija barranija li ddeċidiet iċ-Ċina kollha u damet sal-1368, u wara l-ħakkiema Genghisid tagħha rritornaw lejn art twelidhom u komplew jiddeċiedu d-dinastija tat-tramuntana tal-Yuan. Uħud mill-imperaturi Mongoljani tal-Yuan ħasbu l-lingwa Ċiniża, filwaqt li oħrajn użaw biss il-lingwa nattiva tagħhom (i.e. Mongoljani) u l-iskrittura 'Phags-Pa.</v>
      </c>
    </row>
    <row r="1140" ht="15.75" customHeight="1">
      <c r="A1140" s="2" t="s">
        <v>1140</v>
      </c>
      <c r="B1140" s="2" t="str">
        <f>IFERROR(__xludf.DUMMYFUNCTION("GOOGLETRANSLATE(A1140, ""en"", ""mt"")"),"Il-Knisja Parrokkjali ta ’St Andrew hija")</f>
        <v>Il-Knisja Parrokkjali ta ’St Andrew hija</v>
      </c>
    </row>
    <row r="1141" ht="15.75" customHeight="1">
      <c r="A1141" s="2" t="s">
        <v>1141</v>
      </c>
      <c r="B1141" s="2" t="str">
        <f>IFERROR(__xludf.DUMMYFUNCTION("GOOGLETRANSLATE(A1141, ""en"", ""mt"")"),"L-isferi kollha tal-ħajja.")</f>
        <v>L-isferi kollha tal-ħajja.</v>
      </c>
    </row>
    <row r="1142" ht="15.75" customHeight="1">
      <c r="A1142" s="2" t="s">
        <v>1142</v>
      </c>
      <c r="B1142" s="2" t="str">
        <f>IFERROR(__xludf.DUMMYFUNCTION("GOOGLETRANSLATE(A1142, ""en"", ""mt"")"),"vizzjuż u distruttiv")</f>
        <v>vizzjuż u distruttiv</v>
      </c>
    </row>
    <row r="1143" ht="15.75" customHeight="1">
      <c r="A1143" s="2" t="s">
        <v>1143</v>
      </c>
      <c r="B1143" s="2" t="str">
        <f>IFERROR(__xludf.DUMMYFUNCTION("GOOGLETRANSLATE(A1143, ""en"", ""mt"")"),"Liema tribujiet kienu fil-gwerra ta 'Patri Le Loutre?")</f>
        <v>Liema tribujiet kienu fil-gwerra ta 'Patri Le Loutre?</v>
      </c>
    </row>
    <row r="1144" ht="15.75" customHeight="1">
      <c r="A1144" s="2" t="s">
        <v>1144</v>
      </c>
      <c r="B1144" s="2" t="str">
        <f>IFERROR(__xludf.DUMMYFUNCTION("GOOGLETRANSLATE(A1144, ""en"", ""mt"")"),"X'tip ta 'mikroskopju jintuża mill-petrologi?")</f>
        <v>X'tip ta 'mikroskopju jintuża mill-petrologi?</v>
      </c>
    </row>
    <row r="1145" ht="15.75" customHeight="1">
      <c r="A1145" s="2" t="s">
        <v>1145</v>
      </c>
      <c r="B1145" s="2" t="str">
        <f>IFERROR(__xludf.DUMMYFUNCTION("GOOGLETRANSLATE(A1145, ""en"", ""mt"")"),"76,000 sa 540,000")</f>
        <v>76,000 sa 540,000</v>
      </c>
    </row>
    <row r="1146" ht="15.75" customHeight="1">
      <c r="A1146" s="2" t="s">
        <v>1146</v>
      </c>
      <c r="B1146" s="2" t="str">
        <f>IFERROR(__xludf.DUMMYFUNCTION("GOOGLETRANSLATE(A1146, ""en"", ""mt"")"),"spiritwalment jew simbolikament preżenti")</f>
        <v>spiritwalment jew simbolikament preżenti</v>
      </c>
    </row>
    <row r="1147" ht="15.75" customHeight="1">
      <c r="A1147" s="2" t="s">
        <v>1147</v>
      </c>
      <c r="B1147" s="2" t="str">
        <f>IFERROR(__xludf.DUMMYFUNCTION("GOOGLETRANSLATE(A1147, ""en"", ""mt"")"),"Kelma u immaġni")</f>
        <v>Kelma u immaġni</v>
      </c>
    </row>
    <row r="1148" ht="15.75" customHeight="1">
      <c r="A1148" s="2" t="s">
        <v>1148</v>
      </c>
      <c r="B1148" s="2" t="str">
        <f>IFERROR(__xludf.DUMMYFUNCTION("GOOGLETRANSLATE(A1148, ""en"", ""mt"")"),"Liema spiżjara x'aktarx ifittxu edukazzjoni addizzjonali wara skola tal-ispiżerija?")</f>
        <v>Liema spiżjara x'aktarx ifittxu edukazzjoni addizzjonali wara skola tal-ispiżerija?</v>
      </c>
    </row>
    <row r="1149" ht="15.75" customHeight="1">
      <c r="A1149" s="2" t="s">
        <v>1149</v>
      </c>
      <c r="B1149" s="2" t="str">
        <f>IFERROR(__xludf.DUMMYFUNCTION("GOOGLETRANSLATE(A1149, ""en"", ""mt"")"),"Il-produtturi introduċew il-kunċett ta 'riġenerazzjoni biex jippermettu t-tfassil mill-ġdid tal-karattru prinċipali. Dan ġie mqanqal l-ewwel mill-istilla oriġinali tas-saħħa ħażina ta 'William Hartnell. It-terminu attwali ""riġenerazzjoni"" ma kienx inizj"&amp;"alment maħsub sakemm it-tielet riġenerazzjoni tat-tabib fuq l-iskrin madankollu; It-tabib ta 'Hartnell kien sempliċement deskritt li kien għaddej minn ""tiġdid"", u t-tieni tabib għadda minn ""bidla fid-dehra"". [Ċitazzjoni meħtieġa] l-apparat ippermetta "&amp;"t-tfassil mill-ġdid tal-attur diversi drabi fl-istorja tal-ispettaklu, kif ukoll id-dehra ta' tobba alternattivi jew mill-passat relattiv tat-tabib jew mill-futur. [Ċitazzjoni meħtieġa]")</f>
        <v>Il-produtturi introduċew il-kunċett ta 'riġenerazzjoni biex jippermettu t-tfassil mill-ġdid tal-karattru prinċipali. Dan ġie mqanqal l-ewwel mill-istilla oriġinali tas-saħħa ħażina ta 'William Hartnell. It-terminu attwali "riġenerazzjoni" ma kienx inizjalment maħsub sakemm it-tielet riġenerazzjoni tat-tabib fuq l-iskrin madankollu; It-tabib ta 'Hartnell kien sempliċement deskritt li kien għaddej minn "tiġdid", u t-tieni tabib għadda minn "bidla fid-dehra". [Ċitazzjoni meħtieġa] l-apparat ippermetta t-tfassil mill-ġdid tal-attur diversi drabi fl-istorja tal-ispettaklu, kif ukoll id-dehra ta' tobba alternattivi jew mill-passat relattiv tat-tabib jew mill-futur. [Ċitazzjoni meħtieġa]</v>
      </c>
    </row>
    <row r="1150" ht="15.75" customHeight="1">
      <c r="A1150" s="2" t="s">
        <v>1150</v>
      </c>
      <c r="B1150" s="2" t="str">
        <f>IFERROR(__xludf.DUMMYFUNCTION("GOOGLETRANSLATE(A1150, ""en"", ""mt"")"),"Sussegwentement, iż-żewġ ċrieki li jaqsmu l-plastidi, jew ċrieki PD. Iċ-ċirku ta 'diviżjoni tal-plastidi ta' ġewwa jinsab fin-naħa ta 'ġewwa tal-membrana ta' ġewwa tal-kloroplast, u huwa ffurmat l-ewwel. Iċ-ċirku ta 'diviżjoni tal-plastidi ta' barra jinst"&amp;"ab imgeżwer madwar il-membrana tal-kloroplast ta 'barra. Tikkonsisti minn filamenti madwar 5 nanometri madwar, irranġati f'ringieli 6.4 nanometri 'l bogħod minn xulxin, u tiċkien biex tagħfas il-kloroplast. Dan meta tibda l-kostrizzjoni tal-kloroplast.
Fi"&amp;" ftit speċi bħal Cyanidioschyzon Merolæ, il-kloroplasti għandhom it-tielet ċirku li jaqsam il-plastidi li jinsab fl-ispazju intermembrane tal-kloroplast.")</f>
        <v>Sussegwentement, iż-żewġ ċrieki li jaqsmu l-plastidi, jew ċrieki PD. Iċ-ċirku ta 'diviżjoni tal-plastidi ta' ġewwa jinsab fin-naħa ta 'ġewwa tal-membrana ta' ġewwa tal-kloroplast, u huwa ffurmat l-ewwel. Iċ-ċirku ta 'diviżjoni tal-plastidi ta' barra jinstab imgeżwer madwar il-membrana tal-kloroplast ta 'barra. Tikkonsisti minn filamenti madwar 5 nanometri madwar, irranġati f'ringieli 6.4 nanometri 'l bogħod minn xulxin, u tiċkien biex tagħfas il-kloroplast. Dan meta tibda l-kostrizzjoni tal-kloroplast.
Fi ftit speċi bħal Cyanidioschyzon Merolæ, il-kloroplasti għandhom it-tielet ċirku li jaqsam il-plastidi li jinsab fl-ispazju intermembrane tal-kloroplast.</v>
      </c>
    </row>
    <row r="1151" ht="15.75" customHeight="1">
      <c r="A1151" s="2" t="s">
        <v>1151</v>
      </c>
      <c r="B1151" s="2" t="str">
        <f>IFERROR(__xludf.DUMMYFUNCTION("GOOGLETRANSLATE(A1151, ""en"", ""mt"")"),"X'bidliet l-enerġiji tas-sistema magħluqa makroskopiċi?")</f>
        <v>X'bidliet l-enerġiji tas-sistema magħluqa makroskopiċi?</v>
      </c>
    </row>
    <row r="1152" ht="15.75" customHeight="1">
      <c r="A1152" s="2" t="s">
        <v>1152</v>
      </c>
      <c r="B1152" s="2" t="str">
        <f>IFERROR(__xludf.DUMMYFUNCTION("GOOGLETRANSLATE(A1152, ""en"", ""mt"")"),"Rhine Gorge")</f>
        <v>Rhine Gorge</v>
      </c>
    </row>
    <row r="1153" ht="15.75" customHeight="1">
      <c r="A1153" s="2" t="s">
        <v>1153</v>
      </c>
      <c r="B1153" s="2" t="str">
        <f>IFERROR(__xludf.DUMMYFUNCTION("GOOGLETRANSLATE(A1153, ""en"", ""mt"")"),"Sorsi riveduti mill-pari")</f>
        <v>Sorsi riveduti mill-pari</v>
      </c>
    </row>
    <row r="1154" ht="15.75" customHeight="1">
      <c r="A1154" s="2" t="s">
        <v>1154</v>
      </c>
      <c r="B1154" s="2" t="str">
        <f>IFERROR(__xludf.DUMMYFUNCTION("GOOGLETRANSLATE(A1154, ""en"", ""mt"")"),"kobor u direzzjoni")</f>
        <v>kobor u direzzjoni</v>
      </c>
    </row>
    <row r="1155" ht="15.75" customHeight="1">
      <c r="A1155" s="2" t="s">
        <v>1155</v>
      </c>
      <c r="B1155" s="2" t="str">
        <f>IFERROR(__xludf.DUMMYFUNCTION("GOOGLETRANSLATE(A1155, ""en"", ""mt"")"),"Il-membri parlamentari li jirrappreżentaw kostitwenzi Ingliżi jistgħu biss jivverifikaw il-liġijiet li jaffettwaw liema pajjiż?")</f>
        <v>Il-membri parlamentari li jirrappreżentaw kostitwenzi Ingliżi jistgħu biss jivverifikaw il-liġijiet li jaffettwaw liema pajjiż?</v>
      </c>
    </row>
    <row r="1156" ht="15.75" customHeight="1">
      <c r="A1156" s="2" t="s">
        <v>1156</v>
      </c>
      <c r="B1156" s="2" t="str">
        <f>IFERROR(__xludf.DUMMYFUNCTION("GOOGLETRANSLATE(A1156, ""en"", ""mt"")"),"Motivazzjonijiet orjentati lejn il-kisba (""Iġbed"")")</f>
        <v>Motivazzjonijiet orjentati lejn il-kisba ("Iġbed")</v>
      </c>
    </row>
    <row r="1157" ht="15.75" customHeight="1">
      <c r="A1157" s="2" t="s">
        <v>1157</v>
      </c>
      <c r="B1157" s="2" t="str">
        <f>IFERROR(__xludf.DUMMYFUNCTION("GOOGLETRANSLATE(A1157, ""en"", ""mt"")"),"enżimi li jipproteġu kontra infezzjonijiet tal-batterjofagi")</f>
        <v>enżimi li jipproteġu kontra infezzjonijiet tal-batterjofagi</v>
      </c>
    </row>
    <row r="1158" ht="15.75" customHeight="1">
      <c r="A1158" s="2" t="s">
        <v>1158</v>
      </c>
      <c r="B1158" s="2" t="str">
        <f>IFERROR(__xludf.DUMMYFUNCTION("GOOGLETRANSLATE(A1158, ""en"", ""mt"")"),"tqala mhux aċċettabbli. Fi")</f>
        <v>tqala mhux aċċettabbli. Fi</v>
      </c>
    </row>
    <row r="1159" ht="15.75" customHeight="1">
      <c r="A1159" s="2" t="s">
        <v>1159</v>
      </c>
      <c r="B1159" s="2" t="str">
        <f>IFERROR(__xludf.DUMMYFUNCTION("GOOGLETRANSLATE(A1159, ""en"", ""mt"")"),"Min ħa pass ta 'kondotta sikura għal Luther biex jiġi u jħalli l-avveniment?")</f>
        <v>Min ħa pass ta 'kondotta sikura għal Luther biex jiġi u jħalli l-avveniment?</v>
      </c>
    </row>
    <row r="1160" ht="15.75" customHeight="1">
      <c r="A1160" s="2" t="s">
        <v>1160</v>
      </c>
      <c r="B1160" s="2" t="str">
        <f>IFERROR(__xludf.DUMMYFUNCTION("GOOGLETRANSLATE(A1160, ""en"", ""mt"")"),"kloroplast derivat mill-alka ħadra (b'mod aktar speċifiku, prasinofita)")</f>
        <v>kloroplast derivat mill-alka ħadra (b'mod aktar speċifiku, prasinofita)</v>
      </c>
    </row>
    <row r="1161" ht="15.75" customHeight="1">
      <c r="A1161" s="2" t="s">
        <v>1161</v>
      </c>
      <c r="B1161" s="2" t="str">
        <f>IFERROR(__xludf.DUMMYFUNCTION("GOOGLETRANSLATE(A1161, ""en"", ""mt"")"),"Kif wieħed joħloq imperu permezz tal-imperjalizmu?")</f>
        <v>Kif wieħed joħloq imperu permezz tal-imperjalizmu?</v>
      </c>
    </row>
    <row r="1162" ht="15.75" customHeight="1">
      <c r="A1162" s="2" t="s">
        <v>1162</v>
      </c>
      <c r="B1162" s="2" t="str">
        <f>IFERROR(__xludf.DUMMYFUNCTION("GOOGLETRANSLATE(A1162, ""en"", ""mt"")"),"immultiplikat żewġ numri interi")</f>
        <v>immultiplikat żewġ numri interi</v>
      </c>
    </row>
    <row r="1163" ht="15.75" customHeight="1">
      <c r="A1163" s="2" t="s">
        <v>1163</v>
      </c>
      <c r="B1163" s="2" t="str">
        <f>IFERROR(__xludf.DUMMYFUNCTION("GOOGLETRANSLATE(A1163, ""en"", ""mt"")"),"X'inhi l-metrika li jużaw biex tiddetermina kemm huma impenjati l-ajruporti?")</f>
        <v>X'inhi l-metrika li jużaw biex tiddetermina kemm huma impenjati l-ajruporti?</v>
      </c>
    </row>
    <row r="1164" ht="15.75" customHeight="1">
      <c r="A1164" s="2" t="s">
        <v>1164</v>
      </c>
      <c r="B1164" s="2" t="str">
        <f>IFERROR(__xludf.DUMMYFUNCTION("GOOGLETRANSLATE(A1164, ""en"", ""mt"")"),"exkomunikazzjoni")</f>
        <v>exkomunikazzjoni</v>
      </c>
    </row>
    <row r="1165" ht="15.75" customHeight="1">
      <c r="A1165" s="2" t="s">
        <v>1165</v>
      </c>
      <c r="B1165" s="2" t="str">
        <f>IFERROR(__xludf.DUMMYFUNCTION("GOOGLETRANSLATE(A1165, ""en"", ""mt"")"),"X'inhu każ wieħed sempliċi ta 'test probabilistiku?")</f>
        <v>X'inhu każ wieħed sempliċi ta 'test probabilistiku?</v>
      </c>
    </row>
    <row r="1166" ht="15.75" customHeight="1">
      <c r="A1166" s="2" t="s">
        <v>1166</v>
      </c>
      <c r="B1166" s="2" t="str">
        <f>IFERROR(__xludf.DUMMYFUNCTION("GOOGLETRANSLATE(A1166, ""en"", ""mt"")"),"Jevalwa l-livelli ta 'tagħlim fl-Indja rurali")</f>
        <v>Jevalwa l-livelli ta 'tagħlim fl-Indja rurali</v>
      </c>
    </row>
    <row r="1167" ht="15.75" customHeight="1">
      <c r="A1167" s="2" t="s">
        <v>1167</v>
      </c>
      <c r="B1167" s="2" t="str">
        <f>IFERROR(__xludf.DUMMYFUNCTION("GOOGLETRANSLATE(A1167, ""en"", ""mt"")"),"L-aħjar attriċi ta 'appoġġ")</f>
        <v>L-aħjar attriċi ta 'appoġġ</v>
      </c>
    </row>
    <row r="1168" ht="15.75" customHeight="1">
      <c r="A1168" s="2" t="s">
        <v>1168</v>
      </c>
      <c r="B1168" s="2" t="str">
        <f>IFERROR(__xludf.DUMMYFUNCTION("GOOGLETRANSLATE(A1168, ""en"", ""mt"")"),"barriera tad-demm-moħħ, barriera ta 'fluwidu tad-demm - ċerikrospinali")</f>
        <v>barriera tad-demm-moħħ, barriera ta 'fluwidu tad-demm - ċerikrospinali</v>
      </c>
    </row>
    <row r="1169" ht="15.75" customHeight="1">
      <c r="A1169" s="2" t="s">
        <v>1169</v>
      </c>
      <c r="B1169" s="2" t="str">
        <f>IFERROR(__xludf.DUMMYFUNCTION("GOOGLETRANSLATE(A1169, ""en"", ""mt"")"),"Għaxar Kmandamenti")</f>
        <v>Għaxar Kmandamenti</v>
      </c>
    </row>
    <row r="1170" ht="15.75" customHeight="1">
      <c r="A1170" s="2" t="s">
        <v>1170</v>
      </c>
      <c r="B1170" s="2" t="str">
        <f>IFERROR(__xludf.DUMMYFUNCTION("GOOGLETRANSLATE(A1170, ""en"", ""mt"")"),"Luther għamel id-dikjarazzjonijiet tiegħu minn Wartburg fil-kuntest ta 'żviluppi rapidi f'Wittenberg, li minnu nżamm kompletament infurmat. Andreas Karlstadt, appoġġjat mill-ex-Augustinian Gabriel Zwilling, imbarka fuq programm radikali ta 'riforma hemmhe"&amp;"kk f'Ġunju 1521, li jaqbeż kull ħaġa maħsuba minn Luther. Ir-riformi pprovokaw disturbi, inkluż rewwixta mill-Patrijiet Agostinjani kontra l-preċedenti tagħhom, it-taħwid ta 'statwi u immaġini fil-knejjes, u d-denunzji tal-maġistratura. Wara li żaret b'mo"&amp;"d sigriet Wittenberg fil-bidu ta 'Diċembru 1521, Luther kiteb ammonizzjoni sinċiera minn Martin Luther lill-insara kollha biex iħarsu kontra l-insurrezzjoni u r-ribelljoni. Wittenberg sar saħansitra aktar volatili wara l-Milied meta faxxa ta ’żelu viżjona"&amp;"rju, l-hekk imsejħa profeti Zwickau, waslu, jippriedkaw duttrini rivoluzzjonarji bħall-ugwaljanza tal-bniedem, il-magħmudija għall-adulti, u r-ritorn imminenti ta’ Kristu. Meta l-kunsill tal-belt talab lil Luther biex jirritorna, huwa ddeċieda li kien id-"&amp;"dmir tiegħu li jaġixxi.")</f>
        <v>Luther għamel id-dikjarazzjonijiet tiegħu minn Wartburg fil-kuntest ta 'żviluppi rapidi f'Wittenberg, li minnu nżamm kompletament infurmat. Andreas Karlstadt, appoġġjat mill-ex-Augustinian Gabriel Zwilling, imbarka fuq programm radikali ta 'riforma hemmhekk f'Ġunju 1521, li jaqbeż kull ħaġa maħsuba minn Luther. Ir-riformi pprovokaw disturbi, inkluż rewwixta mill-Patrijiet Agostinjani kontra l-preċedenti tagħhom, it-taħwid ta 'statwi u immaġini fil-knejjes, u d-denunzji tal-maġistratura. Wara li żaret b'mod sigriet Wittenberg fil-bidu ta 'Diċembru 1521, Luther kiteb ammonizzjoni sinċiera minn Martin Luther lill-insara kollha biex iħarsu kontra l-insurrezzjoni u r-ribelljoni. Wittenberg sar saħansitra aktar volatili wara l-Milied meta faxxa ta ’żelu viżjonarju, l-hekk imsejħa profeti Zwickau, waslu, jippriedkaw duttrini rivoluzzjonarji bħall-ugwaljanza tal-bniedem, il-magħmudija għall-adulti, u r-ritorn imminenti ta’ Kristu. Meta l-kunsill tal-belt talab lil Luther biex jirritorna, huwa ddeċieda li kien id-dmir tiegħu li jaġixxi.</v>
      </c>
    </row>
    <row r="1171" ht="15.75" customHeight="1">
      <c r="A1171" s="2" t="s">
        <v>1171</v>
      </c>
      <c r="B1171" s="2" t="str">
        <f>IFERROR(__xludf.DUMMYFUNCTION("GOOGLETRANSLATE(A1171, ""en"", ""mt"")"),"Sistema Platoon """)</f>
        <v>Sistema Platoon "</v>
      </c>
    </row>
    <row r="1172" ht="15.75" customHeight="1">
      <c r="A1172" s="2" t="s">
        <v>1172</v>
      </c>
      <c r="B1172" s="2" t="str">
        <f>IFERROR(__xludf.DUMMYFUNCTION("GOOGLETRANSLATE(A1172, ""en"", ""mt"")"),"Taxxa fuq il-bejgħ nofs-penny")</f>
        <v>Taxxa fuq il-bejgħ nofs-penny</v>
      </c>
    </row>
    <row r="1173" ht="15.75" customHeight="1">
      <c r="A1173" s="2" t="s">
        <v>1173</v>
      </c>
      <c r="B1173" s="2" t="str">
        <f>IFERROR(__xludf.DUMMYFUNCTION("GOOGLETRANSLATE(A1173, ""en"", ""mt"")"),"Il-Protokoll ta 'Montreal")</f>
        <v>Il-Protokoll ta 'Montreal</v>
      </c>
    </row>
    <row r="1174" ht="15.75" customHeight="1">
      <c r="A1174" s="2" t="s">
        <v>1174</v>
      </c>
      <c r="B1174" s="2" t="str">
        <f>IFERROR(__xludf.DUMMYFUNCTION("GOOGLETRANSLATE(A1174, ""en"", ""mt"")"),"Ta 'liema forma tieħu l-primes Mersenne?")</f>
        <v>Ta 'liema forma tieħu l-primes Mersenne?</v>
      </c>
    </row>
    <row r="1175" ht="15.75" customHeight="1">
      <c r="A1175" s="2" t="s">
        <v>1175</v>
      </c>
      <c r="B1175" s="2" t="str">
        <f>IFERROR(__xludf.DUMMYFUNCTION("GOOGLETRANSLATE(A1175, ""en"", ""mt"")"),"turmenti")</f>
        <v>turmenti</v>
      </c>
    </row>
    <row r="1176" ht="15.75" customHeight="1">
      <c r="A1176" s="2" t="s">
        <v>1176</v>
      </c>
      <c r="B1176" s="2" t="str">
        <f>IFERROR(__xludf.DUMMYFUNCTION("GOOGLETRANSLATE(A1176, ""en"", ""mt"")"),"X'tip ta 'protisti huma euglenofiti?")</f>
        <v>X'tip ta 'protisti huma euglenofiti?</v>
      </c>
    </row>
    <row r="1177" ht="15.75" customHeight="1">
      <c r="A1177" s="2" t="s">
        <v>1177</v>
      </c>
      <c r="B1177" s="2" t="str">
        <f>IFERROR(__xludf.DUMMYFUNCTION("GOOGLETRANSLATE(A1177, ""en"", ""mt"")"),"Fejn kienet id-dar temporanja tal-Parlament waqt li kien qed jinbena l-bini permanenti?")</f>
        <v>Fejn kienet id-dar temporanja tal-Parlament waqt li kien qed jinbena l-bini permanenti?</v>
      </c>
    </row>
    <row r="1178" ht="15.75" customHeight="1">
      <c r="A1178" s="2" t="s">
        <v>1178</v>
      </c>
      <c r="B1178" s="2" t="str">
        <f>IFERROR(__xludf.DUMMYFUNCTION("GOOGLETRANSLATE(A1178, ""en"", ""mt"")"),"Il-Lega tan-Nazzjonijiet")</f>
        <v>Il-Lega tan-Nazzjonijiet</v>
      </c>
    </row>
    <row r="1179" ht="15.75" customHeight="1">
      <c r="A1179" s="2" t="s">
        <v>1179</v>
      </c>
      <c r="B1179" s="2" t="str">
        <f>IFERROR(__xludf.DUMMYFUNCTION("GOOGLETRANSLATE(A1179, ""en"", ""mt"")"),"Is-sistema tal-librerija tal-Università ta ’Chicago għandha kemm-il libreriji b’kollox?")</f>
        <v>Is-sistema tal-librerija tal-Università ta ’Chicago għandha kemm-il libreriji b’kollox?</v>
      </c>
    </row>
    <row r="1180" ht="15.75" customHeight="1">
      <c r="A1180" s="2" t="s">
        <v>1180</v>
      </c>
      <c r="B1180" s="2" t="str">
        <f>IFERROR(__xludf.DUMMYFUNCTION("GOOGLETRANSLATE(A1180, ""en"", ""mt"")"),"mhux kriġeniku")</f>
        <v>mhux kriġeniku</v>
      </c>
    </row>
    <row r="1181" ht="15.75" customHeight="1">
      <c r="A1181" s="2" t="s">
        <v>1181</v>
      </c>
      <c r="B1181" s="2" t="str">
        <f>IFERROR(__xludf.DUMMYFUNCTION("GOOGLETRANSLATE(A1181, ""en"", ""mt"")"),"Thanksgiving")</f>
        <v>Thanksgiving</v>
      </c>
    </row>
    <row r="1182" ht="15.75" customHeight="1">
      <c r="A1182" s="2" t="s">
        <v>1182</v>
      </c>
      <c r="B1182" s="2" t="str">
        <f>IFERROR(__xludf.DUMMYFUNCTION("GOOGLETRANSLATE(A1182, ""en"", ""mt"")"),"vulgarità u vjolenza")</f>
        <v>vulgarità u vjolenza</v>
      </c>
    </row>
    <row r="1183" ht="15.75" customHeight="1">
      <c r="A1183" s="2" t="s">
        <v>1183</v>
      </c>
      <c r="B1183" s="2" t="str">
        <f>IFERROR(__xludf.DUMMYFUNCTION("GOOGLETRANSLATE(A1183, ""en"", ""mt"")"),"X'inhu mira sekondarja li tinvoka mhux ħati?")</f>
        <v>X'inhu mira sekondarja li tinvoka mhux ħati?</v>
      </c>
    </row>
    <row r="1184" ht="15.75" customHeight="1">
      <c r="A1184" s="2" t="s">
        <v>1184</v>
      </c>
      <c r="B1184" s="2" t="str">
        <f>IFERROR(__xludf.DUMMYFUNCTION("GOOGLETRANSLATE(A1184, ""en"", ""mt"")"),"F'nofs is-snin 1960, l-iskandli tal-korruzzjoni bdew jinħolqu fost ħafna mill-uffiċjali tal-belt, li ġew eletti prinċipalment permezz tan-netwerk tradizzjonali tat-tifel antik. Wara li ġiet imlaqqa 'ġurija kbira biex tinvestiga, 11-il uffiċjal ġew akkużat"&amp;"i u aktar ġew sfurzati jirriżenjaw. Jacksonville Consolidation, immexxija minn J. J. Daniel u Claude Yates, bdew jirbħu aktar appoġġ matul dan il-perjodu, miż-żewġ suwed tal-belt ġewwa, li riedu aktar involviment fil-gvern, u l-abjad fis-subborgi, li ried"&amp;"u aktar servizzi u aktar kontroll fuq il-belt ċentrali fuq il-belt ċentrali - Fl-1964 il-15-il skejjel pubbliċi tal-Kontea ta 'Duval tilfu l-akkreditazzjoni tagħhom. Dan żied il-momentum għall-proposti għar-riforma tal-gvern. Taxxi aktar baxxi, żieda fl-i"&amp;"żvilupp ekonomiku, unifikazzjoni tal-komunità, infiq pubbliku aħjar u amministrazzjoni effettiva minn awtorità aktar ċentrali kienu kollha kkwotati bħala raġunijiet għal gvern konsolidat ġdid.")</f>
        <v>F'nofs is-snin 1960, l-iskandli tal-korruzzjoni bdew jinħolqu fost ħafna mill-uffiċjali tal-belt, li ġew eletti prinċipalment permezz tan-netwerk tradizzjonali tat-tifel antik. Wara li ġiet imlaqqa 'ġurija kbira biex tinvestiga, 11-il uffiċjal ġew akkużati u aktar ġew sfurzati jirriżenjaw. Jacksonville Consolidation, immexxija minn J. J. Daniel u Claude Yates, bdew jirbħu aktar appoġġ matul dan il-perjodu, miż-żewġ suwed tal-belt ġewwa, li riedu aktar involviment fil-gvern, u l-abjad fis-subborgi, li riedu aktar servizzi u aktar kontroll fuq il-belt ċentrali fuq il-belt ċentrali - Fl-1964 il-15-il skejjel pubbliċi tal-Kontea ta 'Duval tilfu l-akkreditazzjoni tagħhom. Dan żied il-momentum għall-proposti għar-riforma tal-gvern. Taxxi aktar baxxi, żieda fl-iżvilupp ekonomiku, unifikazzjoni tal-komunità, infiq pubbliku aħjar u amministrazzjoni effettiva minn awtorità aktar ċentrali kienu kollha kkwotati bħala raġunijiet għal gvern konsolidat ġdid.</v>
      </c>
    </row>
    <row r="1185" ht="15.75" customHeight="1">
      <c r="A1185" s="2" t="s">
        <v>1185</v>
      </c>
      <c r="B1185" s="2" t="str">
        <f>IFERROR(__xludf.DUMMYFUNCTION("GOOGLETRANSLATE(A1185, ""en"", ""mt"")"),"X'tip ta 'kejl jiddefinixxu l-aċċellerazzjonijiet?")</f>
        <v>X'tip ta 'kejl jiddefinixxu l-aċċellerazzjonijiet?</v>
      </c>
    </row>
    <row r="1186" ht="15.75" customHeight="1">
      <c r="A1186" s="2" t="s">
        <v>1186</v>
      </c>
      <c r="B1186" s="2" t="str">
        <f>IFERROR(__xludf.DUMMYFUNCTION("GOOGLETRANSLATE(A1186, ""en"", ""mt"")"),"$ 32 biljun")</f>
        <v>$ 32 biljun</v>
      </c>
    </row>
    <row r="1187" ht="15.75" customHeight="1">
      <c r="A1187" s="2" t="s">
        <v>1187</v>
      </c>
      <c r="B1187" s="2" t="str">
        <f>IFERROR(__xludf.DUMMYFUNCTION("GOOGLETRANSLATE(A1187, ""en"", ""mt"")"),"Davies huwa kkreditat li jgħaqqad il-bdil tal-pakketti tal-isem modern u jispira bosta netwerks tal-iswiċċ tal-pakketti fl-Ewropa")</f>
        <v>Davies huwa kkreditat li jgħaqqad il-bdil tal-pakketti tal-isem modern u jispira bosta netwerks tal-iswiċċ tal-pakketti fl-Ewropa</v>
      </c>
    </row>
    <row r="1188" ht="15.75" customHeight="1">
      <c r="A1188" s="2" t="s">
        <v>1188</v>
      </c>
      <c r="B1188" s="2" t="str">
        <f>IFERROR(__xludf.DUMMYFUNCTION("GOOGLETRANSLATE(A1188, ""en"", ""mt"")"),"Liema għan ikun ittikkettat bħala prattiku?")</f>
        <v>Liema għan ikun ittikkettat bħala prattiku?</v>
      </c>
    </row>
    <row r="1189" ht="15.75" customHeight="1">
      <c r="A1189" s="2" t="s">
        <v>1189</v>
      </c>
      <c r="B1189" s="2" t="str">
        <f>IFERROR(__xludf.DUMMYFUNCTION("GOOGLETRANSLATE(A1189, ""en"", ""mt"")"),"seba 'u tmienja")</f>
        <v>seba 'u tmienja</v>
      </c>
    </row>
    <row r="1190" ht="15.75" customHeight="1">
      <c r="A1190" s="2" t="s">
        <v>1190</v>
      </c>
      <c r="B1190" s="2" t="str">
        <f>IFERROR(__xludf.DUMMYFUNCTION("GOOGLETRANSLATE(A1190, ""en"", ""mt"")"),"Blat li huma fond fejn huma mġebbda duttili huma wkoll spiss x'inhuma?")</f>
        <v>Blat li huma fond fejn huma mġebbda duttili huma wkoll spiss x'inhuma?</v>
      </c>
    </row>
    <row r="1191" ht="15.75" customHeight="1">
      <c r="A1191" s="2" t="s">
        <v>1191</v>
      </c>
      <c r="B1191" s="2" t="str">
        <f>IFERROR(__xludf.DUMMYFUNCTION("GOOGLETRANSLATE(A1191, ""en"", ""mt"")"),"Dwar liema karatteristika tat-temp iridu l-paleoklimatologi?")</f>
        <v>Dwar liema karatteristika tat-temp iridu l-paleoklimatologi?</v>
      </c>
    </row>
    <row r="1192" ht="15.75" customHeight="1">
      <c r="A1192" s="2" t="s">
        <v>1192</v>
      </c>
      <c r="B1192" s="2" t="str">
        <f>IFERROR(__xludf.DUMMYFUNCTION("GOOGLETRANSLATE(A1192, ""en"", ""mt"")"),"Kif huma differenti l-iskejjel 'mhux megħjuna' minn skejjel 'megħjuna'?")</f>
        <v>Kif huma differenti l-iskejjel 'mhux megħjuna' minn skejjel 'megħjuna'?</v>
      </c>
    </row>
    <row r="1193" ht="15.75" customHeight="1">
      <c r="A1193" s="2" t="s">
        <v>1193</v>
      </c>
      <c r="B1193" s="2" t="str">
        <f>IFERROR(__xludf.DUMMYFUNCTION("GOOGLETRANSLATE(A1193, ""en"", ""mt"")"),"30 Stati Amerikani pprojbixxew kastig korporali, l-oħrajn (l-aktar fin-Nofsinhar) ma kellhomx. Għadu jintuża fi grad sinifikanti (għalkemm qed jonqos) f'xi skejjel pubbliċi fl-Alabama, l-Arkansas, il-Ġeorġja, Louisiana, Mississippi, Oklahoma, Tennessee u "&amp;"Texas. Skejjel privati ​​f'dawn u fil-biċċa l-kbira tal-istati l-oħra jistgħu wkoll jużawha. Il-kastig korporali fl-iskejjel Amerikani huwa amministrat lis-sede tal-qalziet tal-istudent jew falda ma 'paddle tal-injam magħmul apposta. Dan spiss jintuża fil"&amp;"-klassi jew fil-hallway, iżda llum il-piena ġeneralment tingħata privatament fl-uffiċċju tal-prinċipal.")</f>
        <v>30 Stati Amerikani pprojbixxew kastig korporali, l-oħrajn (l-aktar fin-Nofsinhar) ma kellhomx. Għadu jintuża fi grad sinifikanti (għalkemm qed jonqos) f'xi skejjel pubbliċi fl-Alabama, l-Arkansas, il-Ġeorġja, Louisiana, Mississippi, Oklahoma, Tennessee u Texas. Skejjel privati ​​f'dawn u fil-biċċa l-kbira tal-istati l-oħra jistgħu wkoll jużawha. Il-kastig korporali fl-iskejjel Amerikani huwa amministrat lis-sede tal-qalziet tal-istudent jew falda ma 'paddle tal-injam magħmul apposta. Dan spiss jintuża fil-klassi jew fil-hallway, iżda llum il-piena ġeneralment tingħata privatament fl-uffiċċju tal-prinċipal.</v>
      </c>
    </row>
    <row r="1194" ht="15.75" customHeight="1">
      <c r="A1194" s="2" t="s">
        <v>1194</v>
      </c>
      <c r="B1194" s="2" t="str">
        <f>IFERROR(__xludf.DUMMYFUNCTION("GOOGLETRANSLATE(A1194, ""en"", ""mt"")"),"X'inhu meħtieġ biex tippakkja l-elettroni densament flimkien?")</f>
        <v>X'inhu meħtieġ biex tippakkja l-elettroni densament flimkien?</v>
      </c>
    </row>
    <row r="1195" ht="15.75" customHeight="1">
      <c r="A1195" s="2" t="s">
        <v>1195</v>
      </c>
      <c r="B1195" s="2" t="str">
        <f>IFERROR(__xludf.DUMMYFUNCTION("GOOGLETRANSLATE(A1195, ""en"", ""mt"")"),"Il-fotorespirazzjoni tista 'sseħħ meta l-konċentrazzjoni ta' ossiġnu tkun għolja wisq. Rubisco ma jistax jiddistingwi bejn l-ossiġnu u d-dijossidu tal-karbonju tajjeb ħafna, u għalhekk jista 'aċċidentalment iżid O2 minflok CO2 ma' rumb. Dan il-proċess ina"&amp;"qqas l-effiċjenza tal-fotosintesi - jikkonsma l-ATP u l-ossiġnu, jirrilaxxa s-CO2, u ma jipproduċi l-ebda zokkor. Jista 'jaħli sa nofs il-karbonju ffissat miċ-ċiklu ta' Calvin. Bosta mekkaniżmi evolvew f'linji differenti li jgħollu l-konċentrazzjoni tad-d"&amp;"ijossidu tal-karbonju relattiva għall-ossiġenu fil-kloroplast, u żżid l-effiċjenza tal-fotosintesi. Dawn il-mekkaniżmi jissejħu mekkaniżmi ta 'konċentrazzjoni tad-dijossidu tal-karbonju, jew CCMs. Dawn jinkludu l-metaboliżmu tal-aċidu crassulacean, l-iffi"&amp;"ssar tal-karbonju C4, u l-pirenojdi. Il-kloroplasti fil-pjanti C4 huma notevoli peress li juru dimorfiżmu tal-kloroplast distint.")</f>
        <v>Il-fotorespirazzjoni tista 'sseħħ meta l-konċentrazzjoni ta' ossiġnu tkun għolja wisq. Rubisco ma jistax jiddistingwi bejn l-ossiġnu u d-dijossidu tal-karbonju tajjeb ħafna, u għalhekk jista 'aċċidentalment iżid O2 minflok CO2 ma' rumb. Dan il-proċess inaqqas l-effiċjenza tal-fotosintesi - jikkonsma l-ATP u l-ossiġnu, jirrilaxxa s-CO2, u ma jipproduċi l-ebda zokkor. Jista 'jaħli sa nofs il-karbonju ffissat miċ-ċiklu ta' Calvin. Bosta mekkaniżmi evolvew f'linji differenti li jgħollu l-konċentrazzjoni tad-dijossidu tal-karbonju relattiva għall-ossiġenu fil-kloroplast, u żżid l-effiċjenza tal-fotosintesi. Dawn il-mekkaniżmi jissejħu mekkaniżmi ta 'konċentrazzjoni tad-dijossidu tal-karbonju, jew CCMs. Dawn jinkludu l-metaboliżmu tal-aċidu crassulacean, l-iffissar tal-karbonju C4, u l-pirenojdi. Il-kloroplasti fil-pjanti C4 huma notevoli peress li juru dimorfiżmu tal-kloroplast distint.</v>
      </c>
    </row>
    <row r="1196" ht="15.75" customHeight="1">
      <c r="A1196" s="2" t="s">
        <v>1196</v>
      </c>
      <c r="B1196" s="2" t="str">
        <f>IFERROR(__xludf.DUMMYFUNCTION("GOOGLETRANSLATE(A1196, ""en"", ""mt"")"),"Il- ""libertà li tipprovdi servizzi"" taħt l-Artikolu 56 tat-TFEU japplika għal nies li jagħtu servizzi ""għar-rimunerazzjoni"", speċjalment attività kummerċjali jew professjonali. Pereżempju, fil-Van Binsbergen v Besttuur Van de Bedrijfvereniging Voor de"&amp;" Metaalnijverheid Avukat Olandiż mar il-Belġju filwaqt li ta parir lil klijent f'każ ta 'sigurtà soċjali, u kien qal li ma jistax ikompli minħabba li l-liġi Olandiża qalet li nies biss stabbiliti fl-Olanda jistgħu jagħtu legali parir. Il-Qorti tal-Ġustizz"&amp;"ja ddeċidiet li l-libertà li tipprovdi servizzi applikati, kienet direttament effettiva, u r-regola probabbilment kienet iġġustifikata: li jkollok indirizz fl-Istat Membru jkun biżżejjed biex issegwi l-għan leġittimu ta 'amministrazzjoni tajba tal-ġustizz"&amp;"ja. Il-Qorti tal-Ġustizzja ddeċidiet li l-edukazzjoni sekondarja taqa 'barra mill-ambitu tal-Artikolu 56, għaliex ġeneralment l-istat jiffinanzjah, għalkemm l-edukazzjoni għolja m'għandhiex. Il-kura tas-saħħa ġeneralment tgħodd bħala servizz. Fil-Geraets-"&amp;"Smits v Stichting Ziekenfonds Is-Sinjura Geraets-Smits iddikjarat li għandha tiġi rimborżata mill-assigurazzjoni soċjali Olandiża għall-ispejjeż li tirċievi trattament fil-Ġermanja. L-awtoritajiet tas-saħħa Olandiżi kkunsidraw it-trattament bla bżonn, u g"&amp;"ħalhekk hija argumentat li din il-libertà illimitat (tal-klinika tas-saħħa Ġermaniża) biex tipprovdi servizzi. Bosta gvernijiet issottomettew li s-servizzi tal-isptar m'għandhomx jitqiesu bħala ekonomiċi, u m'għandhomx jaqgħu taħt l-Artikolu 56. Iżda l-Qo"&amp;"rti tal-Ġustizzja li żammet is-saħħa kienet ""servizz"" minkejja li l-gvern (aktar milli r-riċevitur tas-servizz) ħallas għas-servizz. L-awtoritajiet nazzjonali jistgħu jkunu ġġustifikati meta jirrifjutaw li jirrimborżaw pazjenti għal servizzi mediċi barr"&amp;"a l-pajjiż jekk il-kura tas-saħħa rċeviet id-dar kienet mingħajr dewmien żejjed, u segwiet ""xjenza medika internazzjonali"" li fuqha t-trattamenti kienu jingħaddu bħala normali u meħtieġa. Il-qorti tirrikjedi li ċ-ċirkostanzi individwali ta 'pazjent jiġġ"&amp;"ustifikaw listi ta' stennija, u dan huwa minnu wkoll fil-kuntest tas-Servizz Nazzjonali tas-Saħħa tar-Renju Unit. Minbarra s-servizzi pubbliċi, qasam ieħor sensittiv ta 'servizzi huma dawk klassifikati bħala illegali. Josemans v Burgemeester van Maastrich"&amp;"t iddeċieda li r-regolamentazzjoni tal-Olanda tal-konsum tal-kannabis, inklużi l-projbizzjonijiet minn xi muniċipalitajiet fuq turisti (iżda mhux ċittadini Olandiżi) li jmorru fil-ħwienet tal-kafè, waqgħu barra mill-artikolu 56 għal kollox. Il-Qorti tal-Ġ"&amp;"ustizzja rraġunaw li d-drogi narkotiċi kienu kkontrollati fl-istati membri kollha, u għalhekk dan kien differenti minn każijiet oħra fejn il-prostituzzjoni jew attività kważi-legali oħra kienet soġġetta għal restrizzjoni. Jekk attività taqa 'taħt l-Artiko"&amp;"lu 56, restrizzjoni tista' tkun iġġustifikata skond l-Artikolu 52 jew rekwiżiti importanti żviluppati mill-Qorti tal-Ġustizzja. Fl-Alpinal Investments BV v il-Ministru Van Financiën negozju li biegħ il-futures tal-prodotti (ma 'Merrill Lynch u ditti banka"&amp;"rji oħra) ipprova jikkontesta liġi Olandiża li tipprojbixxi lill-klijenti li jsejħu l-kesħa. Il-Qorti tal-Ġustizzja ddeċidiet li l-projbizzjoni Olandiża segwiet għan leġittimu biex tipprevjeni ""żviluppi mhux mixtieqa fil-kummerċ tat-titoli"" inkluż il-ħa"&amp;"rsien tal-konsumatur minn tattiċi ta 'bejgħ aggressivi, u b'hekk iżżomm il-fiduċja fis-swieq Olandiżi. Fil-Omega Spielhallen GmbH v Bonn, in-negozju ta '""Laserdrome"" ġie pprojbit mill-Kunsill ta' Bonn. Xtara servizzi foloz tal-pistoli bil-lejżer minn di"&amp;"tta tar-Renju Unit imsejħa Pulsar Ltd, iżda r-residenti kienu pprotestaw kontra ""jilagħbu fil-qtil"" ta 'divertiment. Il-Qorti tal-Ġustizzja ddeċidiet li l-valur kostituzzjonali Ġermaniż tad-dinjità tal-bniedem, li sostniet il-projbizzjoni, kien jgħodd b"&amp;"ħala restrizzjoni ġustifikata fuq il-libertà li tipprovdi servizzi. Fil-Liga Portuguesa de Futebol vs Santa Ca Casa da Misericórdia de Lisboa, il-Qorti tal-Ġustizzja ddeċidiet ukoll li l-monopolju tal-istat fuq il-logħob tal-ażżard, u piena għal ditta ta "&amp;"’Ġibiltà li kienet biegħet servizzi tal-logħob tal-ażżard tal-internet, kienet iġġustifikata li tipprevjeni l-frodi u l-logħob fejn kienu diverġenti ħafna. Il-projbizzjoni kienet proporzjonata peress li dan kien mod xieraq u meħtieġ biex jiġu indirizzati "&amp;"l-problemi serji ta 'frodi li jinqalgħu fuq l-internet. Fid-Direttiva tas-Servizzi, grupp ta 'ġustifikazzjonijiet ġew ikkodifikati fl-Artikolu 16 li l-ġurisprudenza żviluppat.")</f>
        <v>Il- "libertà li tipprovdi servizzi" taħt l-Artikolu 56 tat-TFEU japplika għal nies li jagħtu servizzi "għar-rimunerazzjoni", speċjalment attività kummerċjali jew professjonali. Pereżempju, fil-Van Binsbergen v Besttuur Van de Bedrijfvereniging Voor de Metaalnijverheid Avukat Olandiż mar il-Belġju filwaqt li ta parir lil klijent f'każ ta 'sigurtà soċjali, u kien qal li ma jistax ikompli minħabba li l-liġi Olandiża qalet li nies biss stabbiliti fl-Olanda jistgħu jagħtu legali parir. Il-Qorti tal-Ġustizzja ddeċidiet li l-libertà li tipprovdi servizzi applikati, kienet direttament effettiva, u r-regola probabbilment kienet iġġustifikata: li jkollok indirizz fl-Istat Membru jkun biżżejjed biex issegwi l-għan leġittimu ta 'amministrazzjoni tajba tal-ġustizzja. Il-Qorti tal-Ġustizzja ddeċidiet li l-edukazzjoni sekondarja taqa 'barra mill-ambitu tal-Artikolu 56, għaliex ġeneralment l-istat jiffinanzjah, għalkemm l-edukazzjoni għolja m'għandhiex. Il-kura tas-saħħa ġeneralment tgħodd bħala servizz. Fil-Geraets-Smits v Stichting Ziekenfonds Is-Sinjura Geraets-Smits iddikjarat li għandha tiġi rimborżata mill-assigurazzjoni soċjali Olandiża għall-ispejjeż li tirċievi trattament fil-Ġermanja. L-awtoritajiet tas-saħħa Olandiżi kkunsidraw it-trattament bla bżonn, u għalhekk hija argumentat li din il-libertà illimitat (tal-klinika tas-saħħa Ġermaniża) biex tipprovdi servizzi. Bosta gvernijiet issottomettew li s-servizzi tal-isptar m'għandhomx jitqiesu bħala ekonomiċi, u m'għandhomx jaqgħu taħt l-Artikolu 56. Iżda l-Qorti tal-Ġustizzja li żammet is-saħħa kienet "servizz" minkejja li l-gvern (aktar milli r-riċevitur tas-servizz) ħallas għas-servizz. L-awtoritajiet nazzjonali jistgħu jkunu ġġustifikati meta jirrifjutaw li jirrimborżaw pazjenti għal servizzi mediċi barra l-pajjiż jekk il-kura tas-saħħa rċeviet id-dar kienet mingħajr dewmien żejjed, u segwiet "xjenza medika internazzjonali" li fuqha t-trattamenti kienu jingħaddu bħala normali u meħtieġa. Il-qorti tirrikjedi li ċ-ċirkostanzi individwali ta 'pazjent jiġġustifikaw listi ta' stennija, u dan huwa minnu wkoll fil-kuntest tas-Servizz Nazzjonali tas-Saħħa tar-Renju Unit. Minbarra s-servizzi pubbliċi, qasam ieħor sensittiv ta 'servizzi huma dawk klassifikati bħala illegali. Josemans v Burgemeester van Maastricht iddeċieda li r-regolamentazzjoni tal-Olanda tal-konsum tal-kannabis, inklużi l-projbizzjonijiet minn xi muniċipalitajiet fuq turisti (iżda mhux ċittadini Olandiżi) li jmorru fil-ħwienet tal-kafè, waqgħu barra mill-artikolu 56 għal kollox. Il-Qorti tal-Ġustizzja rraġunaw li d-drogi narkotiċi kienu kkontrollati fl-istati membri kollha, u għalhekk dan kien differenti minn każijiet oħra fejn il-prostituzzjoni jew attività kważi-legali oħra kienet soġġetta għal restrizzjoni. Jekk attività taqa 'taħt l-Artikolu 56, restrizzjoni tista' tkun iġġustifikata skond l-Artikolu 52 jew rekwiżiti importanti żviluppati mill-Qorti tal-Ġustizzja. Fl-Alpinal Investments BV v il-Ministru Van Financiën negozju li biegħ il-futures tal-prodotti (ma 'Merrill Lynch u ditti bankarji oħra) ipprova jikkontesta liġi Olandiża li tipprojbixxi lill-klijenti li jsejħu l-kesħa. Il-Qorti tal-Ġustizzja ddeċidiet li l-projbizzjoni Olandiża segwiet għan leġittimu biex tipprevjeni "żviluppi mhux mixtieqa fil-kummerċ tat-titoli" inkluż il-ħarsien tal-konsumatur minn tattiċi ta 'bejgħ aggressivi, u b'hekk iżżomm il-fiduċja fis-swieq Olandiżi. Fil-Omega Spielhallen GmbH v Bonn, in-negozju ta '"Laserdrome" ġie pprojbit mill-Kunsill ta' Bonn. Xtara servizzi foloz tal-pistoli bil-lejżer minn ditta tar-Renju Unit imsejħa Pulsar Ltd, iżda r-residenti kienu pprotestaw kontra "jilagħbu fil-qtil" ta 'divertiment. Il-Qorti tal-Ġustizzja ddeċidiet li l-valur kostituzzjonali Ġermaniż tad-dinjità tal-bniedem, li sostniet il-projbizzjoni, kien jgħodd bħala restrizzjoni ġustifikata fuq il-libertà li tipprovdi servizzi. Fil-Liga Portuguesa de Futebol vs Santa Ca Casa da Misericórdia de Lisboa, il-Qorti tal-Ġustizzja ddeċidiet ukoll li l-monopolju tal-istat fuq il-logħob tal-ażżard, u piena għal ditta ta ’Ġibiltà li kienet biegħet servizzi tal-logħob tal-ażżard tal-internet, kienet iġġustifikata li tipprevjeni l-frodi u l-logħob fejn kienu diverġenti ħafna. Il-projbizzjoni kienet proporzjonata peress li dan kien mod xieraq u meħtieġ biex jiġu indirizzati l-problemi serji ta 'frodi li jinqalgħu fuq l-internet. Fid-Direttiva tas-Servizzi, grupp ta 'ġustifikazzjonijiet ġew ikkodifikati fl-Artikolu 16 li l-ġurisprudenza żviluppat.</v>
      </c>
    </row>
    <row r="1197" ht="15.75" customHeight="1">
      <c r="A1197" s="2" t="s">
        <v>1197</v>
      </c>
      <c r="B1197" s="2" t="str">
        <f>IFERROR(__xludf.DUMMYFUNCTION("GOOGLETRANSLATE(A1197, ""en"", ""mt"")"),"Il-kosta tat-teknoloġija hija moniker li kiseb l-użu bħala deskrittur għat-teknoloġija diversifikata tar-reġjun u l-bażi industrijali kif ukoll għall-għadd kbir ta 'universitajiet ta' riċerka prestiġjużi u ta 'fama dinjija u istituzzjonijiet pubbliċi u pr"&amp;"ivati ​​oħra. Fost dawn jinkludu 5 kampus tal-Università ta ’Kalifornja (Irvine, Los Angeles, Riverside, Santa Barbara, u San Diego); 12 Kampus tal-Università ta 'l-Istat ta' Kalifornja (Bakersfield, Channel Islands, Dominguez Hills, Fullerton, Los Angele"&amp;"s, Long Beach, Northridge, Pomona, San Bernardino, San Diego, San Marcos, u San Luis Obispo); u istituzzjonijiet privati ​​bħall-Istitut tat-Teknoloġija ta 'California, Chapman University, The Claremont College (Claremont McKenna College, Harvey Mudd Coll"&amp;"ege, Pitzer College, Pomona College, u Scripps College), Loma Linda University, Loyola Marymount University, Occidental College, Pepperdine University , Università ta ’Redlands, Università ta’ San Diego, u l-Università tan-Nofsinhar ta ’California.")</f>
        <v>Il-kosta tat-teknoloġija hija moniker li kiseb l-użu bħala deskrittur għat-teknoloġija diversifikata tar-reġjun u l-bażi industrijali kif ukoll għall-għadd kbir ta 'universitajiet ta' riċerka prestiġjużi u ta 'fama dinjija u istituzzjonijiet pubbliċi u privati ​​oħra. Fost dawn jinkludu 5 kampus tal-Università ta ’Kalifornja (Irvine, Los Angeles, Riverside, Santa Barbara, u San Diego); 12 Kampus tal-Università ta 'l-Istat ta' Kalifornja (Bakersfield, Channel Islands, Dominguez Hills, Fullerton, Los Angeles, Long Beach, Northridge, Pomona, San Bernardino, San Diego, San Marcos, u San Luis Obispo); u istituzzjonijiet privati ​​bħall-Istitut tat-Teknoloġija ta 'California, Chapman University, The Claremont College (Claremont McKenna College, Harvey Mudd College, Pitzer College, Pomona College, u Scripps College), Loma Linda University, Loyola Marymount University, Occidental College, Pepperdine University , Università ta ’Redlands, Università ta’ San Diego, u l-Università tan-Nofsinhar ta ’California.</v>
      </c>
    </row>
    <row r="1198" ht="15.75" customHeight="1">
      <c r="A1198" s="2" t="s">
        <v>1198</v>
      </c>
      <c r="B1198" s="2" t="str">
        <f>IFERROR(__xludf.DUMMYFUNCTION("GOOGLETRANSLATE(A1198, ""en"", ""mt"")"),"Madwar 10 biljun barmil.")</f>
        <v>Madwar 10 biljun barmil.</v>
      </c>
    </row>
    <row r="1199" ht="15.75" customHeight="1">
      <c r="A1199" s="2" t="s">
        <v>1199</v>
      </c>
      <c r="B1199" s="2" t="str">
        <f>IFERROR(__xludf.DUMMYFUNCTION("GOOGLETRANSLATE(A1199, ""en"", ""mt"")"),"limfokini")</f>
        <v>limfokini</v>
      </c>
    </row>
    <row r="1200" ht="15.75" customHeight="1">
      <c r="A1200" s="2" t="s">
        <v>1200</v>
      </c>
      <c r="B1200" s="2" t="str">
        <f>IFERROR(__xludf.DUMMYFUNCTION("GOOGLETRANSLATE(A1200, ""en"", ""mt"")"),"bi ħlas għal kull unità ta 'informazzjoni trażmessa")</f>
        <v>bi ħlas għal kull unità ta 'informazzjoni trażmessa</v>
      </c>
    </row>
    <row r="1201" ht="15.75" customHeight="1">
      <c r="A1201" s="2" t="s">
        <v>1201</v>
      </c>
      <c r="B1201" s="2" t="str">
        <f>IFERROR(__xludf.DUMMYFUNCTION("GOOGLETRANSLATE(A1201, ""en"", ""mt"")"),"Fejn kienet tinfirex il-marda bejn l-1348 u l-1350?")</f>
        <v>Fejn kienet tinfirex il-marda bejn l-1348 u l-1350?</v>
      </c>
    </row>
    <row r="1202" ht="15.75" customHeight="1">
      <c r="A1202" s="2" t="s">
        <v>1202</v>
      </c>
      <c r="B1202" s="2" t="str">
        <f>IFERROR(__xludf.DUMMYFUNCTION("GOOGLETRANSLATE(A1202, ""en"", ""mt"")"),"Magni tat-Turing huma komunement impjegati biex jiddefinixxu x'inhu?")</f>
        <v>Magni tat-Turing huma komunement impjegati biex jiddefinixxu x'inhu?</v>
      </c>
    </row>
    <row r="1203" ht="15.75" customHeight="1">
      <c r="A1203" s="2" t="s">
        <v>1203</v>
      </c>
      <c r="B1203" s="2" t="str">
        <f>IFERROR(__xludf.DUMMYFUNCTION("GOOGLETRANSLATE(A1203, ""en"", ""mt"")"),"Fejn il-kotba ta 'Maududi poġġew l-Islam?")</f>
        <v>Fejn il-kotba ta 'Maududi poġġew l-Islam?</v>
      </c>
    </row>
    <row r="1204" ht="15.75" customHeight="1">
      <c r="A1204" s="2" t="s">
        <v>1204</v>
      </c>
      <c r="B1204" s="2" t="str">
        <f>IFERROR(__xludf.DUMMYFUNCTION("GOOGLETRANSLATE(A1204, ""en"", ""mt"")"),"l-aktar komuni")</f>
        <v>l-aktar komuni</v>
      </c>
    </row>
    <row r="1205" ht="15.75" customHeight="1">
      <c r="A1205" s="2" t="s">
        <v>1205</v>
      </c>
      <c r="B1205" s="2" t="str">
        <f>IFERROR(__xludf.DUMMYFUNCTION("GOOGLETRANSLATE(A1205, ""en"", ""mt"")"),"L-università qablet li tagħti grad lil xi gradwat ta 'schoos affiljat li għamel?")</f>
        <v>L-università qablet li tagħti grad lil xi gradwat ta 'schoos affiljat li għamel?</v>
      </c>
    </row>
    <row r="1206" ht="15.75" customHeight="1">
      <c r="A1206" s="2" t="s">
        <v>1206</v>
      </c>
      <c r="B1206" s="2" t="str">
        <f>IFERROR(__xludf.DUMMYFUNCTION("GOOGLETRANSLATE(A1206, ""en"", ""mt"")"),"X'kienu l-Palazz Sassonu u l-Palazz Brühl fi Prewar Varsavja?")</f>
        <v>X'kienu l-Palazz Sassonu u l-Palazz Brühl fi Prewar Varsavja?</v>
      </c>
    </row>
    <row r="1207" ht="15.75" customHeight="1">
      <c r="A1207" s="2" t="s">
        <v>1207</v>
      </c>
      <c r="B1207" s="2" t="str">
        <f>IFERROR(__xludf.DUMMYFUNCTION("GOOGLETRANSLATE(A1207, ""en"", ""mt"")"),"it-tradizzjonijiet kostituzzjonali komuni għall-istati membri")</f>
        <v>it-tradizzjonijiet kostituzzjonali komuni għall-istati membri</v>
      </c>
    </row>
    <row r="1208" ht="15.75" customHeight="1">
      <c r="A1208" s="2" t="s">
        <v>1208</v>
      </c>
      <c r="B1208" s="2" t="str">
        <f>IFERROR(__xludf.DUMMYFUNCTION("GOOGLETRANSLATE(A1208, ""en"", ""mt"")"),"sħana moħbija")</f>
        <v>sħana moħbija</v>
      </c>
    </row>
    <row r="1209" ht="15.75" customHeight="1">
      <c r="A1209" s="2" t="s">
        <v>1209</v>
      </c>
      <c r="B1209" s="2" t="str">
        <f>IFERROR(__xludf.DUMMYFUNCTION("GOOGLETRANSLATE(A1209, ""en"", ""mt"")"),"William Hartnell u Patrick Troughton")</f>
        <v>William Hartnell u Patrick Troughton</v>
      </c>
    </row>
    <row r="1210" ht="15.75" customHeight="1">
      <c r="A1210" s="2" t="s">
        <v>1210</v>
      </c>
      <c r="B1210" s="2" t="str">
        <f>IFERROR(__xludf.DUMMYFUNCTION("GOOGLETRANSLATE(A1210, ""en"", ""mt"")"),"In-naħa tal-Lbiċ 'il bogħod ta' Fresno")</f>
        <v>In-naħa tal-Lbiċ 'il bogħod ta' Fresno</v>
      </c>
    </row>
    <row r="1211" ht="15.75" customHeight="1">
      <c r="A1211" s="2" t="s">
        <v>1211</v>
      </c>
      <c r="B1211" s="2" t="str">
        <f>IFERROR(__xludf.DUMMYFUNCTION("GOOGLETRANSLATE(A1211, ""en"", ""mt"")"),"Private_school")</f>
        <v>Private_school</v>
      </c>
    </row>
    <row r="1212" ht="15.75" customHeight="1">
      <c r="A1212" s="2" t="s">
        <v>1212</v>
      </c>
      <c r="B1212" s="2" t="str">
        <f>IFERROR(__xludf.DUMMYFUNCTION("GOOGLETRANSLATE(A1212, ""en"", ""mt"")"),"Iċ-ċelloli T tal-għajnuna u regolatorji jistgħu jirrikonoxxu biss antiġeni akkoppjati ma 'x'tip ta' molekuli?")</f>
        <v>Iċ-ċelloli T tal-għajnuna u regolatorji jistgħu jirrikonoxxu biss antiġeni akkoppjati ma 'x'tip ta' molekuli?</v>
      </c>
    </row>
    <row r="1213" ht="15.75" customHeight="1">
      <c r="A1213" s="2" t="s">
        <v>1213</v>
      </c>
      <c r="B1213" s="2" t="str">
        <f>IFERROR(__xludf.DUMMYFUNCTION("GOOGLETRANSLATE(A1213, ""en"", ""mt"")"),"Meta tmur blat, għal xiex hija applikata d-data iżotopika assoluta?")</f>
        <v>Meta tmur blat, għal xiex hija applikata d-data iżotopika assoluta?</v>
      </c>
    </row>
    <row r="1214" ht="15.75" customHeight="1">
      <c r="A1214" s="2" t="s">
        <v>1214</v>
      </c>
      <c r="B1214" s="2" t="str">
        <f>IFERROR(__xludf.DUMMYFUNCTION("GOOGLETRANSLATE(A1214, ""en"", ""mt"")"),"Ġeofiżika")</f>
        <v>Ġeofiżika</v>
      </c>
    </row>
    <row r="1215" ht="15.75" customHeight="1">
      <c r="A1215" s="2" t="s">
        <v>1215</v>
      </c>
      <c r="B1215" s="2" t="str">
        <f>IFERROR(__xludf.DUMMYFUNCTION("GOOGLETRANSLATE(A1215, ""en"", ""mt"")"),"Rivoluzzjonarju")</f>
        <v>Rivoluzzjonarju</v>
      </c>
    </row>
    <row r="1216" ht="15.75" customHeight="1">
      <c r="A1216" s="2" t="s">
        <v>1216</v>
      </c>
      <c r="B1216" s="2" t="str">
        <f>IFERROR(__xludf.DUMMYFUNCTION("GOOGLETRANSLATE(A1216, ""en"", ""mt"")"),"Pożizzjonijiet diffiċli biex timla")</f>
        <v>Pożizzjonijiet diffiċli biex timla</v>
      </c>
    </row>
    <row r="1217" ht="15.75" customHeight="1">
      <c r="A1217" s="2" t="s">
        <v>1217</v>
      </c>
      <c r="B1217" s="2" t="str">
        <f>IFERROR(__xludf.DUMMYFUNCTION("GOOGLETRANSLATE(A1217, ""en"", ""mt"")"),"X'kienet il-klassifikazzjoni tal-quarterback ta 'Newton għall-2015?")</f>
        <v>X'kienet il-klassifikazzjoni tal-quarterback ta 'Newton għall-2015?</v>
      </c>
    </row>
    <row r="1218" ht="15.75" customHeight="1">
      <c r="A1218" s="2" t="s">
        <v>1218</v>
      </c>
      <c r="B1218" s="2" t="str">
        <f>IFERROR(__xludf.DUMMYFUNCTION("GOOGLETRANSLATE(A1218, ""en"", ""mt"")"),"tiċkien")</f>
        <v>tiċkien</v>
      </c>
    </row>
    <row r="1219" ht="15.75" customHeight="1">
      <c r="A1219" s="2" t="s">
        <v>1219</v>
      </c>
      <c r="B1219" s="2" t="str">
        <f>IFERROR(__xludf.DUMMYFUNCTION("GOOGLETRANSLATE(A1219, ""en"", ""mt"")"),"Id-dgħajsa tal-imħabba")</f>
        <v>Id-dgħajsa tal-imħabba</v>
      </c>
    </row>
    <row r="1220" ht="15.75" customHeight="1">
      <c r="A1220" s="2" t="s">
        <v>1220</v>
      </c>
      <c r="B1220" s="2" t="str">
        <f>IFERROR(__xludf.DUMMYFUNCTION("GOOGLETRANSLATE(A1220, ""en"", ""mt"")"),"Diversi kuntratturi D&amp;B")</f>
        <v>Diversi kuntratturi D&amp;B</v>
      </c>
    </row>
    <row r="1221" ht="15.75" customHeight="1">
      <c r="A1221" s="2" t="s">
        <v>1221</v>
      </c>
      <c r="B1221" s="2" t="str">
        <f>IFERROR(__xludf.DUMMYFUNCTION("GOOGLETRANSLATE(A1221, ""en"", ""mt"")"),"kmieni")</f>
        <v>kmieni</v>
      </c>
    </row>
    <row r="1222" ht="15.75" customHeight="1">
      <c r="A1222" s="2" t="s">
        <v>1222</v>
      </c>
      <c r="B1222" s="2" t="str">
        <f>IFERROR(__xludf.DUMMYFUNCTION("GOOGLETRANSLATE(A1222, ""en"", ""mt"")"),"X'inhu l-isem tat-trofew li r-rebbieħa kollha tas-Super Bowl jirċievu?")</f>
        <v>X'inhu l-isem tat-trofew li r-rebbieħa kollha tas-Super Bowl jirċievu?</v>
      </c>
    </row>
    <row r="1223" ht="15.75" customHeight="1">
      <c r="A1223" s="2" t="s">
        <v>1223</v>
      </c>
      <c r="B1223" s="2" t="str">
        <f>IFERROR(__xludf.DUMMYFUNCTION("GOOGLETRANSLATE(A1223, ""en"", ""mt"")"),"$ 40 miljun")</f>
        <v>$ 40 miljun</v>
      </c>
    </row>
    <row r="1224" ht="15.75" customHeight="1">
      <c r="A1224" s="2" t="s">
        <v>1224</v>
      </c>
      <c r="B1224" s="2" t="str">
        <f>IFERROR(__xludf.DUMMYFUNCTION("GOOGLETRANSLATE(A1224, ""en"", ""mt"")"),"Liġi tal-provvista u d-domanda")</f>
        <v>Liġi tal-provvista u d-domanda</v>
      </c>
    </row>
    <row r="1225" ht="15.75" customHeight="1">
      <c r="A1225" s="2" t="s">
        <v>1225</v>
      </c>
      <c r="B1225" s="2" t="str">
        <f>IFERROR(__xludf.DUMMYFUNCTION("GOOGLETRANSLATE(A1225, ""en"", ""mt"")"),"Ramifikazzjoni fil-ġeometrija")</f>
        <v>Ramifikazzjoni fil-ġeometrija</v>
      </c>
    </row>
    <row r="1226" ht="15.75" customHeight="1">
      <c r="A1226" s="2" t="s">
        <v>1226</v>
      </c>
      <c r="B1226" s="2" t="str">
        <f>IFERROR(__xludf.DUMMYFUNCTION("GOOGLETRANSLATE(A1226, ""en"", ""mt"")"),"Jekk P huwa fl-aħħar mill-aħħar ippruvat li huwa ugwali għal NP, x'effett ikollu dan fuq l-effiċjenza tal-problemi?")</f>
        <v>Jekk P huwa fl-aħħar mill-aħħar ippruvat li huwa ugwali għal NP, x'effett ikollu dan fuq l-effiċjenza tal-problemi?</v>
      </c>
    </row>
    <row r="1227" ht="15.75" customHeight="1">
      <c r="A1227" s="2" t="s">
        <v>1227</v>
      </c>
      <c r="B1227" s="2" t="str">
        <f>IFERROR(__xludf.DUMMYFUNCTION("GOOGLETRANSLATE(A1227, ""en"", ""mt"")"),"Kemm elementi Aristotile emmnu li l-isfera terrestri għandha tkun magħmula minnha?")</f>
        <v>Kemm elementi Aristotile emmnu li l-isfera terrestri għandha tkun magħmula minnha?</v>
      </c>
    </row>
    <row r="1228" ht="15.75" customHeight="1">
      <c r="A1228" s="2" t="s">
        <v>1228</v>
      </c>
      <c r="B1228" s="2" t="str">
        <f>IFERROR(__xludf.DUMMYFUNCTION("GOOGLETRANSLATE(A1228, ""en"", ""mt"")"),"Vitamina D.")</f>
        <v>Vitamina D.</v>
      </c>
    </row>
    <row r="1229" ht="15.75" customHeight="1">
      <c r="A1229" s="2" t="s">
        <v>1229</v>
      </c>
      <c r="B1229" s="2" t="str">
        <f>IFERROR(__xludf.DUMMYFUNCTION("GOOGLETRANSLATE(A1229, ""en"", ""mt"")"),"L-Awstralja")</f>
        <v>L-Awstralja</v>
      </c>
    </row>
    <row r="1230" ht="15.75" customHeight="1">
      <c r="A1230" s="2" t="s">
        <v>1230</v>
      </c>
      <c r="B1230" s="2" t="str">
        <f>IFERROR(__xludf.DUMMYFUNCTION("GOOGLETRANSLATE(A1230, ""en"", ""mt"")"),"Iċ-ċiklu tal-karbonju")</f>
        <v>Iċ-ċiklu tal-karbonju</v>
      </c>
    </row>
    <row r="1231" ht="15.75" customHeight="1">
      <c r="A1231" s="2" t="s">
        <v>1231</v>
      </c>
      <c r="B1231" s="2" t="str">
        <f>IFERROR(__xludf.DUMMYFUNCTION("GOOGLETRANSLATE(A1231, ""en"", ""mt"")"),"X'inhu s-sors tas-sħana tas-soltu għall-ilma jagħli fil-magna tal-fwar?")</f>
        <v>X'inhu s-sors tas-sħana tas-soltu għall-ilma jagħli fil-magna tal-fwar?</v>
      </c>
    </row>
    <row r="1232" ht="15.75" customHeight="1">
      <c r="A1232" s="2" t="s">
        <v>1232</v>
      </c>
      <c r="B1232" s="2" t="str">
        <f>IFERROR(__xludf.DUMMYFUNCTION("GOOGLETRANSLATE(A1232, ""en"", ""mt"")"),"X'kienet it-twemmin li ż-żamma tal-moviment kienet teħtieġ il-forza?")</f>
        <v>X'kienet it-twemmin li ż-żamma tal-moviment kienet teħtieġ il-forza?</v>
      </c>
    </row>
    <row r="1233" ht="15.75" customHeight="1">
      <c r="A1233" s="2" t="s">
        <v>1233</v>
      </c>
      <c r="B1233" s="2" t="str">
        <f>IFERROR(__xludf.DUMMYFUNCTION("GOOGLETRANSLATE(A1233, ""en"", ""mt"")"),"għamel grad ta 'A għall-erba' snin kollha, u fuq kwalunkwe gradwat ieħor li ħa tnax-il ġimgħa studju addizzjonali fl-Università ta 'Chicago")</f>
        <v>għamel grad ta 'A għall-erba' snin kollha, u fuq kwalunkwe gradwat ieħor li ħa tnax-il ġimgħa studju addizzjonali fl-Università ta 'Chicago</v>
      </c>
    </row>
    <row r="1234" ht="15.75" customHeight="1">
      <c r="A1234" s="2" t="s">
        <v>1234</v>
      </c>
      <c r="B1234" s="2" t="str">
        <f>IFERROR(__xludf.DUMMYFUNCTION("GOOGLETRANSLATE(A1234, ""en"", ""mt"")"),"L-imperu Mongoljan kien regolat minn kodiċi ċivili u militari, imsejjaħ il-Yassa, maħluq minn Genghis Khan. L-imperu Mongoljan ma enfasizzax l-importanza tal-etniċità u r-razza fl-isfera amministrattiva, minflok adotta approċċ ibbażat fuq il-meritokrazija"&amp;". L-eċċezzjoni kienet ir-rwol ta ’Genghis Khan u l-familja tiegħu. L-Imperu Mongoljan kien wieħed mill-aktar imperi etnikament u kulturalment diversi fl-istorja, kif kien jaqbel mad-daqs tiegħu. Ħafna mill-abitanti nomadi tal-Imperu qiesu lilhom infushom "&amp;"Mongoli fil-ħajja militari u ċivili, inklużi Mongoli, Torok u oħrajn u inkludew bosta khans diversi ta 'diversi etniċi bħala parti mill-imperu Mongoljan bħal Muhammad Khan.")</f>
        <v>L-imperu Mongoljan kien regolat minn kodiċi ċivili u militari, imsejjaħ il-Yassa, maħluq minn Genghis Khan. L-imperu Mongoljan ma enfasizzax l-importanza tal-etniċità u r-razza fl-isfera amministrattiva, minflok adotta approċċ ibbażat fuq il-meritokrazija. L-eċċezzjoni kienet ir-rwol ta ’Genghis Khan u l-familja tiegħu. L-Imperu Mongoljan kien wieħed mill-aktar imperi etnikament u kulturalment diversi fl-istorja, kif kien jaqbel mad-daqs tiegħu. Ħafna mill-abitanti nomadi tal-Imperu qiesu lilhom infushom Mongoli fil-ħajja militari u ċivili, inklużi Mongoli, Torok u oħrajn u inkludew bosta khans diversi ta 'diversi etniċi bħala parti mill-imperu Mongoljan bħal Muhammad Khan.</v>
      </c>
    </row>
    <row r="1235" ht="15.75" customHeight="1">
      <c r="A1235" s="2" t="s">
        <v>1235</v>
      </c>
      <c r="B1235" s="2" t="str">
        <f>IFERROR(__xludf.DUMMYFUNCTION("GOOGLETRANSLATE(A1235, ""en"", ""mt"")"),"Dublin, Cork, Portarlington, Lisburn, Waterford u Youghal")</f>
        <v>Dublin, Cork, Portarlington, Lisburn, Waterford u Youghal</v>
      </c>
    </row>
    <row r="1236" ht="15.75" customHeight="1">
      <c r="A1236" s="2" t="s">
        <v>1236</v>
      </c>
      <c r="B1236" s="2" t="str">
        <f>IFERROR(__xludf.DUMMYFUNCTION("GOOGLETRANSLATE(A1236, ""en"", ""mt"")"),"Kemm huma kbar il-phycobilisomes?")</f>
        <v>Kemm huma kbar il-phycobilisomes?</v>
      </c>
    </row>
    <row r="1237" ht="15.75" customHeight="1">
      <c r="A1237" s="2" t="s">
        <v>1237</v>
      </c>
      <c r="B1237" s="2" t="str">
        <f>IFERROR(__xludf.DUMMYFUNCTION("GOOGLETRANSLATE(A1237, ""en"", ""mt"")"),"mhux vjolenti")</f>
        <v>mhux vjolenti</v>
      </c>
    </row>
    <row r="1238" ht="15.75" customHeight="1">
      <c r="A1238" s="2" t="s">
        <v>1238</v>
      </c>
      <c r="B1238" s="2" t="str">
        <f>IFERROR(__xludf.DUMMYFUNCTION("GOOGLETRANSLATE(A1238, ""en"", ""mt"")"),"L-ex kamra tad-dibattitu tal-Kunsill Reġjonali ta 'Strathclyde")</f>
        <v>L-ex kamra tad-dibattitu tal-Kunsill Reġjonali ta 'Strathclyde</v>
      </c>
    </row>
    <row r="1239" ht="15.75" customHeight="1">
      <c r="A1239" s="2" t="s">
        <v>1239</v>
      </c>
      <c r="B1239" s="2" t="str">
        <f>IFERROR(__xludf.DUMMYFUNCTION("GOOGLETRANSLATE(A1239, ""en"", ""mt"")"),"X'kienet it-telfa tat-truppi Għarab f'idejn it-truppi Iżraeljani matul il-gwerra ta 'sitt ijiem?")</f>
        <v>X'kienet it-telfa tat-truppi Għarab f'idejn it-truppi Iżraeljani matul il-gwerra ta 'sitt ijiem?</v>
      </c>
    </row>
    <row r="1240" ht="15.75" customHeight="1">
      <c r="A1240" s="2" t="s">
        <v>1240</v>
      </c>
      <c r="B1240" s="2" t="str">
        <f>IFERROR(__xludf.DUMMYFUNCTION("GOOGLETRANSLATE(A1240, ""en"", ""mt"")"),"Liema konġettura ssostni li għal kwalunkwe numru sħiħ pożittiv n, hemm ammont infinit ta 'pari ta' primes konsekuttivi differenti minn 2N?")</f>
        <v>Liema konġettura ssostni li għal kwalunkwe numru sħiħ pożittiv n, hemm ammont infinit ta 'pari ta' primes konsekuttivi differenti minn 2N?</v>
      </c>
    </row>
    <row r="1241" ht="15.75" customHeight="1">
      <c r="A1241" s="2" t="s">
        <v>1241</v>
      </c>
      <c r="B1241" s="2" t="str">
        <f>IFERROR(__xludf.DUMMYFUNCTION("GOOGLETRANSLATE(A1241, ""en"", ""mt"")"),"L-ispiżeriji tal-isptar ġeneralment jaħżnu firxa akbar ta 'mediċini, inklużi mediċini aktar speċjalizzati")</f>
        <v>L-ispiżeriji tal-isptar ġeneralment jaħżnu firxa akbar ta 'mediċini, inklużi mediċini aktar speċjalizzati</v>
      </c>
    </row>
    <row r="1242" ht="15.75" customHeight="1">
      <c r="A1242" s="2" t="s">
        <v>1242</v>
      </c>
      <c r="B1242" s="2" t="str">
        <f>IFERROR(__xludf.DUMMYFUNCTION("GOOGLETRANSLATE(A1242, ""en"", ""mt"")"),"X'inhuma l-fitoplankton?")</f>
        <v>X'inhuma l-fitoplankton?</v>
      </c>
    </row>
    <row r="1243" ht="15.75" customHeight="1">
      <c r="A1243" s="2" t="s">
        <v>1243</v>
      </c>
      <c r="B1243" s="2" t="str">
        <f>IFERROR(__xludf.DUMMYFUNCTION("GOOGLETRANSLATE(A1243, ""en"", ""mt"")"),"Majjistral madwar l-Ewropa")</f>
        <v>Majjistral madwar l-Ewropa</v>
      </c>
    </row>
    <row r="1244" ht="15.75" customHeight="1">
      <c r="A1244" s="2" t="s">
        <v>1244</v>
      </c>
      <c r="B1244" s="2" t="str">
        <f>IFERROR(__xludf.DUMMYFUNCTION("GOOGLETRANSLATE(A1244, ""en"", ""mt"")"),"kloroplasti ta 'pjanti C4")</f>
        <v>kloroplasti ta 'pjanti C4</v>
      </c>
    </row>
    <row r="1245" ht="15.75" customHeight="1">
      <c r="A1245" s="2" t="s">
        <v>1245</v>
      </c>
      <c r="B1245" s="2" t="str">
        <f>IFERROR(__xludf.DUMMYFUNCTION("GOOGLETRANSLATE(A1245, ""en"", ""mt"")"),"għaxar minuti")</f>
        <v>għaxar minuti</v>
      </c>
    </row>
    <row r="1246" ht="15.75" customHeight="1">
      <c r="A1246" s="2" t="s">
        <v>1246</v>
      </c>
      <c r="B1246" s="2" t="str">
        <f>IFERROR(__xludf.DUMMYFUNCTION("GOOGLETRANSLATE(A1246, ""en"", ""mt"")"),"ġbir ta 'fondi")</f>
        <v>ġbir ta 'fondi</v>
      </c>
    </row>
    <row r="1247" ht="15.75" customHeight="1">
      <c r="A1247" s="2" t="s">
        <v>1247</v>
      </c>
      <c r="B1247" s="2" t="str">
        <f>IFERROR(__xludf.DUMMYFUNCTION("GOOGLETRANSLATE(A1247, ""en"", ""mt"")"),"Liema pubblikazzjoni ppubblikat artiklu dwar Tesla fl-1912?")</f>
        <v>Liema pubblikazzjoni ppubblikat artiklu dwar Tesla fl-1912?</v>
      </c>
    </row>
    <row r="1248" ht="15.75" customHeight="1">
      <c r="A1248" s="2" t="s">
        <v>1248</v>
      </c>
      <c r="B1248" s="2" t="str">
        <f>IFERROR(__xludf.DUMMYFUNCTION("GOOGLETRANSLATE(A1248, ""en"", ""mt"")"),"Emmerich Rhine Bridge,")</f>
        <v>Emmerich Rhine Bridge,</v>
      </c>
    </row>
    <row r="1249" ht="15.75" customHeight="1">
      <c r="A1249" s="2" t="s">
        <v>1249</v>
      </c>
      <c r="B1249" s="2" t="str">
        <f>IFERROR(__xludf.DUMMYFUNCTION("GOOGLETRANSLATE(A1249, ""en"", ""mt"")"),"Taxxa progressiva")</f>
        <v>Taxxa progressiva</v>
      </c>
    </row>
    <row r="1250" ht="15.75" customHeight="1">
      <c r="A1250" s="2" t="s">
        <v>1250</v>
      </c>
      <c r="B1250" s="2" t="str">
        <f>IFERROR(__xludf.DUMMYFUNCTION("GOOGLETRANSLATE(A1250, ""en"", ""mt"")"),"Sib dak li jgħin biex jiddetermina jekk tort huwiex difett normali jew tort tal-ġibda?")</f>
        <v>Sib dak li jgħin biex jiddetermina jekk tort huwiex difett normali jew tort tal-ġibda?</v>
      </c>
    </row>
    <row r="1251" ht="15.75" customHeight="1">
      <c r="A1251" s="2" t="s">
        <v>1251</v>
      </c>
      <c r="B1251" s="2" t="str">
        <f>IFERROR(__xludf.DUMMYFUNCTION("GOOGLETRANSLATE(A1251, ""en"", ""mt"")"),"Xi jfisser il-karta tal-patoġen PLOS?")</f>
        <v>Xi jfisser il-karta tal-patoġen PLOS?</v>
      </c>
    </row>
    <row r="1252" ht="15.75" customHeight="1">
      <c r="A1252" s="2" t="s">
        <v>1252</v>
      </c>
      <c r="B1252" s="2" t="str">
        <f>IFERROR(__xludf.DUMMYFUNCTION("GOOGLETRANSLATE(A1252, ""en"", ""mt"")"),"Jikkonsma ATP u Ossiġenu, jirrilaxxa s-CO2, u ma jipproduċi l-ebda zokkor")</f>
        <v>Jikkonsma ATP u Ossiġenu, jirrilaxxa s-CO2, u ma jipproduċi l-ebda zokkor</v>
      </c>
    </row>
    <row r="1253" ht="15.75" customHeight="1">
      <c r="A1253" s="2" t="s">
        <v>1253</v>
      </c>
      <c r="B1253" s="2" t="str">
        <f>IFERROR(__xludf.DUMMYFUNCTION("GOOGLETRANSLATE(A1253, ""en"", ""mt"")"),"Realiżmu Soċjalista")</f>
        <v>Realiżmu Soċjalista</v>
      </c>
    </row>
    <row r="1254" ht="15.75" customHeight="1">
      <c r="A1254" s="2" t="s">
        <v>1254</v>
      </c>
      <c r="B1254" s="2" t="str">
        <f>IFERROR(__xludf.DUMMYFUNCTION("GOOGLETRANSLATE(A1254, ""en"", ""mt"")"),"Port ta 'Long Beach")</f>
        <v>Port ta 'Long Beach</v>
      </c>
    </row>
    <row r="1255" ht="15.75" customHeight="1">
      <c r="A1255" s="2" t="s">
        <v>1255</v>
      </c>
      <c r="B1255" s="2" t="str">
        <f>IFERROR(__xludf.DUMMYFUNCTION("GOOGLETRANSLATE(A1255, ""en"", ""mt"")"),"X'tip ta 'midalja in-NASA tat lill-astronawti li żaru l-ispazju u l-qamar?")</f>
        <v>X'tip ta 'midalja in-NASA tat lill-astronawti li żaru l-ispazju u l-qamar?</v>
      </c>
    </row>
    <row r="1256" ht="15.75" customHeight="1">
      <c r="A1256" s="2" t="s">
        <v>1256</v>
      </c>
      <c r="B1256" s="2" t="str">
        <f>IFERROR(__xludf.DUMMYFUNCTION("GOOGLETRANSLATE(A1256, ""en"", ""mt"")"),"Is-sitt inqas")</f>
        <v>Is-sitt inqas</v>
      </c>
    </row>
    <row r="1257" ht="15.75" customHeight="1">
      <c r="A1257" s="2" t="s">
        <v>1257</v>
      </c>
      <c r="B1257" s="2" t="str">
        <f>IFERROR(__xludf.DUMMYFUNCTION("GOOGLETRANSLATE(A1257, ""en"", ""mt"")"),"Queer bħala folk")</f>
        <v>Queer bħala folk</v>
      </c>
    </row>
    <row r="1258" ht="15.75" customHeight="1">
      <c r="A1258" s="2" t="s">
        <v>1258</v>
      </c>
      <c r="B1258" s="2" t="str">
        <f>IFERROR(__xludf.DUMMYFUNCTION("GOOGLETRANSLATE(A1258, ""en"", ""mt"")"),"Artikolu 5")</f>
        <v>Artikolu 5</v>
      </c>
    </row>
    <row r="1259" ht="15.75" customHeight="1">
      <c r="A1259" s="2" t="s">
        <v>1259</v>
      </c>
      <c r="B1259" s="2" t="str">
        <f>IFERROR(__xludf.DUMMYFUNCTION("GOOGLETRANSLATE(A1259, ""en"", ""mt"")"),"Tesla u / jew Edison kienu rrifjutaw il-premju")</f>
        <v>Tesla u / jew Edison kienu rrifjutaw il-premju</v>
      </c>
    </row>
    <row r="1260" ht="15.75" customHeight="1">
      <c r="A1260" s="2" t="s">
        <v>1260</v>
      </c>
      <c r="B1260" s="2" t="str">
        <f>IFERROR(__xludf.DUMMYFUNCTION("GOOGLETRANSLATE(A1260, ""en"", ""mt"")"),"Liema forza taġixxi fuq oġġett sospiż fuq skala tar-rebbiegħa minbarra l-gravità?")</f>
        <v>Liema forza taġixxi fuq oġġett sospiż fuq skala tar-rebbiegħa minbarra l-gravità?</v>
      </c>
    </row>
    <row r="1261" ht="15.75" customHeight="1">
      <c r="A1261" s="2" t="s">
        <v>1261</v>
      </c>
      <c r="B1261" s="2" t="str">
        <f>IFERROR(__xludf.DUMMYFUNCTION("GOOGLETRANSLATE(A1261, ""en"", ""mt"")"),"Lista kompluta ta 'primes sa hija magħrufa")</f>
        <v>Lista kompluta ta 'primes sa hija magħrufa</v>
      </c>
    </row>
    <row r="1262" ht="15.75" customHeight="1">
      <c r="A1262" s="2" t="s">
        <v>1262</v>
      </c>
      <c r="B1262" s="2" t="str">
        <f>IFERROR(__xludf.DUMMYFUNCTION("GOOGLETRANSLATE(A1262, ""en"", ""mt"")"),"10 ta 'tè ta' nofsinhar (chai ya saa nne) u l-4 pm")</f>
        <v>10 ta 'tè ta' nofsinhar (chai ya saa nne) u l-4 pm</v>
      </c>
    </row>
    <row r="1263" ht="15.75" customHeight="1">
      <c r="A1263" s="2" t="s">
        <v>1263</v>
      </c>
      <c r="B1263" s="2" t="str">
        <f>IFERROR(__xludf.DUMMYFUNCTION("GOOGLETRANSLATE(A1263, ""en"", ""mt"")"),"Il-verżjoni tal-1538 tal-Luther tal-1538 tat-Talb tal-Mulej, ""Vater Unser Im Himmelreich"", tikkorrispondi eżattament għall-ispjegazzjoni ta 'Luther dwar it-talb fil-katekiżmu żgħir, bi stanza waħda għal kull waħda mis-seba' petizzjonijiet ta 'talb, flim"&amp;"kien ma' ftuħ u għeluq stanzji. L-innu jaħdem kemm bħala ambjent liturġiku tat-talb tal-Mulej kif ukoll bħala mezz biex jeżamina kandidati dwar mistoqsijiet speċifiċi tal-katekiżmu. Il-manuskritt eżistenti juri reviżjonijiet multipli, li juri t-tħassib ta"&amp;" 'Luther biex jiċċara u jsaħħaħ it-test u jipprovdi melodija ta' talb b'mod xieraq. Versifikazzjonijiet oħra tas-seklu 16 u 20 tat-talb tal-Mulej adottaw l-intonazzjoni ta 'Luther, għalkemm it-testi moderni huma konsiderevolment iqsar.")</f>
        <v>Il-verżjoni tal-1538 tal-Luther tal-1538 tat-Talb tal-Mulej, "Vater Unser Im Himmelreich", tikkorrispondi eżattament għall-ispjegazzjoni ta 'Luther dwar it-talb fil-katekiżmu żgħir, bi stanza waħda għal kull waħda mis-seba' petizzjonijiet ta 'talb, flimkien ma' ftuħ u għeluq stanzji. L-innu jaħdem kemm bħala ambjent liturġiku tat-talb tal-Mulej kif ukoll bħala mezz biex jeżamina kandidati dwar mistoqsijiet speċifiċi tal-katekiżmu. Il-manuskritt eżistenti juri reviżjonijiet multipli, li juri t-tħassib ta 'Luther biex jiċċara u jsaħħaħ it-test u jipprovdi melodija ta' talb b'mod xieraq. Versifikazzjonijiet oħra tas-seklu 16 u 20 tat-talb tal-Mulej adottaw l-intonazzjoni ta 'Luther, għalkemm it-testi moderni huma konsiderevolment iqsar.</v>
      </c>
    </row>
    <row r="1264" ht="15.75" customHeight="1">
      <c r="A1264" s="2" t="s">
        <v>1264</v>
      </c>
      <c r="B1264" s="2" t="str">
        <f>IFERROR(__xludf.DUMMYFUNCTION("GOOGLETRANSLATE(A1264, ""en"", ""mt"")"),"mudelli")</f>
        <v>mudelli</v>
      </c>
    </row>
    <row r="1265" ht="15.75" customHeight="1">
      <c r="A1265" s="2" t="s">
        <v>1265</v>
      </c>
      <c r="B1265" s="2" t="str">
        <f>IFERROR(__xludf.DUMMYFUNCTION("GOOGLETRANSLATE(A1265, ""en"", ""mt"")"),"rivista kummerċjali għall-industrija tal-kostruzzjoni")</f>
        <v>rivista kummerċjali għall-industrija tal-kostruzzjoni</v>
      </c>
    </row>
    <row r="1266" ht="15.75" customHeight="1">
      <c r="A1266" s="2" t="s">
        <v>1266</v>
      </c>
      <c r="B1266" s="2" t="str">
        <f>IFERROR(__xludf.DUMMYFUNCTION("GOOGLETRANSLATE(A1266, ""en"", ""mt"")"),"X'ġara mill-ekwipaġġ ta 'Apollo 13 biex iġġiegħelhom jużaw l-LM bħala ""dgħajsa tal-ħajja"" kif kien iddisinjat?")</f>
        <v>X'ġara mill-ekwipaġġ ta 'Apollo 13 biex iġġiegħelhom jużaw l-LM bħala "dgħajsa tal-ħajja" kif kien iddisinjat?</v>
      </c>
    </row>
    <row r="1267" ht="15.75" customHeight="1">
      <c r="A1267" s="2" t="s">
        <v>1267</v>
      </c>
      <c r="B1267" s="2" t="str">
        <f>IFERROR(__xludf.DUMMYFUNCTION("GOOGLETRANSLATE(A1267, ""en"", ""mt"")"),"X'kien l-isem tas-single li Coldplay u Beyoncé ikkollaboraw fuqu?")</f>
        <v>X'kien l-isem tas-single li Coldplay u Beyoncé ikkollaboraw fuqu?</v>
      </c>
    </row>
    <row r="1268" ht="15.75" customHeight="1">
      <c r="A1268" s="2" t="s">
        <v>1268</v>
      </c>
      <c r="B1268" s="2" t="str">
        <f>IFERROR(__xludf.DUMMYFUNCTION("GOOGLETRANSLATE(A1268, ""en"", ""mt"")"),"iż-żona moderata")</f>
        <v>iż-żona moderata</v>
      </c>
    </row>
    <row r="1269" ht="15.75" customHeight="1">
      <c r="A1269" s="2" t="s">
        <v>1269</v>
      </c>
      <c r="B1269" s="2" t="str">
        <f>IFERROR(__xludf.DUMMYFUNCTION("GOOGLETRANSLATE(A1269, ""en"", ""mt"")"),"Luther's 1524 Creedal Innu ""Wir Glauben Kollha Einen Gott"" (""Aħna lkoll nemmnu f'Alla Veru wieħed"") hija konfessjoni ta 'fidi bi tliet stanza li tipprefigura l-1529 ta' Luther 1529 Spjegazzjoni ta 'tliet partijiet tal-Appostli ""Kreditu fil-Katekiżmu "&amp;"Żgħir. L-innu ta 'Luther, adattat u estiż minn innu Ġermaniż ta' Creeda, kiseb użu mifrux fil-liturġiji tal-Luterani vernakolari kmieni fl-1525. Innu Luterani tas-seklu sittax inkludew ukoll ""Wir Glauben kollha"" fost l-innijiet kateketiċi, għalkemm l-in"&amp;"nu tas-seklu 18-il L-innu bħala trinitarju aktar milli kateketiku, u l-Luterani tas-seklu 20 rarament jużaw l-innu minħabba d-diffikultà perċepita ta 'l-intonazzjoni tiegħu.")</f>
        <v>Luther's 1524 Creedal Innu "Wir Glauben Kollha Einen Gott" ("Aħna lkoll nemmnu f'Alla Veru wieħed") hija konfessjoni ta 'fidi bi tliet stanza li tipprefigura l-1529 ta' Luther 1529 Spjegazzjoni ta 'tliet partijiet tal-Appostli "Kreditu fil-Katekiżmu Żgħir. L-innu ta 'Luther, adattat u estiż minn innu Ġermaniż ta' Creeda, kiseb użu mifrux fil-liturġiji tal-Luterani vernakolari kmieni fl-1525. Innu Luterani tas-seklu sittax inkludew ukoll "Wir Glauben kollha" fost l-innijiet kateketiċi, għalkemm l-innu tas-seklu 18-il L-innu bħala trinitarju aktar milli kateketiku, u l-Luterani tas-seklu 20 rarament jużaw l-innu minħabba d-diffikultà perċepita ta 'l-intonazzjoni tiegħu.</v>
      </c>
    </row>
    <row r="1270" ht="15.75" customHeight="1">
      <c r="A1270" s="2" t="s">
        <v>1270</v>
      </c>
      <c r="B1270" s="2" t="str">
        <f>IFERROR(__xludf.DUMMYFUNCTION("GOOGLETRANSLATE(A1270, ""en"", ""mt"")"),"Powered bil-fwar")</f>
        <v>Powered bil-fwar</v>
      </c>
    </row>
    <row r="1271" ht="15.75" customHeight="1">
      <c r="A1271" s="2" t="s">
        <v>1271</v>
      </c>
      <c r="B1271" s="2" t="str">
        <f>IFERROR(__xludf.DUMMYFUNCTION("GOOGLETRANSLATE(A1271, ""en"", ""mt"")"),"Kif jiġi prodott l-ossiġnu mid-dijossidu tal-karbonju fuq il-pjaneti l-oħra tas-sistema solari?")</f>
        <v>Kif jiġi prodott l-ossiġnu mid-dijossidu tal-karbonju fuq il-pjaneti l-oħra tas-sistema solari?</v>
      </c>
    </row>
    <row r="1272" ht="15.75" customHeight="1">
      <c r="A1272" s="2" t="s">
        <v>1272</v>
      </c>
      <c r="B1272" s="2" t="str">
        <f>IFERROR(__xludf.DUMMYFUNCTION("GOOGLETRANSLATE(A1272, ""en"", ""mt"")"),"Fl-1888, l-editur tar-rivista World Electrical, Thomas Commerford Martin (ħabib u pubblikatur), irranġat biex Tesla juri s-sistema kurrenti alternanti tiegħu, inkluż il-mutur ta 'induzzjoni tiegħu, fl-Istitut Amerikan ta' l-Inġiniera Elettriċi (issa IEEE)"&amp;". Inġiniera li jaħdmu għall-Westinghouse Electric &amp; Manufacturing Company irrappurtaw lil George Westinghouse li Tesla kellha mutur AC vijabbli u sistema ta ’enerġija relatata - xi ħaġa li għaliha Westinghouse kien qed jipprova jiżgura l-privattivi. Westi"&amp;"nghouse eżaminat li jkollok brevett fuq mutur ta 'induzzjoni bbażat fuq il-kamp manjetiku simili mingħajr kommutatur ippreżentat f'karta f'Marzu 1888 mill-fiżiċista Taljan Galileo Ferraris, iżda ddeċieda li l-privattiva ta' Tesla probabbilment tikkontroll"&amp;"a s-suq.")</f>
        <v>Fl-1888, l-editur tar-rivista World Electrical, Thomas Commerford Martin (ħabib u pubblikatur), irranġat biex Tesla juri s-sistema kurrenti alternanti tiegħu, inkluż il-mutur ta 'induzzjoni tiegħu, fl-Istitut Amerikan ta' l-Inġiniera Elettriċi (issa IEEE). Inġiniera li jaħdmu għall-Westinghouse Electric &amp; Manufacturing Company irrappurtaw lil George Westinghouse li Tesla kellha mutur AC vijabbli u sistema ta ’enerġija relatata - xi ħaġa li għaliha Westinghouse kien qed jipprova jiżgura l-privattivi. Westinghouse eżaminat li jkollok brevett fuq mutur ta 'induzzjoni bbażat fuq il-kamp manjetiku simili mingħajr kommutatur ippreżentat f'karta f'Marzu 1888 mill-fiżiċista Taljan Galileo Ferraris, iżda ddeċieda li l-privattiva ta' Tesla probabbilment tikkontrolla s-suq.</v>
      </c>
    </row>
    <row r="1273" ht="15.75" customHeight="1">
      <c r="A1273" s="2" t="s">
        <v>1273</v>
      </c>
      <c r="B1273" s="2" t="str">
        <f>IFERROR(__xludf.DUMMYFUNCTION("GOOGLETRANSLATE(A1273, ""en"", ""mt"")"),"F'liema daqs u akbar il-mediċini jistgħu jġibu rispons immuni li jinnewtralizza?")</f>
        <v>F'liema daqs u akbar il-mediċini jistgħu jġibu rispons immuni li jinnewtralizza?</v>
      </c>
    </row>
    <row r="1274" ht="15.75" customHeight="1">
      <c r="A1274" s="2" t="s">
        <v>1274</v>
      </c>
      <c r="B1274" s="2" t="str">
        <f>IFERROR(__xludf.DUMMYFUNCTION("GOOGLETRANSLATE(A1274, ""en"", ""mt"")"),"Kloroplast derivat mill-alka ħamra vestigjali")</f>
        <v>Kloroplast derivat mill-alka ħamra vestigjali</v>
      </c>
    </row>
    <row r="1275" ht="15.75" customHeight="1">
      <c r="A1275" s="2" t="s">
        <v>1275</v>
      </c>
      <c r="B1275" s="2" t="str">
        <f>IFERROR(__xludf.DUMMYFUNCTION("GOOGLETRANSLATE(A1275, ""en"", ""mt"")"),"Kemm kienet komuni l-forma ta 'kastig korporali fil-passat?")</f>
        <v>Kemm kienet komuni l-forma ta 'kastig korporali fil-passat?</v>
      </c>
    </row>
    <row r="1276" ht="15.75" customHeight="1">
      <c r="A1276" s="2" t="s">
        <v>1276</v>
      </c>
      <c r="B1276" s="2" t="str">
        <f>IFERROR(__xludf.DUMMYFUNCTION("GOOGLETRANSLATE(A1276, ""en"", ""mt"")"),"motiv kreattiv")</f>
        <v>motiv kreattiv</v>
      </c>
    </row>
    <row r="1277" ht="15.75" customHeight="1">
      <c r="A1277" s="2" t="s">
        <v>1277</v>
      </c>
      <c r="B1277" s="2" t="str">
        <f>IFERROR(__xludf.DUMMYFUNCTION("GOOGLETRANSLATE(A1277, ""en"", ""mt"")"),"L-azzjonijiet kollha")</f>
        <v>L-azzjonijiet kollha</v>
      </c>
    </row>
    <row r="1278" ht="15.75" customHeight="1">
      <c r="A1278" s="2" t="s">
        <v>1278</v>
      </c>
      <c r="B1278" s="2" t="str">
        <f>IFERROR(__xludf.DUMMYFUNCTION("GOOGLETRANSLATE(A1278, ""en"", ""mt"")"),"huwa l-prodott tal-membrana taċ-ċellula ospitanti")</f>
        <v>huwa l-prodott tal-membrana taċ-ċellula ospitanti</v>
      </c>
    </row>
    <row r="1279" ht="15.75" customHeight="1">
      <c r="A1279" s="2" t="s">
        <v>1279</v>
      </c>
      <c r="B1279" s="2" t="str">
        <f>IFERROR(__xludf.DUMMYFUNCTION("GOOGLETRANSLATE(A1279, ""en"", ""mt"")"),"X'inhu t-terminu għan-nuqqas ta 'quarks ħielsa li josservaw?")</f>
        <v>X'inhu t-terminu għan-nuqqas ta 'quarks ħielsa li josservaw?</v>
      </c>
    </row>
    <row r="1280" ht="15.75" customHeight="1">
      <c r="A1280" s="2" t="s">
        <v>1280</v>
      </c>
      <c r="B1280" s="2" t="str">
        <f>IFERROR(__xludf.DUMMYFUNCTION("GOOGLETRANSLATE(A1280, ""en"", ""mt"")"),"Is-sistema immunitarja tipproduċi wkoll liema molekuli sabiex tippermetti l-qerda tat-tumur mis-sistema tal-komplement?")</f>
        <v>Is-sistema immunitarja tipproduċi wkoll liema molekuli sabiex tippermetti l-qerda tat-tumur mis-sistema tal-komplement?</v>
      </c>
    </row>
    <row r="1281" ht="15.75" customHeight="1">
      <c r="A1281" s="2" t="s">
        <v>1281</v>
      </c>
      <c r="B1281" s="2" t="str">
        <f>IFERROR(__xludf.DUMMYFUNCTION("GOOGLETRANSLATE(A1281, ""en"", ""mt"")"),"X’għandu jagħmel il-kunflitt tal-Musulmani madwar id-dinja?")</f>
        <v>X’għandu jagħmel il-kunflitt tal-Musulmani madwar id-dinja?</v>
      </c>
    </row>
    <row r="1282" ht="15.75" customHeight="1">
      <c r="A1282" s="2" t="s">
        <v>1282</v>
      </c>
      <c r="B1282" s="2" t="str">
        <f>IFERROR(__xludf.DUMMYFUNCTION("GOOGLETRANSLATE(A1282, ""en"", ""mt"")"),"Arti Kapitali tar-Renju Unit")</f>
        <v>Arti Kapitali tar-Renju Unit</v>
      </c>
    </row>
    <row r="1283" ht="15.75" customHeight="1">
      <c r="A1283" s="2" t="s">
        <v>1283</v>
      </c>
      <c r="B1283" s="2" t="str">
        <f>IFERROR(__xludf.DUMMYFUNCTION("GOOGLETRANSLATE(A1283, ""en"", ""mt"")"),"5 miljun persuna")</f>
        <v>5 miljun persuna</v>
      </c>
    </row>
    <row r="1284" ht="15.75" customHeight="1">
      <c r="A1284" s="2" t="s">
        <v>1284</v>
      </c>
      <c r="B1284" s="2" t="str">
        <f>IFERROR(__xludf.DUMMYFUNCTION("GOOGLETRANSLATE(A1284, ""en"", ""mt"")"),"mill-inqas 11,000 sena")</f>
        <v>mill-inqas 11,000 sena</v>
      </c>
    </row>
    <row r="1285" ht="15.75" customHeight="1">
      <c r="A1285" s="2" t="s">
        <v>1285</v>
      </c>
      <c r="B1285" s="2" t="str">
        <f>IFERROR(__xludf.DUMMYFUNCTION("GOOGLETRANSLATE(A1285, ""en"", ""mt"")"),"Żieda fil-funzjonazzjonijiet (l-affarijiet li persuna tagħmel valuri), kapaċitajiet (il-libertà li tgawdi l-funzjonazzjonijiet) u l-aġenzija (il-kapaċità li ssegwi għanijiet stmati)")</f>
        <v>Żieda fil-funzjonazzjonijiet (l-affarijiet li persuna tagħmel valuri), kapaċitajiet (il-libertà li tgawdi l-funzjonazzjonijiet) u l-aġenzija (il-kapaċità li ssegwi għanijiet stmati)</v>
      </c>
    </row>
    <row r="1286" ht="15.75" customHeight="1">
      <c r="A1286" s="2" t="s">
        <v>1286</v>
      </c>
      <c r="B1286" s="2" t="str">
        <f>IFERROR(__xludf.DUMMYFUNCTION("GOOGLETRANSLATE(A1286, ""en"", ""mt"")"),"Il-ħamsa u disgħin teżijiet")</f>
        <v>Il-ħamsa u disgħin teżijiet</v>
      </c>
    </row>
    <row r="1287" ht="15.75" customHeight="1">
      <c r="A1287" s="2" t="s">
        <v>1287</v>
      </c>
      <c r="B1287" s="2" t="str">
        <f>IFERROR(__xludf.DUMMYFUNCTION("GOOGLETRANSLATE(A1287, ""en"", ""mt"")"),"protesta u azzjoni politika")</f>
        <v>protesta u azzjoni politika</v>
      </c>
    </row>
    <row r="1288" ht="15.75" customHeight="1">
      <c r="A1288" s="2" t="s">
        <v>1288</v>
      </c>
      <c r="B1288" s="2" t="str">
        <f>IFERROR(__xludf.DUMMYFUNCTION("GOOGLETRANSLATE(A1288, ""en"", ""mt"")"),"Trajettorja ballistika")</f>
        <v>Trajettorja ballistika</v>
      </c>
    </row>
    <row r="1289" ht="15.75" customHeight="1">
      <c r="A1289" s="2" t="s">
        <v>1289</v>
      </c>
      <c r="B1289" s="2" t="str">
        <f>IFERROR(__xludf.DUMMYFUNCTION("GOOGLETRANSLATE(A1289, ""en"", ""mt"")"),"Reżistenza mhux vjolenti")</f>
        <v>Reżistenza mhux vjolenti</v>
      </c>
    </row>
    <row r="1290" ht="15.75" customHeight="1">
      <c r="A1290" s="2" t="s">
        <v>1290</v>
      </c>
      <c r="B1290" s="2" t="str">
        <f>IFERROR(__xludf.DUMMYFUNCTION("GOOGLETRANSLATE(A1290, ""en"", ""mt"")"),"kurrikulu ewlieni ta ’seba’ klassijiet")</f>
        <v>kurrikulu ewlieni ta ’seba’ klassijiet</v>
      </c>
    </row>
    <row r="1291" ht="15.75" customHeight="1">
      <c r="A1291" s="2" t="s">
        <v>1291</v>
      </c>
      <c r="B1291" s="2" t="str">
        <f>IFERROR(__xludf.DUMMYFUNCTION("GOOGLETRANSLATE(A1291, ""en"", ""mt"")"),"Liema grupp etniku li jinsab f'Jacksonville huwa kklassifikat l-għaxar l-akbar?")</f>
        <v>Liema grupp etniku li jinsab f'Jacksonville huwa kklassifikat l-għaxar l-akbar?</v>
      </c>
    </row>
    <row r="1292" ht="15.75" customHeight="1">
      <c r="A1292" s="2" t="s">
        <v>1292</v>
      </c>
      <c r="B1292" s="2" t="str">
        <f>IFERROR(__xludf.DUMMYFUNCTION("GOOGLETRANSLATE(A1292, ""en"", ""mt"")"),"Il-gass tal-ossiġnu ħieles kien kważi ma jeżistix fl-atmosfera tad-Dinja qabel ma evolvew archaea fotosintetika u batterji, probabbilment madwar 3.5 biljun sena ilu. L-ossiġnu ħieles deher l-ewwel fi kwantitajiet sinifikanti matul l-EON Paleoproterozoic ("&amp;"bejn 3.0 u 2.3 biljun sena ilu). Għall-ewwel biljun sena, kwalunkwe ossiġnu ħieles prodott minn dawn l-organiżmi flimkien ma 'ħadid maħlul fl-oċeani biex jiffurmaw formazzjonijiet ta' ħadid banded. Meta dawn il-bjar ta 'ossiġnu sar saturat, l-ossiġnu ħiel"&amp;"es beda joħroġ mill-oċeani 3-2,7 biljun sena ilu, u laħaq 10% tal-livell preżenti tiegħu madwar 1.7 biljun sena ilu.")</f>
        <v>Il-gass tal-ossiġnu ħieles kien kważi ma jeżistix fl-atmosfera tad-Dinja qabel ma evolvew archaea fotosintetika u batterji, probabbilment madwar 3.5 biljun sena ilu. L-ossiġnu ħieles deher l-ewwel fi kwantitajiet sinifikanti matul l-EON Paleoproterozoic (bejn 3.0 u 2.3 biljun sena ilu). Għall-ewwel biljun sena, kwalunkwe ossiġnu ħieles prodott minn dawn l-organiżmi flimkien ma 'ħadid maħlul fl-oċeani biex jiffurmaw formazzjonijiet ta' ħadid banded. Meta dawn il-bjar ta 'ossiġnu sar saturat, l-ossiġnu ħieles beda joħroġ mill-oċeani 3-2,7 biljun sena ilu, u laħaq 10% tal-livell preżenti tiegħu madwar 1.7 biljun sena ilu.</v>
      </c>
    </row>
    <row r="1293" ht="15.75" customHeight="1">
      <c r="A1293" s="2" t="s">
        <v>1293</v>
      </c>
      <c r="B1293" s="2" t="str">
        <f>IFERROR(__xludf.DUMMYFUNCTION("GOOGLETRANSLATE(A1293, ""en"", ""mt"")"),"X'istenna Genghis Khan mill-ġenerali tiegħu flimkien mal-awtonomija li tahom?")</f>
        <v>X'istenna Genghis Khan mill-ġenerali tiegħu flimkien mal-awtonomija li tahom?</v>
      </c>
    </row>
    <row r="1294" ht="15.75" customHeight="1">
      <c r="A1294" s="2" t="s">
        <v>1294</v>
      </c>
      <c r="B1294" s="2" t="str">
        <f>IFERROR(__xludf.DUMMYFUNCTION("GOOGLETRANSLATE(A1294, ""en"", ""mt"")"),"Reġimi Iżlamiċi Illiberali")</f>
        <v>Reġimi Iżlamiċi Illiberali</v>
      </c>
    </row>
    <row r="1295" ht="15.75" customHeight="1">
      <c r="A1295" s="2" t="s">
        <v>1295</v>
      </c>
      <c r="B1295" s="2" t="str">
        <f>IFERROR(__xludf.DUMMYFUNCTION("GOOGLETRANSLATE(A1295, ""en"", ""mt"")"),"Xi jfisser li l-Mużew Nazzjonali jiftaħar mill-kollezzjoni privata ta 'Adolf Hitler?")</f>
        <v>Xi jfisser li l-Mużew Nazzjonali jiftaħar mill-kollezzjoni privata ta 'Adolf Hitler?</v>
      </c>
    </row>
    <row r="1296" ht="15.75" customHeight="1">
      <c r="A1296" s="2" t="s">
        <v>1296</v>
      </c>
      <c r="B1296" s="2" t="str">
        <f>IFERROR(__xludf.DUMMYFUNCTION("GOOGLETRANSLATE(A1296, ""en"", ""mt"")"),"Iċ-Ċentru Stubhub")</f>
        <v>Iċ-Ċentru Stubhub</v>
      </c>
    </row>
    <row r="1297" ht="15.75" customHeight="1">
      <c r="A1297" s="2" t="s">
        <v>1297</v>
      </c>
      <c r="B1297" s="2" t="str">
        <f>IFERROR(__xludf.DUMMYFUNCTION("GOOGLETRANSLATE(A1297, ""en"", ""mt"")"),"X'għandhom il-biċċa l-kbira tal-platyctenida fuq il-wiċċ aboral tagħhom?")</f>
        <v>X'għandhom il-biċċa l-kbira tal-platyctenida fuq il-wiċċ aboral tagħhom?</v>
      </c>
    </row>
    <row r="1298" ht="15.75" customHeight="1">
      <c r="A1298" s="2" t="s">
        <v>1298</v>
      </c>
      <c r="B1298" s="2" t="str">
        <f>IFERROR(__xludf.DUMMYFUNCTION("GOOGLETRANSLATE(A1298, ""en"", ""mt"")"),"Oqtol lil Luther")</f>
        <v>Oqtol lil Luther</v>
      </c>
    </row>
    <row r="1299" ht="15.75" customHeight="1">
      <c r="A1299" s="2" t="s">
        <v>1299</v>
      </c>
      <c r="B1299" s="2" t="str">
        <f>IFERROR(__xludf.DUMMYFUNCTION("GOOGLETRANSLATE(A1299, ""en"", ""mt"")"),"7:00 sad-9.00 A.M.")</f>
        <v>7:00 sad-9.00 A.M.</v>
      </c>
    </row>
    <row r="1300" ht="15.75" customHeight="1">
      <c r="A1300" s="2" t="s">
        <v>1300</v>
      </c>
      <c r="B1300" s="2" t="str">
        <f>IFERROR(__xludf.DUMMYFUNCTION("GOOGLETRANSLATE(A1300, ""en"", ""mt"")"),"Sostituzzjoni ta 'tagħmir kapitali")</f>
        <v>Sostituzzjoni ta 'tagħmir kapitali</v>
      </c>
    </row>
    <row r="1301" ht="15.75" customHeight="1">
      <c r="A1301" s="2" t="s">
        <v>1301</v>
      </c>
      <c r="B1301" s="2" t="str">
        <f>IFERROR(__xludf.DUMMYFUNCTION("GOOGLETRANSLATE(A1301, ""en"", ""mt"")"),"Liema tobba kienu fil-proġett: Lazzru?")</f>
        <v>Liema tobba kienu fil-proġett: Lazzru?</v>
      </c>
    </row>
    <row r="1302" ht="15.75" customHeight="1">
      <c r="A1302" s="2" t="s">
        <v>1302</v>
      </c>
      <c r="B1302" s="2" t="str">
        <f>IFERROR(__xludf.DUMMYFUNCTION("GOOGLETRANSLATE(A1302, ""en"", ""mt"")"),"Liema att jistabbilixxi t-terminu biex jiġġudika l-konfini tas-sanità li magħhom l-individwi li jixtiequ joqogħdu fuq l-SP għandhom jaderixxu?")</f>
        <v>Liema att jistabbilixxi t-terminu biex jiġġudika l-konfini tas-sanità li magħhom l-individwi li jixtiequ joqogħdu fuq l-SP għandhom jaderixxu?</v>
      </c>
    </row>
    <row r="1303" ht="15.75" customHeight="1">
      <c r="A1303" s="2" t="s">
        <v>1303</v>
      </c>
      <c r="B1303" s="2" t="str">
        <f>IFERROR(__xludf.DUMMYFUNCTION("GOOGLETRANSLATE(A1303, ""en"", ""mt"")"),"Università ta ’Wittenberg.")</f>
        <v>Università ta ’Wittenberg.</v>
      </c>
    </row>
    <row r="1304" ht="15.75" customHeight="1">
      <c r="A1304" s="2" t="s">
        <v>1304</v>
      </c>
      <c r="B1304" s="2" t="str">
        <f>IFERROR(__xludf.DUMMYFUNCTION("GOOGLETRANSLATE(A1304, ""en"", ""mt"")"),"l-estinzjoni tad-dinosawri u l-klima aktar mxarrba")</f>
        <v>l-estinzjoni tad-dinosawri u l-klima aktar mxarrba</v>
      </c>
    </row>
    <row r="1305" ht="15.75" customHeight="1">
      <c r="A1305" s="2" t="s">
        <v>1305</v>
      </c>
      <c r="B1305" s="2" t="str">
        <f>IFERROR(__xludf.DUMMYFUNCTION("GOOGLETRANSLATE(A1305, ""en"", ""mt"")"),"X’wassal għall-ħtieġa għal trattati prinċipali li spiċċaw jiffurmaw l-UE?")</f>
        <v>X’wassal għall-ħtieġa għal trattati prinċipali li spiċċaw jiffurmaw l-UE?</v>
      </c>
    </row>
    <row r="1306" ht="15.75" customHeight="1">
      <c r="A1306" s="2" t="s">
        <v>1306</v>
      </c>
      <c r="B1306" s="2" t="str">
        <f>IFERROR(__xludf.DUMMYFUNCTION("GOOGLETRANSLATE(A1306, ""en"", ""mt"")"),"Min kiseb il-kontroll ta ’Florida wara l-konklużjoni tal-Gwerra Rivoluzzjonarja?")</f>
        <v>Min kiseb il-kontroll ta ’Florida wara l-konklużjoni tal-Gwerra Rivoluzzjonarja?</v>
      </c>
    </row>
    <row r="1307" ht="15.75" customHeight="1">
      <c r="A1307" s="2" t="s">
        <v>1307</v>
      </c>
      <c r="B1307" s="2" t="str">
        <f>IFERROR(__xludf.DUMMYFUNCTION("GOOGLETRANSLATE(A1307, ""en"", ""mt"")"),"Id-diżubbidjenza ċivili titwettaq prinċipalment minn liema grupp ta 'popolazzjoni?")</f>
        <v>Id-diżubbidjenza ċivili titwettaq prinċipalment minn liema grupp ta 'popolazzjoni?</v>
      </c>
    </row>
    <row r="1308" ht="15.75" customHeight="1">
      <c r="A1308" s="2" t="s">
        <v>1308</v>
      </c>
      <c r="B1308" s="2" t="str">
        <f>IFERROR(__xludf.DUMMYFUNCTION("GOOGLETRANSLATE(A1308, ""en"", ""mt"")"),"Lewkoċiti (ċelloli bojod tad-demm)")</f>
        <v>Lewkoċiti (ċelloli bojod tad-demm)</v>
      </c>
    </row>
    <row r="1309" ht="15.75" customHeight="1">
      <c r="A1309" s="2" t="s">
        <v>1309</v>
      </c>
      <c r="B1309" s="2" t="str">
        <f>IFERROR(__xludf.DUMMYFUNCTION("GOOGLETRANSLATE(A1309, ""en"", ""mt"")"),"Regolamenti finanzjarji u regoli tal-WMO")</f>
        <v>Regolamenti finanzjarji u regoli tal-WMO</v>
      </c>
    </row>
    <row r="1310" ht="15.75" customHeight="1">
      <c r="A1310" s="2" t="s">
        <v>1310</v>
      </c>
      <c r="B1310" s="2" t="str">
        <f>IFERROR(__xludf.DUMMYFUNCTION("GOOGLETRANSLATE(A1310, ""en"", ""mt"")"),"Min ikkawża x-xoljiment tal-Imperu Ruman Qaddis?")</f>
        <v>Min ikkawża x-xoljiment tal-Imperu Ruman Qaddis?</v>
      </c>
    </row>
    <row r="1311" ht="15.75" customHeight="1">
      <c r="A1311" s="2" t="s">
        <v>1311</v>
      </c>
      <c r="B1311" s="2" t="str">
        <f>IFERROR(__xludf.DUMMYFUNCTION("GOOGLETRANSLATE(A1311, ""en"", ""mt"")"),"Art Kontinentali 1600-1800")</f>
        <v>Art Kontinentali 1600-1800</v>
      </c>
    </row>
    <row r="1312" ht="15.75" customHeight="1">
      <c r="A1312" s="2" t="s">
        <v>1312</v>
      </c>
      <c r="B1312" s="2" t="str">
        <f>IFERROR(__xludf.DUMMYFUNCTION("GOOGLETRANSLATE(A1312, ""en"", ""mt"")"),"Liema partijiet tal-Quddiesa Kattolika oriġinali Luther ħalla barra mill-Quddiesa l-Ġdida tiegħu?")</f>
        <v>Liema partijiet tal-Quddiesa Kattolika oriġinali Luther ħalla barra mill-Quddiesa l-Ġdida tiegħu?</v>
      </c>
    </row>
    <row r="1313" ht="15.75" customHeight="1">
      <c r="A1313" s="2" t="s">
        <v>1313</v>
      </c>
      <c r="B1313" s="2" t="str">
        <f>IFERROR(__xludf.DUMMYFUNCTION("GOOGLETRANSLATE(A1313, ""en"", ""mt"")"),"servizz")</f>
        <v>servizz</v>
      </c>
    </row>
    <row r="1314" ht="15.75" customHeight="1">
      <c r="A1314" s="2" t="s">
        <v>1314</v>
      </c>
      <c r="B1314" s="2" t="str">
        <f>IFERROR(__xludf.DUMMYFUNCTION("GOOGLETRANSLATE(A1314, ""en"", ""mt"")"),"Organizzazzjonijiet tal-istudenti rikonoxxuti")</f>
        <v>Organizzazzjonijiet tal-istudenti rikonoxxuti</v>
      </c>
    </row>
    <row r="1315" ht="15.75" customHeight="1">
      <c r="A1315" s="2" t="s">
        <v>1315</v>
      </c>
      <c r="B1315" s="2" t="str">
        <f>IFERROR(__xludf.DUMMYFUNCTION("GOOGLETRANSLATE(A1315, ""en"", ""mt"")"),"Spiżjara Kliniċi")</f>
        <v>Spiżjara Kliniċi</v>
      </c>
    </row>
    <row r="1316" ht="15.75" customHeight="1">
      <c r="A1316" s="2" t="s">
        <v>1316</v>
      </c>
      <c r="B1316" s="2" t="str">
        <f>IFERROR(__xludf.DUMMYFUNCTION("GOOGLETRANSLATE(A1316, ""en"", ""mt"")"),"Matul is-snin 1980 u disgħinijiet, id-domanda għal Parlament Skoċċiż kibret, parzjalment minħabba li l-gvern tar-Renju Unit kien ikkontrollat ​​mill-Partit Konservattiv, filwaqt li l-Iskozja nnifisha eletta relattivament ftit membri parlamentari Konservat"&amp;"tivi. Wara t-telfa tar-referendum tal-1979, il-kampanja għal assemblea Skoċċiża nbdiet bħala grupp ta 'pressjoni, li wassal għall-Konvenzjoni Kostituzzjonali Skoċċiża tal-1989 ma' diversi organizzazzjonijiet bħal knejjes Skoċċiżi, partiti politiċi u rappr"&amp;"eżentanti tal-industrija li qed jieħdu sehem. Pubblikazzjoni tal-Blueprint tagħha għad-Devoluzzjoni fl-1995, il-Konvenzjoni pprovdiet ħafna mill-bażi għall-istruttura tal-Parlament.")</f>
        <v>Matul is-snin 1980 u disgħinijiet, id-domanda għal Parlament Skoċċiż kibret, parzjalment minħabba li l-gvern tar-Renju Unit kien ikkontrollat ​​mill-Partit Konservattiv, filwaqt li l-Iskozja nnifisha eletta relattivament ftit membri parlamentari Konservattivi. Wara t-telfa tar-referendum tal-1979, il-kampanja għal assemblea Skoċċiża nbdiet bħala grupp ta 'pressjoni, li wassal għall-Konvenzjoni Kostituzzjonali Skoċċiża tal-1989 ma' diversi organizzazzjonijiet bħal knejjes Skoċċiżi, partiti politiċi u rappreżentanti tal-industrija li qed jieħdu sehem. Pubblikazzjoni tal-Blueprint tagħha għad-Devoluzzjoni fl-1995, il-Konvenzjoni pprovdiet ħafna mill-bażi għall-istruttura tal-Parlament.</v>
      </c>
    </row>
    <row r="1317" ht="15.75" customHeight="1">
      <c r="A1317" s="2" t="s">
        <v>1317</v>
      </c>
      <c r="B1317" s="2" t="str">
        <f>IFERROR(__xludf.DUMMYFUNCTION("GOOGLETRANSLATE(A1317, ""en"", ""mt"")"),"L-ikbar divisor komuni huwa wieħed")</f>
        <v>L-ikbar divisor komuni huwa wieħed</v>
      </c>
    </row>
    <row r="1318" ht="15.75" customHeight="1">
      <c r="A1318" s="2" t="s">
        <v>1318</v>
      </c>
      <c r="B1318" s="2" t="str">
        <f>IFERROR(__xludf.DUMMYFUNCTION("GOOGLETRANSLATE(A1318, ""en"", ""mt"")"),"Fuq dak li l-ħabib ta ’Luther tort id-dwejjaq u d-dħul tiegħu fil-kjostru?")</f>
        <v>Fuq dak li l-ħabib ta ’Luther tort id-dwejjaq u d-dħul tiegħu fil-kjostru?</v>
      </c>
    </row>
    <row r="1319" ht="15.75" customHeight="1">
      <c r="A1319" s="2" t="s">
        <v>1319</v>
      </c>
      <c r="B1319" s="2" t="str">
        <f>IFERROR(__xludf.DUMMYFUNCTION("GOOGLETRANSLATE(A1319, ""en"", ""mt"")"),"X'inhu terminu ieħor użat għas-sena 13?")</f>
        <v>X'inhu terminu ieħor użat għas-sena 13?</v>
      </c>
    </row>
    <row r="1320" ht="15.75" customHeight="1">
      <c r="A1320" s="2" t="s">
        <v>1320</v>
      </c>
      <c r="B1320" s="2" t="str">
        <f>IFERROR(__xludf.DUMMYFUNCTION("GOOGLETRANSLATE(A1320, ""en"", ""mt"")"),"Barro sab li hemm ftit relazzjoni bejn l-inugwaljanza tad-dħul u r-rati ta 'xiex?")</f>
        <v>Barro sab li hemm ftit relazzjoni bejn l-inugwaljanza tad-dħul u r-rati ta 'xiex?</v>
      </c>
    </row>
    <row r="1321" ht="15.75" customHeight="1">
      <c r="A1321" s="2" t="s">
        <v>1321</v>
      </c>
      <c r="B1321" s="2" t="str">
        <f>IFERROR(__xludf.DUMMYFUNCTION("GOOGLETRANSLATE(A1321, ""en"", ""mt"")"),"X'tip ta 'edukazzjoni xi kultant huwa preżenti fl-iskejjel reliġjużi minbarra l-kurrikulu sekulari?")</f>
        <v>X'tip ta 'edukazzjoni xi kultant huwa preżenti fl-iskejjel reliġjużi minbarra l-kurrikulu sekulari?</v>
      </c>
    </row>
    <row r="1322" ht="15.75" customHeight="1">
      <c r="A1322" s="2" t="s">
        <v>1322</v>
      </c>
      <c r="B1322" s="2" t="str">
        <f>IFERROR(__xludf.DUMMYFUNCTION("GOOGLETRANSLATE(A1322, ""en"", ""mt"")"),"skejjel vokazzjonali")</f>
        <v>skejjel vokazzjonali</v>
      </c>
    </row>
    <row r="1323" ht="15.75" customHeight="1">
      <c r="A1323" s="2" t="s">
        <v>1323</v>
      </c>
      <c r="B1323" s="2" t="str">
        <f>IFERROR(__xludf.DUMMYFUNCTION("GOOGLETRANSLATE(A1323, ""en"", ""mt"")"),"Ma riedx irġiel żleali fl-armata tiegħu")</f>
        <v>Ma riedx irġiel żleali fl-armata tiegħu</v>
      </c>
    </row>
    <row r="1324" ht="15.75" customHeight="1">
      <c r="A1324" s="2" t="s">
        <v>1324</v>
      </c>
      <c r="B1324" s="2" t="str">
        <f>IFERROR(__xludf.DUMMYFUNCTION("GOOGLETRANSLATE(A1324, ""en"", ""mt"")"),"tajjeb")</f>
        <v>tajjeb</v>
      </c>
    </row>
    <row r="1325" ht="15.75" customHeight="1">
      <c r="A1325" s="2" t="s">
        <v>1325</v>
      </c>
      <c r="B1325" s="2" t="str">
        <f>IFERROR(__xludf.DUMMYFUNCTION("GOOGLETRANSLATE(A1325, ""en"", ""mt"")"),"Dan il-multiplikatur")</f>
        <v>Dan il-multiplikatur</v>
      </c>
    </row>
    <row r="1326" ht="15.75" customHeight="1">
      <c r="A1326" s="2" t="s">
        <v>1326</v>
      </c>
      <c r="B1326" s="2" t="str">
        <f>IFERROR(__xludf.DUMMYFUNCTION("GOOGLETRANSLATE(A1326, ""en"", ""mt"")"),"Netwerks ta 'komunikazzjoni li jistgħu jiġu sopravvitabbli")</f>
        <v>Netwerks ta 'komunikazzjoni li jistgħu jiġu sopravvitabbli</v>
      </c>
    </row>
    <row r="1327" ht="15.75" customHeight="1">
      <c r="A1327" s="2" t="s">
        <v>1327</v>
      </c>
      <c r="B1327" s="2" t="str">
        <f>IFERROR(__xludf.DUMMYFUNCTION("GOOGLETRANSLATE(A1327, ""en"", ""mt"")"),"Forster I, Forster II, u Forster III")</f>
        <v>Forster I, Forster II, u Forster III</v>
      </c>
    </row>
    <row r="1328" ht="15.75" customHeight="1">
      <c r="A1328" s="2" t="s">
        <v>1328</v>
      </c>
      <c r="B1328" s="2" t="str">
        <f>IFERROR(__xludf.DUMMYFUNCTION("GOOGLETRANSLATE(A1328, ""en"", ""mt"")"),"X'kienet il-kawża għall-kwistjonijiet bil-finanzjament tal-belt?")</f>
        <v>X'kienet il-kawża għall-kwistjonijiet bil-finanzjament tal-belt?</v>
      </c>
    </row>
    <row r="1329" ht="15.75" customHeight="1">
      <c r="A1329" s="2" t="s">
        <v>1329</v>
      </c>
      <c r="B1329" s="2" t="str">
        <f>IFERROR(__xludf.DUMMYFUNCTION("GOOGLETRANSLATE(A1329, ""en"", ""mt"")"),"Inerzja")</f>
        <v>Inerzja</v>
      </c>
    </row>
    <row r="1330" ht="15.75" customHeight="1">
      <c r="A1330" s="2" t="s">
        <v>1330</v>
      </c>
      <c r="B1330" s="2" t="str">
        <f>IFERROR(__xludf.DUMMYFUNCTION("GOOGLETRANSLATE(A1330, ""en"", ""mt"")"),"F'liema oqsma jseħħ ħafna mit-tagħlim?")</f>
        <v>F'liema oqsma jseħħ ħafna mit-tagħlim?</v>
      </c>
    </row>
    <row r="1331" ht="15.75" customHeight="1">
      <c r="A1331" s="2" t="s">
        <v>1331</v>
      </c>
      <c r="B1331" s="2" t="str">
        <f>IFERROR(__xludf.DUMMYFUNCTION("GOOGLETRANSLATE(A1331, ""en"", ""mt"")"),"F'liema grupp ta 'komposti huwa l-ossiġnu parti meħtieġa?")</f>
        <v>F'liema grupp ta 'komposti huwa l-ossiġnu parti meħtieġa?</v>
      </c>
    </row>
    <row r="1332" ht="15.75" customHeight="1">
      <c r="A1332" s="2" t="s">
        <v>1332</v>
      </c>
      <c r="B1332" s="2" t="str">
        <f>IFERROR(__xludf.DUMMYFUNCTION("GOOGLETRANSLATE(A1332, ""en"", ""mt"")"),"Bankiera ta 'ipoteki, accountants, u inġiniera tal-ispejjeż")</f>
        <v>Bankiera ta 'ipoteki, accountants, u inġiniera tal-ispejjeż</v>
      </c>
    </row>
    <row r="1333" ht="15.75" customHeight="1">
      <c r="A1333" s="2" t="s">
        <v>1333</v>
      </c>
      <c r="B1333" s="2" t="str">
        <f>IFERROR(__xludf.DUMMYFUNCTION("GOOGLETRANSLATE(A1333, ""en"", ""mt"")"),"Ko-President ta 'Tar WGI")</f>
        <v>Ko-President ta 'Tar WGI</v>
      </c>
    </row>
    <row r="1334" ht="15.75" customHeight="1">
      <c r="A1334" s="2" t="s">
        <v>1334</v>
      </c>
      <c r="B1334" s="2" t="str">
        <f>IFERROR(__xludf.DUMMYFUNCTION("GOOGLETRANSLATE(A1334, ""en"", ""mt"")"),"Il-Midalja Edison")</f>
        <v>Il-Midalja Edison</v>
      </c>
    </row>
    <row r="1335" ht="15.75" customHeight="1">
      <c r="A1335" s="2" t="s">
        <v>1335</v>
      </c>
      <c r="B1335" s="2" t="str">
        <f>IFERROR(__xludf.DUMMYFUNCTION("GOOGLETRANSLATE(A1335, ""en"", ""mt"")"),"Liema bini żamm l-Istitut Milton Friedman?")</f>
        <v>Liema bini żamm l-Istitut Milton Friedman?</v>
      </c>
    </row>
    <row r="1336" ht="15.75" customHeight="1">
      <c r="A1336" s="2" t="s">
        <v>1336</v>
      </c>
      <c r="B1336" s="2" t="str">
        <f>IFERROR(__xludf.DUMMYFUNCTION("GOOGLETRANSLATE(A1336, ""en"", ""mt"")"),"X'inhuma tnejn mis-subsistemi tagħha?")</f>
        <v>X'inhuma tnejn mis-subsistemi tagħha?</v>
      </c>
    </row>
    <row r="1337" ht="15.75" customHeight="1">
      <c r="A1337" s="2" t="s">
        <v>1337</v>
      </c>
      <c r="B1337" s="2" t="str">
        <f>IFERROR(__xludf.DUMMYFUNCTION("GOOGLETRANSLATE(A1337, ""en"", ""mt"")"),"tgħaddi nixxiegħa ta 'arja nadifa u niexfa minn sodda waħda ta' par ta 'passaġġi molekulari żeoliti identiċi, li jassorbi n-nitroġenu")</f>
        <v>tgħaddi nixxiegħa ta 'arja nadifa u niexfa minn sodda waħda ta' par ta 'passaġġi molekulari żeoliti identiċi, li jassorbi n-nitroġenu</v>
      </c>
    </row>
    <row r="1338" ht="15.75" customHeight="1">
      <c r="A1338" s="2" t="s">
        <v>1338</v>
      </c>
      <c r="B1338" s="2" t="str">
        <f>IFERROR(__xludf.DUMMYFUNCTION("GOOGLETRANSLATE(A1338, ""en"", ""mt"")"),"Żwieġ klerikali")</f>
        <v>Żwieġ klerikali</v>
      </c>
    </row>
    <row r="1339" ht="15.75" customHeight="1">
      <c r="A1339" s="2" t="s">
        <v>1339</v>
      </c>
      <c r="B1339" s="2" t="str">
        <f>IFERROR(__xludf.DUMMYFUNCTION("GOOGLETRANSLATE(A1339, ""en"", ""mt"")"),"maqbud")</f>
        <v>maqbud</v>
      </c>
    </row>
    <row r="1340" ht="15.75" customHeight="1">
      <c r="A1340" s="2" t="s">
        <v>1340</v>
      </c>
      <c r="B1340" s="2" t="str">
        <f>IFERROR(__xludf.DUMMYFUNCTION("GOOGLETRANSLATE(A1340, ""en"", ""mt"")"),"Fejn huwa preżunt li ġie kkonsenjat ta 'Genghis Khan?")</f>
        <v>Fejn huwa preżunt li ġie kkonsenjat ta 'Genghis Khan?</v>
      </c>
    </row>
    <row r="1341" ht="15.75" customHeight="1">
      <c r="A1341" s="2" t="s">
        <v>1341</v>
      </c>
      <c r="B1341" s="2" t="str">
        <f>IFERROR(__xludf.DUMMYFUNCTION("GOOGLETRANSLATE(A1341, ""en"", ""mt"")"),"Il-ħtija timplika tagħmel ħażin")</f>
        <v>Il-ħtija timplika tagħmel ħażin</v>
      </c>
    </row>
    <row r="1342" ht="15.75" customHeight="1">
      <c r="A1342" s="2" t="s">
        <v>1342</v>
      </c>
      <c r="B1342" s="2" t="str">
        <f>IFERROR(__xludf.DUMMYFUNCTION("GOOGLETRANSLATE(A1342, ""en"", ""mt"")"),"il-Grigal")</f>
        <v>il-Grigal</v>
      </c>
    </row>
    <row r="1343" ht="15.75" customHeight="1">
      <c r="A1343" s="2" t="s">
        <v>1343</v>
      </c>
      <c r="B1343" s="2" t="str">
        <f>IFERROR(__xludf.DUMMYFUNCTION("GOOGLETRANSLATE(A1343, ""en"", ""mt"")"),"Kummissjoni v Awstrija l-qorti")</f>
        <v>Kummissjoni v Awstrija l-qorti</v>
      </c>
    </row>
    <row r="1344" ht="15.75" customHeight="1">
      <c r="A1344" s="2" t="s">
        <v>1344</v>
      </c>
      <c r="B1344" s="2" t="str">
        <f>IFERROR(__xludf.DUMMYFUNCTION("GOOGLETRANSLATE(A1344, ""en"", ""mt"")"),"onorat")</f>
        <v>onorat</v>
      </c>
    </row>
    <row r="1345" ht="15.75" customHeight="1">
      <c r="A1345" s="2" t="s">
        <v>1345</v>
      </c>
      <c r="B1345" s="2" t="str">
        <f>IFERROR(__xludf.DUMMYFUNCTION("GOOGLETRANSLATE(A1345, ""en"", ""mt"")"),"fil-pajjiz")</f>
        <v>fil-pajjiz</v>
      </c>
    </row>
    <row r="1346" ht="15.75" customHeight="1">
      <c r="A1346" s="2" t="s">
        <v>1346</v>
      </c>
      <c r="B1346" s="2" t="str">
        <f>IFERROR(__xludf.DUMMYFUNCTION("GOOGLETRANSLATE(A1346, ""en"", ""mt"")"),"X'inhi l-unika forma ta 'enerġija kinetika li tista' tinbidel?")</f>
        <v>X'inhi l-unika forma ta 'enerġija kinetika li tista' tinbidel?</v>
      </c>
    </row>
    <row r="1347" ht="15.75" customHeight="1">
      <c r="A1347" s="2" t="s">
        <v>1347</v>
      </c>
      <c r="B1347" s="2" t="str">
        <f>IFERROR(__xludf.DUMMYFUNCTION("GOOGLETRANSLATE(A1347, ""en"", ""mt"")"),"Min ordna r-reviżjoni tal-poppa?")</f>
        <v>Min ordna r-reviżjoni tal-poppa?</v>
      </c>
    </row>
    <row r="1348" ht="15.75" customHeight="1">
      <c r="A1348" s="2" t="s">
        <v>1348</v>
      </c>
      <c r="B1348" s="2" t="str">
        <f>IFERROR(__xludf.DUMMYFUNCTION("GOOGLETRANSLATE(A1348, ""en"", ""mt"")"),"Liema tim telfa l-Panthers?")</f>
        <v>Liema tim telfa l-Panthers?</v>
      </c>
    </row>
    <row r="1349" ht="15.75" customHeight="1">
      <c r="A1349" s="2" t="s">
        <v>1349</v>
      </c>
      <c r="B1349" s="2" t="str">
        <f>IFERROR(__xludf.DUMMYFUNCTION("GOOGLETRANSLATE(A1349, ""en"", ""mt"")"),"F'Jannar 1519, f'Altenburg fis-Sassonja, in-Nuncio Papali Karl von Miltitz adotta approċċ aktar konċiljatorju. Luther għamel ċerti konċessjonijiet għas-Sassonu, li kien qarib tal-elettur, u wiegħed li jibqa 'sieket jekk għamlu l-avversarji tiegħu. It-teol"&amp;"ogu Johann Eck, madankollu, kien determinat li jesponi d-duttrina ta 'Luther f'forum pubbliku. F'Ġunju u Lulju 1519, huwa tellgħet tilwima mal-kollega ta 'Luther Andreas Karlstadt f'Leipzig u stieden lil Luther biex jitkellem. L-affermazzjoni l-aktar kura"&amp;"ġġuża ta 'Luther fid-dibattitu kienet li Matthew 16:18 ma jagħtix id-dritt esklussiv li jinterpreta l-Iskrittura, u li għalhekk la Papiet u lanqas Kunsilli tal-Knisja ma kienu infallibbli. Għal dan, Eck immarka lil Luther Jan Hus ġdid, li rrefera għar-rif"&amp;"ormatur Ċek u l-eretiku maħruq fin-nofs fl-1415. Minn dak il-mument, huwa ddedika ruħu għat-telfa ta 'Luther.")</f>
        <v>F'Jannar 1519, f'Altenburg fis-Sassonja, in-Nuncio Papali Karl von Miltitz adotta approċċ aktar konċiljatorju. Luther għamel ċerti konċessjonijiet għas-Sassonu, li kien qarib tal-elettur, u wiegħed li jibqa 'sieket jekk għamlu l-avversarji tiegħu. It-teologu Johann Eck, madankollu, kien determinat li jesponi d-duttrina ta 'Luther f'forum pubbliku. F'Ġunju u Lulju 1519, huwa tellgħet tilwima mal-kollega ta 'Luther Andreas Karlstadt f'Leipzig u stieden lil Luther biex jitkellem. L-affermazzjoni l-aktar kuraġġuża ta 'Luther fid-dibattitu kienet li Matthew 16:18 ma jagħtix id-dritt esklussiv li jinterpreta l-Iskrittura, u li għalhekk la Papiet u lanqas Kunsilli tal-Knisja ma kienu infallibbli. Għal dan, Eck immarka lil Luther Jan Hus ġdid, li rrefera għar-riformatur Ċek u l-eretiku maħruq fin-nofs fl-1415. Minn dak il-mument, huwa ddedika ruħu għat-telfa ta 'Luther.</v>
      </c>
    </row>
    <row r="1350" ht="15.75" customHeight="1">
      <c r="A1350" s="2" t="s">
        <v>1350</v>
      </c>
      <c r="B1350" s="2" t="str">
        <f>IFERROR(__xludf.DUMMYFUNCTION("GOOGLETRANSLATE(A1350, ""en"", ""mt"")"),"Muntanji Tehachapi")</f>
        <v>Muntanji Tehachapi</v>
      </c>
    </row>
    <row r="1351" ht="15.75" customHeight="1">
      <c r="A1351" s="2" t="s">
        <v>1351</v>
      </c>
      <c r="B1351" s="2" t="str">
        <f>IFERROR(__xludf.DUMMYFUNCTION("GOOGLETRANSLATE(A1351, ""en"", ""mt"")"),"Il-Librerija Nazzjonali tal-Art (imsejħa wkoll id-Dipartiment tal-Kelma u l-Immaġni) fil-Katalgu tal-Kollezzjoni tal-Mużew Victoria u Albert użat biex tinżamm f'formati differenti inklużi katalogi tal-esibizzjoni stampati, u katalgi tal-karti. Sistema tal"&amp;"-kompjuter imsejħa Sistema ta 'Katalogar Modi ġiet użata mis-snin 1980 sad-disgħinijiet, iżda dawk il-fajls elettroniċi ma kinux disponibbli għall-utenti tal-librerija. Il-materjal tal-arkivju fil-Librerija Nazzjonali tal-Art qed juża deskrizzjoni tal-ark"&amp;"ivju kodifikat (EAD). Il-Mużew Victoria u Albert għandu sistema tal-kompjuter iżda ħafna mill-oġġetti fil-kollezzjoni, sakemm dawk li għadhom kemm ġew adeżjonijiet fil-kollezzjoni, probabbilment ma jidhrux fis-sistema tal-kompjuter. Hemm karatteristika fu"&amp;"q is-sit web tal-Victoria u Albert Museum imsejjaħ ""Fittex fil-Kollezzjonijiet,"" iżda mhux kollox huwa elenkat hemmhekk.")</f>
        <v>Il-Librerija Nazzjonali tal-Art (imsejħa wkoll id-Dipartiment tal-Kelma u l-Immaġni) fil-Katalgu tal-Kollezzjoni tal-Mużew Victoria u Albert użat biex tinżamm f'formati differenti inklużi katalogi tal-esibizzjoni stampati, u katalgi tal-karti. Sistema tal-kompjuter imsejħa Sistema ta 'Katalogar Modi ġiet użata mis-snin 1980 sad-disgħinijiet, iżda dawk il-fajls elettroniċi ma kinux disponibbli għall-utenti tal-librerija. Il-materjal tal-arkivju fil-Librerija Nazzjonali tal-Art qed juża deskrizzjoni tal-arkivju kodifikat (EAD). Il-Mużew Victoria u Albert għandu sistema tal-kompjuter iżda ħafna mill-oġġetti fil-kollezzjoni, sakemm dawk li għadhom kemm ġew adeżjonijiet fil-kollezzjoni, probabbilment ma jidhrux fis-sistema tal-kompjuter. Hemm karatteristika fuq is-sit web tal-Victoria u Albert Museum imsejjaħ "Fittex fil-Kollezzjonijiet," iżda mhux kollox huwa elenkat hemmhekk.</v>
      </c>
    </row>
    <row r="1352" ht="15.75" customHeight="1">
      <c r="A1352" s="2" t="s">
        <v>1352</v>
      </c>
      <c r="B1352" s="2" t="str">
        <f>IFERROR(__xludf.DUMMYFUNCTION("GOOGLETRANSLATE(A1352, ""en"", ""mt"")"),"L-1 seklu QK")</f>
        <v>L-1 seklu QK</v>
      </c>
    </row>
    <row r="1353" ht="15.75" customHeight="1">
      <c r="A1353" s="2" t="s">
        <v>1353</v>
      </c>
      <c r="B1353" s="2" t="str">
        <f>IFERROR(__xludf.DUMMYFUNCTION("GOOGLETRANSLATE(A1353, ""en"", ""mt"")"),"Orkestra Nazzjonali tal-BBC ta 'Wales")</f>
        <v>Orkestra Nazzjonali tal-BBC ta 'Wales</v>
      </c>
    </row>
    <row r="1354" ht="15.75" customHeight="1">
      <c r="A1354" s="2" t="s">
        <v>1354</v>
      </c>
      <c r="B1354" s="2" t="str">
        <f>IFERROR(__xludf.DUMMYFUNCTION("GOOGLETRANSLATE(A1354, ""en"", ""mt"")"),"Kemm dam biex id-diżubbidjenza ta 'Thoreau tkun magħrufa?")</f>
        <v>Kemm dam biex id-diżubbidjenza ta 'Thoreau tkun magħrufa?</v>
      </c>
    </row>
    <row r="1355" ht="15.75" customHeight="1">
      <c r="A1355" s="2" t="s">
        <v>1355</v>
      </c>
      <c r="B1355" s="2" t="str">
        <f>IFERROR(__xludf.DUMMYFUNCTION("GOOGLETRANSLATE(A1355, ""en"", ""mt"")"),"universitajiet u / jew kulleġġi tafe")</f>
        <v>universitajiet u / jew kulleġġi tafe</v>
      </c>
    </row>
    <row r="1356" ht="15.75" customHeight="1">
      <c r="A1356" s="2" t="s">
        <v>1356</v>
      </c>
      <c r="B1356" s="2" t="str">
        <f>IFERROR(__xludf.DUMMYFUNCTION("GOOGLETRANSLATE(A1356, ""en"", ""mt"")"),"Aktar minn 100 biljun dollaru")</f>
        <v>Aktar minn 100 biljun dollaru</v>
      </c>
    </row>
    <row r="1357" ht="15.75" customHeight="1">
      <c r="A1357" s="2" t="s">
        <v>1357</v>
      </c>
      <c r="B1357" s="2" t="str">
        <f>IFERROR(__xludf.DUMMYFUNCTION("GOOGLETRANSLATE(A1357, ""en"", ""mt"")"),"X'kienet is-sinifikat tar-rebħa fil-Forth Niagara għall-Ingliżi?")</f>
        <v>X'kienet is-sinifikat tar-rebħa fil-Forth Niagara għall-Ingliżi?</v>
      </c>
    </row>
    <row r="1358" ht="15.75" customHeight="1">
      <c r="A1358" s="2" t="s">
        <v>1358</v>
      </c>
      <c r="B1358" s="2" t="str">
        <f>IFERROR(__xludf.DUMMYFUNCTION("GOOGLETRANSLATE(A1358, ""en"", ""mt"")"),"Il-kostruzzjoni tal-bini hija l-proċess li żżid struttura ma 'proprjetà immobbli jew kostruzzjoni ta' bini. Il-biċċa l-kbira tal-impjiegi tal-kostruzzjoni tal-bini huma rinnovazzjonijiet żgħar, bħal żieda ta 'kamra, jew rinnovazzjoni ta' kamra tal-banju. "&amp;"Ħafna drabi, is-sid tal-propjetà jaġixxi bħala ħaddiem, paymaster, u tim tad-disinn għall-proġett kollu. Għalkemm il-proġetti ta 'kostruzzjoni tal-bini tipikament jinkludu diversi elementi komuni, bħad-disinn, l-istima, l-istima u l-kunsiderazzjonijiet le"&amp;"gali, ħafna proġetti ta' daqsijiet varji jilħqu riżultati finali mhux mixtieqa, bħal kollass strutturali, overruns ta 'spejjeż, u / jew litigazzjoni. Għal din ir-raġuni, dawk b'esperjenza fil-qasam jagħmlu pjanijiet dettaljati u jżommu sorveljanza bir-req"&amp;"qa matul il-proġett biex jiżguraw riżultat pożittiv.")</f>
        <v>Il-kostruzzjoni tal-bini hija l-proċess li żżid struttura ma 'proprjetà immobbli jew kostruzzjoni ta' bini. Il-biċċa l-kbira tal-impjiegi tal-kostruzzjoni tal-bini huma rinnovazzjonijiet żgħar, bħal żieda ta 'kamra, jew rinnovazzjoni ta' kamra tal-banju. Ħafna drabi, is-sid tal-propjetà jaġixxi bħala ħaddiem, paymaster, u tim tad-disinn għall-proġett kollu. Għalkemm il-proġetti ta 'kostruzzjoni tal-bini tipikament jinkludu diversi elementi komuni, bħad-disinn, l-istima, l-istima u l-kunsiderazzjonijiet legali, ħafna proġetti ta' daqsijiet varji jilħqu riżultati finali mhux mixtieqa, bħal kollass strutturali, overruns ta 'spejjeż, u / jew litigazzjoni. Għal din ir-raġuni, dawk b'esperjenza fil-qasam jagħmlu pjanijiet dettaljati u jżommu sorveljanza bir-reqqa matul il-proġett biex jiżguraw riżultat pożittiv.</v>
      </c>
    </row>
    <row r="1359" ht="15.75" customHeight="1">
      <c r="A1359" s="2" t="s">
        <v>1359</v>
      </c>
      <c r="B1359" s="2" t="str">
        <f>IFERROR(__xludf.DUMMYFUNCTION("GOOGLETRANSLATE(A1359, ""en"", ""mt"")"),"X'kien l-effett tal-ħabta tad-djar fuq ir-reġjun?")</f>
        <v>X'kien l-effett tal-ħabta tad-djar fuq ir-reġjun?</v>
      </c>
    </row>
    <row r="1360" ht="15.75" customHeight="1">
      <c r="A1360" s="2" t="s">
        <v>1360</v>
      </c>
      <c r="B1360" s="2" t="str">
        <f>IFERROR(__xludf.DUMMYFUNCTION("GOOGLETRANSLATE(A1360, ""en"", ""mt"")"),"ABC oriġinarjament tnediet fit-12 ta 'Ottubru, 1943 bħala netwerk tar-radju, separat minn u jservi bħala s-suċċessur għan-netwerk Blue NBC, li kien mixtri minn Edward J. Noble. Huwa estenda l-operazzjonijiet tiegħu għat-televiżjoni fl-1948, wara l-passi t"&amp;"an-netwerks tax-xandir stabbiliti CBS u NBC. F'nofs is-snin 1950, ABC ingħaqdet ma 'United Paramount Theaters, katina ta' teatri tal-films li qabel kienu joperaw bħala sussidjarja ta 'Paramount Pictures. Leonard Goldenson, li kien il-kap tal-UPT, għamel i"&amp;"n-netwerk tat-televiżjoni l-ġdid ta 'profitt billi għen biex jiżviluppa u jdawwal ħafna serje ta' suċċess. Fis-snin 80, wara li xtara interess ta '80% fil-kanal sportiv tal-kejbil ESPN, il-ġenitur tan-netwerk ingħaqad ma 'Komunikazzjonijiet tal-Bliet Kapi"&amp;"tali, sid ta' diversi pubblikazzjonijiet stampati, u stazzjonijiet tat-televiżjoni u tar-radju. Fl-1996, il-biċċa l-kbira tal-assi kapitali / l-assi tal-ABC ġew mixtrija mill-Walt Disney Company.")</f>
        <v>ABC oriġinarjament tnediet fit-12 ta 'Ottubru, 1943 bħala netwerk tar-radju, separat minn u jservi bħala s-suċċessur għan-netwerk Blue NBC, li kien mixtri minn Edward J. Noble. Huwa estenda l-operazzjonijiet tiegħu għat-televiżjoni fl-1948, wara l-passi tan-netwerks tax-xandir stabbiliti CBS u NBC. F'nofs is-snin 1950, ABC ingħaqdet ma 'United Paramount Theaters, katina ta' teatri tal-films li qabel kienu joperaw bħala sussidjarja ta 'Paramount Pictures. Leonard Goldenson, li kien il-kap tal-UPT, għamel in-netwerk tat-televiżjoni l-ġdid ta 'profitt billi għen biex jiżviluppa u jdawwal ħafna serje ta' suċċess. Fis-snin 80, wara li xtara interess ta '80% fil-kanal sportiv tal-kejbil ESPN, il-ġenitur tan-netwerk ingħaqad ma 'Komunikazzjonijiet tal-Bliet Kapitali, sid ta' diversi pubblikazzjonijiet stampati, u stazzjonijiet tat-televiżjoni u tar-radju. Fl-1996, il-biċċa l-kbira tal-assi kapitali / l-assi tal-ABC ġew mixtrija mill-Walt Disney Company.</v>
      </c>
    </row>
    <row r="1361" ht="15.75" customHeight="1">
      <c r="A1361" s="2" t="s">
        <v>1361</v>
      </c>
      <c r="B1361" s="2" t="str">
        <f>IFERROR(__xludf.DUMMYFUNCTION("GOOGLETRANSLATE(A1361, ""en"", ""mt"")"),"Numru ta 'bibien f'ċirkwit")</f>
        <v>Numru ta 'bibien f'ċirkwit</v>
      </c>
    </row>
    <row r="1362" ht="15.75" customHeight="1">
      <c r="A1362" s="2" t="s">
        <v>1362</v>
      </c>
      <c r="B1362" s="2" t="str">
        <f>IFERROR(__xludf.DUMMYFUNCTION("GOOGLETRANSLATE(A1362, ""en"", ""mt"")"),"Fejn hu rikonoxxut il-prinċipju tal-proporzjonalità fit-trattat tal-KE?")</f>
        <v>Fejn hu rikonoxxut il-prinċipju tal-proporzjonalità fit-trattat tal-KE?</v>
      </c>
    </row>
    <row r="1363" ht="15.75" customHeight="1">
      <c r="A1363" s="2" t="s">
        <v>1363</v>
      </c>
      <c r="B1363" s="2" t="str">
        <f>IFERROR(__xludf.DUMMYFUNCTION("GOOGLETRANSLATE(A1363, ""en"", ""mt"")"),"Prinċipju ta 'Suċċessjoni Faunali")</f>
        <v>Prinċipju ta 'Suċċessjoni Faunali</v>
      </c>
    </row>
    <row r="1364" ht="15.75" customHeight="1">
      <c r="A1364" s="2" t="s">
        <v>1364</v>
      </c>
      <c r="B1364" s="2" t="str">
        <f>IFERROR(__xludf.DUMMYFUNCTION("GOOGLETRANSLATE(A1364, ""en"", ""mt"")"),"Gwerer orribbli")</f>
        <v>Gwerer orribbli</v>
      </c>
    </row>
    <row r="1365" ht="15.75" customHeight="1">
      <c r="A1365" s="2" t="s">
        <v>1365</v>
      </c>
      <c r="B1365" s="2" t="str">
        <f>IFERROR(__xludf.DUMMYFUNCTION("GOOGLETRANSLATE(A1365, ""en"", ""mt"")"),"L-iskejjel Vittorjani huma jew iffinanzjati pubblikament jew privatament. L-iskejjel pubbliċi, magħrufa wkoll bħala skejjel tal-istat jew tal-gvern, huma ffinanzjati u mmexxija direttament mid-Dipartiment tal-Edukazzjoni tar-Rabat. L-istudenti ma jħallsux"&amp;" miżati għat-tagħlim, iżda xi spejjeż żejda huma imposti. L-iskejjel privati ​​li jħallsu t-tariffi jinkludu skejjel parrokkjali mmexxija mill-Knisja Kattolika Rumana u skejjel indipendenti simili għal skejjel pubbliċi Ingliżi. L-iskejjel indipendenti hum"&amp;"a ġeneralment affiljati mal-knejjes Protestanti. Victoria għandha wkoll diversi skejjel privati ​​tal-Lhud u l-Iżlamiċi u l-iskejjel sekondarji. L-iskejjel privati ​​jirċievu wkoll xi fondi pubbliċi. L-iskejjel kollha għandhom jikkonformaw mal-istandards "&amp;"tal-kurrikulu tal-gvern. Barra minn hekk, Victoria għandha erba 'skejjel selettivi tal-gvern, Melbourne High School for Boys, Macrobertson Girls' High School for Girls, l-Iskejjel Koedukazzjonali John Monash Science School, Nossal High School u Suzanne Co"&amp;"ry High School, u l-Kulleġġ Vittorjan tal-Arts Sekondarja School - Studenti f'dawn l-iskejjel huma ammessi esklussivament abbażi ta 'test ta' dħul selettiv akkademiku.")</f>
        <v>L-iskejjel Vittorjani huma jew iffinanzjati pubblikament jew privatament. L-iskejjel pubbliċi, magħrufa wkoll bħala skejjel tal-istat jew tal-gvern, huma ffinanzjati u mmexxija direttament mid-Dipartiment tal-Edukazzjoni tar-Rabat. L-istudenti ma jħallsux miżati għat-tagħlim, iżda xi spejjeż żejda huma imposti. L-iskejjel privati ​​li jħallsu t-tariffi jinkludu skejjel parrokkjali mmexxija mill-Knisja Kattolika Rumana u skejjel indipendenti simili għal skejjel pubbliċi Ingliżi. L-iskejjel indipendenti huma ġeneralment affiljati mal-knejjes Protestanti. Victoria għandha wkoll diversi skejjel privati ​​tal-Lhud u l-Iżlamiċi u l-iskejjel sekondarji. L-iskejjel privati ​​jirċievu wkoll xi fondi pubbliċi. L-iskejjel kollha għandhom jikkonformaw mal-istandards tal-kurrikulu tal-gvern. Barra minn hekk, Victoria għandha erba 'skejjel selettivi tal-gvern, Melbourne High School for Boys, Macrobertson Girls' High School for Girls, l-Iskejjel Koedukazzjonali John Monash Science School, Nossal High School u Suzanne Cory High School, u l-Kulleġġ Vittorjan tal-Arts Sekondarja School - Studenti f'dawn l-iskejjel huma ammessi esklussivament abbażi ta 'test ta' dħul selettiv akkademiku.</v>
      </c>
    </row>
    <row r="1366" ht="15.75" customHeight="1">
      <c r="A1366" s="2" t="s">
        <v>1366</v>
      </c>
      <c r="B1366" s="2" t="str">
        <f>IFERROR(__xludf.DUMMYFUNCTION("GOOGLETRANSLATE(A1366, ""en"", ""mt"")"),"Meta jkunu miżżewġin, u lil min")</f>
        <v>Meta jkunu miżżewġin, u lil min</v>
      </c>
    </row>
    <row r="1367" ht="15.75" customHeight="1">
      <c r="A1367" s="2" t="s">
        <v>1367</v>
      </c>
      <c r="B1367" s="2" t="str">
        <f>IFERROR(__xludf.DUMMYFUNCTION("GOOGLETRANSLATE(A1367, ""en"", ""mt"")"),"Segretarjat Ċentrali")</f>
        <v>Segretarjat Ċentrali</v>
      </c>
    </row>
    <row r="1368" ht="15.75" customHeight="1">
      <c r="A1368" s="2" t="s">
        <v>1368</v>
      </c>
      <c r="B1368" s="2" t="str">
        <f>IFERROR(__xludf.DUMMYFUNCTION("GOOGLETRANSLATE(A1368, ""en"", ""mt"")"),"Ġersijiet suwed bi qliezet tal-fidda")</f>
        <v>Ġersijiet suwed bi qliezet tal-fidda</v>
      </c>
    </row>
    <row r="1369" ht="15.75" customHeight="1">
      <c r="A1369" s="2" t="s">
        <v>1369</v>
      </c>
      <c r="B1369" s="2" t="str">
        <f>IFERROR(__xludf.DUMMYFUNCTION("GOOGLETRANSLATE(A1369, ""en"", ""mt"")"),"L-akbar oġġetti fil-V &amp; A taċ-ċeramika u l-ġbir tal-ħġieġ ġew prodotti f'liema pajjiżi?")</f>
        <v>L-akbar oġġetti fil-V &amp; A taċ-ċeramika u l-ġbir tal-ħġieġ ġew prodotti f'liema pajjiżi?</v>
      </c>
    </row>
    <row r="1370" ht="15.75" customHeight="1">
      <c r="A1370" s="2" t="s">
        <v>1370</v>
      </c>
      <c r="B1370" s="2" t="str">
        <f>IFERROR(__xludf.DUMMYFUNCTION("GOOGLETRANSLATE(A1370, ""en"", ""mt"")"),"Foresta Primordjali Masovjana")</f>
        <v>Foresta Primordjali Masovjana</v>
      </c>
    </row>
    <row r="1371" ht="15.75" customHeight="1">
      <c r="A1371" s="2" t="s">
        <v>1371</v>
      </c>
      <c r="B1371" s="2" t="str">
        <f>IFERROR(__xludf.DUMMYFUNCTION("GOOGLETRANSLATE(A1371, ""en"", ""mt"")"),"Meta laħqet l-espansjoni ta 'Bantu mill-Afrika tal-Punent-Ċentrali?")</f>
        <v>Meta laħqet l-espansjoni ta 'Bantu mill-Afrika tal-Punent-Ċentrali?</v>
      </c>
    </row>
    <row r="1372" ht="15.75" customHeight="1">
      <c r="A1372" s="2" t="s">
        <v>1372</v>
      </c>
      <c r="B1372" s="2" t="str">
        <f>IFERROR(__xludf.DUMMYFUNCTION("GOOGLETRANSLATE(A1372, ""en"", ""mt"")"),"Fejn saret il-Konferenza tal-Milied tal-Baltimore tal-1784?")</f>
        <v>Fejn saret il-Konferenza tal-Milied tal-Baltimore tal-1784?</v>
      </c>
    </row>
    <row r="1373" ht="15.75" customHeight="1">
      <c r="A1373" s="2" t="s">
        <v>1373</v>
      </c>
      <c r="B1373" s="2" t="str">
        <f>IFERROR(__xludf.DUMMYFUNCTION("GOOGLETRANSLATE(A1373, ""en"", ""mt"")"),"Min qal Edward jgħid li qed jiġi attakkat mill-imperjalizmu tal-Istati Uniti?")</f>
        <v>Min qal Edward jgħid li qed jiġi attakkat mill-imperjalizmu tal-Istati Uniti?</v>
      </c>
    </row>
    <row r="1374" ht="15.75" customHeight="1">
      <c r="A1374" s="2" t="s">
        <v>1374</v>
      </c>
      <c r="B1374" s="2" t="str">
        <f>IFERROR(__xludf.DUMMYFUNCTION("GOOGLETRANSLATE(A1374, ""en"", ""mt"")"),"Liema stil ta 'senser jixtieq juża x-xjentist biex ikejjel ir-radjazzjoni globali?")</f>
        <v>Liema stil ta 'senser jixtieq juża x-xjentist biex ikejjel ir-radjazzjoni globali?</v>
      </c>
    </row>
    <row r="1375" ht="15.75" customHeight="1">
      <c r="A1375" s="2" t="s">
        <v>1375</v>
      </c>
      <c r="B1375" s="2" t="str">
        <f>IFERROR(__xludf.DUMMYFUNCTION("GOOGLETRANSLATE(A1375, ""en"", ""mt"")"),"X’jara gradwalment Luther bħala bla tama fir-Riforma?")</f>
        <v>X’jara gradwalment Luther bħala bla tama fir-Riforma?</v>
      </c>
    </row>
    <row r="1376" ht="15.75" customHeight="1">
      <c r="A1376" s="2" t="s">
        <v>1376</v>
      </c>
      <c r="B1376" s="2" t="str">
        <f>IFERROR(__xludf.DUMMYFUNCTION("GOOGLETRANSLATE(A1376, ""en"", ""mt"")"),"mhux reliġjuż")</f>
        <v>mhux reliġjuż</v>
      </c>
    </row>
    <row r="1377" ht="15.75" customHeight="1">
      <c r="A1377" s="2" t="s">
        <v>1377</v>
      </c>
      <c r="B1377" s="2" t="str">
        <f>IFERROR(__xludf.DUMMYFUNCTION("GOOGLETRANSLATE(A1377, ""en"", ""mt"")"),"Tgħallem bir-Rote")</f>
        <v>Tgħallem bir-Rote</v>
      </c>
    </row>
    <row r="1378" ht="15.75" customHeight="1">
      <c r="A1378" s="2" t="s">
        <v>1378</v>
      </c>
      <c r="B1378" s="2" t="str">
        <f>IFERROR(__xludf.DUMMYFUNCTION("GOOGLETRANSLATE(A1378, ""en"", ""mt"")"),"Li l-pesta kienet ikkawżata minn arja ħażina")</f>
        <v>Li l-pesta kienet ikkawżata minn arja ħażina</v>
      </c>
    </row>
    <row r="1379" ht="15.75" customHeight="1">
      <c r="A1379" s="2" t="s">
        <v>1379</v>
      </c>
      <c r="B1379" s="2" t="str">
        <f>IFERROR(__xludf.DUMMYFUNCTION("GOOGLETRANSLATE(A1379, ""en"", ""mt"")"),"ġwienaħ tal-poteri sekulari")</f>
        <v>ġwienaħ tal-poteri sekulari</v>
      </c>
    </row>
    <row r="1380" ht="15.75" customHeight="1">
      <c r="A1380" s="2" t="s">
        <v>1380</v>
      </c>
      <c r="B1380" s="2" t="str">
        <f>IFERROR(__xludf.DUMMYFUNCTION("GOOGLETRANSLATE(A1380, ""en"", ""mt"")"),"Ir-riċetturi tar-rikonoxximent tal-mudelli huma proteini użati minn kważi l-organiżmi kollha biex jidentifikaw molekuli assoċjati ma 'patoġeni. Il-peptidi antimikrobiċi msejħa difensini huma komponent evoluzzjonalment ikkonservat tar-rispons immuni innat "&amp;"misjub fl-annimali u l-pjanti kollha, u jirrappreżentaw il-forma ewlenija ta 'immunità sistemika invertebrata. Is-sistema tal-komplement u ċ-ċelloli fagoċitiċi jintużaw ukoll mill-biċċa l-kbira tal-forom tal-ħajja invertebrati. Ir-ribonukleżiżi u l-mogħdi"&amp;"ja ta 'interferenza RNA huma kkonservati fl-ewkarioti kollha, u huma maħsuba li għandhom rwol fir-rispons immuni għall-viruses.")</f>
        <v>Ir-riċetturi tar-rikonoxximent tal-mudelli huma proteini użati minn kważi l-organiżmi kollha biex jidentifikaw molekuli assoċjati ma 'patoġeni. Il-peptidi antimikrobiċi msejħa difensini huma komponent evoluzzjonalment ikkonservat tar-rispons immuni innat misjub fl-annimali u l-pjanti kollha, u jirrappreżentaw il-forma ewlenija ta 'immunità sistemika invertebrata. Is-sistema tal-komplement u ċ-ċelloli fagoċitiċi jintużaw ukoll mill-biċċa l-kbira tal-forom tal-ħajja invertebrati. Ir-ribonukleżiżi u l-mogħdija ta 'interferenza RNA huma kkonservati fl-ewkarioti kollha, u huma maħsuba li għandhom rwol fir-rispons immuni għall-viruses.</v>
      </c>
    </row>
    <row r="1381" ht="15.75" customHeight="1">
      <c r="A1381" s="2" t="s">
        <v>1381</v>
      </c>
      <c r="B1381" s="2" t="str">
        <f>IFERROR(__xludf.DUMMYFUNCTION("GOOGLETRANSLATE(A1381, ""en"", ""mt"")"),"Fejn twieldet l-artist famuż Tamara de Lempicka?")</f>
        <v>Fejn twieldet l-artist famuż Tamara de Lempicka?</v>
      </c>
    </row>
    <row r="1382" ht="15.75" customHeight="1">
      <c r="A1382" s="2" t="s">
        <v>1382</v>
      </c>
      <c r="B1382" s="2" t="str">
        <f>IFERROR(__xludf.DUMMYFUNCTION("GOOGLETRANSLATE(A1382, ""en"", ""mt"")"),"Minħabba l-mewt ta 'Elisabeth Sladen")</f>
        <v>Minħabba l-mewt ta 'Elisabeth Sladen</v>
      </c>
    </row>
    <row r="1383" ht="15.75" customHeight="1">
      <c r="A1383" s="2" t="s">
        <v>1383</v>
      </c>
      <c r="B1383" s="2" t="str">
        <f>IFERROR(__xludf.DUMMYFUNCTION("GOOGLETRANSLATE(A1383, ""en"", ""mt"")"),"X'kien it-titlu uffiċjali ta 'Phillips għan-NASA?")</f>
        <v>X'kien it-titlu uffiċjali ta 'Phillips għan-NASA?</v>
      </c>
    </row>
    <row r="1384" ht="15.75" customHeight="1">
      <c r="A1384" s="2" t="s">
        <v>1384</v>
      </c>
      <c r="B1384" s="2" t="str">
        <f>IFERROR(__xludf.DUMMYFUNCTION("GOOGLETRANSLATE(A1384, ""en"", ""mt"")"),"Sistema estensiva, elettrifikata, tal-passiġġieri")</f>
        <v>Sistema estensiva, elettrifikata, tal-passiġġieri</v>
      </c>
    </row>
    <row r="1385" ht="15.75" customHeight="1">
      <c r="A1385" s="2" t="s">
        <v>1385</v>
      </c>
      <c r="B1385" s="2" t="str">
        <f>IFERROR(__xludf.DUMMYFUNCTION("GOOGLETRANSLATE(A1385, ""en"", ""mt"")"),"il-membrana taċ-ċellula")</f>
        <v>il-membrana taċ-ċellula</v>
      </c>
    </row>
    <row r="1386" ht="15.75" customHeight="1">
      <c r="A1386" s="2" t="s">
        <v>1386</v>
      </c>
      <c r="B1386" s="2" t="str">
        <f>IFERROR(__xludf.DUMMYFUNCTION("GOOGLETRANSLATE(A1386, ""en"", ""mt"")"),"Kif huma spazjati l-pettnijiet?")</f>
        <v>Kif huma spazjati l-pettnijiet?</v>
      </c>
    </row>
    <row r="1387" ht="15.75" customHeight="1">
      <c r="A1387" s="2" t="s">
        <v>1387</v>
      </c>
      <c r="B1387" s="2" t="str">
        <f>IFERROR(__xludf.DUMMYFUNCTION("GOOGLETRANSLATE(A1387, ""en"", ""mt"")"),"X'tip ta 'atmosfera għen biex tiffranka n-nar fil-kabina kollha?")</f>
        <v>X'tip ta 'atmosfera għen biex tiffranka n-nar fil-kabina kollha?</v>
      </c>
    </row>
    <row r="1388" ht="15.75" customHeight="1">
      <c r="A1388" s="2" t="s">
        <v>1388</v>
      </c>
      <c r="B1388" s="2" t="str">
        <f>IFERROR(__xludf.DUMMYFUNCTION("GOOGLETRANSLATE(A1388, ""en"", ""mt"")"),"Min ippubblika r-rapport tal-Istat tal-Pjaneta 2008-2009?")</f>
        <v>Min ippubblika r-rapport tal-Istat tal-Pjaneta 2008-2009?</v>
      </c>
    </row>
    <row r="1389" ht="15.75" customHeight="1">
      <c r="A1389" s="2" t="s">
        <v>1389</v>
      </c>
      <c r="B1389" s="2" t="str">
        <f>IFERROR(__xludf.DUMMYFUNCTION("GOOGLETRANSLATE(A1389, ""en"", ""mt"")"),"F'liema jidher Phycoerytherin?")</f>
        <v>F'liema jidher Phycoerytherin?</v>
      </c>
    </row>
    <row r="1390" ht="15.75" customHeight="1">
      <c r="A1390" s="2" t="s">
        <v>1390</v>
      </c>
      <c r="B1390" s="2" t="str">
        <f>IFERROR(__xludf.DUMMYFUNCTION("GOOGLETRANSLATE(A1390, ""en"", ""mt"")"),"It-tielet riġenerazzjoni tat-tabib fuq l-iskrin")</f>
        <v>It-tielet riġenerazzjoni tat-tabib fuq l-iskrin</v>
      </c>
    </row>
    <row r="1391" ht="15.75" customHeight="1">
      <c r="A1391" s="2" t="s">
        <v>1391</v>
      </c>
      <c r="B1391" s="2" t="str">
        <f>IFERROR(__xludf.DUMMYFUNCTION("GOOGLETRANSLATE(A1391, ""en"", ""mt"")"),"Minn fejn ix-xjenzati jħobbu r-radjazzjoni tal-veġetazzjoni tal-kejl?")</f>
        <v>Minn fejn ix-xjenzati jħobbu r-radjazzjoni tal-veġetazzjoni tal-kejl?</v>
      </c>
    </row>
    <row r="1392" ht="15.75" customHeight="1">
      <c r="A1392" s="2" t="s">
        <v>1392</v>
      </c>
      <c r="B1392" s="2" t="str">
        <f>IFERROR(__xludf.DUMMYFUNCTION("GOOGLETRANSLATE(A1392, ""en"", ""mt"")"),"Liema mard ħafna xjenzati jemmnu li kkontribwew għall-pandemija tal-pesta?")</f>
        <v>Liema mard ħafna xjenzati jemmnu li kkontribwew għall-pandemija tal-pesta?</v>
      </c>
    </row>
    <row r="1393" ht="15.75" customHeight="1">
      <c r="A1393" s="2" t="s">
        <v>1393</v>
      </c>
      <c r="B1393" s="2" t="str">
        <f>IFERROR(__xludf.DUMMYFUNCTION("GOOGLETRANSLATE(A1393, ""en"", ""mt"")"),"trapjastomiku")</f>
        <v>trapjastomiku</v>
      </c>
    </row>
    <row r="1394" ht="15.75" customHeight="1">
      <c r="A1394" s="2" t="s">
        <v>1394</v>
      </c>
      <c r="B1394" s="2" t="str">
        <f>IFERROR(__xludf.DUMMYFUNCTION("GOOGLETRANSLATE(A1394, ""en"", ""mt"")"),"regoli komuni għall-faħam u l-azzar, u mbagħad l-enerġija atomika")</f>
        <v>regoli komuni għall-faħam u l-azzar, u mbagħad l-enerġija atomika</v>
      </c>
    </row>
    <row r="1395" ht="15.75" customHeight="1">
      <c r="A1395" s="2" t="s">
        <v>1395</v>
      </c>
      <c r="B1395" s="2" t="str">
        <f>IFERROR(__xludf.DUMMYFUNCTION("GOOGLETRANSLATE(A1395, ""en"", ""mt"")"),"X’ordni għamlu l-Brittaniċi tal-Franċiż?")</f>
        <v>X’ordni għamlu l-Brittaniċi tal-Franċiż?</v>
      </c>
    </row>
    <row r="1396" ht="15.75" customHeight="1">
      <c r="A1396" s="2" t="s">
        <v>1396</v>
      </c>
      <c r="B1396" s="2" t="str">
        <f>IFERROR(__xludf.DUMMYFUNCTION("GOOGLETRANSLATE(A1396, ""en"", ""mt"")"),"Tpinġijiet u Ġbir ta 'Arkivji Riba")</f>
        <v>Tpinġijiet u Ġbir ta 'Arkivji Riba</v>
      </c>
    </row>
    <row r="1397" ht="15.75" customHeight="1">
      <c r="A1397" s="2" t="s">
        <v>1397</v>
      </c>
      <c r="B1397" s="2" t="str">
        <f>IFERROR(__xludf.DUMMYFUNCTION("GOOGLETRANSLATE(A1397, ""en"", ""mt"")"),"F’liema konkwista ewlenija Tancred kellha roll?")</f>
        <v>F’liema konkwista ewlenija Tancred kellha roll?</v>
      </c>
    </row>
    <row r="1398" ht="15.75" customHeight="1">
      <c r="A1398" s="2" t="s">
        <v>1398</v>
      </c>
      <c r="B1398" s="2" t="str">
        <f>IFERROR(__xludf.DUMMYFUNCTION("GOOGLETRANSLATE(A1398, ""en"", ""mt"")"),"aktar minn żewġ miljun")</f>
        <v>aktar minn żewġ miljun</v>
      </c>
    </row>
    <row r="1399" ht="15.75" customHeight="1">
      <c r="A1399" s="2" t="s">
        <v>1399</v>
      </c>
      <c r="B1399" s="2" t="str">
        <f>IFERROR(__xludf.DUMMYFUNCTION("GOOGLETRANSLATE(A1399, ""en"", ""mt"")"),"Biex iddur bilanċ")</f>
        <v>Biex iddur bilanċ</v>
      </c>
    </row>
    <row r="1400" ht="15.75" customHeight="1">
      <c r="A1400" s="2" t="s">
        <v>1400</v>
      </c>
      <c r="B1400" s="2" t="str">
        <f>IFERROR(__xludf.DUMMYFUNCTION("GOOGLETRANSLATE(A1400, ""en"", ""mt"")"),"Għalkemm il-Kenja hija l-iktar pajjiż żviluppat industrijali fir-reġjun tal-Lagi l-Kbar Afrikani, il-manifattura għadha biss 14% tal-PDG. L-attività industrijali, ikkonċentrata madwar l-akbar tliet ċentri urbani, Nairobi, Mombasa u Kisumu, hija ddominata "&amp;"minn industriji li jipproċessaw l-ikel bħal tħin tal-qamħ, produzzjoni tal-birra, u tfarrik tal-kannamieli, u l-fabbrikazzjoni ta 'oġġetti għall-konsumatur, e.g., vetturi minn kits. Hemm industrija tal-produzzjoni tas-siment. [Ċitazzjoni meħtieġa] Il-Kenj"&amp;"a għandha raffinerija taż-żejt li tipproċessa l-pitrolju mhux raffinat fi prodotti tal-pitrolju, l-aktar għas-suq domestiku. Barra minn hekk, settur informali sostanzjali u li qed jespandi komunement imsejjaħ Jua Kali jinvolvi manifattura fuq skala żgħira"&amp;" ta 'oġġetti tad-dar, partijiet ta' vetturi bil-mutur, u għodda ta 'l-irziezet. [Ċitazzjoni meħtieġa]")</f>
        <v>Għalkemm il-Kenja hija l-iktar pajjiż żviluppat industrijali fir-reġjun tal-Lagi l-Kbar Afrikani, il-manifattura għadha biss 14% tal-PDG. L-attività industrijali, ikkonċentrata madwar l-akbar tliet ċentri urbani, Nairobi, Mombasa u Kisumu, hija ddominata minn industriji li jipproċessaw l-ikel bħal tħin tal-qamħ, produzzjoni tal-birra, u tfarrik tal-kannamieli, u l-fabbrikazzjoni ta 'oġġetti għall-konsumatur, e.g., vetturi minn kits. Hemm industrija tal-produzzjoni tas-siment. [Ċitazzjoni meħtieġa] Il-Kenja għandha raffinerija taż-żejt li tipproċessa l-pitrolju mhux raffinat fi prodotti tal-pitrolju, l-aktar għas-suq domestiku. Barra minn hekk, settur informali sostanzjali u li qed jespandi komunement imsejjaħ Jua Kali jinvolvi manifattura fuq skala żgħira ta 'oġġetti tad-dar, partijiet ta' vetturi bil-mutur, u għodda ta 'l-irziezet. [Ċitazzjoni meħtieġa]</v>
      </c>
    </row>
    <row r="1401" ht="15.75" customHeight="1">
      <c r="A1401" s="2" t="s">
        <v>1401</v>
      </c>
      <c r="B1401" s="2" t="str">
        <f>IFERROR(__xludf.DUMMYFUNCTION("GOOGLETRANSLATE(A1401, ""en"", ""mt"")"),"Aktar minn 12-il miljun abitant")</f>
        <v>Aktar minn 12-il miljun abitant</v>
      </c>
    </row>
    <row r="1402" ht="15.75" customHeight="1">
      <c r="A1402" s="2" t="s">
        <v>1402</v>
      </c>
      <c r="B1402" s="2" t="str">
        <f>IFERROR(__xludf.DUMMYFUNCTION("GOOGLETRANSLATE(A1402, ""en"", ""mt"")"),"Lab Street Houston")</f>
        <v>Lab Street Houston</v>
      </c>
    </row>
    <row r="1403" ht="15.75" customHeight="1">
      <c r="A1403" s="2" t="s">
        <v>1403</v>
      </c>
      <c r="B1403" s="2" t="str">
        <f>IFERROR(__xludf.DUMMYFUNCTION("GOOGLETRANSLATE(A1403, ""en"", ""mt"")"),"Xi Huguenots stabbilixxew f'Bedfordshire, wieħed miċ-ċentri ewlenin tal-industrija tal-bizzilla Ingliża dak iż-żmien. Għalkemm is-sorsi tas-seklu 19 affermaw li wħud minn dawn ir-refuġjati kienu lacemakers u kkontribwew għall-industrija tal-bizzilla tal-E"&amp;"ast Midlands, dan huwa kontenzjuż. L-unika referenza għall-lacemakers immigranti f'dan il-perjodu hija ta 'ħamsa u għoxrin romol li stabbilixxew f'Dover, u m'hemm l-ebda dokumentazzjoni kontemporanja biex tappoġġja li jkun hemm Huguenot Lacemakers f'Bedfo"&amp;"rdshire. L-implikazzjoni li l-istil tal-bizzilla magħruf bħala 'Bucks Point' juri influwenza ta 'Huguenot, li hija ""kombinazzjoni ta' mudelli ta 'mechlin fuq Lille Ground"", hija falza: dak li issa huwa magħruf bħala Mechlin Lace ma żviluppax sal-ewwel n"&amp;"ofs tas-seklu tmintax U l-bizzilla b'disinji ta 'Mechlin u Lille Ground ma dehritx sal-aħħar tas-seklu 18, meta ġiet ikkupjata ħafna fl-Ewropa kollha.")</f>
        <v>Xi Huguenots stabbilixxew f'Bedfordshire, wieħed miċ-ċentri ewlenin tal-industrija tal-bizzilla Ingliża dak iż-żmien. Għalkemm is-sorsi tas-seklu 19 affermaw li wħud minn dawn ir-refuġjati kienu lacemakers u kkontribwew għall-industrija tal-bizzilla tal-East Midlands, dan huwa kontenzjuż. L-unika referenza għall-lacemakers immigranti f'dan il-perjodu hija ta 'ħamsa u għoxrin romol li stabbilixxew f'Dover, u m'hemm l-ebda dokumentazzjoni kontemporanja biex tappoġġja li jkun hemm Huguenot Lacemakers f'Bedfordshire. L-implikazzjoni li l-istil tal-bizzilla magħruf bħala 'Bucks Point' juri influwenza ta 'Huguenot, li hija "kombinazzjoni ta' mudelli ta 'mechlin fuq Lille Ground", hija falza: dak li issa huwa magħruf bħala Mechlin Lace ma żviluppax sal-ewwel nofs tas-seklu tmintax U l-bizzilla b'disinji ta 'Mechlin u Lille Ground ma dehritx sal-aħħar tas-seklu 18, meta ġiet ikkupjata ħafna fl-Ewropa kollha.</v>
      </c>
    </row>
    <row r="1404" ht="15.75" customHeight="1">
      <c r="A1404" s="2" t="s">
        <v>1404</v>
      </c>
      <c r="B1404" s="2" t="str">
        <f>IFERROR(__xludf.DUMMYFUNCTION("GOOGLETRANSLATE(A1404, ""en"", ""mt"")"),"fotoni")</f>
        <v>fotoni</v>
      </c>
    </row>
    <row r="1405" ht="15.75" customHeight="1">
      <c r="A1405" s="2" t="s">
        <v>1405</v>
      </c>
      <c r="B1405" s="2" t="str">
        <f>IFERROR(__xludf.DUMMYFUNCTION("GOOGLETRANSLATE(A1405, ""en"", ""mt"")"),"raġuni")</f>
        <v>raġuni</v>
      </c>
    </row>
    <row r="1406" ht="15.75" customHeight="1">
      <c r="A1406" s="2" t="s">
        <v>1406</v>
      </c>
      <c r="B1406" s="2" t="str">
        <f>IFERROR(__xludf.DUMMYFUNCTION("GOOGLETRANSLATE(A1406, ""en"", ""mt"")"),"Liema att jistabbilixxi l-funzjonijiet tal-Parlament Skoċċiż?")</f>
        <v>Liema att jistabbilixxi l-funzjonijiet tal-Parlament Skoċċiż?</v>
      </c>
    </row>
    <row r="1407" ht="15.75" customHeight="1">
      <c r="A1407" s="2" t="s">
        <v>1407</v>
      </c>
      <c r="B1407" s="2" t="str">
        <f>IFERROR(__xludf.DUMMYFUNCTION("GOOGLETRANSLATE(A1407, ""en"", ""mt"")"),"F'liema baħar ġie skopert iż-żejt?")</f>
        <v>F'liema baħar ġie skopert iż-żejt?</v>
      </c>
    </row>
    <row r="1408" ht="15.75" customHeight="1">
      <c r="A1408" s="2" t="s">
        <v>1408</v>
      </c>
      <c r="B1408" s="2" t="str">
        <f>IFERROR(__xludf.DUMMYFUNCTION("GOOGLETRANSLATE(A1408, ""en"", ""mt"")"),"ċelloli infettati jirrilaxxaw sinjali li jwissu l-kumplament tal-pjanta tal-preżenza tal-patoġen")</f>
        <v>ċelloli infettati jirrilaxxaw sinjali li jwissu l-kumplament tal-pjanta tal-preżenza tal-patoġen</v>
      </c>
    </row>
    <row r="1409" ht="15.75" customHeight="1">
      <c r="A1409" s="2" t="s">
        <v>1409</v>
      </c>
      <c r="B1409" s="2" t="str">
        <f>IFERROR(__xludf.DUMMYFUNCTION("GOOGLETRANSLATE(A1409, ""en"", ""mt"")"),"li jġorr il-moxt")</f>
        <v>li jġorr il-moxt</v>
      </c>
    </row>
    <row r="1410" ht="15.75" customHeight="1">
      <c r="A1410" s="2" t="s">
        <v>1410</v>
      </c>
      <c r="B1410" s="2" t="str">
        <f>IFERROR(__xludf.DUMMYFUNCTION("GOOGLETRANSLATE(A1410, ""en"", ""mt"")"),"Xi wħud jargumentaw li l-Knisja Metodista Magħquda tista 'tpoġġi talba fuq suċċessjoni appostolika, kif mifhum fis-sens tradizzjonali. Bħala riżultat tar-Rivoluzzjoni Amerikana, John Wesley kien imġiegħel fl-1784 ikisser ma 'prattika standard u jordna tne"&amp;"jn mill-predikaturi lajċi tiegħu bħala Presbyters, Thomas Vasey u Richard Whatcoat. Dr Thomas Coke, diġà qassis Anglikan, għen lil Wesley f'din l-azzjoni. Il-Kokk imbagħad ġie ""mwarrab"" bħala Supretendent (Isqof) minn Wesley u mibgħut ma 'Vasey u Whatco"&amp;"at lejn l-Amerika biex jieħu ħsieb l-attivitajiet Metodisti hemmhekk. Fid-difiża tal-azzjoni tiegħu biex tordna, Wesley innifsu kkwota opinjoni antika mill-Knisja ta ’Lixandra, li qalet li l-isqfijiet u l-presbyters kienu jikkostitwixxu ordni waħda u għal"&amp;"hekk, l-isqfijiet għandhom jiġu eletti minn u mill-presbiterat. Huwa kien jaf li għal żewġ sekli s-suċċessjoni tal-isqfijiet fil-Knisja ta ’Lixandra kienet ippreservata permezz ta’ ordinazzjoni mill-presbyters biss u kienet meqjusa valida mill-knisja tal-"&amp;"qedem. Illum il-Metodisti li jargumentaw għas-suċċessjoni apostolika jagħmlu dan għal dawn ir-raġunijiet.")</f>
        <v>Xi wħud jargumentaw li l-Knisja Metodista Magħquda tista 'tpoġġi talba fuq suċċessjoni appostolika, kif mifhum fis-sens tradizzjonali. Bħala riżultat tar-Rivoluzzjoni Amerikana, John Wesley kien imġiegħel fl-1784 ikisser ma 'prattika standard u jordna tnejn mill-predikaturi lajċi tiegħu bħala Presbyters, Thomas Vasey u Richard Whatcoat. Dr Thomas Coke, diġà qassis Anglikan, għen lil Wesley f'din l-azzjoni. Il-Kokk imbagħad ġie "mwarrab" bħala Supretendent (Isqof) minn Wesley u mibgħut ma 'Vasey u Whatcoat lejn l-Amerika biex jieħu ħsieb l-attivitajiet Metodisti hemmhekk. Fid-difiża tal-azzjoni tiegħu biex tordna, Wesley innifsu kkwota opinjoni antika mill-Knisja ta ’Lixandra, li qalet li l-isqfijiet u l-presbyters kienu jikkostitwixxu ordni waħda u għalhekk, l-isqfijiet għandhom jiġu eletti minn u mill-presbiterat. Huwa kien jaf li għal żewġ sekli s-suċċessjoni tal-isqfijiet fil-Knisja ta ’Lixandra kienet ippreservata permezz ta’ ordinazzjoni mill-presbyters biss u kienet meqjusa valida mill-knisja tal-qedem. Illum il-Metodisti li jargumentaw għas-suċċessjoni apostolika jagħmlu dan għal dawn ir-raġunijiet.</v>
      </c>
    </row>
    <row r="1411" ht="15.75" customHeight="1">
      <c r="A1411" s="2" t="s">
        <v>1411</v>
      </c>
      <c r="B1411" s="2" t="str">
        <f>IFERROR(__xludf.DUMMYFUNCTION("GOOGLETRANSLATE(A1411, ""en"", ""mt"")"),"Fejn jinsab il-viċinat ta 'Sunnyside fi Fresno?")</f>
        <v>Fejn jinsab il-viċinat ta 'Sunnyside fi Fresno?</v>
      </c>
    </row>
    <row r="1412" ht="15.75" customHeight="1">
      <c r="A1412" s="2" t="s">
        <v>1412</v>
      </c>
      <c r="B1412" s="2" t="str">
        <f>IFERROR(__xludf.DUMMYFUNCTION("GOOGLETRANSLATE(A1412, ""en"", ""mt"")"),"X'tip ta 'taħlita ġiet maħluqa biex tissostitwixxi l-atmosfera ta' ossiġnu pur ġewwa l-kabina?")</f>
        <v>X'tip ta 'taħlita ġiet maħluqa biex tissostitwixxi l-atmosfera ta' ossiġnu pur ġewwa l-kabina?</v>
      </c>
    </row>
    <row r="1413" ht="15.75" customHeight="1">
      <c r="A1413" s="2" t="s">
        <v>1413</v>
      </c>
      <c r="B1413" s="2" t="str">
        <f>IFERROR(__xludf.DUMMYFUNCTION("GOOGLETRANSLATE(A1413, ""en"", ""mt"")"),"Kuntratt")</f>
        <v>Kuntratt</v>
      </c>
    </row>
    <row r="1414" ht="15.75" customHeight="1">
      <c r="A1414" s="2" t="s">
        <v>1414</v>
      </c>
      <c r="B1414" s="2" t="str">
        <f>IFERROR(__xludf.DUMMYFUNCTION("GOOGLETRANSLATE(A1414, ""en"", ""mt"")"),"Evoluzzjoni ġeokimika ta 'unitajiet tal-blat")</f>
        <v>Evoluzzjoni ġeokimika ta 'unitajiet tal-blat</v>
      </c>
    </row>
    <row r="1415" ht="15.75" customHeight="1">
      <c r="A1415" s="2" t="s">
        <v>1415</v>
      </c>
      <c r="B1415" s="2" t="str">
        <f>IFERROR(__xludf.DUMMYFUNCTION("GOOGLETRANSLATE(A1415, ""en"", ""mt"")"),"Prevenzjoni milli tinqata '")</f>
        <v>Prevenzjoni milli tinqata '</v>
      </c>
    </row>
    <row r="1416" ht="15.75" customHeight="1">
      <c r="A1416" s="2" t="s">
        <v>1416</v>
      </c>
      <c r="B1416" s="2" t="str">
        <f>IFERROR(__xludf.DUMMYFUNCTION("GOOGLETRANSLATE(A1416, ""en"", ""mt"")"),"ospiti responsabbli għal twassil affidabbli ta 'dejta")</f>
        <v>ospiti responsabbli għal twassil affidabbli ta 'dejta</v>
      </c>
    </row>
    <row r="1417" ht="15.75" customHeight="1">
      <c r="A1417" s="2" t="s">
        <v>1417</v>
      </c>
      <c r="B1417" s="2" t="str">
        <f>IFERROR(__xludf.DUMMYFUNCTION("GOOGLETRANSLATE(A1417, ""en"", ""mt"")"),"X'inhi l-oriġini tal-ispiżerija klinika?")</f>
        <v>X'inhi l-oriġini tal-ispiżerija klinika?</v>
      </c>
    </row>
    <row r="1418" ht="15.75" customHeight="1">
      <c r="A1418" s="2" t="s">
        <v>1418</v>
      </c>
      <c r="B1418" s="2" t="str">
        <f>IFERROR(__xludf.DUMMYFUNCTION("GOOGLETRANSLATE(A1418, ""en"", ""mt"")"),"L-iktar manifestazzjonijiet ħorox fid-dinja")</f>
        <v>L-iktar manifestazzjonijiet ħorox fid-dinja</v>
      </c>
    </row>
    <row r="1419" ht="15.75" customHeight="1">
      <c r="A1419" s="2" t="s">
        <v>1419</v>
      </c>
      <c r="B1419" s="2" t="str">
        <f>IFERROR(__xludf.DUMMYFUNCTION("GOOGLETRANSLATE(A1419, ""en"", ""mt"")"),"injorat it-twissija.")</f>
        <v>injorat it-twissija.</v>
      </c>
    </row>
    <row r="1420" ht="15.75" customHeight="1">
      <c r="A1420" s="2" t="s">
        <v>1420</v>
      </c>
      <c r="B1420" s="2" t="str">
        <f>IFERROR(__xludf.DUMMYFUNCTION("GOOGLETRANSLATE(A1420, ""en"", ""mt"")"),"24 ta ’Settembru 2007")</f>
        <v>24 ta ’Settembru 2007</v>
      </c>
    </row>
    <row r="1421" ht="15.75" customHeight="1">
      <c r="A1421" s="2" t="s">
        <v>1421</v>
      </c>
      <c r="B1421" s="2" t="str">
        <f>IFERROR(__xludf.DUMMYFUNCTION("GOOGLETRANSLATE(A1421, ""en"", ""mt"")"),"Xi jsostnu xi teoriji dwar id-diżubbidjenza ċivili?")</f>
        <v>Xi jsostnu xi teoriji dwar id-diżubbidjenza ċivili?</v>
      </c>
    </row>
    <row r="1422" ht="15.75" customHeight="1">
      <c r="A1422" s="2" t="s">
        <v>1422</v>
      </c>
      <c r="B1422" s="2" t="str">
        <f>IFERROR(__xludf.DUMMYFUNCTION("GOOGLETRANSLATE(A1422, ""en"", ""mt"")"),"It-tieni nofs tas-seklu 20")</f>
        <v>It-tieni nofs tas-seklu 20</v>
      </c>
    </row>
    <row r="1423" ht="15.75" customHeight="1">
      <c r="A1423" s="2" t="s">
        <v>1423</v>
      </c>
      <c r="B1423" s="2" t="str">
        <f>IFERROR(__xludf.DUMMYFUNCTION("GOOGLETRANSLATE(A1423, ""en"", ""mt"")"),"X'kien l-isem mogħti lir-reġjuni li fihom għexu l-pro-skjavitù?")</f>
        <v>X'kien l-isem mogħti lir-reġjuni li fihom għexu l-pro-skjavitù?</v>
      </c>
    </row>
    <row r="1424" ht="15.75" customHeight="1">
      <c r="A1424" s="2" t="s">
        <v>1424</v>
      </c>
      <c r="B1424" s="2" t="str">
        <f>IFERROR(__xludf.DUMMYFUNCTION("GOOGLETRANSLATE(A1424, ""en"", ""mt"")"),"X'kien ir-riżultat tal-elezzjoni tal-2007?")</f>
        <v>X'kien ir-riżultat tal-elezzjoni tal-2007?</v>
      </c>
    </row>
    <row r="1425" ht="15.75" customHeight="1">
      <c r="A1425" s="2" t="s">
        <v>1425</v>
      </c>
      <c r="B1425" s="2" t="str">
        <f>IFERROR(__xludf.DUMMYFUNCTION("GOOGLETRANSLATE(A1425, ""en"", ""mt"")"),"arja likwifikata")</f>
        <v>arja likwifikata</v>
      </c>
    </row>
    <row r="1426" ht="15.75" customHeight="1">
      <c r="A1426" s="2" t="s">
        <v>1426</v>
      </c>
      <c r="B1426" s="2" t="str">
        <f>IFERROR(__xludf.DUMMYFUNCTION("GOOGLETRANSLATE(A1426, ""en"", ""mt"")"),"Kattoliku")</f>
        <v>Kattoliku</v>
      </c>
    </row>
    <row r="1427" ht="15.75" customHeight="1">
      <c r="A1427" s="2" t="s">
        <v>1427</v>
      </c>
      <c r="B1427" s="2" t="str">
        <f>IFERROR(__xludf.DUMMYFUNCTION("GOOGLETRANSLATE(A1427, ""en"", ""mt"")"),"Karriera edukattiva")</f>
        <v>Karriera edukattiva</v>
      </c>
    </row>
    <row r="1428" ht="15.75" customHeight="1">
      <c r="A1428" s="2" t="s">
        <v>1428</v>
      </c>
      <c r="B1428" s="2" t="str">
        <f>IFERROR(__xludf.DUMMYFUNCTION("GOOGLETRANSLATE(A1428, ""en"", ""mt"")"),"L-istudju sab ukoll li kien hemm żewġ clades li qabel kienu magħrufa iżda relatati (fergħat ġenetiċi) tal-ġenoma ta 'Y. pestis assoċjati ma' oqbra tal-massa medjevali. Dawn il-klades (li huma maħsuba li huma estinti) instabu li huma antenati għall-iżolati"&amp;" moderni tar-razez moderni ta ’Y. pestis Y. p. Orientalis u Y. p. Medevalis, li jissuġġerixxi li l-pesta setgħet daħlet fl-Ewropa f'żewġ mewġ. Stħarriġ ta 'Plague Pit jibqa' fi Franza u l-Ingilterra jindikaw li l-ewwel varjant daħal fl-Ewropa permezz tal-"&amp;"port ta 'Marsilja madwar Novembru 1347 u nfirex minn Franza matul is-sentejn li ġejjin, eventwalment jilħaq l-Ingilterra fir-rebbiegħa tal-1349, fejn infirex mill-pajjiż fi tlieta Epidemiji. L-istħarriġ tal-fossa tal-pesta li jibqa 'mill-belt Olandiża ta'"&amp;" Bergen Op Zoom wera l-ġenotip Y. pestis responsabbli għall-pandemija li jinfirex mill-pajjiżi baxxi mill-1350 kien differenti minn dak misjub fil-Gran Brittanja u Franza, li jimplika Bergen op zoom (u possibbilment partijiet oħra ta ' In-Nofsinhar tal-Pa"&amp;"jjiżi l-Baxxi) ma kienx infettat direttament mill-Ingilterra jew Franza fl-1349 u jissuġġerixxi t-tieni mewġa ta 'pesta, differenti minn dawk fil-Gran Brittanja u Franza, setgħet ġiet imwettqa lejn il-pajjiżi baxxi min-Norveġja, il-bliet Hanseatic jew sit"&amp;" ieħor.")</f>
        <v>L-istudju sab ukoll li kien hemm żewġ clades li qabel kienu magħrufa iżda relatati (fergħat ġenetiċi) tal-ġenoma ta 'Y. pestis assoċjati ma' oqbra tal-massa medjevali. Dawn il-klades (li huma maħsuba li huma estinti) instabu li huma antenati għall-iżolati moderni tar-razez moderni ta ’Y. pestis Y. p. Orientalis u Y. p. Medevalis, li jissuġġerixxi li l-pesta setgħet daħlet fl-Ewropa f'żewġ mewġ. Stħarriġ ta 'Plague Pit jibqa' fi Franza u l-Ingilterra jindikaw li l-ewwel varjant daħal fl-Ewropa permezz tal-port ta 'Marsilja madwar Novembru 1347 u nfirex minn Franza matul is-sentejn li ġejjin, eventwalment jilħaq l-Ingilterra fir-rebbiegħa tal-1349, fejn infirex mill-pajjiż fi tlieta Epidemiji. L-istħarriġ tal-fossa tal-pesta li jibqa 'mill-belt Olandiża ta' Bergen Op Zoom wera l-ġenotip Y. pestis responsabbli għall-pandemija li jinfirex mill-pajjiżi baxxi mill-1350 kien differenti minn dak misjub fil-Gran Brittanja u Franza, li jimplika Bergen op zoom (u possibbilment partijiet oħra ta ' In-Nofsinhar tal-Pajjiżi l-Baxxi) ma kienx infettat direttament mill-Ingilterra jew Franza fl-1349 u jissuġġerixxi t-tieni mewġa ta 'pesta, differenti minn dawk fil-Gran Brittanja u Franza, setgħet ġiet imwettqa lejn il-pajjiżi baxxi min-Norveġja, il-bliet Hanseatic jew sit ieħor.</v>
      </c>
    </row>
    <row r="1429" ht="15.75" customHeight="1">
      <c r="A1429" s="2" t="s">
        <v>1429</v>
      </c>
      <c r="B1429" s="2" t="str">
        <f>IFERROR(__xludf.DUMMYFUNCTION("GOOGLETRANSLATE(A1429, ""en"", ""mt"")"),"Distribuzzjoni bla sintomi")</f>
        <v>Distribuzzjoni bla sintomi</v>
      </c>
    </row>
    <row r="1430" ht="15.75" customHeight="1">
      <c r="A1430" s="2" t="s">
        <v>1430</v>
      </c>
      <c r="B1430" s="2" t="str">
        <f>IFERROR(__xludf.DUMMYFUNCTION("GOOGLETRANSLATE(A1430, ""en"", ""mt"")"),"Pressjonijiet parzjali elevati")</f>
        <v>Pressjonijiet parzjali elevati</v>
      </c>
    </row>
    <row r="1431" ht="15.75" customHeight="1">
      <c r="A1431" s="2" t="s">
        <v>1431</v>
      </c>
      <c r="B1431" s="2" t="str">
        <f>IFERROR(__xludf.DUMMYFUNCTION("GOOGLETRANSLATE(A1431, ""en"", ""mt"")"),"L-istadju 3 huwa l-aħħar stadju tal-abbozz u huwa meqjus f'laqgħa tal-Parlament kollu. Dan l-istadju jinkludi żewġ partijiet: konsiderazzjoni ta 'emendi għall-abbozz ta' liġi bħala dibattitu ġenerali, u vot finali fuq l-abbozz ta 'liġi. Il-membri tal-oppo"&amp;"żizzjoni jistgħu jwaqqfu ""emendi ta 'inkaljar"" għall-abbozz, iddisinjat biex ifixkel aktar il-progress u jieħu l-ħin parlamentari, biex jikkawża li l-abbozz jaqa' mingħajr ma jittieħed vot finali. Wara dibattitu ġenerali dwar il-forma finali tal-abbozz,"&amp;" il-membri jipproċedu jivvutaw fil-ħin tad-deċiżjoni dwar jekk jaqblux mal-prinċipji ġenerali tal-abbozz finali.")</f>
        <v>L-istadju 3 huwa l-aħħar stadju tal-abbozz u huwa meqjus f'laqgħa tal-Parlament kollu. Dan l-istadju jinkludi żewġ partijiet: konsiderazzjoni ta 'emendi għall-abbozz ta' liġi bħala dibattitu ġenerali, u vot finali fuq l-abbozz ta 'liġi. Il-membri tal-oppożizzjoni jistgħu jwaqqfu "emendi ta 'inkaljar" għall-abbozz, iddisinjat biex ifixkel aktar il-progress u jieħu l-ħin parlamentari, biex jikkawża li l-abbozz jaqa' mingħajr ma jittieħed vot finali. Wara dibattitu ġenerali dwar il-forma finali tal-abbozz, il-membri jipproċedu jivvutaw fil-ħin tad-deċiżjoni dwar jekk jaqblux mal-prinċipji ġenerali tal-abbozz finali.</v>
      </c>
    </row>
    <row r="1432" ht="15.75" customHeight="1">
      <c r="A1432" s="2" t="s">
        <v>1432</v>
      </c>
      <c r="B1432" s="2" t="str">
        <f>IFERROR(__xludf.DUMMYFUNCTION("GOOGLETRANSLATE(A1432, ""en"", ""mt"")"),"Il-forzi armati tal-Kenja, bħal ħafna istituzzjonijiet tal-gvern fil-pajjiż, ġew imċappas minn allegazzjonijiet ta 'korruzzjoni. Minħabba li l-operazzjonijiet tal-forzi armati kienu tradizzjonalment miksijin mill-kutra kullimkien ta '""sigurtà tal-istat"""&amp;", il-korruzzjoni kienet inqas fil-fehma pubblika, u għalhekk inqas soġġetta għal skrutinju pubbliku u notorjetà. Dan inbidel reċentement. F'dak li huma mill-istandards tal-Kenja rivelazzjonijiet mingħajr preċedent, fl-2010, saru talbiet kredibbli ta 'korr"&amp;"uzzjoni fir-rigward tar-reklutaġġ u l-akkwist ta' trasportaturi tal-persunal armati. Barra minn hekk, l-għerf u l-prudenza ta 'ċerti deċiżjonijiet ta' akkwist ġew interrogati pubblikament.")</f>
        <v>Il-forzi armati tal-Kenja, bħal ħafna istituzzjonijiet tal-gvern fil-pajjiż, ġew imċappas minn allegazzjonijiet ta 'korruzzjoni. Minħabba li l-operazzjonijiet tal-forzi armati kienu tradizzjonalment miksijin mill-kutra kullimkien ta '"sigurtà tal-istat", il-korruzzjoni kienet inqas fil-fehma pubblika, u għalhekk inqas soġġetta għal skrutinju pubbliku u notorjetà. Dan inbidel reċentement. F'dak li huma mill-istandards tal-Kenja rivelazzjonijiet mingħajr preċedent, fl-2010, saru talbiet kredibbli ta 'korruzzjoni fir-rigward tar-reklutaġġ u l-akkwist ta' trasportaturi tal-persunal armati. Barra minn hekk, l-għerf u l-prudenza ta 'ċerti deċiżjonijiet ta' akkwist ġew interrogati pubblikament.</v>
      </c>
    </row>
    <row r="1433" ht="15.75" customHeight="1">
      <c r="A1433" s="2" t="s">
        <v>1433</v>
      </c>
      <c r="B1433" s="2" t="str">
        <f>IFERROR(__xludf.DUMMYFUNCTION("GOOGLETRANSLATE(A1433, ""en"", ""mt"")"),"Franza, l-Italja, il-Belġju, l-Olanda, il-Lussemburgu u l-Ġermanja")</f>
        <v>Franza, l-Italja, il-Belġju, l-Olanda, il-Lussemburgu u l-Ġermanja</v>
      </c>
    </row>
    <row r="1434" ht="15.75" customHeight="1">
      <c r="A1434" s="2" t="s">
        <v>1434</v>
      </c>
      <c r="B1434" s="2" t="str">
        <f>IFERROR(__xludf.DUMMYFUNCTION("GOOGLETRANSLATE(A1434, ""en"", ""mt"")"),"tqajjem il-produttività ta 'kull ħaddiem,")</f>
        <v>tqajjem il-produttività ta 'kull ħaddiem,</v>
      </c>
    </row>
    <row r="1435" ht="15.75" customHeight="1">
      <c r="A1435" s="2" t="s">
        <v>1435</v>
      </c>
      <c r="B1435" s="2" t="str">
        <f>IFERROR(__xludf.DUMMYFUNCTION("GOOGLETRANSLATE(A1435, ""en"", ""mt"")"),"Il-gwerra fl-Amerika ta ’Fuq intemmet uffiċjalment bl-iffirmar tat-Trattat ta’ Pariġi fl-10 ta ’Frar 1763, u l-Gwerra fit-Teatru Ewropew tas-Seba’ Snin tal-Gwerra ġiet solvuta bit-Trattat ta ’Hubertusburg fil-15 ta’ Frar 1763. ta 'ċediment jew il-possedim"&amp;"enti kontinentali tagħha ta' l-Amerika ta 'Fuq fil-lvant tal-Mississippi jew il-gżejjer tal-Karibew ta' Guadeloupe u Martinique, li kienu okkupati mill-Ingliżi. Franza għażlet li ċediet l-ewwel, iżda kienet kapaċi tinnegozja ż-żamma ta ’San Pierre u Mique"&amp;"lon, żewġ gżejjer żgħar fil-Golf ta’ San Lawrenz, flimkien mad-drittijiet tas-sajd fiż-żona. Huma jaraw il-valur ekonomiku tal-kannamieli tal-gżejjer tal-Karibew biex ikun ikbar u aktar faċli biex jiddefendi mill-pil mill-kontinent. Il-filosfu Franċiż kon"&amp;"temporanju Voltaire irrefera għall-Kanada b’mod qawwi bħala xejn aktar minn ftit acres ta ’borra. Il-Brittaniċi, min-naħa tagħhom, kienu kuntenti li jieħdu Franza ġdida, billi d-difiża tal-kolonji tal-Amerika ta ’Fuq ma tibqax kwistjoni u wkoll minħabba l"&amp;"i diġà kellhom postijiet abbundanti minn fejn jista’ jikseb iz-zokkor. Spanja, li nnegozjat Florida lill-Gran Brittanja biex terġa 'tikseb Kuba, kisbet ukoll Louisiana, inkluż New Orleans, minn Franza bħala kumpens għat-telf tagħha. Il-Gran Brittanja u Sp"&amp;"anja qablu wkoll li n-navigazzjoni fuq ix-Xmara Mississippi kellha tkun miftuħa għal bastimenti tan-nazzjonijiet kollha.")</f>
        <v>Il-gwerra fl-Amerika ta ’Fuq intemmet uffiċjalment bl-iffirmar tat-Trattat ta’ Pariġi fl-10 ta ’Frar 1763, u l-Gwerra fit-Teatru Ewropew tas-Seba’ Snin tal-Gwerra ġiet solvuta bit-Trattat ta ’Hubertusburg fil-15 ta’ Frar 1763. ta 'ċediment jew il-possedimenti kontinentali tagħha ta' l-Amerika ta 'Fuq fil-lvant tal-Mississippi jew il-gżejjer tal-Karibew ta' Guadeloupe u Martinique, li kienu okkupati mill-Ingliżi. Franza għażlet li ċediet l-ewwel, iżda kienet kapaċi tinnegozja ż-żamma ta ’San Pierre u Miquelon, żewġ gżejjer żgħar fil-Golf ta’ San Lawrenz, flimkien mad-drittijiet tas-sajd fiż-żona. Huma jaraw il-valur ekonomiku tal-kannamieli tal-gżejjer tal-Karibew biex ikun ikbar u aktar faċli biex jiddefendi mill-pil mill-kontinent. Il-filosfu Franċiż kontemporanju Voltaire irrefera għall-Kanada b’mod qawwi bħala xejn aktar minn ftit acres ta ’borra. Il-Brittaniċi, min-naħa tagħhom, kienu kuntenti li jieħdu Franza ġdida, billi d-difiża tal-kolonji tal-Amerika ta ’Fuq ma tibqax kwistjoni u wkoll minħabba li diġà kellhom postijiet abbundanti minn fejn jista’ jikseb iz-zokkor. Spanja, li nnegozjat Florida lill-Gran Brittanja biex terġa 'tikseb Kuba, kisbet ukoll Louisiana, inkluż New Orleans, minn Franza bħala kumpens għat-telf tagħha. Il-Gran Brittanja u Spanja qablu wkoll li n-navigazzjoni fuq ix-Xmara Mississippi kellha tkun miftuħa għal bastimenti tan-nazzjonijiet kollha.</v>
      </c>
    </row>
    <row r="1436" ht="15.75" customHeight="1">
      <c r="A1436" s="2" t="s">
        <v>1436</v>
      </c>
      <c r="B1436" s="2" t="str">
        <f>IFERROR(__xludf.DUMMYFUNCTION("GOOGLETRANSLATE(A1436, ""en"", ""mt"")"),"Waħda mill-kollezzjonijiet l-aktar mhux tas-soltu hija dik tar-ritratti ta 'Eadweard Muybridge tal-lokomozzjoni tal-annimali tal-1887, dan jikkonsisti minn 781 pjanċi. Dawn is-sekwenzi ta 'ritratti ħadu frazzjoni tat-tieni immaġini ta' qbid ta 'annimali d"&amp;"ifferenti u bnedmin iwettqu diversi azzjonijiet. Hemm bosta immaġini tal-ħajja tat-triq 1876-7 ta 'John Thomson f'Londra fil-kollezzjoni. Il-mużew iżomm ukoll ir-ritratti tas-Soċjetà ta 'James Lafayette, ġabra ta' aktar minn 600 ritratt li jmorru mill-aħħ"&amp;"ar tas-sekli 19 sal-bidu tal-20 seklu u li jpinġu firxa wiesgħa ta 'figuri tas-soċjetà tal-perjodu, inklużi isqfijiet, generali, onorevoli tas-soċjetà, maharajas Indjani, ħakkiema Etjopjani, ħakkiem Etjopjani u mexxejja barranin oħra, attriċi, nies li jip"&amp;"preżentaw fil-karozzi bil-mutur tagħhom u sekwenza ta 'ritratti li jirrekordjaw il-mistednin fil-famuż ballun tal-libsa tal-fancy li sar fid-Dar Devonshire fl-1897 biex jiċċelebraw il-Ġublew tad-Djamanti tar-Reġina Victoria.")</f>
        <v>Waħda mill-kollezzjonijiet l-aktar mhux tas-soltu hija dik tar-ritratti ta 'Eadweard Muybridge tal-lokomozzjoni tal-annimali tal-1887, dan jikkonsisti minn 781 pjanċi. Dawn is-sekwenzi ta 'ritratti ħadu frazzjoni tat-tieni immaġini ta' qbid ta 'annimali differenti u bnedmin iwettqu diversi azzjonijiet. Hemm bosta immaġini tal-ħajja tat-triq 1876-7 ta 'John Thomson f'Londra fil-kollezzjoni. Il-mużew iżomm ukoll ir-ritratti tas-Soċjetà ta 'James Lafayette, ġabra ta' aktar minn 600 ritratt li jmorru mill-aħħar tas-sekli 19 sal-bidu tal-20 seklu u li jpinġu firxa wiesgħa ta 'figuri tas-soċjetà tal-perjodu, inklużi isqfijiet, generali, onorevoli tas-soċjetà, maharajas Indjani, ħakkiema Etjopjani, ħakkiem Etjopjani u mexxejja barranin oħra, attriċi, nies li jippreżentaw fil-karozzi bil-mutur tagħhom u sekwenza ta 'ritratti li jirrekordjaw il-mistednin fil-famuż ballun tal-libsa tal-fancy li sar fid-Dar Devonshire fl-1897 biex jiċċelebraw il-Ġublew tad-Djamanti tar-Reġina Victoria.</v>
      </c>
    </row>
    <row r="1437" ht="15.75" customHeight="1">
      <c r="A1437" s="2" t="s">
        <v>1437</v>
      </c>
      <c r="B1437" s="2" t="str">
        <f>IFERROR(__xludf.DUMMYFUNCTION("GOOGLETRANSLATE(A1437, ""en"", ""mt"")"),"X'jospita ċ-Ċentru Moscone?")</f>
        <v>X'jospita ċ-Ċentru Moscone?</v>
      </c>
    </row>
    <row r="1438" ht="15.75" customHeight="1">
      <c r="A1438" s="2" t="s">
        <v>1438</v>
      </c>
      <c r="B1438" s="2" t="str">
        <f>IFERROR(__xludf.DUMMYFUNCTION("GOOGLETRANSLATE(A1438, ""en"", ""mt"")"),"marda")</f>
        <v>marda</v>
      </c>
    </row>
    <row r="1439" ht="15.75" customHeight="1">
      <c r="A1439" s="2" t="s">
        <v>1439</v>
      </c>
      <c r="B1439" s="2" t="str">
        <f>IFERROR(__xludf.DUMMYFUNCTION("GOOGLETRANSLATE(A1439, ""en"", ""mt"")"),"Ġenitur sostitut")</f>
        <v>Ġenitur sostitut</v>
      </c>
    </row>
    <row r="1440" ht="15.75" customHeight="1">
      <c r="A1440" s="2" t="s">
        <v>1440</v>
      </c>
      <c r="B1440" s="2" t="str">
        <f>IFERROR(__xludf.DUMMYFUNCTION("GOOGLETRANSLATE(A1440, ""en"", ""mt"")"),"Kemm jinstab ossiġnu huwa litru ta 'ilma ħelu f'kundizzjonijiet normali?")</f>
        <v>Kemm jinstab ossiġnu huwa litru ta 'ilma ħelu f'kundizzjonijiet normali?</v>
      </c>
    </row>
    <row r="1441" ht="15.75" customHeight="1">
      <c r="A1441" s="2" t="s">
        <v>1441</v>
      </c>
      <c r="B1441" s="2" t="str">
        <f>IFERROR(__xludf.DUMMYFUNCTION("GOOGLETRANSLATE(A1441, ""en"", ""mt"")"),"L-iktar kloroplast tad-dinofiti komuni huwa l-kloroplast tat-tip peridinin, ikkaratterizzat mill-peridinin tal-pigment tal-karotenojdi fil-kloroplasti tagħhom, flimkien mal-klorofilla A u l-klorofilla C2. Peridinin ma jinstab fl-ebda grupp ieħor ta 'kloro"&amp;"plasti. Il-kloroplast peridinin huwa mdawwar bi tliet membrani (kultant tnejn), wara li tilef il-membrana taċ-ċellula oriġinali tal-alka ħamra. Il-membrana l-iktar imbiegħda mhix konnessa mar-retikolu endoplasmiku. Fihom pirenojdi, u għandhom thylakoids b"&amp;"i triplet. Il-lamtu jinstab barra l-kloroplast karatteristika importanti ta 'dawn il-kloroplasti hija li d-DNA tal-kloroplast tagħhom huwa mnaqqas ħafna u frammentat f'ħafna ċrieki żgħar. Il-biċċa l-kbira tal-ġenoma emigra lejn in-nukleu, u l-ġeni kritiċi"&amp;" relatati mal-fotosintesi jibqgħu fil-kloroplast.")</f>
        <v>L-iktar kloroplast tad-dinofiti komuni huwa l-kloroplast tat-tip peridinin, ikkaratterizzat mill-peridinin tal-pigment tal-karotenojdi fil-kloroplasti tagħhom, flimkien mal-klorofilla A u l-klorofilla C2. Peridinin ma jinstab fl-ebda grupp ieħor ta 'kloroplasti. Il-kloroplast peridinin huwa mdawwar bi tliet membrani (kultant tnejn), wara li tilef il-membrana taċ-ċellula oriġinali tal-alka ħamra. Il-membrana l-iktar imbiegħda mhix konnessa mar-retikolu endoplasmiku. Fihom pirenojdi, u għandhom thylakoids bi triplet. Il-lamtu jinstab barra l-kloroplast karatteristika importanti ta 'dawn il-kloroplasti hija li d-DNA tal-kloroplast tagħhom huwa mnaqqas ħafna u frammentat f'ħafna ċrieki żgħar. Il-biċċa l-kbira tal-ġenoma emigra lejn in-nukleu, u l-ġeni kritiċi relatati mal-fotosintesi jibqgħu fil-kloroplast.</v>
      </c>
    </row>
    <row r="1442" ht="15.75" customHeight="1">
      <c r="A1442" s="2" t="s">
        <v>1442</v>
      </c>
      <c r="B1442" s="2" t="str">
        <f>IFERROR(__xludf.DUMMYFUNCTION("GOOGLETRANSLATE(A1442, ""en"", ""mt"")"),"Immune_system")</f>
        <v>Immune_system</v>
      </c>
    </row>
    <row r="1443" ht="15.75" customHeight="1">
      <c r="A1443" s="2" t="s">
        <v>1443</v>
      </c>
      <c r="B1443" s="2" t="str">
        <f>IFERROR(__xludf.DUMMYFUNCTION("GOOGLETRANSLATE(A1443, ""en"", ""mt"")"),"X'tesla attribut il-ħsara fil-ġilda?")</f>
        <v>X'tesla attribut il-ħsara fil-ġilda?</v>
      </c>
    </row>
    <row r="1444" ht="15.75" customHeight="1">
      <c r="A1444" s="2" t="s">
        <v>1444</v>
      </c>
      <c r="B1444" s="2" t="str">
        <f>IFERROR(__xludf.DUMMYFUNCTION("GOOGLETRANSLATE(A1444, ""en"", ""mt"")"),"ingħata l-ugwaljanza tal-Protestanti")</f>
        <v>ingħata l-ugwaljanza tal-Protestanti</v>
      </c>
    </row>
    <row r="1445" ht="15.75" customHeight="1">
      <c r="A1445" s="2" t="s">
        <v>1445</v>
      </c>
      <c r="B1445" s="2" t="str">
        <f>IFERROR(__xludf.DUMMYFUNCTION("GOOGLETRANSLATE(A1445, ""en"", ""mt"")"),"Kemm kienet se tħallas BSKYB għad-drittijiet tal-Lega Primier?")</f>
        <v>Kemm kienet se tħallas BSKYB għad-drittijiet tal-Lega Primier?</v>
      </c>
    </row>
    <row r="1446" ht="15.75" customHeight="1">
      <c r="A1446" s="2" t="s">
        <v>1446</v>
      </c>
      <c r="B1446" s="2" t="str">
        <f>IFERROR(__xludf.DUMMYFUNCTION("GOOGLETRANSLATE(A1446, ""en"", ""mt"")"),"Xi wħud mill-gruppi Iżlamisti appoġġjati mill-Punent aktar tard saru biex jidhru?")</f>
        <v>Xi wħud mill-gruppi Iżlamisti appoġġjati mill-Punent aktar tard saru biex jidhru?</v>
      </c>
    </row>
    <row r="1447" ht="15.75" customHeight="1">
      <c r="A1447" s="2" t="s">
        <v>1447</v>
      </c>
      <c r="B1447" s="2" t="str">
        <f>IFERROR(__xludf.DUMMYFUNCTION("GOOGLETRANSLATE(A1447, ""en"", ""mt"")"),"Minn fejn x'aktarx il-Qorti Ewropea tal-Ġustizzja tikseb ispirazzjoni?")</f>
        <v>Minn fejn x'aktarx il-Qorti Ewropea tal-Ġustizzja tikseb ispirazzjoni?</v>
      </c>
    </row>
    <row r="1448" ht="15.75" customHeight="1">
      <c r="A1448" s="2" t="s">
        <v>1448</v>
      </c>
      <c r="B1448" s="2" t="str">
        <f>IFERROR(__xludf.DUMMYFUNCTION("GOOGLETRANSLATE(A1448, ""en"", ""mt"")"),"Min fil-fatt rebaħ il-premju?")</f>
        <v>Min fil-fatt rebaħ il-premju?</v>
      </c>
    </row>
    <row r="1449" ht="15.75" customHeight="1">
      <c r="A1449" s="2" t="s">
        <v>1449</v>
      </c>
      <c r="B1449" s="2" t="str">
        <f>IFERROR(__xludf.DUMMYFUNCTION("GOOGLETRANSLATE(A1449, ""en"", ""mt"")"),"F'liema direzzjoni joriġina l-biċċa l-kbira tar-riħ fi Fresno?")</f>
        <v>F'liema direzzjoni joriġina l-biċċa l-kbira tar-riħ fi Fresno?</v>
      </c>
    </row>
    <row r="1450" ht="15.75" customHeight="1">
      <c r="A1450" s="2" t="s">
        <v>1450</v>
      </c>
      <c r="B1450" s="2" t="str">
        <f>IFERROR(__xludf.DUMMYFUNCTION("GOOGLETRANSLATE(A1450, ""en"", ""mt"")"),"Fi tmiem l-Ewwel Gwerra Dinjija, ir-Rhineland kien soġġett għat-Trattat ta ’Versailles. Dan iddikjara li se jkun okkupat mill-Alleati, sal-1935 u wara dan, kienet tkun żona demilitarizzata, bl-armata Ġermaniża tiġi pprojbita li tidħol. It-Trattat ta 'Vers"&amp;"ailles u din id-dispożizzjoni partikolari, b'mod ġenerali, ikkawżaw ħafna riżentiment fil-Ġermanja u ħafna drabi huma kkwotati bħala li jgħinu l-lok għall-poter ta' Adolf Hitler. L-Alleati ħallew ir-Rhineland, fl-1930 u l-Armata Ġermaniża reġgħet okkupath"&amp;"a fl-1936, li kienet popolari ħafna fil-Ġermanja. Għalkemm l-Alleati probabbilment setgħu żammew l-okkupazzjoni mill-ġdid, il-Gran Brittanja u Franza ma kinux inklinati li jagħmlu dan, karatteristika tal-politika tagħhom ta 'attestazzjoni għal Hitler.")</f>
        <v>Fi tmiem l-Ewwel Gwerra Dinjija, ir-Rhineland kien soġġett għat-Trattat ta ’Versailles. Dan iddikjara li se jkun okkupat mill-Alleati, sal-1935 u wara dan, kienet tkun żona demilitarizzata, bl-armata Ġermaniża tiġi pprojbita li tidħol. It-Trattat ta 'Versailles u din id-dispożizzjoni partikolari, b'mod ġenerali, ikkawżaw ħafna riżentiment fil-Ġermanja u ħafna drabi huma kkwotati bħala li jgħinu l-lok għall-poter ta' Adolf Hitler. L-Alleati ħallew ir-Rhineland, fl-1930 u l-Armata Ġermaniża reġgħet okkupatha fl-1936, li kienet popolari ħafna fil-Ġermanja. Għalkemm l-Alleati probabbilment setgħu żammew l-okkupazzjoni mill-ġdid, il-Gran Brittanja u Franza ma kinux inklinati li jagħmlu dan, karatteristika tal-politika tagħhom ta 'attestazzjoni għal Hitler.</v>
      </c>
    </row>
    <row r="1451" ht="15.75" customHeight="1">
      <c r="A1451" s="2" t="s">
        <v>1451</v>
      </c>
      <c r="B1451" s="2" t="str">
        <f>IFERROR(__xludf.DUMMYFUNCTION("GOOGLETRANSLATE(A1451, ""en"", ""mt"")"),"madwar darbtejn aktar")</f>
        <v>madwar darbtejn aktar</v>
      </c>
    </row>
    <row r="1452" ht="15.75" customHeight="1">
      <c r="A1452" s="2" t="s">
        <v>1452</v>
      </c>
      <c r="B1452" s="2" t="str">
        <f>IFERROR(__xludf.DUMMYFUNCTION("GOOGLETRANSLATE(A1452, ""en"", ""mt"")"),"Kif isiru l-konnessjonijiet Austpac")</f>
        <v>Kif isiru l-konnessjonijiet Austpac</v>
      </c>
    </row>
    <row r="1453" ht="15.75" customHeight="1">
      <c r="A1453" s="2" t="s">
        <v>1453</v>
      </c>
      <c r="B1453" s="2" t="str">
        <f>IFERROR(__xludf.DUMMYFUNCTION("GOOGLETRANSLATE(A1453, ""en"", ""mt"")"),"Tappoġġja attivament u tadotta kultura Ċiniża mainstream")</f>
        <v>Tappoġġja attivament u tadotta kultura Ċiniża mainstream</v>
      </c>
    </row>
    <row r="1454" ht="15.75" customHeight="1">
      <c r="A1454" s="2" t="s">
        <v>1454</v>
      </c>
      <c r="B1454" s="2" t="str">
        <f>IFERROR(__xludf.DUMMYFUNCTION("GOOGLETRANSLATE(A1454, ""en"", ""mt"")"),"Erbat elef")</f>
        <v>Erbat elef</v>
      </c>
    </row>
    <row r="1455" ht="15.75" customHeight="1">
      <c r="A1455" s="2" t="s">
        <v>1455</v>
      </c>
      <c r="B1455" s="2" t="str">
        <f>IFERROR(__xludf.DUMMYFUNCTION("GOOGLETRANSLATE(A1455, ""en"", ""mt"")"),"Qorti Kbira u Ġenerali tal-Kolonja tal-Bajja ta ’Massachusetts")</f>
        <v>Qorti Kbira u Ġenerali tal-Kolonja tal-Bajja ta ’Massachusetts</v>
      </c>
    </row>
    <row r="1456" ht="15.75" customHeight="1">
      <c r="A1456" s="2" t="s">
        <v>1456</v>
      </c>
      <c r="B1456" s="2" t="str">
        <f>IFERROR(__xludf.DUMMYFUNCTION("GOOGLETRANSLATE(A1456, ""en"", ""mt"")"),"Re ta ’Franza")</f>
        <v>Re ta ’Franza</v>
      </c>
    </row>
    <row r="1457" ht="15.75" customHeight="1">
      <c r="A1457" s="2" t="s">
        <v>1457</v>
      </c>
      <c r="B1457" s="2" t="str">
        <f>IFERROR(__xludf.DUMMYFUNCTION("GOOGLETRANSLATE(A1457, ""en"", ""mt"")"),"Kostruzzjoni tal-Kumpless tax-Xjenza Allston $ 1.2 biljun")</f>
        <v>Kostruzzjoni tal-Kumpless tax-Xjenza Allston $ 1.2 biljun</v>
      </c>
    </row>
    <row r="1458" ht="15.75" customHeight="1">
      <c r="A1458" s="2" t="s">
        <v>1458</v>
      </c>
      <c r="B1458" s="2" t="str">
        <f>IFERROR(__xludf.DUMMYFUNCTION("GOOGLETRANSLATE(A1458, ""en"", ""mt"")"),"id-deżert tal-Colorado")</f>
        <v>id-deżert tal-Colorado</v>
      </c>
    </row>
    <row r="1459" ht="15.75" customHeight="1">
      <c r="A1459" s="2" t="s">
        <v>1459</v>
      </c>
      <c r="B1459" s="2" t="str">
        <f>IFERROR(__xludf.DUMMYFUNCTION("GOOGLETRANSLATE(A1459, ""en"", ""mt"")"),"Liema partit bħalissa huwa l-akbar fost il-linji tal-partit politiku?")</f>
        <v>Liema partit bħalissa huwa l-akbar fost il-linji tal-partit politiku?</v>
      </c>
    </row>
    <row r="1460" ht="15.75" customHeight="1">
      <c r="A1460" s="2" t="s">
        <v>1460</v>
      </c>
      <c r="B1460" s="2" t="str">
        <f>IFERROR(__xludf.DUMMYFUNCTION("GOOGLETRANSLATE(A1460, ""en"", ""mt"")"),"Xi jfittxu xi storiċi moderni li Genghis Khan fittex iżid il-kodiċi legali tiegħu fi tmiem ir-renju tiegħu?")</f>
        <v>Xi jfittxu xi storiċi moderni li Genghis Khan fittex iżid il-kodiċi legali tiegħu fi tmiem ir-renju tiegħu?</v>
      </c>
    </row>
    <row r="1461" ht="15.75" customHeight="1">
      <c r="A1461" s="2" t="s">
        <v>1461</v>
      </c>
      <c r="B1461" s="2" t="str">
        <f>IFERROR(__xludf.DUMMYFUNCTION("GOOGLETRANSLATE(A1461, ""en"", ""mt"")"),"L-ormoni jistgħu jbiddlu s-sensittività tas-sistema immunitarja, sabiex ikunu jistgħu jiġu msemmija bħala?")</f>
        <v>L-ormoni jistgħu jbiddlu s-sensittività tas-sistema immunitarja, sabiex ikunu jistgħu jiġu msemmija bħala?</v>
      </c>
    </row>
    <row r="1462" ht="15.75" customHeight="1">
      <c r="A1462" s="2" t="s">
        <v>1462</v>
      </c>
      <c r="B1462" s="2" t="str">
        <f>IFERROR(__xludf.DUMMYFUNCTION("GOOGLETRANSLATE(A1462, ""en"", ""mt"")"),"Investigazzjonijiet Kriminali")</f>
        <v>Investigazzjonijiet Kriminali</v>
      </c>
    </row>
    <row r="1463" ht="15.75" customHeight="1">
      <c r="A1463" s="2" t="s">
        <v>1463</v>
      </c>
      <c r="B1463" s="2" t="str">
        <f>IFERROR(__xludf.DUMMYFUNCTION("GOOGLETRANSLATE(A1463, ""en"", ""mt"")"),"Kemm qal Tesla li Edison offrietlu biex jiddisinja mill-ġdid il-mutur u l-ġeneraturi tiegħu?")</f>
        <v>Kemm qal Tesla li Edison offrietlu biex jiddisinja mill-ġdid il-mutur u l-ġeneraturi tiegħu?</v>
      </c>
    </row>
    <row r="1464" ht="15.75" customHeight="1">
      <c r="A1464" s="2" t="s">
        <v>1464</v>
      </c>
      <c r="B1464" s="2" t="str">
        <f>IFERROR(__xludf.DUMMYFUNCTION("GOOGLETRANSLATE(A1464, ""en"", ""mt"")"),"CBS u NBC")</f>
        <v>CBS u NBC</v>
      </c>
    </row>
    <row r="1465" ht="15.75" customHeight="1">
      <c r="A1465" s="2" t="s">
        <v>1465</v>
      </c>
      <c r="B1465" s="2" t="str">
        <f>IFERROR(__xludf.DUMMYFUNCTION("GOOGLETRANSLATE(A1465, ""en"", ""mt"")"),"Ħdejn il-Baħar l-Iswed")</f>
        <v>Ħdejn il-Baħar l-Iswed</v>
      </c>
    </row>
    <row r="1466" ht="15.75" customHeight="1">
      <c r="A1466" s="2" t="s">
        <v>1466</v>
      </c>
      <c r="B1466" s="2" t="str">
        <f>IFERROR(__xludf.DUMMYFUNCTION("GOOGLETRANSLATE(A1466, ""en"", ""mt"")"),"Permezz tal-għaqda tad-definizzjoni ta 'kurrent elettriku bħala r-rata tal-ħin tal-bidla tal-ħlas elettriku, regola tal-multiplikazzjoni tal-vettur imsejħa l-liġi ta' Lorentz tiddeskrivi l-forza fuq ħlas li jiċċaqlaq f'qasam manjetiku. Il-konnessjoni bejn"&amp;" l-elettriku u l-manjetiżmu tippermetti d-deskrizzjoni ta 'forza elettromanjetika unifikata li taġixxi fuq ħlas. Din il-forza tista 'tinkiteb bħala somma tal-forza elettrostatika (minħabba l-kamp elettriku) u l-forza manjetika (minħabba l-kamp manjetiku)."&amp;" Iddikjarat bis-sħiħ, din hija l-liġi:")</f>
        <v>Permezz tal-għaqda tad-definizzjoni ta 'kurrent elettriku bħala r-rata tal-ħin tal-bidla tal-ħlas elettriku, regola tal-multiplikazzjoni tal-vettur imsejħa l-liġi ta' Lorentz tiddeskrivi l-forza fuq ħlas li jiċċaqlaq f'qasam manjetiku. Il-konnessjoni bejn l-elettriku u l-manjetiżmu tippermetti d-deskrizzjoni ta 'forza elettromanjetika unifikata li taġixxi fuq ħlas. Din il-forza tista 'tinkiteb bħala somma tal-forza elettrostatika (minħabba l-kamp elettriku) u l-forza manjetika (minħabba l-kamp manjetiku). Iddikjarat bis-sħiħ, din hija l-liġi:</v>
      </c>
    </row>
    <row r="1467" ht="15.75" customHeight="1">
      <c r="A1467" s="2" t="s">
        <v>1467</v>
      </c>
      <c r="B1467" s="2" t="str">
        <f>IFERROR(__xludf.DUMMYFUNCTION("GOOGLETRANSLATE(A1467, ""en"", ""mt"")"),"wara kolloblasti")</f>
        <v>wara kolloblasti</v>
      </c>
    </row>
    <row r="1468" ht="15.75" customHeight="1">
      <c r="A1468" s="2" t="s">
        <v>1468</v>
      </c>
      <c r="B1468" s="2" t="str">
        <f>IFERROR(__xludf.DUMMYFUNCTION("GOOGLETRANSLATE(A1468, ""en"", ""mt"")"),"Sistema ta 'qsim ta' ħin, ibbażata fuq ix-xogħol ta 'Kemney f'Dartmouth - li uża kompjuter b'self minn GE - jista' jkun ta 'profitt")</f>
        <v>Sistema ta 'qsim ta' ħin, ibbażata fuq ix-xogħol ta 'Kemney f'Dartmouth - li uża kompjuter b'self minn GE - jista' jkun ta 'profitt</v>
      </c>
    </row>
    <row r="1469" ht="15.75" customHeight="1">
      <c r="A1469" s="2" t="s">
        <v>1469</v>
      </c>
      <c r="B1469" s="2" t="str">
        <f>IFERROR(__xludf.DUMMYFUNCTION("GOOGLETRANSLATE(A1469, ""en"", ""mt"")"),"Min ikkritika l-kont tas-sigurtà?")</f>
        <v>Min ikkritika l-kont tas-sigurtà?</v>
      </c>
    </row>
    <row r="1470" ht="15.75" customHeight="1">
      <c r="A1470" s="2" t="s">
        <v>1470</v>
      </c>
      <c r="B1470" s="2" t="str">
        <f>IFERROR(__xludf.DUMMYFUNCTION("GOOGLETRANSLATE(A1470, ""en"", ""mt"")"),"Ftit mijiet ta 'piedi")</f>
        <v>Ftit mijiet ta 'piedi</v>
      </c>
    </row>
    <row r="1471" ht="15.75" customHeight="1">
      <c r="A1471" s="2" t="s">
        <v>1471</v>
      </c>
      <c r="B1471" s="2" t="str">
        <f>IFERROR(__xludf.DUMMYFUNCTION("GOOGLETRANSLATE(A1471, ""en"", ""mt"")"),"Il-kostruzzjoni ta 'proġett li tonqos milli taderixxi mal-kodiċi ma tibbenefikax lil min?")</f>
        <v>Il-kostruzzjoni ta 'proġett li tonqos milli taderixxi mal-kodiċi ma tibbenefikax lil min?</v>
      </c>
    </row>
    <row r="1472" ht="15.75" customHeight="1">
      <c r="A1472" s="2" t="s">
        <v>1472</v>
      </c>
      <c r="B1472" s="2" t="str">
        <f>IFERROR(__xludf.DUMMYFUNCTION("GOOGLETRANSLATE(A1472, ""en"", ""mt"")"),"malajr")</f>
        <v>malajr</v>
      </c>
    </row>
    <row r="1473" ht="15.75" customHeight="1">
      <c r="A1473" s="2" t="s">
        <v>1473</v>
      </c>
      <c r="B1473" s="2" t="str">
        <f>IFERROR(__xludf.DUMMYFUNCTION("GOOGLETRANSLATE(A1473, ""en"", ""mt"")"),"X'jaqbel mal-Istati Membri kollha jieħdu preċedenza fuq il-liġi nazzjonali?")</f>
        <v>X'jaqbel mal-Istati Membri kollha jieħdu preċedenza fuq il-liġi nazzjonali?</v>
      </c>
    </row>
    <row r="1474" ht="15.75" customHeight="1">
      <c r="A1474" s="2" t="s">
        <v>1474</v>
      </c>
      <c r="B1474" s="2" t="str">
        <f>IFERROR(__xludf.DUMMYFUNCTION("GOOGLETRANSLATE(A1474, ""en"", ""mt"")"),"X'inhu t-terminu għal kompitu li ġeneralment isellef lilu nnifsu biex jissolvew minn kompjuter?")</f>
        <v>X'inhu t-terminu għal kompitu li ġeneralment isellef lilu nnifsu biex jissolvew minn kompjuter?</v>
      </c>
    </row>
    <row r="1475" ht="15.75" customHeight="1">
      <c r="A1475" s="2" t="s">
        <v>1475</v>
      </c>
      <c r="B1475" s="2" t="str">
        <f>IFERROR(__xludf.DUMMYFUNCTION("GOOGLETRANSLATE(A1475, ""en"", ""mt"")"),"Meta l-membri jipproċedu jivvutaw dwar jekk jaqblux mal-prinċipji tal-abbozz finali?")</f>
        <v>Meta l-membri jipproċedu jivvutaw dwar jekk jaqblux mal-prinċipji tal-abbozz finali?</v>
      </c>
    </row>
    <row r="1476" ht="15.75" customHeight="1">
      <c r="A1476" s="2" t="s">
        <v>1476</v>
      </c>
      <c r="B1476" s="2" t="str">
        <f>IFERROR(__xludf.DUMMYFUNCTION("GOOGLETRANSLATE(A1476, ""en"", ""mt"")"),"E. W. Scripps Company")</f>
        <v>E. W. Scripps Company</v>
      </c>
    </row>
    <row r="1477" ht="15.75" customHeight="1">
      <c r="A1477" s="2" t="s">
        <v>1477</v>
      </c>
      <c r="B1477" s="2" t="str">
        <f>IFERROR(__xludf.DUMMYFUNCTION("GOOGLETRANSLATE(A1477, ""en"", ""mt"")"),"ċelloli tal-memorja b'ħajja twila")</f>
        <v>ċelloli tal-memorja b'ħajja twila</v>
      </c>
    </row>
    <row r="1478" ht="15.75" customHeight="1">
      <c r="A1478" s="2" t="s">
        <v>1478</v>
      </c>
      <c r="B1478" s="2" t="str">
        <f>IFERROR(__xludf.DUMMYFUNCTION("GOOGLETRANSLATE(A1478, ""en"", ""mt"")"),"F'liema ġurnata tradizzjonalment isseħħ il-Jum tas-Super Bowl tal-Midja?")</f>
        <v>F'liema ġurnata tradizzjonalment isseħħ il-Jum tas-Super Bowl tal-Midja?</v>
      </c>
    </row>
    <row r="1479" ht="15.75" customHeight="1">
      <c r="A1479" s="2" t="s">
        <v>1479</v>
      </c>
      <c r="B1479" s="2" t="str">
        <f>IFERROR(__xludf.DUMMYFUNCTION("GOOGLETRANSLATE(A1479, ""en"", ""mt"")"),"Hemm ħmistax-il fraternitajiet u seba 'sororitajiet fl-Università ta' Chicago, kif ukoll fraternità ta 'servizz komunitarju ko-ed, Alpha Phi Omega. Erba 'mis-sororitajiet huma membri tal-Konferenza Nazzjonali Panhellenic, u għaxra mill-fraternitajiet jiff"&amp;"urmaw il-Kunsill tal-Interfraternità tal-Università ta' Chicago. Fl-2002, id-Direttur Assoċjat tal-Attivitajiet tal-Istudenti stma li 8-10 fil-mija tal-universitarji kienu membri ta 'fraternitajiet jew sororitajiet. L-Uffiċċju tal-Attivitajiet tal-Istuden"&amp;"ti uża figuri simili, u ddikjara li wieħed minn kull għaxra li għadhom ma ggradwawx jipparteċipaw fil-ħajja Griega.")</f>
        <v>Hemm ħmistax-il fraternitajiet u seba 'sororitajiet fl-Università ta' Chicago, kif ukoll fraternità ta 'servizz komunitarju ko-ed, Alpha Phi Omega. Erba 'mis-sororitajiet huma membri tal-Konferenza Nazzjonali Panhellenic, u għaxra mill-fraternitajiet jiffurmaw il-Kunsill tal-Interfraternità tal-Università ta' Chicago. Fl-2002, id-Direttur Assoċjat tal-Attivitajiet tal-Istudenti stma li 8-10 fil-mija tal-universitarji kienu membri ta 'fraternitajiet jew sororitajiet. L-Uffiċċju tal-Attivitajiet tal-Istudenti uża figuri simili, u ddikjara li wieħed minn kull għaxra li għadhom ma ggradwawx jipparteċipaw fil-ħajja Griega.</v>
      </c>
    </row>
    <row r="1480" ht="15.75" customHeight="1">
      <c r="A1480" s="2" t="s">
        <v>1480</v>
      </c>
      <c r="B1480" s="2" t="str">
        <f>IFERROR(__xludf.DUMMYFUNCTION("GOOGLETRANSLATE(A1480, ""en"", ""mt"")"),"Għaliex is-CBS waqqa 'l-grawnd għall-UNTACHABLES?")</f>
        <v>Għaliex is-CBS waqqa 'l-grawnd għall-UNTACHABLES?</v>
      </c>
    </row>
    <row r="1481" ht="15.75" customHeight="1">
      <c r="A1481" s="2" t="s">
        <v>1481</v>
      </c>
      <c r="B1481" s="2" t="str">
        <f>IFERROR(__xludf.DUMMYFUNCTION("GOOGLETRANSLATE(A1481, ""en"", ""mt"")"),"Xi tuża l-Knisja Metodista Magħquda fis-Sagrament tat-Tqarbin Imqaddes?")</f>
        <v>Xi tuża l-Knisja Metodista Magħquda fis-Sagrament tat-Tqarbin Imqaddes?</v>
      </c>
    </row>
    <row r="1482" ht="15.75" customHeight="1">
      <c r="A1482" s="2" t="s">
        <v>1482</v>
      </c>
      <c r="B1482" s="2" t="str">
        <f>IFERROR(__xludf.DUMMYFUNCTION("GOOGLETRANSLATE(A1482, ""en"", ""mt"")"),"L-Afrika tat-Tramuntana u tal-Punent, kif ukoll l-Asja tax-Xlokk, b'konkwisti oħra fl-Afrika Ċentrali u tal-Lvant, kif ukoll il-Paċifiku t'Isfel")</f>
        <v>L-Afrika tat-Tramuntana u tal-Punent, kif ukoll l-Asja tax-Xlokk, b'konkwisti oħra fl-Afrika Ċentrali u tal-Lvant, kif ukoll il-Paċifiku t'Isfel</v>
      </c>
    </row>
    <row r="1483" ht="15.75" customHeight="1">
      <c r="A1483" s="2" t="s">
        <v>1483</v>
      </c>
      <c r="B1483" s="2" t="str">
        <f>IFERROR(__xludf.DUMMYFUNCTION("GOOGLETRANSLATE(A1483, ""en"", ""mt"")"),"Liema dinastija qasmet ispirazzjoni artistika mal-wan?")</f>
        <v>Liema dinastija qasmet ispirazzjoni artistika mal-wan?</v>
      </c>
    </row>
    <row r="1484" ht="15.75" customHeight="1">
      <c r="A1484" s="2" t="s">
        <v>1484</v>
      </c>
      <c r="B1484" s="2" t="str">
        <f>IFERROR(__xludf.DUMMYFUNCTION("GOOGLETRANSLATE(A1484, ""en"", ""mt"")"),"Struttura Amministrattiva Lokali")</f>
        <v>Struttura Amministrattiva Lokali</v>
      </c>
    </row>
    <row r="1485" ht="15.75" customHeight="1">
      <c r="A1485" s="2" t="s">
        <v>1485</v>
      </c>
      <c r="B1485" s="2" t="str">
        <f>IFERROR(__xludf.DUMMYFUNCTION("GOOGLETRANSLATE(A1485, ""en"", ""mt"")"),"X'tip ta 'lokomottiva kienet Salamanca?")</f>
        <v>X'tip ta 'lokomottiva kienet Salamanca?</v>
      </c>
    </row>
    <row r="1486" ht="15.75" customHeight="1">
      <c r="A1486" s="2" t="s">
        <v>1486</v>
      </c>
      <c r="B1486" s="2" t="str">
        <f>IFERROR(__xludf.DUMMYFUNCTION("GOOGLETRANSLATE(A1486, ""en"", ""mt"")"),"Funzjoni ħażina fiċ-ċirkwit tal-kamaleont")</f>
        <v>Funzjoni ħażina fiċ-ċirkwit tal-kamaleont</v>
      </c>
    </row>
    <row r="1487" ht="15.75" customHeight="1">
      <c r="A1487" s="2" t="s">
        <v>1487</v>
      </c>
      <c r="B1487" s="2" t="str">
        <f>IFERROR(__xludf.DUMMYFUNCTION("GOOGLETRANSLATE(A1487, ""en"", ""mt"")"),"Xi jfisser ir-rapport tas-Sommarju tal-WG I għal dawk li jfasslu l-politika jgħidu li l-attivitajiet tal-bniedem qed jagħmlu lill-gassijiet b'effett ta 'serra?")</f>
        <v>Xi jfisser ir-rapport tas-Sommarju tal-WG I għal dawk li jfasslu l-politika jgħidu li l-attivitajiet tal-bniedem qed jagħmlu lill-gassijiet b'effett ta 'serra?</v>
      </c>
    </row>
    <row r="1488" ht="15.75" customHeight="1">
      <c r="A1488" s="2" t="s">
        <v>1488</v>
      </c>
      <c r="B1488" s="2" t="str">
        <f>IFERROR(__xludf.DUMMYFUNCTION("GOOGLETRANSLATE(A1488, ""en"", ""mt"")"),"Tlieta sa ħamsa mill-età")</f>
        <v>Tlieta sa ħamsa mill-età</v>
      </c>
    </row>
    <row r="1489" ht="15.75" customHeight="1">
      <c r="A1489" s="2" t="s">
        <v>1489</v>
      </c>
      <c r="B1489" s="2" t="str">
        <f>IFERROR(__xludf.DUMMYFUNCTION("GOOGLETRANSLATE(A1489, ""en"", ""mt"")"),"Par ta 'tentakli li jġorru t-tentilla")</f>
        <v>Par ta 'tentakli li jġorru t-tentilla</v>
      </c>
    </row>
    <row r="1490" ht="15.75" customHeight="1">
      <c r="A1490" s="2" t="s">
        <v>1490</v>
      </c>
      <c r="B1490" s="2" t="str">
        <f>IFERROR(__xludf.DUMMYFUNCTION("GOOGLETRANSLATE(A1490, ""en"", ""mt"")"),"L-ossiġenu jippreżenta żewġ faxex ta 'assorbiment spettrofotometriċi li jilħqu l-quċċata fit-tul ta' mewġ 687 u 760 nm. Xi xjenzati ta 'telerilevament ipproponew li jużaw il-kejl tar-radjazzjoni li ġejja mill-kanupew tal-veġetazzjoni f'dawk il-faxex biex "&amp;"jikkaratterizzaw l-istat tas-saħħa tal-pjanti minn pjattaforma bis-satellita. Dan l-approċċ jisfrutta l-fatt li f'dawk il-faxex huwa possibbli li tiddiskrimina r-riflessjoni tal-veġetazzjoni mill-fluworexxenza tagħha, li hija ħafna iktar dgħajfa. Il-kejl "&amp;"huwa teknikament diffiċli minħabba l-proporzjon baxx sinjal-ħoss u l-istruttura fiżika tal-veġetazzjoni; Iżda ġie propost bħala metodu possibbli ta 'monitoraġġ taċ-ċiklu tal-karbonju minn satelliti fuq skala globali.")</f>
        <v>L-ossiġenu jippreżenta żewġ faxex ta 'assorbiment spettrofotometriċi li jilħqu l-quċċata fit-tul ta' mewġ 687 u 760 nm. Xi xjenzati ta 'telerilevament ipproponew li jużaw il-kejl tar-radjazzjoni li ġejja mill-kanupew tal-veġetazzjoni f'dawk il-faxex biex jikkaratterizzaw l-istat tas-saħħa tal-pjanti minn pjattaforma bis-satellita. Dan l-approċċ jisfrutta l-fatt li f'dawk il-faxex huwa possibbli li tiddiskrimina r-riflessjoni tal-veġetazzjoni mill-fluworexxenza tagħha, li hija ħafna iktar dgħajfa. Il-kejl huwa teknikament diffiċli minħabba l-proporzjon baxx sinjal-ħoss u l-istruttura fiżika tal-veġetazzjoni; Iżda ġie propost bħala metodu possibbli ta 'monitoraġġ taċ-ċiklu tal-karbonju minn satelliti fuq skala globali.</v>
      </c>
    </row>
    <row r="1491" ht="15.75" customHeight="1">
      <c r="A1491" s="2" t="s">
        <v>1491</v>
      </c>
      <c r="B1491" s="2" t="str">
        <f>IFERROR(__xludf.DUMMYFUNCTION("GOOGLETRANSLATE(A1491, ""en"", ""mt"")"),"X'inhu d-dħul annwali tal-industrija tal-kostruzzjoni fl-2014?")</f>
        <v>X'inhu d-dħul annwali tal-industrija tal-kostruzzjoni fl-2014?</v>
      </c>
    </row>
    <row r="1492" ht="15.75" customHeight="1">
      <c r="A1492" s="2" t="s">
        <v>1492</v>
      </c>
      <c r="B1492" s="2" t="str">
        <f>IFERROR(__xludf.DUMMYFUNCTION("GOOGLETRANSLATE(A1492, ""en"", ""mt"")"),"Testi bikrija tal-Punent li jirreferu l-Lvant jiddeskrivu n-nies bħala xiex?")</f>
        <v>Testi bikrija tal-Punent li jirreferu l-Lvant jiddeskrivu n-nies bħala xiex?</v>
      </c>
    </row>
    <row r="1493" ht="15.75" customHeight="1">
      <c r="A1493" s="2" t="s">
        <v>1493</v>
      </c>
      <c r="B1493" s="2" t="str">
        <f>IFERROR(__xludf.DUMMYFUNCTION("GOOGLETRANSLATE(A1493, ""en"", ""mt"")"),"X'inhu terminu għat-treġġigħ lura tal-fluss tal-fwar f'magna tal-pistuni wara kull puplesija?")</f>
        <v>X'inhu terminu għat-treġġigħ lura tal-fluss tal-fwar f'magna tal-pistuni wara kull puplesija?</v>
      </c>
    </row>
    <row r="1494" ht="15.75" customHeight="1">
      <c r="A1494" s="2" t="s">
        <v>1494</v>
      </c>
      <c r="B1494" s="2" t="str">
        <f>IFERROR(__xludf.DUMMYFUNCTION("GOOGLETRANSLATE(A1494, ""en"", ""mt"")"),"amministrazzjoni")</f>
        <v>amministrazzjoni</v>
      </c>
    </row>
    <row r="1495" ht="15.75" customHeight="1">
      <c r="A1495" s="2" t="s">
        <v>1495</v>
      </c>
      <c r="B1495" s="2" t="str">
        <f>IFERROR(__xludf.DUMMYFUNCTION("GOOGLETRANSLATE(A1495, ""en"", ""mt"")"),"Kemm suċċessuri ta 'Kublai kienu Toghun l-aħħar?")</f>
        <v>Kemm suċċessuri ta 'Kublai kienu Toghun l-aħħar?</v>
      </c>
    </row>
    <row r="1496" ht="15.75" customHeight="1">
      <c r="A1496" s="2" t="s">
        <v>1496</v>
      </c>
      <c r="B1496" s="2" t="str">
        <f>IFERROR(__xludf.DUMMYFUNCTION("GOOGLETRANSLATE(A1496, ""en"", ""mt"")"),"687 u 760 nm")</f>
        <v>687 u 760 nm</v>
      </c>
    </row>
    <row r="1497" ht="15.75" customHeight="1">
      <c r="A1497" s="2" t="s">
        <v>1497</v>
      </c>
      <c r="B1497" s="2" t="str">
        <f>IFERROR(__xludf.DUMMYFUNCTION("GOOGLETRANSLATE(A1497, ""en"", ""mt"")"),"Liema grad Doctor Who jżomm f'lista tal-100 programm tat-TV tal-Greatest Kids?")</f>
        <v>Liema grad Doctor Who jżomm f'lista tal-100 programm tat-TV tal-Greatest Kids?</v>
      </c>
    </row>
    <row r="1498" ht="15.75" customHeight="1">
      <c r="A1498" s="2" t="s">
        <v>1498</v>
      </c>
      <c r="B1498" s="2" t="str">
        <f>IFERROR(__xludf.DUMMYFUNCTION("GOOGLETRANSLATE(A1498, ""en"", ""mt"")"),"Trevithick kompla l-esperimenti tiegħu stess bl-użu ta 'trio ta' lokomottivi, li kkonkluda mal-Qabda Me li jista 'fl-1808. Erba' snin biss wara, is-suċċess tal-lokomotiva b'żewġ ċilindri ta 'Salamanca minn Matthew Murray intuża mill-Rack Railed Edge u Pin"&amp;"ion Middleton Railway. Fl-1825 George Stephenson bena l-lokomozzjoni għall-Ferrovija ta ’Stockton u Darlington. Din kienet l-ewwel ferrovija pubblika tal-fwar fid-dinja u mbagħad fl-1829, huwa bena r-rokit li kien daħal fih u rebaħ il-provi Rainhill. Il-F"&amp;"errovija ta ’Liverpool u Manchester infetħu fl-1830 u għamlu użu esklussiv tal-enerġija tal-fwar kemm għall-ferroviji tal-passiġġieri kif ukoll tal-merkanzija.")</f>
        <v>Trevithick kompla l-esperimenti tiegħu stess bl-użu ta 'trio ta' lokomottivi, li kkonkluda mal-Qabda Me li jista 'fl-1808. Erba' snin biss wara, is-suċċess tal-lokomotiva b'żewġ ċilindri ta 'Salamanca minn Matthew Murray intuża mill-Rack Railed Edge u Pinion Middleton Railway. Fl-1825 George Stephenson bena l-lokomozzjoni għall-Ferrovija ta ’Stockton u Darlington. Din kienet l-ewwel ferrovija pubblika tal-fwar fid-dinja u mbagħad fl-1829, huwa bena r-rokit li kien daħal fih u rebaħ il-provi Rainhill. Il-Ferrovija ta ’Liverpool u Manchester infetħu fl-1830 u għamlu użu esklussiv tal-enerġija tal-fwar kemm għall-ferroviji tal-passiġġieri kif ukoll tal-merkanzija.</v>
      </c>
    </row>
    <row r="1499" ht="15.75" customHeight="1">
      <c r="A1499" s="2" t="s">
        <v>1499</v>
      </c>
      <c r="B1499" s="2" t="str">
        <f>IFERROR(__xludf.DUMMYFUNCTION("GOOGLETRANSLATE(A1499, ""en"", ""mt"")"),"Skrin fluworexxenti")</f>
        <v>Skrin fluworexxenti</v>
      </c>
    </row>
    <row r="1500" ht="15.75" customHeight="1">
      <c r="A1500" s="2" t="s">
        <v>1500</v>
      </c>
      <c r="B1500" s="2" t="str">
        <f>IFERROR(__xludf.DUMMYFUNCTION("GOOGLETRANSLATE(A1500, ""en"", ""mt"")"),"Il-ġeoloġi strutturali kif josservaw id-drapp fil-blat?")</f>
        <v>Il-ġeoloġi strutturali kif josservaw id-drapp fil-blat?</v>
      </c>
    </row>
    <row r="1501" ht="15.75" customHeight="1">
      <c r="A1501" s="2" t="s">
        <v>1501</v>
      </c>
      <c r="B1501" s="2" t="str">
        <f>IFERROR(__xludf.DUMMYFUNCTION("GOOGLETRANSLATE(A1501, ""en"", ""mt"")"),"Slug metrika")</f>
        <v>Slug metrika</v>
      </c>
    </row>
    <row r="1502" ht="15.75" customHeight="1">
      <c r="A1502" s="2" t="s">
        <v>1502</v>
      </c>
      <c r="B1502" s="2" t="str">
        <f>IFERROR(__xludf.DUMMYFUNCTION("GOOGLETRANSLATE(A1502, ""en"", ""mt"")"),"Tekniku tal-ispiżerija fir-Renju Unit huwa meqjus bħala professjonist fil-kura tas-saħħa u ħafna drabi ma jaħdimx taħt is-superviżjoni diretta ta 'spiżjar (jekk impjegat fi spiżerija fl-isptar) iżda minflok huwa sorveljat u mmaniġġjat minn tekniċi anzjani"&amp;" oħra tal-ispiżerija. Fir-Renju Unit ir-rwol ta 'PHT kiber u r-responsabbiltà ġiet mgħoddija lilhom biex jimmaniġġjaw id-dipartiment tal-ispiżerija u oqsma speċjalizzati fil-prattika tal-ispiżerija li jippermettu lill-ispiżjara l-ħin li jispeċjalizzaw fil"&amp;"-qasam espert tagħhom bħala konsulenti tal-medikazzjoni li jqattgħu aktar ħin jaħdmu ma' pazjenti u fi riċerka. Tekniku tal-ispiżerija ladarba jkun ikkwalifikat għandu jirreġistra bħala professjonist fir-reġistru ġenerali tal-Kunsill Farmaċewtiku (GPHC). "&amp;"Il-GPHC huwa l-korp li jiggverna għall-professjonisti tal-kura tas-saħħa tal-ispiżerija u dan huwa min jirregola l-prattika tal-ispiżjara u t-tekniċi tal-ispiżerija.")</f>
        <v>Tekniku tal-ispiżerija fir-Renju Unit huwa meqjus bħala professjonist fil-kura tas-saħħa u ħafna drabi ma jaħdimx taħt is-superviżjoni diretta ta 'spiżjar (jekk impjegat fi spiżerija fl-isptar) iżda minflok huwa sorveljat u mmaniġġjat minn tekniċi anzjani oħra tal-ispiżerija. Fir-Renju Unit ir-rwol ta 'PHT kiber u r-responsabbiltà ġiet mgħoddija lilhom biex jimmaniġġjaw id-dipartiment tal-ispiżerija u oqsma speċjalizzati fil-prattika tal-ispiżerija li jippermettu lill-ispiżjara l-ħin li jispeċjalizzaw fil-qasam espert tagħhom bħala konsulenti tal-medikazzjoni li jqattgħu aktar ħin jaħdmu ma' pazjenti u fi riċerka. Tekniku tal-ispiżerija ladarba jkun ikkwalifikat għandu jirreġistra bħala professjonist fir-reġistru ġenerali tal-Kunsill Farmaċewtiku (GPHC). Il-GPHC huwa l-korp li jiggverna għall-professjonisti tal-kura tas-saħħa tal-ispiżerija u dan huwa min jirregola l-prattika tal-ispiżjara u t-tekniċi tal-ispiżerija.</v>
      </c>
    </row>
    <row r="1503" ht="15.75" customHeight="1">
      <c r="A1503" s="2" t="s">
        <v>1503</v>
      </c>
      <c r="B1503" s="2" t="str">
        <f>IFERROR(__xludf.DUMMYFUNCTION("GOOGLETRANSLATE(A1503, ""en"", ""mt"")"),"Liema organizzazzjoni hija parti minnha l-IPCC?")</f>
        <v>Liema organizzazzjoni hija parti minnha l-IPCC?</v>
      </c>
    </row>
    <row r="1504" ht="15.75" customHeight="1">
      <c r="A1504" s="2" t="s">
        <v>1504</v>
      </c>
      <c r="B1504" s="2" t="str">
        <f>IFERROR(__xludf.DUMMYFUNCTION("GOOGLETRANSLATE(A1504, ""en"", ""mt"")"),"Fuq liema bażi l-organizzazzjonijiet Iżlamiċi radikali jmexxu l-attakki tagħhom?")</f>
        <v>Fuq liema bażi l-organizzazzjonijiet Iżlamiċi radikali jmexxu l-attakki tagħhom?</v>
      </c>
    </row>
    <row r="1505" ht="15.75" customHeight="1">
      <c r="A1505" s="2" t="s">
        <v>1505</v>
      </c>
      <c r="B1505" s="2" t="str">
        <f>IFERROR(__xludf.DUMMYFUNCTION("GOOGLETRANSLATE(A1505, ""en"", ""mt"")"),"parteċipanti ġodda")</f>
        <v>parteċipanti ġodda</v>
      </c>
    </row>
    <row r="1506" ht="15.75" customHeight="1">
      <c r="A1506" s="2" t="s">
        <v>1506</v>
      </c>
      <c r="B1506" s="2" t="str">
        <f>IFERROR(__xludf.DUMMYFUNCTION("GOOGLETRANSLATE(A1506, ""en"", ""mt"")"),"Iqbal esprima l-biżgħat li mhux biss is-sekulariżmu u n-nazzjonaliżmu sekulari jdgħajfu l-pedamenti spiritwali tal-Iżlam u tas-soċjetà Musulmana, iżda wkoll li l-popolazzjoni tal-maġġoranza hindu tal-Indja kienet tiffranka l-wirt, il-kultura u l-influwenz"&amp;"a politika Musulmana. Fil-vjaġġi tiegħu lejn l-Eġittu, l-Afganistan, il-Palestina u s-Sirja, huwa ppromwova ideat ta 'kooperazzjoni politika u għaqda Iżlamika akbar, u talab għat-twaqqigħ tad-differenzi nazzjonalisti. Sir Muhammad Iqbal ġie elett presiden"&amp;"t tal-Lega Musulmana fl-1930 fis-sessjoni tiegħu f'Allahabad kif ukoll għas-sessjoni f'Lahore fl-1932. Fl-indirizz ta 'Allahabad tiegħu fid-29 ta' Diċembru 1930, Iqbal iddeskriva viżjoni ta 'stat indipendenti għall-provinċji ta' maġġoranza Musulmana fil-m"&amp;"ajjistral tal-Indja. Dan l-indirizz aktar tard ispirat il-moviment tal-Pakistan.")</f>
        <v>Iqbal esprima l-biżgħat li mhux biss is-sekulariżmu u n-nazzjonaliżmu sekulari jdgħajfu l-pedamenti spiritwali tal-Iżlam u tas-soċjetà Musulmana, iżda wkoll li l-popolazzjoni tal-maġġoranza hindu tal-Indja kienet tiffranka l-wirt, il-kultura u l-influwenza politika Musulmana. Fil-vjaġġi tiegħu lejn l-Eġittu, l-Afganistan, il-Palestina u s-Sirja, huwa ppromwova ideat ta 'kooperazzjoni politika u għaqda Iżlamika akbar, u talab għat-twaqqigħ tad-differenzi nazzjonalisti. Sir Muhammad Iqbal ġie elett president tal-Lega Musulmana fl-1930 fis-sessjoni tiegħu f'Allahabad kif ukoll għas-sessjoni f'Lahore fl-1932. Fl-indirizz ta 'Allahabad tiegħu fid-29 ta' Diċembru 1930, Iqbal iddeskriva viżjoni ta 'stat indipendenti għall-provinċji ta' maġġoranza Musulmana fil-majjistral tal-Indja. Dan l-indirizz aktar tard ispirat il-moviment tal-Pakistan.</v>
      </c>
    </row>
    <row r="1507" ht="15.75" customHeight="1">
      <c r="A1507" s="2" t="s">
        <v>1507</v>
      </c>
      <c r="B1507" s="2" t="str">
        <f>IFERROR(__xludf.DUMMYFUNCTION("GOOGLETRANSLATE(A1507, ""en"", ""mt"")"),"X'kien l-iskor finali għas-Super Bowl XXXIII?")</f>
        <v>X'kien l-iskor finali għas-Super Bowl XXXIII?</v>
      </c>
    </row>
    <row r="1508" ht="15.75" customHeight="1">
      <c r="A1508" s="2" t="s">
        <v>1508</v>
      </c>
      <c r="B1508" s="2" t="str">
        <f>IFERROR(__xludf.DUMMYFUNCTION("GOOGLETRANSLATE(A1508, ""en"", ""mt"")"),"X'inhu l-Bassin de Kumpens de Plobsheim f'Alsace?")</f>
        <v>X'inhu l-Bassin de Kumpens de Plobsheim f'Alsace?</v>
      </c>
    </row>
    <row r="1509" ht="15.75" customHeight="1">
      <c r="A1509" s="2" t="s">
        <v>1509</v>
      </c>
      <c r="B1509" s="2" t="str">
        <f>IFERROR(__xludf.DUMMYFUNCTION("GOOGLETRANSLATE(A1509, ""en"", ""mt"")"),"Stati Membri")</f>
        <v>Stati Membri</v>
      </c>
    </row>
    <row r="1510" ht="15.75" customHeight="1">
      <c r="A1510" s="2" t="s">
        <v>1510</v>
      </c>
      <c r="B1510" s="2" t="str">
        <f>IFERROR(__xludf.DUMMYFUNCTION("GOOGLETRANSLATE(A1510, ""en"", ""mt"")"),"Fl-1781 James Watt brevettat magna tal-fwar li pproduċiet moviment li jdur kontinwu. Il-magni ta 'għaxar horsepower ta' Watt ippermettew firxa wiesgħa ta 'makkinarju tal-manifattura. Il-magni jistgħu jinstabu kullimkien li l-ilma u l-faħam jew fjuwil tal-"&amp;"injam jistgħu jinkisbu. Sal-1883, magni li setgħu jipprovdu 10,000 hp kienu fattibbli. Il-magna tal-fwar wieqfa kienet komponent ewlieni tar-rivoluzzjoni industrijali, li ppermettiet lill-fabbriki biex jinstabu fejn l-enerġija tal-ilma ma kinitx disponibb"&amp;"li. Il-magni atmosferiċi ta 'Newcomen u Watt kienu kbar meta mqabbla ma' l-ammont ta 'enerġija li pproduċew, iżda magni tal-fwar bi pressjoni għolja kienu ħfief biżżejjed biex jiġu applikati għal vetturi bħal magni tat-trazzjoni u l-lokomottivi tal-ferrov"&amp;"ija.")</f>
        <v>Fl-1781 James Watt brevettat magna tal-fwar li pproduċiet moviment li jdur kontinwu. Il-magni ta 'għaxar horsepower ta' Watt ippermettew firxa wiesgħa ta 'makkinarju tal-manifattura. Il-magni jistgħu jinstabu kullimkien li l-ilma u l-faħam jew fjuwil tal-injam jistgħu jinkisbu. Sal-1883, magni li setgħu jipprovdu 10,000 hp kienu fattibbli. Il-magna tal-fwar wieqfa kienet komponent ewlieni tar-rivoluzzjoni industrijali, li ppermettiet lill-fabbriki biex jinstabu fejn l-enerġija tal-ilma ma kinitx disponibbli. Il-magni atmosferiċi ta 'Newcomen u Watt kienu kbar meta mqabbla ma' l-ammont ta 'enerġija li pproduċew, iżda magni tal-fwar bi pressjoni għolja kienu ħfief biżżejjed biex jiġu applikati għal vetturi bħal magni tat-trazzjoni u l-lokomottivi tal-ferrovija.</v>
      </c>
    </row>
    <row r="1511" ht="15.75" customHeight="1">
      <c r="A1511" s="2" t="s">
        <v>1511</v>
      </c>
      <c r="B1511" s="2" t="str">
        <f>IFERROR(__xludf.DUMMYFUNCTION("GOOGLETRANSLATE(A1511, ""en"", ""mt"")"),"Surveyor tal-Kwantità")</f>
        <v>Surveyor tal-Kwantità</v>
      </c>
    </row>
    <row r="1512" ht="15.75" customHeight="1">
      <c r="A1512" s="2" t="s">
        <v>1512</v>
      </c>
      <c r="B1512" s="2" t="str">
        <f>IFERROR(__xludf.DUMMYFUNCTION("GOOGLETRANSLATE(A1512, ""en"", ""mt"")"),"Meta sar referendum ta 'konsolidazzjoni fl-1967, il-votanti approvaw il-pjan. Fl-1 ta 'Ottubru, 1968, il-gvernijiet ingħaqdu biex joħolqu l-belt konsolidata ta' Jacksonville. In-nar, il-pulizija, is-saħħa u l-benesseri, ir-rikreazzjoni, ix-xogħlijiet pubb"&amp;"liċi, u l-iżvilupp tad-djar u urbani kienu kollha kkombinati taħt il-gvern il-ġdid. Fl-unur tal-okkażjoni, dak iż-żmien Hans Tanzler poġġa mal-attriċi Lee Meredith wara sinjal li jimmarka l-fruntiera l-ġdida tal- ""Belt il-Ġdida Bold tan-Nofsinhar"" fi Fl"&amp;"orida 13 u Julington Creek. Il-pjan aħjar ta ’Jacksonville, promoss bħala blueprint għall-futur ta’ Jacksonville u approvat mill-votanti ta ’Jacksonville fl-2000, awtorizza taxxa fuq il-bejgħ nofs penny. Dan jiġġenera ħafna mid-dħul meħtieġ għall-pakkett "&amp;"ta '$ 2.25 biljun ta' proġetti ewlenin li kienu jinkludu titjib fit-toroq u l-infrastruttura, preservazzjoni ambjentali, żvilupp ekonomiku mmirat u faċilitajiet pubbliċi ġodda jew imtejba.")</f>
        <v>Meta sar referendum ta 'konsolidazzjoni fl-1967, il-votanti approvaw il-pjan. Fl-1 ta 'Ottubru, 1968, il-gvernijiet ingħaqdu biex joħolqu l-belt konsolidata ta' Jacksonville. In-nar, il-pulizija, is-saħħa u l-benesseri, ir-rikreazzjoni, ix-xogħlijiet pubbliċi, u l-iżvilupp tad-djar u urbani kienu kollha kkombinati taħt il-gvern il-ġdid. Fl-unur tal-okkażjoni, dak iż-żmien Hans Tanzler poġġa mal-attriċi Lee Meredith wara sinjal li jimmarka l-fruntiera l-ġdida tal- "Belt il-Ġdida Bold tan-Nofsinhar" fi Florida 13 u Julington Creek. Il-pjan aħjar ta ’Jacksonville, promoss bħala blueprint għall-futur ta’ Jacksonville u approvat mill-votanti ta ’Jacksonville fl-2000, awtorizza taxxa fuq il-bejgħ nofs penny. Dan jiġġenera ħafna mid-dħul meħtieġ għall-pakkett ta '$ 2.25 biljun ta' proġetti ewlenin li kienu jinkludu titjib fit-toroq u l-infrastruttura, preservazzjoni ambjentali, żvilupp ekonomiku mmirat u faċilitajiet pubbliċi ġodda jew imtejba.</v>
      </c>
    </row>
    <row r="1513" ht="15.75" customHeight="1">
      <c r="A1513" s="2" t="s">
        <v>1513</v>
      </c>
      <c r="B1513" s="2" t="str">
        <f>IFERROR(__xludf.DUMMYFUNCTION("GOOGLETRANSLATE(A1513, ""en"", ""mt"")"),"Għaliex GM, Ford u Chrysler introduċew karozzi effiċjenti fil-fjuwil u żgħar fis-suq tal-Istati Uniti?")</f>
        <v>Għaliex GM, Ford u Chrysler introduċew karozzi effiċjenti fil-fjuwil u żgħar fis-suq tal-Istati Uniti?</v>
      </c>
    </row>
    <row r="1514" ht="15.75" customHeight="1">
      <c r="A1514" s="2" t="s">
        <v>1514</v>
      </c>
      <c r="B1514" s="2" t="str">
        <f>IFERROR(__xludf.DUMMYFUNCTION("GOOGLETRANSLATE(A1514, ""en"", ""mt"")"),"X'inhu jinsab fis-sit tad-Dar tal-Insiġ bħalissa?")</f>
        <v>X'inhu jinsab fis-sit tad-Dar tal-Insiġ bħalissa?</v>
      </c>
    </row>
    <row r="1515" ht="15.75" customHeight="1">
      <c r="A1515" s="2" t="s">
        <v>1515</v>
      </c>
      <c r="B1515" s="2" t="str">
        <f>IFERROR(__xludf.DUMMYFUNCTION("GOOGLETRANSLATE(A1515, ""en"", ""mt"")"),"HT ma jidħolx fil-jihad armat jew jaħdem għal sistema demokratika, iżda jaħdem biex jieħu l-poter permezz ta '""ġlieda ideoloġika"" biex tbiddel l-opinjoni pubblika Musulmana, u b'mod partikolari permezz ta' elite li ""jiffaċilitaw"" ""bidla fil-gvern,"" "&amp;"i.e. Tniedi kolp ta 'stat ""mingħajr demm"". Allegatament huwa pprova u falla tali kolpi fl-1968 u fl-1969 fil-Ġordan, u fl-1974 fl-Eġittu, u issa huwa pprojbit fiż-żewġ pajjiżi. Iżda ħafna membri tal-HT komplew jingħaqdu ma 'gruppi terroristiċi u ħafna t"&amp;"erroristi jihadi kkwotaw lil HT bħala l-influwenza ewlenija tagħhom.")</f>
        <v>HT ma jidħolx fil-jihad armat jew jaħdem għal sistema demokratika, iżda jaħdem biex jieħu l-poter permezz ta '"ġlieda ideoloġika" biex tbiddel l-opinjoni pubblika Musulmana, u b'mod partikolari permezz ta' elite li "jiffaċilitaw" "bidla fil-gvern," i.e. Tniedi kolp ta 'stat "mingħajr demm". Allegatament huwa pprova u falla tali kolpi fl-1968 u fl-1969 fil-Ġordan, u fl-1974 fl-Eġittu, u issa huwa pprojbit fiż-żewġ pajjiżi. Iżda ħafna membri tal-HT komplew jingħaqdu ma 'gruppi terroristiċi u ħafna terroristi jihadi kkwotaw lil HT bħala l-influwenza ewlenija tagħhom.</v>
      </c>
    </row>
    <row r="1516" ht="15.75" customHeight="1">
      <c r="A1516" s="2" t="s">
        <v>1516</v>
      </c>
      <c r="B1516" s="2" t="str">
        <f>IFERROR(__xludf.DUMMYFUNCTION("GOOGLETRANSLATE(A1516, ""en"", ""mt"")"),"Xi jestendi ċellola T meta tiltaqa 'ma' patoġen barrani?")</f>
        <v>Xi jestendi ċellola T meta tiltaqa 'ma' patoġen barrani?</v>
      </c>
    </row>
    <row r="1517" ht="15.75" customHeight="1">
      <c r="A1517" s="2" t="s">
        <v>1517</v>
      </c>
      <c r="B1517" s="2" t="str">
        <f>IFERROR(__xludf.DUMMYFUNCTION("GOOGLETRANSLATE(A1517, ""en"", ""mt"")"),"X'inhu l-iktar mod elementari biex tittestja l-primalità ta 'xi numru sħiħ?")</f>
        <v>X'inhu l-iktar mod elementari biex tittestja l-primalità ta 'xi numru sħiħ?</v>
      </c>
    </row>
    <row r="1518" ht="15.75" customHeight="1">
      <c r="A1518" s="2" t="s">
        <v>1518</v>
      </c>
      <c r="B1518" s="2" t="str">
        <f>IFERROR(__xludf.DUMMYFUNCTION("GOOGLETRANSLATE(A1518, ""en"", ""mt"")"),"Kemm Kenja kif ukoll Kegnia")</f>
        <v>Kemm Kenja kif ukoll Kegnia</v>
      </c>
    </row>
    <row r="1519" ht="15.75" customHeight="1">
      <c r="A1519" s="2" t="s">
        <v>1519</v>
      </c>
      <c r="B1519" s="2" t="str">
        <f>IFERROR(__xludf.DUMMYFUNCTION("GOOGLETRANSLATE(A1519, ""en"", ""mt"")"),"Luther simpatizza ma 'wħud mill-ilmenti tal-bdiewa, kif wera fit-tweġiba tiegħu għat-tnax-il artiklu f'Mejju 1525, iżda huwa fakkar lill-aggravat li jobdi l-awtoritajiet temporali. Waqt tour fit-Turingija, huwa sar għeruq fil-ħruq mifrux ta 'kunventi, mon"&amp;"asteri, palazzi tal-isqfijiet, u libreriji. Fil-konfront tal-hordes tal-bdiewa qattiela, li jitilqu, miktuba fuq ir-ritorn tiegħu lejn Wittenberg, huwa ta l-interpretazzjoni tiegħu tat-tagħlim tal-Evanġelju fuq il-ġid, ikkundanna l-vjolenza bħala x-xogħol"&amp;" tax-xitan, u talab lill-nobbli biex iwaqqfu r-ribelli bħal dogs tal-ġenn:")</f>
        <v>Luther simpatizza ma 'wħud mill-ilmenti tal-bdiewa, kif wera fit-tweġiba tiegħu għat-tnax-il artiklu f'Mejju 1525, iżda huwa fakkar lill-aggravat li jobdi l-awtoritajiet temporali. Waqt tour fit-Turingija, huwa sar għeruq fil-ħruq mifrux ta 'kunventi, monasteri, palazzi tal-isqfijiet, u libreriji. Fil-konfront tal-hordes tal-bdiewa qattiela, li jitilqu, miktuba fuq ir-ritorn tiegħu lejn Wittenberg, huwa ta l-interpretazzjoni tiegħu tat-tagħlim tal-Evanġelju fuq il-ġid, ikkundanna l-vjolenza bħala x-xogħol tax-xitan, u talab lill-nobbli biex iwaqqfu r-ribelli bħal dogs tal-ġenn:</v>
      </c>
    </row>
    <row r="1520" ht="15.75" customHeight="1">
      <c r="A1520" s="2" t="s">
        <v>1520</v>
      </c>
      <c r="B1520" s="2" t="str">
        <f>IFERROR(__xludf.DUMMYFUNCTION("GOOGLETRANSLATE(A1520, ""en"", ""mt"")"),"X'kienet ir-raġuni li l-Qorti Kostituzzjonali Taljana tat li rriżultat fis-Sur Costa li jitlef it-talba tiegħu kontra Enel?")</f>
        <v>X'kienet ir-raġuni li l-Qorti Kostituzzjonali Taljana tat li rriżultat fis-Sur Costa li jitlef it-talba tiegħu kontra Enel?</v>
      </c>
    </row>
    <row r="1521" ht="15.75" customHeight="1">
      <c r="A1521" s="2" t="s">
        <v>1521</v>
      </c>
      <c r="B1521" s="2" t="str">
        <f>IFERROR(__xludf.DUMMYFUNCTION("GOOGLETRANSLATE(A1521, ""en"", ""mt"")"),"Min hu l-aħjar kapaċi jsaħħaħ l-akkumulazzjoni tal-ġid?")</f>
        <v>Min hu l-aħjar kapaċi jsaħħaħ l-akkumulazzjoni tal-ġid?</v>
      </c>
    </row>
    <row r="1522" ht="15.75" customHeight="1">
      <c r="A1522" s="2" t="s">
        <v>1522</v>
      </c>
      <c r="B1522" s="2" t="str">
        <f>IFERROR(__xludf.DUMMYFUNCTION("GOOGLETRANSLATE(A1522, ""en"", ""mt"")"),"Il-V &amp; A tinsab fid-distrett ta 'Brompton tar-Royal Borough ta' Kensington u Chelsea")</f>
        <v>Il-V &amp; A tinsab fid-distrett ta 'Brompton tar-Royal Borough ta' Kensington u Chelsea</v>
      </c>
    </row>
    <row r="1523" ht="15.75" customHeight="1">
      <c r="A1523" s="2" t="s">
        <v>1523</v>
      </c>
      <c r="B1523" s="2" t="str">
        <f>IFERROR(__xludf.DUMMYFUNCTION("GOOGLETRANSLATE(A1523, ""en"", ""mt"")"),"X'tip ta 'opportunitajiet ikunu mistennija minn dawn il-kontej?")</f>
        <v>X'tip ta 'opportunitajiet ikunu mistennija minn dawn il-kontej?</v>
      </c>
    </row>
    <row r="1524" ht="15.75" customHeight="1">
      <c r="A1524" s="2" t="s">
        <v>1524</v>
      </c>
      <c r="B1524" s="2" t="str">
        <f>IFERROR(__xludf.DUMMYFUNCTION("GOOGLETRANSLATE(A1524, ""en"", ""mt"")"),"Volum taċ-ċilindru")</f>
        <v>Volum taċ-ċilindru</v>
      </c>
    </row>
    <row r="1525" ht="15.75" customHeight="1">
      <c r="A1525" s="2" t="s">
        <v>1525</v>
      </c>
      <c r="B1525" s="2" t="str">
        <f>IFERROR(__xludf.DUMMYFUNCTION("GOOGLETRANSLATE(A1525, ""en"", ""mt"")"),"sabiex ikunu jistgħu jieħdu kenn wara xulxin jew jinfirxu")</f>
        <v>sabiex ikunu jistgħu jieħdu kenn wara xulxin jew jinfirxu</v>
      </c>
    </row>
    <row r="1526" ht="15.75" customHeight="1">
      <c r="A1526" s="2" t="s">
        <v>1526</v>
      </c>
      <c r="B1526" s="2" t="str">
        <f>IFERROR(__xludf.DUMMYFUNCTION("GOOGLETRANSLATE(A1526, ""en"", ""mt"")"),"Stat ta 'triplet spin")</f>
        <v>Stat ta 'triplet spin</v>
      </c>
    </row>
    <row r="1527" ht="15.75" customHeight="1">
      <c r="A1527" s="2" t="s">
        <v>1527</v>
      </c>
      <c r="B1527" s="2" t="str">
        <f>IFERROR(__xludf.DUMMYFUNCTION("GOOGLETRANSLATE(A1527, ""en"", ""mt"")"),"Evoluzzjoni tal-lingwa Ġermaniża")</f>
        <v>Evoluzzjoni tal-lingwa Ġermaniża</v>
      </c>
    </row>
    <row r="1528" ht="15.75" customHeight="1">
      <c r="A1528" s="2" t="s">
        <v>1528</v>
      </c>
      <c r="B1528" s="2" t="str">
        <f>IFERROR(__xludf.DUMMYFUNCTION("GOOGLETRANSLATE(A1528, ""en"", ""mt"")"),"San Lawrenz u Mississippi Watersheds")</f>
        <v>San Lawrenz u Mississippi Watersheds</v>
      </c>
    </row>
    <row r="1529" ht="15.75" customHeight="1">
      <c r="A1529" s="2" t="s">
        <v>1529</v>
      </c>
      <c r="B1529" s="2" t="str">
        <f>IFERROR(__xludf.DUMMYFUNCTION("GOOGLETRANSLATE(A1529, ""en"", ""mt"")"),"Suq tal-fruntiera jew kultant suq emerġenti")</f>
        <v>Suq tal-fruntiera jew kultant suq emerġenti</v>
      </c>
    </row>
    <row r="1530" ht="15.75" customHeight="1">
      <c r="A1530" s="2" t="s">
        <v>1530</v>
      </c>
      <c r="B1530" s="2" t="str">
        <f>IFERROR(__xludf.DUMMYFUNCTION("GOOGLETRANSLATE(A1530, ""en"", ""mt"")"),"Skrivan tal-vot")</f>
        <v>Skrivan tal-vot</v>
      </c>
    </row>
    <row r="1531" ht="15.75" customHeight="1">
      <c r="A1531" s="2" t="s">
        <v>1531</v>
      </c>
      <c r="B1531" s="2" t="str">
        <f>IFERROR(__xludf.DUMMYFUNCTION("GOOGLETRANSLATE(A1531, ""en"", ""mt"")"),"Żona ta ’Los Angeles")</f>
        <v>Żona ta ’Los Angeles</v>
      </c>
    </row>
    <row r="1532" ht="15.75" customHeight="1">
      <c r="A1532" s="2" t="s">
        <v>1532</v>
      </c>
      <c r="B1532" s="2" t="str">
        <f>IFERROR(__xludf.DUMMYFUNCTION("GOOGLETRANSLATE(A1532, ""en"", ""mt"")"),"art")</f>
        <v>art</v>
      </c>
    </row>
    <row r="1533" ht="15.75" customHeight="1">
      <c r="A1533" s="2" t="s">
        <v>1533</v>
      </c>
      <c r="B1533" s="2" t="str">
        <f>IFERROR(__xludf.DUMMYFUNCTION("GOOGLETRANSLATE(A1533, ""en"", ""mt"")"),"Kemm-il sena jistgħu jisseparaw tifqigħat tal-Mewt l-Iswed?")</f>
        <v>Kemm-il sena jistgħu jisseparaw tifqigħat tal-Mewt l-Iswed?</v>
      </c>
    </row>
    <row r="1534" ht="15.75" customHeight="1">
      <c r="A1534" s="2" t="s">
        <v>1534</v>
      </c>
      <c r="B1534" s="2" t="str">
        <f>IFERROR(__xludf.DUMMYFUNCTION("GOOGLETRANSLATE(A1534, ""en"", ""mt"")"),"Magni tat-Turing deterministiċi")</f>
        <v>Magni tat-Turing deterministiċi</v>
      </c>
    </row>
    <row r="1535" ht="15.75" customHeight="1">
      <c r="A1535" s="2" t="s">
        <v>1535</v>
      </c>
      <c r="B1535" s="2" t="str">
        <f>IFERROR(__xludf.DUMMYFUNCTION("GOOGLETRANSLATE(A1535, ""en"", ""mt"")")," Fejn iddikjara li se jittrasporta l-enerġija?")</f>
        <v> Fejn iddikjara li se jittrasporta l-enerġija?</v>
      </c>
    </row>
    <row r="1536" ht="15.75" customHeight="1">
      <c r="A1536" s="2" t="s">
        <v>1536</v>
      </c>
      <c r="B1536" s="2" t="str">
        <f>IFERROR(__xludf.DUMMYFUNCTION("GOOGLETRANSLATE(A1536, ""en"", ""mt"")"),"Ħafna mill-bażi tat-taxxa tal-belt tinħela, u twassal għal problemi bil-finanzjament tal-edukazzjoni, is-sanità u l-kontroll tat-traffiku fil-limiti tal-belt. Barra minn hekk, ir-residenti fis-subborgi mhux inkorporati kellhom diffikultà biex jiksbu servi"&amp;"zzi muniċipali, bħalma huma l-infurzar tad-drenaġġ u l-kodiċi tal-bini. Fl-1958, studju rrakkomanda li l-Belt ta 'Jacksonville tibda tehmeż komunitajiet periferiċi sabiex toħloq il-bażi tat-taxxa meħtieġa biex ittejjeb is-servizzi madwar il-kontea. Il-vot"&amp;"anti barra l-limiti tal-belt ċaħdu pjanijiet ta ’annessjoni f’sitt referendum bejn l-1960 u l-1965.")</f>
        <v>Ħafna mill-bażi tat-taxxa tal-belt tinħela, u twassal għal problemi bil-finanzjament tal-edukazzjoni, is-sanità u l-kontroll tat-traffiku fil-limiti tal-belt. Barra minn hekk, ir-residenti fis-subborgi mhux inkorporati kellhom diffikultà biex jiksbu servizzi muniċipali, bħalma huma l-infurzar tad-drenaġġ u l-kodiċi tal-bini. Fl-1958, studju rrakkomanda li l-Belt ta 'Jacksonville tibda tehmeż komunitajiet periferiċi sabiex toħloq il-bażi tat-taxxa meħtieġa biex ittejjeb is-servizzi madwar il-kontea. Il-votanti barra l-limiti tal-belt ċaħdu pjanijiet ta ’annessjoni f’sitt referendum bejn l-1960 u l-1965.</v>
      </c>
    </row>
    <row r="1537" ht="15.75" customHeight="1">
      <c r="A1537" s="2" t="s">
        <v>1537</v>
      </c>
      <c r="B1537" s="2" t="str">
        <f>IFERROR(__xludf.DUMMYFUNCTION("GOOGLETRANSLATE(A1537, ""en"", ""mt"")"),"X'ħin il-framd ikopri l-gwerra tas-seba 'snin?")</f>
        <v>X'ħin il-framd ikopri l-gwerra tas-seba 'snin?</v>
      </c>
    </row>
    <row r="1538" ht="15.75" customHeight="1">
      <c r="A1538" s="2" t="s">
        <v>1538</v>
      </c>
      <c r="B1538" s="2" t="str">
        <f>IFERROR(__xludf.DUMMYFUNCTION("GOOGLETRANSLATE(A1538, ""en"", ""mt"")"),"oċeani")</f>
        <v>oċeani</v>
      </c>
    </row>
    <row r="1539" ht="15.75" customHeight="1">
      <c r="A1539" s="2" t="s">
        <v>1539</v>
      </c>
      <c r="B1539" s="2" t="str">
        <f>IFERROR(__xludf.DUMMYFUNCTION("GOOGLETRANSLATE(A1539, ""en"", ""mt"")"),"Awtorità ta 'preskrizzjoni indipendenti sħiħa")</f>
        <v>Awtorità ta 'preskrizzjoni indipendenti sħiħa</v>
      </c>
    </row>
    <row r="1540" ht="15.75" customHeight="1">
      <c r="A1540" s="2" t="s">
        <v>1540</v>
      </c>
      <c r="B1540" s="2" t="str">
        <f>IFERROR(__xludf.DUMMYFUNCTION("GOOGLETRANSLATE(A1540, ""en"", ""mt"")"),"Fis-seklu 12")</f>
        <v>Fis-seklu 12</v>
      </c>
    </row>
    <row r="1541" ht="15.75" customHeight="1">
      <c r="A1541" s="2" t="s">
        <v>1541</v>
      </c>
      <c r="B1541" s="2" t="str">
        <f>IFERROR(__xludf.DUMMYFUNCTION("GOOGLETRANSLATE(A1541, ""en"", ""mt"")"),"X'kien ir-rwol tal-għalliem waqt li t-tifel kien magħhom?")</f>
        <v>X'kien ir-rwol tal-għalliem waqt li t-tifel kien magħhom?</v>
      </c>
    </row>
    <row r="1542" ht="15.75" customHeight="1">
      <c r="A1542" s="2" t="s">
        <v>1542</v>
      </c>
      <c r="B1542" s="2" t="str">
        <f>IFERROR(__xludf.DUMMYFUNCTION("GOOGLETRANSLATE(A1542, ""en"", ""mt"")"),"Id-dar ta ’Sir Paul Pindar baqgħet ħajja f’liema diżastru tas-seklu 17?")</f>
        <v>Id-dar ta ’Sir Paul Pindar baqgħet ħajja f’liema diżastru tas-seklu 17?</v>
      </c>
    </row>
    <row r="1543" ht="15.75" customHeight="1">
      <c r="A1543" s="2" t="s">
        <v>1543</v>
      </c>
      <c r="B1543" s="2" t="str">
        <f>IFERROR(__xludf.DUMMYFUNCTION("GOOGLETRANSLATE(A1543, ""en"", ""mt"")"),"ABC xtrat liema mill-kumpanija ta 'Edgar Scherick?")</f>
        <v>ABC xtrat liema mill-kumpanija ta 'Edgar Scherick?</v>
      </c>
    </row>
    <row r="1544" ht="15.75" customHeight="1">
      <c r="A1544" s="2" t="s">
        <v>1544</v>
      </c>
      <c r="B1544" s="2" t="str">
        <f>IFERROR(__xludf.DUMMYFUNCTION("GOOGLETRANSLATE(A1544, ""en"", ""mt"")"),"X'tagħmel l-għarbiel ta 'Eratosthenes?")</f>
        <v>X'tagħmel l-għarbiel ta 'Eratosthenes?</v>
      </c>
    </row>
    <row r="1545" ht="15.75" customHeight="1">
      <c r="A1545" s="2" t="s">
        <v>1545</v>
      </c>
      <c r="B1545" s="2" t="str">
        <f>IFERROR(__xludf.DUMMYFUNCTION("GOOGLETRANSLATE(A1545, ""en"", ""mt"")"),"X'jista 'jagħmel Rubisco bi żball?")</f>
        <v>X'jista 'jagħmel Rubisco bi żball?</v>
      </c>
    </row>
    <row r="1546" ht="15.75" customHeight="1">
      <c r="A1546" s="2" t="s">
        <v>1546</v>
      </c>
      <c r="B1546" s="2" t="str">
        <f>IFERROR(__xludf.DUMMYFUNCTION("GOOGLETRANSLATE(A1546, ""en"", ""mt"")"),"Liema stazzjon tal-kejbil Kanadiż beda juri lil Doctor Who fl-2009?")</f>
        <v>Liema stazzjon tal-kejbil Kanadiż beda juri lil Doctor Who fl-2009?</v>
      </c>
    </row>
    <row r="1547" ht="15.75" customHeight="1">
      <c r="A1547" s="2" t="s">
        <v>1547</v>
      </c>
      <c r="B1547" s="2" t="str">
        <f>IFERROR(__xludf.DUMMYFUNCTION("GOOGLETRANSLATE(A1547, ""en"", ""mt"")"),"Duttrina Nisranija")</f>
        <v>Duttrina Nisranija</v>
      </c>
    </row>
    <row r="1548" ht="15.75" customHeight="1">
      <c r="A1548" s="2" t="s">
        <v>1548</v>
      </c>
      <c r="B1548" s="2" t="str">
        <f>IFERROR(__xludf.DUMMYFUNCTION("GOOGLETRANSLATE(A1548, ""en"", ""mt"")"),"F'liema xahar u sena seħħet il-missjoni Apollo 11?")</f>
        <v>F'liema xahar u sena seħħet il-missjoni Apollo 11?</v>
      </c>
    </row>
    <row r="1549" ht="15.75" customHeight="1">
      <c r="A1549" s="2" t="s">
        <v>1549</v>
      </c>
      <c r="B1549" s="2" t="str">
        <f>IFERROR(__xludf.DUMMYFUNCTION("GOOGLETRANSLATE(A1549, ""en"", ""mt"")"),", għen biex jiżdiedu l-prezzijiet tal-produtturi lokali b'20-25%")</f>
        <v>, għen biex jiżdiedu l-prezzijiet tal-produtturi lokali b'20-25%</v>
      </c>
    </row>
    <row r="1550" ht="15.75" customHeight="1">
      <c r="A1550" s="2" t="s">
        <v>1550</v>
      </c>
      <c r="B1550" s="2" t="str">
        <f>IFERROR(__xludf.DUMMYFUNCTION("GOOGLETRANSLATE(A1550, ""en"", ""mt"")"),"Fi kloroplasti qodma jew stressati")</f>
        <v>Fi kloroplasti qodma jew stressati</v>
      </c>
    </row>
    <row r="1551" ht="15.75" customHeight="1">
      <c r="A1551" s="2" t="s">
        <v>1551</v>
      </c>
      <c r="B1551" s="2" t="str">
        <f>IFERROR(__xludf.DUMMYFUNCTION("GOOGLETRANSLATE(A1551, ""en"", ""mt"")"),"Għal xiex tispikka l-akronimu LEM?")</f>
        <v>Għal xiex tispikka l-akronimu LEM?</v>
      </c>
    </row>
    <row r="1552" ht="15.75" customHeight="1">
      <c r="A1552" s="2" t="s">
        <v>1552</v>
      </c>
      <c r="B1552" s="2" t="str">
        <f>IFERROR(__xludf.DUMMYFUNCTION("GOOGLETRANSLATE(A1552, ""en"", ""mt"")"),"Permezz tal-qbid tan-nixxiegħa, ir-Renu estenda l-ilma tal-baħar lejn in-nofsinhar. Sal-perjodu Pliocene, ir-Renu kien qabad nixxigħat sal-Muntanji Vosges, inklużi l-Mosel, il-Main u l-Neckar. L-Alpi tat-Tramuntana mbagħad ġew imsaffija mir-Rhone. Sal-per"&amp;"jodu bikri tal-Pleistocene, ir-Renu kien qabad il-biċċa l-kbira tal-ilma tal-ilma preżenti tiegħu mill-Rhône, inkluż l-AAR. Minn dak iż-żmien, ir-Rhine żied il-baqra tal-ilma 'l fuq mill-Lag Constance (Vorderrhein, Hinterrhein, Alpenrhein; maqbud mill-Rhô"&amp;"ne), il-parti ta' fuq tal-main, lil hinn minn Schweinfurt u l-muntanji Vosges, maqbuda mill-meuse, għall-ilma tagħha.")</f>
        <v>Permezz tal-qbid tan-nixxiegħa, ir-Renu estenda l-ilma tal-baħar lejn in-nofsinhar. Sal-perjodu Pliocene, ir-Renu kien qabad nixxigħat sal-Muntanji Vosges, inklużi l-Mosel, il-Main u l-Neckar. L-Alpi tat-Tramuntana mbagħad ġew imsaffija mir-Rhone. Sal-perjodu bikri tal-Pleistocene, ir-Renu kien qabad il-biċċa l-kbira tal-ilma tal-ilma preżenti tiegħu mill-Rhône, inkluż l-AAR. Minn dak iż-żmien, ir-Rhine żied il-baqra tal-ilma 'l fuq mill-Lag Constance (Vorderrhein, Hinterrhein, Alpenrhein; maqbud mill-Rhône), il-parti ta' fuq tal-main, lil hinn minn Schweinfurt u l-muntanji Vosges, maqbuda mill-meuse, għall-ilma tagħha.</v>
      </c>
    </row>
    <row r="1553" ht="15.75" customHeight="1">
      <c r="A1553" s="2" t="s">
        <v>1553</v>
      </c>
      <c r="B1553" s="2" t="str">
        <f>IFERROR(__xludf.DUMMYFUNCTION("GOOGLETRANSLATE(A1553, ""en"", ""mt"")"),"X’jagħtu ċ-ċidippids biex jaqbdu l-priża tagħhom?")</f>
        <v>X’jagħtu ċ-ċidippids biex jaqbdu l-priża tagħhom?</v>
      </c>
    </row>
    <row r="1554" ht="15.75" customHeight="1">
      <c r="A1554" s="2" t="s">
        <v>1554</v>
      </c>
      <c r="B1554" s="2" t="str">
        <f>IFERROR(__xludf.DUMMYFUNCTION("GOOGLETRANSLATE(A1554, ""en"", ""mt"")"),"sokits tas-snien fl-iskeletri tal-bniedem")</f>
        <v>sokits tas-snien fl-iskeletri tal-bniedem</v>
      </c>
    </row>
    <row r="1555" ht="15.75" customHeight="1">
      <c r="A1555" s="2" t="s">
        <v>1555</v>
      </c>
      <c r="B1555" s="2" t="str">
        <f>IFERROR(__xludf.DUMMYFUNCTION("GOOGLETRANSLATE(A1555, ""en"", ""mt"")"),"Liema uċuħ ġew introdotti jew popolarizzati fil-wan?")</f>
        <v>Liema uċuħ ġew introdotti jew popolarizzati fil-wan?</v>
      </c>
    </row>
    <row r="1556" ht="15.75" customHeight="1">
      <c r="A1556" s="2" t="s">
        <v>1556</v>
      </c>
      <c r="B1556" s="2" t="str">
        <f>IFERROR(__xludf.DUMMYFUNCTION("GOOGLETRANSLATE(A1556, ""en"", ""mt"")"),"L-istudju tal-blat")</f>
        <v>L-istudju tal-blat</v>
      </c>
    </row>
    <row r="1557" ht="15.75" customHeight="1">
      <c r="A1557" s="2" t="s">
        <v>1557</v>
      </c>
      <c r="B1557" s="2" t="str">
        <f>IFERROR(__xludf.DUMMYFUNCTION("GOOGLETRANSLATE(A1557, ""en"", ""mt"")"),"Bilanċ tal-partijiet")</f>
        <v>Bilanċ tal-partijiet</v>
      </c>
    </row>
    <row r="1558" ht="15.75" customHeight="1">
      <c r="A1558" s="2" t="s">
        <v>1558</v>
      </c>
      <c r="B1558" s="2" t="str">
        <f>IFERROR(__xludf.DUMMYFUNCTION("GOOGLETRANSLATE(A1558, ""en"", ""mt"")"),"Liema movimenti segwew direzzjoni aktar radikali?")</f>
        <v>Liema movimenti segwew direzzjoni aktar radikali?</v>
      </c>
    </row>
    <row r="1559" ht="15.75" customHeight="1">
      <c r="A1559" s="2" t="s">
        <v>1559</v>
      </c>
      <c r="B1559" s="2" t="str">
        <f>IFERROR(__xludf.DUMMYFUNCTION("GOOGLETRANSLATE(A1559, ""en"", ""mt"")"),"riżorsa tal-komputazzjoni")</f>
        <v>riżorsa tal-komputazzjoni</v>
      </c>
    </row>
    <row r="1560" ht="15.75" customHeight="1">
      <c r="A1560" s="2" t="s">
        <v>1560</v>
      </c>
      <c r="B1560" s="2" t="str">
        <f>IFERROR(__xludf.DUMMYFUNCTION("GOOGLETRANSLATE(A1560, ""en"", ""mt"")"),"Downtown Burbank huwa eżempju ta 'x'tip ta' distrett?")</f>
        <v>Downtown Burbank huwa eżempju ta 'x'tip ta' distrett?</v>
      </c>
    </row>
    <row r="1561" ht="15.75" customHeight="1">
      <c r="A1561" s="2" t="s">
        <v>1561</v>
      </c>
      <c r="B1561" s="2" t="str">
        <f>IFERROR(__xludf.DUMMYFUNCTION("GOOGLETRANSLATE(A1561, ""en"", ""mt"")"),"Pajjiżi Ewropej Kontinentali")</f>
        <v>Pajjiżi Ewropej Kontinentali</v>
      </c>
    </row>
    <row r="1562" ht="15.75" customHeight="1">
      <c r="A1562" s="2" t="s">
        <v>1562</v>
      </c>
      <c r="B1562" s="2" t="str">
        <f>IFERROR(__xludf.DUMMYFUNCTION("GOOGLETRANSLATE(A1562, ""en"", ""mt"")"),"Għas-sena tas-salarju li tibda f'April 2008, għalliema mhux promoti fl-Iskozja qalgħu minn £ 20,427 għal probation, sa £ 32,583 wara 6 snin wara tagħlim, iżda mbagħad jistgħu jkomplu jaqilgħu sa £ 39,942 billi jtemmu l-moduli biex jaqilgħu l-istatus ta 'g"&amp;"ħalliem mikrija (Li teħtieġ mill-inqas 6 snin sa żewġ moduli fis-sena.) Il-promozzjoni għal pożizzjonijiet tal-għalliema prinċipali tattira salarju ta 'bejn £ 34,566 u £ 44,616; Deputat Kap, u l-għalliema tar-ras jaqilgħu minn £ 40,290 għal £ 78,642. L-għ"&amp;"alliema fl-Iskozja jistgħu jkunu membri rreġistrati ta ’trade unions ma’ dawk ewlenin li huma l-Istitut Edukattiv tal-Iskozja u l-Assoċjazzjoni tal-Għalliema Sekondarji Skoċċiżi.")</f>
        <v>Għas-sena tas-salarju li tibda f'April 2008, għalliema mhux promoti fl-Iskozja qalgħu minn £ 20,427 għal probation, sa £ 32,583 wara 6 snin wara tagħlim, iżda mbagħad jistgħu jkomplu jaqilgħu sa £ 39,942 billi jtemmu l-moduli biex jaqilgħu l-istatus ta 'għalliem mikrija (Li teħtieġ mill-inqas 6 snin sa żewġ moduli fis-sena.) Il-promozzjoni għal pożizzjonijiet tal-għalliema prinċipali tattira salarju ta 'bejn £ 34,566 u £ 44,616; Deputat Kap, u l-għalliema tar-ras jaqilgħu minn £ 40,290 għal £ 78,642. L-għalliema fl-Iskozja jistgħu jkunu membri rreġistrati ta ’trade unions ma’ dawk ewlenin li huma l-Istitut Edukattiv tal-Iskozja u l-Assoċjazzjoni tal-Għalliema Sekondarji Skoċċiżi.</v>
      </c>
    </row>
    <row r="1563" ht="15.75" customHeight="1">
      <c r="A1563" s="2" t="s">
        <v>1563</v>
      </c>
      <c r="B1563" s="2" t="str">
        <f>IFERROR(__xludf.DUMMYFUNCTION("GOOGLETRANSLATE(A1563, ""en"", ""mt"")"),"Il-piż tal-bojlers u l-kondensaturi ġeneralment jagħmel il-proporzjon tal-enerġija għall-piż ta 'impjant tal-fwar inqas milli għal magni ta' kombustjoni interna. Għal applikazzjonijiet mobbli l-istim ġie sostitwit fil-biċċa l-kbira minn magni ta 'kombustj"&amp;"oni interna jew muturi elettriċi. Madankollu, il-biċċa l-kbira tal-enerġija elettrika hija ġġenerata bl-użu tal-impjant tat-turbina tal-fwar, sabiex indirettament l-industrija tad-dinja għadha tiddependi fuq l-enerġija tal-fwar. Tħassib riċenti dwar is-so"&amp;"rsi tal-fjuwil u t-tniġġis inċitaw interess imġedded fil-fwar kemm bħala komponent tal-proċessi ta 'kogenerazzjoni kif ukoll bħala mover ewlieni. Dan qed isir magħruf bħala l-moviment avvanzat tal-fwar. [Ċitazzjoni meħtieġa]")</f>
        <v>Il-piż tal-bojlers u l-kondensaturi ġeneralment jagħmel il-proporzjon tal-enerġija għall-piż ta 'impjant tal-fwar inqas milli għal magni ta' kombustjoni interna. Għal applikazzjonijiet mobbli l-istim ġie sostitwit fil-biċċa l-kbira minn magni ta 'kombustjoni interna jew muturi elettriċi. Madankollu, il-biċċa l-kbira tal-enerġija elettrika hija ġġenerata bl-użu tal-impjant tat-turbina tal-fwar, sabiex indirettament l-industrija tad-dinja għadha tiddependi fuq l-enerġija tal-fwar. Tħassib riċenti dwar is-sorsi tal-fjuwil u t-tniġġis inċitaw interess imġedded fil-fwar kemm bħala komponent tal-proċessi ta 'kogenerazzjoni kif ukoll bħala mover ewlieni. Dan qed isir magħruf bħala l-moviment avvanzat tal-fwar. [Ċitazzjoni meħtieġa]</v>
      </c>
    </row>
    <row r="1564" ht="15.75" customHeight="1">
      <c r="A1564" s="2" t="s">
        <v>1564</v>
      </c>
      <c r="B1564" s="2" t="str">
        <f>IFERROR(__xludf.DUMMYFUNCTION("GOOGLETRANSLATE(A1564, ""en"", ""mt"")"),"Céloron hedded ""Brittaniku qadim"" b'konsegwenzi severi")</f>
        <v>Céloron hedded "Brittaniku qadim" b'konsegwenzi severi</v>
      </c>
    </row>
    <row r="1565" ht="15.75" customHeight="1">
      <c r="A1565" s="2" t="s">
        <v>1565</v>
      </c>
      <c r="B1565" s="2" t="str">
        <f>IFERROR(__xludf.DUMMYFUNCTION("GOOGLETRANSLATE(A1565, ""en"", ""mt"")"),"elite")</f>
        <v>elite</v>
      </c>
    </row>
    <row r="1566" ht="15.75" customHeight="1">
      <c r="A1566" s="2" t="s">
        <v>1566</v>
      </c>
      <c r="B1566" s="2" t="str">
        <f>IFERROR(__xludf.DUMMYFUNCTION("GOOGLETRANSLATE(A1566, ""en"", ""mt"")"),"L-S-IVB-200 intuża f'liema stadju tas-Saturn V?")</f>
        <v>L-S-IVB-200 intuża f'liema stadju tas-Saturn V?</v>
      </c>
    </row>
    <row r="1567" ht="15.75" customHeight="1">
      <c r="A1567" s="2" t="s">
        <v>1567</v>
      </c>
      <c r="B1567" s="2" t="str">
        <f>IFERROR(__xludf.DUMMYFUNCTION("GOOGLETRANSLATE(A1567, ""en"", ""mt"")"),"Artiġjani u nies tas-sengħa")</f>
        <v>Artiġjani u nies tas-sengħa</v>
      </c>
    </row>
    <row r="1568" ht="15.75" customHeight="1">
      <c r="A1568" s="2" t="s">
        <v>1568</v>
      </c>
      <c r="B1568" s="2" t="str">
        <f>IFERROR(__xludf.DUMMYFUNCTION("GOOGLETRANSLATE(A1568, ""en"", ""mt"")"),"Biex tixgħel it-triq tat-triq tal-belt.")</f>
        <v>Biex tixgħel it-triq tat-triq tal-belt.</v>
      </c>
    </row>
    <row r="1569" ht="15.75" customHeight="1">
      <c r="A1569" s="2" t="s">
        <v>1569</v>
      </c>
      <c r="B1569" s="2" t="str">
        <f>IFERROR(__xludf.DUMMYFUNCTION("GOOGLETRANSLATE(A1569, ""en"", ""mt"")"),"X'inhi d-Delta fir-Rhine delimitat fil-Lvant?")</f>
        <v>X'inhi d-Delta fir-Rhine delimitat fil-Lvant?</v>
      </c>
    </row>
    <row r="1570" ht="15.75" customHeight="1">
      <c r="A1570" s="2" t="s">
        <v>1570</v>
      </c>
      <c r="B1570" s="2" t="str">
        <f>IFERROR(__xludf.DUMMYFUNCTION("GOOGLETRANSLATE(A1570, ""en"", ""mt"")"),"X'inhuma t-tliet sorsi ewlenin tal-liġi tal-Unjoni Ewropea?")</f>
        <v>X'inhuma t-tliet sorsi ewlenin tal-liġi tal-Unjoni Ewropea?</v>
      </c>
    </row>
    <row r="1571" ht="15.75" customHeight="1">
      <c r="A1571" s="2" t="s">
        <v>1571</v>
      </c>
      <c r="B1571" s="2" t="str">
        <f>IFERROR(__xludf.DUMMYFUNCTION("GOOGLETRANSLATE(A1571, ""en"", ""mt"")"),"Minn fejn jistgħu jiġu estrapolati l-istimi tal-popolazzjoni?")</f>
        <v>Minn fejn jistgħu jiġu estrapolati l-istimi tal-popolazzjoni?</v>
      </c>
    </row>
    <row r="1572" ht="15.75" customHeight="1">
      <c r="A1572" s="2" t="s">
        <v>1572</v>
      </c>
      <c r="B1572" s="2" t="str">
        <f>IFERROR(__xludf.DUMMYFUNCTION("GOOGLETRANSLATE(A1572, ""en"", ""mt"")"),"X’għamel ir-re rigward l-edukazzjoni Huguenot?")</f>
        <v>X’għamel ir-re rigward l-edukazzjoni Huguenot?</v>
      </c>
    </row>
    <row r="1573" ht="15.75" customHeight="1">
      <c r="A1573" s="2" t="s">
        <v>1573</v>
      </c>
      <c r="B1573" s="2" t="str">
        <f>IFERROR(__xludf.DUMMYFUNCTION("GOOGLETRANSLATE(A1573, ""en"", ""mt"")"),"Liema kotba ppubblikat Bayle?")</f>
        <v>Liema kotba ppubblikat Bayle?</v>
      </c>
    </row>
    <row r="1574" ht="15.75" customHeight="1">
      <c r="A1574" s="2" t="s">
        <v>1574</v>
      </c>
      <c r="B1574" s="2" t="str">
        <f>IFERROR(__xludf.DUMMYFUNCTION("GOOGLETRANSLATE(A1574, ""en"", ""mt"")"),"apposta jagħmlu ħsara lis-sistema fotosintetika tagħhom")</f>
        <v>apposta jagħmlu ħsara lis-sistema fotosintetika tagħhom</v>
      </c>
    </row>
    <row r="1575" ht="15.75" customHeight="1">
      <c r="A1575" s="2" t="s">
        <v>1575</v>
      </c>
      <c r="B1575" s="2" t="str">
        <f>IFERROR(__xludf.DUMMYFUNCTION("GOOGLETRANSLATE(A1575, ""en"", ""mt"")"),"X'ġara fl-ilma ta 'taħt l-art fir-Renu waqt il-programm ta' l-iddrittar tar-Renu?")</f>
        <v>X'ġara fl-ilma ta 'taħt l-art fir-Renu waqt il-programm ta' l-iddrittar tar-Renu?</v>
      </c>
    </row>
    <row r="1576" ht="15.75" customHeight="1">
      <c r="A1576" s="2" t="s">
        <v>1576</v>
      </c>
      <c r="B1576" s="2" t="str">
        <f>IFERROR(__xludf.DUMMYFUNCTION("GOOGLETRANSLATE(A1576, ""en"", ""mt"")"),"Liema pont il-Ġermaniżi naqsu milli jitwaqqa '?")</f>
        <v>Liema pont il-Ġermaniżi naqsu milli jitwaqqa '?</v>
      </c>
    </row>
    <row r="1577" ht="15.75" customHeight="1">
      <c r="A1577" s="2" t="s">
        <v>1577</v>
      </c>
      <c r="B1577" s="2" t="str">
        <f>IFERROR(__xludf.DUMMYFUNCTION("GOOGLETRANSLATE(A1577, ""en"", ""mt"")"),"Informatika tal-ispiżerija hija l-kombinazzjoni ta 'xjenza tal-prattika tal-ispiżerija u xjenza ta' informazzjoni applikata. L-informatiċi tal-ispiżerija jaħdmu f'ħafna oqsma ta 'prattika tal-ispiżerija, madankollu, jistgħu jaħdmu wkoll fid-dipartimenti t"&amp;"at-teknoloġija tal-informazzjoni jew għal kumpaniji tal-bejjiegħ tat-teknoloġija tal-informazzjoni dwar il-kura tas-saħħa. Bħala qasam ta 'prattika u dominju speċjalizzat, l-informatika tal-ispiżerija qed tikber malajr biex tissodisfa l-bżonnijiet ta' pro"&amp;"ġetti ta 'informazzjoni nazzjonali u internazzjonali ewlenin u għanijiet ta' interoperabilità tas-sistema tas-saħħa. L-ispiżjara f'dan il-qasam huma mħarrġa biex jipparteċipaw fl-iżvilupp, l-iskjerament u l-ottimizzazzjoni tas-sistema tal-ġestjoni tal-med"&amp;"ikazzjoni.")</f>
        <v>Informatika tal-ispiżerija hija l-kombinazzjoni ta 'xjenza tal-prattika tal-ispiżerija u xjenza ta' informazzjoni applikata. L-informatiċi tal-ispiżerija jaħdmu f'ħafna oqsma ta 'prattika tal-ispiżerija, madankollu, jistgħu jaħdmu wkoll fid-dipartimenti tat-teknoloġija tal-informazzjoni jew għal kumpaniji tal-bejjiegħ tat-teknoloġija tal-informazzjoni dwar il-kura tas-saħħa. Bħala qasam ta 'prattika u dominju speċjalizzat, l-informatika tal-ispiżerija qed tikber malajr biex tissodisfa l-bżonnijiet ta' proġetti ta 'informazzjoni nazzjonali u internazzjonali ewlenin u għanijiet ta' interoperabilità tas-sistema tas-saħħa. L-ispiżjara f'dan il-qasam huma mħarrġa biex jipparteċipaw fl-iżvilupp, l-iskjerament u l-ottimizzazzjoni tas-sistema tal-ġestjoni tal-medikazzjoni.</v>
      </c>
    </row>
    <row r="1578" ht="15.75" customHeight="1">
      <c r="A1578" s="2" t="s">
        <v>1578</v>
      </c>
      <c r="B1578" s="2" t="str">
        <f>IFERROR(__xludf.DUMMYFUNCTION("GOOGLETRANSLATE(A1578, ""en"", ""mt"")"),"6.04 millilitri")</f>
        <v>6.04 millilitri</v>
      </c>
    </row>
    <row r="1579" ht="15.75" customHeight="1">
      <c r="A1579" s="2" t="s">
        <v>1579</v>
      </c>
      <c r="B1579" s="2" t="str">
        <f>IFERROR(__xludf.DUMMYFUNCTION("GOOGLETRANSLATE(A1579, ""en"", ""mt"")"),"Xi studjużi moderni, bħalma huma l-fielding H. Garrison, huma tal-fehma li l-oriġini tax-xjenza tal-ġeoloġija tista 'tiġi rintraċċata lejn il-Persja wara li l-konkwisti Musulmani waslu fi tmiemhom. Abu al-Rayhan al-Biruni (973-1048 CE) kien wieħed mill-ew"&amp;"wel ġeoloġi Persjani, li x-xogħlijiet tagħhom kienu jinkludu l-ewwel kitbiet dwar il-ġeoloġija tal-Indja, ipoteżi li s-sottokontinent Indjan kien darba. Bbażat mil-letteratura xjentifika Griega u Indjana li ma nqerdux mill-konkwisti Musulmani, l-istudjuż "&amp;"Persjan Ibn Sina (Avicenna, 981-1037) ippropona spjegazzjonijiet dettaljati għall-formazzjoni tal-muntanji, l-oriġini tat-terremoti, u suġġetti oħra ċentrali għall-ġeoloġija moderna, li pprovda bażi essenzjali għall-iżvilupp aktar tard tax-xjenza. Fiċ-Ċin"&amp;"a, il-Polymath Shen Kuo (1031-1095) ifformula ipoteżi għall-proċess tal-formazzjoni tal-art: ibbażata fuq l-osservazzjoni tiegħu ta 'qxur tal-annimali fossili fi stratum ġeoloġiku f'muntanja mijiet ta' mili mill-oċean, huwa dedotta li l-art kienet Iffurma"&amp;"t mill-erożjoni tal-muntanji u bid-deposizzjoni tal-ħama.")</f>
        <v>Xi studjużi moderni, bħalma huma l-fielding H. Garrison, huma tal-fehma li l-oriġini tax-xjenza tal-ġeoloġija tista 'tiġi rintraċċata lejn il-Persja wara li l-konkwisti Musulmani waslu fi tmiemhom. Abu al-Rayhan al-Biruni (973-1048 CE) kien wieħed mill-ewwel ġeoloġi Persjani, li x-xogħlijiet tagħhom kienu jinkludu l-ewwel kitbiet dwar il-ġeoloġija tal-Indja, ipoteżi li s-sottokontinent Indjan kien darba. Bbażat mil-letteratura xjentifika Griega u Indjana li ma nqerdux mill-konkwisti Musulmani, l-istudjuż Persjan Ibn Sina (Avicenna, 981-1037) ippropona spjegazzjonijiet dettaljati għall-formazzjoni tal-muntanji, l-oriġini tat-terremoti, u suġġetti oħra ċentrali għall-ġeoloġija moderna, li pprovda bażi essenzjali għall-iżvilupp aktar tard tax-xjenza. Fiċ-Ċina, il-Polymath Shen Kuo (1031-1095) ifformula ipoteżi għall-proċess tal-formazzjoni tal-art: ibbażata fuq l-osservazzjoni tiegħu ta 'qxur tal-annimali fossili fi stratum ġeoloġiku f'muntanja mijiet ta' mili mill-oċean, huwa dedotta li l-art kienet Iffurmat mill-erożjoni tal-muntanji u bid-deposizzjoni tal-ħama.</v>
      </c>
    </row>
    <row r="1580" ht="15.75" customHeight="1">
      <c r="A1580" s="2" t="s">
        <v>1580</v>
      </c>
      <c r="B1580" s="2" t="str">
        <f>IFERROR(__xludf.DUMMYFUNCTION("GOOGLETRANSLATE(A1580, ""en"", ""mt"")"),"Minbarra l-ilma li jirriċirkula, x'jagħmlu l-kondensaturi?")</f>
        <v>Minbarra l-ilma li jirriċirkula, x'jagħmlu l-kondensaturi?</v>
      </c>
    </row>
    <row r="1581" ht="15.75" customHeight="1">
      <c r="A1581" s="2" t="s">
        <v>1581</v>
      </c>
      <c r="B1581" s="2" t="str">
        <f>IFERROR(__xludf.DUMMYFUNCTION("GOOGLETRANSLATE(A1581, ""en"", ""mt"")"),"il-kwadrangles ewlenin")</f>
        <v>il-kwadrangles ewlenin</v>
      </c>
    </row>
    <row r="1582" ht="15.75" customHeight="1">
      <c r="A1582" s="2" t="s">
        <v>1582</v>
      </c>
      <c r="B1582" s="2" t="str">
        <f>IFERROR(__xludf.DUMMYFUNCTION("GOOGLETRANSLATE(A1582, ""en"", ""mt"")"),"belt")</f>
        <v>belt</v>
      </c>
    </row>
    <row r="1583" ht="15.75" customHeight="1">
      <c r="A1583" s="2" t="s">
        <v>1583</v>
      </c>
      <c r="B1583" s="2" t="str">
        <f>IFERROR(__xludf.DUMMYFUNCTION("GOOGLETRANSLATE(A1583, ""en"", ""mt"")"),"kemm Ingliżi kif ukoll Ewropej")</f>
        <v>kemm Ingliżi kif ukoll Ewropej</v>
      </c>
    </row>
    <row r="1584" ht="15.75" customHeight="1">
      <c r="A1584" s="2" t="s">
        <v>1584</v>
      </c>
      <c r="B1584" s="2" t="str">
        <f>IFERROR(__xludf.DUMMYFUNCTION("GOOGLETRANSLATE(A1584, ""en"", ""mt"")"),"X’kien fadal meta l-alka maħkuma kienet maqsuma?")</f>
        <v>X’kien fadal meta l-alka maħkuma kienet maqsuma?</v>
      </c>
    </row>
    <row r="1585" ht="15.75" customHeight="1">
      <c r="A1585" s="2" t="s">
        <v>1585</v>
      </c>
      <c r="B1585" s="2" t="str">
        <f>IFERROR(__xludf.DUMMYFUNCTION("GOOGLETRANSLATE(A1585, ""en"", ""mt"")"),"X'inhu Salm 67 dwaru?")</f>
        <v>X'inhu Salm 67 dwaru?</v>
      </c>
    </row>
    <row r="1586" ht="15.75" customHeight="1">
      <c r="A1586" s="2" t="s">
        <v>1586</v>
      </c>
      <c r="B1586" s="2" t="str">
        <f>IFERROR(__xludf.DUMMYFUNCTION("GOOGLETRANSLATE(A1586, ""en"", ""mt"")"),"Han Ċiniż u Khitans")</f>
        <v>Han Ċiniż u Khitans</v>
      </c>
    </row>
    <row r="1587" ht="15.75" customHeight="1">
      <c r="A1587" s="2" t="s">
        <v>1587</v>
      </c>
      <c r="B1587" s="2" t="str">
        <f>IFERROR(__xludf.DUMMYFUNCTION("GOOGLETRANSLATE(A1587, ""en"", ""mt"")"),"Dak li fil-fatt jikkawża riġidità fil-materja?")</f>
        <v>Dak li fil-fatt jikkawża riġidità fil-materja?</v>
      </c>
    </row>
    <row r="1588" ht="15.75" customHeight="1">
      <c r="A1588" s="2" t="s">
        <v>1588</v>
      </c>
      <c r="B1588" s="2" t="str">
        <f>IFERROR(__xludf.DUMMYFUNCTION("GOOGLETRANSLATE(A1588, ""en"", ""mt"")"),"Ċentrifugali f’ħafna stadji")</f>
        <v>Ċentrifugali f’ħafna stadji</v>
      </c>
    </row>
    <row r="1589" ht="15.75" customHeight="1">
      <c r="A1589" s="2" t="s">
        <v>1589</v>
      </c>
      <c r="B1589" s="2" t="str">
        <f>IFERROR(__xludf.DUMMYFUNCTION("GOOGLETRANSLATE(A1589, ""en"", ""mt"")"),"Kemm Korrispondenza Tesla bagħtet lil Morgan fil-ħames snin wara l-1901?")</f>
        <v>Kemm Korrispondenza Tesla bagħtet lil Morgan fil-ħames snin wara l-1901?</v>
      </c>
    </row>
    <row r="1590" ht="15.75" customHeight="1">
      <c r="A1590" s="2" t="s">
        <v>1590</v>
      </c>
      <c r="B1590" s="2" t="str">
        <f>IFERROR(__xludf.DUMMYFUNCTION("GOOGLETRANSLATE(A1590, ""en"", ""mt"")"),"kombustjoni esterna")</f>
        <v>kombustjoni esterna</v>
      </c>
    </row>
    <row r="1591" ht="15.75" customHeight="1">
      <c r="A1591" s="2" t="s">
        <v>1591</v>
      </c>
      <c r="B1591" s="2" t="str">
        <f>IFERROR(__xludf.DUMMYFUNCTION("GOOGLETRANSLATE(A1591, ""en"", ""mt"")"),"Ċrieki li jaqsmu l-plastidi")</f>
        <v>Ċrieki li jaqsmu l-plastidi</v>
      </c>
    </row>
    <row r="1592" ht="15.75" customHeight="1">
      <c r="A1592" s="2" t="s">
        <v>1592</v>
      </c>
      <c r="B1592" s="2" t="str">
        <f>IFERROR(__xludf.DUMMYFUNCTION("GOOGLETRANSLATE(A1592, ""en"", ""mt"")"),"Liema data kienu mħabbra l-aqwa żewġ għażliet tal-istadium għas-Super Bowl 50?")</f>
        <v>Liema data kienu mħabbra l-aqwa żewġ għażliet tal-istadium għas-Super Bowl 50?</v>
      </c>
    </row>
    <row r="1593" ht="15.75" customHeight="1">
      <c r="A1593" s="2" t="s">
        <v>1593</v>
      </c>
      <c r="B1593" s="2" t="str">
        <f>IFERROR(__xludf.DUMMYFUNCTION("GOOGLETRANSLATE(A1593, ""en"", ""mt"")"),"Il-konnessjoni bejn il-forzi makroskopiċi mhux konservattivi u l-forzi konservattivi mikroskopiċi hija deskritta permezz ta 'trattament dettaljat bil-mekkanika statistika. F'sistemi magħluqa makroskopiċi, il-forzi mhux konservattivi jaġixxu biex ibiddlu l"&amp;"-enerġiji interni tas-sistema, u ħafna drabi huma assoċjati mat-trasferiment tas-sħana. Skond it-tieni liġi tat-termodinamiċità, il-forzi mhux konservattivi neċessarjament jirriżultaw fi trasformazzjonijiet ta 'enerġija f'sistemi magħluqa minn ordnati għa"&amp;"l kundizzjonijiet aktar każwali hekk kif tiżdied l-entropija.")</f>
        <v>Il-konnessjoni bejn il-forzi makroskopiċi mhux konservattivi u l-forzi konservattivi mikroskopiċi hija deskritta permezz ta 'trattament dettaljat bil-mekkanika statistika. F'sistemi magħluqa makroskopiċi, il-forzi mhux konservattivi jaġixxu biex ibiddlu l-enerġiji interni tas-sistema, u ħafna drabi huma assoċjati mat-trasferiment tas-sħana. Skond it-tieni liġi tat-termodinamiċità, il-forzi mhux konservattivi neċessarjament jirriżultaw fi trasformazzjonijiet ta 'enerġija f'sistemi magħluqa minn ordnati għal kundizzjonijiet aktar każwali hekk kif tiżdied l-entropija.</v>
      </c>
    </row>
    <row r="1594" ht="15.75" customHeight="1">
      <c r="A1594" s="2" t="s">
        <v>1594</v>
      </c>
      <c r="B1594" s="2" t="str">
        <f>IFERROR(__xludf.DUMMYFUNCTION("GOOGLETRANSLATE(A1594, ""en"", ""mt"")"),"il-kumplament tal-ħajja ta ’Tesla")</f>
        <v>il-kumplament tal-ħajja ta ’Tesla</v>
      </c>
    </row>
    <row r="1595" ht="15.75" customHeight="1">
      <c r="A1595" s="2" t="s">
        <v>1595</v>
      </c>
      <c r="B1595" s="2" t="str">
        <f>IFERROR(__xludf.DUMMYFUNCTION("GOOGLETRANSLATE(A1595, ""en"", ""mt"")"),"Tiffany &amp; ko")</f>
        <v>Tiffany &amp; ko</v>
      </c>
    </row>
    <row r="1596" ht="15.75" customHeight="1">
      <c r="A1596" s="2" t="s">
        <v>1596</v>
      </c>
      <c r="B1596" s="2" t="str">
        <f>IFERROR(__xludf.DUMMYFUNCTION("GOOGLETRANSLATE(A1596, ""en"", ""mt"")"),"Meta jkunu miżżewġin,")</f>
        <v>Meta jkunu miżżewġin,</v>
      </c>
    </row>
    <row r="1597" ht="15.75" customHeight="1">
      <c r="A1597" s="2" t="s">
        <v>1597</v>
      </c>
      <c r="B1597" s="2" t="str">
        <f>IFERROR(__xludf.DUMMYFUNCTION("GOOGLETRANSLATE(A1597, ""en"", ""mt"")"),"jifformalizza front unifikat fil-kummerċ u n-negozjati ma 'diversi Indjani")</f>
        <v>jifformalizza front unifikat fil-kummerċ u n-negozjati ma 'diversi Indjani</v>
      </c>
    </row>
    <row r="1598" ht="15.75" customHeight="1">
      <c r="A1598" s="2" t="s">
        <v>1598</v>
      </c>
      <c r="B1598" s="2" t="str">
        <f>IFERROR(__xludf.DUMMYFUNCTION("GOOGLETRANSLATE(A1598, ""en"", ""mt"")"),"Mappa barra l-artijiet antenati tagħhom")</f>
        <v>Mappa barra l-artijiet antenati tagħhom</v>
      </c>
    </row>
    <row r="1599" ht="15.75" customHeight="1">
      <c r="A1599" s="2" t="s">
        <v>1599</v>
      </c>
      <c r="B1599" s="2" t="str">
        <f>IFERROR(__xludf.DUMMYFUNCTION("GOOGLETRANSLATE(A1599, ""en"", ""mt"")"),"X'tessa 'Temüjin x'toffri lin-nies li ħakmu sabiex jaqilgħu l-lealtà tagħhom?")</f>
        <v>X'tessa 'Temüjin x'toffri lin-nies li ħakmu sabiex jaqilgħu l-lealtà tagħhom?</v>
      </c>
    </row>
    <row r="1600" ht="15.75" customHeight="1">
      <c r="A1600" s="2" t="s">
        <v>1600</v>
      </c>
      <c r="B1600" s="2" t="str">
        <f>IFERROR(__xludf.DUMMYFUNCTION("GOOGLETRANSLATE(A1600, ""en"", ""mt"")"),"ħsad fqir")</f>
        <v>ħsad fqir</v>
      </c>
    </row>
    <row r="1601" ht="15.75" customHeight="1">
      <c r="A1601" s="2" t="s">
        <v>1601</v>
      </c>
      <c r="B1601" s="2" t="str">
        <f>IFERROR(__xludf.DUMMYFUNCTION("GOOGLETRANSLATE(A1601, ""en"", ""mt"")"),"Baħar iswed")</f>
        <v>Baħar iswed</v>
      </c>
    </row>
    <row r="1602" ht="15.75" customHeight="1">
      <c r="A1602" s="2" t="s">
        <v>1602</v>
      </c>
      <c r="B1602" s="2" t="str">
        <f>IFERROR(__xludf.DUMMYFUNCTION("GOOGLETRANSLATE(A1602, ""en"", ""mt"")"),"Battalji f'Lagos u Quiberon Bay")</f>
        <v>Battalji f'Lagos u Quiberon Bay</v>
      </c>
    </row>
    <row r="1603" ht="15.75" customHeight="1">
      <c r="A1603" s="2" t="s">
        <v>1603</v>
      </c>
      <c r="B1603" s="2" t="str">
        <f>IFERROR(__xludf.DUMMYFUNCTION("GOOGLETRANSLATE(A1603, ""en"", ""mt"")"),"L-epidemija fi Newcastle kienet l-iktar liema f'xi belt Ingliża dak iż-żmien?")</f>
        <v>L-epidemija fi Newcastle kienet l-iktar liema f'xi belt Ingliża dak iż-żmien?</v>
      </c>
    </row>
    <row r="1604" ht="15.75" customHeight="1">
      <c r="A1604" s="2" t="s">
        <v>1604</v>
      </c>
      <c r="B1604" s="2" t="str">
        <f>IFERROR(__xludf.DUMMYFUNCTION("GOOGLETRANSLATE(A1604, ""en"", ""mt"")"),"Fittex fil-kollezzjonijiet")</f>
        <v>Fittex fil-kollezzjonijiet</v>
      </c>
    </row>
    <row r="1605" ht="15.75" customHeight="1">
      <c r="A1605" s="2" t="s">
        <v>1605</v>
      </c>
      <c r="B1605" s="2" t="str">
        <f>IFERROR(__xludf.DUMMYFUNCTION("GOOGLETRANSLATE(A1605, ""en"", ""mt"")"),"Huma jaraw il-valur ekonomiku tal-kannamieli tal-gżejjer tal-Karibew biex ikun ikbar u aktar faċli biex jiddefendi mill-pil mill-kontinent")</f>
        <v>Huma jaraw il-valur ekonomiku tal-kannamieli tal-gżejjer tal-Karibew biex ikun ikbar u aktar faċli biex jiddefendi mill-pil mill-kontinent</v>
      </c>
    </row>
    <row r="1606" ht="15.75" customHeight="1">
      <c r="A1606" s="2" t="s">
        <v>1606</v>
      </c>
      <c r="B1606" s="2" t="str">
        <f>IFERROR(__xludf.DUMMYFUNCTION("GOOGLETRANSLATE(A1606, ""en"", ""mt"")"),"X'kienu suppost dawn l-indulġenzi li jagħtu lil min jagħti?")</f>
        <v>X'kienu suppost dawn l-indulġenzi li jagħtu lil min jagħti?</v>
      </c>
    </row>
    <row r="1607" ht="15.75" customHeight="1">
      <c r="A1607" s="2" t="s">
        <v>1607</v>
      </c>
      <c r="B1607" s="2" t="str">
        <f>IFERROR(__xludf.DUMMYFUNCTION("GOOGLETRANSLATE(A1607, ""en"", ""mt"")"),"Id-daħla għall-istudjo 5")</f>
        <v>Id-daħla għall-istudjo 5</v>
      </c>
    </row>
    <row r="1608" ht="15.75" customHeight="1">
      <c r="A1608" s="2" t="s">
        <v>1608</v>
      </c>
      <c r="B1608" s="2" t="str">
        <f>IFERROR(__xludf.DUMMYFUNCTION("GOOGLETRANSLATE(A1608, ""en"", ""mt"")"),"Vantaġġ politiku huwa attribut ta 'liema politiki tal-istat?")</f>
        <v>Vantaġġ politiku huwa attribut ta 'liema politiki tal-istat?</v>
      </c>
    </row>
    <row r="1609" ht="15.75" customHeight="1">
      <c r="A1609" s="2" t="s">
        <v>1609</v>
      </c>
      <c r="B1609" s="2" t="str">
        <f>IFERROR(__xludf.DUMMYFUNCTION("GOOGLETRANSLATE(A1609, ""en"", ""mt"")"),"Il-proporzjon ta 'dawk li għadhom ma ggradwawx nisa żdied b'mod kostanti, u jirrifletti xejra matul l-edukazzjoni għolja fl-Istati Uniti")</f>
        <v>Il-proporzjon ta 'dawk li għadhom ma ggradwawx nisa żdied b'mod kostanti, u jirrifletti xejra matul l-edukazzjoni għolja fl-Istati Uniti</v>
      </c>
    </row>
    <row r="1610" ht="15.75" customHeight="1">
      <c r="A1610" s="2" t="s">
        <v>1610</v>
      </c>
      <c r="B1610" s="2" t="str">
        <f>IFERROR(__xludf.DUMMYFUNCTION("GOOGLETRANSLATE(A1610, ""en"", ""mt"")"),"trade unions, banek, u universitajiet privati")</f>
        <v>trade unions, banek, u universitajiet privati</v>
      </c>
    </row>
    <row r="1611" ht="15.75" customHeight="1">
      <c r="A1611" s="2" t="s">
        <v>1611</v>
      </c>
      <c r="B1611" s="2" t="str">
        <f>IFERROR(__xludf.DUMMYFUNCTION("GOOGLETRANSLATE(A1611, ""en"", ""mt"")"),"X'wassal għal ħolqien ta 'awtostradi fil-foresta tropikali tal-Amażonja?")</f>
        <v>X'wassal għal ħolqien ta 'awtostradi fil-foresta tropikali tal-Amażonja?</v>
      </c>
    </row>
    <row r="1612" ht="15.75" customHeight="1">
      <c r="A1612" s="2" t="s">
        <v>1612</v>
      </c>
      <c r="B1612" s="2" t="str">
        <f>IFERROR(__xludf.DUMMYFUNCTION("GOOGLETRANSLATE(A1612, ""en"", ""mt"")"),"l-akbar")</f>
        <v>l-akbar</v>
      </c>
    </row>
    <row r="1613" ht="15.75" customHeight="1">
      <c r="A1613" s="2" t="s">
        <v>1613</v>
      </c>
      <c r="B1613" s="2" t="str">
        <f>IFERROR(__xludf.DUMMYFUNCTION("GOOGLETRANSLATE(A1613, ""en"", ""mt"")"),"Min hu msejjaħ minn Alla, affermat mill-knisja u ordnat minn isqof?")</f>
        <v>Min hu msejjaħ minn Alla, affermat mill-knisja u ordnat minn isqof?</v>
      </c>
    </row>
    <row r="1614" ht="15.75" customHeight="1">
      <c r="A1614" s="2" t="s">
        <v>1614</v>
      </c>
      <c r="B1614" s="2" t="str">
        <f>IFERROR(__xludf.DUMMYFUNCTION("GOOGLETRANSLATE(A1614, ""en"", ""mt"")"),"F'liema rivista Tesla tkellmet dwar li tirrifletti l-elettriku barra mill-bwieq ta 'sottomarini?")</f>
        <v>F'liema rivista Tesla tkellmet dwar li tirrifletti l-elettriku barra mill-bwieq ta 'sottomarini?</v>
      </c>
    </row>
    <row r="1615" ht="15.75" customHeight="1">
      <c r="A1615" s="2" t="s">
        <v>1615</v>
      </c>
      <c r="B1615" s="2" t="str">
        <f>IFERROR(__xludf.DUMMYFUNCTION("GOOGLETRANSLATE(A1615, ""en"", ""mt"")"),"Marda ġenetika")</f>
        <v>Marda ġenetika</v>
      </c>
    </row>
    <row r="1616" ht="15.75" customHeight="1">
      <c r="A1616" s="2" t="s">
        <v>1616</v>
      </c>
      <c r="B1616" s="2" t="str">
        <f>IFERROR(__xludf.DUMMYFUNCTION("GOOGLETRANSLATE(A1616, ""en"", ""mt"")"),"X'inhi l-għażla konkreta tipikament assunta mill-iktar teoremi teoretiċi tal-kumplessità?")</f>
        <v>X'inhi l-għażla konkreta tipikament assunta mill-iktar teoremi teoretiċi tal-kumplessità?</v>
      </c>
    </row>
    <row r="1617" ht="15.75" customHeight="1">
      <c r="A1617" s="2" t="s">
        <v>1617</v>
      </c>
      <c r="B1617" s="2" t="str">
        <f>IFERROR(__xludf.DUMMYFUNCTION("GOOGLETRANSLATE(A1617, ""en"", ""mt"")"),"F'Marzu 1896")</f>
        <v>F'Marzu 1896</v>
      </c>
    </row>
    <row r="1618" ht="15.75" customHeight="1">
      <c r="A1618" s="2" t="s">
        <v>1618</v>
      </c>
      <c r="B1618" s="2" t="str">
        <f>IFERROR(__xludf.DUMMYFUNCTION("GOOGLETRANSLATE(A1618, ""en"", ""mt"")"),"Iddgħajjef il-liġi billi tħeġġeġ diżubbidjenza ġenerali")</f>
        <v>Iddgħajjef il-liġi billi tħeġġeġ diżubbidjenza ġenerali</v>
      </c>
    </row>
    <row r="1619" ht="15.75" customHeight="1">
      <c r="A1619" s="2" t="s">
        <v>1619</v>
      </c>
      <c r="B1619" s="2" t="str">
        <f>IFERROR(__xludf.DUMMYFUNCTION("GOOGLETRANSLATE(A1619, ""en"", ""mt"")"),"NP-Complete Knapsack")</f>
        <v>NP-Complete Knapsack</v>
      </c>
    </row>
    <row r="1620" ht="15.75" customHeight="1">
      <c r="A1620" s="2" t="s">
        <v>1620</v>
      </c>
      <c r="B1620" s="2" t="str">
        <f>IFERROR(__xludf.DUMMYFUNCTION("GOOGLETRANSLATE(A1620, ""en"", ""mt"")"),"Bħala somma konnessa ta 'għoqiedi ewlenin")</f>
        <v>Bħala somma konnessa ta 'għoqiedi ewlenin</v>
      </c>
    </row>
    <row r="1621" ht="15.75" customHeight="1">
      <c r="A1621" s="2" t="s">
        <v>1621</v>
      </c>
      <c r="B1621" s="2" t="str">
        <f>IFERROR(__xludf.DUMMYFUNCTION("GOOGLETRANSLATE(A1621, ""en"", ""mt"")"),"bla suċċess")</f>
        <v>bla suċċess</v>
      </c>
    </row>
    <row r="1622" ht="15.75" customHeight="1">
      <c r="A1622" s="2" t="s">
        <v>1622</v>
      </c>
      <c r="B1622" s="2" t="str">
        <f>IFERROR(__xludf.DUMMYFUNCTION("GOOGLETRANSLATE(A1622, ""en"", ""mt"")"),"Fejn huma n-nixxigħat li jinqabdu r-Renu?")</f>
        <v>Fejn huma n-nixxigħat li jinqabdu r-Renu?</v>
      </c>
    </row>
    <row r="1623" ht="15.75" customHeight="1">
      <c r="A1623" s="2" t="s">
        <v>1623</v>
      </c>
      <c r="B1623" s="2" t="str">
        <f>IFERROR(__xludf.DUMMYFUNCTION("GOOGLETRANSLATE(A1623, ""en"", ""mt"")"),"Fluss tal-ilma")</f>
        <v>Fluss tal-ilma</v>
      </c>
    </row>
    <row r="1624" ht="15.75" customHeight="1">
      <c r="A1624" s="2" t="s">
        <v>1624</v>
      </c>
      <c r="B1624" s="2" t="str">
        <f>IFERROR(__xludf.DUMMYFUNCTION("GOOGLETRANSLATE(A1624, ""en"", ""mt"")"),"sekondarja jew post-sekondarja")</f>
        <v>sekondarja jew post-sekondarja</v>
      </c>
    </row>
    <row r="1625" ht="15.75" customHeight="1">
      <c r="A1625" s="2" t="s">
        <v>1625</v>
      </c>
      <c r="B1625" s="2" t="str">
        <f>IFERROR(__xludf.DUMMYFUNCTION("GOOGLETRANSLATE(A1625, ""en"", ""mt"")"),"biex tuża l-proċeduri bħala forum")</f>
        <v>biex tuża l-proċeduri bħala forum</v>
      </c>
    </row>
    <row r="1626" ht="15.75" customHeight="1">
      <c r="A1626" s="2" t="s">
        <v>1626</v>
      </c>
      <c r="B1626" s="2" t="str">
        <f>IFERROR(__xludf.DUMMYFUNCTION("GOOGLETRANSLATE(A1626, ""en"", ""mt"")"),"X'inhi parti waħda mis-sistema immuni innata li ma tattakkax il-mikrobi direttament?")</f>
        <v>X'inhi parti waħda mis-sistema immuni innata li ma tattakkax il-mikrobi direttament?</v>
      </c>
    </row>
    <row r="1627" ht="15.75" customHeight="1">
      <c r="A1627" s="2" t="s">
        <v>1627</v>
      </c>
      <c r="B1627" s="2" t="str">
        <f>IFERROR(__xludf.DUMMYFUNCTION("GOOGLETRANSLATE(A1627, ""en"", ""mt"")"),"L-iskola kif kienet kapaċi ġġib abbord l-aqwa studenti b'talent?")</f>
        <v>L-iskola kif kienet kapaċi ġġib abbord l-aqwa studenti b'talent?</v>
      </c>
    </row>
    <row r="1628" ht="15.75" customHeight="1">
      <c r="A1628" s="2" t="s">
        <v>1628</v>
      </c>
      <c r="B1628" s="2" t="str">
        <f>IFERROR(__xludf.DUMMYFUNCTION("GOOGLETRANSLATE(A1628, ""en"", ""mt"")"),"1820")</f>
        <v>1820</v>
      </c>
    </row>
    <row r="1629" ht="15.75" customHeight="1">
      <c r="A1629" s="2" t="s">
        <v>1629</v>
      </c>
      <c r="B1629" s="2" t="str">
        <f>IFERROR(__xludf.DUMMYFUNCTION("GOOGLETRANSLATE(A1629, ""en"", ""mt"")"),"Fl-Istati Uniti, il-logħba ġiet televiżiva minn CBS, bħala parti minn ċiklu bejn it-tliet imsieħba tat-televiżjoni tax-xandir ewlenin tal-NFL. It-tim tax-xandir taċ-ċomb tan-netwerk ta 'Jim Nantz u Phil Simms sejħu l-konkors, ma' Tracy Wolfson u Evan Wash"&amp;"burn fuq il-ġenb. CBS introduċiet karatteristiċi ġodda matul it-telecast, inklużi kameras tal-pilastru u mikrofoni flimkien ma 'EyeVision 360 - firxa ta' 36 kamera tul il-gverta ta 'fuq li jistgħu jintużaw biex jipprovdu veduta ta' 360 grad ta 'logħob u e"&amp;"ffetti ta' ""ħin tal-balal"". (Verżjoni preċedenti ta 'EyeVision intużat l-aħħar fis-Super Bowl XXXV; għal Super Bowl 50, il-kameras ġew aġġornati għar-riżoluzzjoni 5K.)")</f>
        <v>Fl-Istati Uniti, il-logħba ġiet televiżiva minn CBS, bħala parti minn ċiklu bejn it-tliet imsieħba tat-televiżjoni tax-xandir ewlenin tal-NFL. It-tim tax-xandir taċ-ċomb tan-netwerk ta 'Jim Nantz u Phil Simms sejħu l-konkors, ma' Tracy Wolfson u Evan Washburn fuq il-ġenb. CBS introduċiet karatteristiċi ġodda matul it-telecast, inklużi kameras tal-pilastru u mikrofoni flimkien ma 'EyeVision 360 - firxa ta' 36 kamera tul il-gverta ta 'fuq li jistgħu jintużaw biex jipprovdu veduta ta' 360 grad ta 'logħob u effetti ta' "ħin tal-balal". (Verżjoni preċedenti ta 'EyeVision intużat l-aħħar fis-Super Bowl XXXV; għal Super Bowl 50, il-kameras ġew aġġornati għar-riżoluzzjoni 5K.)</v>
      </c>
    </row>
    <row r="1630" ht="15.75" customHeight="1">
      <c r="A1630" s="2" t="s">
        <v>1630</v>
      </c>
      <c r="B1630" s="2" t="str">
        <f>IFERROR(__xludf.DUMMYFUNCTION("GOOGLETRANSLATE(A1630, ""en"", ""mt"")"),"Dak li jagħmel il-metodu tad-diviżjoni tal-prova aktar effiċjenti?")</f>
        <v>Dak li jagħmel il-metodu tad-diviżjoni tal-prova aktar effiċjenti?</v>
      </c>
    </row>
    <row r="1631" ht="15.75" customHeight="1">
      <c r="A1631" s="2" t="s">
        <v>1631</v>
      </c>
      <c r="B1631" s="2" t="str">
        <f>IFERROR(__xludf.DUMMYFUNCTION("GOOGLETRANSLATE(A1631, ""en"", ""mt"")"),"Xi spiżeriji tal-internet ibigħu mediċini bir-riċetta mingħajr ma jeħtieġu riċetta")</f>
        <v>Xi spiżeriji tal-internet ibigħu mediċini bir-riċetta mingħajr ma jeħtieġu riċetta</v>
      </c>
    </row>
    <row r="1632" ht="15.75" customHeight="1">
      <c r="A1632" s="2" t="s">
        <v>1632</v>
      </c>
      <c r="B1632" s="2" t="str">
        <f>IFERROR(__xludf.DUMMYFUNCTION("GOOGLETRANSLATE(A1632, ""en"", ""mt"")"),"Fuq xiex se tiffoka fuq V&amp;A Dundee?")</f>
        <v>Fuq xiex se tiffoka fuq V&amp;A Dundee?</v>
      </c>
    </row>
    <row r="1633" ht="15.75" customHeight="1">
      <c r="A1633" s="2" t="s">
        <v>1633</v>
      </c>
      <c r="B1633" s="2" t="str">
        <f>IFERROR(__xludf.DUMMYFUNCTION("GOOGLETRANSLATE(A1633, ""en"", ""mt"")")," L-istabbiliment tal-Seamans ta 'kumitat ad-hoc immexxi mill-assistent tekniku speċjali tiegħu Nicholas E. Golovin f'Lulju 1961, biex jirrakkomanda vettura ta' tnedija li għandha tintuża fil-programm Apollo, kienet tirrappreżenta punt ta 'bidla fid-deċiżj"&amp;"oni tal-mod tal-missjoni tan-NASA. Dan il-kumitat irrikonoxxa li l-mod magħżul kien parti importanti mill-għażla tal-vettura tat-tnedija, u rrakkomandat favur modalità ibrida EOR-Lor. Il-konsiderazzjoni tagħha ta 'LOR - kif ukoll ix-xogħol bla waqfien ta'"&amp;" Houbolt - kellu rwol importanti fil-pubbliċità tal-fattibbiltà tal-approċċ. Fl-aħħar tal-1961 u l-bidu tal-1962, il-membri taċ-Ċentru tal-Vetturi spazjali bl-ekwipaġġ bdew jidħlu biex jappoġġjaw LOR, inkluż id-Deputat Direttur li għadu kif ġie mikri fl-U"&amp;"ffiċċju tat-Titjira Spazjali tal-Manned, Joseph Shea, li sar champion ta 'Lor. L-inġiniera fiċ-Ċentru tat-Titjira Spazjali Marshall (MSFC) ħadu aktar żmien biex isiru konvinti mill-merti tiegħu, iżda l-konverżjoni tagħhom ġiet imħabbra minn Wernher von Br"&amp;"aun waqt informazzjoni f'Ġunju 1962.")</f>
        <v> L-istabbiliment tal-Seamans ta 'kumitat ad-hoc immexxi mill-assistent tekniku speċjali tiegħu Nicholas E. Golovin f'Lulju 1961, biex jirrakkomanda vettura ta' tnedija li għandha tintuża fil-programm Apollo, kienet tirrappreżenta punt ta 'bidla fid-deċiżjoni tal-mod tal-missjoni tan-NASA. Dan il-kumitat irrikonoxxa li l-mod magħżul kien parti importanti mill-għażla tal-vettura tat-tnedija, u rrakkomandat favur modalità ibrida EOR-Lor. Il-konsiderazzjoni tagħha ta 'LOR - kif ukoll ix-xogħol bla waqfien ta' Houbolt - kellu rwol importanti fil-pubbliċità tal-fattibbiltà tal-approċċ. Fl-aħħar tal-1961 u l-bidu tal-1962, il-membri taċ-Ċentru tal-Vetturi spazjali bl-ekwipaġġ bdew jidħlu biex jappoġġjaw LOR, inkluż id-Deputat Direttur li għadu kif ġie mikri fl-Uffiċċju tat-Titjira Spazjali tal-Manned, Joseph Shea, li sar champion ta 'Lor. L-inġiniera fiċ-Ċentru tat-Titjira Spazjali Marshall (MSFC) ħadu aktar żmien biex isiru konvinti mill-merti tiegħu, iżda l-konverżjoni tagħhom ġiet imħabbra minn Wernher von Braun waqt informazzjoni f'Ġunju 1962.</v>
      </c>
    </row>
    <row r="1634" ht="15.75" customHeight="1">
      <c r="A1634" s="2" t="s">
        <v>1634</v>
      </c>
      <c r="B1634" s="2" t="str">
        <f>IFERROR(__xludf.DUMMYFUNCTION("GOOGLETRANSLATE(A1634, ""en"", ""mt"")"),"Semmi mod wieħed kif l-organizzazzjoni Plowshares tagħlaq temporanjament GCSB Waihopai?")</f>
        <v>Semmi mod wieħed kif l-organizzazzjoni Plowshares tagħlaq temporanjament GCSB Waihopai?</v>
      </c>
    </row>
    <row r="1635" ht="15.75" customHeight="1">
      <c r="A1635" s="2" t="s">
        <v>1635</v>
      </c>
      <c r="B1635" s="2" t="str">
        <f>IFERROR(__xludf.DUMMYFUNCTION("GOOGLETRANSLATE(A1635, ""en"", ""mt"")"),"Riċerkaturi Brittaniċi Richard G. Wilkinson u Kate Pickett sabu rati ogħla ta 'problemi tas-saħħa u soċjali (obeżità, mard mentali, omiċidi, twelid adoloxxenti, inkarċerazzjoni, kunflitt tat-tfal, użu tad-droga), u rati aktar baxxi ta' oġġetti soċjali (għ"&amp;"omor tal-ħajja (l-istennija tal-ħajja mill-pajjiż, Prestazzjoni edukattiva, fiduċja fost barranin, status tan-nisa, mobilità soċjali, anke numru ta 'privattivi maħruġa) f'pajjiżi u stati b'inugwaljanza ogħla. Bl-użu ta 'statistika minn 23 pajjiż żviluppat"&amp;" u l-50 stat ta' l-Istati Uniti, sabu problemi soċjali / ta 'saħħa aktar baxxi f'pajjiżi bħall-Ġappun u l-Finlandja u stati bħall-Utah u New Hampshire b'livelli għoljin ta' ugwaljanza, milli f'pajjiżi (l-Istati Uniti u r-Renju Unit) u stati (Mississippi u"&amp;" New York) b'differenzi kbar fid-dħul tad-djar.")</f>
        <v>Riċerkaturi Brittaniċi Richard G. Wilkinson u Kate Pickett sabu rati ogħla ta 'problemi tas-saħħa u soċjali (obeżità, mard mentali, omiċidi, twelid adoloxxenti, inkarċerazzjoni, kunflitt tat-tfal, użu tad-droga), u rati aktar baxxi ta' oġġetti soċjali (għomor tal-ħajja (l-istennija tal-ħajja mill-pajjiż, Prestazzjoni edukattiva, fiduċja fost barranin, status tan-nisa, mobilità soċjali, anke numru ta 'privattivi maħruġa) f'pajjiżi u stati b'inugwaljanza ogħla. Bl-użu ta 'statistika minn 23 pajjiż żviluppat u l-50 stat ta' l-Istati Uniti, sabu problemi soċjali / ta 'saħħa aktar baxxi f'pajjiżi bħall-Ġappun u l-Finlandja u stati bħall-Utah u New Hampshire b'livelli għoljin ta' ugwaljanza, milli f'pajjiżi (l-Istati Uniti u r-Renju Unit) u stati (Mississippi u New York) b'differenzi kbar fid-dħul tad-djar.</v>
      </c>
    </row>
    <row r="1636" ht="15.75" customHeight="1">
      <c r="A1636" s="2" t="s">
        <v>1636</v>
      </c>
      <c r="B1636" s="2" t="str">
        <f>IFERROR(__xludf.DUMMYFUNCTION("GOOGLETRANSLATE(A1636, ""en"", ""mt"")"),"Kredu tal-Appostli")</f>
        <v>Kredu tal-Appostli</v>
      </c>
    </row>
    <row r="1637" ht="15.75" customHeight="1">
      <c r="A1637" s="2" t="s">
        <v>1637</v>
      </c>
      <c r="B1637" s="2" t="str">
        <f>IFERROR(__xludf.DUMMYFUNCTION("GOOGLETRANSLATE(A1637, ""en"", ""mt"")"),"$ 500,000")</f>
        <v>$ 500,000</v>
      </c>
    </row>
    <row r="1638" ht="15.75" customHeight="1">
      <c r="A1638" s="2" t="s">
        <v>1638</v>
      </c>
      <c r="B1638" s="2" t="str">
        <f>IFERROR(__xludf.DUMMYFUNCTION("GOOGLETRANSLATE(A1638, ""en"", ""mt"")"),"Safaris, Klima u Ġeografija Diversi, u Riżervi Espansivi tal-Fawna Selvaġġa")</f>
        <v>Safaris, Klima u Ġeografija Diversi, u Riżervi Espansivi tal-Fawna Selvaġġa</v>
      </c>
    </row>
    <row r="1639" ht="15.75" customHeight="1">
      <c r="A1639" s="2" t="s">
        <v>1639</v>
      </c>
      <c r="B1639" s="2" t="str">
        <f>IFERROR(__xludf.DUMMYFUNCTION("GOOGLETRANSLATE(A1639, ""en"", ""mt"")"),"X'inhi l-qalba storika ta 'Newcastle?")</f>
        <v>X'inhi l-qalba storika ta 'Newcastle?</v>
      </c>
    </row>
    <row r="1640" ht="15.75" customHeight="1">
      <c r="A1640" s="2" t="s">
        <v>1640</v>
      </c>
      <c r="B1640" s="2" t="str">
        <f>IFERROR(__xludf.DUMMYFUNCTION("GOOGLETRANSLATE(A1640, ""en"", ""mt"")"),"Kmamar tal-ossiġnu speċjali")</f>
        <v>Kmamar tal-ossiġnu speċjali</v>
      </c>
    </row>
    <row r="1641" ht="15.75" customHeight="1">
      <c r="A1641" s="2" t="s">
        <v>1641</v>
      </c>
      <c r="B1641" s="2" t="str">
        <f>IFERROR(__xludf.DUMMYFUNCTION("GOOGLETRANSLATE(A1641, ""en"", ""mt"")"),"Il-parti ta ’barra tas-CM kienet koperta f’liema tip ta’ materjal?")</f>
        <v>Il-parti ta ’barra tas-CM kienet koperta f’liema tip ta’ materjal?</v>
      </c>
    </row>
    <row r="1642" ht="15.75" customHeight="1">
      <c r="A1642" s="2" t="s">
        <v>1642</v>
      </c>
      <c r="B1642" s="2" t="str">
        <f>IFERROR(__xludf.DUMMYFUNCTION("GOOGLETRANSLATE(A1642, ""en"", ""mt"")"),"arja kkundizzjonata")</f>
        <v>arja kkundizzjonata</v>
      </c>
    </row>
    <row r="1643" ht="15.75" customHeight="1">
      <c r="A1643" s="2" t="s">
        <v>1643</v>
      </c>
      <c r="B1643" s="2" t="str">
        <f>IFERROR(__xludf.DUMMYFUNCTION("GOOGLETRANSLATE(A1643, ""en"", ""mt"")"),"Sal-1526, Luther sab ruħu dejjem aktar okkupat fl-organizzazzjoni ta ’knisja ġdida. L-ideal bibliku tiegħu ta 'kongregazzjonijiet li jagħżlu l-ministri tagħhom stess kien irriżulta li ma jaħdimx. Skond Bainton: ""Id-dilemma ta 'Luther kienet li ried kemm "&amp;"knisja konfessjonali bbażata fuq il-fidi personali u l-esperjenza u l-knisja territorjali inkluża kollha f'lokalità partikolari. Jekk kien imġiegħel jagħżel, kien jieħu l-pożizzjoni tiegħu mal-mases, u dan kienet id-direzzjoni li fiha mar. "" Mill-1525 sa"&amp;"l-1529, huwa stabbilixxa korp tal-knisja superviżorja, stabbilixxa forma ġdida ta 'servizz ta' qima, u kiteb sommarju ċar tal-fidi l-ġdida fil-forma ta 'żewġ katekiżmi. Il-ħsieb ta 'Luther huwa rivoluzzjonarju sal-punt li hija teoloġija tas-salib, in-nega"&amp;"zzjoni ta' kull affermazzjoni: sakemm is-salib ikun fiċ-ċentru, it-tendenza tal-bini tas-sistema tar-raġuni tinżamm taħt kontroll, u l-bini tas-sistema ma jiddeġenerax Sistema.")</f>
        <v>Sal-1526, Luther sab ruħu dejjem aktar okkupat fl-organizzazzjoni ta ’knisja ġdida. L-ideal bibliku tiegħu ta 'kongregazzjonijiet li jagħżlu l-ministri tagħhom stess kien irriżulta li ma jaħdimx. Skond Bainton: "Id-dilemma ta 'Luther kienet li ried kemm knisja konfessjonali bbażata fuq il-fidi personali u l-esperjenza u l-knisja territorjali inkluża kollha f'lokalità partikolari. Jekk kien imġiegħel jagħżel, kien jieħu l-pożizzjoni tiegħu mal-mases, u dan kienet id-direzzjoni li fiha mar. " Mill-1525 sal-1529, huwa stabbilixxa korp tal-knisja superviżorja, stabbilixxa forma ġdida ta 'servizz ta' qima, u kiteb sommarju ċar tal-fidi l-ġdida fil-forma ta 'żewġ katekiżmi. Il-ħsieb ta 'Luther huwa rivoluzzjonarju sal-punt li hija teoloġija tas-salib, in-negazzjoni ta' kull affermazzjoni: sakemm is-salib ikun fiċ-ċentru, it-tendenza tal-bini tas-sistema tar-raġuni tinżamm taħt kontroll, u l-bini tas-sistema ma jiddeġenerax Sistema.</v>
      </c>
    </row>
    <row r="1644" ht="15.75" customHeight="1">
      <c r="A1644" s="2" t="s">
        <v>1644</v>
      </c>
      <c r="B1644" s="2" t="str">
        <f>IFERROR(__xludf.DUMMYFUNCTION("GOOGLETRANSLATE(A1644, ""en"", ""mt"")"),"Għarab")</f>
        <v>Għarab</v>
      </c>
    </row>
    <row r="1645" ht="15.75" customHeight="1">
      <c r="A1645" s="2" t="s">
        <v>1645</v>
      </c>
      <c r="B1645" s="2" t="str">
        <f>IFERROR(__xludf.DUMMYFUNCTION("GOOGLETRANSLATE(A1645, ""en"", ""mt"")"),"programm leġiżlattiv għas-sena li ġejja")</f>
        <v>programm leġiżlattiv għas-sena li ġejja</v>
      </c>
    </row>
    <row r="1646" ht="15.75" customHeight="1">
      <c r="A1646" s="2" t="s">
        <v>1646</v>
      </c>
      <c r="B1646" s="2" t="str">
        <f>IFERROR(__xludf.DUMMYFUNCTION("GOOGLETRANSLATE(A1646, ""en"", ""mt"")"),"Kemm refuġjati emigraw lejn ir-Repubblika Olandiża?")</f>
        <v>Kemm refuġjati emigraw lejn ir-Repubblika Olandiża?</v>
      </c>
    </row>
    <row r="1647" ht="15.75" customHeight="1">
      <c r="A1647" s="2" t="s">
        <v>1647</v>
      </c>
      <c r="B1647" s="2" t="str">
        <f>IFERROR(__xludf.DUMMYFUNCTION("GOOGLETRANSLATE(A1647, ""en"", ""mt"")"),"Oħroġhom lura għall-orbita biex joħorġu bil-modulu tal-kmand")</f>
        <v>Oħroġhom lura għall-orbita biex joħorġu bil-modulu tal-kmand</v>
      </c>
    </row>
    <row r="1648" ht="15.75" customHeight="1">
      <c r="A1648" s="2" t="s">
        <v>1648</v>
      </c>
      <c r="B1648" s="2" t="str">
        <f>IFERROR(__xludf.DUMMYFUNCTION("GOOGLETRANSLATE(A1648, ""en"", ""mt"")"),"Newtrofili u makrofaġi")</f>
        <v>Newtrofili u makrofaġi</v>
      </c>
    </row>
    <row r="1649" ht="15.75" customHeight="1">
      <c r="A1649" s="2" t="s">
        <v>1649</v>
      </c>
      <c r="B1649" s="2" t="str">
        <f>IFERROR(__xludf.DUMMYFUNCTION("GOOGLETRANSLATE(A1649, ""en"", ""mt"")"),"Id-Direttiva dwar il-Prattiki Kummerċjali Inġusti")</f>
        <v>Id-Direttiva dwar il-Prattiki Kummerċjali Inġusti</v>
      </c>
    </row>
    <row r="1650" ht="15.75" customHeight="1">
      <c r="A1650" s="2" t="s">
        <v>1650</v>
      </c>
      <c r="B1650" s="2" t="str">
        <f>IFERROR(__xludf.DUMMYFUNCTION("GOOGLETRANSLATE(A1650, ""en"", ""mt"")"),"Meta John Wesley ipprovda verżjoni riveduta tal-Ktieb tat-Talb Komuni?")</f>
        <v>Meta John Wesley ipprovda verżjoni riveduta tal-Ktieb tat-Talb Komuni?</v>
      </c>
    </row>
    <row r="1651" ht="15.75" customHeight="1">
      <c r="A1651" s="2" t="s">
        <v>1651</v>
      </c>
      <c r="B1651" s="2" t="str">
        <f>IFERROR(__xludf.DUMMYFUNCTION("GOOGLETRANSLATE(A1651, ""en"", ""mt"")"),"X'inhu inqas jekk kien hemm inqas nies?")</f>
        <v>X'inhu inqas jekk kien hemm inqas nies?</v>
      </c>
    </row>
    <row r="1652" ht="15.75" customHeight="1">
      <c r="A1652" s="2" t="s">
        <v>1652</v>
      </c>
      <c r="B1652" s="2" t="str">
        <f>IFERROR(__xludf.DUMMYFUNCTION("GOOGLETRANSLATE(A1652, ""en"", ""mt"")"),"makrofaġi, newtrofili, u ċelloli dendritiċi")</f>
        <v>makrofaġi, newtrofili, u ċelloli dendritiċi</v>
      </c>
    </row>
    <row r="1653" ht="15.75" customHeight="1">
      <c r="A1653" s="2" t="s">
        <v>1653</v>
      </c>
      <c r="B1653" s="2" t="str">
        <f>IFERROR(__xludf.DUMMYFUNCTION("GOOGLETRANSLATE(A1653, ""en"", ""mt"")"),"lobi")</f>
        <v>lobi</v>
      </c>
    </row>
    <row r="1654" ht="15.75" customHeight="1">
      <c r="A1654" s="2" t="s">
        <v>1654</v>
      </c>
      <c r="B1654" s="2" t="str">
        <f>IFERROR(__xludf.DUMMYFUNCTION("GOOGLETRANSLATE(A1654, ""en"", ""mt"")"),"Kważi żewġ terzi")</f>
        <v>Kważi żewġ terzi</v>
      </c>
    </row>
    <row r="1655" ht="15.75" customHeight="1">
      <c r="A1655" s="2" t="s">
        <v>1655</v>
      </c>
      <c r="B1655" s="2" t="str">
        <f>IFERROR(__xludf.DUMMYFUNCTION("GOOGLETRANSLATE(A1655, ""en"", ""mt"")"),"X'inhi n-nazzjonalità ta 'William Rankine?")</f>
        <v>X'inhi n-nazzjonalità ta 'William Rankine?</v>
      </c>
    </row>
    <row r="1656" ht="15.75" customHeight="1">
      <c r="A1656" s="2" t="s">
        <v>1656</v>
      </c>
      <c r="B1656" s="2" t="str">
        <f>IFERROR(__xludf.DUMMYFUNCTION("GOOGLETRANSLATE(A1656, ""en"", ""mt"")"),"Minbarra li jiżdiedu, il-forzi jistgħu wkoll jiġu solvuti f'komponenti indipendenti f'angoli retti ma 'xulxin. Forza orizzontali li tipponta lejn il-grigal tista 'għalhekk tinqasam f'żewġ forzi, waħda li tipponta lejn it-tramuntana, u waħda li tipponta le"&amp;"jn il-lvant. Jingħaddu dawn il-forzi tal-komponenti bl-użu ta 'żieda fil-vettur jagħti l-forza oriġinali. Ir-riżoluzzjoni ta 'vettori tal-forza f'komponenti ta' sett ta 'vettori bażi ħafna drabi hija mod aktar nadif matematikament biex tiddeskrivi l-forzi"&amp;" milli tuża kobor u direzzjonijiet. Dan għaliex, għal komponenti ortogonali, il-komponenti tas-somma tal-vettur huma determinati b'mod uniku miż-żieda skalari tal-komponenti tal-vettori individwali. Komponenti ortogonali huma indipendenti minn xulxin minħ"&amp;"abba li l-forzi li jaġixxu f'disgħin grad ma 'xulxin m'għandhom l-ebda effett fuq il-kobor jew id-direzzjoni ta' l-oħra. L-għażla ta 'sett ta' vettori ta 'bażi ​​ortogonali ħafna drabi ssir billi jitqies liema sett ta' vettori bażi jagħmlu l-matematika l-"&amp;"iktar konvenjenti. L-għażla ta 'vettur bażi li hija fl-istess direzzjoni bħal waħda mill-forzi hija mixtieqa, peress li dik il-forza mbagħad ikollha komponent wieħed mhux żero. Vetturi tal-forza ortogonali jistgħu jkunu tridimensjonali bit-tielet komponen"&amp;"t li jkun fuq il-lemin tat-tnejn l-oħra.")</f>
        <v>Minbarra li jiżdiedu, il-forzi jistgħu wkoll jiġu solvuti f'komponenti indipendenti f'angoli retti ma 'xulxin. Forza orizzontali li tipponta lejn il-grigal tista 'għalhekk tinqasam f'żewġ forzi, waħda li tipponta lejn it-tramuntana, u waħda li tipponta lejn il-lvant. Jingħaddu dawn il-forzi tal-komponenti bl-użu ta 'żieda fil-vettur jagħti l-forza oriġinali. Ir-riżoluzzjoni ta 'vettori tal-forza f'komponenti ta' sett ta 'vettori bażi ħafna drabi hija mod aktar nadif matematikament biex tiddeskrivi l-forzi milli tuża kobor u direzzjonijiet. Dan għaliex, għal komponenti ortogonali, il-komponenti tas-somma tal-vettur huma determinati b'mod uniku miż-żieda skalari tal-komponenti tal-vettori individwali. Komponenti ortogonali huma indipendenti minn xulxin minħabba li l-forzi li jaġixxu f'disgħin grad ma 'xulxin m'għandhom l-ebda effett fuq il-kobor jew id-direzzjoni ta' l-oħra. L-għażla ta 'sett ta' vettori ta 'bażi ​​ortogonali ħafna drabi ssir billi jitqies liema sett ta' vettori bażi jagħmlu l-matematika l-iktar konvenjenti. L-għażla ta 'vettur bażi li hija fl-istess direzzjoni bħal waħda mill-forzi hija mixtieqa, peress li dik il-forza mbagħad ikollha komponent wieħed mhux żero. Vetturi tal-forza ortogonali jistgħu jkunu tridimensjonali bit-tielet komponent li jkun fuq il-lemin tat-tnejn l-oħra.</v>
      </c>
    </row>
    <row r="1657" ht="15.75" customHeight="1">
      <c r="A1657" s="2" t="s">
        <v>1657</v>
      </c>
      <c r="B1657" s="2" t="str">
        <f>IFERROR(__xludf.DUMMYFUNCTION("GOOGLETRANSLATE(A1657, ""en"", ""mt"")"),"Tesla investigat l-elettriku atmosferiku, billi osservat sinjali tas-sajjetti permezz tar-riċevituri tiegħu. Huwa ddikjara li osserva mewġ wieqaf matul dan iż-żmien. Id-distanzi l-kbar u n-natura ta ’dak li Tesla kienet tinduna mill-maltempati tas-sajjett"&amp;"i kkonfermaw it-twemmin tiegħu li d-dinja kellha frekwenza reżonanti.")</f>
        <v>Tesla investigat l-elettriku atmosferiku, billi osservat sinjali tas-sajjetti permezz tar-riċevituri tiegħu. Huwa ddikjara li osserva mewġ wieqaf matul dan iż-żmien. Id-distanzi l-kbar u n-natura ta ’dak li Tesla kienet tinduna mill-maltempati tas-sajjetti kkonfermaw it-twemmin tiegħu li d-dinja kellha frekwenza reżonanti.</v>
      </c>
    </row>
    <row r="1658" ht="15.75" customHeight="1">
      <c r="A1658" s="2" t="s">
        <v>1658</v>
      </c>
      <c r="B1658" s="2" t="str">
        <f>IFERROR(__xludf.DUMMYFUNCTION("GOOGLETRANSLATE(A1658, ""en"", ""mt"")"),"L-assorbiment ta 'o
2 Mill-arja huwa l-iskop essenzjali tar-respirazzjoni, u għalhekk is-supplimentazzjoni tal-ossiġnu tintuża fil-mediċina. It-trattament mhux biss iżid il-livelli ta 'ossiġnu fid-demm tal-pazjent, iżda għandu l-effett sekondarju li jonqo"&amp;"s ir-reżistenza għall-fluss tad-demm f'ħafna tipi ta' pulmuni morda, li jtaffi t-tagħbija tax-xogħol fuq il-qalb. It-terapija bl-ossiġenu tintuża biex tikkura enfisema, pnewmonja, xi disturbi fil-qalb (insuffiċjenza tal-qalb konġestiva), xi disturbi li ji"&amp;"kkawżaw pressjoni tal-arterja pulmonari miżjuda, u kwalunkwe marda li tfixkel il-kapaċità tal-ġisem li tieħu u tuża ossiġenu gassuż.")</f>
        <v>L-assorbiment ta 'o
2 Mill-arja huwa l-iskop essenzjali tar-respirazzjoni, u għalhekk is-supplimentazzjoni tal-ossiġnu tintuża fil-mediċina. It-trattament mhux biss iżid il-livelli ta 'ossiġnu fid-demm tal-pazjent, iżda għandu l-effett sekondarju li jonqos ir-reżistenza għall-fluss tad-demm f'ħafna tipi ta' pulmuni morda, li jtaffi t-tagħbija tax-xogħol fuq il-qalb. It-terapija bl-ossiġenu tintuża biex tikkura enfisema, pnewmonja, xi disturbi fil-qalb (insuffiċjenza tal-qalb konġestiva), xi disturbi li jikkawżaw pressjoni tal-arterja pulmonari miżjuda, u kwalunkwe marda li tfixkel il-kapaċità tal-ġisem li tieħu u tuża ossiġenu gassuż.</v>
      </c>
    </row>
    <row r="1659" ht="15.75" customHeight="1">
      <c r="A1659" s="2" t="s">
        <v>1659</v>
      </c>
      <c r="B1659" s="2" t="str">
        <f>IFERROR(__xludf.DUMMYFUNCTION("GOOGLETRANSLATE(A1659, ""en"", ""mt"")"),"Ingliż, Matematika u Xjenza Naturali")</f>
        <v>Ingliż, Matematika u Xjenza Naturali</v>
      </c>
    </row>
    <row r="1660" ht="15.75" customHeight="1">
      <c r="A1660" s="2" t="s">
        <v>1660</v>
      </c>
      <c r="B1660" s="2" t="str">
        <f>IFERROR(__xludf.DUMMYFUNCTION("GOOGLETRANSLATE(A1660, ""en"", ""mt"")"),"Punent mill-Alter Rhein")</f>
        <v>Punent mill-Alter Rhein</v>
      </c>
    </row>
    <row r="1661" ht="15.75" customHeight="1">
      <c r="A1661" s="2" t="s">
        <v>1661</v>
      </c>
      <c r="B1661" s="2" t="str">
        <f>IFERROR(__xludf.DUMMYFUNCTION("GOOGLETRANSLATE(A1661, ""en"", ""mt"")"),"Fejn ġiet miġġielda l-gwerra?")</f>
        <v>Fejn ġiet miġġielda l-gwerra?</v>
      </c>
    </row>
    <row r="1662" ht="15.75" customHeight="1">
      <c r="A1662" s="2" t="s">
        <v>1662</v>
      </c>
      <c r="B1662" s="2" t="str">
        <f>IFERROR(__xludf.DUMMYFUNCTION("GOOGLETRANSLATE(A1662, ""en"", ""mt"")"),"X'inhi l-perċezzjoni ġenerali tal-istoriji mhux Mongoljani ta 'Genghis Khan mill-Mongoljani nfushom?")</f>
        <v>X'inhi l-perċezzjoni ġenerali tal-istoriji mhux Mongoljani ta 'Genghis Khan mill-Mongoljani nfushom?</v>
      </c>
    </row>
    <row r="1663" ht="15.75" customHeight="1">
      <c r="A1663" s="2" t="s">
        <v>1663</v>
      </c>
      <c r="B1663" s="2" t="str">
        <f>IFERROR(__xludf.DUMMYFUNCTION("GOOGLETRANSLATE(A1663, ""en"", ""mt"")"),"Mudelli ta 'unifikazzjoni awto-konsistenti li jgħaqqdu l-erba' interazzjonijiet fundamentali kollha")</f>
        <v>Mudelli ta 'unifikazzjoni awto-konsistenti li jgħaqqdu l-erba' interazzjonijiet fundamentali kollha</v>
      </c>
    </row>
    <row r="1664" ht="15.75" customHeight="1">
      <c r="A1664" s="2" t="s">
        <v>1664</v>
      </c>
      <c r="B1664" s="2" t="str">
        <f>IFERROR(__xludf.DUMMYFUNCTION("GOOGLETRANSLATE(A1664, ""en"", ""mt"")"),"ċiklu tal-karbonju")</f>
        <v>ċiklu tal-karbonju</v>
      </c>
    </row>
    <row r="1665" ht="15.75" customHeight="1">
      <c r="A1665" s="2" t="s">
        <v>1665</v>
      </c>
      <c r="B1665" s="2" t="str">
        <f>IFERROR(__xludf.DUMMYFUNCTION("GOOGLETRANSLATE(A1665, ""en"", ""mt"")"),"huwa impossibbli")</f>
        <v>huwa impossibbli</v>
      </c>
    </row>
    <row r="1666" ht="15.75" customHeight="1">
      <c r="A1666" s="2" t="s">
        <v>1666</v>
      </c>
      <c r="B1666" s="2" t="str">
        <f>IFERROR(__xludf.DUMMYFUNCTION("GOOGLETRANSLATE(A1666, ""en"", ""mt"")"),"L-evoluzzjoni ġeokimika tal-unitajiet tal-blat")</f>
        <v>L-evoluzzjoni ġeokimika tal-unitajiet tal-blat</v>
      </c>
    </row>
    <row r="1667" ht="15.75" customHeight="1">
      <c r="A1667" s="2" t="s">
        <v>1667</v>
      </c>
      <c r="B1667" s="2" t="str">
        <f>IFERROR(__xludf.DUMMYFUNCTION("GOOGLETRANSLATE(A1667, ""en"", ""mt"")"),"12 sa 16")</f>
        <v>12 sa 16</v>
      </c>
    </row>
    <row r="1668" ht="15.75" customHeight="1">
      <c r="A1668" s="2" t="s">
        <v>1668</v>
      </c>
      <c r="B1668" s="2" t="str">
        <f>IFERROR(__xludf.DUMMYFUNCTION("GOOGLETRANSLATE(A1668, ""en"", ""mt"")"),"X'kienet l-okkupazzjoni ta 'missirijiet ta' Tesla?")</f>
        <v>X'kienet l-okkupazzjoni ta 'missirijiet ta' Tesla?</v>
      </c>
    </row>
    <row r="1669" ht="15.75" customHeight="1">
      <c r="A1669" s="2" t="s">
        <v>1669</v>
      </c>
      <c r="B1669" s="2" t="str">
        <f>IFERROR(__xludf.DUMMYFUNCTION("GOOGLETRANSLATE(A1669, ""en"", ""mt"")"),"Il-Ktieb tad-Dixxiplina huwa l-ktieb gwida għall-knejjes lokali u r-ragħajja u jiddeskrivi b’dettall konsiderevoli l-istruttura organizzattiva tal-knejjes Metodisti lokali Magħquda. Il-knejjes kollha tal-UM għandu jkollhom bord ta 'trustees b'mill-inqas t"&amp;"liet membri u mhux aktar minn disa' membri u huwa rrakkomandat li l-ebda sess ma għandu jżomm aktar minn maġġoranza ta '2/3. Il-knejjes kollha għandu jkollhom ukoll kumitat tan-nomina, kumitat tal-finanzi u kunsill tal-knisja jew kunsill amministrattiv. K"&amp;"umitati oħra huma ssuġġeriti iżda mhux meħtieġa bħal kumitat ta 'missjonijiet, jew kumitat ta' evanġelizmu jew qima. Il-limiti tat-terminu huma stabbiliti għal xi kumitati iżda mhux għal kulħadd. Il-konferenza tal-knisja hija laqgħa annwali tal-uffiċjali "&amp;"kollha tal-knisja u ta 'kwalunkwe membru interessat. Dan il-kumitat għandu s-setgħa esklussiva li jistabbilixxi s-salarji tar-ragħajja (pakketti ta 'kumpens għal skopijiet ta' taxxa) u li jeleġġi uffiċjali fil-kumitati.")</f>
        <v>Il-Ktieb tad-Dixxiplina huwa l-ktieb gwida għall-knejjes lokali u r-ragħajja u jiddeskrivi b’dettall konsiderevoli l-istruttura organizzattiva tal-knejjes Metodisti lokali Magħquda. Il-knejjes kollha tal-UM għandu jkollhom bord ta 'trustees b'mill-inqas tliet membri u mhux aktar minn disa' membri u huwa rrakkomandat li l-ebda sess ma għandu jżomm aktar minn maġġoranza ta '2/3. Il-knejjes kollha għandu jkollhom ukoll kumitat tan-nomina, kumitat tal-finanzi u kunsill tal-knisja jew kunsill amministrattiv. Kumitati oħra huma ssuġġeriti iżda mhux meħtieġa bħal kumitat ta 'missjonijiet, jew kumitat ta' evanġelizmu jew qima. Il-limiti tat-terminu huma stabbiliti għal xi kumitati iżda mhux għal kulħadd. Il-konferenza tal-knisja hija laqgħa annwali tal-uffiċjali kollha tal-knisja u ta 'kwalunkwe membru interessat. Dan il-kumitat għandu s-setgħa esklussiva li jistabbilixxi s-salarji tar-ragħajja (pakketti ta 'kumpens għal skopijiet ta' taxxa) u li jeleġġi uffiċjali fil-kumitati.</v>
      </c>
    </row>
    <row r="1670" ht="15.75" customHeight="1">
      <c r="A1670" s="2" t="s">
        <v>1670</v>
      </c>
      <c r="B1670" s="2" t="str">
        <f>IFERROR(__xludf.DUMMYFUNCTION("GOOGLETRANSLATE(A1670, ""en"", ""mt"")"),"mhux ugwali")</f>
        <v>mhux ugwali</v>
      </c>
    </row>
    <row r="1671" ht="15.75" customHeight="1">
      <c r="A1671" s="2" t="s">
        <v>1671</v>
      </c>
      <c r="B1671" s="2" t="str">
        <f>IFERROR(__xludf.DUMMYFUNCTION("GOOGLETRANSLATE(A1671, ""en"", ""mt"")"),"Liema nisel jinkludi pjanti tal-art?")</f>
        <v>Liema nisel jinkludi pjanti tal-art?</v>
      </c>
    </row>
    <row r="1672" ht="15.75" customHeight="1">
      <c r="A1672" s="2" t="s">
        <v>1672</v>
      </c>
      <c r="B1672" s="2" t="str">
        <f>IFERROR(__xludf.DUMMYFUNCTION("GOOGLETRANSLATE(A1672, ""en"", ""mt"")"),"X'imkien ieħor fir-Renju Unit tat-Tramuntana")</f>
        <v>X'imkien ieħor fir-Renju Unit tat-Tramuntana</v>
      </c>
    </row>
    <row r="1673" ht="15.75" customHeight="1">
      <c r="A1673" s="2" t="s">
        <v>1673</v>
      </c>
      <c r="B1673" s="2" t="str">
        <f>IFERROR(__xludf.DUMMYFUNCTION("GOOGLETRANSLATE(A1673, ""en"", ""mt"")"),"Fl-1211, wara l-konkwista tal-Punent Xia, Genghis Khan ippjana mill-ġdid biex jirbaħ id-dinastija Jin. Il-kmandant tal-armata tad-dinastija Jin għamel żball tattiku meta ma jattakkax lill-Mongoli fl-ewwel opportunità. Minflok, il-kmandant tal-Jin bagħat m"&amp;"essaġġier, Ming-Tan, lejn in-naħa tal-Mongolja, li ddefetta u qal lill-Mongoli li l-armata Jin kienet qed tistenna fuq in-naħa l-oħra tal-pass. F’dan l-impenn ġġieled fil-Badger Pass il-Mongoli massakrati mijiet ta ’eluf ta’ truppi Jin. Fl-1215 Genghis as"&amp;"sedja, maqbud, u keċċa l-kapitali Jin ta 'Zhongdu (il-ġurnata moderna ta' Beijing). Dan ġiegħel lill-Imperatur Xuanzong imexxi l-kapitali tiegħu fin-nofsinhar lejn Kaifeng, billi jabbanduna n-nofs tat-tramuntana tar-renju tiegħu lill-Mongoli. Bejn l-1232 "&amp;"u l-1233, Kaifeng waqa 'mal-Mongoli taħt ir-renju tat-tielet iben ta' Genghis, Ögedei Khan. Id-dinastija Jin waqgħet fl-1234, wara l-assedju ta ’Caizhou.")</f>
        <v>Fl-1211, wara l-konkwista tal-Punent Xia, Genghis Khan ippjana mill-ġdid biex jirbaħ id-dinastija Jin. Il-kmandant tal-armata tad-dinastija Jin għamel żball tattiku meta ma jattakkax lill-Mongoli fl-ewwel opportunità. Minflok, il-kmandant tal-Jin bagħat messaġġier, Ming-Tan, lejn in-naħa tal-Mongolja, li ddefetta u qal lill-Mongoli li l-armata Jin kienet qed tistenna fuq in-naħa l-oħra tal-pass. F’dan l-impenn ġġieled fil-Badger Pass il-Mongoli massakrati mijiet ta ’eluf ta’ truppi Jin. Fl-1215 Genghis assedja, maqbud, u keċċa l-kapitali Jin ta 'Zhongdu (il-ġurnata moderna ta' Beijing). Dan ġiegħel lill-Imperatur Xuanzong imexxi l-kapitali tiegħu fin-nofsinhar lejn Kaifeng, billi jabbanduna n-nofs tat-tramuntana tar-renju tiegħu lill-Mongoli. Bejn l-1232 u l-1233, Kaifeng waqa 'mal-Mongoli taħt ir-renju tat-tielet iben ta' Genghis, Ögedei Khan. Id-dinastija Jin waqgħet fl-1234, wara l-assedju ta ’Caizhou.</v>
      </c>
    </row>
    <row r="1674" ht="15.75" customHeight="1">
      <c r="A1674" s="2" t="s">
        <v>1674</v>
      </c>
      <c r="B1674" s="2" t="str">
        <f>IFERROR(__xludf.DUMMYFUNCTION("GOOGLETRANSLATE(A1674, ""en"", ""mt"")"),"Kull oġġett jista 'jkun, essenzjalment b'mod uniku, dekompost fil-komponenti ewlenin tiegħu")</f>
        <v>Kull oġġett jista 'jkun, essenzjalment b'mod uniku, dekompost fil-komponenti ewlenin tiegħu</v>
      </c>
    </row>
    <row r="1675" ht="15.75" customHeight="1">
      <c r="A1675" s="2" t="s">
        <v>1675</v>
      </c>
      <c r="B1675" s="2" t="str">
        <f>IFERROR(__xludf.DUMMYFUNCTION("GOOGLETRANSLATE(A1675, ""en"", ""mt"")"),"Ċiklu prattiku ta 'Carnot")</f>
        <v>Ċiklu prattiku ta 'Carnot</v>
      </c>
    </row>
    <row r="1676" ht="15.75" customHeight="1">
      <c r="A1676" s="2" t="s">
        <v>1676</v>
      </c>
      <c r="B1676" s="2" t="str">
        <f>IFERROR(__xludf.DUMMYFUNCTION("GOOGLETRANSLATE(A1676, ""en"", ""mt"")"),"Għall-Konservattivi, id-diżappunt ewlieni kien it-telf ta 'Edinburgh Pentlands, is-sede tal-eks mexxej tal-partit David McLetchie, għall-SNP. McLetchie ġiet eletta fil-lista reġjonali Lothian u l-Konservattivi sofrew telf nett ta 'ħames siġġijiet, bil-mex"&amp;"xejja Annabel Goldie sostniet li l-appoġġ tagħhom kien kellu sod. Minkejja dan, hi wkoll ħabbret li kienet se tonqos bħala mexxej tal-partit. Cameron feraħ lill-SNP għar-rebħa tagħhom iżda wegħdet li tagħmel kampanja għall-Unjoni fir-referendum tal-Indipe"&amp;"ndenza.")</f>
        <v>Għall-Konservattivi, id-diżappunt ewlieni kien it-telf ta 'Edinburgh Pentlands, is-sede tal-eks mexxej tal-partit David McLetchie, għall-SNP. McLetchie ġiet eletta fil-lista reġjonali Lothian u l-Konservattivi sofrew telf nett ta 'ħames siġġijiet, bil-mexxejja Annabel Goldie sostniet li l-appoġġ tagħhom kien kellu sod. Minkejja dan, hi wkoll ħabbret li kienet se tonqos bħala mexxej tal-partit. Cameron feraħ lill-SNP għar-rebħa tagħhom iżda wegħdet li tagħmel kampanja għall-Unjoni fir-referendum tal-Indipendenza.</v>
      </c>
    </row>
    <row r="1677" ht="15.75" customHeight="1">
      <c r="A1677" s="2" t="s">
        <v>1677</v>
      </c>
      <c r="B1677" s="2" t="str">
        <f>IFERROR(__xludf.DUMMYFUNCTION("GOOGLETRANSLATE(A1677, ""en"", ""mt"")"),"Fejn ħareġ il-meuse qabel l-għargħar?")</f>
        <v>Fejn ħareġ il-meuse qabel l-għargħar?</v>
      </c>
    </row>
    <row r="1678" ht="15.75" customHeight="1">
      <c r="A1678" s="2" t="s">
        <v>1678</v>
      </c>
      <c r="B1678" s="2" t="str">
        <f>IFERROR(__xludf.DUMMYFUNCTION("GOOGLETRANSLATE(A1678, ""en"", ""mt"")"),"Min kien Filippu I?")</f>
        <v>Min kien Filippu I?</v>
      </c>
    </row>
    <row r="1679" ht="15.75" customHeight="1">
      <c r="A1679" s="2" t="s">
        <v>1679</v>
      </c>
      <c r="B1679" s="2" t="str">
        <f>IFERROR(__xludf.DUMMYFUNCTION("GOOGLETRANSLATE(A1679, ""en"", ""mt"")"),"X'tip ta 'ċelloli T joqtlu ċelloli li huma infettati bil-patoġeni?")</f>
        <v>X'tip ta 'ċelloli T joqtlu ċelloli li huma infettati bil-patoġeni?</v>
      </c>
    </row>
    <row r="1680" ht="15.75" customHeight="1">
      <c r="A1680" s="2" t="s">
        <v>1680</v>
      </c>
      <c r="B1680" s="2" t="str">
        <f>IFERROR(__xludf.DUMMYFUNCTION("GOOGLETRANSLATE(A1680, ""en"", ""mt"")"),"is-smewwiet")</f>
        <v>is-smewwiet</v>
      </c>
    </row>
    <row r="1681" ht="15.75" customHeight="1">
      <c r="A1681" s="2" t="s">
        <v>1681</v>
      </c>
      <c r="B1681" s="2" t="str">
        <f>IFERROR(__xludf.DUMMYFUNCTION("GOOGLETRANSLATE(A1681, ""en"", ""mt"")"),"Xebh mas-Sistema tal-Kontrolli u l-Bilanċi tal-Istati Uniti u ta 'ħafna gvernijiet oħra")</f>
        <v>Xebh mas-Sistema tal-Kontrolli u l-Bilanċi tal-Istati Uniti u ta 'ħafna gvernijiet oħra</v>
      </c>
    </row>
    <row r="1682" ht="15.75" customHeight="1">
      <c r="A1682" s="2" t="s">
        <v>1682</v>
      </c>
      <c r="B1682" s="2" t="str">
        <f>IFERROR(__xludf.DUMMYFUNCTION("GOOGLETRANSLATE(A1682, ""en"", ""mt"")"),"Karozzi tat-triq")</f>
        <v>Karozzi tat-triq</v>
      </c>
    </row>
    <row r="1683" ht="15.75" customHeight="1">
      <c r="A1683" s="2" t="s">
        <v>1683</v>
      </c>
      <c r="B1683" s="2" t="str">
        <f>IFERROR(__xludf.DUMMYFUNCTION("GOOGLETRANSLATE(A1683, ""en"", ""mt"")"),"Kunsill tal-Belt ta 'Edinburgu")</f>
        <v>Kunsill tal-Belt ta 'Edinburgu</v>
      </c>
    </row>
    <row r="1684" ht="15.75" customHeight="1">
      <c r="A1684" s="2" t="s">
        <v>1684</v>
      </c>
      <c r="B1684" s="2" t="str">
        <f>IFERROR(__xludf.DUMMYFUNCTION("GOOGLETRANSLATE(A1684, ""en"", ""mt"")"),"Siġra tal-Irmied")</f>
        <v>Siġra tal-Irmied</v>
      </c>
    </row>
    <row r="1685" ht="15.75" customHeight="1">
      <c r="A1685" s="2" t="s">
        <v>1685</v>
      </c>
      <c r="B1685" s="2" t="str">
        <f>IFERROR(__xludf.DUMMYFUNCTION("GOOGLETRANSLATE(A1685, ""en"", ""mt"")"),"Liema karozzi tal-pajjiż saru aktar imfittxija peress li kienu aktar effiċjenti fil-fjuwil?")</f>
        <v>Liema karozzi tal-pajjiż saru aktar imfittxija peress li kienu aktar effiċjenti fil-fjuwil?</v>
      </c>
    </row>
    <row r="1686" ht="15.75" customHeight="1">
      <c r="A1686" s="2" t="s">
        <v>1686</v>
      </c>
      <c r="B1686" s="2" t="str">
        <f>IFERROR(__xludf.DUMMYFUNCTION("GOOGLETRANSLATE(A1686, ""en"", ""mt"")"),"Ġeneralment huwa preżunt li magna tat-Turing tista 'ssolvi xi ħaġa kapaċi wkoll tissolva billi tuża?")</f>
        <v>Ġeneralment huwa preżunt li magna tat-Turing tista 'ssolvi xi ħaġa kapaċi wkoll tissolva billi tuża?</v>
      </c>
    </row>
    <row r="1687" ht="15.75" customHeight="1">
      <c r="A1687" s="2" t="s">
        <v>1687</v>
      </c>
      <c r="B1687" s="2" t="str">
        <f>IFERROR(__xludf.DUMMYFUNCTION("GOOGLETRANSLATE(A1687, ""en"", ""mt"")"),"Xjenza u skoperta")</f>
        <v>Xjenza u skoperta</v>
      </c>
    </row>
    <row r="1688" ht="15.75" customHeight="1">
      <c r="A1688" s="2" t="s">
        <v>1688</v>
      </c>
      <c r="B1688" s="2" t="str">
        <f>IFERROR(__xludf.DUMMYFUNCTION("GOOGLETRANSLATE(A1688, ""en"", ""mt"")"),"stat jew gvern")</f>
        <v>stat jew gvern</v>
      </c>
    </row>
    <row r="1689" ht="15.75" customHeight="1">
      <c r="A1689" s="2" t="s">
        <v>1689</v>
      </c>
      <c r="B1689" s="2" t="str">
        <f>IFERROR(__xludf.DUMMYFUNCTION("GOOGLETRANSLATE(A1689, ""en"", ""mt"")"),"mill-bogħod")</f>
        <v>mill-bogħod</v>
      </c>
    </row>
    <row r="1690" ht="15.75" customHeight="1">
      <c r="A1690" s="2" t="s">
        <v>1690</v>
      </c>
      <c r="B1690" s="2" t="str">
        <f>IFERROR(__xludf.DUMMYFUNCTION("GOOGLETRANSLATE(A1690, ""en"", ""mt"")"),"$ 155 miljun")</f>
        <v>$ 155 miljun</v>
      </c>
    </row>
    <row r="1691" ht="15.75" customHeight="1">
      <c r="A1691" s="2" t="s">
        <v>1691</v>
      </c>
      <c r="B1691" s="2" t="str">
        <f>IFERROR(__xludf.DUMMYFUNCTION("GOOGLETRANSLATE(A1691, ""en"", ""mt"")"),"pari ta 'primes bid-differenza 2")</f>
        <v>pari ta 'primes bid-differenza 2</v>
      </c>
    </row>
    <row r="1692" ht="15.75" customHeight="1">
      <c r="A1692" s="2" t="s">
        <v>1692</v>
      </c>
      <c r="B1692" s="2" t="str">
        <f>IFERROR(__xludf.DUMMYFUNCTION("GOOGLETRANSLATE(A1692, ""en"", ""mt"")"),"negozjar kollettiv, influwenza politika, jew korruzzjoni")</f>
        <v>negozjar kollettiv, influwenza politika, jew korruzzjoni</v>
      </c>
    </row>
    <row r="1693" ht="15.75" customHeight="1">
      <c r="A1693" s="2" t="s">
        <v>1693</v>
      </c>
      <c r="B1693" s="2" t="str">
        <f>IFERROR(__xludf.DUMMYFUNCTION("GOOGLETRANSLATE(A1693, ""en"", ""mt"")"),"Teologi u mibgħuta papali")</f>
        <v>Teologi u mibgħuta papali</v>
      </c>
    </row>
    <row r="1694" ht="15.75" customHeight="1">
      <c r="A1694" s="2" t="s">
        <v>1694</v>
      </c>
      <c r="B1694" s="2" t="str">
        <f>IFERROR(__xludf.DUMMYFUNCTION("GOOGLETRANSLATE(A1694, ""en"", ""mt"")"),"L-instabilità inkwetata s-snin bikrin tar-renju ta 'Kublai Khan. In-neputi ta 'Ogedei Kaidu rrifjuta li jissottometti lil Kublai u hedded il-fruntiera tal-punent tad-dominju ta' Kublai. Id-dinastija ostili imma mdgħajfa tal-kanzunetta baqgħet ostaklu fin-"&amp;"nofsinhar. Kublai assigura l-fruntiera tal-grigal fl-1259 billi installa l-ostaġġ Prince Wonjong bħala l-ħakkiem tal-Korea, u għamilha stat tributarju Mongoljan. Kublai kien mhedded ukoll minn inkwiet domestiku. Li Tan, it-tifel ta 'uffiċjal b'saħħtu, ins"&amp;"tiga rewwixta kontra r-regola tal-Mongolja fl-1262. Wara li trażżan b'suċċess ir-rewwixta, Kublai trażżan l-influwenza tal-konsulenti Ċiniżi Han fil-qorti tiegħu. Huwa beża 'li d-dipendenza tiegħu fuq uffiċjali Ċiniżi ħallietlu vulnerabbli għal rewwixti f"&amp;"uturi u difetti għall-kanzunetta.")</f>
        <v>L-instabilità inkwetata s-snin bikrin tar-renju ta 'Kublai Khan. In-neputi ta 'Ogedei Kaidu rrifjuta li jissottometti lil Kublai u hedded il-fruntiera tal-punent tad-dominju ta' Kublai. Id-dinastija ostili imma mdgħajfa tal-kanzunetta baqgħet ostaklu fin-nofsinhar. Kublai assigura l-fruntiera tal-grigal fl-1259 billi installa l-ostaġġ Prince Wonjong bħala l-ħakkiem tal-Korea, u għamilha stat tributarju Mongoljan. Kublai kien mhedded ukoll minn inkwiet domestiku. Li Tan, it-tifel ta 'uffiċjal b'saħħtu, instiga rewwixta kontra r-regola tal-Mongolja fl-1262. Wara li trażżan b'suċċess ir-rewwixta, Kublai trażżan l-influwenza tal-konsulenti Ċiniżi Han fil-qorti tiegħu. Huwa beża 'li d-dipendenza tiegħu fuq uffiċjali Ċiniżi ħallietlu vulnerabbli għal rewwixti futuri u difetti għall-kanzunetta.</v>
      </c>
    </row>
    <row r="1695" ht="15.75" customHeight="1">
      <c r="A1695" s="2" t="s">
        <v>1695</v>
      </c>
      <c r="B1695" s="2" t="str">
        <f>IFERROR(__xludf.DUMMYFUNCTION("GOOGLETRANSLATE(A1695, ""en"", ""mt"")"),"L-Ewropa tat-Tramuntana u n-Nofs l-Atlantiku")</f>
        <v>L-Ewropa tat-Tramuntana u n-Nofs l-Atlantiku</v>
      </c>
    </row>
    <row r="1696" ht="15.75" customHeight="1">
      <c r="A1696" s="2" t="s">
        <v>1696</v>
      </c>
      <c r="B1696" s="2" t="str">
        <f>IFERROR(__xludf.DUMMYFUNCTION("GOOGLETRANSLATE(A1696, ""en"", ""mt"")"),"X'imkien madwar biljun sena ilu, cyanobacterium li jgħix ħieles daħal f'ċellula ewkarjotika bikrija, kemm bħala ikel jew bħala parassita interna, iżda rnexxielu jaħrab mill-vacuole fagoċitiku li kien fih. Tikkorrispondi għall-membrani ta 'barra u ta' ġeww"&amp;"a tal-ħajt taċ-ċellula gram negattiva ta 'l-antenati ta' Cyanobacterium, u mhux il-membrana fagożomali mill-ospitanti, li probabbilment kienet mitlufa. Ir-resident ċellulari l-ġdid malajr sar vantaġġ, u pprovda ikel għall-ospitanti ewkarjotiċi, li ppermet"&amp;"tilu jgħix fih. Maż-żmien, iċ-cyanobacterium ġie assimilat, u ħafna mill-ġeni tiegħu ntilfu jew ġew trasferiti għan-nukleu tal-ospitanti. Uħud mill-proteini tagħha mbagħad ġew sintetizzati fiċ-ċitoplasma taċ-ċellula ospitanti, u importati lura fil-kloropl"&amp;"ast (qabel iċ-Cyanobacterium).")</f>
        <v>X'imkien madwar biljun sena ilu, cyanobacterium li jgħix ħieles daħal f'ċellula ewkarjotika bikrija, kemm bħala ikel jew bħala parassita interna, iżda rnexxielu jaħrab mill-vacuole fagoċitiku li kien fih. Tikkorrispondi għall-membrani ta 'barra u ta' ġewwa tal-ħajt taċ-ċellula gram negattiva ta 'l-antenati ta' Cyanobacterium, u mhux il-membrana fagożomali mill-ospitanti, li probabbilment kienet mitlufa. Ir-resident ċellulari l-ġdid malajr sar vantaġġ, u pprovda ikel għall-ospitanti ewkarjotiċi, li ppermettilu jgħix fih. Maż-żmien, iċ-cyanobacterium ġie assimilat, u ħafna mill-ġeni tiegħu ntilfu jew ġew trasferiti għan-nukleu tal-ospitanti. Uħud mill-proteini tagħha mbagħad ġew sintetizzati fiċ-ċitoplasma taċ-ċellula ospitanti, u importati lura fil-kloroplast (qabel iċ-Cyanobacterium).</v>
      </c>
    </row>
    <row r="1697" ht="15.75" customHeight="1">
      <c r="A1697" s="2" t="s">
        <v>1697</v>
      </c>
      <c r="B1697" s="2" t="str">
        <f>IFERROR(__xludf.DUMMYFUNCTION("GOOGLETRANSLATE(A1697, ""en"", ""mt"")"),"Il-Kunsill Privat")</f>
        <v>Il-Kunsill Privat</v>
      </c>
    </row>
    <row r="1698" ht="15.75" customHeight="1">
      <c r="A1698" s="2" t="s">
        <v>1698</v>
      </c>
      <c r="B1698" s="2" t="str">
        <f>IFERROR(__xludf.DUMMYFUNCTION("GOOGLETRANSLATE(A1698, ""en"", ""mt"")"),"Min hu abbozz ta ’liġi msemmi għal deċiżjoni dwar jekk hux fil-poteri tal-Parlament?")</f>
        <v>Min hu abbozz ta ’liġi msemmi għal deċiżjoni dwar jekk hux fil-poteri tal-Parlament?</v>
      </c>
    </row>
    <row r="1699" ht="15.75" customHeight="1">
      <c r="A1699" s="2" t="s">
        <v>1699</v>
      </c>
      <c r="B1699" s="2" t="str">
        <f>IFERROR(__xludf.DUMMYFUNCTION("GOOGLETRANSLATE(A1699, ""en"", ""mt"")"),"Dipartiment tal-Affarijiet tal-Istat")</f>
        <v>Dipartiment tal-Affarijiet tal-Istat</v>
      </c>
    </row>
    <row r="1700" ht="15.75" customHeight="1">
      <c r="A1700" s="2" t="s">
        <v>1700</v>
      </c>
      <c r="B1700" s="2" t="str">
        <f>IFERROR(__xludf.DUMMYFUNCTION("GOOGLETRANSLATE(A1700, ""en"", ""mt"")"),"il-kaċċa ta 'diversi annimali")</f>
        <v>il-kaċċa ta 'diversi annimali</v>
      </c>
    </row>
    <row r="1701" ht="15.75" customHeight="1">
      <c r="A1701" s="2" t="s">
        <v>1701</v>
      </c>
      <c r="B1701" s="2" t="str">
        <f>IFERROR(__xludf.DUMMYFUNCTION("GOOGLETRANSLATE(A1701, ""en"", ""mt"")"),"Min jieħu ħatra formali jew deċiżjonijiet ta 'tkeċċija?")</f>
        <v>Min jieħu ħatra formali jew deċiżjonijiet ta 'tkeċċija?</v>
      </c>
    </row>
    <row r="1702" ht="15.75" customHeight="1">
      <c r="A1702" s="2" t="s">
        <v>1702</v>
      </c>
      <c r="B1702" s="2" t="str">
        <f>IFERROR(__xludf.DUMMYFUNCTION("GOOGLETRANSLATE(A1702, ""en"", ""mt"")"),"Universitajiet ta 'Newcastle u Northumbria")</f>
        <v>Universitajiet ta 'Newcastle u Northumbria</v>
      </c>
    </row>
    <row r="1703" ht="15.75" customHeight="1">
      <c r="A1703" s="2" t="s">
        <v>1703</v>
      </c>
      <c r="B1703" s="2" t="str">
        <f>IFERROR(__xludf.DUMMYFUNCTION("GOOGLETRANSLATE(A1703, ""en"", ""mt"")"),"Tessut tal-pulmun")</f>
        <v>Tessut tal-pulmun</v>
      </c>
    </row>
    <row r="1704" ht="15.75" customHeight="1">
      <c r="A1704" s="2" t="s">
        <v>1704</v>
      </c>
      <c r="B1704" s="2" t="str">
        <f>IFERROR(__xludf.DUMMYFUNCTION("GOOGLETRANSLATE(A1704, ""en"", ""mt"")"),"Radjatur tal-Karozzi")</f>
        <v>Radjatur tal-Karozzi</v>
      </c>
    </row>
    <row r="1705" ht="15.75" customHeight="1">
      <c r="A1705" s="2" t="s">
        <v>1705</v>
      </c>
      <c r="B1705" s="2" t="str">
        <f>IFERROR(__xludf.DUMMYFUNCTION("GOOGLETRANSLATE(A1705, ""en"", ""mt"")"),"Mi'kmaq u l-abenaki")</f>
        <v>Mi'kmaq u l-abenaki</v>
      </c>
    </row>
    <row r="1706" ht="15.75" customHeight="1">
      <c r="A1706" s="2" t="s">
        <v>1706</v>
      </c>
      <c r="B1706" s="2" t="str">
        <f>IFERROR(__xludf.DUMMYFUNCTION("GOOGLETRANSLATE(A1706, ""en"", ""mt"")"),"Dan id-dibattitu wera diffiċli")</f>
        <v>Dan id-dibattitu wera diffiċli</v>
      </c>
    </row>
    <row r="1707" ht="15.75" customHeight="1">
      <c r="A1707" s="2" t="s">
        <v>1707</v>
      </c>
      <c r="B1707" s="2" t="str">
        <f>IFERROR(__xludf.DUMMYFUNCTION("GOOGLETRANSLATE(A1707, ""en"", ""mt"")"),"Jekk il-kap tal-gvern ta 'pajjiż kellu jirrifjuta li jinforza deċiżjoni tal-ogħla qorti ta' dak il-pajjiż")</f>
        <v>Jekk il-kap tal-gvern ta 'pajjiż kellu jirrifjuta li jinforza deċiżjoni tal-ogħla qorti ta' dak il-pajjiż</v>
      </c>
    </row>
    <row r="1708" ht="15.75" customHeight="1">
      <c r="A1708" s="2" t="s">
        <v>1708</v>
      </c>
      <c r="B1708" s="2" t="str">
        <f>IFERROR(__xludf.DUMMYFUNCTION("GOOGLETRANSLATE(A1708, ""en"", ""mt"")"),"It-traduzzjoni tiegħu tal-Bibbja fil-vernakolari (minflok il-Latin) għamilha aktar aċċessibbli, li kellha impatt tremend fuq il-knisja u l-kultura Ġermaniża. Huwa trawwem l-iżvilupp ta 'verżjoni standard tal-lingwa Ġermaniża, żied diversi prinċipji mal-ar"&amp;"ti tat-traduzzjoni, u influwenza l-kitba ta' traduzzjoni bl-Ingliż, il-Bibbja Tyndale. L-innijiet tiegħu influwenzaw l-iżvilupp tal-kant fil-knejjes. Iż-żwieġ tiegħu ma 'Katharina von Bora waqqaf mudell għall-prattika taż-żwieġ klerikali, li jippermetti l"&amp;"ill-kleru Protestant jiżżewweġ.")</f>
        <v>It-traduzzjoni tiegħu tal-Bibbja fil-vernakolari (minflok il-Latin) għamilha aktar aċċessibbli, li kellha impatt tremend fuq il-knisja u l-kultura Ġermaniża. Huwa trawwem l-iżvilupp ta 'verżjoni standard tal-lingwa Ġermaniża, żied diversi prinċipji mal-arti tat-traduzzjoni, u influwenza l-kitba ta' traduzzjoni bl-Ingliż, il-Bibbja Tyndale. L-innijiet tiegħu influwenzaw l-iżvilupp tal-kant fil-knejjes. Iż-żwieġ tiegħu ma 'Katharina von Bora waqqaf mudell għall-prattika taż-żwieġ klerikali, li jippermetti lill-kleru Protestant jiżżewweġ.</v>
      </c>
    </row>
    <row r="1709" ht="15.75" customHeight="1">
      <c r="A1709" s="2" t="s">
        <v>1709</v>
      </c>
      <c r="B1709" s="2" t="str">
        <f>IFERROR(__xludf.DUMMYFUNCTION("GOOGLETRANSLATE(A1709, ""en"", ""mt"")"),"Fejn kien rilokat ċinema waqt li kienu għaddejjin it-tiswijiet?")</f>
        <v>Fejn kien rilokat ċinema waqt li kienu għaddejjin it-tiswijiet?</v>
      </c>
    </row>
    <row r="1710" ht="15.75" customHeight="1">
      <c r="A1710" s="2" t="s">
        <v>1710</v>
      </c>
      <c r="B1710" s="2" t="str">
        <f>IFERROR(__xludf.DUMMYFUNCTION("GOOGLETRANSLATE(A1710, ""en"", ""mt"")"),"Lenin")</f>
        <v>Lenin</v>
      </c>
    </row>
    <row r="1711" ht="15.75" customHeight="1">
      <c r="A1711" s="2" t="s">
        <v>1711</v>
      </c>
      <c r="B1711" s="2" t="str">
        <f>IFERROR(__xludf.DUMMYFUNCTION("GOOGLETRANSLATE(A1711, ""en"", ""mt"")"),"Fl-elezzjonijiet presidenzjali, il-President Kibaki taħt il-partit tal-għaqda nazzjonali dam għall-elezzjoni mill-ġdid kontra l-partit ewlieni tal-oppożizzjoni, il-Moviment Demokratiku Oranġjo (ODM). L-elezzjonijiet dehru li kienu difetti ma 'osservaturi "&amp;"internazzjonali li qalu li kienu taħt l-istandards internazzjonali. Wara qasma li ħadet 8% kruċjali tal-voti 'l bogħod mill-ODM għall-kandidat tal-moviment Demokratiku Orange-Kenya (ODM-K) li għadu kif ġie ffurmat, Kalonzo Musyoka, it-tellieqa ssikkata be"&amp;"jn il-kandidata ODM Raila Odinga u Kibaki. Hekk kif l-għadd daħal fil-kwartieri ġenerali tal-Kummissjoni Elettorali tal-Kenja (ECK), Odinga ntwera li għandu ċomb żgħir, u mbagħad sostanzjali hekk kif ir-riżultati mill-fortizzi tiegħu ġew kmieni. Hekk kif "&amp;"l-Eck kompla jgħodd il-voti, Kibaki għalaq id-distakk u mbagħad għadda lill-avversarju tiegħu b'marġni sostanzjali wara li l-voti mill-fortizza tiegħu waslu aktar tard. Dan wassal għal protesti u skreditazzjoni miftuħa tal-Eck għall-kompliċità u biex Odin"&amp;"ga jiddikjara lilu nnifsu l- ""president tal-poplu"" u jitlob għadd mill-ġdid.")</f>
        <v>Fl-elezzjonijiet presidenzjali, il-President Kibaki taħt il-partit tal-għaqda nazzjonali dam għall-elezzjoni mill-ġdid kontra l-partit ewlieni tal-oppożizzjoni, il-Moviment Demokratiku Oranġjo (ODM). L-elezzjonijiet dehru li kienu difetti ma 'osservaturi internazzjonali li qalu li kienu taħt l-istandards internazzjonali. Wara qasma li ħadet 8% kruċjali tal-voti 'l bogħod mill-ODM għall-kandidat tal-moviment Demokratiku Orange-Kenya (ODM-K) li għadu kif ġie ffurmat, Kalonzo Musyoka, it-tellieqa ssikkata bejn il-kandidata ODM Raila Odinga u Kibaki. Hekk kif l-għadd daħal fil-kwartieri ġenerali tal-Kummissjoni Elettorali tal-Kenja (ECK), Odinga ntwera li għandu ċomb żgħir, u mbagħad sostanzjali hekk kif ir-riżultati mill-fortizzi tiegħu ġew kmieni. Hekk kif l-Eck kompla jgħodd il-voti, Kibaki għalaq id-distakk u mbagħad għadda lill-avversarju tiegħu b'marġni sostanzjali wara li l-voti mill-fortizza tiegħu waslu aktar tard. Dan wassal għal protesti u skreditazzjoni miftuħa tal-Eck għall-kompliċità u biex Odinga jiddikjara lilu nnifsu l- "president tal-poplu" u jitlob għadd mill-ġdid.</v>
      </c>
    </row>
    <row r="1712" ht="15.75" customHeight="1">
      <c r="A1712" s="2" t="s">
        <v>1712</v>
      </c>
      <c r="B1712" s="2" t="str">
        <f>IFERROR(__xludf.DUMMYFUNCTION("GOOGLETRANSLATE(A1712, ""en"", ""mt"")"),"żoni li qed jiġu deformati b'mod attiv")</f>
        <v>żoni li qed jiġu deformati b'mod attiv</v>
      </c>
    </row>
    <row r="1713" ht="15.75" customHeight="1">
      <c r="A1713" s="2" t="s">
        <v>1713</v>
      </c>
      <c r="B1713" s="2" t="str">
        <f>IFERROR(__xludf.DUMMYFUNCTION("GOOGLETRANSLATE(A1713, ""en"", ""mt"")"),"Distakk fil-produttività")</f>
        <v>Distakk fil-produttività</v>
      </c>
    </row>
    <row r="1714" ht="15.75" customHeight="1">
      <c r="A1714" s="2" t="s">
        <v>1714</v>
      </c>
      <c r="B1714" s="2" t="str">
        <f>IFERROR(__xludf.DUMMYFUNCTION("GOOGLETRANSLATE(A1714, ""en"", ""mt"")"),"Tendenza akbar li tieħu d-djun")</f>
        <v>Tendenza akbar li tieħu d-djun</v>
      </c>
    </row>
    <row r="1715" ht="15.75" customHeight="1">
      <c r="A1715" s="2" t="s">
        <v>1715</v>
      </c>
      <c r="B1715" s="2" t="str">
        <f>IFERROR(__xludf.DUMMYFUNCTION("GOOGLETRANSLATE(A1715, ""en"", ""mt"")"),"Kif il-pjanti jiksbu kloroplasti?")</f>
        <v>Kif il-pjanti jiksbu kloroplasti?</v>
      </c>
    </row>
    <row r="1716" ht="15.75" customHeight="1">
      <c r="A1716" s="2" t="s">
        <v>1716</v>
      </c>
      <c r="B1716" s="2" t="str">
        <f>IFERROR(__xludf.DUMMYFUNCTION("GOOGLETRANSLATE(A1716, ""en"", ""mt"")"),"Żjara tal-Elettorat tas-Sassonja,")</f>
        <v>Żjara tal-Elettorat tas-Sassonja,</v>
      </c>
    </row>
    <row r="1717" ht="15.75" customHeight="1">
      <c r="A1717" s="2" t="s">
        <v>1717</v>
      </c>
      <c r="B1717" s="2" t="str">
        <f>IFERROR(__xludf.DUMMYFUNCTION("GOOGLETRANSLATE(A1717, ""en"", ""mt"")"),"X'jistgħu jaqgħu riċerkaturi konservattivi għandhom ikunu miżura ta 'inugwaljanza?")</f>
        <v>X'jistgħu jaqgħu riċerkaturi konservattivi għandhom ikunu miżura ta 'inugwaljanza?</v>
      </c>
    </row>
    <row r="1718" ht="15.75" customHeight="1">
      <c r="A1718" s="2" t="s">
        <v>1718</v>
      </c>
      <c r="B1718" s="2" t="str">
        <f>IFERROR(__xludf.DUMMYFUNCTION("GOOGLETRANSLATE(A1718, ""en"", ""mt"")"),"Disa 'nazzjonijiet")</f>
        <v>Disa 'nazzjonijiet</v>
      </c>
    </row>
    <row r="1719" ht="15.75" customHeight="1">
      <c r="A1719" s="2" t="s">
        <v>1719</v>
      </c>
      <c r="B1719" s="2" t="str">
        <f>IFERROR(__xludf.DUMMYFUNCTION("GOOGLETRANSLATE(A1719, ""en"", ""mt"")"),"Esperimenti fiżiċi")</f>
        <v>Esperimenti fiżiċi</v>
      </c>
    </row>
    <row r="1720" ht="15.75" customHeight="1">
      <c r="A1720" s="2" t="s">
        <v>1720</v>
      </c>
      <c r="B1720" s="2" t="str">
        <f>IFERROR(__xludf.DUMMYFUNCTION("GOOGLETRANSLATE(A1720, ""en"", ""mt"")"),"L-imperjalizmu huwa tip ta ’promozzjoni tal-imperu. Ismu oriġina mill-kelma Latina ""Imperium"", li jfisser li tiddeċiedi fuq territorji kbar. L-imperjalizmu huwa ""politika li testendi l-poter u l-influwenza ta 'pajjiż permezz tal-kolonizzazzjoni, l-użu "&amp;"tal-forza militari, jew mezzi oħra"". L-imperjalizmu ffurma ħafna d-dinja kontemporanja. Ippermettiet ukoll it-tixrid rapidu ta 'teknoloġiji u ideat. It-terminu imperjalizmu ġie applikat għad-dominanza politika u ekonomika tal-Punent (u Ġappuniż) speċjalm"&amp;"ent fl-Asja u l-Afrika fis-sekli 19 u 20. It-tifsira preċiża tagħha tkompli tiġi diskussa mill-istudjużi. Xi kittieba, bħal Edward qal, jużaw it-terminu b'mod aktar wiesa 'biex jiddeskrivu kwalunkwe sistema ta' ħakma u subordinazzjoni organizzata b'ċentru"&amp;" imperjali u periferija.")</f>
        <v>L-imperjalizmu huwa tip ta ’promozzjoni tal-imperu. Ismu oriġina mill-kelma Latina "Imperium", li jfisser li tiddeċiedi fuq territorji kbar. L-imperjalizmu huwa "politika li testendi l-poter u l-influwenza ta 'pajjiż permezz tal-kolonizzazzjoni, l-użu tal-forza militari, jew mezzi oħra". L-imperjalizmu ffurma ħafna d-dinja kontemporanja. Ippermettiet ukoll it-tixrid rapidu ta 'teknoloġiji u ideat. It-terminu imperjalizmu ġie applikat għad-dominanza politika u ekonomika tal-Punent (u Ġappuniż) speċjalment fl-Asja u l-Afrika fis-sekli 19 u 20. It-tifsira preċiża tagħha tkompli tiġi diskussa mill-istudjużi. Xi kittieba, bħal Edward qal, jużaw it-terminu b'mod aktar wiesa 'biex jiddeskrivu kwalunkwe sistema ta' ħakma u subordinazzjoni organizzata b'ċentru imperjali u periferija.</v>
      </c>
    </row>
    <row r="1721" ht="15.75" customHeight="1">
      <c r="A1721" s="2" t="s">
        <v>1721</v>
      </c>
      <c r="B1721" s="2" t="str">
        <f>IFERROR(__xludf.DUMMYFUNCTION("GOOGLETRANSLATE(A1721, ""en"", ""mt"")"),"Sal-aħħar tas-seklu 19, liema pajjiż kellu l-akbar imperu li qatt kien jeżisti fid-dinja?")</f>
        <v>Sal-aħħar tas-seklu 19, liema pajjiż kellu l-akbar imperu li qatt kien jeżisti fid-dinja?</v>
      </c>
    </row>
    <row r="1722" ht="15.75" customHeight="1">
      <c r="A1722" s="2" t="s">
        <v>1722</v>
      </c>
      <c r="B1722" s="2" t="str">
        <f>IFERROR(__xludf.DUMMYFUNCTION("GOOGLETRANSLATE(A1722, ""en"", ""mt"")"),"Kemm mill-fluss tal-ilma jikseb il-waal mir-Rhine?")</f>
        <v>Kemm mill-fluss tal-ilma jikseb il-waal mir-Rhine?</v>
      </c>
    </row>
    <row r="1723" ht="15.75" customHeight="1">
      <c r="A1723" s="2" t="s">
        <v>1723</v>
      </c>
      <c r="B1723" s="2" t="str">
        <f>IFERROR(__xludf.DUMMYFUNCTION("GOOGLETRANSLATE(A1723, ""en"", ""mt"")"),"Liema kwistjoni tas-saħħa sofriet Tesla?")</f>
        <v>Liema kwistjoni tas-saħħa sofriet Tesla?</v>
      </c>
    </row>
    <row r="1724" ht="15.75" customHeight="1">
      <c r="A1724" s="2" t="s">
        <v>1724</v>
      </c>
      <c r="B1724" s="2" t="str">
        <f>IFERROR(__xludf.DUMMYFUNCTION("GOOGLETRANSLATE(A1724, ""en"", ""mt"")"),"Forma aktar drammatika")</f>
        <v>Forma aktar drammatika</v>
      </c>
    </row>
    <row r="1725" ht="15.75" customHeight="1">
      <c r="A1725" s="2" t="s">
        <v>1725</v>
      </c>
      <c r="B1725" s="2" t="str">
        <f>IFERROR(__xludf.DUMMYFUNCTION("GOOGLETRANSLATE(A1725, ""en"", ""mt"")"),"X'inhuma ż-żewġ korpi li jiffurmaw il-leġiżlatura tal-Unjoni Ewropea?")</f>
        <v>X'inhuma ż-żewġ korpi li jiffurmaw il-leġiżlatura tal-Unjoni Ewropea?</v>
      </c>
    </row>
    <row r="1726" ht="15.75" customHeight="1">
      <c r="A1726" s="2" t="s">
        <v>1726</v>
      </c>
      <c r="B1726" s="2" t="str">
        <f>IFERROR(__xludf.DUMMYFUNCTION("GOOGLETRANSLATE(A1726, ""en"", ""mt"")"),"Għaliex Priestley ġeneralment jingħata kreditu talli l-ewwel qed jiskopri l-ossiġnu?")</f>
        <v>Għaliex Priestley ġeneralment jingħata kreditu talli l-ewwel qed jiskopri l-ossiġnu?</v>
      </c>
    </row>
    <row r="1727" ht="15.75" customHeight="1">
      <c r="A1727" s="2" t="s">
        <v>1727</v>
      </c>
      <c r="B1727" s="2" t="str">
        <f>IFERROR(__xludf.DUMMYFUNCTION("GOOGLETRANSLATE(A1727, ""en"", ""mt"")"),"Dipartiment tal-Kelma u l-Immaġni")</f>
        <v>Dipartiment tal-Kelma u l-Immaġni</v>
      </c>
    </row>
    <row r="1728" ht="15.75" customHeight="1">
      <c r="A1728" s="2" t="s">
        <v>1728</v>
      </c>
      <c r="B1728" s="2" t="str">
        <f>IFERROR(__xludf.DUMMYFUNCTION("GOOGLETRANSLATE(A1728, ""en"", ""mt"")"),"Karrotti, nevew, varjetajiet ġodda ta 'lumi, brunġiel, u bettieħ, zokkor granulat ta' kwalità għolja, u qoton")</f>
        <v>Karrotti, nevew, varjetajiet ġodda ta 'lumi, brunġiel, u bettieħ, zokkor granulat ta' kwalità għolja, u qoton</v>
      </c>
    </row>
    <row r="1729" ht="15.75" customHeight="1">
      <c r="A1729" s="2" t="s">
        <v>1729</v>
      </c>
      <c r="B1729" s="2" t="str">
        <f>IFERROR(__xludf.DUMMYFUNCTION("GOOGLETRANSLATE(A1729, ""en"", ""mt"")"),"Ikkonverti")</f>
        <v>Ikkonverti</v>
      </c>
    </row>
    <row r="1730" ht="15.75" customHeight="1">
      <c r="A1730" s="2" t="s">
        <v>1730</v>
      </c>
      <c r="B1730" s="2" t="str">
        <f>IFERROR(__xludf.DUMMYFUNCTION("GOOGLETRANSLATE(A1730, ""en"", ""mt"")"),"Min ippreżenta l-editt tad-dud li jiddikjara lil Luther bħala illegali?")</f>
        <v>Min ippreżenta l-editt tad-dud li jiddikjara lil Luther bħala illegali?</v>
      </c>
    </row>
    <row r="1731" ht="15.75" customHeight="1">
      <c r="A1731" s="2" t="s">
        <v>1731</v>
      </c>
      <c r="B1731" s="2" t="str">
        <f>IFERROR(__xludf.DUMMYFUNCTION("GOOGLETRANSLATE(A1731, ""en"", ""mt"")"),"F'liema data ingħata Super Bowl 50 lill-Levi's Stadium?")</f>
        <v>F'liema data ingħata Super Bowl 50 lill-Levi's Stadium?</v>
      </c>
    </row>
    <row r="1732" ht="15.75" customHeight="1">
      <c r="A1732" s="2" t="s">
        <v>1732</v>
      </c>
      <c r="B1732" s="2" t="str">
        <f>IFERROR(__xludf.DUMMYFUNCTION("GOOGLETRANSLATE(A1732, ""en"", ""mt"")"),"""Dritt"", ""Just"", jew ""Veru""")</f>
        <v>"Dritt", "Just", jew "Veru"</v>
      </c>
    </row>
    <row r="1733" ht="15.75" customHeight="1">
      <c r="A1733" s="2" t="s">
        <v>1733</v>
      </c>
      <c r="B1733" s="2" t="str">
        <f>IFERROR(__xludf.DUMMYFUNCTION("GOOGLETRANSLATE(A1733, ""en"", ""mt"")"),"X’għamel Philo b’mod żbaljat li saret l-arja?")</f>
        <v>X’għamel Philo b’mod żbaljat li saret l-arja?</v>
      </c>
    </row>
    <row r="1734" ht="15.75" customHeight="1">
      <c r="A1734" s="2" t="s">
        <v>1734</v>
      </c>
      <c r="B1734" s="2" t="str">
        <f>IFERROR(__xludf.DUMMYFUNCTION("GOOGLETRANSLATE(A1734, ""en"", ""mt"")"),"Futbol tad-deheb")</f>
        <v>Futbol tad-deheb</v>
      </c>
    </row>
    <row r="1735" ht="15.75" customHeight="1">
      <c r="A1735" s="2" t="s">
        <v>1735</v>
      </c>
      <c r="B1735" s="2" t="str">
        <f>IFERROR(__xludf.DUMMYFUNCTION("GOOGLETRANSLATE(A1735, ""en"", ""mt"")"),"X'inhu l-isem tal-aħħar epoka?")</f>
        <v>X'inhu l-isem tal-aħħar epoka?</v>
      </c>
    </row>
    <row r="1736" ht="15.75" customHeight="1">
      <c r="A1736" s="2" t="s">
        <v>1736</v>
      </c>
      <c r="B1736" s="2" t="str">
        <f>IFERROR(__xludf.DUMMYFUNCTION("GOOGLETRANSLATE(A1736, ""en"", ""mt"")"),"X'inhu l-isem tad-deżert ħdejn il-fruntiera ta 'Nevada?")</f>
        <v>X'inhu l-isem tad-deżert ħdejn il-fruntiera ta 'Nevada?</v>
      </c>
    </row>
    <row r="1737" ht="15.75" customHeight="1">
      <c r="A1737" s="2" t="s">
        <v>1737</v>
      </c>
      <c r="B1737" s="2" t="str">
        <f>IFERROR(__xludf.DUMMYFUNCTION("GOOGLETRANSLATE(A1737, ""en"", ""mt"")"),"Jekk id-daqs tal-input huwa n, il-ħin meħud jista 'jiġi espress bħala funzjoni ta' n. Peress li l-ħin meħud fuq inputs differenti tal-istess daqs jista 'jkun differenti, l-agħar kumplessità tal-ħin t (n) hija definita bħala l-ħin massimu meħud fuq l-input"&amp;"s kollha tad-daqs N. Jekk T (n) huwa polinomju f'N, allura l-algoritmu jingħad li huwa algoritmu ta 'ħin polinomjali. It-teżi ta 'Cobham tgħid li problema tista' tissolva b'ammont fattibbli ta 'riżorsi jekk tammetti algoritmu ta' ħin polinomjali.")</f>
        <v>Jekk id-daqs tal-input huwa n, il-ħin meħud jista 'jiġi espress bħala funzjoni ta' n. Peress li l-ħin meħud fuq inputs differenti tal-istess daqs jista 'jkun differenti, l-agħar kumplessità tal-ħin t (n) hija definita bħala l-ħin massimu meħud fuq l-inputs kollha tad-daqs N. Jekk T (n) huwa polinomju f'N, allura l-algoritmu jingħad li huwa algoritmu ta 'ħin polinomjali. It-teżi ta 'Cobham tgħid li problema tista' tissolva b'ammont fattibbli ta 'riżorsi jekk tammetti algoritmu ta' ħin polinomjali.</v>
      </c>
    </row>
    <row r="1738" ht="15.75" customHeight="1">
      <c r="A1738" s="2" t="s">
        <v>1738</v>
      </c>
      <c r="B1738" s="2" t="str">
        <f>IFERROR(__xludf.DUMMYFUNCTION("GOOGLETRANSLATE(A1738, ""en"", ""mt"")"),"ribelli / oppożizzjoni xellugija / komunista / nazzjonalista")</f>
        <v>ribelli / oppożizzjoni xellugija / komunista / nazzjonalista</v>
      </c>
    </row>
    <row r="1739" ht="15.75" customHeight="1">
      <c r="A1739" s="2" t="s">
        <v>1739</v>
      </c>
      <c r="B1739" s="2" t="str">
        <f>IFERROR(__xludf.DUMMYFUNCTION("GOOGLETRANSLATE(A1739, ""en"", ""mt"")"),"minimalità jew indekompożizzjoni")</f>
        <v>minimalità jew indekompożizzjoni</v>
      </c>
    </row>
    <row r="1740" ht="15.75" customHeight="1">
      <c r="A1740" s="2" t="s">
        <v>1740</v>
      </c>
      <c r="B1740" s="2" t="str">
        <f>IFERROR(__xludf.DUMMYFUNCTION("GOOGLETRANSLATE(A1740, ""en"", ""mt"")"),"Il-grazzja prevenjenti, jew il-grazzja li ""tmur quddiemna"", hija mogħtija lin-nies kollha. Hija dik il-qawwa li tippermettilna nħobbu u jimmotivawna biex infittxu relazzjoni ma 'Alla permezz ta' Ġesù Kristu. Din il-grazzja hija l-ħidma preżenti ta ’Alla"&amp;" biex idawwarna mir-rieda tal-bniedem imdendel tad-dnub tagħna għar-rieda ta’ mħabba tal-Missier. F’dan ix-xogħol, Alla jixtieq li nistgħu nħossu kemm sinfulness tagħna quddiem Alla kif ukoll l-offerta tas-salvazzjoni ta ’Alla. Il-grazzja prevenjenti tipp"&amp;"ermetti lil dawk imċappas bid-dnub madankollu jagħmlu għażla tassew ħielsa li jaċċettaw jew jirrifjutaw is-salvazzjoni ta ’Alla fi Kristu.")</f>
        <v>Il-grazzja prevenjenti, jew il-grazzja li "tmur quddiemna", hija mogħtija lin-nies kollha. Hija dik il-qawwa li tippermettilna nħobbu u jimmotivawna biex infittxu relazzjoni ma 'Alla permezz ta' Ġesù Kristu. Din il-grazzja hija l-ħidma preżenti ta ’Alla biex idawwarna mir-rieda tal-bniedem imdendel tad-dnub tagħna għar-rieda ta’ mħabba tal-Missier. F’dan ix-xogħol, Alla jixtieq li nistgħu nħossu kemm sinfulness tagħna quddiem Alla kif ukoll l-offerta tas-salvazzjoni ta ’Alla. Il-grazzja prevenjenti tippermetti lil dawk imċappas bid-dnub madankollu jagħmlu għażla tassew ħielsa li jaċċettaw jew jirrifjutaw is-salvazzjoni ta ’Alla fi Kristu.</v>
      </c>
    </row>
    <row r="1741" ht="15.75" customHeight="1">
      <c r="A1741" s="2" t="s">
        <v>1741</v>
      </c>
      <c r="B1741" s="2" t="str">
        <f>IFERROR(__xludf.DUMMYFUNCTION("GOOGLETRANSLATE(A1741, ""en"", ""mt"")"),"Brownlee jiġġustifika d-diżubbidjenza ċivili lejn liema fergħa tal-gvern?")</f>
        <v>Brownlee jiġġustifika d-diżubbidjenza ċivili lejn liema fergħa tal-gvern?</v>
      </c>
    </row>
    <row r="1742" ht="15.75" customHeight="1">
      <c r="A1742" s="2" t="s">
        <v>1742</v>
      </c>
      <c r="B1742" s="2" t="str">
        <f>IFERROR(__xludf.DUMMYFUNCTION("GOOGLETRANSLATE(A1742, ""en"", ""mt"")"),"L-Adrijatiku")</f>
        <v>L-Adrijatiku</v>
      </c>
    </row>
    <row r="1743" ht="15.75" customHeight="1">
      <c r="A1743" s="2" t="s">
        <v>1743</v>
      </c>
      <c r="B1743" s="2" t="str">
        <f>IFERROR(__xludf.DUMMYFUNCTION("GOOGLETRANSLATE(A1743, ""en"", ""mt"")"),"il-qrati tal-istati membri")</f>
        <v>il-qrati tal-istati membri</v>
      </c>
    </row>
    <row r="1744" ht="15.75" customHeight="1">
      <c r="A1744" s="2" t="s">
        <v>1744</v>
      </c>
      <c r="B1744" s="2" t="str">
        <f>IFERROR(__xludf.DUMMYFUNCTION("GOOGLETRANSLATE(A1744, ""en"", ""mt"")"),"X'jistgħu jsiru l-amiloplasti?")</f>
        <v>X'jistgħu jsiru l-amiloplasti?</v>
      </c>
    </row>
    <row r="1745" ht="15.75" customHeight="1">
      <c r="A1745" s="2" t="s">
        <v>1745</v>
      </c>
      <c r="B1745" s="2" t="str">
        <f>IFERROR(__xludf.DUMMYFUNCTION("GOOGLETRANSLATE(A1745, ""en"", ""mt"")"),"Segretarju")</f>
        <v>Segretarju</v>
      </c>
    </row>
    <row r="1746" ht="15.75" customHeight="1">
      <c r="A1746" s="2" t="s">
        <v>1746</v>
      </c>
      <c r="B1746" s="2" t="str">
        <f>IFERROR(__xludf.DUMMYFUNCTION("GOOGLETRANSLATE(A1746, ""en"", ""mt"")"),"Xi jfisser is-sostituzzjoni tal-magni tal-biljetti u l-introduzzjoni ta 'kanċelli tal-biljetti li tħabbar it-tranżizzjoni għal?")</f>
        <v>Xi jfisser is-sostituzzjoni tal-magni tal-biljetti u l-introduzzjoni ta 'kanċelli tal-biljetti li tħabbar it-tranżizzjoni għal?</v>
      </c>
    </row>
    <row r="1747" ht="15.75" customHeight="1">
      <c r="A1747" s="2" t="s">
        <v>1747</v>
      </c>
      <c r="B1747" s="2" t="str">
        <f>IFERROR(__xludf.DUMMYFUNCTION("GOOGLETRANSLATE(A1747, ""en"", ""mt"")"),"Liema entità tal-gvern għenet tħallas għall-festi, lil hinn minn negozji u individwi?")</f>
        <v>Liema entità tal-gvern għenet tħallas għall-festi, lil hinn minn negozji u individwi?</v>
      </c>
    </row>
    <row r="1748" ht="15.75" customHeight="1">
      <c r="A1748" s="2" t="s">
        <v>1748</v>
      </c>
      <c r="B1748" s="2" t="str">
        <f>IFERROR(__xludf.DUMMYFUNCTION("GOOGLETRANSLATE(A1748, ""en"", ""mt"")"),"Kemm hemm sororitajiet apparti mill-università?")</f>
        <v>Kemm hemm sororitajiet apparti mill-università?</v>
      </c>
    </row>
    <row r="1749" ht="15.75" customHeight="1">
      <c r="A1749" s="2" t="s">
        <v>1749</v>
      </c>
      <c r="B1749" s="2" t="str">
        <f>IFERROR(__xludf.DUMMYFUNCTION("GOOGLETRANSLATE(A1749, ""en"", ""mt"")"),"radjuattività")</f>
        <v>radjuattività</v>
      </c>
    </row>
    <row r="1750" ht="15.75" customHeight="1">
      <c r="A1750" s="2" t="s">
        <v>1750</v>
      </c>
      <c r="B1750" s="2" t="str">
        <f>IFERROR(__xludf.DUMMYFUNCTION("GOOGLETRANSLATE(A1750, ""en"", ""mt"")"),"proprju aktar minn nofs il-ġid globali sal-2016")</f>
        <v>proprju aktar minn nofs il-ġid globali sal-2016</v>
      </c>
    </row>
    <row r="1751" ht="15.75" customHeight="1">
      <c r="A1751" s="2" t="s">
        <v>1751</v>
      </c>
      <c r="B1751" s="2" t="str">
        <f>IFERROR(__xludf.DUMMYFUNCTION("GOOGLETRANSLATE(A1751, ""en"", ""mt"")"),"tnaqqis")</f>
        <v>tnaqqis</v>
      </c>
    </row>
    <row r="1752" ht="15.75" customHeight="1">
      <c r="A1752" s="2" t="s">
        <v>1752</v>
      </c>
      <c r="B1752" s="2" t="str">
        <f>IFERROR(__xludf.DUMMYFUNCTION("GOOGLETRANSLATE(A1752, ""en"", ""mt"")"),"Minbarra l-V &amp; A's, li l-kollezzjonijiet tagħhom huma taħt ir-responsabbiltà tal-konservaturi fil-V &amp; A?")</f>
        <v>Minbarra l-V &amp; A's, li l-kollezzjonijiet tagħhom huma taħt ir-responsabbiltà tal-konservaturi fil-V &amp; A?</v>
      </c>
    </row>
    <row r="1753" ht="15.75" customHeight="1">
      <c r="A1753" s="2" t="s">
        <v>1753</v>
      </c>
      <c r="B1753" s="2" t="str">
        <f>IFERROR(__xludf.DUMMYFUNCTION("GOOGLETRANSLATE(A1753, ""en"", ""mt"")"),"Filwaqt li n-netwerk tar-radju tiegħu kien għaddej minn rikostruzzjoni, ABC sabha diffiċli biex tevita li taqa 'lura fuq il-mezz il-ġdid tat-televiżjoni. Biex ikun żgurat spazju, fl-1947, ABC issottometta ħames applikazzjonijiet għal-liċenzji tal-istazzjo"&amp;"nijiet tat-televiżjoni, waħda għal kull suq fejn kienet proprjetà u operat stazzjon tar-radju (New York City, Los Angeles, Chicago, San Francisco u Detroit). Dawn l-applikazzjonijiet kollha mitluba biex l-istazzjonijiet jixxandru fuq VHF Channel 7, bħala "&amp;"Frank Marx, imbagħad il-Viċi President tal-Inġinerija ta 'ABC, ħasbu li l-frekwenzi VHF ta' faxxa baxxa (li jikkorrispondu għall-Kanali 2 sa 6 sa 6) ikunu rikjesti mill-użu tax-xandir u mill-ġdid għall-Armata ta 'l-Istati Uniti.")</f>
        <v>Filwaqt li n-netwerk tar-radju tiegħu kien għaddej minn rikostruzzjoni, ABC sabha diffiċli biex tevita li taqa 'lura fuq il-mezz il-ġdid tat-televiżjoni. Biex ikun żgurat spazju, fl-1947, ABC issottometta ħames applikazzjonijiet għal-liċenzji tal-istazzjonijiet tat-televiżjoni, waħda għal kull suq fejn kienet proprjetà u operat stazzjon tar-radju (New York City, Los Angeles, Chicago, San Francisco u Detroit). Dawn l-applikazzjonijiet kollha mitluba biex l-istazzjonijiet jixxandru fuq VHF Channel 7, bħala Frank Marx, imbagħad il-Viċi President tal-Inġinerija ta 'ABC, ħasbu li l-frekwenzi VHF ta' faxxa baxxa (li jikkorrispondu għall-Kanali 2 sa 6 sa 6) ikunu rikjesti mill-użu tax-xandir u mill-ġdid għall-Armata ta 'l-Istati Uniti.</v>
      </c>
    </row>
    <row r="1754" ht="15.75" customHeight="1">
      <c r="A1754" s="2" t="s">
        <v>1754</v>
      </c>
      <c r="B1754" s="2" t="str">
        <f>IFERROR(__xludf.DUMMYFUNCTION("GOOGLETRANSLATE(A1754, ""en"", ""mt"")"),"1.6 kilometri")</f>
        <v>1.6 kilometri</v>
      </c>
    </row>
    <row r="1755" ht="15.75" customHeight="1">
      <c r="A1755" s="2" t="s">
        <v>1755</v>
      </c>
      <c r="B1755" s="2" t="str">
        <f>IFERROR(__xludf.DUMMYFUNCTION("GOOGLETRANSLATE(A1755, ""en"", ""mt"")"),"X'inhi d-dgħjufija ewlenija ta 'Daleks?")</f>
        <v>X'inhi d-dgħjufija ewlenija ta 'Daleks?</v>
      </c>
    </row>
    <row r="1756" ht="15.75" customHeight="1">
      <c r="A1756" s="2" t="s">
        <v>1756</v>
      </c>
      <c r="B1756" s="2" t="str">
        <f>IFERROR(__xludf.DUMMYFUNCTION("GOOGLETRANSLATE(A1756, ""en"", ""mt"")"),"Mhux f'Wittenberg")</f>
        <v>Mhux f'Wittenberg</v>
      </c>
    </row>
    <row r="1757" ht="15.75" customHeight="1">
      <c r="A1757" s="2" t="s">
        <v>1757</v>
      </c>
      <c r="B1757" s="2" t="str">
        <f>IFERROR(__xludf.DUMMYFUNCTION("GOOGLETRANSLATE(A1757, ""en"", ""mt"")"),"Ġimgħa waħda")</f>
        <v>Ġimgħa waħda</v>
      </c>
    </row>
    <row r="1758" ht="15.75" customHeight="1">
      <c r="A1758" s="2" t="s">
        <v>1758</v>
      </c>
      <c r="B1758" s="2" t="str">
        <f>IFERROR(__xludf.DUMMYFUNCTION("GOOGLETRANSLATE(A1758, ""en"", ""mt"")"),"Liema artisti ngħaqdu mal-headliner waqt l-ispettaklu tas-Super Bowl 50 f'ħin il-mistrieħ?")</f>
        <v>Liema artisti ngħaqdu mal-headliner waqt l-ispettaklu tas-Super Bowl 50 f'ħin il-mistrieħ?</v>
      </c>
    </row>
    <row r="1759" ht="15.75" customHeight="1">
      <c r="A1759" s="2" t="s">
        <v>1759</v>
      </c>
      <c r="B1759" s="2" t="str">
        <f>IFERROR(__xludf.DUMMYFUNCTION("GOOGLETRANSLATE(A1759, ""en"", ""mt"")"),"X'inhu riżultat wieħed ta 'ribelljoni ċivili?")</f>
        <v>X'inhu riżultat wieħed ta 'ribelljoni ċivili?</v>
      </c>
    </row>
    <row r="1760" ht="15.75" customHeight="1">
      <c r="A1760" s="2" t="s">
        <v>1760</v>
      </c>
      <c r="B1760" s="2" t="str">
        <f>IFERROR(__xludf.DUMMYFUNCTION("GOOGLETRANSLATE(A1760, ""en"", ""mt"")"),"huma rranġati f'Grana")</f>
        <v>huma rranġati f'Grana</v>
      </c>
    </row>
    <row r="1761" ht="15.75" customHeight="1">
      <c r="A1761" s="2" t="s">
        <v>1761</v>
      </c>
      <c r="B1761" s="2" t="str">
        <f>IFERROR(__xludf.DUMMYFUNCTION("GOOGLETRANSLATE(A1761, ""en"", ""mt"")"),"X'inhu l-isem tal-iskema li tipprovdi tagħlim u għajnuna għall-ħlas lill-istudenti minħabba l-iskrizzjoni żejda?")</f>
        <v>X'inhu l-isem tal-iskema li tipprovdi tagħlim u għajnuna għall-ħlas lill-istudenti minħabba l-iskrizzjoni żejda?</v>
      </c>
    </row>
    <row r="1762" ht="15.75" customHeight="1">
      <c r="A1762" s="2" t="s">
        <v>1762</v>
      </c>
      <c r="B1762" s="2" t="str">
        <f>IFERROR(__xludf.DUMMYFUNCTION("GOOGLETRANSLATE(A1762, ""en"", ""mt"")"),"X'jiġri mill-bilanċjatur fir-ringieli tal-moxt?")</f>
        <v>X'jiġri mill-bilanċjatur fir-ringieli tal-moxt?</v>
      </c>
    </row>
    <row r="1763" ht="15.75" customHeight="1">
      <c r="A1763" s="2" t="s">
        <v>1763</v>
      </c>
      <c r="B1763" s="2" t="str">
        <f>IFERROR(__xludf.DUMMYFUNCTION("GOOGLETRANSLATE(A1763, ""en"", ""mt"")"),"Qawwa kolonjali dominanti")</f>
        <v>Qawwa kolonjali dominanti</v>
      </c>
    </row>
    <row r="1764" ht="15.75" customHeight="1">
      <c r="A1764" s="2" t="s">
        <v>1764</v>
      </c>
      <c r="B1764" s="2" t="str">
        <f>IFERROR(__xludf.DUMMYFUNCTION("GOOGLETRANSLATE(A1764, ""en"", ""mt"")"),"X'inhuma d-diviżuri speċifiċi tan-numri kollha uniformi akbar minn 2?")</f>
        <v>X'inhuma d-diviżuri speċifiċi tan-numri kollha uniformi akbar minn 2?</v>
      </c>
    </row>
    <row r="1765" ht="15.75" customHeight="1">
      <c r="A1765" s="2" t="s">
        <v>1765</v>
      </c>
      <c r="B1765" s="2" t="str">
        <f>IFERROR(__xludf.DUMMYFUNCTION("GOOGLETRANSLATE(A1765, ""en"", ""mt"")"),"riżultat")</f>
        <v>riżultat</v>
      </c>
    </row>
    <row r="1766" ht="15.75" customHeight="1">
      <c r="A1766" s="2" t="s">
        <v>1766</v>
      </c>
      <c r="B1766" s="2" t="str">
        <f>IFERROR(__xludf.DUMMYFUNCTION("GOOGLETRANSLATE(A1766, ""en"", ""mt"")"),"Luther x’sejjaħ lill-bdiewa li jduru?")</f>
        <v>Luther x’sejjaħ lill-bdiewa li jduru?</v>
      </c>
    </row>
    <row r="1767" ht="15.75" customHeight="1">
      <c r="A1767" s="2" t="s">
        <v>1767</v>
      </c>
      <c r="B1767" s="2" t="str">
        <f>IFERROR(__xludf.DUMMYFUNCTION("GOOGLETRANSLATE(A1767, ""en"", ""mt"")"),"Liema żewġ nazzjonijiet membri tal-Imperu Ruman Qaddis irċevew refuġjati Huguenot?")</f>
        <v>Liema żewġ nazzjonijiet membri tal-Imperu Ruman Qaddis irċevew refuġjati Huguenot?</v>
      </c>
    </row>
    <row r="1768" ht="15.75" customHeight="1">
      <c r="A1768" s="2" t="s">
        <v>1768</v>
      </c>
      <c r="B1768" s="2" t="str">
        <f>IFERROR(__xludf.DUMMYFUNCTION("GOOGLETRANSLATE(A1768, ""en"", ""mt"")"),"Kemm-il darba t-tabib li jivvjaġġa waħdu?")</f>
        <v>Kemm-il darba t-tabib li jivvjaġġa waħdu?</v>
      </c>
    </row>
    <row r="1769" ht="15.75" customHeight="1">
      <c r="A1769" s="2" t="s">
        <v>1769</v>
      </c>
      <c r="B1769" s="2" t="str">
        <f>IFERROR(__xludf.DUMMYFUNCTION("GOOGLETRANSLATE(A1769, ""en"", ""mt"")"),"X'tip ta 'mġieba fil-primes huwa possibbli li tiddetermina?")</f>
        <v>X'tip ta 'mġieba fil-primes huwa possibbli li tiddetermina?</v>
      </c>
    </row>
    <row r="1770" ht="15.75" customHeight="1">
      <c r="A1770" s="2" t="s">
        <v>1770</v>
      </c>
      <c r="B1770" s="2" t="str">
        <f>IFERROR(__xludf.DUMMYFUNCTION("GOOGLETRANSLATE(A1770, ""en"", ""mt"")"),"X’għamlu l-plott tan-negozjanti ta ’Newcastle biex jagħmlu lil Timothy Dexter?")</f>
        <v>X’għamlu l-plott tan-negozjanti ta ’Newcastle biex jagħmlu lil Timothy Dexter?</v>
      </c>
    </row>
    <row r="1771" ht="15.75" customHeight="1">
      <c r="A1771" s="2" t="s">
        <v>1771</v>
      </c>
      <c r="B1771" s="2" t="str">
        <f>IFERROR(__xludf.DUMMYFUNCTION("GOOGLETRANSLATE(A1771, ""en"", ""mt"")"),"Il-Kunsill Ġudizzjarju huwa l-ogħla qorti fid-denominazzjoni. Tikkonsisti minn disa 'membri, kemm lajċi kif ukoll kleru, eletti mill-konferenza ġenerali għal mandat ta' tmien snin. Il-proporzjon tal-lajċi mal-kleru jalterna kull tmien snin. Il-Kunsill Ġud"&amp;"izzjarju jinterpreta l-Ktieb tad-Dixxiplina bejn Sessjonijiet ta ’Konferenza Ġenerali, u waqt konferenza ġenerali, il-Kunsill Ġudizzjarju jirregola dwar il-Kostituzzjonalità tal-Liġijiet mgħoddija minn Konferenza Ġenerali. Il-Kunsill jiddetermina wkoll je"&amp;"kk azzjonijiet ta 'knejjes lokali, konferenzi annwali, aġenziji tal-knisja, u isqfijiet humiex skond il-liġi tal-knisja. Il-kunsill jirrevedi d-deċiżjonijiet kollha tal-liġi meħuda mill-isqfijiet Il-Kunsill Ġudizzjarju ma jista 'joħloq l-ebda leġislazzjon"&amp;"i; Jista 'jinterpreta biss il-leġislazzjoni eżistenti. Il-kunsill jiltaqa 'darbtejn fis-sena f'diversi postijiet madwar id-dinja. Il-Kunsill Ġudizzjarju jisma 'wkoll appelli minn dawk li ġew akkużati b'reati li jistgħu jitħallsu li jistgħu jirriżultaw f'n"&amp;"umru jew revoka ta' sħubija.")</f>
        <v>Il-Kunsill Ġudizzjarju huwa l-ogħla qorti fid-denominazzjoni. Tikkonsisti minn disa 'membri, kemm lajċi kif ukoll kleru, eletti mill-konferenza ġenerali għal mandat ta' tmien snin. Il-proporzjon tal-lajċi mal-kleru jalterna kull tmien snin. Il-Kunsill Ġudizzjarju jinterpreta l-Ktieb tad-Dixxiplina bejn Sessjonijiet ta ’Konferenza Ġenerali, u waqt konferenza ġenerali, il-Kunsill Ġudizzjarju jirregola dwar il-Kostituzzjonalità tal-Liġijiet mgħoddija minn Konferenza Ġenerali. Il-Kunsill jiddetermina wkoll jekk azzjonijiet ta 'knejjes lokali, konferenzi annwali, aġenziji tal-knisja, u isqfijiet humiex skond il-liġi tal-knisja. Il-kunsill jirrevedi d-deċiżjonijiet kollha tal-liġi meħuda mill-isqfijiet Il-Kunsill Ġudizzjarju ma jista 'joħloq l-ebda leġislazzjoni; Jista 'jinterpreta biss il-leġislazzjoni eżistenti. Il-kunsill jiltaqa 'darbtejn fis-sena f'diversi postijiet madwar id-dinja. Il-Kunsill Ġudizzjarju jisma 'wkoll appelli minn dawk li ġew akkużati b'reati li jistgħu jitħallsu li jistgħu jirriżultaw f'numru jew revoka ta' sħubija.</v>
      </c>
    </row>
    <row r="1772" ht="15.75" customHeight="1">
      <c r="A1772" s="2" t="s">
        <v>1772</v>
      </c>
      <c r="B1772" s="2" t="str">
        <f>IFERROR(__xludf.DUMMYFUNCTION("GOOGLETRANSLATE(A1772, ""en"", ""mt"")"),"Franza ħadet il-kontroll tal-Alġerija fl-1830 iżda bdiet bla heda biex tibni mill-ġdid l-imperu dinji tagħha wara l-1850, billi kkonċentrat prinċipalment fl-Afrika tat-Tramuntana u tal-Punent, kif ukoll fl-Asja tax-Xlokk, b'konkwisti oħra fl-Afrika Ċentra"&amp;"li u tal-Lvant, kif ukoll il-Paċifiku t'Isfel - Ir-Repubblikani, għall-ewwel ostili għall-Imperu, saru biss ta ’appoġġ meta l-Ġermanja bdiet tibni l-imperu kolonjali tagħha stess. Kif żviluppa, l-imperu l-ġdid ħa rwoli ta 'kummerċ ma' Franza, ipprovda mat"&amp;"erja prima u xiri ta 'oġġetti manifatturati, kif ukoll isellef prestiġju lill-patrija u xerred iċ-ċiviltà u l-lingwa Franċiża kif ukoll il-Kattoliċiżmu. Ipprovda wkoll ħaddiema kruċjali fiż-żewġ gwerer dinjija.")</f>
        <v>Franza ħadet il-kontroll tal-Alġerija fl-1830 iżda bdiet bla heda biex tibni mill-ġdid l-imperu dinji tagħha wara l-1850, billi kkonċentrat prinċipalment fl-Afrika tat-Tramuntana u tal-Punent, kif ukoll fl-Asja tax-Xlokk, b'konkwisti oħra fl-Afrika Ċentrali u tal-Lvant, kif ukoll il-Paċifiku t'Isfel - Ir-Repubblikani, għall-ewwel ostili għall-Imperu, saru biss ta ’appoġġ meta l-Ġermanja bdiet tibni l-imperu kolonjali tagħha stess. Kif żviluppa, l-imperu l-ġdid ħa rwoli ta 'kummerċ ma' Franza, ipprovda materja prima u xiri ta 'oġġetti manifatturati, kif ukoll isellef prestiġju lill-patrija u xerred iċ-ċiviltà u l-lingwa Franċiża kif ukoll il-Kattoliċiżmu. Ipprovda wkoll ħaddiema kruċjali fiż-żewġ gwerer dinjija.</v>
      </c>
    </row>
    <row r="1773" ht="15.75" customHeight="1">
      <c r="A1773" s="2" t="s">
        <v>1773</v>
      </c>
      <c r="B1773" s="2" t="str">
        <f>IFERROR(__xludf.DUMMYFUNCTION("GOOGLETRANSLATE(A1773, ""en"", ""mt"")"),"Uġigħ kroniku")</f>
        <v>Uġigħ kroniku</v>
      </c>
    </row>
    <row r="1774" ht="15.75" customHeight="1">
      <c r="A1774" s="2" t="s">
        <v>1774</v>
      </c>
      <c r="B1774" s="2" t="str">
        <f>IFERROR(__xludf.DUMMYFUNCTION("GOOGLETRANSLATE(A1774, ""en"", ""mt"")"),"Liema pajjiżi huma rappreżentati fil-kollezzjonijiet tal-Lvant Imbiegħed?")</f>
        <v>Liema pajjiżi huma rappreżentati fil-kollezzjonijiet tal-Lvant Imbiegħed?</v>
      </c>
    </row>
    <row r="1775" ht="15.75" customHeight="1">
      <c r="A1775" s="2" t="s">
        <v>1775</v>
      </c>
      <c r="B1775" s="2" t="str">
        <f>IFERROR(__xludf.DUMMYFUNCTION("GOOGLETRANSLATE(A1775, ""en"", ""mt"")"),"baqar")</f>
        <v>baqar</v>
      </c>
    </row>
    <row r="1776" ht="15.75" customHeight="1">
      <c r="A1776" s="2" t="s">
        <v>1776</v>
      </c>
      <c r="B1776" s="2" t="str">
        <f>IFERROR(__xludf.DUMMYFUNCTION("GOOGLETRANSLATE(A1776, ""en"", ""mt"")"),"forom inġusti ta 'awtorità")</f>
        <v>forom inġusti ta 'awtorità</v>
      </c>
    </row>
    <row r="1777" ht="15.75" customHeight="1">
      <c r="A1777" s="2" t="s">
        <v>1777</v>
      </c>
      <c r="B1777" s="2" t="str">
        <f>IFERROR(__xludf.DUMMYFUNCTION("GOOGLETRANSLATE(A1777, ""en"", ""mt"")"),"L-attakk Amerikan fuq l-Iraq")</f>
        <v>L-attakk Amerikan fuq l-Iraq</v>
      </c>
    </row>
    <row r="1778" ht="15.75" customHeight="1">
      <c r="A1778" s="2" t="s">
        <v>1778</v>
      </c>
      <c r="B1778" s="2" t="str">
        <f>IFERROR(__xludf.DUMMYFUNCTION("GOOGLETRANSLATE(A1778, ""en"", ""mt"")"),"forza applikata")</f>
        <v>forza applikata</v>
      </c>
    </row>
    <row r="1779" ht="15.75" customHeight="1">
      <c r="A1779" s="2" t="s">
        <v>1779</v>
      </c>
      <c r="B1779" s="2" t="str">
        <f>IFERROR(__xludf.DUMMYFUNCTION("GOOGLETRANSLATE(A1779, ""en"", ""mt"")"),"Tkopri s-silġ jinħall u l-waqgħa tax-xitwa")</f>
        <v>Tkopri s-silġ jinħall u l-waqgħa tax-xitwa</v>
      </c>
    </row>
    <row r="1780" ht="15.75" customHeight="1">
      <c r="A1780" s="2" t="s">
        <v>1780</v>
      </c>
      <c r="B1780" s="2" t="str">
        <f>IFERROR(__xludf.DUMMYFUNCTION("GOOGLETRANSLATE(A1780, ""en"", ""mt"")"),"Il-Knisja Metodista Magħquda tgħallem li l-pornografija hija ""dwar il-vjolenza, id-degradazzjoni, l-isfruttament, u l-isforz"" u ""tiddeplora [i] kull forma ta 'kummerċjalizzazzjoni, abbuż, u sfruttament tas-sess."" It-Task Force tal-Etika Sesswali tal-K"&amp;"nisja Metodista Magħquda tiddikjara li ""r-riċerka turiha [il-pornografija] mhix"" attività innoċenti. "" Huwa ta 'ħsara u ġeneralment huwa vizzju. Persuni li huma dipendenti fuq il-pornografija huma mibdula fiżjoloġikament, kif inhi l-perspettiva tagħhom"&amp;", ir-relazzjonijiet mal-parruċċani u l-familja, u l-perċezzjonijiet tagħhom tal-bniet u n-nisa. """)</f>
        <v>Il-Knisja Metodista Magħquda tgħallem li l-pornografija hija "dwar il-vjolenza, id-degradazzjoni, l-isfruttament, u l-isforz" u "tiddeplora [i] kull forma ta 'kummerċjalizzazzjoni, abbuż, u sfruttament tas-sess." It-Task Force tal-Etika Sesswali tal-Knisja Metodista Magħquda tiddikjara li "r-riċerka turiha [il-pornografija] mhix" attività innoċenti. " Huwa ta 'ħsara u ġeneralment huwa vizzju. Persuni li huma dipendenti fuq il-pornografija huma mibdula fiżjoloġikament, kif inhi l-perspettiva tagħhom, ir-relazzjonijiet mal-parruċċani u l-familja, u l-perċezzjonijiet tagħhom tal-bniet u n-nisa. "</v>
      </c>
    </row>
    <row r="1781" ht="15.75" customHeight="1">
      <c r="A1781" s="2" t="s">
        <v>1781</v>
      </c>
      <c r="B1781" s="2" t="str">
        <f>IFERROR(__xludf.DUMMYFUNCTION("GOOGLETRANSLATE(A1781, ""en"", ""mt"")"),"60 minuta")</f>
        <v>60 minuta</v>
      </c>
    </row>
    <row r="1782" ht="15.75" customHeight="1">
      <c r="A1782" s="2" t="s">
        <v>1782</v>
      </c>
      <c r="B1782" s="2" t="str">
        <f>IFERROR(__xludf.DUMMYFUNCTION("GOOGLETRANSLATE(A1782, ""en"", ""mt"")"),"Fil-bini tal-isptar")</f>
        <v>Fil-bini tal-isptar</v>
      </c>
    </row>
    <row r="1783" ht="15.75" customHeight="1">
      <c r="A1783" s="2" t="s">
        <v>1783</v>
      </c>
      <c r="B1783" s="2" t="str">
        <f>IFERROR(__xludf.DUMMYFUNCTION("GOOGLETRANSLATE(A1783, ""en"", ""mt"")"),"Meta l-kolonji differenti ngħaqdu flimkien u jiffurmaw il-Kenja?")</f>
        <v>Meta l-kolonji differenti ngħaqdu flimkien u jiffurmaw il-Kenja?</v>
      </c>
    </row>
    <row r="1784" ht="15.75" customHeight="1">
      <c r="A1784" s="2" t="s">
        <v>1784</v>
      </c>
      <c r="B1784" s="2" t="str">
        <f>IFERROR(__xludf.DUMMYFUNCTION("GOOGLETRANSLATE(A1784, ""en"", ""mt"")"),"Il-Pont John W. Weeks")</f>
        <v>Il-Pont John W. Weeks</v>
      </c>
    </row>
    <row r="1785" ht="15.75" customHeight="1">
      <c r="A1785" s="2" t="s">
        <v>1785</v>
      </c>
      <c r="B1785" s="2" t="str">
        <f>IFERROR(__xludf.DUMMYFUNCTION("GOOGLETRANSLATE(A1785, ""en"", ""mt"")"),"X'inhu dak li jipproduċi l-livelli għoljin ta 'ossiġnu fid-dinja?")</f>
        <v>X'inhu dak li jipproduċi l-livelli għoljin ta 'ossiġnu fid-dinja?</v>
      </c>
    </row>
    <row r="1786" ht="15.75" customHeight="1">
      <c r="A1786" s="2" t="s">
        <v>1786</v>
      </c>
      <c r="B1786" s="2" t="str">
        <f>IFERROR(__xludf.DUMMYFUNCTION("GOOGLETRANSLATE(A1786, ""en"", ""mt"")"),"X'kienet il-karta tal-patoġeni PLOS?")</f>
        <v>X'kienet il-karta tal-patoġeni PLOS?</v>
      </c>
    </row>
    <row r="1787" ht="15.75" customHeight="1">
      <c r="A1787" s="2" t="s">
        <v>1787</v>
      </c>
      <c r="B1787" s="2" t="str">
        <f>IFERROR(__xludf.DUMMYFUNCTION("GOOGLETRANSLATE(A1787, ""en"", ""mt"")"),"kordi ideali")</f>
        <v>kordi ideali</v>
      </c>
    </row>
    <row r="1788" ht="15.75" customHeight="1">
      <c r="A1788" s="2" t="s">
        <v>1788</v>
      </c>
      <c r="B1788" s="2" t="str">
        <f>IFERROR(__xludf.DUMMYFUNCTION("GOOGLETRANSLATE(A1788, ""en"", ""mt"")"),"L-għalliema huma meħtieġa li jkunu rreġistrati mal-Kunsill tat-Tagħlim; Taħt it-Taqsima 30 tal-Att dwar il-Kunsill tat-Tagħlim 2001, persuna impjegata fi kwalunkwe kapaċità f'posta ta 'tagħlim rikonoxxuta - li mhix irreġistrata mal-Kunsill tat-Tagħlim - m"&amp;"a tistax titħallas mill-fondi Oireachtas.")</f>
        <v>L-għalliema huma meħtieġa li jkunu rreġistrati mal-Kunsill tat-Tagħlim; Taħt it-Taqsima 30 tal-Att dwar il-Kunsill tat-Tagħlim 2001, persuna impjegata fi kwalunkwe kapaċità f'posta ta 'tagħlim rikonoxxuta - li mhix irreġistrata mal-Kunsill tat-Tagħlim - ma tistax titħallas mill-fondi Oireachtas.</v>
      </c>
    </row>
    <row r="1789" ht="15.75" customHeight="1">
      <c r="A1789" s="2" t="s">
        <v>1789</v>
      </c>
      <c r="B1789" s="2" t="str">
        <f>IFERROR(__xludf.DUMMYFUNCTION("GOOGLETRANSLATE(A1789, ""en"", ""mt"")"),"Dak li l-kompjuters jistgħu u ma jistgħux jagħmlu")</f>
        <v>Dak li l-kompjuters jistgħu u ma jistgħux jagħmlu</v>
      </c>
    </row>
    <row r="1790" ht="15.75" customHeight="1">
      <c r="A1790" s="2" t="s">
        <v>1790</v>
      </c>
      <c r="B1790" s="2" t="str">
        <f>IFERROR(__xludf.DUMMYFUNCTION("GOOGLETRANSLATE(A1790, ""en"", ""mt"")"),"tnaqqis fil-livelli tal-ormoni")</f>
        <v>tnaqqis fil-livelli tal-ormoni</v>
      </c>
    </row>
    <row r="1791" ht="15.75" customHeight="1">
      <c r="A1791" s="2" t="s">
        <v>1791</v>
      </c>
      <c r="B1791" s="2" t="str">
        <f>IFERROR(__xludf.DUMMYFUNCTION("GOOGLETRANSLATE(A1791, ""en"", ""mt"")"),"Dipartiment għall-Kultura, il-Midja u l-Isport.")</f>
        <v>Dipartiment għall-Kultura, il-Midja u l-Isport.</v>
      </c>
    </row>
    <row r="1792" ht="15.75" customHeight="1">
      <c r="A1792" s="2" t="s">
        <v>1792</v>
      </c>
      <c r="B1792" s="2" t="str">
        <f>IFERROR(__xludf.DUMMYFUNCTION("GOOGLETRANSLATE(A1792, ""en"", ""mt"")"),"Aktar minn 37 miljun passiġġier")</f>
        <v>Aktar minn 37 miljun passiġġier</v>
      </c>
    </row>
    <row r="1793" ht="15.75" customHeight="1">
      <c r="A1793" s="2" t="s">
        <v>1793</v>
      </c>
      <c r="B1793" s="2" t="str">
        <f>IFERROR(__xludf.DUMMYFUNCTION("GOOGLETRANSLATE(A1793, ""en"", ""mt"")"),"Ħafna liturġiji huma derivati ​​minn liema ktieb?")</f>
        <v>Ħafna liturġiji huma derivati ​​minn liema ktieb?</v>
      </c>
    </row>
    <row r="1794" ht="15.75" customHeight="1">
      <c r="A1794" s="2" t="s">
        <v>1794</v>
      </c>
      <c r="B1794" s="2" t="str">
        <f>IFERROR(__xludf.DUMMYFUNCTION("GOOGLETRANSLATE(A1794, ""en"", ""mt"")"),"L-ewwel servizz onlajn kummerċjali tad-dinja")</f>
        <v>L-ewwel servizz onlajn kummerċjali tad-dinja</v>
      </c>
    </row>
    <row r="1795" ht="15.75" customHeight="1">
      <c r="A1795" s="2" t="s">
        <v>1795</v>
      </c>
      <c r="B1795" s="2" t="str">
        <f>IFERROR(__xludf.DUMMYFUNCTION("GOOGLETRANSLATE(A1795, ""en"", ""mt"")"),"Aktar ġid u dħul")</f>
        <v>Aktar ġid u dħul</v>
      </c>
    </row>
    <row r="1796" ht="15.75" customHeight="1">
      <c r="A1796" s="2" t="s">
        <v>1796</v>
      </c>
      <c r="B1796" s="2" t="str">
        <f>IFERROR(__xludf.DUMMYFUNCTION("GOOGLETRANSLATE(A1796, ""en"", ""mt"")"),"X'ġara fl-1901?")</f>
        <v>X'ġara fl-1901?</v>
      </c>
    </row>
    <row r="1797" ht="15.75" customHeight="1">
      <c r="A1797" s="2" t="s">
        <v>1797</v>
      </c>
      <c r="B1797" s="2" t="str">
        <f>IFERROR(__xludf.DUMMYFUNCTION("GOOGLETRANSLATE(A1797, ""en"", ""mt"")"),"Ħin u dimensjoni relattiva fl-ispazju")</f>
        <v>Ħin u dimensjoni relattiva fl-ispazju</v>
      </c>
    </row>
    <row r="1798" ht="15.75" customHeight="1">
      <c r="A1798" s="2" t="s">
        <v>1798</v>
      </c>
      <c r="B1798" s="2" t="str">
        <f>IFERROR(__xludf.DUMMYFUNCTION("GOOGLETRANSLATE(A1798, ""en"", ""mt"")"),"Fejn Aristotile kien jemmen il-post naturali għall-elementi tad-dinja u tal-ilma?")</f>
        <v>Fejn Aristotile kien jemmen il-post naturali għall-elementi tad-dinja u tal-ilma?</v>
      </c>
    </row>
    <row r="1799" ht="15.75" customHeight="1">
      <c r="A1799" s="2" t="s">
        <v>1799</v>
      </c>
      <c r="B1799" s="2" t="str">
        <f>IFERROR(__xludf.DUMMYFUNCTION("GOOGLETRANSLATE(A1799, ""en"", ""mt"")"),"X'inhi l-unità bażika tad-diviżjoni territorjali fil-Polonja?")</f>
        <v>X'inhi l-unità bażika tad-diviżjoni territorjali fil-Polonja?</v>
      </c>
    </row>
    <row r="1800" ht="15.75" customHeight="1">
      <c r="A1800" s="2" t="s">
        <v>1800</v>
      </c>
      <c r="B1800" s="2" t="str">
        <f>IFERROR(__xludf.DUMMYFUNCTION("GOOGLETRANSLATE(A1800, ""en"", ""mt"")"),"mhux neċessarjament raġun")</f>
        <v>mhux neċessarjament raġun</v>
      </c>
    </row>
    <row r="1801" ht="15.75" customHeight="1">
      <c r="A1801" s="2" t="s">
        <v>1801</v>
      </c>
      <c r="B1801" s="2" t="str">
        <f>IFERROR(__xludf.DUMMYFUNCTION("GOOGLETRANSLATE(A1801, ""en"", ""mt"")"),"Liema grupp qatel eluf ta 'Huguenots?")</f>
        <v>Liema grupp qatel eluf ta 'Huguenots?</v>
      </c>
    </row>
    <row r="1802" ht="15.75" customHeight="1">
      <c r="A1802" s="2" t="s">
        <v>1802</v>
      </c>
      <c r="B1802" s="2" t="str">
        <f>IFERROR(__xludf.DUMMYFUNCTION("GOOGLETRANSLATE(A1802, ""en"", ""mt"")"),"kloroplast derivat mill-alka ħamra")</f>
        <v>kloroplast derivat mill-alka ħamra</v>
      </c>
    </row>
    <row r="1803" ht="15.75" customHeight="1">
      <c r="A1803" s="2" t="s">
        <v>1803</v>
      </c>
      <c r="B1803" s="2" t="str">
        <f>IFERROR(__xludf.DUMMYFUNCTION("GOOGLETRANSLATE(A1803, ""en"", ""mt"")"),"ħadem bħala min jinsa")</f>
        <v>ħadem bħala min jinsa</v>
      </c>
    </row>
    <row r="1804" ht="15.75" customHeight="1">
      <c r="A1804" s="2" t="s">
        <v>1804</v>
      </c>
      <c r="B1804" s="2" t="str">
        <f>IFERROR(__xludf.DUMMYFUNCTION("GOOGLETRANSLATE(A1804, ""en"", ""mt"")"),"Frederick II il-Kbir")</f>
        <v>Frederick II il-Kbir</v>
      </c>
    </row>
    <row r="1805" ht="15.75" customHeight="1">
      <c r="A1805" s="2" t="s">
        <v>1805</v>
      </c>
      <c r="B1805" s="2" t="str">
        <f>IFERROR(__xludf.DUMMYFUNCTION("GOOGLETRANSLATE(A1805, ""en"", ""mt"")"),"Meta nqabad Waruhiu ITote?")</f>
        <v>Meta nqabad Waruhiu ITote?</v>
      </c>
    </row>
    <row r="1806" ht="15.75" customHeight="1">
      <c r="A1806" s="2" t="s">
        <v>1806</v>
      </c>
      <c r="B1806" s="2" t="str">
        <f>IFERROR(__xludf.DUMMYFUNCTION("GOOGLETRANSLATE(A1806, ""en"", ""mt"")"),"Wasal tard wisq biex jinkitbu")</f>
        <v>Wasal tard wisq biex jinkitbu</v>
      </c>
    </row>
    <row r="1807" ht="15.75" customHeight="1">
      <c r="A1807" s="2" t="s">
        <v>1807</v>
      </c>
      <c r="B1807" s="2" t="str">
        <f>IFERROR(__xludf.DUMMYFUNCTION("GOOGLETRANSLATE(A1807, ""en"", ""mt"")"),"koppla trasparenti magħmula minn ċili twil u immobbli")</f>
        <v>koppla trasparenti magħmula minn ċili twil u immobbli</v>
      </c>
    </row>
    <row r="1808" ht="15.75" customHeight="1">
      <c r="A1808" s="2" t="s">
        <v>1808</v>
      </c>
      <c r="B1808" s="2" t="str">
        <f>IFERROR(__xludf.DUMMYFUNCTION("GOOGLETRANSLATE(A1808, ""en"", ""mt"")"),"ir-rata tat-taxxa")</f>
        <v>ir-rata tat-taxxa</v>
      </c>
    </row>
    <row r="1809" ht="15.75" customHeight="1">
      <c r="A1809" s="2" t="s">
        <v>1809</v>
      </c>
      <c r="B1809" s="2" t="str">
        <f>IFERROR(__xludf.DUMMYFUNCTION("GOOGLETRANSLATE(A1809, ""en"", ""mt"")"),"Il-proteini jikkumplimentaw jorbtu ma 'x'tip ta' molekuli fuq il-wiċċ tal-mikrobi sabiex jinħolqu rispons immuni?")</f>
        <v>Il-proteini jikkumplimentaw jorbtu ma 'x'tip ta' molekuli fuq il-wiċċ tal-mikrobi sabiex jinħolqu rispons immuni?</v>
      </c>
    </row>
    <row r="1810" ht="15.75" customHeight="1">
      <c r="A1810" s="2" t="s">
        <v>1810</v>
      </c>
      <c r="B1810" s="2" t="str">
        <f>IFERROR(__xludf.DUMMYFUNCTION("GOOGLETRANSLATE(A1810, ""en"", ""mt"")"),"X'inhu l-fluwidu tipiku tax-xogħol f'magna tal-fwar?")</f>
        <v>X'inhu l-fluwidu tipiku tax-xogħol f'magna tal-fwar?</v>
      </c>
    </row>
    <row r="1811" ht="15.75" customHeight="1">
      <c r="A1811" s="2" t="s">
        <v>1811</v>
      </c>
      <c r="B1811" s="2" t="str">
        <f>IFERROR(__xludf.DUMMYFUNCTION("GOOGLETRANSLATE(A1811, ""en"", ""mt"")"),"Funzjoni fotosintetika")</f>
        <v>Funzjoni fotosintetika</v>
      </c>
    </row>
    <row r="1812" ht="15.75" customHeight="1">
      <c r="A1812" s="2" t="s">
        <v>1812</v>
      </c>
      <c r="B1812" s="2" t="str">
        <f>IFERROR(__xludf.DUMMYFUNCTION("GOOGLETRANSLATE(A1812, ""en"", ""mt"")"),"In-numru totali ta 'siġġijiet fil-Parlament huma allokati lill-partijiet proporzjonalment man-numru ta' voti riċevuti fit-tieni vot tal-votazzjoni bl-użu tal-metodu D'Hondt. Pereżempju, biex jiġi ddeterminat min jingħata l-ewwel sedil tal-lista, in-numru "&amp;"ta 'voti tal-lista mitfugħa għal kull parti huwa maqsum minn wieħed flimkien mal-għadd ta' siġġijiet li l-partit rebaħ fir-reġjun (f'dan il-punt biss siġġijiet ta 'kostitwenza). Il-partit bl-ogħla kwozjent jingħata s-sedil, li mbagħad jiġi miżjud mas-siġġ"&amp;"ijiet tal-kostitwenza tiegħu fl-allokazzjoni tat-tieni siġġu. Dan huwa ripetut b'mod iterattiv sakemm is-siġġijiet kollha tal-lista disponibbli jiġu allokati.")</f>
        <v>In-numru totali ta 'siġġijiet fil-Parlament huma allokati lill-partijiet proporzjonalment man-numru ta' voti riċevuti fit-tieni vot tal-votazzjoni bl-użu tal-metodu D'Hondt. Pereżempju, biex jiġi ddeterminat min jingħata l-ewwel sedil tal-lista, in-numru ta 'voti tal-lista mitfugħa għal kull parti huwa maqsum minn wieħed flimkien mal-għadd ta' siġġijiet li l-partit rebaħ fir-reġjun (f'dan il-punt biss siġġijiet ta 'kostitwenza). Il-partit bl-ogħla kwozjent jingħata s-sedil, li mbagħad jiġi miżjud mas-siġġijiet tal-kostitwenza tiegħu fl-allokazzjoni tat-tieni siġġu. Dan huwa ripetut b'mod iterattiv sakemm is-siġġijiet kollha tal-lista disponibbli jiġu allokati.</v>
      </c>
    </row>
    <row r="1813" ht="15.75" customHeight="1">
      <c r="A1813" s="2" t="s">
        <v>1813</v>
      </c>
      <c r="B1813" s="2" t="str">
        <f>IFERROR(__xludf.DUMMYFUNCTION("GOOGLETRANSLATE(A1813, ""en"", ""mt"")"),"Min iddeċieda li ma japprovax il-ħlas għar-rinnovazzjonijiet fil-Sun Life Stadium li l-kampjonat ried jagħmluhom biex jospitaw Super Bowl 50?")</f>
        <v>Min iddeċieda li ma japprovax il-ħlas għar-rinnovazzjonijiet fil-Sun Life Stadium li l-kampjonat ried jagħmluhom biex jospitaw Super Bowl 50?</v>
      </c>
    </row>
    <row r="1814" ht="15.75" customHeight="1">
      <c r="A1814" s="2" t="s">
        <v>1814</v>
      </c>
      <c r="B1814" s="2" t="str">
        <f>IFERROR(__xludf.DUMMYFUNCTION("GOOGLETRANSLATE(A1814, ""en"", ""mt"")"),"Kif irriżulta l-kampanja tal-grupp Iżlamiku biex twaqqa 'l-gvern?")</f>
        <v>Kif irriżulta l-kampanja tal-grupp Iżlamiku biex twaqqa 'l-gvern?</v>
      </c>
    </row>
    <row r="1815" ht="15.75" customHeight="1">
      <c r="A1815" s="2" t="s">
        <v>1815</v>
      </c>
      <c r="B1815" s="2" t="str">
        <f>IFERROR(__xludf.DUMMYFUNCTION("GOOGLETRANSLATE(A1815, ""en"", ""mt"")"),"ikissru l-wegħdiet tagħhom")</f>
        <v>ikissru l-wegħdiet tagħhom</v>
      </c>
    </row>
    <row r="1816" ht="15.75" customHeight="1">
      <c r="A1816" s="2" t="s">
        <v>1816</v>
      </c>
      <c r="B1816" s="2" t="str">
        <f>IFERROR(__xludf.DUMMYFUNCTION("GOOGLETRANSLATE(A1816, ""en"", ""mt"")"),"Il-voti mill-fortizza tiegħu waslu aktar tard")</f>
        <v>Il-voti mill-fortizza tiegħu waslu aktar tard</v>
      </c>
    </row>
    <row r="1817" ht="15.75" customHeight="1">
      <c r="A1817" s="2" t="s">
        <v>1817</v>
      </c>
      <c r="B1817" s="2" t="str">
        <f>IFERROR(__xludf.DUMMYFUNCTION("GOOGLETRANSLATE(A1817, ""en"", ""mt"")"),"X'inhu l-isem tal-festival tax-xitwa li sar f'Jannar li huwa bbażat fuq il-fitness?")</f>
        <v>X'inhu l-isem tal-festival tax-xitwa li sar f'Jannar li huwa bbażat fuq il-fitness?</v>
      </c>
    </row>
    <row r="1818" ht="15.75" customHeight="1">
      <c r="A1818" s="2" t="s">
        <v>1818</v>
      </c>
      <c r="B1818" s="2" t="str">
        <f>IFERROR(__xludf.DUMMYFUNCTION("GOOGLETRANSLATE(A1818, ""en"", ""mt"")"),"pjanti u alka.")</f>
        <v>pjanti u alka.</v>
      </c>
    </row>
    <row r="1819" ht="15.75" customHeight="1">
      <c r="A1819" s="2" t="s">
        <v>1819</v>
      </c>
      <c r="B1819" s="2" t="str">
        <f>IFERROR(__xludf.DUMMYFUNCTION("GOOGLETRANSLATE(A1819, ""en"", ""mt"")"),"Ħafna elementi tal-lingwa l-qadima.")</f>
        <v>Ħafna elementi tal-lingwa l-qadima.</v>
      </c>
    </row>
    <row r="1820" ht="15.75" customHeight="1">
      <c r="A1820" s="2" t="s">
        <v>1820</v>
      </c>
      <c r="B1820" s="2" t="str">
        <f>IFERROR(__xludf.DUMMYFUNCTION("GOOGLETRANSLATE(A1820, ""en"", ""mt"")"),"Liema aspett tal-ekonomija Genghis Khan sfrutta għall-ġbir tal-intelliġenza?")</f>
        <v>Liema aspett tal-ekonomija Genghis Khan sfrutta għall-ġbir tal-intelliġenza?</v>
      </c>
    </row>
    <row r="1821" ht="15.75" customHeight="1">
      <c r="A1821" s="2" t="s">
        <v>1821</v>
      </c>
      <c r="B1821" s="2" t="str">
        <f>IFERROR(__xludf.DUMMYFUNCTION("GOOGLETRANSLATE(A1821, ""en"", ""mt"")"),"Hemm tliet tipi ewlenin ta 'blat: igneous, sedimentarji, u metamorfiċi. Iċ-ċiklu tal-blat huwa kunċett importanti fil-ġeoloġija li juri r-relazzjonijiet bejn dawn it-tliet tipi ta 'blat, u magma. Meta blat jikkristallizza minn tidwib (magma u / jew lava),"&amp;" huwa blat igneous. Dan il-blat jista 'jitħaffef u jitnaqqar, u mbagħad jerġa' jiġi mdaħħal mill-ġdid u mdaħħal fi blat sedimentarju, jew jinbidel fi blat metamorfiku minħabba s-sħana u l-pressjoni li jibdlu l-kontenut minerali tal-blat li jagħtih drapp k"&amp;"aratteristiku. Il-blat sedimentarju jista 'mbagħad jiġi sussegwentement jinbidel fi blat metamorfiku minħabba s-sħana u l-pressjoni u mbagħad jiġi mtawwal, imnaqqar, depożitat, u litifikat, fl-aħħar isir blat sedimentarju. Il-blat sedimentarju jista 'wkol"&amp;"l jerġa' jiġi evitat u mill-ġdid, u l-blat metamorfiku jista 'wkoll jgħaddi minn metamorfiżmu addizzjonali. It-tliet tipi ta 'blat kollha jistgħu jerġgħu jinħallu; Meta jiġri dan, hija ffurmata magma ġdida, li minnha blat igneous jista 'jerġa' jikkristall"&amp;"izza.")</f>
        <v>Hemm tliet tipi ewlenin ta 'blat: igneous, sedimentarji, u metamorfiċi. Iċ-ċiklu tal-blat huwa kunċett importanti fil-ġeoloġija li juri r-relazzjonijiet bejn dawn it-tliet tipi ta 'blat, u magma. Meta blat jikkristallizza minn tidwib (magma u / jew lava), huwa blat igneous. Dan il-blat jista 'jitħaffef u jitnaqqar, u mbagħad jerġa' jiġi mdaħħal mill-ġdid u mdaħħal fi blat sedimentarju, jew jinbidel fi blat metamorfiku minħabba s-sħana u l-pressjoni li jibdlu l-kontenut minerali tal-blat li jagħtih drapp karatteristiku. Il-blat sedimentarju jista 'mbagħad jiġi sussegwentement jinbidel fi blat metamorfiku minħabba s-sħana u l-pressjoni u mbagħad jiġi mtawwal, imnaqqar, depożitat, u litifikat, fl-aħħar isir blat sedimentarju. Il-blat sedimentarju jista 'wkoll jerġa' jiġi evitat u mill-ġdid, u l-blat metamorfiku jista 'wkoll jgħaddi minn metamorfiżmu addizzjonali. It-tliet tipi ta 'blat kollha jistgħu jerġgħu jinħallu; Meta jiġri dan, hija ffurmata magma ġdida, li minnha blat igneous jista 'jerġa' jikkristallizza.</v>
      </c>
    </row>
    <row r="1822" ht="15.75" customHeight="1">
      <c r="A1822" s="2" t="s">
        <v>1822</v>
      </c>
      <c r="B1822" s="2" t="str">
        <f>IFERROR(__xludf.DUMMYFUNCTION("GOOGLETRANSLATE(A1822, ""en"", ""mt"")"),"Minn liema tip ta 'materjali għandu jkun separat l-ossiġnu likwidu?")</f>
        <v>Minn liema tip ta 'materjali għandu jkun separat l-ossiġnu likwidu?</v>
      </c>
    </row>
    <row r="1823" ht="15.75" customHeight="1">
      <c r="A1823" s="2" t="s">
        <v>1823</v>
      </c>
      <c r="B1823" s="2" t="str">
        <f>IFERROR(__xludf.DUMMYFUNCTION("GOOGLETRANSLATE(A1823, ""en"", ""mt"")"),"teknoloġija")</f>
        <v>teknoloġija</v>
      </c>
    </row>
    <row r="1824" ht="15.75" customHeight="1">
      <c r="A1824" s="2" t="s">
        <v>1824</v>
      </c>
      <c r="B1824" s="2" t="str">
        <f>IFERROR(__xludf.DUMMYFUNCTION("GOOGLETRANSLATE(A1824, ""en"", ""mt"")"),"L-issettjar kollu tal-kura tas-saħħa")</f>
        <v>L-issettjar kollu tal-kura tas-saħħa</v>
      </c>
    </row>
    <row r="1825" ht="15.75" customHeight="1">
      <c r="A1825" s="2" t="s">
        <v>1825</v>
      </c>
      <c r="B1825" s="2" t="str">
        <f>IFERROR(__xludf.DUMMYFUNCTION("GOOGLETRANSLATE(A1825, ""en"", ""mt"")"),"Minkejja r-repressjoni perjodika, il-fratellanza saret waħda mill-aktar movimenti influwenti fid-dinja Iżlamika, partikolarment fid-dinja Għarbija. Għal ħafna snin ġie deskritt bħala ""semi-legali"" u kien l-uniku grupp ta 'oppożizzjoni fl-Eġittu li kapaċ"&amp;"i jsaħħaħ il-kandidati waqt l-elezzjonijiet. Fl-elezzjoni Parlamentari Eġizzjana, 2011-2012, il-partiti politiċi identifikati bħala ""Iżlamisti"" (il-Partit tal-Libertà u l-Ġustizzja tal-Fratellanza, il-Partit Salafi al-Nour u l-Partit Liberali Iżlamista "&amp;"Al-Wasat) rebħu 75% tas-siġġijiet totali. Mohamed Morsi, Demokratiku Iżlamista tal-Fratellanza Musulmana, kien l-ewwel president elett demokratikament tal-Eġittu. Huwa ġie depożitat matul il-kolp ta 'stat Eġizzjan 2013.")</f>
        <v>Minkejja r-repressjoni perjodika, il-fratellanza saret waħda mill-aktar movimenti influwenti fid-dinja Iżlamika, partikolarment fid-dinja Għarbija. Għal ħafna snin ġie deskritt bħala "semi-legali" u kien l-uniku grupp ta 'oppożizzjoni fl-Eġittu li kapaċi jsaħħaħ il-kandidati waqt l-elezzjonijiet. Fl-elezzjoni Parlamentari Eġizzjana, 2011-2012, il-partiti politiċi identifikati bħala "Iżlamisti" (il-Partit tal-Libertà u l-Ġustizzja tal-Fratellanza, il-Partit Salafi al-Nour u l-Partit Liberali Iżlamista Al-Wasat) rebħu 75% tas-siġġijiet totali. Mohamed Morsi, Demokratiku Iżlamista tal-Fratellanza Musulmana, kien l-ewwel president elett demokratikament tal-Eġittu. Huwa ġie depożitat matul il-kolp ta 'stat Eġizzjan 2013.</v>
      </c>
    </row>
    <row r="1826" ht="15.75" customHeight="1">
      <c r="A1826" s="2" t="s">
        <v>1826</v>
      </c>
      <c r="B1826" s="2" t="str">
        <f>IFERROR(__xludf.DUMMYFUNCTION("GOOGLETRANSLATE(A1826, ""en"", ""mt"")"),"X'inhu l-kunċett ta 'Luther ta' Kristu u s-salvazzjoni tiegħu?")</f>
        <v>X'inhu l-kunċett ta 'Luther ta' Kristu u s-salvazzjoni tiegħu?</v>
      </c>
    </row>
    <row r="1827" ht="15.75" customHeight="1">
      <c r="A1827" s="2" t="s">
        <v>1827</v>
      </c>
      <c r="B1827" s="2" t="str">
        <f>IFERROR(__xludf.DUMMYFUNCTION("GOOGLETRANSLATE(A1827, ""en"", ""mt"")"),"Liema tliet grawnds iddeċidew l-NFL bejn il-logħba?")</f>
        <v>Liema tliet grawnds iddeċidew l-NFL bejn il-logħba?</v>
      </c>
    </row>
    <row r="1828" ht="15.75" customHeight="1">
      <c r="A1828" s="2" t="s">
        <v>1828</v>
      </c>
      <c r="B1828" s="2" t="str">
        <f>IFERROR(__xludf.DUMMYFUNCTION("GOOGLETRANSLATE(A1828, ""en"", ""mt"")"),"Fejn jistgħu jinstabu l-klassijiet tal-kumplessità RP, BPP, PP, BQP, MA, u PH?")</f>
        <v>Fejn jistgħu jinstabu l-klassijiet tal-kumplessità RP, BPP, PP, BQP, MA, u PH?</v>
      </c>
    </row>
    <row r="1829" ht="15.75" customHeight="1">
      <c r="A1829" s="2" t="s">
        <v>1829</v>
      </c>
      <c r="B1829" s="2" t="str">
        <f>IFERROR(__xludf.DUMMYFUNCTION("GOOGLETRANSLATE(A1829, ""en"", ""mt"")"),"Liema ġabra għandha l-galleriji tat-Teatru u l-Prestazzjoni V&amp;A?")</f>
        <v>Liema ġabra għandha l-galleriji tat-Teatru u l-Prestazzjoni V&amp;A?</v>
      </c>
    </row>
    <row r="1830" ht="15.75" customHeight="1">
      <c r="A1830" s="2" t="s">
        <v>1830</v>
      </c>
      <c r="B1830" s="2" t="str">
        <f>IFERROR(__xludf.DUMMYFUNCTION("GOOGLETRANSLATE(A1830, ""en"", ""mt"")"),"ħbiberija u ta 'appoġġ")</f>
        <v>ħbiberija u ta 'appoġġ</v>
      </c>
    </row>
    <row r="1831" ht="15.75" customHeight="1">
      <c r="A1831" s="2" t="s">
        <v>1831</v>
      </c>
      <c r="B1831" s="2" t="str">
        <f>IFERROR(__xludf.DUMMYFUNCTION("GOOGLETRANSLATE(A1831, ""en"", ""mt"")"),"Min esprima diżgwid għall-kanoniċità ta 'Doctor Who Stories minn midja oħra?")</f>
        <v>Min esprima diżgwid għall-kanoniċità ta 'Doctor Who Stories minn midja oħra?</v>
      </c>
    </row>
    <row r="1832" ht="15.75" customHeight="1">
      <c r="A1832" s="2" t="s">
        <v>1832</v>
      </c>
      <c r="B1832" s="2" t="str">
        <f>IFERROR(__xludf.DUMMYFUNCTION("GOOGLETRANSLATE(A1832, ""en"", ""mt"")"),"bżieżaq ta 'gass inert, l-aktar nitroġenu u elju, li jiffurmaw fid-demm tagħhom")</f>
        <v>bżieżaq ta 'gass inert, l-aktar nitroġenu u elju, li jiffurmaw fid-demm tagħhom</v>
      </c>
    </row>
    <row r="1833" ht="15.75" customHeight="1">
      <c r="A1833" s="2" t="s">
        <v>1833</v>
      </c>
      <c r="B1833" s="2" t="str">
        <f>IFERROR(__xludf.DUMMYFUNCTION("GOOGLETRANSLATE(A1833, ""en"", ""mt"")"),"Ftit biss")</f>
        <v>Ftit biss</v>
      </c>
    </row>
    <row r="1834" ht="15.75" customHeight="1">
      <c r="A1834" s="2" t="s">
        <v>1834</v>
      </c>
      <c r="B1834" s="2" t="str">
        <f>IFERROR(__xludf.DUMMYFUNCTION("GOOGLETRANSLATE(A1834, ""en"", ""mt"")"),"faqar")</f>
        <v>faqar</v>
      </c>
    </row>
    <row r="1835" ht="15.75" customHeight="1">
      <c r="A1835" s="2" t="s">
        <v>1835</v>
      </c>
      <c r="B1835" s="2" t="str">
        <f>IFERROR(__xludf.DUMMYFUNCTION("GOOGLETRANSLATE(A1835, ""en"", ""mt"")"),"Fir-rigward tal-kumpaniji, il-Qorti tal-Ġustizzja miżmuma f'R (Daily Mail and General Trust Plc) v HM Teżor li l-istati membri jistgħu jirrestrinġu kumpanija li tmexxi s-sede tan-negozju tagħha, mingħajr ma tikser l-artikolu 49. TFEU dan kien ifisser il-k"&amp;"umpanija ewlenija tal-gazzetta ta 'Daily Mail Ma setgħetx tevadi t-taxxa billi tbiddel ir-residenza tagħha lill-Olanda mingħajr ma l-ewwel issetilja l-kontijiet tat-taxxa tagħha fir-Renju Unit. Ir-Renju Unit ma kellux għalfejn jiġġustifika l-azzjoni tiegħ"&amp;"u, billi r-regoli dwar is-siġġijiet tal-kumpanija ma kinux għadhom armonizzati. B'kuntrast, f'Centros Ltd v Erhversus-OG Selkabssyelsen Il-Qorti tal-Ġustizzja sabet li kumpanija limitata tar-Renju Unit li topera fid-Danimarka ma setgħetx tkun meħtieġa li "&amp;"tikkonforma mar-regoli tal-kapital azzjonarju minimu tad-Danimarka. Il-liġi tar-Renju Unit kienet teħtieġ biss £ 1 ta 'kapital biex tibda kumpanija, filwaqt li l-leġiżlatura tad-Danimarka ħadet il-fehma li l-kumpaniji għandhom jinbdew biss jekk kellhom 20"&amp;"0,000 Krone Daniż (madwar € 27,000) biex jipproteġu l-kredituri jekk il-kumpanija falliet u marret insolventi. Il-Qorti tal-Ġustizzja qalet li l-liġi kapitali minima tad-Danimarka kisret il-libertà ta 'stabbiliment ta' Centros Ltd u ma setgħetx tkun iġġus"&amp;"tifikata, minħabba li kumpanija fir-Renju Unit setgħet tipprovdi servizzi fid-Danimarka mingħajr ma tkun stabbilita hemmhekk, u kien hemm mezzi inqas restrittivi biex jinkiseb l-għan ta ' Protezzjoni tal-kreditur. Dan l-approċċ ġie kkritikat bħala li pote"&amp;"nzjalment jiftaħ l-UE għal kompetizzjoni regolatorja mhux ġustifikata, u tellieqa lejn il-qiegħ fl-istandards, bħal fl-Istati Uniti fejn l-istat Delaware jattira ħafna kumpaniji u ħafna drabi huwa argumentat li għandu l-agħar standards tar-responsabbiltà "&amp;"tal-bordijiet, u baxx Bħala riżultat ta 'taxxi korporattivi. Bl-istess mod fil-kostruzzjoni ta 'überseering bv v nordic gmbH Il-Qorti tal-Ġustizzja ddeċidiet li qorti Ġermaniża ma setgħetx tiċħad lil kumpanija tal-bini Olandiża d-dritt li tinforza kuntrat"&amp;"t fil-Ġermanja fuq il-bażi li ma kinitx validament inkorporata fil-Ġermanja. Għalkemm ir-restrizzjonijiet fuq il-libertà tal-istabbiliment jistgħu jiġu ġġustifikati mill-protezzjoni tal-kredituri, id-drittijiet tax-xogħol biex jipparteċipaw fix-xogħol, je"&amp;"w l-interess pubbliku fil-ġbir tat-taxxi, iċ-ċaħda tal-kapaċità marret wisq: kienet ""negazzjoni diretta"" tad-dritt ta 'stabbiliment. Madankollu, fil-Cartesio Oktató és Szolgáltató bt il-Qorti tal-Ġustizzja affermat mill-ġdid li minħabba li l-korporazzjo"&amp;"nijiet huma maħluqa mil-liġi, huma fil-prinċipju huma soġġetti għal kwalunkwe regoli għall-formazzjoni li stat ta 'inkorporazzjoni jixtieq jimponi. Dan kien ifisser li l-awtoritajiet Ungeriżi jistgħu jipprevjenu kumpanija milli tbiddel l-amministrazzjoni "&amp;"ċentrali tagħha lejn l-Italja waqt li kienet għadha topera u ġiet inkorporata fl-Ungerija. Għalhekk, il-qorti tiġbed distinzjoni bejn id-dritt ta 'stabbiliment għal kumpaniji barranin (fejn ir-restrizzjonijiet għandhom ikunu ġġustifikati), u d-dritt tal-I"&amp;"stat li jiddetermina l-kundizzjonijiet għall-kumpaniji inkorporati fit-territorju tagħha, għalkemm mhuwiex kompletament ċar għaliex.")</f>
        <v>Fir-rigward tal-kumpaniji, il-Qorti tal-Ġustizzja miżmuma f'R (Daily Mail and General Trust Plc) v HM Teżor li l-istati membri jistgħu jirrestrinġu kumpanija li tmexxi s-sede tan-negozju tagħha, mingħajr ma tikser l-artikolu 49. TFEU dan kien ifisser il-kumpanija ewlenija tal-gazzetta ta 'Daily Mail Ma setgħetx tevadi t-taxxa billi tbiddel ir-residenza tagħha lill-Olanda mingħajr ma l-ewwel issetilja l-kontijiet tat-taxxa tagħha fir-Renju Unit. Ir-Renju Unit ma kellux għalfejn jiġġustifika l-azzjoni tiegħu, billi r-regoli dwar is-siġġijiet tal-kumpanija ma kinux għadhom armonizzati. B'kuntrast, f'Centros Ltd v Erhversus-OG Selkabssyelsen Il-Qorti tal-Ġustizzja sabet li kumpanija limitata tar-Renju Unit li topera fid-Danimarka ma setgħetx tkun meħtieġa li tikkonforma mar-regoli tal-kapital azzjonarju minimu tad-Danimarka. Il-liġi tar-Renju Unit kienet teħtieġ biss £ 1 ta 'kapital biex tibda kumpanija, filwaqt li l-leġiżlatura tad-Danimarka ħadet il-fehma li l-kumpaniji għandhom jinbdew biss jekk kellhom 200,000 Krone Daniż (madwar € 27,000) biex jipproteġu l-kredituri jekk il-kumpanija falliet u marret insolventi. Il-Qorti tal-Ġustizzja qalet li l-liġi kapitali minima tad-Danimarka kisret il-libertà ta 'stabbiliment ta' Centros Ltd u ma setgħetx tkun iġġustifikata, minħabba li kumpanija fir-Renju Unit setgħet tipprovdi servizzi fid-Danimarka mingħajr ma tkun stabbilita hemmhekk, u kien hemm mezzi inqas restrittivi biex jinkiseb l-għan ta ' Protezzjoni tal-kreditur. Dan l-approċċ ġie kkritikat bħala li potenzjalment jiftaħ l-UE għal kompetizzjoni regolatorja mhux ġustifikata, u tellieqa lejn il-qiegħ fl-istandards, bħal fl-Istati Uniti fejn l-istat Delaware jattira ħafna kumpaniji u ħafna drabi huwa argumentat li għandu l-agħar standards tar-responsabbiltà tal-bordijiet, u baxx Bħala riżultat ta 'taxxi korporattivi. Bl-istess mod fil-kostruzzjoni ta 'überseering bv v nordic gmbH Il-Qorti tal-Ġustizzja ddeċidiet li qorti Ġermaniża ma setgħetx tiċħad lil kumpanija tal-bini Olandiża d-dritt li tinforza kuntratt fil-Ġermanja fuq il-bażi li ma kinitx validament inkorporata fil-Ġermanja. Għalkemm ir-restrizzjonijiet fuq il-libertà tal-istabbiliment jistgħu jiġu ġġustifikati mill-protezzjoni tal-kredituri, id-drittijiet tax-xogħol biex jipparteċipaw fix-xogħol, jew l-interess pubbliku fil-ġbir tat-taxxi, iċ-ċaħda tal-kapaċità marret wisq: kienet "negazzjoni diretta" tad-dritt ta 'stabbiliment. Madankollu, fil-Cartesio Oktató és Szolgáltató bt il-Qorti tal-Ġustizzja affermat mill-ġdid li minħabba li l-korporazzjonijiet huma maħluqa mil-liġi, huma fil-prinċipju huma soġġetti għal kwalunkwe regoli għall-formazzjoni li stat ta 'inkorporazzjoni jixtieq jimponi. Dan kien ifisser li l-awtoritajiet Ungeriżi jistgħu jipprevjenu kumpanija milli tbiddel l-amministrazzjoni ċentrali tagħha lejn l-Italja waqt li kienet għadha topera u ġiet inkorporata fl-Ungerija. Għalhekk, il-qorti tiġbed distinzjoni bejn id-dritt ta 'stabbiliment għal kumpaniji barranin (fejn ir-restrizzjonijiet għandhom ikunu ġġustifikati), u d-dritt tal-Istat li jiddetermina l-kundizzjonijiet għall-kumpaniji inkorporati fit-territorju tagħha, għalkemm mhuwiex kompletament ċar għaliex.</v>
      </c>
    </row>
    <row r="1836" ht="15.75" customHeight="1">
      <c r="A1836" s="2" t="s">
        <v>1836</v>
      </c>
      <c r="B1836" s="2" t="str">
        <f>IFERROR(__xludf.DUMMYFUNCTION("GOOGLETRANSLATE(A1836, ""en"", ""mt"")"),"Fl-1979, l-Unjoni Sovjetika skjerat l-40 Armata tagħha fl-Afganistan, u ppruvat trażżan ribelljoni Iżlamika kontra reġim Marxista Alleat fil-Gwerra Ċivili Afgana. Il-kunflitt, li jpoġġi Musulmani fqar indiġeni (mujahideen) kontra superpotenza anti-reliġju"&amp;"ża, galvanizzaw eluf ta 'Musulmani madwar id-dinja biex jibagħtu l-għajnuna u xi kultant imorru huma stess biex jiġġieldu għall-fidi tagħhom. Li tmexxi dan l-isforz pan-Iżlamiku kien Sheikh Palestinjan Abdullah Yusuf Azzam. Filwaqt li l-effikaċja militari"&amp;" ta 'dawn l- ""Għarab Afgani"" kienet marġinali, huwa stmat li 16,000 sa 35,000 voluntier Musulman ġew minn madwar id-dinja ġew biex jiġġieldu fl-Afganistan.")</f>
        <v>Fl-1979, l-Unjoni Sovjetika skjerat l-40 Armata tagħha fl-Afganistan, u ppruvat trażżan ribelljoni Iżlamika kontra reġim Marxista Alleat fil-Gwerra Ċivili Afgana. Il-kunflitt, li jpoġġi Musulmani fqar indiġeni (mujahideen) kontra superpotenza anti-reliġjuża, galvanizzaw eluf ta 'Musulmani madwar id-dinja biex jibagħtu l-għajnuna u xi kultant imorru huma stess biex jiġġieldu għall-fidi tagħhom. Li tmexxi dan l-isforz pan-Iżlamiku kien Sheikh Palestinjan Abdullah Yusuf Azzam. Filwaqt li l-effikaċja militari ta 'dawn l- "Għarab Afgani" kienet marġinali, huwa stmat li 16,000 sa 35,000 voluntier Musulman ġew minn madwar id-dinja ġew biex jiġġieldu fl-Afganistan.</v>
      </c>
    </row>
    <row r="1837" ht="15.75" customHeight="1">
      <c r="A1837" s="2" t="s">
        <v>1837</v>
      </c>
      <c r="B1837" s="2" t="str">
        <f>IFERROR(__xludf.DUMMYFUNCTION("GOOGLETRANSLATE(A1837, ""en"", ""mt"")"),"Ir-rwol tal-ispiżjar kliniku jinvolvi l-ħolqien ta 'pjan komprensiv ta' terapija ta 'mediċina għal problemi speċifiċi għall-pazjent, l-identifikazzjoni ta' għanijiet ta 'terapija, u tirrevedi l-mediċini preskritti kollha qabel it-tqassim u l-għoti lill-pa"&amp;"zjent. Il-proċess ta 'reviżjoni ħafna drabi jinvolvi evalwazzjoni ta' l-adegwatezza tat-terapija tal-mediċina (per eżempju, l-għażla tal-mediċina, id-doża, ir-rotta, il-frekwenza, u t-tul tat-terapija) u l-effikaċja tagħha. L-ispiżjar għandu wkoll jimmoni"&amp;"torja għal interazzjonijiet potenzjali ta 'mediċini, reazzjonijiet avversi għall-mediċina, u jivvaluta l-allerġiji tal-mediċina tal-pazjent waqt li jiddisinja u jibda pjan ta' terapija ta 'mediċina.")</f>
        <v>Ir-rwol tal-ispiżjar kliniku jinvolvi l-ħolqien ta 'pjan komprensiv ta' terapija ta 'mediċina għal problemi speċifiċi għall-pazjent, l-identifikazzjoni ta' għanijiet ta 'terapija, u tirrevedi l-mediċini preskritti kollha qabel it-tqassim u l-għoti lill-pazjent. Il-proċess ta 'reviżjoni ħafna drabi jinvolvi evalwazzjoni ta' l-adegwatezza tat-terapija tal-mediċina (per eżempju, l-għażla tal-mediċina, id-doża, ir-rotta, il-frekwenza, u t-tul tat-terapija) u l-effikaċja tagħha. L-ispiżjar għandu wkoll jimmonitorja għal interazzjonijiet potenzjali ta 'mediċini, reazzjonijiet avversi għall-mediċina, u jivvaluta l-allerġiji tal-mediċina tal-pazjent waqt li jiddisinja u jibda pjan ta' terapija ta 'mediċina.</v>
      </c>
    </row>
    <row r="1838" ht="15.75" customHeight="1">
      <c r="A1838" s="2" t="s">
        <v>1838</v>
      </c>
      <c r="B1838" s="2" t="str">
        <f>IFERROR(__xludf.DUMMYFUNCTION("GOOGLETRANSLATE(A1838, ""en"", ""mt"")"),"X'kien imsejjaħ ""it-Tesla"" fl-unur tiegħu?")</f>
        <v>X'kien imsejjaħ "it-Tesla" fl-unur tiegħu?</v>
      </c>
    </row>
    <row r="1839" ht="15.75" customHeight="1">
      <c r="A1839" s="2" t="s">
        <v>1839</v>
      </c>
      <c r="B1839" s="2" t="str">
        <f>IFERROR(__xludf.DUMMYFUNCTION("GOOGLETRANSLATE(A1839, ""en"", ""mt"")"),"Kemm-il sena l-anzjani jservu bħala anzjani proviżorji qabel l-ordinazzjoni tagħhom?")</f>
        <v>Kemm-il sena l-anzjani jservu bħala anzjani proviżorji qabel l-ordinazzjoni tagħhom?</v>
      </c>
    </row>
    <row r="1840" ht="15.75" customHeight="1">
      <c r="A1840" s="2" t="s">
        <v>1840</v>
      </c>
      <c r="B1840" s="2" t="str">
        <f>IFERROR(__xludf.DUMMYFUNCTION("GOOGLETRANSLATE(A1840, ""en"", ""mt"")"),"Xi episodji ġew mibgħuta lura lill-BBC mill-arkivji ta 'pajjiżi oħra li xtraw stampi għax-xandir, jew minn individwi privati ​​li akkwistawhom b'diversi mezzi. Ir-reġistrazzjonijiet bil-kulur bikri tal-vidjow li saru barra mill-fannijiet ġew ukoll irkupra"&amp;"ti, kif ukoll siltiet iffilmjati mill-iskrin tat-televiżjoni fuq film ta '8 mm u klipps li ntwerew fuq programmi oħra. Verżjonijiet awdjo tal-episodji kollha mitlufa jeżistu mit-telespettaturi tad-dar li għamlu r-reġistrazzjonijiet tat-tejp tal-ispettaklu"&amp;". Klipps qosra minn kull storja bl-eċċezzjoni ta 'Marco Polo, ""Mission to the Mhux magħruf"" u l-massakru ta' Lejliet San Bartolomew jeżistu wkoll.")</f>
        <v>Xi episodji ġew mibgħuta lura lill-BBC mill-arkivji ta 'pajjiżi oħra li xtraw stampi għax-xandir, jew minn individwi privati ​​li akkwistawhom b'diversi mezzi. Ir-reġistrazzjonijiet bil-kulur bikri tal-vidjow li saru barra mill-fannijiet ġew ukoll irkuprati, kif ukoll siltiet iffilmjati mill-iskrin tat-televiżjoni fuq film ta '8 mm u klipps li ntwerew fuq programmi oħra. Verżjonijiet awdjo tal-episodji kollha mitlufa jeżistu mit-telespettaturi tad-dar li għamlu r-reġistrazzjonijiet tat-tejp tal-ispettaklu. Klipps qosra minn kull storja bl-eċċezzjoni ta 'Marco Polo, "Mission to the Mhux magħruf" u l-massakru ta' Lejliet San Bartolomew jeżistu wkoll.</v>
      </c>
    </row>
    <row r="1841" ht="15.75" customHeight="1">
      <c r="A1841" s="2" t="s">
        <v>1841</v>
      </c>
      <c r="B1841" s="2" t="str">
        <f>IFERROR(__xludf.DUMMYFUNCTION("GOOGLETRANSLATE(A1841, ""en"", ""mt"")"),"Is-Suq Harrogate jinsab fil-Lokali X'inhu?")</f>
        <v>Is-Suq Harrogate jinsab fil-Lokali X'inhu?</v>
      </c>
    </row>
    <row r="1842" ht="15.75" customHeight="1">
      <c r="A1842" s="2" t="s">
        <v>1842</v>
      </c>
      <c r="B1842" s="2" t="str">
        <f>IFERROR(__xludf.DUMMYFUNCTION("GOOGLETRANSLATE(A1842, ""en"", ""mt"")"),"Is-silta ta 'liema att ta lil Victoria l-gvern tiegħu stess?")</f>
        <v>Is-silta ta 'liema att ta lil Victoria l-gvern tiegħu stess?</v>
      </c>
    </row>
    <row r="1843" ht="15.75" customHeight="1">
      <c r="A1843" s="2" t="s">
        <v>1843</v>
      </c>
      <c r="B1843" s="2" t="str">
        <f>IFERROR(__xludf.DUMMYFUNCTION("GOOGLETRANSLATE(A1843, ""en"", ""mt"")"),"tfixkel il-membrana tal-plażma tagħhom.")</f>
        <v>tfixkel il-membrana tal-plażma tagħhom.</v>
      </c>
    </row>
    <row r="1844" ht="15.75" customHeight="1">
      <c r="A1844" s="2" t="s">
        <v>1844</v>
      </c>
      <c r="B1844" s="2" t="str">
        <f>IFERROR(__xludf.DUMMYFUNCTION("GOOGLETRANSLATE(A1844, ""en"", ""mt"")"),"William Iron Arm")</f>
        <v>William Iron Arm</v>
      </c>
    </row>
    <row r="1845" ht="15.75" customHeight="1">
      <c r="A1845" s="2" t="s">
        <v>1845</v>
      </c>
      <c r="B1845" s="2" t="str">
        <f>IFERROR(__xludf.DUMMYFUNCTION("GOOGLETRANSLATE(A1845, ""en"", ""mt"")"),"Teorema ta 'Dirichlet")</f>
        <v>Teorema ta 'Dirichlet</v>
      </c>
    </row>
    <row r="1846" ht="15.75" customHeight="1">
      <c r="A1846" s="2" t="s">
        <v>1846</v>
      </c>
      <c r="B1846" s="2" t="str">
        <f>IFERROR(__xludf.DUMMYFUNCTION("GOOGLETRANSLATE(A1846, ""en"", ""mt"")"),"pari ta 'reazzjoni ta' azzjoni")</f>
        <v>pari ta 'reazzjoni ta' azzjoni</v>
      </c>
    </row>
    <row r="1847" ht="15.75" customHeight="1">
      <c r="A1847" s="2" t="s">
        <v>1847</v>
      </c>
      <c r="B1847" s="2" t="str">
        <f>IFERROR(__xludf.DUMMYFUNCTION("GOOGLETRANSLATE(A1847, ""en"", ""mt"")"),"id-differenza fl-enerġija potenzjali")</f>
        <v>id-differenza fl-enerġija potenzjali</v>
      </c>
    </row>
    <row r="1848" ht="15.75" customHeight="1">
      <c r="A1848" s="2" t="s">
        <v>1848</v>
      </c>
      <c r="B1848" s="2" t="str">
        <f>IFERROR(__xludf.DUMMYFUNCTION("GOOGLETRANSLATE(A1848, ""en"", ""mt"")"),"xewqa li tipprevjeni affarijiet li huma indiskutibbli ħżiena")</f>
        <v>xewqa li tipprevjeni affarijiet li huma indiskutibbli ħżiena</v>
      </c>
    </row>
    <row r="1849" ht="15.75" customHeight="1">
      <c r="A1849" s="2" t="s">
        <v>1849</v>
      </c>
      <c r="B1849" s="2" t="str">
        <f>IFERROR(__xludf.DUMMYFUNCTION("GOOGLETRANSLATE(A1849, ""en"", ""mt"")"),"Kumitat tal-Konċiljazzjoni")</f>
        <v>Kumitat tal-Konċiljazzjoni</v>
      </c>
    </row>
    <row r="1850" ht="15.75" customHeight="1">
      <c r="A1850" s="2" t="s">
        <v>1850</v>
      </c>
      <c r="B1850" s="2" t="str">
        <f>IFERROR(__xludf.DUMMYFUNCTION("GOOGLETRANSLATE(A1850, ""en"", ""mt"")"),"it-tielet stadju")</f>
        <v>it-tielet stadju</v>
      </c>
    </row>
    <row r="1851" ht="15.75" customHeight="1">
      <c r="A1851" s="2" t="s">
        <v>1851</v>
      </c>
      <c r="B1851" s="2" t="str">
        <f>IFERROR(__xludf.DUMMYFUNCTION("GOOGLETRANSLATE(A1851, ""en"", ""mt"")"),"Deskrizzjoni tal-arkivju kodifikata (EAD")</f>
        <v>Deskrizzjoni tal-arkivju kodifikata (EAD</v>
      </c>
    </row>
    <row r="1852" ht="15.75" customHeight="1">
      <c r="A1852" s="2" t="s">
        <v>1852</v>
      </c>
      <c r="B1852" s="2" t="str">
        <f>IFERROR(__xludf.DUMMYFUNCTION("GOOGLETRANSLATE(A1852, ""en"", ""mt"")"),"Harvard jopera diversi mużewijiet tal-arti, kulturali u xjentifiċi. Il-mużewijiet tal-arti ta ’Harvard jinkludu tliet mużewijiet. Il-Mużew Arthur M. Sackler jinkludi kollezzjonijiet ta ’arti antika, Asjatika, Iżlamika u aktar tard, il-Mużew Busch-Reisinge"&amp;"r, li qabel kien il-Mużew Ġermaniku, ikopri l-Art Ċentrali u tat-Tramuntana tal-Ewropa, u l-Mużew Fogg tal-Art, ikopri arti tal-Punent min-nofs Etajiet sal-preżent li jenfasizzaw it-Taljan Rinaxximent Bikri, il-pre-Raphaelite Ingliża, u l-arti Franċiża ta"&amp;"s-seklu 19. Il-Mużew ta 'l-Istorja Naturali ta' Harvard jinkludi l-Mużew Mineralogiku ta 'Harvard, Harvard University Herbaria li fih il-Blaschka Glass Flowers, u l-Mużew taż-Żooloġija Komparattiva. Mużewijiet oħra jinkludu ċ-Ċentru tal-Karpenter għall-Ar"&amp;"ti Viżwali, iddisinjat minn Le Corbusier, li jospita l-arkivju tal-films, il-Mużew Peabody tal-Arkeoloġija u l-Etnoloġija, li jispeċjalizza fl-istorja kulturali u ċ-ċiviltajiet tal-Emisferu tal-Punent, u l-Mużew Semitiku li fih artifatti minn skavi il-Lva"&amp;"nt Nofsani.")</f>
        <v>Harvard jopera diversi mużewijiet tal-arti, kulturali u xjentifiċi. Il-mużewijiet tal-arti ta ’Harvard jinkludu tliet mużewijiet. Il-Mużew Arthur M. Sackler jinkludi kollezzjonijiet ta ’arti antika, Asjatika, Iżlamika u aktar tard, il-Mużew Busch-Reisinger, li qabel kien il-Mużew Ġermaniku, ikopri l-Art Ċentrali u tat-Tramuntana tal-Ewropa, u l-Mużew Fogg tal-Art, ikopri arti tal-Punent min-nofs Etajiet sal-preżent li jenfasizzaw it-Taljan Rinaxximent Bikri, il-pre-Raphaelite Ingliża, u l-arti Franċiża tas-seklu 19. Il-Mużew ta 'l-Istorja Naturali ta' Harvard jinkludi l-Mużew Mineralogiku ta 'Harvard, Harvard University Herbaria li fih il-Blaschka Glass Flowers, u l-Mużew taż-Żooloġija Komparattiva. Mużewijiet oħra jinkludu ċ-Ċentru tal-Karpenter għall-Arti Viżwali, iddisinjat minn Le Corbusier, li jospita l-arkivju tal-films, il-Mużew Peabody tal-Arkeoloġija u l-Etnoloġija, li jispeċjalizza fl-istorja kulturali u ċ-ċiviltajiet tal-Emisferu tal-Punent, u l-Mużew Semitiku li fih artifatti minn skavi il-Lvant Nofsani.</v>
      </c>
    </row>
    <row r="1853" ht="15.75" customHeight="1">
      <c r="A1853" s="2" t="s">
        <v>1853</v>
      </c>
      <c r="B1853" s="2" t="str">
        <f>IFERROR(__xludf.DUMMYFUNCTION("GOOGLETRANSLATE(A1853, ""en"", ""mt"")"),"31 ta ’Ottubru")</f>
        <v>31 ta ’Ottubru</v>
      </c>
    </row>
    <row r="1854" ht="15.75" customHeight="1">
      <c r="A1854" s="2" t="s">
        <v>1854</v>
      </c>
      <c r="B1854" s="2" t="str">
        <f>IFERROR(__xludf.DUMMYFUNCTION("GOOGLETRANSLATE(A1854, ""en"", ""mt"")"),"Veru Iżlamiku")</f>
        <v>Veru Iżlamiku</v>
      </c>
    </row>
    <row r="1855" ht="15.75" customHeight="1">
      <c r="A1855" s="2" t="s">
        <v>1855</v>
      </c>
      <c r="B1855" s="2" t="str">
        <f>IFERROR(__xludf.DUMMYFUNCTION("GOOGLETRANSLATE(A1855, ""en"", ""mt"")"),"Madwar miljun Protestant fi Franza moderna jirrappreżentaw madwar 2% tal-popolazzjoni tagħha. Il-biċċa l-kbira huma kkonċentrati fl-Alsace fil-Grigal ta ’Franza u fir-reġjun tal-Muntanji Cévennes fin-Nofsinhar, li għadhom iqisu lilhom infushom bħala Hugue"&amp;"nots sal-lum. [Ċitazzjoni meħtieġa] Diaspora tal-Awstraljani Franċiżi għadha tqis lilha nnifisha Huguenot, anke wara sekli ta’ eżilju. Long integrata fis-soċjetà Awstraljana, hija mħeġġa mis-Soċjetà Huguenot tal-Awstralja biex tħaddan u tikkonserva l-wirt"&amp;" kulturali tagħha, megħjuna mis-servizzi ta 'riċerka ġenealoġika tas-soċjetà.")</f>
        <v>Madwar miljun Protestant fi Franza moderna jirrappreżentaw madwar 2% tal-popolazzjoni tagħha. Il-biċċa l-kbira huma kkonċentrati fl-Alsace fil-Grigal ta ’Franza u fir-reġjun tal-Muntanji Cévennes fin-Nofsinhar, li għadhom iqisu lilhom infushom bħala Huguenots sal-lum. [Ċitazzjoni meħtieġa] Diaspora tal-Awstraljani Franċiżi għadha tqis lilha nnifisha Huguenot, anke wara sekli ta’ eżilju. Long integrata fis-soċjetà Awstraljana, hija mħeġġa mis-Soċjetà Huguenot tal-Awstralja biex tħaddan u tikkonserva l-wirt kulturali tagħha, megħjuna mis-servizzi ta 'riċerka ġenealoġika tas-soċjetà.</v>
      </c>
    </row>
    <row r="1856" ht="15.75" customHeight="1">
      <c r="A1856" s="2" t="s">
        <v>1856</v>
      </c>
      <c r="B1856" s="2" t="str">
        <f>IFERROR(__xludf.DUMMYFUNCTION("GOOGLETRANSLATE(A1856, ""en"", ""mt"")"),"Festival tal-Gran Brittanja")</f>
        <v>Festival tal-Gran Brittanja</v>
      </c>
    </row>
    <row r="1857" ht="15.75" customHeight="1">
      <c r="A1857" s="2" t="s">
        <v>1857</v>
      </c>
      <c r="B1857" s="2" t="str">
        <f>IFERROR(__xludf.DUMMYFUNCTION("GOOGLETRANSLATE(A1857, ""en"", ""mt"")"),"Fejn jibqa 'l-istudent waqt li jkun qiegħed f'detenzjoni")</f>
        <v>Fejn jibqa 'l-istudent waqt li jkun qiegħed f'detenzjoni</v>
      </c>
    </row>
    <row r="1858" ht="15.75" customHeight="1">
      <c r="A1858" s="2" t="s">
        <v>1858</v>
      </c>
      <c r="B1858" s="2" t="str">
        <f>IFERROR(__xludf.DUMMYFUNCTION("GOOGLETRANSLATE(A1858, ""en"", ""mt"")"),"Tibdil fil-klima")</f>
        <v>Tibdil fil-klima</v>
      </c>
    </row>
    <row r="1859" ht="15.75" customHeight="1">
      <c r="A1859" s="2" t="s">
        <v>1859</v>
      </c>
      <c r="B1859" s="2" t="str">
        <f>IFERROR(__xludf.DUMMYFUNCTION("GOOGLETRANSLATE(A1859, ""en"", ""mt"")"),"Biplan li kapaċi jneħħi vertikalment")</f>
        <v>Biplan li kapaċi jneħħi vertikalment</v>
      </c>
    </row>
    <row r="1860" ht="15.75" customHeight="1">
      <c r="A1860" s="2" t="s">
        <v>1860</v>
      </c>
      <c r="B1860" s="2" t="str">
        <f>IFERROR(__xludf.DUMMYFUNCTION("GOOGLETRANSLATE(A1860, ""en"", ""mt"")"),"X'kien il-pjan tal-gwerra tal-patt ta 'Varsavja?")</f>
        <v>X'kien il-pjan tal-gwerra tal-patt ta 'Varsavja?</v>
      </c>
    </row>
    <row r="1861" ht="15.75" customHeight="1">
      <c r="A1861" s="2" t="s">
        <v>1861</v>
      </c>
      <c r="B1861" s="2" t="str">
        <f>IFERROR(__xludf.DUMMYFUNCTION("GOOGLETRANSLATE(A1861, ""en"", ""mt"")"),"strajkijiet minn minaturi tal-faħam u ħaddiema tal-ferrovija")</f>
        <v>strajkijiet minn minaturi tal-faħam u ħaddiema tal-ferrovija</v>
      </c>
    </row>
    <row r="1862" ht="15.75" customHeight="1">
      <c r="A1862" s="2" t="s">
        <v>1862</v>
      </c>
      <c r="B1862" s="2" t="str">
        <f>IFERROR(__xludf.DUMMYFUNCTION("GOOGLETRANSLATE(A1862, ""en"", ""mt"")"),"X’għamel Luther li ma kienx se jiskambja għal ħajtu ma ’martu?")</f>
        <v>X’għamel Luther li ma kienx se jiskambja għal ħajtu ma ’martu?</v>
      </c>
    </row>
    <row r="1863" ht="15.75" customHeight="1">
      <c r="A1863" s="2" t="s">
        <v>1863</v>
      </c>
      <c r="B1863" s="2" t="str">
        <f>IFERROR(__xludf.DUMMYFUNCTION("GOOGLETRANSLATE(A1863, ""en"", ""mt"")"),"plug-n-play")</f>
        <v>plug-n-play</v>
      </c>
    </row>
    <row r="1864" ht="15.75" customHeight="1">
      <c r="A1864" s="2" t="s">
        <v>1864</v>
      </c>
      <c r="B1864" s="2" t="str">
        <f>IFERROR(__xludf.DUMMYFUNCTION("GOOGLETRANSLATE(A1864, ""en"", ""mt"")"),"Fuq liema għalliem jivvaluta l-livelli ta 'student?")</f>
        <v>Fuq liema għalliem jivvaluta l-livelli ta 'student?</v>
      </c>
    </row>
    <row r="1865" ht="15.75" customHeight="1">
      <c r="A1865" s="2" t="s">
        <v>1865</v>
      </c>
      <c r="B1865" s="2" t="str">
        <f>IFERROR(__xludf.DUMMYFUNCTION("GOOGLETRANSLATE(A1865, ""en"", ""mt"")"),"F’esperiment wieħed, Lavoisier osserva li ma kien hemm l-ebda żieda ġenerali fil-piż meta l-landa u l-arja ġew imsaħħna f'kontenitur magħluq. Huwa nnota li l-arja ġrew meta fetaħ il-kontenitur, li indika li parti mill-arja maqbuda kienet ġiet ikkunsmata. "&amp;"Huwa nnota wkoll li l-landa kienet żdiedet fil-piż u li ż-żieda kienet l-istess bħall-piż tal-arja li ġrew lura. Dan u esperimenti oħra fuq il-kombustjoni kienu dokumentati fil-ktieb tiegħu Sur La La Combustion en Général, li ġie ppubblikat fl-1777. F'dak"&amp;" ix-xogħol, huwa wera li l-arja hija taħlita ta 'żewġ gassijiet; ""Arja vitali"", li hija essenzjali għall-kombustjoni u r-respirazzjoni, u Azote (Gk. ἄζωτον ""bla ħajja""), li lanqas ma appoġġjat. Azote aktar tard sar nitroġenu bl-Ingliż, għalkemm żamm l"&amp;"-isem bil-Franċiż u diversi lingwi Ewropej oħra.")</f>
        <v>F’esperiment wieħed, Lavoisier osserva li ma kien hemm l-ebda żieda ġenerali fil-piż meta l-landa u l-arja ġew imsaħħna f'kontenitur magħluq. Huwa nnota li l-arja ġrew meta fetaħ il-kontenitur, li indika li parti mill-arja maqbuda kienet ġiet ikkunsmata. Huwa nnota wkoll li l-landa kienet żdiedet fil-piż u li ż-żieda kienet l-istess bħall-piż tal-arja li ġrew lura. Dan u esperimenti oħra fuq il-kombustjoni kienu dokumentati fil-ktieb tiegħu Sur La La Combustion en Général, li ġie ppubblikat fl-1777. F'dak ix-xogħol, huwa wera li l-arja hija taħlita ta 'żewġ gassijiet; "Arja vitali", li hija essenzjali għall-kombustjoni u r-respirazzjoni, u Azote (Gk. ἄζωτον "bla ħajja"), li lanqas ma appoġġjat. Azote aktar tard sar nitroġenu bl-Ingliż, għalkemm żamm l-isem bil-Franċiż u diversi lingwi Ewropej oħra.</v>
      </c>
    </row>
    <row r="1866" ht="15.75" customHeight="1">
      <c r="A1866" s="2" t="s">
        <v>1866</v>
      </c>
      <c r="B1866" s="2" t="str">
        <f>IFERROR(__xludf.DUMMYFUNCTION("GOOGLETRANSLATE(A1866, ""en"", ""mt"")"),"X'tip ta 'materjali ġewwa l-kabina tneħħew biex jgħinu jipprevjenu aktar perikli tan-nar fil-futur?")</f>
        <v>X'tip ta 'materjali ġewwa l-kabina tneħħew biex jgħinu jipprevjenu aktar perikli tan-nar fil-futur?</v>
      </c>
    </row>
    <row r="1867" ht="15.75" customHeight="1">
      <c r="A1867" s="2" t="s">
        <v>1867</v>
      </c>
      <c r="B1867" s="2" t="str">
        <f>IFERROR(__xludf.DUMMYFUNCTION("GOOGLETRANSLATE(A1867, ""en"", ""mt"")"),"Dawk li jħossu li t-tobba biss jistgħu jivvalutaw b'mod affidabbli l-kontraindikazzjonijiet, il-proporzjonijiet tar-riskju / benefiċċju, u l-adegwatezza ġenerali ta 'individwu għall-użu ta' medikazzjoni.")</f>
        <v>Dawk li jħossu li t-tobba biss jistgħu jivvalutaw b'mod affidabbli l-kontraindikazzjonijiet, il-proporzjonijiet tar-riskju / benefiċċju, u l-adegwatezza ġenerali ta 'individwu għall-użu ta' medikazzjoni.</v>
      </c>
    </row>
    <row r="1868" ht="15.75" customHeight="1">
      <c r="A1868" s="2" t="s">
        <v>1868</v>
      </c>
      <c r="B1868" s="2" t="str">
        <f>IFERROR(__xludf.DUMMYFUNCTION("GOOGLETRANSLATE(A1868, ""en"", ""mt"")"),"korrott fil-modi tiegħu")</f>
        <v>korrott fil-modi tiegħu</v>
      </c>
    </row>
    <row r="1869" ht="15.75" customHeight="1">
      <c r="A1869" s="2" t="s">
        <v>1869</v>
      </c>
      <c r="B1869" s="2" t="str">
        <f>IFERROR(__xludf.DUMMYFUNCTION("GOOGLETRANSLATE(A1869, ""en"", ""mt"")"),"stima ta '$ 200,000 f'liċenzji u royalties")</f>
        <v>stima ta '$ 200,000 f'liċenzji u royalties</v>
      </c>
    </row>
    <row r="1870" ht="15.75" customHeight="1">
      <c r="A1870" s="2" t="s">
        <v>1870</v>
      </c>
      <c r="B1870" s="2" t="str">
        <f>IFERROR(__xludf.DUMMYFUNCTION("GOOGLETRANSLATE(A1870, ""en"", ""mt"")"),"jibqgħu siekta")</f>
        <v>jibqgħu siekta</v>
      </c>
    </row>
    <row r="1871" ht="15.75" customHeight="1">
      <c r="A1871" s="2" t="s">
        <v>1871</v>
      </c>
      <c r="B1871" s="2" t="str">
        <f>IFERROR(__xludf.DUMMYFUNCTION("GOOGLETRANSLATE(A1871, ""en"", ""mt"")"),"Imperu Intern")</f>
        <v>Imperu Intern</v>
      </c>
    </row>
    <row r="1872" ht="15.75" customHeight="1">
      <c r="A1872" s="2" t="s">
        <v>1872</v>
      </c>
      <c r="B1872" s="2" t="str">
        <f>IFERROR(__xludf.DUMMYFUNCTION("GOOGLETRANSLATE(A1872, ""en"", ""mt"")"),"1,230 kilometru (764 mil)")</f>
        <v>1,230 kilometru (764 mil)</v>
      </c>
    </row>
    <row r="1873" ht="15.75" customHeight="1">
      <c r="A1873" s="2" t="s">
        <v>1873</v>
      </c>
      <c r="B1873" s="2" t="str">
        <f>IFERROR(__xludf.DUMMYFUNCTION("GOOGLETRANSLATE(A1873, ""en"", ""mt"")"),"Fejn jaqgħu t-twemmin ta 'Khomeini meta mqabbel ma' Mawdudi u Qutb?")</f>
        <v>Fejn jaqgħu t-twemmin ta 'Khomeini meta mqabbel ma' Mawdudi u Qutb?</v>
      </c>
    </row>
    <row r="1874" ht="15.75" customHeight="1">
      <c r="A1874" s="2" t="s">
        <v>1874</v>
      </c>
      <c r="B1874" s="2" t="str">
        <f>IFERROR(__xludf.DUMMYFUNCTION("GOOGLETRANSLATE(A1874, ""en"", ""mt"")"),"ġie mfakkar u mibdul minn Jeffery Amherst")</f>
        <v>ġie mfakkar u mibdul minn Jeffery Amherst</v>
      </c>
    </row>
    <row r="1875" ht="15.75" customHeight="1">
      <c r="A1875" s="2" t="s">
        <v>1875</v>
      </c>
      <c r="B1875" s="2" t="str">
        <f>IFERROR(__xludf.DUMMYFUNCTION("GOOGLETRANSLATE(A1875, ""en"", ""mt"")"),"Fejn kienet l-isforzi ta 'Franza li tikkonċentra?")</f>
        <v>Fejn kienet l-isforzi ta 'Franza li tikkonċentra?</v>
      </c>
    </row>
    <row r="1876" ht="15.75" customHeight="1">
      <c r="A1876" s="2" t="s">
        <v>1876</v>
      </c>
      <c r="B1876" s="2" t="str">
        <f>IFERROR(__xludf.DUMMYFUNCTION("GOOGLETRANSLATE(A1876, ""en"", ""mt"")"),"Meta jista 'l-gass tal-ossiġnu jipproduċi kundizzjoni tossika?")</f>
        <v>Meta jista 'l-gass tal-ossiġnu jipproduċi kundizzjoni tossika?</v>
      </c>
    </row>
    <row r="1877" ht="15.75" customHeight="1">
      <c r="A1877" s="2" t="s">
        <v>1877</v>
      </c>
      <c r="B1877" s="2" t="str">
        <f>IFERROR(__xludf.DUMMYFUNCTION("GOOGLETRANSLATE(A1877, ""en"", ""mt"")"),"$ 1.2 biljun")</f>
        <v>$ 1.2 biljun</v>
      </c>
    </row>
    <row r="1878" ht="15.75" customHeight="1">
      <c r="A1878" s="2" t="s">
        <v>1878</v>
      </c>
      <c r="B1878" s="2" t="str">
        <f>IFERROR(__xludf.DUMMYFUNCTION("GOOGLETRANSLATE(A1878, ""en"", ""mt"")"),"Fejn f'Varsavja hemm oġġetti patrijottiċi u politiċi konnessi mal-ġlidiet tal-Polonja għall-indipendenza?")</f>
        <v>Fejn f'Varsavja hemm oġġetti patrijottiċi u politiċi konnessi mal-ġlidiet tal-Polonja għall-indipendenza?</v>
      </c>
    </row>
    <row r="1879" ht="15.75" customHeight="1">
      <c r="A1879" s="2" t="s">
        <v>1879</v>
      </c>
      <c r="B1879" s="2" t="str">
        <f>IFERROR(__xludf.DUMMYFUNCTION("GOOGLETRANSLATE(A1879, ""en"", ""mt"")"),"Liema bini huwa l-iktar interessanti tal-arkitettura tard tas-seklu 19?")</f>
        <v>Liema bini huwa l-iktar interessanti tal-arkitettura tard tas-seklu 19?</v>
      </c>
    </row>
    <row r="1880" ht="15.75" customHeight="1">
      <c r="A1880" s="2" t="s">
        <v>1880</v>
      </c>
      <c r="B1880" s="2" t="str">
        <f>IFERROR(__xludf.DUMMYFUNCTION("GOOGLETRANSLATE(A1880, ""en"", ""mt"")"),"Sal-1954, in-netwerks kollha ta 'l-Istati Uniti reġgħu kisbu l-kontroll tal-ipprogrammar tagħhom, bi dħul ta' reklamar ogħla: id-dħul ta 'ABC żdied b'67% (jaqla' $ 26 miljun), l-NBC's żdied bi 30% ($ 100 miljun) u CBS's żdied b'44% ($ 117 miljun) - Madank"&amp;"ollu dik is-sena, ABC kellha biss 14-il affiljat primarju meta mqabbla mal-74 li ġabu l-maġġoranza tal-programmi CBS u l-71 li kienu primarjament affiljati ma 'NBC. Ħafna swieq barra l-akbar dawk ma kinux kbar biżżejjed biex jappoġġjaw tliet affiljati tan"&amp;"-netwerk full-time. F’xi swieq li kienu kbar biżżejjed għat-tielet affiljat full-time, l-unika allokazzjoni kummerċjali disponibbli kienet fuq il-medda UHF inqas mixtieqa. Sakemm l-Att dwar ir-Riċevitur tal-Kanal kollu (mgħoddi mill-Kungress fl-1961) ta l"&amp;"-inklużjoni ta 'l-irfinar tal-UHF, ħafna telespettaturi kellhom bżonn jixtru konvertitur biex ikunu jistgħu jaraw stazzjonijiet UHF, u l-kwalità tas-sinjal kienet marġinali fl-aħjar anke b'konvertitur. Barra minn hekk, matul l-era tat-televiżjoni analoga,"&amp;" l-istazzjonijiet UHF ma kinux riċevibbli b'mod adegwat f'art imħatteb. Dawn il-fatturi għamlu ħafna sidien ta 'stazzjonijiet prospettivi skittish dwar l-investiment fi stazzjon tal-UHF, speċjalment dak li kien ikollu jieħu affiljazzjoni ma' netwerk aktar"&amp;" dgħajjef.")</f>
        <v>Sal-1954, in-netwerks kollha ta 'l-Istati Uniti reġgħu kisbu l-kontroll tal-ipprogrammar tagħhom, bi dħul ta' reklamar ogħla: id-dħul ta 'ABC żdied b'67% (jaqla' $ 26 miljun), l-NBC's żdied bi 30% ($ 100 miljun) u CBS's żdied b'44% ($ 117 miljun) - Madankollu dik is-sena, ABC kellha biss 14-il affiljat primarju meta mqabbla mal-74 li ġabu l-maġġoranza tal-programmi CBS u l-71 li kienu primarjament affiljati ma 'NBC. Ħafna swieq barra l-akbar dawk ma kinux kbar biżżejjed biex jappoġġjaw tliet affiljati tan-netwerk full-time. F’xi swieq li kienu kbar biżżejjed għat-tielet affiljat full-time, l-unika allokazzjoni kummerċjali disponibbli kienet fuq il-medda UHF inqas mixtieqa. Sakemm l-Att dwar ir-Riċevitur tal-Kanal kollu (mgħoddi mill-Kungress fl-1961) ta l-inklużjoni ta 'l-irfinar tal-UHF, ħafna telespettaturi kellhom bżonn jixtru konvertitur biex ikunu jistgħu jaraw stazzjonijiet UHF, u l-kwalità tas-sinjal kienet marġinali fl-aħjar anke b'konvertitur. Barra minn hekk, matul l-era tat-televiżjoni analoga, l-istazzjonijiet UHF ma kinux riċevibbli b'mod adegwat f'art imħatteb. Dawn il-fatturi għamlu ħafna sidien ta 'stazzjonijiet prospettivi skittish dwar l-investiment fi stazzjon tal-UHF, speċjalment dak li kien ikollu jieħu affiljazzjoni ma' netwerk aktar dgħajjef.</v>
      </c>
    </row>
    <row r="1881" ht="15.75" customHeight="1">
      <c r="A1881" s="2" t="s">
        <v>1881</v>
      </c>
      <c r="B1881" s="2" t="str">
        <f>IFERROR(__xludf.DUMMYFUNCTION("GOOGLETRANSLATE(A1881, ""en"", ""mt"")"),"Il-Każ tal-Qorti Suprema tal-1978 tal-Fondazzjoni FCC v. Pacifica")</f>
        <v>Il-Każ tal-Qorti Suprema tal-1978 tal-Fondazzjoni FCC v. Pacifica</v>
      </c>
    </row>
    <row r="1882" ht="15.75" customHeight="1">
      <c r="A1882" s="2" t="s">
        <v>1882</v>
      </c>
      <c r="B1882" s="2" t="str">
        <f>IFERROR(__xludf.DUMMYFUNCTION("GOOGLETRANSLATE(A1882, ""en"", ""mt"")"),"1892 sal-1894")</f>
        <v>1892 sal-1894</v>
      </c>
    </row>
    <row r="1883" ht="15.75" customHeight="1">
      <c r="A1883" s="2" t="s">
        <v>1883</v>
      </c>
      <c r="B1883" s="2" t="str">
        <f>IFERROR(__xludf.DUMMYFUNCTION("GOOGLETRANSLATE(A1883, ""en"", ""mt"")"),"L-intestatura tal-pakkett tista 'tkun żgħira")</f>
        <v>L-intestatura tal-pakkett tista 'tkun żgħira</v>
      </c>
    </row>
    <row r="1884" ht="15.75" customHeight="1">
      <c r="A1884" s="2" t="s">
        <v>1884</v>
      </c>
      <c r="B1884" s="2" t="str">
        <f>IFERROR(__xludf.DUMMYFUNCTION("GOOGLETRANSLATE(A1884, ""en"", ""mt"")"),"Liema karatteristika tal-Amażonja għamlet lin-nies jemmnu li ma jistax ikollhom ħafna abitanti?")</f>
        <v>Liema karatteristika tal-Amażonja għamlet lin-nies jemmnu li ma jistax ikollhom ħafna abitanti?</v>
      </c>
    </row>
    <row r="1885" ht="15.75" customHeight="1">
      <c r="A1885" s="2" t="s">
        <v>1885</v>
      </c>
      <c r="B1885" s="2" t="str">
        <f>IFERROR(__xludf.DUMMYFUNCTION("GOOGLETRANSLATE(A1885, ""en"", ""mt"")"),"issir kompletament imnaqqsa")</f>
        <v>issir kompletament imnaqqsa</v>
      </c>
    </row>
    <row r="1886" ht="15.75" customHeight="1">
      <c r="A1886" s="2" t="s">
        <v>1886</v>
      </c>
      <c r="B1886" s="2" t="str">
        <f>IFERROR(__xludf.DUMMYFUNCTION("GOOGLETRANSLATE(A1886, ""en"", ""mt"")"),"Kif l-istudenti jivvalutaw l-għalliema li jħossu li huma entużjasti?")</f>
        <v>Kif l-istudenti jivvalutaw l-għalliema li jħossu li huma entużjasti?</v>
      </c>
    </row>
    <row r="1887" ht="15.75" customHeight="1">
      <c r="A1887" s="2" t="s">
        <v>1887</v>
      </c>
      <c r="B1887" s="2" t="str">
        <f>IFERROR(__xludf.DUMMYFUNCTION("GOOGLETRANSLATE(A1887, ""en"", ""mt"")"),"Fejn bil-massa huwa l-ossiġnu parti ewlenija?")</f>
        <v>Fejn bil-massa huwa l-ossiġnu parti ewlenija?</v>
      </c>
    </row>
    <row r="1888" ht="15.75" customHeight="1">
      <c r="A1888" s="2" t="s">
        <v>1888</v>
      </c>
      <c r="B1888" s="2" t="str">
        <f>IFERROR(__xludf.DUMMYFUNCTION("GOOGLETRANSLATE(A1888, ""en"", ""mt"")"),"Ċiniż mhux nattiv")</f>
        <v>Ċiniż mhux nattiv</v>
      </c>
    </row>
    <row r="1889" ht="15.75" customHeight="1">
      <c r="A1889" s="2" t="s">
        <v>1889</v>
      </c>
      <c r="B1889" s="2" t="str">
        <f>IFERROR(__xludf.DUMMYFUNCTION("GOOGLETRANSLATE(A1889, ""en"", ""mt"")"),"10–20")</f>
        <v>10–20</v>
      </c>
    </row>
    <row r="1890" ht="15.75" customHeight="1">
      <c r="A1890" s="2" t="s">
        <v>1890</v>
      </c>
      <c r="B1890" s="2" t="str">
        <f>IFERROR(__xludf.DUMMYFUNCTION("GOOGLETRANSLATE(A1890, ""en"", ""mt"")"),"Fl-1886 Tesla ltaqgħet ma ’Alfred S. Brown, superintendent tal-Western Union, u l-avukat ta’ New York Charles F. Peck. Iż-żewġt irġiel kellhom esperjenza fit-twaqqif ta 'kumpaniji u jippromwovu invenzjonijiet u privattivi għal qligħ finanzjarju. Ibbażat f"&amp;"uq il-privattivi ta 'Tesla u ideat oħra huma qablu li jappoġġjawh finanzjarjament u jimmaniġġjaw il-privattivi tiegħu. Flimkien f'April 1887 huma ffurmaw it-Tesla Electric Company bi ftehim li l-profitti minn privattivi ġġenerati jmorru ⅓ għal Tesla, ⅓ għ"&amp;"al Peck u Brown, u ⅓ biex jiffinanzjaw l-iżvilupp. Huma waqqfu laboratorju għal Tesla fi 89 Liberty Street f'Manhattan fejn ħadem fuq it-titjib u l-iżvilupp ta 'tipi ġodda ta' muturi elettriċi, ġeneraturi u apparati oħra.")</f>
        <v>Fl-1886 Tesla ltaqgħet ma ’Alfred S. Brown, superintendent tal-Western Union, u l-avukat ta’ New York Charles F. Peck. Iż-żewġt irġiel kellhom esperjenza fit-twaqqif ta 'kumpaniji u jippromwovu invenzjonijiet u privattivi għal qligħ finanzjarju. Ibbażat fuq il-privattivi ta 'Tesla u ideat oħra huma qablu li jappoġġjawh finanzjarjament u jimmaniġġjaw il-privattivi tiegħu. Flimkien f'April 1887 huma ffurmaw it-Tesla Electric Company bi ftehim li l-profitti minn privattivi ġġenerati jmorru ⅓ għal Tesla, ⅓ għal Peck u Brown, u ⅓ biex jiffinanzjaw l-iżvilupp. Huma waqqfu laboratorju għal Tesla fi 89 Liberty Street f'Manhattan fejn ħadem fuq it-titjib u l-iżvilupp ta 'tipi ġodda ta' muturi elettriċi, ġeneraturi u apparati oħra.</v>
      </c>
    </row>
    <row r="1891" ht="15.75" customHeight="1">
      <c r="A1891" s="2" t="s">
        <v>1891</v>
      </c>
      <c r="B1891" s="2" t="str">
        <f>IFERROR(__xludf.DUMMYFUNCTION("GOOGLETRANSLATE(A1891, ""en"", ""mt"")"),"assenjawhom lill-kumpanija")</f>
        <v>assenjawhom lill-kumpanija</v>
      </c>
    </row>
    <row r="1892" ht="15.75" customHeight="1">
      <c r="A1892" s="2" t="s">
        <v>1892</v>
      </c>
      <c r="B1892" s="2" t="str">
        <f>IFERROR(__xludf.DUMMYFUNCTION("GOOGLETRANSLATE(A1892, ""en"", ""mt"")"),"Dak li kien Isiah Bowman Nick Isem, kif magħruf mill-pubbliku.")</f>
        <v>Dak li kien Isiah Bowman Nick Isem, kif magħruf mill-pubbliku.</v>
      </c>
    </row>
    <row r="1893" ht="15.75" customHeight="1">
      <c r="A1893" s="2" t="s">
        <v>1893</v>
      </c>
      <c r="B1893" s="2" t="str">
        <f>IFERROR(__xludf.DUMMYFUNCTION("GOOGLETRANSLATE(A1893, ""en"", ""mt"")"),"Problema tal-funzjoni hija problema tal-komputazzjoni fejn produzzjoni waħda (ta 'funzjoni totali) hija mistennija għal kull input, iżda l-output huwa iktar kumpless minn dak ta' problema ta 'deċiżjoni, jiġifieri, mhuwiex biss iva jew le. Eżempji notevoli"&amp;" jinkludu l-problema tal-bejjiegħ li jivvjaġġa u l-problema ta 'fatturizzazzjoni sħiħa.")</f>
        <v>Problema tal-funzjoni hija problema tal-komputazzjoni fejn produzzjoni waħda (ta 'funzjoni totali) hija mistennija għal kull input, iżda l-output huwa iktar kumpless minn dak ta' problema ta 'deċiżjoni, jiġifieri, mhuwiex biss iva jew le. Eżempji notevoli jinkludu l-problema tal-bejjiegħ li jivvjaġġa u l-problema ta 'fatturizzazzjoni sħiħa.</v>
      </c>
    </row>
    <row r="1894" ht="15.75" customHeight="1">
      <c r="A1894" s="2" t="s">
        <v>1894</v>
      </c>
      <c r="B1894" s="2" t="str">
        <f>IFERROR(__xludf.DUMMYFUNCTION("GOOGLETRANSLATE(A1894, ""en"", ""mt"")"),"kondotta ħażina sesswali")</f>
        <v>kondotta ħażina sesswali</v>
      </c>
    </row>
    <row r="1895" ht="15.75" customHeight="1">
      <c r="A1895" s="2" t="s">
        <v>1895</v>
      </c>
      <c r="B1895" s="2" t="str">
        <f>IFERROR(__xludf.DUMMYFUNCTION("GOOGLETRANSLATE(A1895, ""en"", ""mt"")"),"X'tip ta 'konfini jgħinu biex jiddefinixxu l-mod kif iġibu ruħhom it-tfal?")</f>
        <v>X'tip ta 'konfini jgħinu biex jiddefinixxu l-mod kif iġibu ruħhom it-tfal?</v>
      </c>
    </row>
    <row r="1896" ht="15.75" customHeight="1">
      <c r="A1896" s="2" t="s">
        <v>1896</v>
      </c>
      <c r="B1896" s="2" t="str">
        <f>IFERROR(__xludf.DUMMYFUNCTION("GOOGLETRANSLATE(A1896, ""en"", ""mt"")"),"Ċentru tax-xiri")</f>
        <v>Ċentru tax-xiri</v>
      </c>
    </row>
    <row r="1897" ht="15.75" customHeight="1">
      <c r="A1897" s="2" t="s">
        <v>1897</v>
      </c>
      <c r="B1897" s="2" t="str">
        <f>IFERROR(__xludf.DUMMYFUNCTION("GOOGLETRANSLATE(A1897, ""en"", ""mt"")"),"19")</f>
        <v>19</v>
      </c>
    </row>
    <row r="1898" ht="15.75" customHeight="1">
      <c r="A1898" s="2" t="s">
        <v>1898</v>
      </c>
      <c r="B1898" s="2" t="str">
        <f>IFERROR(__xludf.DUMMYFUNCTION("GOOGLETRANSLATE(A1898, ""en"", ""mt"")"),"Von Lettow kif mexxa l-grupp tiegħu?")</f>
        <v>Von Lettow kif mexxa l-grupp tiegħu?</v>
      </c>
    </row>
    <row r="1899" ht="15.75" customHeight="1">
      <c r="A1899" s="2" t="s">
        <v>1899</v>
      </c>
      <c r="B1899" s="2" t="str">
        <f>IFERROR(__xludf.DUMMYFUNCTION("GOOGLETRANSLATE(A1899, ""en"", ""mt"")"),"100–5,000 hp")</f>
        <v>100–5,000 hp</v>
      </c>
    </row>
    <row r="1900" ht="15.75" customHeight="1">
      <c r="A1900" s="2" t="s">
        <v>1900</v>
      </c>
      <c r="B1900" s="2" t="str">
        <f>IFERROR(__xludf.DUMMYFUNCTION("GOOGLETRANSLATE(A1900, ""en"", ""mt"")"),"X'kienet restawrata fil-gallerija tal-iskultura waqt ir-rinnovata tagħha fl-2006?")</f>
        <v>X'kienet restawrata fil-gallerija tal-iskultura waqt ir-rinnovata tagħha fl-2006?</v>
      </c>
    </row>
    <row r="1901" ht="15.75" customHeight="1">
      <c r="A1901" s="2" t="s">
        <v>1901</v>
      </c>
      <c r="B1901" s="2" t="str">
        <f>IFERROR(__xludf.DUMMYFUNCTION("GOOGLETRANSLATE(A1901, ""en"", ""mt"")"),"miljun")</f>
        <v>miljun</v>
      </c>
    </row>
    <row r="1902" ht="15.75" customHeight="1">
      <c r="A1902" s="2" t="s">
        <v>1902</v>
      </c>
      <c r="B1902" s="2" t="str">
        <f>IFERROR(__xludf.DUMMYFUNCTION("GOOGLETRANSLATE(A1902, ""en"", ""mt"")"),"Il-libertà li jkomplu jaduraw fit-tradizzjoni Kattolika Rumana tagħhom, komplew is-sjieda tal-propjetà tagħhom,")</f>
        <v>Il-libertà li jkomplu jaduraw fit-tradizzjoni Kattolika Rumana tagħhom, komplew is-sjieda tal-propjetà tagħhom,</v>
      </c>
    </row>
    <row r="1903" ht="15.75" customHeight="1">
      <c r="A1903" s="2" t="s">
        <v>1903</v>
      </c>
      <c r="B1903" s="2" t="str">
        <f>IFERROR(__xludf.DUMMYFUNCTION("GOOGLETRANSLATE(A1903, ""en"", ""mt"")"),"X'kien l-iktar premju revered li rebaħ it-Tabib Min rebaħ?")</f>
        <v>X'kien l-iktar premju revered li rebaħ it-Tabib Min rebaħ?</v>
      </c>
    </row>
    <row r="1904" ht="15.75" customHeight="1">
      <c r="A1904" s="2" t="s">
        <v>1904</v>
      </c>
      <c r="B1904" s="2" t="str">
        <f>IFERROR(__xludf.DUMMYFUNCTION("GOOGLETRANSLATE(A1904, ""en"", ""mt"")"),"individwi diġà sinjifikanti")</f>
        <v>individwi diġà sinjifikanti</v>
      </c>
    </row>
    <row r="1905" ht="15.75" customHeight="1">
      <c r="A1905" s="2" t="s">
        <v>1905</v>
      </c>
      <c r="B1905" s="2" t="str">
        <f>IFERROR(__xludf.DUMMYFUNCTION("GOOGLETRANSLATE(A1905, ""en"", ""mt"")"),"Żjara tal-elettorat")</f>
        <v>Żjara tal-elettorat</v>
      </c>
    </row>
    <row r="1906" ht="15.75" customHeight="1">
      <c r="A1906" s="2" t="s">
        <v>1906</v>
      </c>
      <c r="B1906" s="2" t="str">
        <f>IFERROR(__xludf.DUMMYFUNCTION("GOOGLETRANSLATE(A1906, ""en"", ""mt"")"),"Frazzjoni żgħira tal-fluss tal-ilma kiesaħ mill-Lag Constance tmur għal liema lag ieħor?")</f>
        <v>Frazzjoni żgħira tal-fluss tal-ilma kiesaħ mill-Lag Constance tmur għal liema lag ieħor?</v>
      </c>
    </row>
    <row r="1907" ht="15.75" customHeight="1">
      <c r="A1907" s="2" t="s">
        <v>1907</v>
      </c>
      <c r="B1907" s="2" t="str">
        <f>IFERROR(__xludf.DUMMYFUNCTION("GOOGLETRANSLATE(A1907, ""en"", ""mt"")"),"il-familji tagħhom")</f>
        <v>il-familji tagħhom</v>
      </c>
    </row>
    <row r="1908" ht="15.75" customHeight="1">
      <c r="A1908" s="2" t="s">
        <v>1908</v>
      </c>
      <c r="B1908" s="2" t="str">
        <f>IFERROR(__xludf.DUMMYFUNCTION("GOOGLETRANSLATE(A1908, ""en"", ""mt"")"),"L-imħallef żied is-sentenza tagħha")</f>
        <v>L-imħallef żied is-sentenza tagħha</v>
      </c>
    </row>
    <row r="1909" ht="15.75" customHeight="1">
      <c r="A1909" s="2" t="s">
        <v>1909</v>
      </c>
      <c r="B1909" s="2" t="str">
        <f>IFERROR(__xludf.DUMMYFUNCTION("GOOGLETRANSLATE(A1909, ""en"", ""mt"")"),"X'inhu parzjalment responsabbli għar-rispons immuni mdgħajjef f'individwi anzjani?")</f>
        <v>X'inhu parzjalment responsabbli għar-rispons immuni mdgħajjef f'individwi anzjani?</v>
      </c>
    </row>
    <row r="1910" ht="15.75" customHeight="1">
      <c r="A1910" s="2" t="s">
        <v>1910</v>
      </c>
      <c r="B1910" s="2" t="str">
        <f>IFERROR(__xludf.DUMMYFUNCTION("GOOGLETRANSLATE(A1910, ""en"", ""mt"")"),"Minn xiex tiddependi l-ġustifikazzjoni tal-bniedem fil-fidi?")</f>
        <v>Minn xiex tiddependi l-ġustifikazzjoni tal-bniedem fil-fidi?</v>
      </c>
    </row>
    <row r="1911" ht="15.75" customHeight="1">
      <c r="A1911" s="2" t="s">
        <v>1911</v>
      </c>
      <c r="B1911" s="2" t="str">
        <f>IFERROR(__xludf.DUMMYFUNCTION("GOOGLETRANSLATE(A1911, ""en"", ""mt"")"),"Ir-riċerka turi li l-motivazzjoni u l-attitudnijiet tal-istudenti lejn l-iskola huma marbuta mill-qrib mar-relazzjonijiet studenti-għalliema. Għalliema entużjasti huma partikolarment tajbin biex joħolqu relazzjonijiet ta 'benefiċċju mal-istudenti tagħhom."&amp;" Il-kapaċità tagħhom li joħolqu ambjenti ta 'tagħlim effettivi li jrawmu l-kisba ta' studenti tiddependi fuq it-tip ta 'relazzjoni li jibnu mal-istudenti tagħhom. Interazzjonijiet utli għalliem-student huma kruċjali biex jgħaqqdu s-suċċess akkademiku mal-"&amp;"kisba personali. Hawnhekk, is-suċċess personali huwa l-għan intern tal-istudent li jtejjeb lilu nnifsu, filwaqt li s-suċċess akkademiku jinkludi l-għanijiet li jirċievi mis-superjuri tiegħu. Għalliem għandu jiggwida lill-istudent tiegħu biex jallinja l-għ"&amp;"anijiet personali tiegħu mal-għanijiet akkademiċi tiegħu. Studenti li jirċievu din l-influwenza pożittiva juru kunfidenza fihom infushom aktar b'saħħithom u suċċess personali u akkademiku akbar minn dawk mingħajr dawn l-interazzjonijiet tal-għalliema.")</f>
        <v>Ir-riċerka turi li l-motivazzjoni u l-attitudnijiet tal-istudenti lejn l-iskola huma marbuta mill-qrib mar-relazzjonijiet studenti-għalliema. Għalliema entużjasti huma partikolarment tajbin biex joħolqu relazzjonijiet ta 'benefiċċju mal-istudenti tagħhom. Il-kapaċità tagħhom li joħolqu ambjenti ta 'tagħlim effettivi li jrawmu l-kisba ta' studenti tiddependi fuq it-tip ta 'relazzjoni li jibnu mal-istudenti tagħhom. Interazzjonijiet utli għalliem-student huma kruċjali biex jgħaqqdu s-suċċess akkademiku mal-kisba personali. Hawnhekk, is-suċċess personali huwa l-għan intern tal-istudent li jtejjeb lilu nnifsu, filwaqt li s-suċċess akkademiku jinkludi l-għanijiet li jirċievi mis-superjuri tiegħu. Għalliem għandu jiggwida lill-istudent tiegħu biex jallinja l-għanijiet personali tiegħu mal-għanijiet akkademiċi tiegħu. Studenti li jirċievu din l-influwenza pożittiva juru kunfidenza fihom infushom aktar b'saħħithom u suċċess personali u akkademiku akbar minn dawk mingħajr dawn l-interazzjonijiet tal-għalliema.</v>
      </c>
    </row>
    <row r="1912" ht="15.75" customHeight="1">
      <c r="A1912" s="2" t="s">
        <v>1912</v>
      </c>
      <c r="B1912" s="2" t="str">
        <f>IFERROR(__xludf.DUMMYFUNCTION("GOOGLETRANSLATE(A1912, ""en"", ""mt"")"),"X'għamel Gano fuq l-attentat ta '44-yard fil-grawnd tiegħu?")</f>
        <v>X'għamel Gano fuq l-attentat ta '44-yard fil-grawnd tiegħu?</v>
      </c>
    </row>
    <row r="1913" ht="15.75" customHeight="1">
      <c r="A1913" s="2" t="s">
        <v>1913</v>
      </c>
      <c r="B1913" s="2" t="str">
        <f>IFERROR(__xludf.DUMMYFUNCTION("GOOGLETRANSLATE(A1913, ""en"", ""mt"")"),"L-istudenti juru aktar interess fil-klassijiet mgħallma minn liema tip ta 'għalliema?")</f>
        <v>L-istudenti juru aktar interess fil-klassijiet mgħallma minn liema tip ta 'għalliema?</v>
      </c>
    </row>
    <row r="1914" ht="15.75" customHeight="1">
      <c r="A1914" s="2" t="s">
        <v>1914</v>
      </c>
      <c r="B1914" s="2" t="str">
        <f>IFERROR(__xludf.DUMMYFUNCTION("GOOGLETRANSLATE(A1914, ""en"", ""mt"")"),"Fejn tinsab il-post tad-dar ta 'Polonia?")</f>
        <v>Fejn tinsab il-post tad-dar ta 'Polonia?</v>
      </c>
    </row>
    <row r="1915" ht="15.75" customHeight="1">
      <c r="A1915" s="2" t="s">
        <v>1915</v>
      </c>
      <c r="B1915" s="2" t="str">
        <f>IFERROR(__xludf.DUMMYFUNCTION("GOOGLETRANSLATE(A1915, ""en"", ""mt"")"),"Rebeljonijiet Huguenot")</f>
        <v>Rebeljonijiet Huguenot</v>
      </c>
    </row>
    <row r="1916" ht="15.75" customHeight="1">
      <c r="A1916" s="2" t="s">
        <v>1916</v>
      </c>
      <c r="B1916" s="2" t="str">
        <f>IFERROR(__xludf.DUMMYFUNCTION("GOOGLETRANSLATE(A1916, ""en"", ""mt"")"),"Espost għall-iskrutinju.")</f>
        <v>Espost għall-iskrutinju.</v>
      </c>
    </row>
    <row r="1917" ht="15.75" customHeight="1">
      <c r="A1917" s="2" t="s">
        <v>1917</v>
      </c>
      <c r="B1917" s="2" t="str">
        <f>IFERROR(__xludf.DUMMYFUNCTION("GOOGLETRANSLATE(A1917, ""en"", ""mt"")"),"Talbiet territorjali konfliġġenti bejn kolonji Ingliżi u Franċiżi fl-Amerika ta 'Fuq")</f>
        <v>Talbiet territorjali konfliġġenti bejn kolonji Ingliżi u Franċiżi fl-Amerika ta 'Fuq</v>
      </c>
    </row>
    <row r="1918" ht="15.75" customHeight="1">
      <c r="A1918" s="2" t="s">
        <v>1918</v>
      </c>
      <c r="B1918" s="2" t="str">
        <f>IFERROR(__xludf.DUMMYFUNCTION("GOOGLETRANSLATE(A1918, ""en"", ""mt"")"),"territorju mhux esplorat")</f>
        <v>territorju mhux esplorat</v>
      </c>
    </row>
    <row r="1919" ht="15.75" customHeight="1">
      <c r="A1919" s="2" t="s">
        <v>1919</v>
      </c>
      <c r="B1919" s="2" t="str">
        <f>IFERROR(__xludf.DUMMYFUNCTION("GOOGLETRANSLATE(A1919, ""en"", ""mt"")"),"Tekniki ġodda tal-kostruzzjoni tal-bini qed jiġu riċerkati, magħmula possibbli permezz ta 'avvanzi fit-teknoloġija tal-istampar 3D. F'forma ta 'kostruzzjoni ta' bini addittiv, simili għat-tekniki tal-manifattura tal-addittivi għal partijiet manifatturati,"&amp;" l-istampar tal-bini qed jagħmilha possibbli li jinbnew b'mod flessibbli bini kummerċjali żgħar u abitazzjonijiet privati ​​f'madwar 20 siegħa, b'faċilitajiet integrati u elettriċi, f'faċilitajiet elettriċi, f'waħda kontinwa Ibni, billi tuża printers 3D k"&amp;"bar. Verżjonijiet tax-xogħol tat-teknoloġija tal-bini tal-istampar 3D diġà qed jistampaw 2 metri (6 ft 7 in) ta 'materjal tal-bini fis-siegħa minn Jannar 2013 [aġġornament], bl-istampaturi tal-ġenerazzjoni li jmiss kapaċi ta' 3.5 metri (11 ft) fis-siegħa,"&amp;" suffiċjenti Biex tlesti bini f'ġimgħa. L-arkitettura performattiva tal-perit Olandiż Janjaap Ruijssenaars hija skedata li tinbena fl-2014.")</f>
        <v>Tekniki ġodda tal-kostruzzjoni tal-bini qed jiġu riċerkati, magħmula possibbli permezz ta 'avvanzi fit-teknoloġija tal-istampar 3D. F'forma ta 'kostruzzjoni ta' bini addittiv, simili għat-tekniki tal-manifattura tal-addittivi għal partijiet manifatturati, l-istampar tal-bini qed jagħmilha possibbli li jinbnew b'mod flessibbli bini kummerċjali żgħar u abitazzjonijiet privati ​​f'madwar 20 siegħa, b'faċilitajiet integrati u elettriċi, f'faċilitajiet elettriċi, f'waħda kontinwa Ibni, billi tuża printers 3D kbar. Verżjonijiet tax-xogħol tat-teknoloġija tal-bini tal-istampar 3D diġà qed jistampaw 2 metri (6 ft 7 in) ta 'materjal tal-bini fis-siegħa minn Jannar 2013 [aġġornament], bl-istampaturi tal-ġenerazzjoni li jmiss kapaċi ta' 3.5 metri (11 ft) fis-siegħa, suffiċjenti Biex tlesti bini f'ġimgħa. L-arkitettura performattiva tal-perit Olandiż Janjaap Ruijssenaars hija skedata li tinbena fl-2014.</v>
      </c>
    </row>
    <row r="1920" ht="15.75" customHeight="1">
      <c r="A1920" s="2" t="s">
        <v>1920</v>
      </c>
      <c r="B1920" s="2" t="str">
        <f>IFERROR(__xludf.DUMMYFUNCTION("GOOGLETRANSLATE(A1920, ""en"", ""mt"")"),"tneħħi l-fondazzjoni ekonomika tagħha")</f>
        <v>tneħħi l-fondazzjoni ekonomika tagħha</v>
      </c>
    </row>
    <row r="1921" ht="15.75" customHeight="1">
      <c r="A1921" s="2" t="s">
        <v>1921</v>
      </c>
      <c r="B1921" s="2" t="str">
        <f>IFERROR(__xludf.DUMMYFUNCTION("GOOGLETRANSLATE(A1921, ""en"", ""mt"")"),"X'jista 'jispjega għaliex xi Amerikani li saru sinjuri setgħu kellhom bidu?")</f>
        <v>X'jista 'jispjega għaliex xi Amerikani li saru sinjuri setgħu kellhom bidu?</v>
      </c>
    </row>
    <row r="1922" ht="15.75" customHeight="1">
      <c r="A1922" s="2" t="s">
        <v>1922</v>
      </c>
      <c r="B1922" s="2" t="str">
        <f>IFERROR(__xludf.DUMMYFUNCTION("GOOGLETRANSLATE(A1922, ""en"", ""mt"")"),"Il-Baċin Solimões")</f>
        <v>Il-Baċin Solimões</v>
      </c>
    </row>
    <row r="1923" ht="15.75" customHeight="1">
      <c r="A1923" s="2" t="s">
        <v>1923</v>
      </c>
      <c r="B1923" s="2" t="str">
        <f>IFERROR(__xludf.DUMMYFUNCTION("GOOGLETRANSLATE(A1923, ""en"", ""mt"")"),"Varjazzjoni antiġenika")</f>
        <v>Varjazzjoni antiġenika</v>
      </c>
    </row>
    <row r="1924" ht="15.75" customHeight="1">
      <c r="A1924" s="2" t="s">
        <v>1924</v>
      </c>
      <c r="B1924" s="2" t="str">
        <f>IFERROR(__xludf.DUMMYFUNCTION("GOOGLETRANSLATE(A1924, ""en"", ""mt"")"),"konfrontazzjonali")</f>
        <v>konfrontazzjonali</v>
      </c>
    </row>
    <row r="1925" ht="15.75" customHeight="1">
      <c r="A1925" s="2" t="s">
        <v>1925</v>
      </c>
      <c r="B1925" s="2" t="str">
        <f>IFERROR(__xludf.DUMMYFUNCTION("GOOGLETRANSLATE(A1925, ""en"", ""mt"")"),"L-istudjużi tal-Università ta ’Chicago kellhom rwol ewlieni fl-iżvilupp ta’ diversi dixxiplini akkademiċi, fosthom: The Chicago School of Economics, The Chicago School of Sociology, The Law and Economic tar-reliġjon, u l-iskola tal-imġieba tax-xjenza poli"&amp;"tika. Id-Dipartiment tal-Fiżika ta 'Chicago għen biex jiżviluppa l-ewwel reazzjoni nukleari magħmula minnha nnifisha fid-dinja taħt il-qasam Stagg tal-università. L-insegwiment ta 'riċerka ta' Chicago ġie megħjun minn affiljazzjonijiet uniċi ma 'istituzzj"&amp;"onijiet ta' fama dinjija bħall-Laboratorju Nazzjonali Fermilab u Argonne, kif ukoll il-Laboratorju Bijoloġiku tal-Baħar. L-università hija wkoll id-dar tal-Università ta ’Chicago Press, l-akbar stampa tal-università fl-Istati Uniti. B'data ta 'tlestija st"&amp;"mata ta' l-2020, iċ-Ċentru Presidenzjali ta 'Barack Obama se jkun alloġġat fl-università u jinkludi kemm il-Librerija Presidenzjali ta' Obama kif ukoll l-uffiċċji tal-Fondazzjoni Obama.")</f>
        <v>L-istudjużi tal-Università ta ’Chicago kellhom rwol ewlieni fl-iżvilupp ta’ diversi dixxiplini akkademiċi, fosthom: The Chicago School of Economics, The Chicago School of Sociology, The Law and Economic tar-reliġjon, u l-iskola tal-imġieba tax-xjenza politika. Id-Dipartiment tal-Fiżika ta 'Chicago għen biex jiżviluppa l-ewwel reazzjoni nukleari magħmula minnha nnifisha fid-dinja taħt il-qasam Stagg tal-università. L-insegwiment ta 'riċerka ta' Chicago ġie megħjun minn affiljazzjonijiet uniċi ma 'istituzzjonijiet ta' fama dinjija bħall-Laboratorju Nazzjonali Fermilab u Argonne, kif ukoll il-Laboratorju Bijoloġiku tal-Baħar. L-università hija wkoll id-dar tal-Università ta ’Chicago Press, l-akbar stampa tal-università fl-Istati Uniti. B'data ta 'tlestija stmata ta' l-2020, iċ-Ċentru Presidenzjali ta 'Barack Obama se jkun alloġġat fl-università u jinkludi kemm il-Librerija Presidenzjali ta' Obama kif ukoll l-uffiċċji tal-Fondazzjoni Obama.</v>
      </c>
    </row>
    <row r="1926" ht="15.75" customHeight="1">
      <c r="A1926" s="2" t="s">
        <v>1926</v>
      </c>
      <c r="B1926" s="2" t="str">
        <f>IFERROR(__xludf.DUMMYFUNCTION("GOOGLETRANSLATE(A1926, ""en"", ""mt"")"),"X'inhu xi kultant użat interkambjabbli ma '' plastidi '?")</f>
        <v>X'inhu xi kultant użat interkambjabbli ma '' plastidi '?</v>
      </c>
    </row>
    <row r="1927" ht="15.75" customHeight="1">
      <c r="A1927" s="2" t="s">
        <v>1927</v>
      </c>
      <c r="B1927" s="2" t="str">
        <f>IFERROR(__xludf.DUMMYFUNCTION("GOOGLETRANSLATE(A1927, ""en"", ""mt"")"),"Perjodu ta 'migrazzjoni")</f>
        <v>Perjodu ta 'migrazzjoni</v>
      </c>
    </row>
    <row r="1928" ht="15.75" customHeight="1">
      <c r="A1928" s="2" t="s">
        <v>1928</v>
      </c>
      <c r="B1928" s="2" t="str">
        <f>IFERROR(__xludf.DUMMYFUNCTION("GOOGLETRANSLATE(A1928, ""en"", ""mt"")"),"Ipersensittività tat-Tip I.")</f>
        <v>Ipersensittività tat-Tip I.</v>
      </c>
    </row>
    <row r="1929" ht="15.75" customHeight="1">
      <c r="A1929" s="2" t="s">
        <v>1929</v>
      </c>
      <c r="B1929" s="2" t="str">
        <f>IFERROR(__xludf.DUMMYFUNCTION("GOOGLETRANSLATE(A1929, ""en"", ""mt"")"),"Gruppi Alleati mill-Asja Ċentrali u t-Tmiem tal-Punent tal-Imperu")</f>
        <v>Gruppi Alleati mill-Asja Ċentrali u t-Tmiem tal-Punent tal-Imperu</v>
      </c>
    </row>
    <row r="1930" ht="15.75" customHeight="1">
      <c r="A1930" s="2" t="s">
        <v>1930</v>
      </c>
      <c r="B1930" s="2" t="str">
        <f>IFERROR(__xludf.DUMMYFUNCTION("GOOGLETRANSLATE(A1930, ""en"", ""mt"")"),"Fl-2014, ix-xogħol tlesta fuq id-daħla storika tal-istazzjonijiet. Il-ħġieġ tqiegħed fuq l-arkati storiċi u l-arkitettura Vittorjana kienet imsaħħa; It-trasformazzjoni tal-portiku pubbliku tas-seklu 19. L-istazzjon huwa wieħed mill-istazzjonijiet ferrovja"&amp;"rji elenkati biss ta 'sitt grad wieħed fir-Renju Unit. Infetħet fl-1850 mir-Reġina Victoria, kienet l-ewwel stazzjon tal-ferrovija kopert fid-dinja u kien ikkupjat ħafna fir-Renju Unit. Għandha faċċata neoklassika, iddisinjata oriġinarjament mill-perit Jo"&amp;"hn Dobson, u nbniet b'kollaborazzjoni ma 'Robert Stephenson. L-istazzjon jidhru lejn il-kastell iżommu, waqt li juru l-kurvatura tas-saqaf arched tal-istazzjon. L-ewwel servizzi ġew operati mill-Kumpanija tal-Ferrovija tal-Lvant tal-Grigal. L-istazzjon ew"&amp;"lieni l-ieħor tal-belt, Manors, jinsab fil-lvant taċ-ċentru tal-belt.")</f>
        <v>Fl-2014, ix-xogħol tlesta fuq id-daħla storika tal-istazzjonijiet. Il-ħġieġ tqiegħed fuq l-arkati storiċi u l-arkitettura Vittorjana kienet imsaħħa; It-trasformazzjoni tal-portiku pubbliku tas-seklu 19. L-istazzjon huwa wieħed mill-istazzjonijiet ferrovjarji elenkati biss ta 'sitt grad wieħed fir-Renju Unit. Infetħet fl-1850 mir-Reġina Victoria, kienet l-ewwel stazzjon tal-ferrovija kopert fid-dinja u kien ikkupjat ħafna fir-Renju Unit. Għandha faċċata neoklassika, iddisinjata oriġinarjament mill-perit John Dobson, u nbniet b'kollaborazzjoni ma 'Robert Stephenson. L-istazzjon jidhru lejn il-kastell iżommu, waqt li juru l-kurvatura tas-saqaf arched tal-istazzjon. L-ewwel servizzi ġew operati mill-Kumpanija tal-Ferrovija tal-Lvant tal-Grigal. L-istazzjon ewlieni l-ieħor tal-belt, Manors, jinsab fil-lvant taċ-ċentru tal-belt.</v>
      </c>
    </row>
    <row r="1931" ht="15.75" customHeight="1">
      <c r="A1931" s="2" t="s">
        <v>1931</v>
      </c>
      <c r="B1931" s="2" t="str">
        <f>IFERROR(__xludf.DUMMYFUNCTION("GOOGLETRANSLATE(A1931, ""en"", ""mt"")"),"Għaliex wieħed għandu jiġi eskluż sabiex tiġi ppreservata l-uniċità tat-teorema fundamentali?")</f>
        <v>Għaliex wieħed għandu jiġi eskluż sabiex tiġi ppreservata l-uniċità tat-teorema fundamentali?</v>
      </c>
    </row>
    <row r="1932" ht="15.75" customHeight="1">
      <c r="A1932" s="2" t="s">
        <v>1932</v>
      </c>
      <c r="B1932" s="2" t="str">
        <f>IFERROR(__xludf.DUMMYFUNCTION("GOOGLETRANSLATE(A1932, ""en"", ""mt"")"),"Liema paleontologi bħalissa jinsabu fil-fakultà tal-università?")</f>
        <v>Liema paleontologi bħalissa jinsabu fil-fakultà tal-università?</v>
      </c>
    </row>
    <row r="1933" ht="15.75" customHeight="1">
      <c r="A1933" s="2" t="s">
        <v>1933</v>
      </c>
      <c r="B1933" s="2" t="str">
        <f>IFERROR(__xludf.DUMMYFUNCTION("GOOGLETRANSLATE(A1933, ""en"", ""mt"")"),"Kif ġie ssuġġerit li l-IPCC jevita problemi politiċi?")</f>
        <v>Kif ġie ssuġġerit li l-IPCC jevita problemi politiċi?</v>
      </c>
    </row>
    <row r="1934" ht="15.75" customHeight="1">
      <c r="A1934" s="2" t="s">
        <v>1934</v>
      </c>
      <c r="B1934" s="2" t="str">
        <f>IFERROR(__xludf.DUMMYFUNCTION("GOOGLETRANSLATE(A1934, ""en"", ""mt"")"),"definizzjonijiet")</f>
        <v>definizzjonijiet</v>
      </c>
    </row>
    <row r="1935" ht="15.75" customHeight="1">
      <c r="A1935" s="2" t="s">
        <v>1935</v>
      </c>
      <c r="B1935" s="2" t="str">
        <f>IFERROR(__xludf.DUMMYFUNCTION("GOOGLETRANSLATE(A1935, ""en"", ""mt"")"),"182 miljun tunnellata")</f>
        <v>182 miljun tunnellata</v>
      </c>
    </row>
    <row r="1936" ht="15.75" customHeight="1">
      <c r="A1936" s="2" t="s">
        <v>1936</v>
      </c>
      <c r="B1936" s="2" t="str">
        <f>IFERROR(__xludf.DUMMYFUNCTION("GOOGLETRANSLATE(A1936, ""en"", ""mt"")"),"Differenzi fil-valur miżjud mix-xogħol, il-kapital u l-art")</f>
        <v>Differenzi fil-valur miżjud mix-xogħol, il-kapital u l-art</v>
      </c>
    </row>
    <row r="1937" ht="15.75" customHeight="1">
      <c r="A1937" s="2" t="s">
        <v>1937</v>
      </c>
      <c r="B1937" s="2" t="str">
        <f>IFERROR(__xludf.DUMMYFUNCTION("GOOGLETRANSLATE(A1937, ""en"", ""mt"")"),"lealtà bla waqfien")</f>
        <v>lealtà bla waqfien</v>
      </c>
    </row>
    <row r="1938" ht="15.75" customHeight="1">
      <c r="A1938" s="2" t="s">
        <v>1938</v>
      </c>
      <c r="B1938" s="2" t="str">
        <f>IFERROR(__xludf.DUMMYFUNCTION("GOOGLETRANSLATE(A1938, ""en"", ""mt"")"),"Għaxar kmandamenti,")</f>
        <v>Għaxar kmandamenti,</v>
      </c>
    </row>
    <row r="1939" ht="15.75" customHeight="1">
      <c r="A1939" s="2" t="s">
        <v>1939</v>
      </c>
      <c r="B1939" s="2" t="str">
        <f>IFERROR(__xludf.DUMMYFUNCTION("GOOGLETRANSLATE(A1939, ""en"", ""mt"")"),"Blackouts tal-qawwa")</f>
        <v>Blackouts tal-qawwa</v>
      </c>
    </row>
    <row r="1940" ht="15.75" customHeight="1">
      <c r="A1940" s="2" t="s">
        <v>1940</v>
      </c>
      <c r="B1940" s="2" t="str">
        <f>IFERROR(__xludf.DUMMYFUNCTION("GOOGLETRANSLATE(A1940, ""en"", ""mt"")"),"tikkoordina r-rispons għall-embargo")</f>
        <v>tikkoordina r-rispons għall-embargo</v>
      </c>
    </row>
    <row r="1941" ht="15.75" customHeight="1">
      <c r="A1941" s="2" t="s">
        <v>1941</v>
      </c>
      <c r="B1941" s="2" t="str">
        <f>IFERROR(__xludf.DUMMYFUNCTION("GOOGLETRANSLATE(A1941, ""en"", ""mt"")"),"iż-żewġ djar tal-Kungress")</f>
        <v>iż-żewġ djar tal-Kungress</v>
      </c>
    </row>
    <row r="1942" ht="15.75" customHeight="1">
      <c r="A1942" s="2" t="s">
        <v>1942</v>
      </c>
      <c r="B1942" s="2" t="str">
        <f>IFERROR(__xludf.DUMMYFUNCTION("GOOGLETRANSLATE(A1942, ""en"", ""mt"")"),"Il-Konferenza tal-UMC tal-Baltimore-Washington")</f>
        <v>Il-Konferenza tal-UMC tal-Baltimore-Washington</v>
      </c>
    </row>
    <row r="1943" ht="15.75" customHeight="1">
      <c r="A1943" s="2" t="s">
        <v>1943</v>
      </c>
      <c r="B1943" s="2" t="str">
        <f>IFERROR(__xludf.DUMMYFUNCTION("GOOGLETRANSLATE(A1943, ""en"", ""mt"")"),"Liema gass tipproduċi r-reazzjoni eżotermika tal-linja tal-ajru?")</f>
        <v>Liema gass tipproduċi r-reazzjoni eżotermika tal-linja tal-ajru?</v>
      </c>
    </row>
    <row r="1944" ht="15.75" customHeight="1">
      <c r="A1944" s="2" t="s">
        <v>1944</v>
      </c>
      <c r="B1944" s="2" t="str">
        <f>IFERROR(__xludf.DUMMYFUNCTION("GOOGLETRANSLATE(A1944, ""en"", ""mt"")"),"Għalkemm Turabi pproklama l-appoġġ tiegħu għall-proċess demokratiku, huwa applika strettament xiex wara li daħal fil-poter?")</f>
        <v>Għalkemm Turabi pproklama l-appoġġ tiegħu għall-proċess demokratiku, huwa applika strettament xiex wara li daħal fil-poter?</v>
      </c>
    </row>
    <row r="1945" ht="15.75" customHeight="1">
      <c r="A1945" s="2" t="s">
        <v>1945</v>
      </c>
      <c r="B1945" s="2" t="str">
        <f>IFERROR(__xludf.DUMMYFUNCTION("GOOGLETRANSLATE(A1945, ""en"", ""mt"")"),"Jista 'jkolli kiser xi liġijiet speċifiċi, imma jien ħati li ma għamilt l-ebda ħażin")</f>
        <v>Jista 'jkolli kiser xi liġijiet speċifiċi, imma jien ħati li ma għamilt l-ebda ħażin</v>
      </c>
    </row>
    <row r="1946" ht="15.75" customHeight="1">
      <c r="A1946" s="2" t="s">
        <v>1946</v>
      </c>
      <c r="B1946" s="2" t="str">
        <f>IFERROR(__xludf.DUMMYFUNCTION("GOOGLETRANSLATE(A1946, ""en"", ""mt"")"),"Klima tropikali sħuna u umda fuq il-kosta tal-Oċean Indjan tagħha")</f>
        <v>Klima tropikali sħuna u umda fuq il-kosta tal-Oċean Indjan tagħha</v>
      </c>
    </row>
    <row r="1947" ht="15.75" customHeight="1">
      <c r="A1947" s="2" t="s">
        <v>1947</v>
      </c>
      <c r="B1947" s="2" t="str">
        <f>IFERROR(__xludf.DUMMYFUNCTION("GOOGLETRANSLATE(A1947, ""en"", ""mt"")"),"Liema reġjuni għandhom klimi moderati?")</f>
        <v>Liema reġjuni għandhom klimi moderati?</v>
      </c>
    </row>
    <row r="1948" ht="15.75" customHeight="1">
      <c r="A1948" s="2" t="s">
        <v>1948</v>
      </c>
      <c r="B1948" s="2" t="str">
        <f>IFERROR(__xludf.DUMMYFUNCTION("GOOGLETRANSLATE(A1948, ""en"", ""mt"")"),"Fejn iqattgħu l-maġġoranza ta 'ħajjithom?")</f>
        <v>Fejn iqattgħu l-maġġoranza ta 'ħajjithom?</v>
      </c>
    </row>
    <row r="1949" ht="15.75" customHeight="1">
      <c r="A1949" s="2" t="s">
        <v>1949</v>
      </c>
      <c r="B1949" s="2" t="str">
        <f>IFERROR(__xludf.DUMMYFUNCTION("GOOGLETRANSLATE(A1949, ""en"", ""mt"")"),"X'għandu jiġi analizzat biex tqabbel Amazon Rainfall fil-passat u fil-preżent?")</f>
        <v>X'għandu jiġi analizzat biex tqabbel Amazon Rainfall fil-passat u fil-preżent?</v>
      </c>
    </row>
    <row r="1950" ht="15.75" customHeight="1">
      <c r="A1950" s="2" t="s">
        <v>1950</v>
      </c>
      <c r="B1950" s="2" t="str">
        <f>IFERROR(__xludf.DUMMYFUNCTION("GOOGLETRANSLATE(A1950, ""en"", ""mt"")"),"bi flus minn sistemi bankarji Iżlamisti barranin")</f>
        <v>bi flus minn sistemi bankarji Iżlamisti barranin</v>
      </c>
    </row>
    <row r="1951" ht="15.75" customHeight="1">
      <c r="A1951" s="2" t="s">
        <v>1951</v>
      </c>
      <c r="B1951" s="2" t="str">
        <f>IFERROR(__xludf.DUMMYFUNCTION("GOOGLETRANSLATE(A1951, ""en"", ""mt"")"),"Beyoncé u Bruno Mars")</f>
        <v>Beyoncé u Bruno Mars</v>
      </c>
    </row>
    <row r="1952" ht="15.75" customHeight="1">
      <c r="A1952" s="2" t="s">
        <v>1952</v>
      </c>
      <c r="B1952" s="2" t="str">
        <f>IFERROR(__xludf.DUMMYFUNCTION("GOOGLETRANSLATE(A1952, ""en"", ""mt"")"),"Residenza tal-Prattika tal-Ispiżerija")</f>
        <v>Residenza tal-Prattika tal-Ispiżerija</v>
      </c>
    </row>
    <row r="1953" ht="15.75" customHeight="1">
      <c r="A1953" s="2" t="s">
        <v>1953</v>
      </c>
      <c r="B1953" s="2" t="str">
        <f>IFERROR(__xludf.DUMMYFUNCTION("GOOGLETRANSLATE(A1953, ""en"", ""mt"")"),"It-tapes setgħu jiġu rrestawrati u pproċessati mingħajr ma jinqerdu leġittimità storika jew xi aspetti tat-tejps jitilfu l-leġittimità?")</f>
        <v>It-tapes setgħu jiġu rrestawrati u pproċessati mingħajr ma jinqerdu leġittimità storika jew xi aspetti tat-tejps jitilfu l-leġittimità?</v>
      </c>
    </row>
    <row r="1954" ht="15.75" customHeight="1">
      <c r="A1954" s="2" t="s">
        <v>1954</v>
      </c>
      <c r="B1954" s="2" t="str">
        <f>IFERROR(__xludf.DUMMYFUNCTION("GOOGLETRANSLATE(A1954, ""en"", ""mt"")"),"terz")</f>
        <v>terz</v>
      </c>
    </row>
    <row r="1955" ht="15.75" customHeight="1">
      <c r="A1955" s="2" t="s">
        <v>1955</v>
      </c>
      <c r="B1955" s="2" t="str">
        <f>IFERROR(__xludf.DUMMYFUNCTION("GOOGLETRANSLATE(A1955, ""en"", ""mt"")"),"Belgrad")</f>
        <v>Belgrad</v>
      </c>
    </row>
    <row r="1956" ht="15.75" customHeight="1">
      <c r="A1956" s="2" t="s">
        <v>1956</v>
      </c>
      <c r="B1956" s="2" t="str">
        <f>IFERROR(__xludf.DUMMYFUNCTION("GOOGLETRANSLATE(A1956, ""en"", ""mt"")"),"Tferrix tal-baħar")</f>
        <v>Tferrix tal-baħar</v>
      </c>
    </row>
    <row r="1957" ht="15.75" customHeight="1">
      <c r="A1957" s="2" t="s">
        <v>1957</v>
      </c>
      <c r="B1957" s="2" t="str">
        <f>IFERROR(__xludf.DUMMYFUNCTION("GOOGLETRANSLATE(A1957, ""en"", ""mt"")"),"Specials Jum il-Milied")</f>
        <v>Specials Jum il-Milied</v>
      </c>
    </row>
    <row r="1958" ht="15.75" customHeight="1">
      <c r="A1958" s="2" t="s">
        <v>1958</v>
      </c>
      <c r="B1958" s="2" t="str">
        <f>IFERROR(__xludf.DUMMYFUNCTION("GOOGLETRANSLATE(A1958, ""en"", ""mt"")"),"miżżewġin barra l-komunitajiet Franċiżi immedjati tagħhom")</f>
        <v>miżżewġin barra l-komunitajiet Franċiżi immedjati tagħhom</v>
      </c>
    </row>
    <row r="1959" ht="15.75" customHeight="1">
      <c r="A1959" s="2" t="s">
        <v>1959</v>
      </c>
      <c r="B1959" s="2" t="str">
        <f>IFERROR(__xludf.DUMMYFUNCTION("GOOGLETRANSLATE(A1959, ""en"", ""mt"")"),"kollox mill-ġbir ta 'każ tat-test fil-qrati federali biex jieħu l-għan lejn uffiċjal federali")</f>
        <v>kollox mill-ġbir ta 'każ tat-test fil-qrati federali biex jieħu l-għan lejn uffiċjal federali</v>
      </c>
    </row>
    <row r="1960" ht="15.75" customHeight="1">
      <c r="A1960" s="2" t="s">
        <v>1960</v>
      </c>
      <c r="B1960" s="2" t="str">
        <f>IFERROR(__xludf.DUMMYFUNCTION("GOOGLETRANSLATE(A1960, ""en"", ""mt"")"),"bi ħlas għal kull unità ta 'ħin ta' konnessjoni, anke meta ma tiġi trasferita l-ebda dejta")</f>
        <v>bi ħlas għal kull unità ta 'ħin ta' konnessjoni, anke meta ma tiġi trasferita l-ebda dejta</v>
      </c>
    </row>
    <row r="1961" ht="15.75" customHeight="1">
      <c r="A1961" s="2" t="s">
        <v>1961</v>
      </c>
      <c r="B1961" s="2" t="str">
        <f>IFERROR(__xludf.DUMMYFUNCTION("GOOGLETRANSLATE(A1961, ""en"", ""mt"")"),"Awwissu 2004")</f>
        <v>Awwissu 2004</v>
      </c>
    </row>
    <row r="1962" ht="15.75" customHeight="1">
      <c r="A1962" s="2" t="s">
        <v>1962</v>
      </c>
      <c r="B1962" s="2" t="str">
        <f>IFERROR(__xludf.DUMMYFUNCTION("GOOGLETRANSLATE(A1962, ""en"", ""mt"")"),"Agħżel l-istudenti tagħhom")</f>
        <v>Agħżel l-istudenti tagħhom</v>
      </c>
    </row>
    <row r="1963" ht="15.75" customHeight="1">
      <c r="A1963" s="2" t="s">
        <v>1963</v>
      </c>
      <c r="B1963" s="2" t="str">
        <f>IFERROR(__xludf.DUMMYFUNCTION("GOOGLETRANSLATE(A1963, ""en"", ""mt"")"),"Fejn huma Jersey u Guernsey")</f>
        <v>Fejn huma Jersey u Guernsey</v>
      </c>
    </row>
    <row r="1964" ht="15.75" customHeight="1">
      <c r="A1964" s="2" t="s">
        <v>1964</v>
      </c>
      <c r="B1964" s="2" t="str">
        <f>IFERROR(__xludf.DUMMYFUNCTION("GOOGLETRANSLATE(A1964, ""en"", ""mt"")"),"It-taħlit ma kienx popolari fil-kostruzzjoni ta 'liema magni?")</f>
        <v>It-taħlit ma kienx popolari fil-kostruzzjoni ta 'liema magni?</v>
      </c>
    </row>
    <row r="1965" ht="15.75" customHeight="1">
      <c r="A1965" s="2" t="s">
        <v>1965</v>
      </c>
      <c r="B1965" s="2" t="str">
        <f>IFERROR(__xludf.DUMMYFUNCTION("GOOGLETRANSLATE(A1965, ""en"", ""mt"")"),"Test ta 'Primalità ta' Miller - Rabin")</f>
        <v>Test ta 'Primalità ta' Miller - Rabin</v>
      </c>
    </row>
    <row r="1966" ht="15.75" customHeight="1">
      <c r="A1966" s="2" t="s">
        <v>1966</v>
      </c>
      <c r="B1966" s="2" t="str">
        <f>IFERROR(__xludf.DUMMYFUNCTION("GOOGLETRANSLATE(A1966, ""en"", ""mt"")"),"Liema sistema ġiet adottata għall-edukazzjoni?")</f>
        <v>Liema sistema ġiet adottata għall-edukazzjoni?</v>
      </c>
    </row>
    <row r="1967" ht="15.75" customHeight="1">
      <c r="A1967" s="2" t="s">
        <v>1967</v>
      </c>
      <c r="B1967" s="2" t="str">
        <f>IFERROR(__xludf.DUMMYFUNCTION("GOOGLETRANSLATE(A1967, ""en"", ""mt"")"),"Huma kellhom il-pajjiż ta 'Ohio u li kienu jinnegozjaw mal-Ingliżi irrispettivament mill-Franċiżi")</f>
        <v>Huma kellhom il-pajjiż ta 'Ohio u li kienu jinnegozjaw mal-Ingliżi irrispettivament mill-Franċiżi</v>
      </c>
    </row>
    <row r="1968" ht="15.75" customHeight="1">
      <c r="A1968" s="2" t="s">
        <v>1968</v>
      </c>
      <c r="B1968" s="2" t="str">
        <f>IFERROR(__xludf.DUMMYFUNCTION("GOOGLETRANSLATE(A1968, ""en"", ""mt"")"),"Liema oqsma tal-Ewropa tat-Tramuntana pprattikaw dawk ir-reliġjonijiet?")</f>
        <v>Liema oqsma tal-Ewropa tat-Tramuntana pprattikaw dawk ir-reliġjonijiet?</v>
      </c>
    </row>
    <row r="1969" ht="15.75" customHeight="1">
      <c r="A1969" s="2" t="s">
        <v>1969</v>
      </c>
      <c r="B1969" s="2" t="str">
        <f>IFERROR(__xludf.DUMMYFUNCTION("GOOGLETRANSLATE(A1969, ""en"", ""mt"")"),"Privat tradizzjonali")</f>
        <v>Privat tradizzjonali</v>
      </c>
    </row>
    <row r="1970" ht="15.75" customHeight="1">
      <c r="A1970" s="2" t="s">
        <v>1970</v>
      </c>
      <c r="B1970" s="2" t="str">
        <f>IFERROR(__xludf.DUMMYFUNCTION("GOOGLETRANSLATE(A1970, ""en"", ""mt"")"),"17.5 miljun")</f>
        <v>17.5 miljun</v>
      </c>
    </row>
    <row r="1971" ht="15.75" customHeight="1">
      <c r="A1971" s="2" t="s">
        <v>1971</v>
      </c>
      <c r="B1971" s="2" t="str">
        <f>IFERROR(__xludf.DUMMYFUNCTION("GOOGLETRANSLATE(A1971, ""en"", ""mt"")"),"Liema entità fil-Kanada tieħu ħsieb ir-regolamenti ta 'sostituzzjoni għal programmi televiżivi?")</f>
        <v>Liema entità fil-Kanada tieħu ħsieb ir-regolamenti ta 'sostituzzjoni għal programmi televiżivi?</v>
      </c>
    </row>
    <row r="1972" ht="15.75" customHeight="1">
      <c r="A1972" s="2" t="s">
        <v>1972</v>
      </c>
      <c r="B1972" s="2" t="str">
        <f>IFERROR(__xludf.DUMMYFUNCTION("GOOGLETRANSLATE(A1972, ""en"", ""mt"")"),"28 jum")</f>
        <v>28 jum</v>
      </c>
    </row>
    <row r="1973" ht="15.75" customHeight="1">
      <c r="A1973" s="2" t="s">
        <v>1973</v>
      </c>
      <c r="B1973" s="2" t="str">
        <f>IFERROR(__xludf.DUMMYFUNCTION("GOOGLETRANSLATE(A1973, ""en"", ""mt"")"),"Pressjoni osmotika")</f>
        <v>Pressjoni osmotika</v>
      </c>
    </row>
    <row r="1974" ht="15.75" customHeight="1">
      <c r="A1974" s="2" t="s">
        <v>1974</v>
      </c>
      <c r="B1974" s="2" t="str">
        <f>IFERROR(__xludf.DUMMYFUNCTION("GOOGLETRANSLATE(A1974, ""en"", ""mt"")"),"Afrika sub-Saħarjana")</f>
        <v>Afrika sub-Saħarjana</v>
      </c>
    </row>
    <row r="1975" ht="15.75" customHeight="1">
      <c r="A1975" s="2" t="s">
        <v>1975</v>
      </c>
      <c r="B1975" s="2" t="str">
        <f>IFERROR(__xludf.DUMMYFUNCTION("GOOGLETRANSLATE(A1975, ""en"", ""mt"")"),"bżonn ta 'alleanzi")</f>
        <v>bżonn ta 'alleanzi</v>
      </c>
    </row>
    <row r="1976" ht="15.75" customHeight="1">
      <c r="A1976" s="2" t="s">
        <v>1976</v>
      </c>
      <c r="B1976" s="2" t="str">
        <f>IFERROR(__xludf.DUMMYFUNCTION("GOOGLETRANSLATE(A1976, ""en"", ""mt"")"),"livell waqa 'b'mod sinifikanti")</f>
        <v>livell waqa 'b'mod sinifikanti</v>
      </c>
    </row>
    <row r="1977" ht="15.75" customHeight="1">
      <c r="A1977" s="2" t="s">
        <v>1977</v>
      </c>
      <c r="B1977" s="2" t="str">
        <f>IFERROR(__xludf.DUMMYFUNCTION("GOOGLETRANSLATE(A1977, ""en"", ""mt"")"),"Highlands")</f>
        <v>Highlands</v>
      </c>
    </row>
    <row r="1978" ht="15.75" customHeight="1">
      <c r="A1978" s="2" t="s">
        <v>1978</v>
      </c>
      <c r="B1978" s="2" t="str">
        <f>IFERROR(__xludf.DUMMYFUNCTION("GOOGLETRANSLATE(A1978, ""en"", ""mt"")"),"X'għandu jkun l-għan ewlieni li ma tużax kastig f'sistema ġusta?")</f>
        <v>X'għandu jkun l-għan ewlieni li ma tużax kastig f'sistema ġusta?</v>
      </c>
    </row>
    <row r="1979" ht="15.75" customHeight="1">
      <c r="A1979" s="2" t="s">
        <v>1979</v>
      </c>
      <c r="B1979" s="2" t="str">
        <f>IFERROR(__xludf.DUMMYFUNCTION("GOOGLETRANSLATE(A1979, ""en"", ""mt"")"),"L-Iroquois bagħat runners lill-villaġġ ta ’William Johnson fl-istati ta’ New York. Is-Supretendent Brittaniku għall-Affarijiet Indjani fir-reġjun ta 'New York u lil hinn minnha, Johnson kien magħruf għall-Iroquois bħala Warraghgey, li jfisser ""hu li jagħ"&amp;"mel affarijiet kbar."" Huwa tkellem il-lingwi tagħhom u kien sar membru onorarju rispettat tal-Konfederazzjoni Iroquois fiż-żona. Fl-1746, Johnson sar kurunell tal-Iroquois. Aktar tard ġie kkummissjonat bħala kurunell tal-milizja tal-Punent ta ’New York. "&amp;"Iltaqgħu f'Albany, New York flimkien mal-Gvernatur Clinton u uffiċjali minn uħud mill-kolonji Amerikani l-oħra. Il-Kap Mohawk Hendrick, kelliem tal-kunsill tribali tagħhom, insista li l-Ingliżi jimxu mal-obbligi tagħhom u jimblokka l-espansjoni Franċiża. "&amp;"Meta Clinton ma weġibx għas-sodisfazzjon tiegħu, il-Kap Hendrick qal li l- ""katina tal-patt"", relazzjoni ta 'ħbiberija li ilha għaddejja bejn il-Konfederazzjoni Iroquois u l-Kuruna Ingliża, kienet miksura.")</f>
        <v>L-Iroquois bagħat runners lill-villaġġ ta ’William Johnson fl-istati ta’ New York. Is-Supretendent Brittaniku għall-Affarijiet Indjani fir-reġjun ta 'New York u lil hinn minnha, Johnson kien magħruf għall-Iroquois bħala Warraghgey, li jfisser "hu li jagħmel affarijiet kbar." Huwa tkellem il-lingwi tagħhom u kien sar membru onorarju rispettat tal-Konfederazzjoni Iroquois fiż-żona. Fl-1746, Johnson sar kurunell tal-Iroquois. Aktar tard ġie kkummissjonat bħala kurunell tal-milizja tal-Punent ta ’New York. Iltaqgħu f'Albany, New York flimkien mal-Gvernatur Clinton u uffiċjali minn uħud mill-kolonji Amerikani l-oħra. Il-Kap Mohawk Hendrick, kelliem tal-kunsill tribali tagħhom, insista li l-Ingliżi jimxu mal-obbligi tagħhom u jimblokka l-espansjoni Franċiża. Meta Clinton ma weġibx għas-sodisfazzjon tiegħu, il-Kap Hendrick qal li l- "katina tal-patt", relazzjoni ta 'ħbiberija li ilha għaddejja bejn il-Konfederazzjoni Iroquois u l-Kuruna Ingliża, kienet miksura.</v>
      </c>
    </row>
    <row r="1980" ht="15.75" customHeight="1">
      <c r="A1980" s="2" t="s">
        <v>1980</v>
      </c>
      <c r="B1980" s="2" t="str">
        <f>IFERROR(__xludf.DUMMYFUNCTION("GOOGLETRANSLATE(A1980, ""en"", ""mt"")"),"ermafroditiżmu u riproduzzjoni bikrija")</f>
        <v>ermafroditiżmu u riproduzzjoni bikrija</v>
      </c>
    </row>
    <row r="1981" ht="15.75" customHeight="1">
      <c r="A1981" s="2" t="s">
        <v>1981</v>
      </c>
      <c r="B1981" s="2" t="str">
        <f>IFERROR(__xludf.DUMMYFUNCTION("GOOGLETRANSLATE(A1981, ""en"", ""mt"")"),"tal-gravità")</f>
        <v>tal-gravità</v>
      </c>
    </row>
    <row r="1982" ht="15.75" customHeight="1">
      <c r="A1982" s="2" t="s">
        <v>1982</v>
      </c>
      <c r="B1982" s="2" t="str">
        <f>IFERROR(__xludf.DUMMYFUNCTION("GOOGLETRANSLATE(A1982, ""en"", ""mt"")"),"Dokumenti li jakkumpanjawhom")</f>
        <v>Dokumenti li jakkumpanjawhom</v>
      </c>
    </row>
    <row r="1983" ht="15.75" customHeight="1">
      <c r="A1983" s="2" t="s">
        <v>1983</v>
      </c>
      <c r="B1983" s="2" t="str">
        <f>IFERROR(__xludf.DUMMYFUNCTION("GOOGLETRANSLATE(A1983, ""en"", ""mt"")"),"X’kanta Lady Gaga?")</f>
        <v>X’kanta Lady Gaga?</v>
      </c>
    </row>
    <row r="1984" ht="15.75" customHeight="1">
      <c r="A1984" s="2" t="s">
        <v>1984</v>
      </c>
      <c r="B1984" s="2" t="str">
        <f>IFERROR(__xludf.DUMMYFUNCTION("GOOGLETRANSLATE(A1984, ""en"", ""mt"")"),"6,000 kilometru kwadru")</f>
        <v>6,000 kilometru kwadru</v>
      </c>
    </row>
    <row r="1985" ht="15.75" customHeight="1">
      <c r="A1985" s="2" t="s">
        <v>1985</v>
      </c>
      <c r="B1985" s="2" t="str">
        <f>IFERROR(__xludf.DUMMYFUNCTION("GOOGLETRANSLATE(A1985, ""en"", ""mt"")"),"Min jaħtar anzjani?")</f>
        <v>Min jaħtar anzjani?</v>
      </c>
    </row>
    <row r="1986" ht="15.75" customHeight="1">
      <c r="A1986" s="2" t="s">
        <v>1986</v>
      </c>
      <c r="B1986" s="2" t="str">
        <f>IFERROR(__xludf.DUMMYFUNCTION("GOOGLETRANSLATE(A1986, ""en"", ""mt"")"),"Il-Mużew Nikola Tesla")</f>
        <v>Il-Mużew Nikola Tesla</v>
      </c>
    </row>
    <row r="1987" ht="15.75" customHeight="1">
      <c r="A1987" s="2" t="s">
        <v>1987</v>
      </c>
      <c r="B1987" s="2" t="str">
        <f>IFERROR(__xludf.DUMMYFUNCTION("GOOGLETRANSLATE(A1987, ""en"", ""mt"")"),"Il-kanal tad-divertiment")</f>
        <v>Il-kanal tad-divertiment</v>
      </c>
    </row>
    <row r="1988" ht="15.75" customHeight="1">
      <c r="A1988" s="2" t="s">
        <v>1988</v>
      </c>
      <c r="B1988" s="2" t="str">
        <f>IFERROR(__xludf.DUMMYFUNCTION("GOOGLETRANSLATE(A1988, ""en"", ""mt"")"),"Kemm-il darba jseħħu l-elezzjonijiet tal-Parlament?")</f>
        <v>Kemm-il darba jseħħu l-elezzjonijiet tal-Parlament?</v>
      </c>
    </row>
    <row r="1989" ht="15.75" customHeight="1">
      <c r="A1989" s="2" t="s">
        <v>1989</v>
      </c>
      <c r="B1989" s="2" t="str">
        <f>IFERROR(__xludf.DUMMYFUNCTION("GOOGLETRANSLATE(A1989, ""en"", ""mt"")"),"Il-Gvernatur Robert Dinwiddie ta ’Virginia kien investitur fil-Kumpanija Ohio, li kienet titlef il-flus jekk il-Franċiżi kellhom it-talba tagħhom. Biex tiġġieled il-preżenza militari Franċiża fl-Ohio, f'Ottubru 1753 Dinwiddie ordnat lill-Maġġur ta '21 sen"&amp;"a George Washington (li ħuh kien investitur ieħor tal-kumpanija Ohio) tar-Reġiment ta 'Virginia biex iwissi lill-Franċiżi biex jitilqu mit-territorju ta' Virginia. Washington telaq b'parti żgħira, qabad matul it-triq Jacob van Braam bħala interpretu; Chri"&amp;"stopher Gist, survejter tal-kumpanija li jaħdem fiż-żona; u ftit Mingo mmexxija minn Tanaghrisson. Fit-12 ta 'Diċembru, Washington u l-irġiel tiegħu laħqu Fort Le Boeuf.")</f>
        <v>Il-Gvernatur Robert Dinwiddie ta ’Virginia kien investitur fil-Kumpanija Ohio, li kienet titlef il-flus jekk il-Franċiżi kellhom it-talba tagħhom. Biex tiġġieled il-preżenza militari Franċiża fl-Ohio, f'Ottubru 1753 Dinwiddie ordnat lill-Maġġur ta '21 sena George Washington (li ħuh kien investitur ieħor tal-kumpanija Ohio) tar-Reġiment ta 'Virginia biex iwissi lill-Franċiżi biex jitilqu mit-territorju ta' Virginia. Washington telaq b'parti żgħira, qabad matul it-triq Jacob van Braam bħala interpretu; Christopher Gist, survejter tal-kumpanija li jaħdem fiż-żona; u ftit Mingo mmexxija minn Tanaghrisson. Fit-12 ta 'Diċembru, Washington u l-irġiel tiegħu laħqu Fort Le Boeuf.</v>
      </c>
    </row>
    <row r="1990" ht="15.75" customHeight="1">
      <c r="A1990" s="2" t="s">
        <v>1990</v>
      </c>
      <c r="B1990" s="2" t="str">
        <f>IFERROR(__xludf.DUMMYFUNCTION("GOOGLETRANSLATE(A1990, ""en"", ""mt"")"),"Massakru ta 'Jum San Bartolomew")</f>
        <v>Massakru ta 'Jum San Bartolomew</v>
      </c>
    </row>
    <row r="1991" ht="15.75" customHeight="1">
      <c r="A1991" s="2" t="s">
        <v>1991</v>
      </c>
      <c r="B1991" s="2" t="str">
        <f>IFERROR(__xludf.DUMMYFUNCTION("GOOGLETRANSLATE(A1991, ""en"", ""mt"")"),"Fil-ħafna noti tiegħu")</f>
        <v>Fil-ħafna noti tiegħu</v>
      </c>
    </row>
    <row r="1992" ht="15.75" customHeight="1">
      <c r="A1992" s="2" t="s">
        <v>1992</v>
      </c>
      <c r="B1992" s="2" t="str">
        <f>IFERROR(__xludf.DUMMYFUNCTION("GOOGLETRANSLATE(A1992, ""en"", ""mt"")"),"Il-mekkaniżmu li bih Y. pestis kien ġeneralment trasmess")</f>
        <v>Il-mekkaniżmu li bih Y. pestis kien ġeneralment trasmess</v>
      </c>
    </row>
    <row r="1993" ht="15.75" customHeight="1">
      <c r="A1993" s="2" t="s">
        <v>1993</v>
      </c>
      <c r="B1993" s="2" t="str">
        <f>IFERROR(__xludf.DUMMYFUNCTION("GOOGLETRANSLATE(A1993, ""en"", ""mt"")"),"antiġen")</f>
        <v>antiġen</v>
      </c>
    </row>
    <row r="1994" ht="15.75" customHeight="1">
      <c r="A1994" s="2" t="s">
        <v>1994</v>
      </c>
      <c r="B1994" s="2" t="str">
        <f>IFERROR(__xludf.DUMMYFUNCTION("GOOGLETRANSLATE(A1994, ""en"", ""mt"")"),"X'ġara lill-Kumpanija tal-Kummerċ tal-Indja tal-Lvant fl-1767?")</f>
        <v>X'ġara lill-Kumpanija tal-Kummerċ tal-Indja tal-Lvant fl-1767?</v>
      </c>
    </row>
    <row r="1995" ht="15.75" customHeight="1">
      <c r="A1995" s="2" t="s">
        <v>1995</v>
      </c>
      <c r="B1995" s="2" t="str">
        <f>IFERROR(__xludf.DUMMYFUNCTION("GOOGLETRANSLATE(A1995, ""en"", ""mt"")"),"fis-seklu dsatax")</f>
        <v>fis-seklu dsatax</v>
      </c>
    </row>
    <row r="1996" ht="15.75" customHeight="1">
      <c r="A1996" s="2" t="s">
        <v>1996</v>
      </c>
      <c r="B1996" s="2" t="str">
        <f>IFERROR(__xludf.DUMMYFUNCTION("GOOGLETRANSLATE(A1996, ""en"", ""mt"")"),"il-gvern Skoċċiż")</f>
        <v>il-gvern Skoċċiż</v>
      </c>
    </row>
    <row r="1997" ht="15.75" customHeight="1">
      <c r="A1997" s="2" t="s">
        <v>1997</v>
      </c>
      <c r="B1997" s="2" t="str">
        <f>IFERROR(__xludf.DUMMYFUNCTION("GOOGLETRANSLATE(A1997, ""en"", ""mt"")"),"Ekwazzjonijiet Newtonjani.")</f>
        <v>Ekwazzjonijiet Newtonjani.</v>
      </c>
    </row>
    <row r="1998" ht="15.75" customHeight="1">
      <c r="A1998" s="2" t="s">
        <v>1998</v>
      </c>
      <c r="B1998" s="2" t="str">
        <f>IFERROR(__xludf.DUMMYFUNCTION("GOOGLETRANSLATE(A1998, ""en"", ""mt"")"),"Servizz tal-Ħażna Cloud")</f>
        <v>Servizz tal-Ħażna Cloud</v>
      </c>
    </row>
    <row r="1999" ht="15.75" customHeight="1">
      <c r="A1999" s="2" t="s">
        <v>1999</v>
      </c>
      <c r="B1999" s="2" t="str">
        <f>IFERROR(__xludf.DUMMYFUNCTION("GOOGLETRANSLATE(A1999, ""en"", ""mt"")"),"Ċentru Stubhub")</f>
        <v>Ċentru Stubhub</v>
      </c>
    </row>
    <row r="2000" ht="15.75" customHeight="1">
      <c r="A2000" s="2" t="s">
        <v>2000</v>
      </c>
      <c r="B2000" s="2" t="str">
        <f>IFERROR(__xludf.DUMMYFUNCTION("GOOGLETRANSLATE(A2000, ""en"", ""mt"")"),"X'inhi l-ekonomija ta 'Varsavja?")</f>
        <v>X'inhi l-ekonomija ta 'Varsavja?</v>
      </c>
    </row>
    <row r="2001" ht="15.75" customHeight="1">
      <c r="A2001" s="2" t="s">
        <v>2001</v>
      </c>
      <c r="B2001" s="2" t="str">
        <f>IFERROR(__xludf.DUMMYFUNCTION("GOOGLETRANSLATE(A2001, ""en"", ""mt"")"),"X'kien oriġinarjament fuq l-ispazji qabel l-elmu ċar ""Fishbowl""?")</f>
        <v>X'kien oriġinarjament fuq l-ispazji qabel l-elmu ċar "Fishbowl"?</v>
      </c>
    </row>
    <row r="2002" ht="15.75" customHeight="1">
      <c r="A2002" s="2" t="s">
        <v>2002</v>
      </c>
      <c r="B2002" s="2" t="str">
        <f>IFERROR(__xludf.DUMMYFUNCTION("GOOGLETRANSLATE(A2002, ""en"", ""mt"")"),"Gauge Bosons")</f>
        <v>Gauge Bosons</v>
      </c>
    </row>
    <row r="2003" ht="15.75" customHeight="1">
      <c r="A2003" s="2" t="s">
        <v>2003</v>
      </c>
      <c r="B2003" s="2" t="str">
        <f>IFERROR(__xludf.DUMMYFUNCTION("GOOGLETRANSLATE(A2003, ""en"", ""mt"")"),"Għal ħafna popolazzjonijiet indiġeni, l-eliminazzjoni tal-poter Franċiż fl-Amerika ta 'Fuq kienet tfisser l-għajbien ta' alleat qawwi u kontrapiż għall-espansjoni Ingliża, li twassal għad-disponiment aħħari tagħhom. Il-pajjiż ta 'Ohio kien partikolarment "&amp;"vulnerabbli għal soluzzjoni legali u illegali minħabba l-kostruzzjoni ta' toroq militari lejn iż-żona minn Braddock u Forbes. Għalkemm l-akkwist Spanjol tat-territorju ta 'Louisiana (li ma tlestiex sal-1769) kellu riperkussjonijiet modesti, l-akkwist Ingl"&amp;"iż ta' Florida Spanjola rriżulta fil-migrazzjoni lejn il-punent ta 'tribujiet li ma riedux jagħmlu negozju mal-Ingliżi, u żieda fl-Ingliżi, u żieda fl-Ingliżi, u żieda fit-tensjonijiet bejn Iċ-Choctaw u l-Creek, għedewwa storiċi li d-diviżjonijiet tagħhom"&amp;" il-Brittaniċi xi kultant sfruttaw. Il-bidla tal-kontroll fi Florida wasslet ukoll ħafna mill-popolazzjoni Kattolika Spanjola tagħha biex titlaq. Il-biċċa l-kbira marru Kuba, inklużi r-rekords governattivi kollha minn Santu Wistin, għalkemm xi Yamasee Chr"&amp;"istianze ġew risistemati lejn il-kosta tal-Messiku.")</f>
        <v>Għal ħafna popolazzjonijiet indiġeni, l-eliminazzjoni tal-poter Franċiż fl-Amerika ta 'Fuq kienet tfisser l-għajbien ta' alleat qawwi u kontrapiż għall-espansjoni Ingliża, li twassal għad-disponiment aħħari tagħhom. Il-pajjiż ta 'Ohio kien partikolarment vulnerabbli għal soluzzjoni legali u illegali minħabba l-kostruzzjoni ta' toroq militari lejn iż-żona minn Braddock u Forbes. Għalkemm l-akkwist Spanjol tat-territorju ta 'Louisiana (li ma tlestiex sal-1769) kellu riperkussjonijiet modesti, l-akkwist Ingliż ta' Florida Spanjola rriżulta fil-migrazzjoni lejn il-punent ta 'tribujiet li ma riedux jagħmlu negozju mal-Ingliżi, u żieda fl-Ingliżi, u żieda fl-Ingliżi, u żieda fit-tensjonijiet bejn Iċ-Choctaw u l-Creek, għedewwa storiċi li d-diviżjonijiet tagħhom il-Brittaniċi xi kultant sfruttaw. Il-bidla tal-kontroll fi Florida wasslet ukoll ħafna mill-popolazzjoni Kattolika Spanjola tagħha biex titlaq. Il-biċċa l-kbira marru Kuba, inklużi r-rekords governattivi kollha minn Santu Wistin, għalkemm xi Yamasee Christianze ġew risistemati lejn il-kosta tal-Messiku.</v>
      </c>
    </row>
    <row r="2004" ht="15.75" customHeight="1">
      <c r="A2004" s="2" t="s">
        <v>2004</v>
      </c>
      <c r="B2004" s="2" t="str">
        <f>IFERROR(__xludf.DUMMYFUNCTION("GOOGLETRANSLATE(A2004, ""en"", ""mt"")"),"Spazju")</f>
        <v>Spazju</v>
      </c>
    </row>
    <row r="2005" ht="15.75" customHeight="1">
      <c r="A2005" s="2" t="s">
        <v>2005</v>
      </c>
      <c r="B2005" s="2" t="str">
        <f>IFERROR(__xludf.DUMMYFUNCTION("GOOGLETRANSLATE(A2005, ""en"", ""mt"")"),"X'inhuma l-kolloblasti?")</f>
        <v>X'inhuma l-kolloblasti?</v>
      </c>
    </row>
    <row r="2006" ht="15.75" customHeight="1">
      <c r="A2006" s="2" t="s">
        <v>2006</v>
      </c>
      <c r="B2006" s="2" t="str">
        <f>IFERROR(__xludf.DUMMYFUNCTION("GOOGLETRANSLATE(A2006, ""en"", ""mt"")"),"Ossidu Merkuriku (HGO)")</f>
        <v>Ossidu Merkuriku (HGO)</v>
      </c>
    </row>
    <row r="2007" ht="15.75" customHeight="1">
      <c r="A2007" s="2" t="s">
        <v>2007</v>
      </c>
      <c r="B2007" s="2" t="str">
        <f>IFERROR(__xludf.DUMMYFUNCTION("GOOGLETRANSLATE(A2007, ""en"", ""mt"")"),"F'liema pajjiż qed ixandar l-ABC, b'kuntrast mal-istazzjonijiet l-oħra ta 'Disney?")</f>
        <v>F'liema pajjiż qed ixandar l-ABC, b'kuntrast mal-istazzjonijiet l-oħra ta 'Disney?</v>
      </c>
    </row>
    <row r="2008" ht="15.75" customHeight="1">
      <c r="A2008" s="2" t="s">
        <v>2008</v>
      </c>
      <c r="B2008" s="2" t="str">
        <f>IFERROR(__xludf.DUMMYFUNCTION("GOOGLETRANSLATE(A2008, ""en"", ""mt"")"),"Porzjonijiet tal-Punent tar-Reġjun tal-Lagi l-Kbar")</f>
        <v>Porzjonijiet tal-Punent tar-Reġjun tal-Lagi l-Kbar</v>
      </c>
    </row>
    <row r="2009" ht="15.75" customHeight="1">
      <c r="A2009" s="2" t="s">
        <v>2009</v>
      </c>
      <c r="B2009" s="2" t="str">
        <f>IFERROR(__xludf.DUMMYFUNCTION("GOOGLETRANSLATE(A2009, ""en"", ""mt"")"),"X'irrakkomanda S&amp;P biex tirrimedja xi ftit id-distakk tal-ġid?")</f>
        <v>X'irrakkomanda S&amp;P biex tirrimedja xi ftit id-distakk tal-ġid?</v>
      </c>
    </row>
    <row r="2010" ht="15.75" customHeight="1">
      <c r="A2010" s="2" t="s">
        <v>2010</v>
      </c>
      <c r="B2010" s="2" t="str">
        <f>IFERROR(__xludf.DUMMYFUNCTION("GOOGLETRANSLATE(A2010, ""en"", ""mt"")"),"Fejn jinsab id-Depot tal-Ferrovija ta 'Santa Fe?")</f>
        <v>Fejn jinsab id-Depot tal-Ferrovija ta 'Santa Fe?</v>
      </c>
    </row>
    <row r="2011" ht="15.75" customHeight="1">
      <c r="A2011" s="2" t="s">
        <v>2011</v>
      </c>
      <c r="B2011" s="2" t="str">
        <f>IFERROR(__xludf.DUMMYFUNCTION("GOOGLETRANSLATE(A2011, ""en"", ""mt"")"),"L-adulti jew it-tnixxija tal-minorenni jegħlbu l-isbaħ?")</f>
        <v>L-adulti jew it-tnixxija tal-minorenni jegħlbu l-isbaħ?</v>
      </c>
    </row>
    <row r="2012" ht="15.75" customHeight="1">
      <c r="A2012" s="2" t="s">
        <v>2012</v>
      </c>
      <c r="B2012" s="2" t="str">
        <f>IFERROR(__xludf.DUMMYFUNCTION("GOOGLETRANSLATE(A2012, ""en"", ""mt"")"),"Knisja ta ’San Ġorġ")</f>
        <v>Knisja ta ’San Ġorġ</v>
      </c>
    </row>
    <row r="2013" ht="15.75" customHeight="1">
      <c r="A2013" s="2" t="s">
        <v>2013</v>
      </c>
      <c r="B2013" s="2" t="str">
        <f>IFERROR(__xludf.DUMMYFUNCTION("GOOGLETRANSLATE(A2013, ""en"", ""mt"")"),"Kemm il-liġi tar-Renju Unit kienet teħtieġ li tibda kumpanija?")</f>
        <v>Kemm il-liġi tar-Renju Unit kienet teħtieġ li tibda kumpanija?</v>
      </c>
    </row>
    <row r="2014" ht="15.75" customHeight="1">
      <c r="A2014" s="2" t="s">
        <v>2014</v>
      </c>
      <c r="B2014" s="2" t="str">
        <f>IFERROR(__xludf.DUMMYFUNCTION("GOOGLETRANSLATE(A2014, ""en"", ""mt"")"),"Kemm premjijiet rebaħ it-tabib?")</f>
        <v>Kemm premjijiet rebaħ it-tabib?</v>
      </c>
    </row>
    <row r="2015" ht="15.75" customHeight="1">
      <c r="A2015" s="2" t="s">
        <v>2015</v>
      </c>
      <c r="B2015" s="2" t="str">
        <f>IFERROR(__xludf.DUMMYFUNCTION("GOOGLETRANSLATE(A2015, ""en"", ""mt"")"),"antiġeni")</f>
        <v>antiġeni</v>
      </c>
    </row>
    <row r="2016" ht="15.75" customHeight="1">
      <c r="A2016" s="2" t="s">
        <v>2016</v>
      </c>
      <c r="B2016" s="2" t="str">
        <f>IFERROR(__xludf.DUMMYFUNCTION("GOOGLETRANSLATE(A2016, ""en"", ""mt"")"),"Quddiem l-iskrivanija tal-uffiċjali li jippresiedu hemm il-mace parlamentari, li huwa magħmul mill-fidda u intarsjat bid-deheb imqabbad mix-xmajjar Skoċċiżi u miktub bil-kliem: għerf, kompassjoni, ġustizzja u integrità. Il-kliem li jkun hemm il-Parlament "&amp;"Skoċċiż, li huma l-ewwel kliem tal-Att tal-Iskozja, huma miktuba madwar il-kap tal-Mace, li għandu rwol ċerimonjali formali fil-laqgħat tal-Parlament, li jsaħħaħ l-awtorità tal-Parlament fil-kapaċità tiegħu tagħmel liġijiet. Ippreżentat lill-Parlament Sko"&amp;"ċċiż mir-Reġina wara l-ftuħ uffiċjali tagħha f'Lulju 1999, il-mace hija murija f'każ tal-ħġieġ sospiż mill-għatu. Fil-bidu ta 'kull seduta fil-kamra, l-għatu tal-każ huwa mdawwar sabiex il-mace tkun' il fuq mill-ħġieġ, biex tissimbolizza li qed isseħħ laq"&amp;"għa sħiħa tal-Parlament.")</f>
        <v>Quddiem l-iskrivanija tal-uffiċjali li jippresiedu hemm il-mace parlamentari, li huwa magħmul mill-fidda u intarsjat bid-deheb imqabbad mix-xmajjar Skoċċiżi u miktub bil-kliem: għerf, kompassjoni, ġustizzja u integrità. Il-kliem li jkun hemm il-Parlament Skoċċiż, li huma l-ewwel kliem tal-Att tal-Iskozja, huma miktuba madwar il-kap tal-Mace, li għandu rwol ċerimonjali formali fil-laqgħat tal-Parlament, li jsaħħaħ l-awtorità tal-Parlament fil-kapaċità tiegħu tagħmel liġijiet. Ippreżentat lill-Parlament Skoċċiż mir-Reġina wara l-ftuħ uffiċjali tagħha f'Lulju 1999, il-mace hija murija f'każ tal-ħġieġ sospiż mill-għatu. Fil-bidu ta 'kull seduta fil-kamra, l-għatu tal-każ huwa mdawwar sabiex il-mace tkun' il fuq mill-ħġieġ, biex tissimbolizza li qed isseħħ laqgħa sħiħa tal-Parlament.</v>
      </c>
    </row>
    <row r="2017" ht="15.75" customHeight="1">
      <c r="A2017" s="2" t="s">
        <v>2017</v>
      </c>
      <c r="B2017" s="2" t="str">
        <f>IFERROR(__xludf.DUMMYFUNCTION("GOOGLETRANSLATE(A2017, ""en"", ""mt"")"),"Londra Greater għandha aktar minn 900,000 Musulman, (il-biċċa l-kbira tal-oriġini tal-Asja t'Isfel u kkonċentrata fil-distretti tal-Lvant ta 'Newham, Hamlets Tower u Waltham Forest), u fosthom hemm uħud bi prospett Iżlamiku qawwi. Il-preżenza tagħhom, fli"&amp;"mkien ma 'politika Ingliża perċepita li tippermettilhom riedni ħielsa, imsaħħa minn esponimenti bħall-programm dokumentarju Channel 4 tal-2007, wasslet għat-terminu ta' Londonistan. Wara l-attakki tad-9/11, madankollu, Abu Hamza al-Masri, l-imam tal-Moske"&amp;"a tal-Park Finsbury, ġie arrestat u akkużat b'inċitament għat-terroriżmu li kkawża ħafna Iżlamisti jitilqu mir-Renju Unit biex jevitaw internament. [Ċitazzjoni meħtieġa]")</f>
        <v>Londra Greater għandha aktar minn 900,000 Musulman, (il-biċċa l-kbira tal-oriġini tal-Asja t'Isfel u kkonċentrata fil-distretti tal-Lvant ta 'Newham, Hamlets Tower u Waltham Forest), u fosthom hemm uħud bi prospett Iżlamiku qawwi. Il-preżenza tagħhom, flimkien ma 'politika Ingliża perċepita li tippermettilhom riedni ħielsa, imsaħħa minn esponimenti bħall-programm dokumentarju Channel 4 tal-2007, wasslet għat-terminu ta' Londonistan. Wara l-attakki tad-9/11, madankollu, Abu Hamza al-Masri, l-imam tal-Moskea tal-Park Finsbury, ġie arrestat u akkużat b'inċitament għat-terroriżmu li kkawża ħafna Iżlamisti jitilqu mir-Renju Unit biex jevitaw internament. [Ċitazzjoni meħtieġa]</v>
      </c>
    </row>
    <row r="2018" ht="15.75" customHeight="1">
      <c r="A2018" s="2" t="s">
        <v>2018</v>
      </c>
      <c r="B2018" s="2" t="str">
        <f>IFERROR(__xludf.DUMMYFUNCTION("GOOGLETRANSLATE(A2018, ""en"", ""mt"")"),"Dating ta 'saffi tal-lava u tal-irmied vulkaniku")</f>
        <v>Dating ta 'saffi tal-lava u tal-irmied vulkaniku</v>
      </c>
    </row>
    <row r="2019" ht="15.75" customHeight="1">
      <c r="A2019" s="2" t="s">
        <v>2019</v>
      </c>
      <c r="B2019" s="2" t="str">
        <f>IFERROR(__xludf.DUMMYFUNCTION("GOOGLETRANSLATE(A2019, ""en"", ""mt"")"),"Liema metodu kien użat biex jitneħħew il-foresta għall-kultivazzjoni tal-għelejjel fil-foresta tal-Amażonja?")</f>
        <v>Liema metodu kien użat biex jitneħħew il-foresta għall-kultivazzjoni tal-għelejjel fil-foresta tal-Amażonja?</v>
      </c>
    </row>
    <row r="2020" ht="15.75" customHeight="1">
      <c r="A2020" s="2" t="s">
        <v>2020</v>
      </c>
      <c r="B2020" s="2" t="str">
        <f>IFERROR(__xludf.DUMMYFUNCTION("GOOGLETRANSLATE(A2020, ""en"", ""mt"")"),"Talb għall-Grazzja")</f>
        <v>Talb għall-Grazzja</v>
      </c>
    </row>
    <row r="2021" ht="15.75" customHeight="1">
      <c r="A2021" s="2" t="s">
        <v>2021</v>
      </c>
      <c r="B2021" s="2" t="str">
        <f>IFERROR(__xludf.DUMMYFUNCTION("GOOGLETRANSLATE(A2021, ""en"", ""mt"")"),"iġibu l-ħruġ tagħhom fuq il-mejda")</f>
        <v>iġibu l-ħruġ tagħhom fuq il-mejda</v>
      </c>
    </row>
    <row r="2022" ht="15.75" customHeight="1">
      <c r="A2022" s="2" t="s">
        <v>2022</v>
      </c>
      <c r="B2022" s="2" t="str">
        <f>IFERROR(__xludf.DUMMYFUNCTION("GOOGLETRANSLATE(A2022, ""en"", ""mt"")"),"L-Isqof qara l-appuntamenti fis-sessjoni tal-Konferenza Annwali")</f>
        <v>L-Isqof qara l-appuntamenti fis-sessjoni tal-Konferenza Annwali</v>
      </c>
    </row>
    <row r="2023" ht="15.75" customHeight="1">
      <c r="A2023" s="2" t="s">
        <v>2023</v>
      </c>
      <c r="B2023" s="2" t="str">
        <f>IFERROR(__xludf.DUMMYFUNCTION("GOOGLETRANSLATE(A2023, ""en"", ""mt"")"),"tipproduċi riżultati akkademiċi aħjar")</f>
        <v>tipproduċi riżultati akkademiċi aħjar</v>
      </c>
    </row>
    <row r="2024" ht="15.75" customHeight="1">
      <c r="A2024" s="2" t="s">
        <v>2024</v>
      </c>
      <c r="B2024" s="2" t="str">
        <f>IFERROR(__xludf.DUMMYFUNCTION("GOOGLETRANSLATE(A2024, ""en"", ""mt"")"),"Liema għodda sottili tista 'tintuża f'sitwazzjoni imperjalista informali biex tespandi żona kkontrollata?")</f>
        <v>Liema għodda sottili tista 'tintuża f'sitwazzjoni imperjalista informali biex tespandi żona kkontrollata?</v>
      </c>
    </row>
    <row r="2025" ht="15.75" customHeight="1">
      <c r="A2025" s="2" t="s">
        <v>2025</v>
      </c>
      <c r="B2025" s="2" t="str">
        <f>IFERROR(__xludf.DUMMYFUNCTION("GOOGLETRANSLATE(A2025, ""en"", ""mt"")"),"Duttrina Essenzjali tar-Riforma")</f>
        <v>Duttrina Essenzjali tar-Riforma</v>
      </c>
    </row>
    <row r="2026" ht="15.75" customHeight="1">
      <c r="A2026" s="2" t="s">
        <v>2026</v>
      </c>
      <c r="B2026" s="2" t="str">
        <f>IFERROR(__xludf.DUMMYFUNCTION("GOOGLETRANSLATE(A2026, ""en"", ""mt"")"),"κτείς kteis 'comb' u φέρω pherō 'iġorru'")</f>
        <v>κτείς kteis 'comb' u φέρω pherō 'iġorru'</v>
      </c>
    </row>
    <row r="2027" ht="15.75" customHeight="1">
      <c r="A2027" s="2" t="s">
        <v>2027</v>
      </c>
      <c r="B2027" s="2" t="str">
        <f>IFERROR(__xludf.DUMMYFUNCTION("GOOGLETRANSLATE(A2027, ""en"", ""mt"")"),"Għal liema staġun tat-TV il-kulur l-ewwel sar format dominanti?")</f>
        <v>Għal liema staġun tat-TV il-kulur l-ewwel sar format dominanti?</v>
      </c>
    </row>
    <row r="2028" ht="15.75" customHeight="1">
      <c r="A2028" s="2" t="s">
        <v>2028</v>
      </c>
      <c r="B2028" s="2" t="str">
        <f>IFERROR(__xludf.DUMMYFUNCTION("GOOGLETRANSLATE(A2028, ""en"", ""mt"")"),"ormoni")</f>
        <v>ormoni</v>
      </c>
    </row>
    <row r="2029" ht="15.75" customHeight="1">
      <c r="A2029" s="2" t="s">
        <v>2029</v>
      </c>
      <c r="B2029" s="2" t="str">
        <f>IFERROR(__xludf.DUMMYFUNCTION("GOOGLETRANSLATE(A2029, ""en"", ""mt"")"),"Wara l-apartheid, liema tipi ta 'skejjel huma msejħa skejjel ""Mudell Ċ""?")</f>
        <v>Wara l-apartheid, liema tipi ta 'skejjel huma msejħa skejjel "Mudell Ċ"?</v>
      </c>
    </row>
    <row r="2030" ht="15.75" customHeight="1">
      <c r="A2030" s="2" t="s">
        <v>2030</v>
      </c>
      <c r="B2030" s="2" t="str">
        <f>IFERROR(__xludf.DUMMYFUNCTION("GOOGLETRANSLATE(A2030, ""en"", ""mt"")"),"X'jiffaċċjaw l-ex bini tal-Kontea ta 'Midlothian?")</f>
        <v>X'jiffaċċjaw l-ex bini tal-Kontea ta 'Midlothian?</v>
      </c>
    </row>
    <row r="2031" ht="15.75" customHeight="1">
      <c r="A2031" s="2" t="s">
        <v>2031</v>
      </c>
      <c r="B2031" s="2" t="str">
        <f>IFERROR(__xludf.DUMMYFUNCTION("GOOGLETRANSLATE(A2031, ""en"", ""mt"")"),"X'inhu isem ieħor għall-Freeway Yosemite?")</f>
        <v>X'inhu isem ieħor għall-Freeway Yosemite?</v>
      </c>
    </row>
    <row r="2032" ht="15.75" customHeight="1">
      <c r="A2032" s="2" t="s">
        <v>2032</v>
      </c>
      <c r="B2032" s="2" t="str">
        <f>IFERROR(__xludf.DUMMYFUNCTION("GOOGLETRANSLATE(A2032, ""en"", ""mt"")"),"Liema miżura ta 'problema tal-komputazzjoni tiddefinixxi b'mod wiesa' d-diffikultà inerenti tas-soluzzjoni?")</f>
        <v>Liema miżura ta 'problema tal-komputazzjoni tiddefinixxi b'mod wiesa' d-diffikultà inerenti tas-soluzzjoni?</v>
      </c>
    </row>
    <row r="2033" ht="15.75" customHeight="1">
      <c r="A2033" s="2" t="s">
        <v>2033</v>
      </c>
      <c r="B2033" s="2" t="str">
        <f>IFERROR(__xludf.DUMMYFUNCTION("GOOGLETRANSLATE(A2033, ""en"", ""mt"")"),"Sabiex tkun immarkata b'mod preċiż il-bijomassa tal-Amażonja u l-emissjonijiet sussegwenti relatati mal-karbonju, il-klassifikazzjoni tal-istadji tat-tkabbir tas-siġar f'partijiet differenti tal-foresta hija kruċjali. Fl-2006 Tatiana Kuplich organizzat is"&amp;"-siġar tal-Amażonja f'erba 'kategoriji: (1) foresta matura, (2) li tirriġenera foresta [inqas minn tliet snin], (3) li tirriġenera foresta [bejn tlieta u ħames snin ta' regrowth], u (4 ) tirriġenera foresta [ħdax sa tmintax-il sena ta 'żvilupp kontinwu]. "&amp;"Ir-riċerkatur uża kombinazzjoni ta 'radar ta' apertura sintetika (SAR) u mapper tematiku (TM) biex ipoġġi b'mod preċiż il-porzjonijiet differenti ta 'l-Amażonja f'waħda mill-erba' klassifikazzjonijiet.")</f>
        <v>Sabiex tkun immarkata b'mod preċiż il-bijomassa tal-Amażonja u l-emissjonijiet sussegwenti relatati mal-karbonju, il-klassifikazzjoni tal-istadji tat-tkabbir tas-siġar f'partijiet differenti tal-foresta hija kruċjali. Fl-2006 Tatiana Kuplich organizzat is-siġar tal-Amażonja f'erba 'kategoriji: (1) foresta matura, (2) li tirriġenera foresta [inqas minn tliet snin], (3) li tirriġenera foresta [bejn tlieta u ħames snin ta' regrowth], u (4 ) tirriġenera foresta [ħdax sa tmintax-il sena ta 'żvilupp kontinwu]. Ir-riċerkatur uża kombinazzjoni ta 'radar ta' apertura sintetika (SAR) u mapper tematiku (TM) biex ipoġġi b'mod preċiż il-porzjonijiet differenti ta 'l-Amażonja f'waħda mill-erba' klassifikazzjonijiet.</v>
      </c>
    </row>
    <row r="2034" ht="15.75" customHeight="1">
      <c r="A2034" s="2" t="s">
        <v>2034</v>
      </c>
      <c r="B2034" s="2" t="str">
        <f>IFERROR(__xludf.DUMMYFUNCTION("GOOGLETRANSLATE(A2034, ""en"", ""mt"")"),"Liema pajjiż jiltaqa 'ma' r-Renu huwa tributarji ewlenin?")</f>
        <v>Liema pajjiż jiltaqa 'ma' r-Renu huwa tributarji ewlenin?</v>
      </c>
    </row>
    <row r="2035" ht="15.75" customHeight="1">
      <c r="A2035" s="2" t="s">
        <v>2035</v>
      </c>
      <c r="B2035" s="2" t="str">
        <f>IFERROR(__xludf.DUMMYFUNCTION("GOOGLETRANSLATE(A2035, ""en"", ""mt"")"),"spontanju")</f>
        <v>spontanju</v>
      </c>
    </row>
    <row r="2036" ht="15.75" customHeight="1">
      <c r="A2036" s="2" t="s">
        <v>2036</v>
      </c>
      <c r="B2036" s="2" t="str">
        <f>IFERROR(__xludf.DUMMYFUNCTION("GOOGLETRANSLATE(A2036, ""en"", ""mt"")"),"ilma baħar")</f>
        <v>ilma baħar</v>
      </c>
    </row>
    <row r="2037" ht="15.75" customHeight="1">
      <c r="A2037" s="2" t="s">
        <v>2037</v>
      </c>
      <c r="B2037" s="2" t="str">
        <f>IFERROR(__xludf.DUMMYFUNCTION("GOOGLETRANSLATE(A2037, ""en"", ""mt"")"),"kriptografija")</f>
        <v>kriptografija</v>
      </c>
    </row>
    <row r="2038" ht="15.75" customHeight="1">
      <c r="A2038" s="2" t="s">
        <v>2038</v>
      </c>
      <c r="B2038" s="2" t="str">
        <f>IFERROR(__xludf.DUMMYFUNCTION("GOOGLETRANSLATE(A2038, ""en"", ""mt"")"),"Min ressaq il-qorti tiegħu minn Kraków għal Varsavja fl-1596?")</f>
        <v>Min ressaq il-qorti tiegħu minn Kraków għal Varsavja fl-1596?</v>
      </c>
    </row>
    <row r="2039" ht="15.75" customHeight="1">
      <c r="A2039" s="2" t="s">
        <v>2039</v>
      </c>
      <c r="B2039" s="2" t="str">
        <f>IFERROR(__xludf.DUMMYFUNCTION("GOOGLETRANSLATE(A2039, ""en"", ""mt"")"),"L-interpretazzjoni korretta tal-kompożizzjoni tal-ilma")</f>
        <v>L-interpretazzjoni korretta tal-kompożizzjoni tal-ilma</v>
      </c>
    </row>
    <row r="2040" ht="15.75" customHeight="1">
      <c r="A2040" s="2" t="s">
        <v>2040</v>
      </c>
      <c r="B2040" s="2" t="str">
        <f>IFERROR(__xludf.DUMMYFUNCTION("GOOGLETRANSLATE(A2040, ""en"", ""mt"")"),"F'liema stat jintbagħat bl-ossiġnu bl-ingrossa?")</f>
        <v>F'liema stat jintbagħat bl-ossiġnu bl-ingrossa?</v>
      </c>
    </row>
    <row r="2041" ht="15.75" customHeight="1">
      <c r="A2041" s="2" t="s">
        <v>2041</v>
      </c>
      <c r="B2041" s="2" t="str">
        <f>IFERROR(__xludf.DUMMYFUNCTION("GOOGLETRANSLATE(A2041, ""en"", ""mt"")"),"L-iktar nazzjon ta 'suċċess tal-Afrika")</f>
        <v>L-iktar nazzjon ta 'suċċess tal-Afrika</v>
      </c>
    </row>
    <row r="2042" ht="15.75" customHeight="1">
      <c r="A2042" s="2" t="s">
        <v>2042</v>
      </c>
      <c r="B2042" s="2" t="str">
        <f>IFERROR(__xludf.DUMMYFUNCTION("GOOGLETRANSLATE(A2042, ""en"", ""mt"")"),"Megaregion tan-Nofsinhar ta 'California")</f>
        <v>Megaregion tan-Nofsinhar ta 'California</v>
      </c>
    </row>
    <row r="2043" ht="15.75" customHeight="1">
      <c r="A2043" s="2" t="s">
        <v>2043</v>
      </c>
      <c r="B2043" s="2" t="str">
        <f>IFERROR(__xludf.DUMMYFUNCTION("GOOGLETRANSLATE(A2043, ""en"", ""mt"")"),"Għalf il-ħamiem")</f>
        <v>Għalf il-ħamiem</v>
      </c>
    </row>
    <row r="2044" ht="15.75" customHeight="1">
      <c r="A2044" s="2" t="s">
        <v>2044</v>
      </c>
      <c r="B2044" s="2" t="str">
        <f>IFERROR(__xludf.DUMMYFUNCTION("GOOGLETRANSLATE(A2044, ""en"", ""mt"")"),"F'liema reġjun ta 'California jinsab Palm Springs?")</f>
        <v>F'liema reġjun ta 'California jinsab Palm Springs?</v>
      </c>
    </row>
    <row r="2045" ht="15.75" customHeight="1">
      <c r="A2045" s="2" t="s">
        <v>2045</v>
      </c>
      <c r="B2045" s="2" t="str">
        <f>IFERROR(__xludf.DUMMYFUNCTION("GOOGLETRANSLATE(A2045, ""en"", ""mt"")"),"impedimenti u diffikultajiet")</f>
        <v>impedimenti u diffikultajiet</v>
      </c>
    </row>
    <row r="2046" ht="15.75" customHeight="1">
      <c r="A2046" s="2" t="s">
        <v>2046</v>
      </c>
      <c r="B2046" s="2" t="str">
        <f>IFERROR(__xludf.DUMMYFUNCTION("GOOGLETRANSLATE(A2046, ""en"", ""mt"")"),"Bejn Settembru u Novembru 1946")</f>
        <v>Bejn Settembru u Novembru 1946</v>
      </c>
    </row>
    <row r="2047" ht="15.75" customHeight="1">
      <c r="A2047" s="2" t="s">
        <v>2047</v>
      </c>
      <c r="B2047" s="2" t="str">
        <f>IFERROR(__xludf.DUMMYFUNCTION("GOOGLETRANSLATE(A2047, ""en"", ""mt"")"),"X'għandu jagħmel Lama?")</f>
        <v>X'għandu jagħmel Lama?</v>
      </c>
    </row>
    <row r="2048" ht="15.75" customHeight="1">
      <c r="A2048" s="2" t="s">
        <v>2048</v>
      </c>
      <c r="B2048" s="2" t="str">
        <f>IFERROR(__xludf.DUMMYFUNCTION("GOOGLETRANSLATE(A2048, ""en"", ""mt"")"),"115 ° F (46.1 ° C)")</f>
        <v>115 ° F (46.1 ° C)</v>
      </c>
    </row>
    <row r="2049" ht="15.75" customHeight="1">
      <c r="A2049" s="2" t="s">
        <v>2049</v>
      </c>
      <c r="B2049" s="2" t="str">
        <f>IFERROR(__xludf.DUMMYFUNCTION("GOOGLETRANSLATE(A2049, ""en"", ""mt"")"),"Għaliex Varsavja saret il-kapitali tal-Commonwealth?")</f>
        <v>Għaliex Varsavja saret il-kapitali tal-Commonwealth?</v>
      </c>
    </row>
    <row r="2050" ht="15.75" customHeight="1">
      <c r="A2050" s="2" t="s">
        <v>2050</v>
      </c>
      <c r="B2050" s="2" t="str">
        <f>IFERROR(__xludf.DUMMYFUNCTION("GOOGLETRANSLATE(A2050, ""en"", ""mt"")"),"L-Università ta ’Chicago ġiet maħluqa u inkorporata bħala istituzzjoni koeducazzjonali u sekulari fl-1890 mill-American Baptist Education Society u donazzjoni mill-magnate taż-żejt u l-filantropista John D. Rockefeller fuq art mogħtija minn Marshall Field"&amp;". Filwaqt li d-donazzjoni ta 'Rockefeller ipprovdiet flus għal operazzjonijiet akkademiċi u dotazzjoni fit-tul, ġie stipulat li tali flus ma jistgħux jintużaw għall-bini. Il-kampus fiżiku oriġinali kien iffinanzjat minn donazzjonijiet minn Chicagoans għon"&amp;"ja bħal Silas B. Cobb li pprovda l-fondi għall-ewwel bini tal-kampus, Cobb Lecture Hall, u l-wegħda ta 'Marshall Field ta' $ 100,000. Benefatturi bikrija oħra kienu jinkludu n-negozjanti Charles L. Hutchinson (trustee, teżorier u donatur ta 'Hutchinson Co"&amp;"mmons), Martin A. Ryerson (president tal-Bord tal-Fiduċjarji u donatur tal-Laboratorju Fiżiku Ryerson) Adolphus Clay Bartlett u Leon Mandel, li ffinanzjaw il-kostruzzjoni tal-ġinnasju u s-sala tal-assemblea, u George C. Walker tal-Mużew Walker, qarib ta '"&amp;"Cobb li ħeġġeġ id-donazzjoni inawgurali tiegħu għall-faċilitajiet.")</f>
        <v>L-Università ta ’Chicago ġiet maħluqa u inkorporata bħala istituzzjoni koeducazzjonali u sekulari fl-1890 mill-American Baptist Education Society u donazzjoni mill-magnate taż-żejt u l-filantropista John D. Rockefeller fuq art mogħtija minn Marshall Field. Filwaqt li d-donazzjoni ta 'Rockefeller ipprovdiet flus għal operazzjonijiet akkademiċi u dotazzjoni fit-tul, ġie stipulat li tali flus ma jistgħux jintużaw għall-bini. Il-kampus fiżiku oriġinali kien iffinanzjat minn donazzjonijiet minn Chicagoans għonja bħal Silas B. Cobb li pprovda l-fondi għall-ewwel bini tal-kampus, Cobb Lecture Hall, u l-wegħda ta 'Marshall Field ta' $ 100,000. Benefatturi bikrija oħra kienu jinkludu n-negozjanti Charles L. Hutchinson (trustee, teżorier u donatur ta 'Hutchinson Commons), Martin A. Ryerson (president tal-Bord tal-Fiduċjarji u donatur tal-Laboratorju Fiżiku Ryerson) Adolphus Clay Bartlett u Leon Mandel, li ffinanzjaw il-kostruzzjoni tal-ġinnasju u s-sala tal-assemblea, u George C. Walker tal-Mużew Walker, qarib ta 'Cobb li ħeġġeġ id-donazzjoni inawgurali tiegħu għall-faċilitajiet.</v>
      </c>
    </row>
    <row r="2051" ht="15.75" customHeight="1">
      <c r="A2051" s="2" t="s">
        <v>2051</v>
      </c>
      <c r="B2051" s="2" t="str">
        <f>IFERROR(__xludf.DUMMYFUNCTION("GOOGLETRANSLATE(A2051, ""en"", ""mt"")"),"9.8 miljun")</f>
        <v>9.8 miljun</v>
      </c>
    </row>
    <row r="2052" ht="15.75" customHeight="1">
      <c r="A2052" s="2" t="s">
        <v>2052</v>
      </c>
      <c r="B2052" s="2" t="str">
        <f>IFERROR(__xludf.DUMMYFUNCTION("GOOGLETRANSLATE(A2052, ""en"", ""mt"")"),"Hemm ukoll bosta operaturi tal-merkanzija iżgħar u bosta ferroviji turistiċi li joperaw fuq linji li darba kienu partijiet ta 'sistema ta' l-istat. Linji Vittorjani jużaw prinċipalment il-kejl wiesa 'ta' 1,600 mm (5 ft 3 in). Madankollu, ir-rotot ta 'zokk"&amp;" bejn l-istati, kif ukoll numru ta' linji tal-fergħat fil-punent ta 'l-istat ġew konvertiti għal 1,435 mm (4 ft 8 1⁄2 in) gauge standard. Żewġ ferroviji turistiċi joperaw aktar minn 760 mm (2 ft 6 in) linji ta 'gauge dojoq, li huma l-fdalijiet ta' ħames l"&amp;"inji li qabel kienu proprjetà tal-gvern li kienu mibnija f'żoni muntanjużi.")</f>
        <v>Hemm ukoll bosta operaturi tal-merkanzija iżgħar u bosta ferroviji turistiċi li joperaw fuq linji li darba kienu partijiet ta 'sistema ta' l-istat. Linji Vittorjani jużaw prinċipalment il-kejl wiesa 'ta' 1,600 mm (5 ft 3 in). Madankollu, ir-rotot ta 'zokk bejn l-istati, kif ukoll numru ta' linji tal-fergħat fil-punent ta 'l-istat ġew konvertiti għal 1,435 mm (4 ft 8 1⁄2 in) gauge standard. Żewġ ferroviji turistiċi joperaw aktar minn 760 mm (2 ft 6 in) linji ta 'gauge dojoq, li huma l-fdalijiet ta' ħames linji li qabel kienu proprjetà tal-gvern li kienu mibnija f'żoni muntanjużi.</v>
      </c>
    </row>
    <row r="2053" ht="15.75" customHeight="1">
      <c r="A2053" s="2" t="s">
        <v>2053</v>
      </c>
      <c r="B2053" s="2" t="str">
        <f>IFERROR(__xludf.DUMMYFUNCTION("GOOGLETRANSLATE(A2053, ""en"", ""mt"")"),"tibgħat email lill-Libanu")</f>
        <v>tibgħat email lill-Libanu</v>
      </c>
    </row>
    <row r="2054" ht="15.75" customHeight="1">
      <c r="A2054" s="2" t="s">
        <v>2054</v>
      </c>
      <c r="B2054" s="2" t="str">
        <f>IFERROR(__xludf.DUMMYFUNCTION("GOOGLETRANSLATE(A2054, ""en"", ""mt"")"),"Studenti")</f>
        <v>Studenti</v>
      </c>
    </row>
    <row r="2055" ht="15.75" customHeight="1">
      <c r="A2055" s="2" t="s">
        <v>2055</v>
      </c>
      <c r="B2055" s="2" t="str">
        <f>IFERROR(__xludf.DUMMYFUNCTION("GOOGLETRANSLATE(A2055, ""en"", ""mt"")"),"Speċjalitajiet separati qabel, speċjalment fost ditti kbar")</f>
        <v>Speċjalitajiet separati qabel, speċjalment fost ditti kbar</v>
      </c>
    </row>
    <row r="2056" ht="15.75" customHeight="1">
      <c r="A2056" s="2" t="s">
        <v>2056</v>
      </c>
      <c r="B2056" s="2" t="str">
        <f>IFERROR(__xludf.DUMMYFUNCTION("GOOGLETRANSLATE(A2056, ""en"", ""mt"")"),"Indirizzi assenjati awtomatikament, aġġornaw l-ispazju ta 'l-ismijiet distribwiti, u kkonfiguraw kwalunkwe rotta ta' bejn in-netwerk meħtieġa")</f>
        <v>Indirizzi assenjati awtomatikament, aġġornaw l-ispazju ta 'l-ismijiet distribwiti, u kkonfiguraw kwalunkwe rotta ta' bejn in-netwerk meħtieġa</v>
      </c>
    </row>
    <row r="2057" ht="15.75" customHeight="1">
      <c r="A2057" s="2" t="s">
        <v>2057</v>
      </c>
      <c r="B2057" s="2" t="str">
        <f>IFERROR(__xludf.DUMMYFUNCTION("GOOGLETRANSLATE(A2057, ""en"", ""mt"")"),"aktar minn 5,100")</f>
        <v>aktar minn 5,100</v>
      </c>
    </row>
    <row r="2058" ht="15.75" customHeight="1">
      <c r="A2058" s="2" t="s">
        <v>2058</v>
      </c>
      <c r="B2058" s="2" t="str">
        <f>IFERROR(__xludf.DUMMYFUNCTION("GOOGLETRANSLATE(A2058, ""en"", ""mt"")"),"X'għandhom l-esperjenza ta 'Astronaughts waqt li tkun free-waqgħa?")</f>
        <v>X'għandhom l-esperjenza ta 'Astronaughts waqt li tkun free-waqgħa?</v>
      </c>
    </row>
    <row r="2059" ht="15.75" customHeight="1">
      <c r="A2059" s="2" t="s">
        <v>2059</v>
      </c>
      <c r="B2059" s="2" t="str">
        <f>IFERROR(__xludf.DUMMYFUNCTION("GOOGLETRANSLATE(A2059, ""en"", ""mt"")"),"Liema organizzazzjoni kienet immexxija minn Hasan al-Hudaybi?")</f>
        <v>Liema organizzazzjoni kienet immexxija minn Hasan al-Hudaybi?</v>
      </c>
    </row>
    <row r="2060" ht="15.75" customHeight="1">
      <c r="A2060" s="2" t="s">
        <v>2060</v>
      </c>
      <c r="B2060" s="2" t="str">
        <f>IFERROR(__xludf.DUMMYFUNCTION("GOOGLETRANSLATE(A2060, ""en"", ""mt"")"),"kulleġġi tal-għalliema")</f>
        <v>kulleġġi tal-għalliema</v>
      </c>
    </row>
    <row r="2061" ht="15.75" customHeight="1">
      <c r="A2061" s="2" t="s">
        <v>2061</v>
      </c>
      <c r="B2061" s="2" t="str">
        <f>IFERROR(__xludf.DUMMYFUNCTION("GOOGLETRANSLATE(A2061, ""en"", ""mt"")"),"X'kienu l-vittmi tal-battalja?")</f>
        <v>X'kienu l-vittmi tal-battalja?</v>
      </c>
    </row>
    <row r="2062" ht="15.75" customHeight="1">
      <c r="A2062" s="2" t="s">
        <v>2062</v>
      </c>
      <c r="B2062" s="2" t="str">
        <f>IFERROR(__xludf.DUMMYFUNCTION("GOOGLETRANSLATE(A2062, ""en"", ""mt"")"),"L-Unjoni tal-Knisja Metodista (l-Istati Uniti) u l-Knisja Evanġelika ta ’Ħutna")</f>
        <v>L-Unjoni tal-Knisja Metodista (l-Istati Uniti) u l-Knisja Evanġelika ta ’Ħutna</v>
      </c>
    </row>
    <row r="2063" ht="15.75" customHeight="1">
      <c r="A2063" s="2" t="s">
        <v>2063</v>
      </c>
      <c r="B2063" s="2" t="str">
        <f>IFERROR(__xludf.DUMMYFUNCTION("GOOGLETRANSLATE(A2063, ""en"", ""mt"")"),"12 ta ’Ottubru, 1943")</f>
        <v>12 ta ’Ottubru, 1943</v>
      </c>
    </row>
    <row r="2064" ht="15.75" customHeight="1">
      <c r="A2064" s="2" t="s">
        <v>2064</v>
      </c>
      <c r="B2064" s="2" t="str">
        <f>IFERROR(__xludf.DUMMYFUNCTION("GOOGLETRANSLATE(A2064, ""en"", ""mt"")"),"Iċ-ċomb idub")</f>
        <v>Iċ-ċomb idub</v>
      </c>
    </row>
    <row r="2065" ht="15.75" customHeight="1">
      <c r="A2065" s="2" t="s">
        <v>2065</v>
      </c>
      <c r="B2065" s="2" t="str">
        <f>IFERROR(__xludf.DUMMYFUNCTION("GOOGLETRANSLATE(A2065, ""en"", ""mt"")"),"Kif jidhru l-Pyrenoids?")</f>
        <v>Kif jidhru l-Pyrenoids?</v>
      </c>
    </row>
    <row r="2066" ht="15.75" customHeight="1">
      <c r="A2066" s="2" t="s">
        <v>2066</v>
      </c>
      <c r="B2066" s="2" t="str">
        <f>IFERROR(__xludf.DUMMYFUNCTION("GOOGLETRANSLATE(A2066, ""en"", ""mt"")"),"Seba 'Konferenzi Ċentrali: l-Afrika, il-Kongo, l-Afrika tal-Punent, l-Ewropa Ċentrali u tan-Nofsinhar, il-Ġermanja, l-Ewropa tat-Tramuntana u l-Filippini.")</f>
        <v>Seba 'Konferenzi Ċentrali: l-Afrika, il-Kongo, l-Afrika tal-Punent, l-Ewropa Ċentrali u tan-Nofsinhar, il-Ġermanja, l-Ewropa tat-Tramuntana u l-Filippini.</v>
      </c>
    </row>
    <row r="2067" ht="15.75" customHeight="1">
      <c r="A2067" s="2" t="s">
        <v>2067</v>
      </c>
      <c r="B2067" s="2" t="str">
        <f>IFERROR(__xludf.DUMMYFUNCTION("GOOGLETRANSLATE(A2067, ""en"", ""mt"")"),"Il-kollezzjoni tinkludi madwar 1130 pitturi taż-żejt Ingliżi u 650 Ewropew, 6800 akwarell Brittaniku, pastelli u 2000 minjatura, li għalihom il-mużew għandu l-kollezzjoni nazzjonali. B’self ukoll lill-mużew, mill-Maestà Tagħha r-Reġina Eliżabetta II, huma"&amp;" l-karikaturi ta ’Raphael: is-Seba’ Sopravivenza (kien hemm għaxar) disinni fuq skala sħiħa għal tapizzeriji fil-Kappella Sistina, tal-ħajja ta ’Pietru u Pawlu mill-Evanġelji u Atti tal-Appostli. Hemm ukoll affresk minn Pietro Perugino datat 1522 mill-Kni"&amp;"sja ta 'Castello f'Fontignano (Perugia) u huwa fost l-aħħar xogħlijiet tal-pittur. Wieħed mill-ikbar oġġetti fil-kollezzjoni huwa t-tempera Spanjola fuq l-injam, 670 x 486 cm, li joħroġ minn San Ġorġ, c. 1400, li jikkonsistu f’bosta xeni u miżbugħa minn A"&amp;"ndrés Marzal de Sax f’Valencia.")</f>
        <v>Il-kollezzjoni tinkludi madwar 1130 pitturi taż-żejt Ingliżi u 650 Ewropew, 6800 akwarell Brittaniku, pastelli u 2000 minjatura, li għalihom il-mużew għandu l-kollezzjoni nazzjonali. B’self ukoll lill-mużew, mill-Maestà Tagħha r-Reġina Eliżabetta II, huma l-karikaturi ta ’Raphael: is-Seba’ Sopravivenza (kien hemm għaxar) disinni fuq skala sħiħa għal tapizzeriji fil-Kappella Sistina, tal-ħajja ta ’Pietru u Pawlu mill-Evanġelji u Atti tal-Appostli. Hemm ukoll affresk minn Pietro Perugino datat 1522 mill-Knisja ta 'Castello f'Fontignano (Perugia) u huwa fost l-aħħar xogħlijiet tal-pittur. Wieħed mill-ikbar oġġetti fil-kollezzjoni huwa t-tempera Spanjola fuq l-injam, 670 x 486 cm, li joħroġ minn San Ġorġ, c. 1400, li jikkonsistu f’bosta xeni u miżbugħa minn Andrés Marzal de Sax f’Valencia.</v>
      </c>
    </row>
    <row r="2068" ht="15.75" customHeight="1">
      <c r="A2068" s="2" t="s">
        <v>2068</v>
      </c>
      <c r="B2068" s="2" t="str">
        <f>IFERROR(__xludf.DUMMYFUNCTION("GOOGLETRANSLATE(A2068, ""en"", ""mt"")"),"SCOTTISH_PARLIAMENT")</f>
        <v>SCOTTISH_PARLIAMENT</v>
      </c>
    </row>
    <row r="2069" ht="15.75" customHeight="1">
      <c r="A2069" s="2" t="s">
        <v>2069</v>
      </c>
      <c r="B2069" s="2" t="str">
        <f>IFERROR(__xludf.DUMMYFUNCTION("GOOGLETRANSLATE(A2069, ""en"", ""mt"")"),"X'kien l-isem tal-Konti ta 'Apulia")</f>
        <v>X'kien l-isem tal-Konti ta 'Apulia</v>
      </c>
    </row>
    <row r="2070" ht="15.75" customHeight="1">
      <c r="A2070" s="2" t="s">
        <v>2070</v>
      </c>
      <c r="B2070" s="2" t="str">
        <f>IFERROR(__xludf.DUMMYFUNCTION("GOOGLETRANSLATE(A2070, ""en"", ""mt"")"),"Ħiliet tal-ħajja")</f>
        <v>Ħiliet tal-ħajja</v>
      </c>
    </row>
    <row r="2071" ht="15.75" customHeight="1">
      <c r="A2071" s="2" t="s">
        <v>2071</v>
      </c>
      <c r="B2071" s="2" t="str">
        <f>IFERROR(__xludf.DUMMYFUNCTION("GOOGLETRANSLATE(A2071, ""en"", ""mt"")"),"Fejn kienet il-Kumpanija Edison Kontinentali?")</f>
        <v>Fejn kienet il-Kumpanija Edison Kontinentali?</v>
      </c>
    </row>
    <row r="2072" ht="15.75" customHeight="1">
      <c r="A2072" s="2" t="s">
        <v>2072</v>
      </c>
      <c r="B2072" s="2" t="str">
        <f>IFERROR(__xludf.DUMMYFUNCTION("GOOGLETRANSLATE(A2072, ""en"", ""mt"")"),"il-pressjonijiet totali baxxi użati")</f>
        <v>il-pressjonijiet totali baxxi użati</v>
      </c>
    </row>
    <row r="2073" ht="15.75" customHeight="1">
      <c r="A2073" s="2" t="s">
        <v>2073</v>
      </c>
      <c r="B2073" s="2" t="str">
        <f>IFERROR(__xludf.DUMMYFUNCTION("GOOGLETRANSLATE(A2073, ""en"", ""mt"")"),"L-ormoni tas-sess femminili huma immunostimulaturi ta 'liema risponsi immuni?")</f>
        <v>L-ormoni tas-sess femminili huma immunostimulaturi ta 'liema risponsi immuni?</v>
      </c>
    </row>
    <row r="2074" ht="15.75" customHeight="1">
      <c r="A2074" s="2" t="s">
        <v>2074</v>
      </c>
      <c r="B2074" s="2" t="str">
        <f>IFERROR(__xludf.DUMMYFUNCTION("GOOGLETRANSLATE(A2074, ""en"", ""mt"")"),"kostanti dimensjonali")</f>
        <v>kostanti dimensjonali</v>
      </c>
    </row>
    <row r="2075" ht="15.75" customHeight="1">
      <c r="A2075" s="2" t="s">
        <v>2075</v>
      </c>
      <c r="B2075" s="2" t="str">
        <f>IFERROR(__xludf.DUMMYFUNCTION("GOOGLETRANSLATE(A2075, ""en"", ""mt"")"),"Ir-reġjun jifrex fil-gżejjer misjuba f'liema korp ta 'ilma?")</f>
        <v>Ir-reġjun jifrex fil-gżejjer misjuba f'liema korp ta 'ilma?</v>
      </c>
    </row>
    <row r="2076" ht="15.75" customHeight="1">
      <c r="A2076" s="2" t="s">
        <v>2076</v>
      </c>
      <c r="B2076" s="2" t="str">
        <f>IFERROR(__xludf.DUMMYFUNCTION("GOOGLETRANSLATE(A2076, ""en"", ""mt"")"),"It-teoriji ta 'Tesla dwar il-possibbiltà li t-trasmissjoni minn Radio Waves imorru lura sa lectures u dimostrazzjonijiet fl-1893 f'San Louis, Missouri, l-Istitut Franklin fi Philadelphia, Pennsylvania, u l-Assoċjazzjoni Nazzjonali tad-Dawl Elettriku. Id-d"&amp;"imostrazzjonijiet u l-prinċipji ta 'Tesla nkitbu b'mod wiesa' permezz ta 'diversi mezzi tal-midja. Ħafna apparati bħall-kolja Tesla intużaw fl-iżvilupp ulterjuri tar-radju.")</f>
        <v>It-teoriji ta 'Tesla dwar il-possibbiltà li t-trasmissjoni minn Radio Waves imorru lura sa lectures u dimostrazzjonijiet fl-1893 f'San Louis, Missouri, l-Istitut Franklin fi Philadelphia, Pennsylvania, u l-Assoċjazzjoni Nazzjonali tad-Dawl Elettriku. Id-dimostrazzjonijiet u l-prinċipji ta 'Tesla nkitbu b'mod wiesa' permezz ta 'diversi mezzi tal-midja. Ħafna apparati bħall-kolja Tesla intużaw fl-iżvilupp ulterjuri tar-radju.</v>
      </c>
    </row>
    <row r="2077" ht="15.75" customHeight="1">
      <c r="A2077" s="2" t="s">
        <v>2077</v>
      </c>
      <c r="B2077" s="2" t="str">
        <f>IFERROR(__xludf.DUMMYFUNCTION("GOOGLETRANSLATE(A2077, ""en"", ""mt"")"),"Jihad armat")</f>
        <v>Jihad armat</v>
      </c>
    </row>
    <row r="2078" ht="15.75" customHeight="1">
      <c r="A2078" s="2" t="s">
        <v>2078</v>
      </c>
      <c r="B2078" s="2" t="str">
        <f>IFERROR(__xludf.DUMMYFUNCTION("GOOGLETRANSLATE(A2078, ""en"", ""mt"")"),"il-gooien Olandiż")</f>
        <v>il-gooien Olandiż</v>
      </c>
    </row>
    <row r="2079" ht="15.75" customHeight="1">
      <c r="A2079" s="2" t="s">
        <v>2079</v>
      </c>
      <c r="B2079" s="2" t="str">
        <f>IFERROR(__xludf.DUMMYFUNCTION("GOOGLETRANSLATE(A2079, ""en"", ""mt"")"),"25 pied")</f>
        <v>25 pied</v>
      </c>
    </row>
    <row r="2080" ht="15.75" customHeight="1">
      <c r="A2080" s="2" t="s">
        <v>2080</v>
      </c>
      <c r="B2080" s="2" t="str">
        <f>IFERROR(__xludf.DUMMYFUNCTION("GOOGLETRANSLATE(A2080, ""en"", ""mt"")"),"X'inhu swiċċjar taċ-ċirkwit ikkaratterizzat minn")</f>
        <v>X'inhu swiċċjar taċ-ċirkwit ikkaratterizzat minn</v>
      </c>
    </row>
    <row r="2081" ht="15.75" customHeight="1">
      <c r="A2081" s="2" t="s">
        <v>2081</v>
      </c>
      <c r="B2081" s="2" t="str">
        <f>IFERROR(__xludf.DUMMYFUNCTION("GOOGLETRANSLATE(A2081, ""en"", ""mt"")"),"Invażjoni tal-Gran Brittanja, biex tiġbed riżorsi Ingliżi 'l bogħod mill-Amerika ta' Fuq u l-kontinent Ewropew")</f>
        <v>Invażjoni tal-Gran Brittanja, biex tiġbed riżorsi Ingliżi 'l bogħod mill-Amerika ta' Fuq u l-kontinent Ewropew</v>
      </c>
    </row>
    <row r="2082" ht="15.75" customHeight="1">
      <c r="A2082" s="2" t="s">
        <v>2082</v>
      </c>
      <c r="B2082" s="2" t="str">
        <f>IFERROR(__xludf.DUMMYFUNCTION("GOOGLETRANSLATE(A2082, ""en"", ""mt"")"),"Mewt fil-ġisem u r-ruħ,")</f>
        <v>Mewt fil-ġisem u r-ruħ,</v>
      </c>
    </row>
    <row r="2083" ht="15.75" customHeight="1">
      <c r="A2083" s="2" t="s">
        <v>2083</v>
      </c>
      <c r="B2083" s="2" t="str">
        <f>IFERROR(__xludf.DUMMYFUNCTION("GOOGLETRANSLATE(A2083, ""en"", ""mt"")"),"Tesla kif tilfet il-flus tat-tagħlim tiegħu?")</f>
        <v>Tesla kif tilfet il-flus tat-tagħlim tiegħu?</v>
      </c>
    </row>
    <row r="2084" ht="15.75" customHeight="1">
      <c r="A2084" s="2" t="s">
        <v>2084</v>
      </c>
      <c r="B2084" s="2" t="str">
        <f>IFERROR(__xludf.DUMMYFUNCTION("GOOGLETRANSLATE(A2084, ""en"", ""mt"")"),"żieda fil-livelli tad-dħul tal-proprjetà")</f>
        <v>żieda fil-livelli tad-dħul tal-proprjetà</v>
      </c>
    </row>
    <row r="2085" ht="15.75" customHeight="1">
      <c r="A2085" s="2" t="s">
        <v>2085</v>
      </c>
      <c r="B2085" s="2" t="str">
        <f>IFERROR(__xludf.DUMMYFUNCTION("GOOGLETRANSLATE(A2085, ""en"", ""mt"")"),"Il-livell sekondarju jinkludi skejjel li joffru snin 7 sa 12 (is-sena tnax huwa magħruf bħala s-sitt inqas) u s-sena 13 (is-sitta ta ’fuq). Din il-kategorija tinkludi skejjel preparatorji universitarji jew ""skejjel ta 'prep"", skejjel ta' l-imbark u skej"&amp;"jel ta 'kuljum. It-tagħlim fi skejjel sekondarji privati ​​jvarja minn skola għal skola u jiddependi fuq ħafna fatturi, inkluż il-post tal-iskola, ir-rieda tal-ġenituri li jħallsu, tagħlim bejn il-pari u d-dotazzjoni finanzjarja tal-iskola. Tagħlim għoli,"&amp;" pretensjoni tal-iskejjel, jintuża biex iħallas salarji ogħla għall-aħjar għalliema u jintuża wkoll biex jipprovdi ambjenti ta 'tagħlim arrikkiti, inkluż proporzjon baxx ta' student għal għalliem, daqsijiet u servizzi ta 'klassi żgħira, bħal libreriji, la"&amp;"boratorji tax-xjenza u kompjuters. Uħud mill-iskejjel privati ​​huma skejjel imbarkati u ħafna akkademji militari huma proprjetà jew operati privati ​​wkoll.")</f>
        <v>Il-livell sekondarju jinkludi skejjel li joffru snin 7 sa 12 (is-sena tnax huwa magħruf bħala s-sitt inqas) u s-sena 13 (is-sitta ta ’fuq). Din il-kategorija tinkludi skejjel preparatorji universitarji jew "skejjel ta 'prep", skejjel ta' l-imbark u skejjel ta 'kuljum. It-tagħlim fi skejjel sekondarji privati ​​jvarja minn skola għal skola u jiddependi fuq ħafna fatturi, inkluż il-post tal-iskola, ir-rieda tal-ġenituri li jħallsu, tagħlim bejn il-pari u d-dotazzjoni finanzjarja tal-iskola. Tagħlim għoli, pretensjoni tal-iskejjel, jintuża biex iħallas salarji ogħla għall-aħjar għalliema u jintuża wkoll biex jipprovdi ambjenti ta 'tagħlim arrikkiti, inkluż proporzjon baxx ta' student għal għalliem, daqsijiet u servizzi ta 'klassi żgħira, bħal libreriji, laboratorji tax-xjenza u kompjuters. Uħud mill-iskejjel privati ​​huma skejjel imbarkati u ħafna akkademji militari huma proprjetà jew operati privati ​​wkoll.</v>
      </c>
    </row>
    <row r="2086" ht="15.75" customHeight="1">
      <c r="A2086" s="2" t="s">
        <v>2086</v>
      </c>
      <c r="B2086" s="2" t="str">
        <f>IFERROR(__xludf.DUMMYFUNCTION("GOOGLETRANSLATE(A2086, ""en"", ""mt"")"),"Meta l-unitajiet tal-blat jitpoġġew taħt kompressjoni orizzontali, dawn iqassru u jsiru eħxen. Minħabba li l-unitajiet tal-blat, minbarra t-tajn, ma jinbidlux b'mod sinifikanti fil-volum, dan jitwettaq f'żewġ modi primarji: permezz ta 'difetti u tiwi. Fil"&amp;"-qoxra baxxa, fejn tista 'sseħħ deformazzjoni fraġli, jiffurmaw ħsarat ta' l-ispinta, li jikkawżaw blat aktar fil-fond li jimxi fuq il-parti ta 'fuq tal-blat baxx. Minħabba li l-blat aktar profond huwa ta 'spiss ixjeħ, kif innotat mill-prinċipju tas-super"&amp;"pożizzjoni, dan jista' jirriżulta fi blat anzjani li jiċċaqalqu fuq dawk iżgħar. Il-moviment tul il-ħsarat jista 'jirriżulta fit-tiwi, jew minħabba li l-ħsarat mhumiex ċatti jew minħabba li s-saffi tal-blat huma mkaxkra, u jiffurmaw il-folds tal-ġibda hek"&amp;"k kif iseħħ żlieq matul il-ħsara. Aktar fil-fond fl-art, il-blat iġibu ruħhom plastikament, u jintewa minflok ma jfixklu. Dawn il-folds jistgħu jkunu jew dawk fejn il-materjal fiċ-ċentru tal-bokkli tat-tinja 'l fuq, joħloq ""antiformi"", jew fejn jegħleb'"&amp;" l isfel, u joħloq ""sinformi"". Jekk l-uċuħ tal-unitajiet tal-blat fil-jingħalaq jibqgħu jippuntaw 'il fuq, huma msejħa anticlines u sinklini, rispettivament. Jekk uħud mill-unitajiet fil-tinja qed jiffaċċjaw 'l isfel, l-istruttura tissejjaħ antiklinja j"&amp;"ew sinkronizzazzjoni maqluba, u jekk l-unitajiet kollha tal-blat jinqaleb jew jekk id-direzzjoni korretta mhix magħrufa, huma sempliċement imsejħa bl-iktar termini ġenerali, Antiformi u Sinformi.")</f>
        <v>Meta l-unitajiet tal-blat jitpoġġew taħt kompressjoni orizzontali, dawn iqassru u jsiru eħxen. Minħabba li l-unitajiet tal-blat, minbarra t-tajn, ma jinbidlux b'mod sinifikanti fil-volum, dan jitwettaq f'żewġ modi primarji: permezz ta 'difetti u tiwi. Fil-qoxra baxxa, fejn tista 'sseħħ deformazzjoni fraġli, jiffurmaw ħsarat ta' l-ispinta, li jikkawżaw blat aktar fil-fond li jimxi fuq il-parti ta 'fuq tal-blat baxx. Minħabba li l-blat aktar profond huwa ta 'spiss ixjeħ, kif innotat mill-prinċipju tas-superpożizzjoni, dan jista' jirriżulta fi blat anzjani li jiċċaqalqu fuq dawk iżgħar. Il-moviment tul il-ħsarat jista 'jirriżulta fit-tiwi, jew minħabba li l-ħsarat mhumiex ċatti jew minħabba li s-saffi tal-blat huma mkaxkra, u jiffurmaw il-folds tal-ġibda hekk kif iseħħ żlieq matul il-ħsara. Aktar fil-fond fl-art, il-blat iġibu ruħhom plastikament, u jintewa minflok ma jfixklu. Dawn il-folds jistgħu jkunu jew dawk fejn il-materjal fiċ-ċentru tal-bokkli tat-tinja 'l fuq, joħloq "antiformi", jew fejn jegħleb' l isfel, u joħloq "sinformi". Jekk l-uċuħ tal-unitajiet tal-blat fil-jingħalaq jibqgħu jippuntaw 'il fuq, huma msejħa anticlines u sinklini, rispettivament. Jekk uħud mill-unitajiet fil-tinja qed jiffaċċjaw 'l isfel, l-istruttura tissejjaħ antiklinja jew sinkronizzazzjoni maqluba, u jekk l-unitajiet kollha tal-blat jinqaleb jew jekk id-direzzjoni korretta mhix magħrufa, huma sempliċement imsejħa bl-iktar termini ġenerali, Antiformi u Sinformi.</v>
      </c>
    </row>
    <row r="2087" ht="15.75" customHeight="1">
      <c r="A2087" s="2" t="s">
        <v>2087</v>
      </c>
      <c r="B2087" s="2" t="str">
        <f>IFERROR(__xludf.DUMMYFUNCTION("GOOGLETRANSLATE(A2087, ""en"", ""mt"")"),"Fost l-aktar esperimenti magħrufa fil-ġeoloġija strutturali hemm dawk li jinvolvu kunjardi orogeniċi, li huma żoni li fihom huma mibnija l-muntanji tul il-konfini konverġenti tal-pjanċa tettonika. Fil-verżjonijiet analoġiċi ta 'dawn l-esperimenti, saffi o"&amp;"rizzontali ta' ramel jinġibdu tul wiċċ aktar baxx f'waqfa ta 'wara, li tirriżulta f'disinji ta' ħsarat li jħarsu realistiċi u t-tkabbir ta 'lewn kritiku għax-xejn (l-angoli kollha jibqgħu l-istess) feles orogenic. Mudelli numeriċi jaħdmu bl-istess mod bħa"&amp;"l dawn il-mudelli analogi, għalkemm ħafna drabi huma aktar sofistikati u jistgħu jinkludu xejriet ta 'erożjoni u uplift fiċ-ċinturin tal-muntanji. Dan jgħin biex juri r-relazzjoni bejn l-erożjoni u l-forma tal-firxa tal-muntanji. Dawn l-istudji jistgħu wk"&amp;"oll jagħtu informazzjoni utli dwar il-mogħdijiet għall-metamorfiżmu permezz ta 'pressjoni, temperatura, spazju, u ħin.")</f>
        <v>Fost l-aktar esperimenti magħrufa fil-ġeoloġija strutturali hemm dawk li jinvolvu kunjardi orogeniċi, li huma żoni li fihom huma mibnija l-muntanji tul il-konfini konverġenti tal-pjanċa tettonika. Fil-verżjonijiet analoġiċi ta 'dawn l-esperimenti, saffi orizzontali ta' ramel jinġibdu tul wiċċ aktar baxx f'waqfa ta 'wara, li tirriżulta f'disinji ta' ħsarat li jħarsu realistiċi u t-tkabbir ta 'lewn kritiku għax-xejn (l-angoli kollha jibqgħu l-istess) feles orogenic. Mudelli numeriċi jaħdmu bl-istess mod bħal dawn il-mudelli analogi, għalkemm ħafna drabi huma aktar sofistikati u jistgħu jinkludu xejriet ta 'erożjoni u uplift fiċ-ċinturin tal-muntanji. Dan jgħin biex juri r-relazzjoni bejn l-erożjoni u l-forma tal-firxa tal-muntanji. Dawn l-istudji jistgħu wkoll jagħtu informazzjoni utli dwar il-mogħdijiet għall-metamorfiżmu permezz ta 'pressjoni, temperatura, spazju, u ħin.</v>
      </c>
    </row>
    <row r="2088" ht="15.75" customHeight="1">
      <c r="A2088" s="2" t="s">
        <v>2088</v>
      </c>
      <c r="B2088" s="2" t="str">
        <f>IFERROR(__xludf.DUMMYFUNCTION("GOOGLETRANSLATE(A2088, ""en"", ""mt"")"),"pompa tal-ilma")</f>
        <v>pompa tal-ilma</v>
      </c>
    </row>
    <row r="2089" ht="15.75" customHeight="1">
      <c r="A2089" s="2" t="s">
        <v>2089</v>
      </c>
      <c r="B2089" s="2" t="str">
        <f>IFERROR(__xludf.DUMMYFUNCTION("GOOGLETRANSLATE(A2089, ""en"", ""mt"")"),"Iċ-ċentru tal-passaġġ mgħawweġ")</f>
        <v>Iċ-ċentru tal-passaġġ mgħawweġ</v>
      </c>
    </row>
    <row r="2090" ht="15.75" customHeight="1">
      <c r="A2090" s="2" t="s">
        <v>2090</v>
      </c>
      <c r="B2090" s="2" t="str">
        <f>IFERROR(__xludf.DUMMYFUNCTION("GOOGLETRANSLATE(A2090, ""en"", ""mt"")"),"In-nisel ta 'fucoxanthin dinophyte (inklużi Karlodinium u Karenia) tilfu l-kloroplast oriġinali tal-alka ħamra derivata tagħhom, u biddluh bi kloroplast ġdid derivat minn endosymbiont haptophyte. Karlodinium u Karenia probabbilment ħadu heterokontophytes "&amp;"differenti. Minħabba li l-kloroplast haptofite għandu erba 'membrani, l-endosimbijosi terzjarja tkun mistennija li toħloq kloroplast membrani, li żżid il-membrana taċ-ċellula tal-haptofite u l-vacuole fagożomali tad-dinofite. Madankollu, il-haptofite tnaq"&amp;"qas ħafna, imqaxxar minn ftit membrani u n-nukleu tiegħu, u ħalla biss il-kloroplast tiegħu (bil-membrana doppja oriġinali tagħha), u possibilment wieħed jew żewġ membrani addizzjonali madwaru.")</f>
        <v>In-nisel ta 'fucoxanthin dinophyte (inklużi Karlodinium u Karenia) tilfu l-kloroplast oriġinali tal-alka ħamra derivata tagħhom, u biddluh bi kloroplast ġdid derivat minn endosymbiont haptophyte. Karlodinium u Karenia probabbilment ħadu heterokontophytes differenti. Minħabba li l-kloroplast haptofite għandu erba 'membrani, l-endosimbijosi terzjarja tkun mistennija li toħloq kloroplast membrani, li żżid il-membrana taċ-ċellula tal-haptofite u l-vacuole fagożomali tad-dinofite. Madankollu, il-haptofite tnaqqas ħafna, imqaxxar minn ftit membrani u n-nukleu tiegħu, u ħalla biss il-kloroplast tiegħu (bil-membrana doppja oriġinali tagħha), u possibilment wieħed jew żewġ membrani addizzjonali madwaru.</v>
      </c>
    </row>
    <row r="2091" ht="15.75" customHeight="1">
      <c r="A2091" s="2" t="s">
        <v>2091</v>
      </c>
      <c r="B2091" s="2" t="str">
        <f>IFERROR(__xludf.DUMMYFUNCTION("GOOGLETRANSLATE(A2091, ""en"", ""mt"")"),"Għandha problemi biex tiddistingwi bejn id-dijossidu tal-karbonju u l-ossiġnu")</f>
        <v>Għandha problemi biex tiddistingwi bejn id-dijossidu tal-karbonju u l-ossiġnu</v>
      </c>
    </row>
    <row r="2092" ht="15.75" customHeight="1">
      <c r="A2092" s="2" t="s">
        <v>2092</v>
      </c>
      <c r="B2092" s="2" t="str">
        <f>IFERROR(__xludf.DUMMYFUNCTION("GOOGLETRANSLATE(A2092, ""en"", ""mt"")"),"Minbarra l-jasar tar-rieda, liema xogħol ieħor Luther kien jara bħala ktieb tiegħu?")</f>
        <v>Minbarra l-jasar tar-rieda, liema xogħol ieħor Luther kien jara bħala ktieb tiegħu?</v>
      </c>
    </row>
    <row r="2093" ht="15.75" customHeight="1">
      <c r="A2093" s="2" t="s">
        <v>2093</v>
      </c>
      <c r="B2093" s="2" t="str">
        <f>IFERROR(__xludf.DUMMYFUNCTION("GOOGLETRANSLATE(A2093, ""en"", ""mt"")"),"Mozzjoni Rotary")</f>
        <v>Mozzjoni Rotary</v>
      </c>
    </row>
    <row r="2094" ht="15.75" customHeight="1">
      <c r="A2094" s="2" t="s">
        <v>2094</v>
      </c>
      <c r="B2094" s="2" t="str">
        <f>IFERROR(__xludf.DUMMYFUNCTION("GOOGLETRANSLATE(A2094, ""en"", ""mt"")"),"Kemm hi popolata Victoria meta mqabbla ma 'stati Awstraljani oħra?")</f>
        <v>Kemm hi popolata Victoria meta mqabbla ma 'stati Awstraljani oħra?</v>
      </c>
    </row>
    <row r="2095" ht="15.75" customHeight="1">
      <c r="A2095" s="2" t="s">
        <v>2095</v>
      </c>
      <c r="B2095" s="2" t="str">
        <f>IFERROR(__xludf.DUMMYFUNCTION("GOOGLETRANSLATE(A2095, ""en"", ""mt"")"),"Madwar 1800 Richard Trevithick u, separatament, Oliver Evans fl-1801 introduċa magni bl-użu ta 'fwar bi pressjoni għolja; Trevithick kiseb il-privattiva tal-magna bi pressjoni għolja tiegħu fl-1802. Dawn kienu ferm aktar qawwija għal daqs ta 'ċilindru par"&amp;"tikolari minn magni preċedenti u jistgħu jsiru żgħar biżżejjed għall-applikazzjonijiet tat-trasport. Wara dan, żviluppi teknoloġiċi u titjib fit-tekniki tal-manifattura (parzjalment miġjuba mill-adozzjoni tal-magna tal-fwar bħala sors ta 'enerġija) irriżu"&amp;"ltaw fid-disinn ta' magni aktar effiċjenti li jistgħu jkunu iżgħar, aktar mgħaġġla, jew aktar qawwija, skont l-applikazzjoni maħsuba.")</f>
        <v>Madwar 1800 Richard Trevithick u, separatament, Oliver Evans fl-1801 introduċa magni bl-użu ta 'fwar bi pressjoni għolja; Trevithick kiseb il-privattiva tal-magna bi pressjoni għolja tiegħu fl-1802. Dawn kienu ferm aktar qawwija għal daqs ta 'ċilindru partikolari minn magni preċedenti u jistgħu jsiru żgħar biżżejjed għall-applikazzjonijiet tat-trasport. Wara dan, żviluppi teknoloġiċi u titjib fit-tekniki tal-manifattura (parzjalment miġjuba mill-adozzjoni tal-magna tal-fwar bħala sors ta 'enerġija) irriżultaw fid-disinn ta' magni aktar effiċjenti li jistgħu jkunu iżgħar, aktar mgħaġġla, jew aktar qawwija, skont l-applikazzjoni maħsuba.</v>
      </c>
    </row>
    <row r="2096" ht="15.75" customHeight="1">
      <c r="A2096" s="2" t="s">
        <v>2096</v>
      </c>
      <c r="B2096" s="2" t="str">
        <f>IFERROR(__xludf.DUMMYFUNCTION("GOOGLETRANSLATE(A2096, ""en"", ""mt"")"),"il-kosta tal-Kenja")</f>
        <v>il-kosta tal-Kenja</v>
      </c>
    </row>
    <row r="2097" ht="15.75" customHeight="1">
      <c r="A2097" s="2" t="s">
        <v>2097</v>
      </c>
      <c r="B2097" s="2" t="str">
        <f>IFERROR(__xludf.DUMMYFUNCTION("GOOGLETRANSLATE(A2097, ""en"", ""mt"")"),"Praga")</f>
        <v>Praga</v>
      </c>
    </row>
    <row r="2098" ht="15.75" customHeight="1">
      <c r="A2098" s="2" t="s">
        <v>2098</v>
      </c>
      <c r="B2098" s="2" t="str">
        <f>IFERROR(__xludf.DUMMYFUNCTION("GOOGLETRANSLATE(A2098, ""en"", ""mt"")"),"Valutazzjonijiet iżgħar ta 'problemi speċjali minflok l-approċċ fuq skala kbira")</f>
        <v>Valutazzjonijiet iżgħar ta 'problemi speċjali minflok l-approċċ fuq skala kbira</v>
      </c>
    </row>
    <row r="2099" ht="15.75" customHeight="1">
      <c r="A2099" s="2" t="s">
        <v>2099</v>
      </c>
      <c r="B2099" s="2" t="str">
        <f>IFERROR(__xludf.DUMMYFUNCTION("GOOGLETRANSLATE(A2099, ""en"", ""mt"")"),"L-ewwel magna vera ta 'suċċess kummerċjali, minħabba li tista' tiġġenera l-enerġija u tittrasmettiha lil magna, kienet il-magna atmosferika, ivvintata minn Thomas Newcomen madwar l-1712. Kien titjib fuq il-pompa tal-fwar ta 'SAVERY, bl-użu ta' pistun kif "&amp;"propost mill-papin. Il-magna ta 'Newcomen kienet relattivament ineffiċjenti, u f'ħafna każijiet intuża għall-ippumpjar tal-ilma. Ħadem billi ħoloq vakwu parzjali billi jikkondensa l-fwar taħt pistun ġewwa ċilindru. Kien impjegat biex ixxotta l-ħidma tal-m"&amp;"ini fil-fond li s'issa impossibbli, u wkoll biex jipprovdi provvista ta 'ilma li tista' terġa 'tintuża biex tmexxi l-ilma fil-fabbriki li jinsabu' l bogħod minn ""ras"" xierqa. L-ilma li kien għadda minn fuq ir-rota ġie ppumpjat lura ġo ġibjun tal-ħażna '"&amp;"l fuq mir-rota.")</f>
        <v>L-ewwel magna vera ta 'suċċess kummerċjali, minħabba li tista' tiġġenera l-enerġija u tittrasmettiha lil magna, kienet il-magna atmosferika, ivvintata minn Thomas Newcomen madwar l-1712. Kien titjib fuq il-pompa tal-fwar ta 'SAVERY, bl-użu ta' pistun kif propost mill-papin. Il-magna ta 'Newcomen kienet relattivament ineffiċjenti, u f'ħafna każijiet intuża għall-ippumpjar tal-ilma. Ħadem billi ħoloq vakwu parzjali billi jikkondensa l-fwar taħt pistun ġewwa ċilindru. Kien impjegat biex ixxotta l-ħidma tal-mini fil-fond li s'issa impossibbli, u wkoll biex jipprovdi provvista ta 'ilma li tista' terġa 'tintuża biex tmexxi l-ilma fil-fabbriki li jinsabu' l bogħod minn "ras" xierqa. L-ilma li kien għadda minn fuq ir-rota ġie ppumpjat lura ġo ġibjun tal-ħażna 'l fuq mir-rota.</v>
      </c>
    </row>
    <row r="2100" ht="15.75" customHeight="1">
      <c r="A2100" s="2" t="s">
        <v>2100</v>
      </c>
      <c r="B2100" s="2" t="str">
        <f>IFERROR(__xludf.DUMMYFUNCTION("GOOGLETRANSLATE(A2100, ""en"", ""mt"")"),"Exptime")</f>
        <v>Exptime</v>
      </c>
    </row>
    <row r="2101" ht="15.75" customHeight="1">
      <c r="A2101" s="2" t="s">
        <v>2101</v>
      </c>
      <c r="B2101" s="2" t="str">
        <f>IFERROR(__xludf.DUMMYFUNCTION("GOOGLETRANSLATE(A2101, ""en"", ""mt"")"),"Liema xogħol minn madwar 300 QK għandu teoremi sinifikanti dwar in-numri ewlenin?")</f>
        <v>Liema xogħol minn madwar 300 QK għandu teoremi sinifikanti dwar in-numri ewlenin?</v>
      </c>
    </row>
    <row r="2102" ht="15.75" customHeight="1">
      <c r="A2102" s="2" t="s">
        <v>2102</v>
      </c>
      <c r="B2102" s="2" t="str">
        <f>IFERROR(__xludf.DUMMYFUNCTION("GOOGLETRANSLATE(A2102, ""en"", ""mt"")"),"Kull erba 'snin (quadrennium).")</f>
        <v>Kull erba 'snin (quadrennium).</v>
      </c>
    </row>
    <row r="2103" ht="15.75" customHeight="1">
      <c r="A2103" s="2" t="s">
        <v>2103</v>
      </c>
      <c r="B2103" s="2" t="str">
        <f>IFERROR(__xludf.DUMMYFUNCTION("GOOGLETRANSLATE(A2103, ""en"", ""mt"")"),"Aqraha mingħajr tfixkil")</f>
        <v>Aqraha mingħajr tfixkil</v>
      </c>
    </row>
    <row r="2104" ht="15.75" customHeight="1">
      <c r="A2104" s="2" t="s">
        <v>2104</v>
      </c>
      <c r="B2104" s="2" t="str">
        <f>IFERROR(__xludf.DUMMYFUNCTION("GOOGLETRANSLATE(A2104, ""en"", ""mt"")"),"Għaliex l-alleanza rrappurtata ta 'Jochi mal-Musulmani hija storikament tissuspetta?")</f>
        <v>Għaliex l-alleanza rrappurtata ta 'Jochi mal-Musulmani hija storikament tissuspetta?</v>
      </c>
    </row>
    <row r="2105" ht="15.75" customHeight="1">
      <c r="A2105" s="2" t="s">
        <v>2105</v>
      </c>
      <c r="B2105" s="2" t="str">
        <f>IFERROR(__xludf.DUMMYFUNCTION("GOOGLETRANSLATE(A2105, ""en"", ""mt"")"),"Belt tal-Blokk tal-Lvant")</f>
        <v>Belt tal-Blokk tal-Lvant</v>
      </c>
    </row>
    <row r="2106" ht="15.75" customHeight="1">
      <c r="A2106" s="2" t="s">
        <v>2106</v>
      </c>
      <c r="B2106" s="2" t="str">
        <f>IFERROR(__xludf.DUMMYFUNCTION("GOOGLETRANSLATE(A2106, ""en"", ""mt"")"),"Ċitru")</f>
        <v>Ċitru</v>
      </c>
    </row>
    <row r="2107" ht="15.75" customHeight="1">
      <c r="A2107" s="2" t="s">
        <v>2107</v>
      </c>
      <c r="B2107" s="2" t="str">
        <f>IFERROR(__xludf.DUMMYFUNCTION("GOOGLETRANSLATE(A2107, ""en"", ""mt"")"),"ippuntat fix-Xemx.")</f>
        <v>ippuntat fix-Xemx.</v>
      </c>
    </row>
    <row r="2108" ht="15.75" customHeight="1">
      <c r="A2108" s="2" t="s">
        <v>2108</v>
      </c>
      <c r="B2108" s="2" t="str">
        <f>IFERROR(__xludf.DUMMYFUNCTION("GOOGLETRANSLATE(A2108, ""en"", ""mt"")"),"Matematika applikata")</f>
        <v>Matematika applikata</v>
      </c>
    </row>
    <row r="2109" ht="15.75" customHeight="1">
      <c r="A2109" s="2" t="s">
        <v>2109</v>
      </c>
      <c r="B2109" s="2" t="str">
        <f>IFERROR(__xludf.DUMMYFUNCTION("GOOGLETRANSLATE(A2109, ""en"", ""mt"")"),"il-kawża konfederata")</f>
        <v>il-kawża konfederata</v>
      </c>
    </row>
    <row r="2110" ht="15.75" customHeight="1">
      <c r="A2110" s="2" t="s">
        <v>2110</v>
      </c>
      <c r="B2110" s="2" t="str">
        <f>IFERROR(__xludf.DUMMYFUNCTION("GOOGLETRANSLATE(A2110, ""en"", ""mt"")"),"Meta l-ipprogrammar sportiv huwa pprovdut minn ABC nhar is-Sibt wara nofsinhar?")</f>
        <v>Meta l-ipprogrammar sportiv huwa pprovdut minn ABC nhar is-Sibt wara nofsinhar?</v>
      </c>
    </row>
    <row r="2111" ht="15.75" customHeight="1">
      <c r="A2111" s="2" t="s">
        <v>2111</v>
      </c>
      <c r="B2111" s="2" t="str">
        <f>IFERROR(__xludf.DUMMYFUNCTION("GOOGLETRANSLATE(A2111, ""en"", ""mt"")"),"Liema żewġ gvernaturi qablu ma 'waqfien biex jipproteġu l-kolonji żgħar tagħhom?")</f>
        <v>Liema żewġ gvernaturi qablu ma 'waqfien biex jipproteġu l-kolonji żgħar tagħhom?</v>
      </c>
    </row>
    <row r="2112" ht="15.75" customHeight="1">
      <c r="A2112" s="2" t="s">
        <v>2112</v>
      </c>
      <c r="B2112" s="2" t="str">
        <f>IFERROR(__xludf.DUMMYFUNCTION("GOOGLETRANSLATE(A2112, ""en"", ""mt"")"),"X’sar biex tiġi miġġielda l-popolazzjoni żejda ta ’mnemiopsis fil-Baħar l-Iswed?")</f>
        <v>X’sar biex tiġi miġġielda l-popolazzjoni żejda ta ’mnemiopsis fil-Baħar l-Iswed?</v>
      </c>
    </row>
    <row r="2113" ht="15.75" customHeight="1">
      <c r="A2113" s="2" t="s">
        <v>2113</v>
      </c>
      <c r="B2113" s="2" t="str">
        <f>IFERROR(__xludf.DUMMYFUNCTION("GOOGLETRANSLATE(A2113, ""en"", ""mt"")"),"Liema simbolu kien użat sa kmieni fis-seklu 20?")</f>
        <v>Liema simbolu kien użat sa kmieni fis-seklu 20?</v>
      </c>
    </row>
    <row r="2114" ht="15.75" customHeight="1">
      <c r="A2114" s="2" t="s">
        <v>2114</v>
      </c>
      <c r="B2114" s="2" t="str">
        <f>IFERROR(__xludf.DUMMYFUNCTION("GOOGLETRANSLATE(A2114, ""en"", ""mt"")"),"15")</f>
        <v>15</v>
      </c>
    </row>
    <row r="2115" ht="15.75" customHeight="1">
      <c r="A2115" s="2" t="s">
        <v>2115</v>
      </c>
      <c r="B2115" s="2" t="str">
        <f>IFERROR(__xludf.DUMMYFUNCTION("GOOGLETRANSLATE(A2115, ""en"", ""mt"")"),"sorveljanza")</f>
        <v>sorveljanza</v>
      </c>
    </row>
    <row r="2116" ht="15.75" customHeight="1">
      <c r="A2116" s="2" t="s">
        <v>2116</v>
      </c>
      <c r="B2116" s="2" t="str">
        <f>IFERROR(__xludf.DUMMYFUNCTION("GOOGLETRANSLATE(A2116, ""en"", ""mt"")"),"Tesla kisbet madwar 300 brevett mad-dinja kollha għall-invenzjonijiet tiegħu. Uħud mill-privattivi ta 'Tesla mhumiex ikkontabilizzati, u sorsi varji skoprew xi wħud li kienu moħbija fl-arkivji tal-privattivi. Hemm minimu ta '278 brevett maħruġ lil Tesla f"&amp;"'26 pajjiż li ġew ikkontabilizzati. Ħafna mill-privattivi ta 'Tesla kienu fl-Istati Uniti, il-Gran Brittanja u l-Kanada, iżda ħafna privattivi oħra ġew approvati f'pajjiżi madwar id-dinja.")</f>
        <v>Tesla kisbet madwar 300 brevett mad-dinja kollha għall-invenzjonijiet tiegħu. Uħud mill-privattivi ta 'Tesla mhumiex ikkontabilizzati, u sorsi varji skoprew xi wħud li kienu moħbija fl-arkivji tal-privattivi. Hemm minimu ta '278 brevett maħruġ lil Tesla f'26 pajjiż li ġew ikkontabilizzati. Ħafna mill-privattivi ta 'Tesla kienu fl-Istati Uniti, il-Gran Brittanja u l-Kanada, iżda ħafna privattivi oħra ġew approvati f'pajjiżi madwar id-dinja.</v>
      </c>
    </row>
    <row r="2117" ht="15.75" customHeight="1">
      <c r="A2117" s="2" t="s">
        <v>2117</v>
      </c>
      <c r="B2117" s="2" t="str">
        <f>IFERROR(__xludf.DUMMYFUNCTION("GOOGLETRANSLATE(A2117, ""en"", ""mt"")"),"Vultaġġ għoli")</f>
        <v>Vultaġġ għoli</v>
      </c>
    </row>
    <row r="2118" ht="15.75" customHeight="1">
      <c r="A2118" s="2" t="s">
        <v>2118</v>
      </c>
      <c r="B2118" s="2" t="str">
        <f>IFERROR(__xludf.DUMMYFUNCTION("GOOGLETRANSLATE(A2118, ""en"", ""mt"")"),"aktar bl-istess mod")</f>
        <v>aktar bl-istess mod</v>
      </c>
    </row>
    <row r="2119" ht="15.75" customHeight="1">
      <c r="A2119" s="2" t="s">
        <v>2119</v>
      </c>
      <c r="B2119" s="2" t="str">
        <f>IFERROR(__xludf.DUMMYFUNCTION("GOOGLETRANSLATE(A2119, ""en"", ""mt"")"),"Tama għall-kampanji fuq il-Lag Ontario, u pperikolat il-garnizon ta 'Oswego")</f>
        <v>Tama għall-kampanji fuq il-Lag Ontario, u pperikolat il-garnizon ta 'Oswego</v>
      </c>
    </row>
    <row r="2120" ht="15.75" customHeight="1">
      <c r="A2120" s="2" t="s">
        <v>2120</v>
      </c>
      <c r="B2120" s="2" t="str">
        <f>IFERROR(__xludf.DUMMYFUNCTION("GOOGLETRANSLATE(A2120, ""en"", ""mt"")"),"Enerġiji interni tas-sistema")</f>
        <v>Enerġiji interni tas-sistema</v>
      </c>
    </row>
    <row r="2121" ht="15.75" customHeight="1">
      <c r="A2121" s="2" t="s">
        <v>2121</v>
      </c>
      <c r="B2121" s="2" t="str">
        <f>IFERROR(__xludf.DUMMYFUNCTION("GOOGLETRANSLATE(A2121, ""en"", ""mt"")"),"Pressjonijiet totali baxxi")</f>
        <v>Pressjonijiet totali baxxi</v>
      </c>
    </row>
    <row r="2122" ht="15.75" customHeight="1">
      <c r="A2122" s="2" t="s">
        <v>2122</v>
      </c>
      <c r="B2122" s="2" t="str">
        <f>IFERROR(__xludf.DUMMYFUNCTION("GOOGLETRANSLATE(A2122, ""en"", ""mt"")"),"X'inhu grupp interdenominazzjonali magħmul minn diversi knejjes biex jippromwovi l-evanġelju madwar id-dinja?")</f>
        <v>X'inhu grupp interdenominazzjonali magħmul minn diversi knejjes biex jippromwovi l-evanġelju madwar id-dinja?</v>
      </c>
    </row>
    <row r="2123" ht="15.75" customHeight="1">
      <c r="A2123" s="2" t="s">
        <v>2123</v>
      </c>
      <c r="B2123" s="2" t="str">
        <f>IFERROR(__xludf.DUMMYFUNCTION("GOOGLETRANSLATE(A2123, ""en"", ""mt"")"),"Id-diżubbidjenza ċivili ġiet argumentata fi żminijiet aktar riċenti li sofrew minn xiex?")</f>
        <v>Id-diżubbidjenza ċivili ġiet argumentata fi żminijiet aktar riċenti li sofrew minn xiex?</v>
      </c>
    </row>
    <row r="2124" ht="15.75" customHeight="1">
      <c r="A2124" s="2" t="s">
        <v>2124</v>
      </c>
      <c r="B2124" s="2" t="str">
        <f>IFERROR(__xludf.DUMMYFUNCTION("GOOGLETRANSLATE(A2124, ""en"", ""mt"")"),"Meta ġie introdott Ctenophore Mnemiopsis Leidyi fil-Baħar l-Iswed u fil-Baħar ta 'Azov?")</f>
        <v>Meta ġie introdott Ctenophore Mnemiopsis Leidyi fil-Baħar l-Iswed u fil-Baħar ta 'Azov?</v>
      </c>
    </row>
    <row r="2125" ht="15.75" customHeight="1">
      <c r="A2125" s="2" t="s">
        <v>2125</v>
      </c>
      <c r="B2125" s="2" t="str">
        <f>IFERROR(__xludf.DUMMYFUNCTION("GOOGLETRANSLATE(A2125, ""en"", ""mt"")"),"Il-V &amp; A għandha l-oriġini tagħha f'liema espożizzjoni dinjija?")</f>
        <v>Il-V &amp; A għandha l-oriġini tagħha f'liema espożizzjoni dinjija?</v>
      </c>
    </row>
    <row r="2126" ht="15.75" customHeight="1">
      <c r="A2126" s="2" t="s">
        <v>2126</v>
      </c>
      <c r="B2126" s="2" t="str">
        <f>IFERROR(__xludf.DUMMYFUNCTION("GOOGLETRANSLATE(A2126, ""en"", ""mt"")"),"X'tip ta 'diżubbidjenza ċivili hija akkumpanjata minn aggressjoni?")</f>
        <v>X'tip ta 'diżubbidjenza ċivili hija akkumpanjata minn aggressjoni?</v>
      </c>
    </row>
    <row r="2127" ht="15.75" customHeight="1">
      <c r="A2127" s="2" t="s">
        <v>2127</v>
      </c>
      <c r="B2127" s="2" t="str">
        <f>IFERROR(__xludf.DUMMYFUNCTION("GOOGLETRANSLATE(A2127, ""en"", ""mt"")"),"Għaliex il-korruzzjoni ma kinitx fil-fehma pubblika?")</f>
        <v>Għaliex il-korruzzjoni ma kinitx fil-fehma pubblika?</v>
      </c>
    </row>
    <row r="2128" ht="15.75" customHeight="1">
      <c r="A2128" s="2" t="s">
        <v>2128</v>
      </c>
      <c r="B2128" s="2" t="str">
        <f>IFERROR(__xludf.DUMMYFUNCTION("GOOGLETRANSLATE(A2128, ""en"", ""mt"")"),"ilma")</f>
        <v>ilma</v>
      </c>
    </row>
    <row r="2129" ht="15.75" customHeight="1">
      <c r="A2129" s="2" t="s">
        <v>2129</v>
      </c>
      <c r="B2129" s="2" t="str">
        <f>IFERROR(__xludf.DUMMYFUNCTION("GOOGLETRANSLATE(A2129, ""en"", ""mt"")"),"Il-konkwista tal-Mongoli, anke skont l-istandards tagħhom stess, kienet brutali. Wara li l-kapitali Samarkand waqgħet, il-kapitali ġiet imċaqalqa lejn Bukhara mill-irġiel li fadal, filwaqt li Genghis Khan ordna żewġ mill-ġenerali u l-forzi tagħhom biex je"&amp;"qirdu kompletament il-fdalijiet tal-imperu Khwarezmid, inklużi mhux biss bini rjali, iżda bliet sħaħ, popolazzjonijiet, popolazzjonijiet, u anke swaths vasti ta 'art agrikola. Skond il-leġġenda, Genghis Khan saħansitra wasal safejn jiddevja xmara permezz "&amp;"tal-post fejn twieled l-Imperatur Khwarezmid, iħassarha mill-mappa. [Ċitazzjoni meħtieġa]")</f>
        <v>Il-konkwista tal-Mongoli, anke skont l-istandards tagħhom stess, kienet brutali. Wara li l-kapitali Samarkand waqgħet, il-kapitali ġiet imċaqalqa lejn Bukhara mill-irġiel li fadal, filwaqt li Genghis Khan ordna żewġ mill-ġenerali u l-forzi tagħhom biex jeqirdu kompletament il-fdalijiet tal-imperu Khwarezmid, inklużi mhux biss bini rjali, iżda bliet sħaħ, popolazzjonijiet, popolazzjonijiet, u anke swaths vasti ta 'art agrikola. Skond il-leġġenda, Genghis Khan saħansitra wasal safejn jiddevja xmara permezz tal-post fejn twieled l-Imperatur Khwarezmid, iħassarha mill-mappa. [Ċitazzjoni meħtieġa]</v>
      </c>
    </row>
    <row r="2130" ht="15.75" customHeight="1">
      <c r="A2130" s="2" t="s">
        <v>2130</v>
      </c>
      <c r="B2130" s="2" t="str">
        <f>IFERROR(__xludf.DUMMYFUNCTION("GOOGLETRANSLATE(A2130, ""en"", ""mt"")"),"Petitcodiac fl-1755 u fi Bloody Creek")</f>
        <v>Petitcodiac fl-1755 u fi Bloody Creek</v>
      </c>
    </row>
    <row r="2131" ht="15.75" customHeight="1">
      <c r="A2131" s="2" t="s">
        <v>2131</v>
      </c>
      <c r="B2131" s="2" t="str">
        <f>IFERROR(__xludf.DUMMYFUNCTION("GOOGLETRANSLATE(A2131, ""en"", ""mt"")"),"X’jipprevjenu livelli għoljin ta ’inugwaljanza li jipprevjenu lil hinn mill-prosperità ekonomika?")</f>
        <v>X’jipprevjenu livelli għoljin ta ’inugwaljanza li jipprevjenu lil hinn mill-prosperità ekonomika?</v>
      </c>
    </row>
    <row r="2132" ht="15.75" customHeight="1">
      <c r="A2132" s="2" t="s">
        <v>2132</v>
      </c>
      <c r="B2132" s="2" t="str">
        <f>IFERROR(__xludf.DUMMYFUNCTION("GOOGLETRANSLATE(A2132, ""en"", ""mt"")"),"Kif huma appoġġjati l-ispjegazzjonijiet?")</f>
        <v>Kif huma appoġġjati l-ispjegazzjonijiet?</v>
      </c>
    </row>
    <row r="2133" ht="15.75" customHeight="1">
      <c r="A2133" s="2" t="s">
        <v>2133</v>
      </c>
      <c r="B2133" s="2" t="str">
        <f>IFERROR(__xludf.DUMMYFUNCTION("GOOGLETRANSLATE(A2133, ""en"", ""mt"")"),"L-istudenti huma liberi li jagħżlu skola privata")</f>
        <v>L-istudenti huma liberi li jagħżlu skola privata</v>
      </c>
    </row>
    <row r="2134" ht="15.75" customHeight="1">
      <c r="A2134" s="2" t="s">
        <v>2134</v>
      </c>
      <c r="B2134" s="2" t="str">
        <f>IFERROR(__xludf.DUMMYFUNCTION("GOOGLETRANSLATE(A2134, ""en"", ""mt"")"),"soluzzjoni")</f>
        <v>soluzzjoni</v>
      </c>
    </row>
    <row r="2135" ht="15.75" customHeight="1">
      <c r="A2135" s="2" t="s">
        <v>2135</v>
      </c>
      <c r="B2135" s="2" t="str">
        <f>IFERROR(__xludf.DUMMYFUNCTION("GOOGLETRANSLATE(A2135, ""en"", ""mt"")"),"Liema xogħol preċedenti esperimenti Lavoisier jiskreditaw?")</f>
        <v>Liema xogħol preċedenti esperimenti Lavoisier jiskreditaw?</v>
      </c>
    </row>
    <row r="2136" ht="15.75" customHeight="1">
      <c r="A2136" s="2" t="s">
        <v>2136</v>
      </c>
      <c r="B2136" s="2" t="str">
        <f>IFERROR(__xludf.DUMMYFUNCTION("GOOGLETRANSLATE(A2136, ""en"", ""mt"")"),"Kemm idum Tesla tonfoq logħob kultant?")</f>
        <v>Kemm idum Tesla tonfoq logħob kultant?</v>
      </c>
    </row>
    <row r="2137" ht="15.75" customHeight="1">
      <c r="A2137" s="2" t="s">
        <v>2137</v>
      </c>
      <c r="B2137" s="2" t="str">
        <f>IFERROR(__xludf.DUMMYFUNCTION("GOOGLETRANSLATE(A2137, ""en"", ""mt"")"),"Madankollu, ħarġet problema rigward id-direzzjonijiet meħuda minn ABC u UPT. Fl-1950, Noble ħatar lil Robert Kintner biex ikun il-president ta 'ABC waqt li huwa stess serva bħala l-Kap Eżekuttiv tiegħu, pożizzjoni li kien iżomm sal-mewt tiegħu fl-1958. Mi"&amp;"nkejja l-wegħda ta' nuqqas ta 'interferenza bejn ABC u UPT, Goldenson kellu jintervjeni fid-deċiżjonijiet ta' ABC għax ta 'problemi finanzjarji u l-perjodu twil ta' indeċiżjoni tal-FCC. Goldenson żied mal-konfużjoni meta, f'Ottubru 1954, huwa ppropona għa"&amp;"qda bejn UPT u n-Netwerk tat-Televiżjoni Dumont, li kien imqabbad ukoll fl-inkwiet finanzjarju. Bħala parti minn din l-għaqda, in-netwerk kien ikun imsemmi mill-ġdid ""ABC-Dumont"" għal ħames snin, u Dumont kien irċieva $ 5 miljun fi flus kontanti, kamra "&amp;"fl-iskeda għall-ipprogrammar eżistenti ta 'Dumont, u ħin ta' reklamar garantit għar-riċevituri tal-Laboratorji Dumont. Barra minn hekk, biex tikkonforma mar-restrizzjonijiet tas-sjieda tal-FCC, kien ikun meħtieġ li jbiegħ jew l-istazzjon WABC-TV jew Dumon"&amp;"t li huwa proprjetà u operat WABD fis-suq tal-Belt ta 'New York, kif ukoll żewġ stazzjonijiet oħra. L-ABC-Dumont magħqud kien ikollu r-riżorsi biex jikkompeti ma 'CBS u NBC.")</f>
        <v>Madankollu, ħarġet problema rigward id-direzzjonijiet meħuda minn ABC u UPT. Fl-1950, Noble ħatar lil Robert Kintner biex ikun il-president ta 'ABC waqt li huwa stess serva bħala l-Kap Eżekuttiv tiegħu, pożizzjoni li kien iżomm sal-mewt tiegħu fl-1958. Minkejja l-wegħda ta' nuqqas ta 'interferenza bejn ABC u UPT, Goldenson kellu jintervjeni fid-deċiżjonijiet ta' ABC għax ta 'problemi finanzjarji u l-perjodu twil ta' indeċiżjoni tal-FCC. Goldenson żied mal-konfużjoni meta, f'Ottubru 1954, huwa ppropona għaqda bejn UPT u n-Netwerk tat-Televiżjoni Dumont, li kien imqabbad ukoll fl-inkwiet finanzjarju. Bħala parti minn din l-għaqda, in-netwerk kien ikun imsemmi mill-ġdid "ABC-Dumont" għal ħames snin, u Dumont kien irċieva $ 5 miljun fi flus kontanti, kamra fl-iskeda għall-ipprogrammar eżistenti ta 'Dumont, u ħin ta' reklamar garantit għar-riċevituri tal-Laboratorji Dumont. Barra minn hekk, biex tikkonforma mar-restrizzjonijiet tas-sjieda tal-FCC, kien ikun meħtieġ li jbiegħ jew l-istazzjon WABC-TV jew Dumont li huwa proprjetà u operat WABD fis-suq tal-Belt ta 'New York, kif ukoll żewġ stazzjonijiet oħra. L-ABC-Dumont magħqud kien ikollu r-riżorsi biex jikkompeti ma 'CBS u NBC.</v>
      </c>
    </row>
    <row r="2138" ht="15.75" customHeight="1">
      <c r="A2138" s="2" t="s">
        <v>2138</v>
      </c>
      <c r="B2138" s="2" t="str">
        <f>IFERROR(__xludf.DUMMYFUNCTION("GOOGLETRANSLATE(A2138, ""en"", ""mt"")"),"L-aħħar tas-snin sebgħin")</f>
        <v>L-aħħar tas-snin sebgħin</v>
      </c>
    </row>
    <row r="2139" ht="15.75" customHeight="1">
      <c r="A2139" s="2" t="s">
        <v>2139</v>
      </c>
      <c r="B2139" s="2" t="str">
        <f>IFERROR(__xludf.DUMMYFUNCTION("GOOGLETRANSLATE(A2139, ""en"", ""mt"")"),"Novembru 1979")</f>
        <v>Novembru 1979</v>
      </c>
    </row>
    <row r="2140" ht="15.75" customHeight="1">
      <c r="A2140" s="2" t="s">
        <v>2140</v>
      </c>
      <c r="B2140" s="2" t="str">
        <f>IFERROR(__xludf.DUMMYFUNCTION("GOOGLETRANSLATE(A2140, ""en"", ""mt"")"),"Min lagħab it-Tabib tal-Gwerra?")</f>
        <v>Min lagħab it-Tabib tal-Gwerra?</v>
      </c>
    </row>
    <row r="2141" ht="15.75" customHeight="1">
      <c r="A2141" s="2" t="s">
        <v>2141</v>
      </c>
      <c r="B2141" s="2" t="str">
        <f>IFERROR(__xludf.DUMMYFUNCTION("GOOGLETRANSLATE(A2141, ""en"", ""mt"")"),"Singapor, Londra, u l-viċinat taċ-ċentru ta ’Streeterville f’Chicago")</f>
        <v>Singapor, Londra, u l-viċinat taċ-ċentru ta ’Streeterville f’Chicago</v>
      </c>
    </row>
    <row r="2142" ht="15.75" customHeight="1">
      <c r="A2142" s="2" t="s">
        <v>2142</v>
      </c>
      <c r="B2142" s="2" t="str">
        <f>IFERROR(__xludf.DUMMYFUNCTION("GOOGLETRANSLATE(A2142, ""en"", ""mt"")"),"tridimensjonali")</f>
        <v>tridimensjonali</v>
      </c>
    </row>
    <row r="2143" ht="15.75" customHeight="1">
      <c r="A2143" s="2" t="s">
        <v>2143</v>
      </c>
      <c r="B2143" s="2" t="str">
        <f>IFERROR(__xludf.DUMMYFUNCTION("GOOGLETRANSLATE(A2143, ""en"", ""mt"")"),"Liema grupp ta 'nies wettaq diżubbidjenza ċivili rivoluzzjonarja lejn il-gvern Awstrijak?")</f>
        <v>Liema grupp ta 'nies wettaq diżubbidjenza ċivili rivoluzzjonarja lejn il-gvern Awstrijak?</v>
      </c>
    </row>
    <row r="2144" ht="15.75" customHeight="1">
      <c r="A2144" s="2" t="s">
        <v>2144</v>
      </c>
      <c r="B2144" s="2" t="str">
        <f>IFERROR(__xludf.DUMMYFUNCTION("GOOGLETRANSLATE(A2144, ""en"", ""mt"")"),"Pjazza tal-Parlament, High Street u George IV Bridge")</f>
        <v>Pjazza tal-Parlament, High Street u George IV Bridge</v>
      </c>
    </row>
    <row r="2145" ht="15.75" customHeight="1">
      <c r="A2145" s="2" t="s">
        <v>2145</v>
      </c>
      <c r="B2145" s="2" t="str">
        <f>IFERROR(__xludf.DUMMYFUNCTION("GOOGLETRANSLATE(A2145, ""en"", ""mt"")"),"magni ta 'espansjoni tripla tal-baħar")</f>
        <v>magni ta 'espansjoni tripla tal-baħar</v>
      </c>
    </row>
    <row r="2146" ht="15.75" customHeight="1">
      <c r="A2146" s="2" t="s">
        <v>2146</v>
      </c>
      <c r="B2146" s="2" t="str">
        <f>IFERROR(__xludf.DUMMYFUNCTION("GOOGLETRANSLATE(A2146, ""en"", ""mt"")"),"X'qed ikkunsidra Luther li kienet il-fidi?")</f>
        <v>X'qed ikkunsidra Luther li kienet il-fidi?</v>
      </c>
    </row>
    <row r="2147" ht="15.75" customHeight="1">
      <c r="A2147" s="2" t="s">
        <v>2147</v>
      </c>
      <c r="B2147" s="2" t="str">
        <f>IFERROR(__xludf.DUMMYFUNCTION("GOOGLETRANSLATE(A2147, ""en"", ""mt"")"),"riċetturi immuni speċifiċi")</f>
        <v>riċetturi immuni speċifiċi</v>
      </c>
    </row>
    <row r="2148" ht="15.75" customHeight="1">
      <c r="A2148" s="2" t="s">
        <v>2148</v>
      </c>
      <c r="B2148" s="2" t="str">
        <f>IFERROR(__xludf.DUMMYFUNCTION("GOOGLETRANSLATE(A2148, ""en"", ""mt"")"),"Huwa konjetta li tnaqqis progressiv fil-livelli ta 'ormoni bl-età huwa parzjalment responsabbli għal risponsi immuni mdgħajfa f'individwi li qed jixjieħu. Bil-maqlub, xi ormoni huma rregolati mis-sistema immunitarja, l-aktar attività ta 'ormoni tat-tirojd"&amp;"e. It-tnaqqis relatat mal-età fil-funzjoni immuni huwa relatat ukoll ma 'tnaqqis fil-livelli ta' vitamina D fl-anzjani. Hekk kif in-nies jixjieħu, iseħħu żewġ affarijiet li jaffettwaw b'mod negattiv il-livelli ta 'vitamina D tagħhom. L-ewwel, huma jibqgħu"&amp;" ġewwa aktar minħabba tnaqqis fil-livelli ta 'attività. Dan ifisser li jiksbu inqas xemx u għalhekk jipproduċu inqas cholecalciferol permezz ta 'radjazzjoni UVB. It-tieni, hekk kif persuna tixjieħ il-ġilda ssir inqas adept fil-produzzjoni tal-vitamina D.")</f>
        <v>Huwa konjetta li tnaqqis progressiv fil-livelli ta 'ormoni bl-età huwa parzjalment responsabbli għal risponsi immuni mdgħajfa f'individwi li qed jixjieħu. Bil-maqlub, xi ormoni huma rregolati mis-sistema immunitarja, l-aktar attività ta 'ormoni tat-tirojde. It-tnaqqis relatat mal-età fil-funzjoni immuni huwa relatat ukoll ma 'tnaqqis fil-livelli ta' vitamina D fl-anzjani. Hekk kif in-nies jixjieħu, iseħħu żewġ affarijiet li jaffettwaw b'mod negattiv il-livelli ta 'vitamina D tagħhom. L-ewwel, huma jibqgħu ġewwa aktar minħabba tnaqqis fil-livelli ta 'attività. Dan ifisser li jiksbu inqas xemx u għalhekk jipproduċu inqas cholecalciferol permezz ta 'radjazzjoni UVB. It-tieni, hekk kif persuna tixjieħ il-ġilda ssir inqas adept fil-produzzjoni tal-vitamina D.</v>
      </c>
    </row>
    <row r="2149" ht="15.75" customHeight="1">
      <c r="A2149" s="2" t="s">
        <v>2149</v>
      </c>
      <c r="B2149" s="2" t="str">
        <f>IFERROR(__xludf.DUMMYFUNCTION("GOOGLETRANSLATE(A2149, ""en"", ""mt"")"),"B'liema mod xi nies iwettqu diżubbidjenza ċivili b'mod kostruttiv?")</f>
        <v>B'liema mod xi nies iwettqu diżubbidjenza ċivili b'mod kostruttiv?</v>
      </c>
    </row>
    <row r="2150" ht="15.75" customHeight="1">
      <c r="A2150" s="2" t="s">
        <v>2150</v>
      </c>
      <c r="B2150" s="2" t="str">
        <f>IFERROR(__xludf.DUMMYFUNCTION("GOOGLETRANSLATE(A2150, ""en"", ""mt"")"),"Dawn it-tipi ta 'programmi ppreżentaw lil ABC b'immaġni ta' ""filosofija ta 'kontprogrammazzjoni kontra l-kompetituri tagħha"", li joffru lineup qawwi ta' programmi li jikkuntrastaw ma 'dawk li dehru fuq in-netwerks rivali tagħha, li għenu lil Goldenson j"&amp;"agħti lin-netwerk kontinwu bejn il-film u t-televiżjoni. Is-serje tal-Punent tal-ABC (kif ukoll serje bħall-actioner Zorro) telgħu kontra u għelbu l-wirjiet tal-varjetà mxandra minn NBC u CBS fil-ħarifa tal-1957, u l-wirjiet tad-ditektif tagħha għamlu l-i"&amp;"stess fil-ħarifa tal-1959. Udjenzi, serje qasira ta '66 minuta kienu skedati nofs siegħa qabel il-kompetizzjoni tagħhom ta 'siegħa. F'Mejju 1961, il-ħajja kkritikat l-entużjażmu pubbliku u l-isponsorizzazzjoni għal dawn it-tipi ta 'wirjiet għad-detriment "&amp;"tal-ipprogrammar tal-aħbarijiet u ddenunzjat liġi mhux uffiċjali ""li tissostitwixxi l-programmi tajbin ma' dawk ħżiena"".")</f>
        <v>Dawn it-tipi ta 'programmi ppreżentaw lil ABC b'immaġni ta' "filosofija ta 'kontprogrammazzjoni kontra l-kompetituri tagħha", li joffru lineup qawwi ta' programmi li jikkuntrastaw ma 'dawk li dehru fuq in-netwerks rivali tagħha, li għenu lil Goldenson jagħti lin-netwerk kontinwu bejn il-film u t-televiżjoni. Is-serje tal-Punent tal-ABC (kif ukoll serje bħall-actioner Zorro) telgħu kontra u għelbu l-wirjiet tal-varjetà mxandra minn NBC u CBS fil-ħarifa tal-1957, u l-wirjiet tad-ditektif tagħha għamlu l-istess fil-ħarifa tal-1959. Udjenzi, serje qasira ta '66 minuta kienu skedati nofs siegħa qabel il-kompetizzjoni tagħhom ta 'siegħa. F'Mejju 1961, il-ħajja kkritikat l-entużjażmu pubbliku u l-isponsorizzazzjoni għal dawn it-tipi ta 'wirjiet għad-detriment tal-ipprogrammar tal-aħbarijiet u ddenunzjat liġi mhux uffiċjali "li tissostitwixxi l-programmi tajbin ma' dawk ħżiena".</v>
      </c>
    </row>
    <row r="2151" ht="15.75" customHeight="1">
      <c r="A2151" s="2" t="s">
        <v>2151</v>
      </c>
      <c r="B2151" s="2" t="str">
        <f>IFERROR(__xludf.DUMMYFUNCTION("GOOGLETRANSLATE(A2151, ""en"", ""mt"")"),"Qorti Ewropea tad-Drittijiet tal-Bniedem.")</f>
        <v>Qorti Ewropea tad-Drittijiet tal-Bniedem.</v>
      </c>
    </row>
    <row r="2152" ht="15.75" customHeight="1">
      <c r="A2152" s="2" t="s">
        <v>2152</v>
      </c>
      <c r="B2152" s="2" t="str">
        <f>IFERROR(__xludf.DUMMYFUNCTION("GOOGLETRANSLATE(A2152, ""en"", ""mt"")"),"Lukandi ta ’New York")</f>
        <v>Lukandi ta ’New York</v>
      </c>
    </row>
    <row r="2153" ht="15.75" customHeight="1">
      <c r="A2153" s="2" t="s">
        <v>2153</v>
      </c>
      <c r="B2153" s="2" t="str">
        <f>IFERROR(__xludf.DUMMYFUNCTION("GOOGLETRANSLATE(A2153, ""en"", ""mt"")"),"Sports Programs, Inc")</f>
        <v>Sports Programs, Inc</v>
      </c>
    </row>
    <row r="2154" ht="15.75" customHeight="1">
      <c r="A2154" s="2" t="s">
        <v>2154</v>
      </c>
      <c r="B2154" s="2" t="str">
        <f>IFERROR(__xludf.DUMMYFUNCTION("GOOGLETRANSLATE(A2154, ""en"", ""mt"")"),"f'kuntatt mal-istoma")</f>
        <v>f'kuntatt mal-istoma</v>
      </c>
    </row>
    <row r="2155" ht="15.75" customHeight="1">
      <c r="A2155" s="2" t="s">
        <v>2155</v>
      </c>
      <c r="B2155" s="2" t="str">
        <f>IFERROR(__xludf.DUMMYFUNCTION("GOOGLETRANSLATE(A2155, ""en"", ""mt"")"),"Min mar Wittenberg biex jisma 'lil Luther jitkellem?")</f>
        <v>Min mar Wittenberg biex jisma 'lil Luther jitkellem?</v>
      </c>
    </row>
    <row r="2156" ht="15.75" customHeight="1">
      <c r="A2156" s="2" t="s">
        <v>2156</v>
      </c>
      <c r="B2156" s="2" t="str">
        <f>IFERROR(__xludf.DUMMYFUNCTION("GOOGLETRANSLATE(A2156, ""en"", ""mt"")"),"X'aktarx li sistema immunitarja adattattiva b'ħafna komponenti nibtet bl-ewwel vertebrati, peress li l-invertebrati ma jiġġenerawx limfoċiti jew rispons umoristiku bbażat fuq l-antikorpi. Bosta speċi, madankollu, jużaw mekkaniżmi li jidhru li huma prekurs"&amp;"uri ta 'dawn l-aspetti ta' l-immunità vertebra. Sistemi immuni jidhru anke fil-forom ta 'ħajja strutturalment l-iktar sempliċi, b'batterji jużaw mekkaniżmu ta' difiża uniku, imsejjaħ is-sistema ta 'modifika ta' restrizzjoni biex jipproteġu lilhom infushom"&amp;" minn patoġeni virali, imsejħa batterjofagi. Il-prokarioti għandhom ukoll immunità akkwistata, permezz ta 'sistema li tuża sekwenzi CRISPR biex iżżomm frammenti tal-ġenomi tal-fagi li ġew f'kuntatt magħhom fil-passat, li jippermettilhom jimblokkaw ir-repl"&amp;"ikazzjoni tal-virus permezz ta' forma ta 'interferenza RNA. Elementi offensivi tas-sistemi immuni huma preżenti wkoll fl-ewkarioti uniċellulari, iżda l-istudji tar-rwoli tagħhom fid-difiża huma ftit.")</f>
        <v>X'aktarx li sistema immunitarja adattattiva b'ħafna komponenti nibtet bl-ewwel vertebrati, peress li l-invertebrati ma jiġġenerawx limfoċiti jew rispons umoristiku bbażat fuq l-antikorpi. Bosta speċi, madankollu, jużaw mekkaniżmi li jidhru li huma prekursuri ta 'dawn l-aspetti ta' l-immunità vertebra. Sistemi immuni jidhru anke fil-forom ta 'ħajja strutturalment l-iktar sempliċi, b'batterji jużaw mekkaniżmu ta' difiża uniku, imsejjaħ is-sistema ta 'modifika ta' restrizzjoni biex jipproteġu lilhom infushom minn patoġeni virali, imsejħa batterjofagi. Il-prokarioti għandhom ukoll immunità akkwistata, permezz ta 'sistema li tuża sekwenzi CRISPR biex iżżomm frammenti tal-ġenomi tal-fagi li ġew f'kuntatt magħhom fil-passat, li jippermettilhom jimblokkaw ir-replikazzjoni tal-virus permezz ta' forma ta 'interferenza RNA. Elementi offensivi tas-sistemi immuni huma preżenti wkoll fl-ewkarioti uniċellulari, iżda l-istudji tar-rwoli tagħhom fid-difiża huma ftit.</v>
      </c>
    </row>
    <row r="2157" ht="15.75" customHeight="1">
      <c r="A2157" s="2" t="s">
        <v>2157</v>
      </c>
      <c r="B2157" s="2" t="str">
        <f>IFERROR(__xludf.DUMMYFUNCTION("GOOGLETRANSLATE(A2157, ""en"", ""mt"")"),"biex tmur id-dar u tbiddel il-libsa tagħha")</f>
        <v>biex tmur id-dar u tbiddel il-libsa tagħha</v>
      </c>
    </row>
    <row r="2158" ht="15.75" customHeight="1">
      <c r="A2158" s="2" t="s">
        <v>2158</v>
      </c>
      <c r="B2158" s="2" t="str">
        <f>IFERROR(__xludf.DUMMYFUNCTION("GOOGLETRANSLATE(A2158, ""en"", ""mt"")"),"Varjant tal-Ġermaniż mitkellem fil-Kanċellerija tas-Sassonu,")</f>
        <v>Varjant tal-Ġermaniż mitkellem fil-Kanċellerija tas-Sassonu,</v>
      </c>
    </row>
    <row r="2159" ht="15.75" customHeight="1">
      <c r="A2159" s="2" t="s">
        <v>2159</v>
      </c>
      <c r="B2159" s="2" t="str">
        <f>IFERROR(__xludf.DUMMYFUNCTION("GOOGLETRANSLATE(A2159, ""en"", ""mt"")"),"Biex tikkontrobatti l-għargħar kostanti u s-sedimentazzjoni qawwija")</f>
        <v>Biex tikkontrobatti l-għargħar kostanti u s-sedimentazzjoni qawwija</v>
      </c>
    </row>
    <row r="2160" ht="15.75" customHeight="1">
      <c r="A2160" s="2" t="s">
        <v>2160</v>
      </c>
      <c r="B2160" s="2" t="str">
        <f>IFERROR(__xludf.DUMMYFUNCTION("GOOGLETRANSLATE(A2160, ""en"", ""mt"")"),"Fil-qiegħ tal-arblu")</f>
        <v>Fil-qiegħ tal-arblu</v>
      </c>
    </row>
    <row r="2161" ht="15.75" customHeight="1">
      <c r="A2161" s="2" t="s">
        <v>2161</v>
      </c>
      <c r="B2161" s="2" t="str">
        <f>IFERROR(__xludf.DUMMYFUNCTION("GOOGLETRANSLATE(A2161, ""en"", ""mt"")"),"X’")</f>
        <v>X’</v>
      </c>
    </row>
    <row r="2162" ht="15.75" customHeight="1">
      <c r="A2162" s="2" t="s">
        <v>2162</v>
      </c>
      <c r="B2162" s="2" t="str">
        <f>IFERROR(__xludf.DUMMYFUNCTION("GOOGLETRANSLATE(A2162, ""en"", ""mt"")"),"Swieq storiċi densament okkupati, bla dubju")</f>
        <v>Swieq storiċi densament okkupati, bla dubju</v>
      </c>
    </row>
    <row r="2163" ht="15.75" customHeight="1">
      <c r="A2163" s="2" t="s">
        <v>2163</v>
      </c>
      <c r="B2163" s="2" t="str">
        <f>IFERROR(__xludf.DUMMYFUNCTION("GOOGLETRANSLATE(A2163, ""en"", ""mt"")"),"Kattoliku Ruman")</f>
        <v>Kattoliku Ruman</v>
      </c>
    </row>
    <row r="2164" ht="15.75" customHeight="1">
      <c r="A2164" s="2" t="s">
        <v>2164</v>
      </c>
      <c r="B2164" s="2" t="str">
        <f>IFERROR(__xludf.DUMMYFUNCTION("GOOGLETRANSLATE(A2164, ""en"", ""mt"")"),"X'inhu mistenni bl-input kontinwu tas-sediment fid-Dornbirner ACh?")</f>
        <v>X'inhu mistenni bl-input kontinwu tas-sediment fid-Dornbirner ACh?</v>
      </c>
    </row>
    <row r="2165" ht="15.75" customHeight="1">
      <c r="A2165" s="2" t="s">
        <v>2165</v>
      </c>
      <c r="B2165" s="2" t="str">
        <f>IFERROR(__xludf.DUMMYFUNCTION("GOOGLETRANSLATE(A2165, ""en"", ""mt"")"),"spirtu ta ’protesta")</f>
        <v>spirtu ta ’protesta</v>
      </c>
    </row>
    <row r="2166" ht="15.75" customHeight="1">
      <c r="A2166" s="2" t="s">
        <v>2166</v>
      </c>
      <c r="B2166" s="2" t="str">
        <f>IFERROR(__xludf.DUMMYFUNCTION("GOOGLETRANSLATE(A2166, ""en"", ""mt"")"),"differenza")</f>
        <v>differenza</v>
      </c>
    </row>
    <row r="2167" ht="15.75" customHeight="1">
      <c r="A2167" s="2" t="s">
        <v>2167</v>
      </c>
      <c r="B2167" s="2" t="str">
        <f>IFERROR(__xludf.DUMMYFUNCTION("GOOGLETRANSLATE(A2167, ""en"", ""mt"")"),"Ir-Renju Unit tat-Tramuntana")</f>
        <v>Ir-Renju Unit tat-Tramuntana</v>
      </c>
    </row>
    <row r="2168" ht="15.75" customHeight="1">
      <c r="A2168" s="2" t="s">
        <v>2168</v>
      </c>
      <c r="B2168" s="2" t="str">
        <f>IFERROR(__xludf.DUMMYFUNCTION("GOOGLETRANSLATE(A2168, ""en"", ""mt"")"),"wieħed mill-aktar influwenti")</f>
        <v>wieħed mill-aktar influwenti</v>
      </c>
    </row>
    <row r="2169" ht="15.75" customHeight="1">
      <c r="A2169" s="2" t="s">
        <v>2169</v>
      </c>
      <c r="B2169" s="2" t="str">
        <f>IFERROR(__xludf.DUMMYFUNCTION("GOOGLETRANSLATE(A2169, ""en"", ""mt"")"),"bażi tal-metodoloġija")</f>
        <v>bażi tal-metodoloġija</v>
      </c>
    </row>
    <row r="2170" ht="15.75" customHeight="1">
      <c r="A2170" s="2" t="s">
        <v>2170</v>
      </c>
      <c r="B2170" s="2" t="str">
        <f>IFERROR(__xludf.DUMMYFUNCTION("GOOGLETRANSLATE(A2170, ""en"", ""mt"")"),"Rotta tal-Istat 99")</f>
        <v>Rotta tal-Istat 99</v>
      </c>
    </row>
    <row r="2171" ht="15.75" customHeight="1">
      <c r="A2171" s="2" t="s">
        <v>2171</v>
      </c>
      <c r="B2171" s="2" t="str">
        <f>IFERROR(__xludf.DUMMYFUNCTION("GOOGLETRANSLATE(A2171, ""en"", ""mt"")"),"it-tieni l-iktar")</f>
        <v>it-tieni l-iktar</v>
      </c>
    </row>
    <row r="2172" ht="15.75" customHeight="1">
      <c r="A2172" s="2" t="s">
        <v>2172</v>
      </c>
      <c r="B2172" s="2" t="str">
        <f>IFERROR(__xludf.DUMMYFUNCTION("GOOGLETRANSLATE(A2172, ""en"", ""mt"")"),"50 anniversarju speċjali")</f>
        <v>50 anniversarju speċjali</v>
      </c>
    </row>
    <row r="2173" ht="15.75" customHeight="1">
      <c r="A2173" s="2" t="s">
        <v>2173</v>
      </c>
      <c r="B2173" s="2" t="str">
        <f>IFERROR(__xludf.DUMMYFUNCTION("GOOGLETRANSLATE(A2173, ""en"", ""mt"")"),"Magna tat-Turing mhux deterministika għandha l-abbiltà li taqbad liema aspett ta 'analiżi utli?")</f>
        <v>Magna tat-Turing mhux deterministika għandha l-abbiltà li taqbad liema aspett ta 'analiżi utli?</v>
      </c>
    </row>
    <row r="2174" ht="15.75" customHeight="1">
      <c r="A2174" s="2" t="s">
        <v>2174</v>
      </c>
      <c r="B2174" s="2" t="str">
        <f>IFERROR(__xludf.DUMMYFUNCTION("GOOGLETRANSLATE(A2174, ""en"", ""mt"")"),"ingħata lill-Protestanti ugwaljanza mal-Kattoliċi")</f>
        <v>ingħata lill-Protestanti ugwaljanza mal-Kattoliċi</v>
      </c>
    </row>
    <row r="2175" ht="15.75" customHeight="1">
      <c r="A2175" s="2" t="s">
        <v>2175</v>
      </c>
      <c r="B2175" s="2" t="str">
        <f>IFERROR(__xludf.DUMMYFUNCTION("GOOGLETRANSLATE(A2175, ""en"", ""mt"")"),"Charles Avison, il-kompożitur Ingliż ewlieni ta ’Concertos fis-seklu 18, twieled fi Newcastle fuq Tyne fl-1709 u miet hemm fl-1770. Basil Hume, Arċisqof ta’ Westminster, twieled fil-belt fl-1923. Il-Viċi Ammirall Cuthbert Collingwood, l-ewwel Baron Collin"&amp;"gwood, twieled fil-belt. Ironmaster, Metallurgist, u Membru tal-Parlament Isaac Lowthian Bell twieled fil-belt fl-1816. Nies oħra notevoli mwielda fi jew assoċjati ma 'Newcastle jinkludu: inġinier u industrijalist Lord Armstrong, inġinier u missier il-fer"&amp;"roviji tal-fwar moderni George Stephenson, ibnu, ibnu, Inġinier ukoll, Robert Stephenson, inġinier u inventur tat-turbina tal-fwar Sir Charles Parsons, inventur tal-bozza tad-dawl inkandexxenti Sir Joseph Swan, il-poeta modernist Basil Bunting, u l-Lord P"&amp;"rim Imħallef Peter Taylor. Il-kittieb Portugiż Eça de Queiroz kien diplomatiku fi Newcastle minn tard fl-1874 sa April 1879 - l-iktar perjodu letterarju produttiv tiegħu. L-ex Prim Ministru tat-Tajlandja Abhisit Vejjajiva, twieled fil-belt.")</f>
        <v>Charles Avison, il-kompożitur Ingliż ewlieni ta ’Concertos fis-seklu 18, twieled fi Newcastle fuq Tyne fl-1709 u miet hemm fl-1770. Basil Hume, Arċisqof ta’ Westminster, twieled fil-belt fl-1923. Il-Viċi Ammirall Cuthbert Collingwood, l-ewwel Baron Collingwood, twieled fil-belt. Ironmaster, Metallurgist, u Membru tal-Parlament Isaac Lowthian Bell twieled fil-belt fl-1816. Nies oħra notevoli mwielda fi jew assoċjati ma 'Newcastle jinkludu: inġinier u industrijalist Lord Armstrong, inġinier u missier il-ferroviji tal-fwar moderni George Stephenson, ibnu, ibnu, Inġinier ukoll, Robert Stephenson, inġinier u inventur tat-turbina tal-fwar Sir Charles Parsons, inventur tal-bozza tad-dawl inkandexxenti Sir Joseph Swan, il-poeta modernist Basil Bunting, u l-Lord Prim Imħallef Peter Taylor. Il-kittieb Portugiż Eça de Queiroz kien diplomatiku fi Newcastle minn tard fl-1874 sa April 1879 - l-iktar perjodu letterarju produttiv tiegħu. L-ex Prim Ministru tat-Tajlandja Abhisit Vejjajiva, twieled fil-belt.</v>
      </c>
    </row>
    <row r="2176" ht="15.75" customHeight="1">
      <c r="A2176" s="2" t="s">
        <v>2176</v>
      </c>
      <c r="B2176" s="2" t="str">
        <f>IFERROR(__xludf.DUMMYFUNCTION("GOOGLETRANSLATE(A2176, ""en"", ""mt"")"),"Minn fejn beda l-Grand Canal?")</f>
        <v>Minn fejn beda l-Grand Canal?</v>
      </c>
    </row>
    <row r="2177" ht="15.75" customHeight="1">
      <c r="A2177" s="2" t="s">
        <v>2177</v>
      </c>
      <c r="B2177" s="2" t="str">
        <f>IFERROR(__xludf.DUMMYFUNCTION("GOOGLETRANSLATE(A2177, ""en"", ""mt"")"),"""zip"" il-ħalq jingħalaq")</f>
        <v>"zip" il-ħalq jingħalaq</v>
      </c>
    </row>
    <row r="2178" ht="15.75" customHeight="1">
      <c r="A2178" s="2" t="s">
        <v>2178</v>
      </c>
      <c r="B2178" s="2" t="str">
        <f>IFERROR(__xludf.DUMMYFUNCTION("GOOGLETRANSLATE(A2178, ""en"", ""mt"")"),"Evita trivjalizzazzjoni")</f>
        <v>Evita trivjalizzazzjoni</v>
      </c>
    </row>
    <row r="2179" ht="15.75" customHeight="1">
      <c r="A2179" s="2" t="s">
        <v>2179</v>
      </c>
      <c r="B2179" s="2" t="str">
        <f>IFERROR(__xludf.DUMMYFUNCTION("GOOGLETRANSLATE(A2179, ""en"", ""mt"")"),"stat Iżlamiku")</f>
        <v>stat Iżlamiku</v>
      </c>
    </row>
    <row r="2180" ht="15.75" customHeight="1">
      <c r="A2180" s="2" t="s">
        <v>2180</v>
      </c>
      <c r="B2180" s="2" t="str">
        <f>IFERROR(__xludf.DUMMYFUNCTION("GOOGLETRANSLATE(A2180, ""en"", ""mt"")"),"Triq D’Olier hija msejħa wara min?")</f>
        <v>Triq D’Olier hija msejħa wara min?</v>
      </c>
    </row>
    <row r="2181" ht="15.75" customHeight="1">
      <c r="A2181" s="2" t="s">
        <v>2181</v>
      </c>
      <c r="B2181" s="2" t="str">
        <f>IFERROR(__xludf.DUMMYFUNCTION("GOOGLETRANSLATE(A2181, ""en"", ""mt"")"),"art sewda")</f>
        <v>art sewda</v>
      </c>
    </row>
    <row r="2182" ht="15.75" customHeight="1">
      <c r="A2182" s="2" t="s">
        <v>2182</v>
      </c>
      <c r="B2182" s="2" t="str">
        <f>IFERROR(__xludf.DUMMYFUNCTION("GOOGLETRANSLATE(A2182, ""en"", ""mt"")"),"Liema kummerċ kienet il-belt ċentru importanti fis-seklu 14?")</f>
        <v>Liema kummerċ kienet il-belt ċentru importanti fis-seklu 14?</v>
      </c>
    </row>
    <row r="2183" ht="15.75" customHeight="1">
      <c r="A2183" s="2" t="s">
        <v>2183</v>
      </c>
      <c r="B2183" s="2" t="str">
        <f>IFERROR(__xludf.DUMMYFUNCTION("GOOGLETRANSLATE(A2183, ""en"", ""mt"")"),"iddikjarat il-Ġappun pajjiż ""mhux ħbieb""")</f>
        <v>iddikjarat il-Ġappun pajjiż "mhux ħbieb"</v>
      </c>
    </row>
    <row r="2184" ht="15.75" customHeight="1">
      <c r="A2184" s="2" t="s">
        <v>2184</v>
      </c>
      <c r="B2184" s="2" t="str">
        <f>IFERROR(__xludf.DUMMYFUNCTION("GOOGLETRANSLATE(A2184, ""en"", ""mt"")"),"Le Grande kiteb ukoll li d-definizzjoni tat-terminu diżubbidjenza ċivili daqshekk diffiċli jista 'jiġi deskritt bħala?")</f>
        <v>Le Grande kiteb ukoll li d-definizzjoni tat-terminu diżubbidjenza ċivili daqshekk diffiċli jista 'jiġi deskritt bħala?</v>
      </c>
    </row>
    <row r="2185" ht="15.75" customHeight="1">
      <c r="A2185" s="2" t="s">
        <v>2185</v>
      </c>
      <c r="B2185" s="2" t="str">
        <f>IFERROR(__xludf.DUMMYFUNCTION("GOOGLETRANSLATE(A2185, ""en"", ""mt"")"),"Fil-biċċa l-kbira tal-pajjiżi, id-dispensarju huwa soġġett għal-leġislazzjoni tal-ispiżerija; b'rekwiżiti għal kundizzjonijiet ta 'ħażna, testi obbligatorji, tagħmir, eċċ., Speċifikati fil-leġislazzjoni. Fejn darba kien il-każ li l-ispiżjara baqgħu fil-me"&amp;"diċini tad-dispensarju tat-taħlit / tqassim, kien hemm tendenza dejjem tiżdied lejn l-użu ta 'tekniċi tal-ispiżerija mħarrġa waqt li l-ispiżjar iqatta' aktar ħin jikkomunika mal-pazjenti. It-tekniċi tal-ispiżerija issa huma aktar dipendenti fuq l-awtomazz"&amp;"joni biex jgħinuhom fir-rwol il-ġdid tagħhom li jittrattaw il-preskrizzjonijiet tal-pazjenti u l-kwistjonijiet tas-sigurtà tal-pazjent.")</f>
        <v>Fil-biċċa l-kbira tal-pajjiżi, id-dispensarju huwa soġġett għal-leġislazzjoni tal-ispiżerija; b'rekwiżiti għal kundizzjonijiet ta 'ħażna, testi obbligatorji, tagħmir, eċċ., Speċifikati fil-leġislazzjoni. Fejn darba kien il-każ li l-ispiżjara baqgħu fil-mediċini tad-dispensarju tat-taħlit / tqassim, kien hemm tendenza dejjem tiżdied lejn l-użu ta 'tekniċi tal-ispiżerija mħarrġa waqt li l-ispiżjar iqatta' aktar ħin jikkomunika mal-pazjenti. It-tekniċi tal-ispiżerija issa huma aktar dipendenti fuq l-awtomazzjoni biex jgħinuhom fir-rwol il-ġdid tagħhom li jittrattaw il-preskrizzjonijiet tal-pazjenti u l-kwistjonijiet tas-sigurtà tal-pazjent.</v>
      </c>
    </row>
    <row r="2186" ht="15.75" customHeight="1">
      <c r="A2186" s="2" t="s">
        <v>2186</v>
      </c>
      <c r="B2186" s="2" t="str">
        <f>IFERROR(__xludf.DUMMYFUNCTION("GOOGLETRANSLATE(A2186, ""en"", ""mt"")"),"somma ta 'funzjoni ta' diviżuri")</f>
        <v>somma ta 'funzjoni ta' diviżuri</v>
      </c>
    </row>
    <row r="2187" ht="15.75" customHeight="1">
      <c r="A2187" s="2" t="s">
        <v>2187</v>
      </c>
      <c r="B2187" s="2" t="str">
        <f>IFERROR(__xludf.DUMMYFUNCTION("GOOGLETRANSLATE(A2187, ""en"", ""mt"")"),"Min ipprova l-Partit ta ’Liberazzjoni Iżlamika pprova joqtol?")</f>
        <v>Min ipprova l-Partit ta ’Liberazzjoni Iżlamika pprova joqtol?</v>
      </c>
    </row>
    <row r="2188" ht="15.75" customHeight="1">
      <c r="A2188" s="2" t="s">
        <v>2188</v>
      </c>
      <c r="B2188" s="2" t="str">
        <f>IFERROR(__xludf.DUMMYFUNCTION("GOOGLETRANSLATE(A2188, ""en"", ""mt"")"),"Kemm mill-effett ta 'serra huwa dovut għad-dijossidu tal-karbonju?")</f>
        <v>Kemm mill-effett ta 'serra huwa dovut għad-dijossidu tal-karbonju?</v>
      </c>
    </row>
    <row r="2189" ht="15.75" customHeight="1">
      <c r="A2189" s="2" t="s">
        <v>2189</v>
      </c>
      <c r="B2189" s="2" t="str">
        <f>IFERROR(__xludf.DUMMYFUNCTION("GOOGLETRANSLATE(A2189, ""en"", ""mt"")"),"Xi studjużi affermaw li Luther għallem li l-fidi u r-raġuni kienu antitetiċi fis-sens li l-mistoqsijiet tal-fidi ma setgħux jiġu mdawlin bir-raġuni. Huwa kiteb, ""L-artikli kollha tal-fidi Nisranija tagħna, li Alla żvela lilna fil-Kelma tiegħu, huma fil-p"&amp;"reżenza tar-raġuni impossibbli, assurda u falza."" u ""[dik ir-raġuni] bl-ebda mod ma tikkontribwixxi għall-fidi. [...] għax ir-raġuni hija l-akbar ghadu li l-fidi għandha; qatt ma tasal għall-għajnuna ta 'affarijiet spiritwali."" Madankollu, għalkemm app"&amp;"arentement kontradittorjament, huwa kiteb ukoll fix-xogħol tal-aħħar li r-raġuni umana ""tħabrek mhux kontra l-fidi, meta ddawwal, iżda pjuttost tbiegħed u tavvanzaha"", billi ġab il-pretensjonijiet li kien fideist fit-tilwima. Boroż ta 'studju kontempora"&amp;"nja Luterana, madankollu, sabet realtà differenti f'Luther. Luther minflok tfittex li tissepara l-fidi u r-raġuni sabiex tonora l-isferi separati ta 'għarfien li kull wieħed japplika għalih. Bernhard Lohse, pereżempju, wera fix-xogħol klassiku tiegħu ""pr"&amp;"oporzjon fides und"" li Luther fl-aħħar fittex li jpoġġi t-tnejn flimkien. Aktar reċentement, Hans-Peter Grosshans wera li x-xogħol ta 'Luther fuq kritika bibliċi jisħaq fuq il-ħtieġa għal koerenza esterna fil-metodu eżegetiku t-tajjeb. Dan ifisser li għa"&amp;"l Luther huwa iktar importanti li l-Bibbja tkun raġonevoli skont ir-realtà barra mill-Iskrittura milli dik il-Bibbja tagħmel sens għaliha nfisha, li għandha koerenza interna. L-għodda t-tajba biex tifhem id-dinja barra mill-Bibbja għal Luther mhix ħlief r"&amp;"aġuni, li għalih huwa l-qasam tax-xjenza, il-filosofija, l-istorja u l-osservazzjoni empirika. Hawnhekk hija ppreżentata stampa differenti ta 'Luther li vvaluta profondament kemm il-fidi kif ukoll ir-raġuni, u żammhom fi sħubija djalettika. It-tħassib ta "&amp;"'Luther għalhekk fis-separazzjoni tagħhom qed jonora l-isferi epistemoloġiċi differenti tagħhom.")</f>
        <v>Xi studjużi affermaw li Luther għallem li l-fidi u r-raġuni kienu antitetiċi fis-sens li l-mistoqsijiet tal-fidi ma setgħux jiġu mdawlin bir-raġuni. Huwa kiteb, "L-artikli kollha tal-fidi Nisranija tagħna, li Alla żvela lilna fil-Kelma tiegħu, huma fil-preżenza tar-raġuni impossibbli, assurda u falza." u "[dik ir-raġuni] bl-ebda mod ma tikkontribwixxi għall-fidi. [...] għax ir-raġuni hija l-akbar ghadu li l-fidi għandha; qatt ma tasal għall-għajnuna ta 'affarijiet spiritwali." Madankollu, għalkemm apparentement kontradittorjament, huwa kiteb ukoll fix-xogħol tal-aħħar li r-raġuni umana "tħabrek mhux kontra l-fidi, meta ddawwal, iżda pjuttost tbiegħed u tavvanzaha", billi ġab il-pretensjonijiet li kien fideist fit-tilwima. Boroż ta 'studju kontemporanja Luterana, madankollu, sabet realtà differenti f'Luther. Luther minflok tfittex li tissepara l-fidi u r-raġuni sabiex tonora l-isferi separati ta 'għarfien li kull wieħed japplika għalih. Bernhard Lohse, pereżempju, wera fix-xogħol klassiku tiegħu "proporzjon fides und" li Luther fl-aħħar fittex li jpoġġi t-tnejn flimkien. Aktar reċentement, Hans-Peter Grosshans wera li x-xogħol ta 'Luther fuq kritika bibliċi jisħaq fuq il-ħtieġa għal koerenza esterna fil-metodu eżegetiku t-tajjeb. Dan ifisser li għal Luther huwa iktar importanti li l-Bibbja tkun raġonevoli skont ir-realtà barra mill-Iskrittura milli dik il-Bibbja tagħmel sens għaliha nfisha, li għandha koerenza interna. L-għodda t-tajba biex tifhem id-dinja barra mill-Bibbja għal Luther mhix ħlief raġuni, li għalih huwa l-qasam tax-xjenza, il-filosofija, l-istorja u l-osservazzjoni empirika. Hawnhekk hija ppreżentata stampa differenti ta 'Luther li vvaluta profondament kemm il-fidi kif ukoll ir-raġuni, u żammhom fi sħubija djalettika. It-tħassib ta 'Luther għalhekk fis-separazzjoni tagħhom qed jonora l-isferi epistemoloġiċi differenti tagħhom.</v>
      </c>
    </row>
    <row r="2190" ht="15.75" customHeight="1">
      <c r="A2190" s="2" t="s">
        <v>2190</v>
      </c>
      <c r="B2190" s="2" t="str">
        <f>IFERROR(__xludf.DUMMYFUNCTION("GOOGLETRANSLATE(A2190, ""en"", ""mt"")"),"Dak li jinkludi termini ta 'pressjoni meta tikkalkula żona fil-volum?")</f>
        <v>Dak li jinkludi termini ta 'pressjoni meta tikkalkula żona fil-volum?</v>
      </c>
    </row>
    <row r="2191" ht="15.75" customHeight="1">
      <c r="A2191" s="2" t="s">
        <v>2191</v>
      </c>
      <c r="B2191" s="2" t="str">
        <f>IFERROR(__xludf.DUMMYFUNCTION("GOOGLETRANSLATE(A2191, ""en"", ""mt"")"),"mużika")</f>
        <v>mużika</v>
      </c>
    </row>
    <row r="2192" ht="15.75" customHeight="1">
      <c r="A2192" s="2" t="s">
        <v>2192</v>
      </c>
      <c r="B2192" s="2" t="str">
        <f>IFERROR(__xludf.DUMMYFUNCTION("GOOGLETRANSLATE(A2192, ""en"", ""mt"")"),"New York City O&amp;O WABC-TV u Philadelphia O &amp; O WPVI-TV")</f>
        <v>New York City O&amp;O WABC-TV u Philadelphia O &amp; O WPVI-TV</v>
      </c>
    </row>
    <row r="2193" ht="15.75" customHeight="1">
      <c r="A2193" s="2" t="s">
        <v>2193</v>
      </c>
      <c r="B2193" s="2" t="str">
        <f>IFERROR(__xludf.DUMMYFUNCTION("GOOGLETRANSLATE(A2193, ""en"", ""mt"")"),"il-parlament kollu")</f>
        <v>il-parlament kollu</v>
      </c>
    </row>
    <row r="2194" ht="15.75" customHeight="1">
      <c r="A2194" s="2" t="s">
        <v>2194</v>
      </c>
      <c r="B2194" s="2" t="str">
        <f>IFERROR(__xludf.DUMMYFUNCTION("GOOGLETRANSLATE(A2194, ""en"", ""mt"")"),"X'inhu l-ajruport ta 'l-avjazzjoni ġenerali l-aktar traffikuż fid-dinja?")</f>
        <v>X'inhu l-ajruport ta 'l-avjazzjoni ġenerali l-aktar traffikuż fid-dinja?</v>
      </c>
    </row>
    <row r="2195" ht="15.75" customHeight="1">
      <c r="A2195" s="2" t="s">
        <v>2195</v>
      </c>
      <c r="B2195" s="2" t="str">
        <f>IFERROR(__xludf.DUMMYFUNCTION("GOOGLETRANSLATE(A2195, ""en"", ""mt"")"),"L-Arabja Sawdita u l-Iran")</f>
        <v>L-Arabja Sawdita u l-Iran</v>
      </c>
    </row>
    <row r="2196" ht="15.75" customHeight="1">
      <c r="A2196" s="2" t="s">
        <v>2196</v>
      </c>
      <c r="B2196" s="2" t="str">
        <f>IFERROR(__xludf.DUMMYFUNCTION("GOOGLETRANSLATE(A2196, ""en"", ""mt"")"),"X'inhuma kemm Branko Milanovic kif ukoll Joseph Stiglitz?")</f>
        <v>X'inhuma kemm Branko Milanovic kif ukoll Joseph Stiglitz?</v>
      </c>
    </row>
    <row r="2197" ht="15.75" customHeight="1">
      <c r="A2197" s="2" t="s">
        <v>2197</v>
      </c>
      <c r="B2197" s="2" t="str">
        <f>IFERROR(__xludf.DUMMYFUNCTION("GOOGLETRANSLATE(A2197, ""en"", ""mt"")"),"Kemm sofrew it-telf kbir fil-kriżi finanzjarja tal-2008-09 għal Harvard Endowment?")</f>
        <v>Kemm sofrew it-telf kbir fil-kriżi finanzjarja tal-2008-09 għal Harvard Endowment?</v>
      </c>
    </row>
    <row r="2198" ht="15.75" customHeight="1">
      <c r="A2198" s="2" t="s">
        <v>2198</v>
      </c>
      <c r="B2198" s="2" t="str">
        <f>IFERROR(__xludf.DUMMYFUNCTION("GOOGLETRANSLATE(A2198, ""en"", ""mt"")"),"bejn wieħed u ieħor $ 170 biljun.")</f>
        <v>bejn wieħed u ieħor $ 170 biljun.</v>
      </c>
    </row>
    <row r="2199" ht="15.75" customHeight="1">
      <c r="A2199" s="2" t="s">
        <v>2199</v>
      </c>
      <c r="B2199" s="2" t="str">
        <f>IFERROR(__xludf.DUMMYFUNCTION("GOOGLETRANSLATE(A2199, ""en"", ""mt"")"),"Meta kienet id-dinastija Ming fil-poter?")</f>
        <v>Meta kienet id-dinastija Ming fil-poter?</v>
      </c>
    </row>
    <row r="2200" ht="15.75" customHeight="1">
      <c r="A2200" s="2" t="s">
        <v>2200</v>
      </c>
      <c r="B2200" s="2" t="str">
        <f>IFERROR(__xludf.DUMMYFUNCTION("GOOGLETRANSLATE(A2200, ""en"", ""mt"")"),"Il-Gwerra taż-Żewġ Kapitali")</f>
        <v>Il-Gwerra taż-Żewġ Kapitali</v>
      </c>
    </row>
    <row r="2201" ht="15.75" customHeight="1">
      <c r="A2201" s="2" t="s">
        <v>2201</v>
      </c>
      <c r="B2201" s="2" t="str">
        <f>IFERROR(__xludf.DUMMYFUNCTION("GOOGLETRANSLATE(A2201, ""en"", ""mt"")"),"Saffi orizzontali ta 'dak li jinġibed tul wiċċ ġo waqfa ta' wara f'verżjonijiet analoġiċi ta 'esperimenti ta' feles orogeniċi?")</f>
        <v>Saffi orizzontali ta 'dak li jinġibed tul wiċċ ġo waqfa ta' wara f'verżjonijiet analoġiċi ta 'esperimenti ta' feles orogeniċi?</v>
      </c>
    </row>
    <row r="2202" ht="15.75" customHeight="1">
      <c r="A2202" s="2" t="s">
        <v>2202</v>
      </c>
      <c r="B2202" s="2" t="str">
        <f>IFERROR(__xludf.DUMMYFUNCTION("GOOGLETRANSLATE(A2202, ""en"", ""mt"")"),"fil-ġisem u r-ruħ")</f>
        <v>fil-ġisem u r-ruħ</v>
      </c>
    </row>
    <row r="2203" ht="15.75" customHeight="1">
      <c r="A2203" s="2" t="s">
        <v>2203</v>
      </c>
      <c r="B2203" s="2" t="str">
        <f>IFERROR(__xludf.DUMMYFUNCTION("GOOGLETRANSLATE(A2203, ""en"", ""mt"")"),"Jet ta 'ilma mkeċċi jmexxihom lura malajr ħafna.")</f>
        <v>Jet ta 'ilma mkeċċi jmexxihom lura malajr ħafna.</v>
      </c>
    </row>
    <row r="2204" ht="15.75" customHeight="1">
      <c r="A2204" s="2" t="s">
        <v>2204</v>
      </c>
      <c r="B2204" s="2" t="str">
        <f>IFERROR(__xludf.DUMMYFUNCTION("GOOGLETRANSLATE(A2204, ""en"", ""mt"")"),"Liema żona kien Kublai jipprova jaqbad billi jattakka lil Xiangyang?")</f>
        <v>Liema żona kien Kublai jipprova jaqbad billi jattakka lil Xiangyang?</v>
      </c>
    </row>
    <row r="2205" ht="15.75" customHeight="1">
      <c r="A2205" s="2" t="s">
        <v>2205</v>
      </c>
      <c r="B2205" s="2" t="str">
        <f>IFERROR(__xludf.DUMMYFUNCTION("GOOGLETRANSLATE(A2205, ""en"", ""mt"")"),"Difosfat tal-adenosine tal-fosforilat")</f>
        <v>Difosfat tal-adenosine tal-fosforilat</v>
      </c>
    </row>
    <row r="2206" ht="15.75" customHeight="1">
      <c r="A2206" s="2" t="s">
        <v>2206</v>
      </c>
      <c r="B2206" s="2" t="str">
        <f>IFERROR(__xludf.DUMMYFUNCTION("GOOGLETRANSLATE(A2206, ""en"", ""mt"")"),"Fuq liema reġistru Chris Keates ħaseb li xi għalliema m'għandhomx jitpoġġew?")</f>
        <v>Fuq liema reġistru Chris Keates ħaseb li xi għalliema m'għandhomx jitpoġġew?</v>
      </c>
    </row>
    <row r="2207" ht="15.75" customHeight="1">
      <c r="A2207" s="2" t="s">
        <v>2207</v>
      </c>
      <c r="B2207" s="2" t="str">
        <f>IFERROR(__xludf.DUMMYFUNCTION("GOOGLETRANSLATE(A2207, ""en"", ""mt"")"),"Skond The Princeton Review fejn Harvard ikklassifika bħala ""Dream College"" fl-2013")</f>
        <v>Skond The Princeton Review fejn Harvard ikklassifika bħala "Dream College" fl-2013</v>
      </c>
    </row>
    <row r="2208" ht="15.75" customHeight="1">
      <c r="A2208" s="2" t="s">
        <v>2208</v>
      </c>
      <c r="B2208" s="2" t="str">
        <f>IFERROR(__xludf.DUMMYFUNCTION("GOOGLETRANSLATE(A2208, ""en"", ""mt"")"),"Aċidi amminiċi idrofiliċi")</f>
        <v>Aċidi amminiċi idrofiliċi</v>
      </c>
    </row>
    <row r="2209" ht="15.75" customHeight="1">
      <c r="A2209" s="2" t="s">
        <v>2209</v>
      </c>
      <c r="B2209" s="2" t="str">
        <f>IFERROR(__xludf.DUMMYFUNCTION("GOOGLETRANSLATE(A2209, ""en"", ""mt"")"),"Il-fiduċja fi Kristu tkun aktar b'saħħitha,")</f>
        <v>Il-fiduċja fi Kristu tkun aktar b'saħħitha,</v>
      </c>
    </row>
    <row r="2210" ht="15.75" customHeight="1">
      <c r="A2210" s="2" t="s">
        <v>2210</v>
      </c>
      <c r="B2210" s="2" t="str">
        <f>IFERROR(__xludf.DUMMYFUNCTION("GOOGLETRANSLATE(A2210, ""en"", ""mt"")"),"X'inhu differenti dwar Paulinella Chromatophora?")</f>
        <v>X'inhu differenti dwar Paulinella Chromatophora?</v>
      </c>
    </row>
    <row r="2211" ht="15.75" customHeight="1">
      <c r="A2211" s="2" t="s">
        <v>2211</v>
      </c>
      <c r="B2211" s="2" t="str">
        <f>IFERROR(__xludf.DUMMYFUNCTION("GOOGLETRANSLATE(A2211, ""en"", ""mt"")"),"Liema element skoprew Gay-Lussac u Von Humboldt kien preżenti fid-doppju tal-ammont ta 'ossiġnu fl-ilma?")</f>
        <v>Liema element skoprew Gay-Lussac u Von Humboldt kien preżenti fid-doppju tal-ammont ta 'ossiġnu fl-ilma?</v>
      </c>
    </row>
    <row r="2212" ht="15.75" customHeight="1">
      <c r="A2212" s="2" t="s">
        <v>2212</v>
      </c>
      <c r="B2212" s="2" t="str">
        <f>IFERROR(__xludf.DUMMYFUNCTION("GOOGLETRANSLATE(A2212, ""en"", ""mt"")"),"Permezz ta ’assoċjazzjonijiet varji u arranġamenti oħra")</f>
        <v>Permezz ta ’assoċjazzjonijiet varji u arranġamenti oħra</v>
      </c>
    </row>
    <row r="2213" ht="15.75" customHeight="1">
      <c r="A2213" s="2" t="s">
        <v>2213</v>
      </c>
      <c r="B2213" s="2" t="str">
        <f>IFERROR(__xludf.DUMMYFUNCTION("GOOGLETRANSLATE(A2213, ""en"", ""mt"")"),"X'kienu l-fossili li nstabu li jirrappreżentaw ctenphores nieqsa minn dak li għandhom il-kurrent Ctenphora?")</f>
        <v>X'kienu l-fossili li nstabu li jirrappreżentaw ctenphores nieqsa minn dak li għandhom il-kurrent Ctenphora?</v>
      </c>
    </row>
    <row r="2214" ht="15.75" customHeight="1">
      <c r="A2214" s="2" t="s">
        <v>2214</v>
      </c>
      <c r="B2214" s="2" t="str">
        <f>IFERROR(__xludf.DUMMYFUNCTION("GOOGLETRANSLATE(A2214, ""en"", ""mt"")"),"Minn liema monument fi ħdan Fresno It-Teatru tat-Torri jikseb isimha?")</f>
        <v>Minn liema monument fi ħdan Fresno It-Teatru tat-Torri jikseb isimha?</v>
      </c>
    </row>
    <row r="2215" ht="15.75" customHeight="1">
      <c r="A2215" s="2" t="s">
        <v>2215</v>
      </c>
      <c r="B2215" s="2" t="str">
        <f>IFERROR(__xludf.DUMMYFUNCTION("GOOGLETRANSLATE(A2215, ""en"", ""mt"")"),"għaxra sa ħmistax")</f>
        <v>għaxra sa ħmistax</v>
      </c>
    </row>
    <row r="2216" ht="15.75" customHeight="1">
      <c r="A2216" s="2" t="s">
        <v>2216</v>
      </c>
      <c r="B2216" s="2" t="str">
        <f>IFERROR(__xludf.DUMMYFUNCTION("GOOGLETRANSLATE(A2216, ""en"", ""mt"")"),"Friedrich Ratzel ħaseb x’kien hemm bżonn biex stat jgħix?")</f>
        <v>Friedrich Ratzel ħaseb x’kien hemm bżonn biex stat jgħix?</v>
      </c>
    </row>
    <row r="2217" ht="15.75" customHeight="1">
      <c r="A2217" s="2" t="s">
        <v>2217</v>
      </c>
      <c r="B2217" s="2" t="str">
        <f>IFERROR(__xludf.DUMMYFUNCTION("GOOGLETRANSLATE(A2217, ""en"", ""mt"")"),"arti għolja u mużika folkloristika")</f>
        <v>arti għolja u mużika folkloristika</v>
      </c>
    </row>
    <row r="2218" ht="15.75" customHeight="1">
      <c r="A2218" s="2" t="s">
        <v>2218</v>
      </c>
      <c r="B2218" s="2" t="str">
        <f>IFERROR(__xludf.DUMMYFUNCTION("GOOGLETRANSLATE(A2218, ""en"", ""mt"")"),"Fl-aħħar 5-10 miljun sena")</f>
        <v>Fl-aħħar 5-10 miljun sena</v>
      </c>
    </row>
    <row r="2219" ht="15.75" customHeight="1">
      <c r="A2219" s="2" t="s">
        <v>2219</v>
      </c>
      <c r="B2219" s="2" t="str">
        <f>IFERROR(__xludf.DUMMYFUNCTION("GOOGLETRANSLATE(A2219, ""en"", ""mt"")"),"X'ġara mill-kustilji tiegħu fl-inċident?")</f>
        <v>X'ġara mill-kustilji tiegħu fl-inċident?</v>
      </c>
    </row>
    <row r="2220" ht="15.75" customHeight="1">
      <c r="A2220" s="2" t="s">
        <v>2220</v>
      </c>
      <c r="B2220" s="2" t="str">
        <f>IFERROR(__xludf.DUMMYFUNCTION("GOOGLETRANSLATE(A2220, ""en"", ""mt"")"),"Liberalizzazzjoni tal-Kummerċ")</f>
        <v>Liberalizzazzjoni tal-Kummerċ</v>
      </c>
    </row>
    <row r="2221" ht="15.75" customHeight="1">
      <c r="A2221" s="2" t="s">
        <v>2221</v>
      </c>
      <c r="B2221" s="2" t="str">
        <f>IFERROR(__xludf.DUMMYFUNCTION("GOOGLETRANSLATE(A2221, ""en"", ""mt"")"),"kitba")</f>
        <v>kitba</v>
      </c>
    </row>
    <row r="2222" ht="15.75" customHeight="1">
      <c r="A2222" s="2" t="s">
        <v>2222</v>
      </c>
      <c r="B2222" s="2" t="str">
        <f>IFERROR(__xludf.DUMMYFUNCTION("GOOGLETRANSLATE(A2222, ""en"", ""mt"")"),"Tabib fil-Bibbja")</f>
        <v>Tabib fil-Bibbja</v>
      </c>
    </row>
    <row r="2223" ht="15.75" customHeight="1">
      <c r="A2223" s="2" t="s">
        <v>2223</v>
      </c>
      <c r="B2223" s="2" t="str">
        <f>IFERROR(__xludf.DUMMYFUNCTION("GOOGLETRANSLATE(A2223, ""en"", ""mt"")"),"X'kienet ir-raġuni ewlenija għas-sospensjoni tal-ispettaklu fl-1989?")</f>
        <v>X'kienet ir-raġuni ewlenija għas-sospensjoni tal-ispettaklu fl-1989?</v>
      </c>
    </row>
    <row r="2224" ht="15.75" customHeight="1">
      <c r="A2224" s="2" t="s">
        <v>2224</v>
      </c>
      <c r="B2224" s="2" t="str">
        <f>IFERROR(__xludf.DUMMYFUNCTION("GOOGLETRANSLATE(A2224, ""en"", ""mt"")"),"Id-definizzjoni ta 'l-imperjalizmu ma ġietx finalizzata għal sekli sħaħ u kienet tidher li tirrappreżenta l-politiki ta' poteri ewlenin, jew sempliċement, aggressività ta 'skop ġenerali. Aktar 'il quddiem, xi kittieba [min?] Użaw it-terminu imperjalizmu, "&amp;"b'mod kemmxejn aktar diskriminatorju, biex ifissru kull tip ta' dominazzjoni jew kontroll minn grupp ta 'nies fuq ieħor. Biex tnaddaf din il-konfużjoni dwar id-definizzjoni ta 'l-imperjalizmu wieħed jista' jitkellem dwar l-imperjalizmu ""formali"" u ""inf"&amp;"ormali"", l-ewwel tifsira ta 'kontroll fiżiku jew ""regola kolonjali sħiħa"" filwaqt li t-tieni kienet timplika regola inqas diretta għalkemm għadha fiha tipi ta' dominanza perċeabbli - Ir-regola informali ġeneralment tiswa inqas milli tieħu f'idejha t-te"&amp;"rritorji formalment. Dan għaliex, bir-regola informali, il-kontroll jinfirex b'mod aktar sottili permezz ta 'superjorità teknoloġika, li jinfurzaw uffiċjali tal-art f'dejn kbar li ma jistgħux jitħallsu lura, is-sjieda ta' industriji privati ​​u b'hekk tes"&amp;"pandi ż-żona kkontrollata, jew li l-pajjiżi jaqblu li jaqblu ma 'ftehimiet kummerċjali irregolari b'mod qawwi.")</f>
        <v>Id-definizzjoni ta 'l-imperjalizmu ma ġietx finalizzata għal sekli sħaħ u kienet tidher li tirrappreżenta l-politiki ta' poteri ewlenin, jew sempliċement, aggressività ta 'skop ġenerali. Aktar 'il quddiem, xi kittieba [min?] Użaw it-terminu imperjalizmu, b'mod kemmxejn aktar diskriminatorju, biex ifissru kull tip ta' dominazzjoni jew kontroll minn grupp ta 'nies fuq ieħor. Biex tnaddaf din il-konfużjoni dwar id-definizzjoni ta 'l-imperjalizmu wieħed jista' jitkellem dwar l-imperjalizmu "formali" u "informali", l-ewwel tifsira ta 'kontroll fiżiku jew "regola kolonjali sħiħa" filwaqt li t-tieni kienet timplika regola inqas diretta għalkemm għadha fiha tipi ta' dominanza perċeabbli - Ir-regola informali ġeneralment tiswa inqas milli tieħu f'idejha t-territorji formalment. Dan għaliex, bir-regola informali, il-kontroll jinfirex b'mod aktar sottili permezz ta 'superjorità teknoloġika, li jinfurzaw uffiċjali tal-art f'dejn kbar li ma jistgħux jitħallsu lura, is-sjieda ta' industriji privati ​​u b'hekk tespandi ż-żona kkontrollata, jew li l-pajjiżi jaqblu li jaqblu ma 'ftehimiet kummerċjali irregolari b'mod qawwi.</v>
      </c>
    </row>
    <row r="2225" ht="15.75" customHeight="1">
      <c r="A2225" s="2" t="s">
        <v>2225</v>
      </c>
      <c r="B2225" s="2" t="str">
        <f>IFERROR(__xludf.DUMMYFUNCTION("GOOGLETRANSLATE(A2225, ""en"", ""mt"")"),"X’sib li jista ’jikkostitwixxi periklu?")</f>
        <v>X’sib li jista ’jikkostitwixxi periklu?</v>
      </c>
    </row>
    <row r="2226" ht="15.75" customHeight="1">
      <c r="A2226" s="2" t="s">
        <v>2226</v>
      </c>
      <c r="B2226" s="2" t="str">
        <f>IFERROR(__xludf.DUMMYFUNCTION("GOOGLETRANSLATE(A2226, ""en"", ""mt"")"),"X'inhi replikazzjoni ta 'Cairns intermedja?")</f>
        <v>X'inhi replikazzjoni ta 'Cairns intermedja?</v>
      </c>
    </row>
    <row r="2227" ht="15.75" customHeight="1">
      <c r="A2227" s="2" t="s">
        <v>2227</v>
      </c>
      <c r="B2227" s="2" t="str">
        <f>IFERROR(__xludf.DUMMYFUNCTION("GOOGLETRANSLATE(A2227, ""en"", ""mt"")"),"aċċess għall-edukazzjoni")</f>
        <v>aċċess għall-edukazzjoni</v>
      </c>
    </row>
    <row r="2228" ht="15.75" customHeight="1">
      <c r="A2228" s="2" t="s">
        <v>2228</v>
      </c>
      <c r="B2228" s="2" t="str">
        <f>IFERROR(__xludf.DUMMYFUNCTION("GOOGLETRANSLATE(A2228, ""en"", ""mt"")"),"Liema knisja parrokkjali fi Newcastle hija tipikament miftiehma li tkun l-eqdem waħda fil-belt?")</f>
        <v>Liema knisja parrokkjali fi Newcastle hija tipikament miftiehma li tkun l-eqdem waħda fil-belt?</v>
      </c>
    </row>
    <row r="2229" ht="15.75" customHeight="1">
      <c r="A2229" s="2" t="s">
        <v>2229</v>
      </c>
      <c r="B2229" s="2" t="str">
        <f>IFERROR(__xludf.DUMMYFUNCTION("GOOGLETRANSLATE(A2229, ""en"", ""mt"")"),"Fil-lvant hemm id-Deżert ta 'Colorado u x-Xmara Colorado fil-fruntiera ma' Arizona, u d-Deżert ta 'Mojave fil-fruntiera ma' l-istat ta 'Nevada. Fin-nofsinhar hemm il-fruntiera tal-istati tal-Messiku.")</f>
        <v>Fil-lvant hemm id-Deżert ta 'Colorado u x-Xmara Colorado fil-fruntiera ma' Arizona, u d-Deżert ta 'Mojave fil-fruntiera ma' l-istat ta 'Nevada. Fin-nofsinhar hemm il-fruntiera tal-istati tal-Messiku.</v>
      </c>
    </row>
    <row r="2230" ht="15.75" customHeight="1">
      <c r="A2230" s="2" t="s">
        <v>2230</v>
      </c>
      <c r="B2230" s="2" t="str">
        <f>IFERROR(__xludf.DUMMYFUNCTION("GOOGLETRANSLATE(A2230, ""en"", ""mt"")"),"kull sena")</f>
        <v>kull sena</v>
      </c>
    </row>
    <row r="2231" ht="15.75" customHeight="1">
      <c r="A2231" s="2" t="s">
        <v>2231</v>
      </c>
      <c r="B2231" s="2" t="str">
        <f>IFERROR(__xludf.DUMMYFUNCTION("GOOGLETRANSLATE(A2231, ""en"", ""mt"")"),"X'tip ta 'mini huma mibnija permezz taċ-ċentru tal-belt ta' Newcastle?")</f>
        <v>X'tip ta 'mini huma mibnija permezz taċ-ċentru tal-belt ta' Newcastle?</v>
      </c>
    </row>
    <row r="2232" ht="15.75" customHeight="1">
      <c r="A2232" s="2" t="s">
        <v>2232</v>
      </c>
      <c r="B2232" s="2" t="str">
        <f>IFERROR(__xludf.DUMMYFUNCTION("GOOGLETRANSLATE(A2232, ""en"", ""mt"")"),"Minn fejn il-biċċa l-kbira tal-għalliema jiksbu l-kredenzjali tagħhom?")</f>
        <v>Minn fejn il-biċċa l-kbira tal-għalliema jiksbu l-kredenzjali tagħhom?</v>
      </c>
    </row>
    <row r="2233" ht="15.75" customHeight="1">
      <c r="A2233" s="2" t="s">
        <v>2233</v>
      </c>
      <c r="B2233" s="2" t="str">
        <f>IFERROR(__xludf.DUMMYFUNCTION("GOOGLETRANSLATE(A2233, ""en"", ""mt"")"),"X’għamlet l-industrija għar-Renu sas-snin 1980?")</f>
        <v>X’għamlet l-industrija għar-Renu sas-snin 1980?</v>
      </c>
    </row>
    <row r="2234" ht="15.75" customHeight="1">
      <c r="A2234" s="2" t="s">
        <v>2234</v>
      </c>
      <c r="B2234" s="2" t="str">
        <f>IFERROR(__xludf.DUMMYFUNCTION("GOOGLETRANSLATE(A2234, ""en"", ""mt"")"),"Kemm ilha l-kosta tar-Renu fl-istess post?")</f>
        <v>Kemm ilha l-kosta tar-Renu fl-istess post?</v>
      </c>
    </row>
    <row r="2235" ht="15.75" customHeight="1">
      <c r="A2235" s="2" t="s">
        <v>2235</v>
      </c>
      <c r="B2235" s="2" t="str">
        <f>IFERROR(__xludf.DUMMYFUNCTION("GOOGLETRANSLATE(A2235, ""en"", ""mt"")"),"Liema teorema tkun invalida jekk in-numru 1 kien ikkunsidrat bħala ewlieni?")</f>
        <v>Liema teorema tkun invalida jekk in-numru 1 kien ikkunsidrat bħala ewlieni?</v>
      </c>
    </row>
    <row r="2236" ht="15.75" customHeight="1">
      <c r="A2236" s="2" t="s">
        <v>2236</v>
      </c>
      <c r="B2236" s="2" t="str">
        <f>IFERROR(__xludf.DUMMYFUNCTION("GOOGLETRANSLATE(A2236, ""en"", ""mt"")"),"Il-pesta kienet preżenti x'imkien fl-Ewropa f'kull sena bejn l-1346 u l-1671.")</f>
        <v>Il-pesta kienet preżenti x'imkien fl-Ewropa f'kull sena bejn l-1346 u l-1671.</v>
      </c>
    </row>
    <row r="2237" ht="15.75" customHeight="1">
      <c r="A2237" s="2" t="s">
        <v>2237</v>
      </c>
      <c r="B2237" s="2" t="str">
        <f>IFERROR(__xludf.DUMMYFUNCTION("GOOGLETRANSLATE(A2237, ""en"", ""mt"")"),"il-ġenna eterna")</f>
        <v>il-ġenna eterna</v>
      </c>
    </row>
    <row r="2238" ht="15.75" customHeight="1">
      <c r="A2238" s="2" t="s">
        <v>2238</v>
      </c>
      <c r="B2238" s="2" t="str">
        <f>IFERROR(__xludf.DUMMYFUNCTION("GOOGLETRANSLATE(A2238, ""en"", ""mt"")"),"L-omm ta 'Temüjin x'enfasizza fil-lezzjonijiet tiegħu dwar il-klima politika volatili tal-Mongolja?")</f>
        <v>L-omm ta 'Temüjin x'enfasizza fil-lezzjonijiet tiegħu dwar il-klima politika volatili tal-Mongolja?</v>
      </c>
    </row>
    <row r="2239" ht="15.75" customHeight="1">
      <c r="A2239" s="2" t="s">
        <v>2239</v>
      </c>
      <c r="B2239" s="2" t="str">
        <f>IFERROR(__xludf.DUMMYFUNCTION("GOOGLETRANSLATE(A2239, ""en"", ""mt"")"),"Talbiet kredibbli ta 'korruzzjoni saru fir-rigward tar-reklutaġġ u l-akkwist ta' trasportaturi tal-persunal armati")</f>
        <v>Talbiet kredibbli ta 'korruzzjoni saru fir-rigward tar-reklutaġġ u l-akkwist ta' trasportaturi tal-persunal armati</v>
      </c>
    </row>
    <row r="2240" ht="15.75" customHeight="1">
      <c r="A2240" s="2" t="s">
        <v>2240</v>
      </c>
      <c r="B2240" s="2" t="str">
        <f>IFERROR(__xludf.DUMMYFUNCTION("GOOGLETRANSLATE(A2240, ""en"", ""mt"")"),"miżmuma jegħleb sekulari jew li kienu introduċew jew ippromwovu ideat u prattiki tal-Punent / barranin fis-soċjetajiet Iżlamiċi")</f>
        <v>miżmuma jegħleb sekulari jew li kienu introduċew jew ippromwovu ideat u prattiki tal-Punent / barranin fis-soċjetajiet Iżlamiċi</v>
      </c>
    </row>
    <row r="2241" ht="15.75" customHeight="1">
      <c r="A2241" s="2" t="s">
        <v>2241</v>
      </c>
      <c r="B2241" s="2" t="str">
        <f>IFERROR(__xludf.DUMMYFUNCTION("GOOGLETRANSLATE(A2241, ""en"", ""mt"")"),"l-iktar algoritmu effiċjenti")</f>
        <v>l-iktar algoritmu effiċjenti</v>
      </c>
    </row>
    <row r="2242" ht="15.75" customHeight="1">
      <c r="A2242" s="2" t="s">
        <v>2242</v>
      </c>
      <c r="B2242" s="2" t="str">
        <f>IFERROR(__xludf.DUMMYFUNCTION("GOOGLETRANSLATE(A2242, ""en"", ""mt"")"),"Newcastle Mela, li saret fil-weekend tal-vaganzi tal-bank tal-aħħar ta ’Awwissu, huwa avveniment multikulturali annwali ta’ jumejn, li jħallat drama, mużika u ikel mill-Punġabi, Pakistani, Bengali u kulturi hindu. Newcastlegateshead għandha wkoll fiera ta"&amp;"l-arti internazzjonali annwali. L-avveniment tal-2009 se jkun fiċ-Ċentru tal-Mużika u l-Arti ta 'Sage Gateshead ta' Norman Foster iddisinjat f'Settembru. F'Ottubru, hemm il-Festival tal-Avvenimenti tad-Disinn - festival annwali li jipprovdi lill-pubbliku "&amp;"l-opportunità li jara xogħol minn disinjaturi reġjonali, nazzjonali u internazzjonali. Il-Festival SAMA, festival kulturali tal-Asja tal-Lvant isir ukoll fil-bidu ta 'Ottubru.")</f>
        <v>Newcastle Mela, li saret fil-weekend tal-vaganzi tal-bank tal-aħħar ta ’Awwissu, huwa avveniment multikulturali annwali ta’ jumejn, li jħallat drama, mużika u ikel mill-Punġabi, Pakistani, Bengali u kulturi hindu. Newcastlegateshead għandha wkoll fiera tal-arti internazzjonali annwali. L-avveniment tal-2009 se jkun fiċ-Ċentru tal-Mużika u l-Arti ta 'Sage Gateshead ta' Norman Foster iddisinjat f'Settembru. F'Ottubru, hemm il-Festival tal-Avvenimenti tad-Disinn - festival annwali li jipprovdi lill-pubbliku l-opportunità li jara xogħol minn disinjaturi reġjonali, nazzjonali u internazzjonali. Il-Festival SAMA, festival kulturali tal-Asja tal-Lvant isir ukoll fil-bidu ta 'Ottubru.</v>
      </c>
    </row>
    <row r="2243" ht="15.75" customHeight="1">
      <c r="A2243" s="2" t="s">
        <v>2243</v>
      </c>
      <c r="B2243" s="2" t="str">
        <f>IFERROR(__xludf.DUMMYFUNCTION("GOOGLETRANSLATE(A2243, ""en"", ""mt"")"),"Fejn kien joqgħod l-ispiżjar fir-rigward tat-tobba personali tal-Imperatur?")</f>
        <v>Fejn kien joqgħod l-ispiżjar fir-rigward tat-tobba personali tal-Imperatur?</v>
      </c>
    </row>
    <row r="2244" ht="15.75" customHeight="1">
      <c r="A2244" s="2" t="s">
        <v>2244</v>
      </c>
      <c r="B2244" s="2" t="str">
        <f>IFERROR(__xludf.DUMMYFUNCTION("GOOGLETRANSLATE(A2244, ""en"", ""mt"")"),"4 ta ’Awwissu 2010")</f>
        <v>4 ta ’Awwissu 2010</v>
      </c>
    </row>
    <row r="2245" ht="15.75" customHeight="1">
      <c r="A2245" s="2" t="s">
        <v>2245</v>
      </c>
      <c r="B2245" s="2" t="str">
        <f>IFERROR(__xludf.DUMMYFUNCTION("GOOGLETRANSLATE(A2245, ""en"", ""mt"")"),"għandu problemi biex jaqsam il-membrani biex tasal fejn hemm bżonn")</f>
        <v>għandu problemi biex jaqsam il-membrani biex tasal fejn hemm bżonn</v>
      </c>
    </row>
    <row r="2246" ht="15.75" customHeight="1">
      <c r="A2246" s="2" t="s">
        <v>2246</v>
      </c>
      <c r="B2246" s="2" t="str">
        <f>IFERROR(__xludf.DUMMYFUNCTION("GOOGLETRANSLATE(A2246, ""en"", ""mt"")"),"Alternattivament, monomeri tal-glukosju fil-kloroplast jistgħu jkunu marbuta flimkien biex jagħmlu l-lamtu, li jakkumula fil-ħbub tal-lamtu misjuba fil-kloroplast. Taħt kundizzjonijiet bħal konċentrazzjonijiet għoljin ta 'CO2 atmosferiċi, dawn il-ħbub tal"&amp;"-lamtu jistgħu jikbru kbar ħafna, u jgħawġu l-grana u t-tilkoids. Il-granuli tal-lamtu jwarrbu t-tilakoids, imma jħalluhom intatti. L-għeruq bl-ilma jistgħu wkoll jikkawżaw akkumulazzjoni tal-lamtu fil-kloroplasti, possibilment minħabba li inqas sukrożju "&amp;"jiġi esportat barra mill-kloroplast (jew b'mod aktar preċiż, iċ-ċellula tal-pjanti). Dan jnaqqas il-provvista tal-fosfat ħieles tal-pjanta, li indirettament tistimula s-sinteżi tal-lamtu tal-kloroplast. Filwaqt li huma marbuta mar-rati baxxi ta 'fotosinte"&amp;"si, il-ħbub tal-lamtu nfushom jistgħu mhux neċessarjament jinterferixxu b'mod sinifikanti mal-effiċjenza tal-fotosintesi, u jista' jkun sempliċement effett sekondarju ta 'fattur ieħor li jiddependi mill-fotosintesi.")</f>
        <v>Alternattivament, monomeri tal-glukosju fil-kloroplast jistgħu jkunu marbuta flimkien biex jagħmlu l-lamtu, li jakkumula fil-ħbub tal-lamtu misjuba fil-kloroplast. Taħt kundizzjonijiet bħal konċentrazzjonijiet għoljin ta 'CO2 atmosferiċi, dawn il-ħbub tal-lamtu jistgħu jikbru kbar ħafna, u jgħawġu l-grana u t-tilkoids. Il-granuli tal-lamtu jwarrbu t-tilakoids, imma jħalluhom intatti. L-għeruq bl-ilma jistgħu wkoll jikkawżaw akkumulazzjoni tal-lamtu fil-kloroplasti, possibilment minħabba li inqas sukrożju jiġi esportat barra mill-kloroplast (jew b'mod aktar preċiż, iċ-ċellula tal-pjanti). Dan jnaqqas il-provvista tal-fosfat ħieles tal-pjanta, li indirettament tistimula s-sinteżi tal-lamtu tal-kloroplast. Filwaqt li huma marbuta mar-rati baxxi ta 'fotosintesi, il-ħbub tal-lamtu nfushom jistgħu mhux neċessarjament jinterferixxu b'mod sinifikanti mal-effiċjenza tal-fotosintesi, u jista' jkun sempliċement effett sekondarju ta 'fattur ieħor li jiddependi mill-fotosintesi.</v>
      </c>
    </row>
    <row r="2247" ht="15.75" customHeight="1">
      <c r="A2247" s="2" t="s">
        <v>2247</v>
      </c>
      <c r="B2247" s="2" t="str">
        <f>IFERROR(__xludf.DUMMYFUNCTION("GOOGLETRANSLATE(A2247, ""en"", ""mt"")"),"l-eżistenza tal-kloroplast mitluf")</f>
        <v>l-eżistenza tal-kloroplast mitluf</v>
      </c>
    </row>
    <row r="2248" ht="15.75" customHeight="1">
      <c r="A2248" s="2" t="s">
        <v>2248</v>
      </c>
      <c r="B2248" s="2" t="str">
        <f>IFERROR(__xludf.DUMMYFUNCTION("GOOGLETRANSLATE(A2248, ""en"", ""mt"")"),"folji helicoid")</f>
        <v>folji helicoid</v>
      </c>
    </row>
    <row r="2249" ht="15.75" customHeight="1">
      <c r="A2249" s="2" t="s">
        <v>2249</v>
      </c>
      <c r="B2249" s="2" t="str">
        <f>IFERROR(__xludf.DUMMYFUNCTION("GOOGLETRANSLATE(A2249, ""en"", ""mt"")"),"Liema forzi oħra ġew imċappas minn allegazzjonijiet ta 'korruzzjoni?")</f>
        <v>Liema forzi oħra ġew imċappas minn allegazzjonijiet ta 'korruzzjoni?</v>
      </c>
    </row>
    <row r="2250" ht="15.75" customHeight="1">
      <c r="A2250" s="2" t="s">
        <v>2250</v>
      </c>
      <c r="B2250" s="2" t="str">
        <f>IFERROR(__xludf.DUMMYFUNCTION("GOOGLETRANSLATE(A2250, ""en"", ""mt"")"),"Bniedem u Kultura fi ġenna ffalsifikata")</f>
        <v>Bniedem u Kultura fi ġenna ffalsifikata</v>
      </c>
    </row>
    <row r="2251" ht="15.75" customHeight="1">
      <c r="A2251" s="2" t="s">
        <v>2251</v>
      </c>
      <c r="B2251" s="2" t="str">
        <f>IFERROR(__xludf.DUMMYFUNCTION("GOOGLETRANSLATE(A2251, ""en"", ""mt"")"),"$ 1,000,000")</f>
        <v>$ 1,000,000</v>
      </c>
    </row>
    <row r="2252" ht="15.75" customHeight="1">
      <c r="A2252" s="2" t="s">
        <v>2252</v>
      </c>
      <c r="B2252" s="2" t="str">
        <f>IFERROR(__xludf.DUMMYFUNCTION("GOOGLETRANSLATE(A2252, ""en"", ""mt"")"),"Dollaru minfuq minn persuna fqira x'aktarx jipprovdi dak għalihom?")</f>
        <v>Dollaru minfuq minn persuna fqira x'aktarx jipprovdi dak għalihom?</v>
      </c>
    </row>
    <row r="2253" ht="15.75" customHeight="1">
      <c r="A2253" s="2" t="s">
        <v>2253</v>
      </c>
      <c r="B2253" s="2" t="str">
        <f>IFERROR(__xludf.DUMMYFUNCTION("GOOGLETRANSLATE(A2253, ""en"", ""mt"")"),"Terminal dial-up")</f>
        <v>Terminal dial-up</v>
      </c>
    </row>
    <row r="2254" ht="15.75" customHeight="1">
      <c r="A2254" s="2" t="s">
        <v>2254</v>
      </c>
      <c r="B2254" s="2" t="str">
        <f>IFERROR(__xludf.DUMMYFUNCTION("GOOGLETRANSLATE(A2254, ""en"", ""mt"")"),"il-qalba komuni")</f>
        <v>il-qalba komuni</v>
      </c>
    </row>
    <row r="2255" ht="15.75" customHeight="1">
      <c r="A2255" s="2" t="s">
        <v>2255</v>
      </c>
      <c r="B2255" s="2" t="str">
        <f>IFERROR(__xludf.DUMMYFUNCTION("GOOGLETRANSLATE(A2255, ""en"", ""mt"")"),"X'kien imkeċċi l-President Kennedy rigward il-programm spazjali?")</f>
        <v>X'kien imkeċċi l-President Kennedy rigward il-programm spazjali?</v>
      </c>
    </row>
    <row r="2256" ht="15.75" customHeight="1">
      <c r="A2256" s="2" t="s">
        <v>2256</v>
      </c>
      <c r="B2256" s="2" t="str">
        <f>IFERROR(__xludf.DUMMYFUNCTION("GOOGLETRANSLATE(A2256, ""en"", ""mt"")"),"Is-suddiviżjoni iżolata")</f>
        <v>Is-suddiviżjoni iżolata</v>
      </c>
    </row>
    <row r="2257" ht="15.75" customHeight="1">
      <c r="A2257" s="2" t="s">
        <v>2257</v>
      </c>
      <c r="B2257" s="2" t="str">
        <f>IFERROR(__xludf.DUMMYFUNCTION("GOOGLETRANSLATE(A2257, ""en"", ""mt"")"),"Aħżen")</f>
        <v>Aħżen</v>
      </c>
    </row>
    <row r="2258" ht="15.75" customHeight="1">
      <c r="A2258" s="2" t="s">
        <v>2258</v>
      </c>
      <c r="B2258" s="2" t="str">
        <f>IFERROR(__xludf.DUMMYFUNCTION("GOOGLETRANSLATE(A2258, ""en"", ""mt"")"),"Naddafhom")</f>
        <v>Naddafhom</v>
      </c>
    </row>
    <row r="2259" ht="15.75" customHeight="1">
      <c r="A2259" s="2" t="s">
        <v>2259</v>
      </c>
      <c r="B2259" s="2" t="str">
        <f>IFERROR(__xludf.DUMMYFUNCTION("GOOGLETRANSLATE(A2259, ""en"", ""mt"")"),"Liema avvanzi minbarra t-teknoloġija militari kisbet l-Ewropa?")</f>
        <v>Liema avvanzi minbarra t-teknoloġija militari kisbet l-Ewropa?</v>
      </c>
    </row>
    <row r="2260" ht="15.75" customHeight="1">
      <c r="A2260" s="2" t="s">
        <v>2260</v>
      </c>
      <c r="B2260" s="2" t="str">
        <f>IFERROR(__xludf.DUMMYFUNCTION("GOOGLETRANSLATE(A2260, ""en"", ""mt"")"),"Fl-1990, Thomas S. Murphy iddelega l-pożizzjoni tiegħu bħala president lil Daniel B. Burke waqt li baqa 'l-president u l-Kap Eżekuttiv ta' ABC. Capital Cities / ABC irrappurtaw dħul ta '$ 465 miljun. Issa fit-tieni post b'saħħtu, in-netwerk daħal fis-snin"&amp;" disgħin b'pits addizzjonali li jirrispettaw il-familja inklużi vidjows tad-dar l-aktar divertenti tal-Amerika (li komplew isiru l-itwal programm ta 'divertiment tal-ħin ewlieni fl-istorja tan-netwerk), pass pass, hangin' Mas-Sur Cooper, Boy Meets World u"&amp;" Perfect Strangers Spinoff Family Matters, kif ukoll serje bħal Doogie Howser, M.D., Life tkompli, il-kult favorit Twin Peaks u l-Commish. F’Settembru 1991, in-Netwerk Premiered Home Titjib, sitcom ikkaratterizzat minn stand-up comic Tim Allen li ċċentra "&amp;"fuq il-familja u l-ħajja tax-xogħol ta ’ospitanti suxxettibbli għal inċidenti ta’ spettaklu ta ’titjib fid-dar tal-aċċess għall-kejbil. Dawk disa 'staġuni, is-suċċess tagħha wassal lil ABC għal proġetti ta' sitcom addizzjonali ta 'Greenlight immexxija mil"&amp;"l-kummidjanti matul id-disgħinijiet inkluż The Drew Carey Show; Vettura Brett Butler Grace taħt in-nar; u Ellen, li sar notevoli għal episodju tal-1997 li serva bħala l-istilla tas-serje Ellen DeGeneres (kif ukoll il-karattru tagħha fis-serje) bħala lesbj"&amp;"ani.")</f>
        <v>Fl-1990, Thomas S. Murphy iddelega l-pożizzjoni tiegħu bħala president lil Daniel B. Burke waqt li baqa 'l-president u l-Kap Eżekuttiv ta' ABC. Capital Cities / ABC irrappurtaw dħul ta '$ 465 miljun. Issa fit-tieni post b'saħħtu, in-netwerk daħal fis-snin disgħin b'pits addizzjonali li jirrispettaw il-familja inklużi vidjows tad-dar l-aktar divertenti tal-Amerika (li komplew isiru l-itwal programm ta 'divertiment tal-ħin ewlieni fl-istorja tan-netwerk), pass pass, hangin' Mas-Sur Cooper, Boy Meets World u Perfect Strangers Spinoff Family Matters, kif ukoll serje bħal Doogie Howser, M.D., Life tkompli, il-kult favorit Twin Peaks u l-Commish. F’Settembru 1991, in-Netwerk Premiered Home Titjib, sitcom ikkaratterizzat minn stand-up comic Tim Allen li ċċentra fuq il-familja u l-ħajja tax-xogħol ta ’ospitanti suxxettibbli għal inċidenti ta’ spettaklu ta ’titjib fid-dar tal-aċċess għall-kejbil. Dawk disa 'staġuni, is-suċċess tagħha wassal lil ABC għal proġetti ta' sitcom addizzjonali ta 'Greenlight immexxija mill-kummidjanti matul id-disgħinijiet inkluż The Drew Carey Show; Vettura Brett Butler Grace taħt in-nar; u Ellen, li sar notevoli għal episodju tal-1997 li serva bħala l-istilla tas-serje Ellen DeGeneres (kif ukoll il-karattru tagħha fis-serje) bħala lesbjani.</v>
      </c>
    </row>
    <row r="2261" ht="15.75" customHeight="1">
      <c r="A2261" s="2" t="s">
        <v>2261</v>
      </c>
      <c r="B2261" s="2" t="str">
        <f>IFERROR(__xludf.DUMMYFUNCTION("GOOGLETRANSLATE(A2261, ""en"", ""mt"")"),"Liema stazzjon tar-radju ta 'Newcastle huwa bbażat fl-Isptar tat-Tfal tal-Gran North?")</f>
        <v>Liema stazzjon tar-radju ta 'Newcastle huwa bbażat fl-Isptar tat-Tfal tal-Gran North?</v>
      </c>
    </row>
    <row r="2262" ht="15.75" customHeight="1">
      <c r="A2262" s="2" t="s">
        <v>2262</v>
      </c>
      <c r="B2262" s="2" t="str">
        <f>IFERROR(__xludf.DUMMYFUNCTION("GOOGLETRANSLATE(A2262, ""en"", ""mt"")"),"Riċettur taċ-ċelloli T")</f>
        <v>Riċettur taċ-ċelloli T</v>
      </c>
    </row>
    <row r="2263" ht="15.75" customHeight="1">
      <c r="A2263" s="2" t="s">
        <v>2263</v>
      </c>
      <c r="B2263" s="2" t="str">
        <f>IFERROR(__xludf.DUMMYFUNCTION("GOOGLETRANSLATE(A2263, ""en"", ""mt"")"),"Liema molekuli tas-sistema immuni adatta jeżistu biss fil-vertebrati tax-xedaq?")</f>
        <v>Liema molekuli tas-sistema immuni adatta jeżistu biss fil-vertebrati tax-xedaq?</v>
      </c>
    </row>
    <row r="2264" ht="15.75" customHeight="1">
      <c r="A2264" s="2" t="s">
        <v>2264</v>
      </c>
      <c r="B2264" s="2" t="str">
        <f>IFERROR(__xludf.DUMMYFUNCTION("GOOGLETRANSLATE(A2264, ""en"", ""mt"")"),"X'kien l-isem Ingliż tal-kalendarju ta 'Gou?")</f>
        <v>X'kien l-isem Ingliż tal-kalendarju ta 'Gou?</v>
      </c>
    </row>
    <row r="2265" ht="15.75" customHeight="1">
      <c r="A2265" s="2" t="s">
        <v>2265</v>
      </c>
      <c r="B2265" s="2" t="str">
        <f>IFERROR(__xludf.DUMMYFUNCTION("GOOGLETRANSLATE(A2265, ""en"", ""mt"")"),"X’kawżaw ir-riformi?")</f>
        <v>X’kawżaw ir-riformi?</v>
      </c>
    </row>
    <row r="2266" ht="15.75" customHeight="1">
      <c r="A2266" s="2" t="s">
        <v>2266</v>
      </c>
      <c r="B2266" s="2" t="str">
        <f>IFERROR(__xludf.DUMMYFUNCTION("GOOGLETRANSLATE(A2266, ""en"", ""mt"")"),"X'sejħet il-Jum tal-Midja għas-Super Bowl 50?")</f>
        <v>X'sejħet il-Jum tal-Midja għas-Super Bowl 50?</v>
      </c>
    </row>
    <row r="2267" ht="15.75" customHeight="1">
      <c r="A2267" s="2" t="s">
        <v>2267</v>
      </c>
      <c r="B2267" s="2" t="str">
        <f>IFERROR(__xludf.DUMMYFUNCTION("GOOGLETRANSLATE(A2267, ""en"", ""mt"")"),"Flimkien mal-Ingliż u l-Matematika, liema suġġett issostitwixxa l-valuri tal-edukazzjoni għall-istudenti tar-raba 'sena?")</f>
        <v>Flimkien mal-Ingliż u l-Matematika, liema suġġett issostitwixxa l-valuri tal-edukazzjoni għall-istudenti tar-raba 'sena?</v>
      </c>
    </row>
    <row r="2268" ht="15.75" customHeight="1">
      <c r="A2268" s="2" t="s">
        <v>2268</v>
      </c>
      <c r="B2268" s="2" t="str">
        <f>IFERROR(__xludf.DUMMYFUNCTION("GOOGLETRANSLATE(A2268, ""en"", ""mt"")"),"Sintesi ta 'isopentenyl pyrophosphate")</f>
        <v>Sintesi ta 'isopentenyl pyrophosphate</v>
      </c>
    </row>
    <row r="2269" ht="15.75" customHeight="1">
      <c r="A2269" s="2" t="s">
        <v>2269</v>
      </c>
      <c r="B2269" s="2" t="str">
        <f>IFERROR(__xludf.DUMMYFUNCTION("GOOGLETRANSLATE(A2269, ""en"", ""mt"")"),"X'qed jaqblu dwar l-istudjużi dwar l-istazzjonar fuq l-istorja tal-bieb?")</f>
        <v>X'qed jaqblu dwar l-istudjużi dwar l-istazzjonar fuq l-istorja tal-bieb?</v>
      </c>
    </row>
    <row r="2270" ht="15.75" customHeight="1">
      <c r="A2270" s="2" t="s">
        <v>2270</v>
      </c>
      <c r="B2270" s="2" t="str">
        <f>IFERROR(__xludf.DUMMYFUNCTION("GOOGLETRANSLATE(A2270, ""en"", ""mt"")"),"Kont privat")</f>
        <v>Kont privat</v>
      </c>
    </row>
    <row r="2271" ht="15.75" customHeight="1">
      <c r="A2271" s="2" t="s">
        <v>2271</v>
      </c>
      <c r="B2271" s="2" t="str">
        <f>IFERROR(__xludf.DUMMYFUNCTION("GOOGLETRANSLATE(A2271, ""en"", ""mt"")"),"It-Tlieta wara nofsinhar qabel il-logħba")</f>
        <v>It-Tlieta wara nofsinhar qabel il-logħba</v>
      </c>
    </row>
    <row r="2272" ht="15.75" customHeight="1">
      <c r="A2272" s="2" t="s">
        <v>2272</v>
      </c>
      <c r="B2272" s="2" t="str">
        <f>IFERROR(__xludf.DUMMYFUNCTION("GOOGLETRANSLATE(A2272, ""en"", ""mt"")"),"Arċisqof Albrecht")</f>
        <v>Arċisqof Albrecht</v>
      </c>
    </row>
    <row r="2273" ht="15.75" customHeight="1">
      <c r="A2273" s="2" t="s">
        <v>2273</v>
      </c>
      <c r="B2273" s="2" t="str">
        <f>IFERROR(__xludf.DUMMYFUNCTION("GOOGLETRANSLATE(A2273, ""en"", ""mt"")"),"$ 5 miljun")</f>
        <v>$ 5 miljun</v>
      </c>
    </row>
    <row r="2274" ht="15.75" customHeight="1">
      <c r="A2274" s="2" t="s">
        <v>2274</v>
      </c>
      <c r="B2274" s="2" t="str">
        <f>IFERROR(__xludf.DUMMYFUNCTION("GOOGLETRANSLATE(A2274, ""en"", ""mt"")"),"Artikolu 294 TFEU")</f>
        <v>Artikolu 294 TFEU</v>
      </c>
    </row>
    <row r="2275" ht="15.75" customHeight="1">
      <c r="A2275" s="2" t="s">
        <v>2275</v>
      </c>
      <c r="B2275" s="2" t="str">
        <f>IFERROR(__xludf.DUMMYFUNCTION("GOOGLETRANSLATE(A2275, ""en"", ""mt"")"),"Liema entità żviluppat il-prinċipji tal-liġi tal-Unjoni Ewropea?")</f>
        <v>Liema entità żviluppat il-prinċipji tal-liġi tal-Unjoni Ewropea?</v>
      </c>
    </row>
    <row r="2276" ht="15.75" customHeight="1">
      <c r="A2276" s="2" t="s">
        <v>2276</v>
      </c>
      <c r="B2276" s="2" t="str">
        <f>IFERROR(__xludf.DUMMYFUNCTION("GOOGLETRANSLATE(A2276, ""en"", ""mt"")"),"X'inhuma ż-żewġ lingwi uffiċjali?")</f>
        <v>X'inhuma ż-żewġ lingwi uffiċjali?</v>
      </c>
    </row>
    <row r="2277" ht="15.75" customHeight="1">
      <c r="A2277" s="2" t="s">
        <v>2277</v>
      </c>
      <c r="B2277" s="2" t="str">
        <f>IFERROR(__xludf.DUMMYFUNCTION("GOOGLETRANSLATE(A2277, ""en"", ""mt"")"),"X'inhu l-kloroplast ta 'Durinskia?")</f>
        <v>X'inhu l-kloroplast ta 'Durinskia?</v>
      </c>
    </row>
    <row r="2278" ht="15.75" customHeight="1">
      <c r="A2278" s="2" t="s">
        <v>2278</v>
      </c>
      <c r="B2278" s="2" t="str">
        <f>IFERROR(__xludf.DUMMYFUNCTION("GOOGLETRANSLATE(A2278, ""en"", ""mt"")"),"Flimkien ma 'muturi elettriċi, liema sorsi ta' enerġija qabżu l-magni tal-fwar fis-seklu 20?")</f>
        <v>Flimkien ma 'muturi elettriċi, liema sorsi ta' enerġija qabżu l-magni tal-fwar fis-seklu 20?</v>
      </c>
    </row>
    <row r="2279" ht="15.75" customHeight="1">
      <c r="A2279" s="2" t="s">
        <v>2279</v>
      </c>
      <c r="B2279" s="2" t="str">
        <f>IFERROR(__xludf.DUMMYFUNCTION("GOOGLETRANSLATE(A2279, ""en"", ""mt"")"),"Biex tifformalizza front unifikat fil-kummerċ u n-negozjati ma 'diversi Indjani")</f>
        <v>Biex tifformalizza front unifikat fil-kummerċ u n-negozjati ma 'diversi Indjani</v>
      </c>
    </row>
    <row r="2280" ht="15.75" customHeight="1">
      <c r="A2280" s="2" t="s">
        <v>2280</v>
      </c>
      <c r="B2280" s="2" t="str">
        <f>IFERROR(__xludf.DUMMYFUNCTION("GOOGLETRANSLATE(A2280, ""en"", ""mt"")"),"Peress li l-IPCC ma jwettaqx ir-riċerka tiegħu stess, jopera fuq il-bażi ta 'dokumenti xjentifiċi u r-riżultati dokumentati b'mod indipendenti minn korpi xjentifiċi oħra, u l-iskeda tagħha għall-produzzjoni ta' rapporti teħtieġ skadenza għal sottomissjoni"&amp;"jiet qabel ir-rilaxx finali tar-rapport. Fil-prinċipju, dan ifisser li kwalunkwe evidenza jew avvenimenti ġodda sinifikanti li jibdlu l-għarfien tagħna dwar ix-xjenza dwar il-klima bejn dan l-iskadenza u l-pubblikazzjoni ta 'rapport IPCC ma jistgħux jiġu "&amp;"inklużi. F'żona ta 'xjenza fejn il-fehim xjentifiku tagħna qed jinbidel malajr, dan tqajjem bħala nuqqas serju f'ġisem li huwa meqjus b'mod wiesa' bħala l-awtorità aħħarija fuq ix-xjenza. Madankollu, ġeneralment kien hemm evoluzzjoni kostanti ta 'sejbiet "&amp;"ewlenin u livelli ta' kunfidenza xjentifika minn rapport ta 'valutazzjoni għal dak li jmiss. [Ċitazzjoni meħtieġa]")</f>
        <v>Peress li l-IPCC ma jwettaqx ir-riċerka tiegħu stess, jopera fuq il-bażi ta 'dokumenti xjentifiċi u r-riżultati dokumentati b'mod indipendenti minn korpi xjentifiċi oħra, u l-iskeda tagħha għall-produzzjoni ta' rapporti teħtieġ skadenza għal sottomissjonijiet qabel ir-rilaxx finali tar-rapport. Fil-prinċipju, dan ifisser li kwalunkwe evidenza jew avvenimenti ġodda sinifikanti li jibdlu l-għarfien tagħna dwar ix-xjenza dwar il-klima bejn dan l-iskadenza u l-pubblikazzjoni ta 'rapport IPCC ma jistgħux jiġu inklużi. F'żona ta 'xjenza fejn il-fehim xjentifiku tagħna qed jinbidel malajr, dan tqajjem bħala nuqqas serju f'ġisem li huwa meqjus b'mod wiesa' bħala l-awtorità aħħarija fuq ix-xjenza. Madankollu, ġeneralment kien hemm evoluzzjoni kostanti ta 'sejbiet ewlenin u livelli ta' kunfidenza xjentifika minn rapport ta 'valutazzjoni għal dak li jmiss. [Ċitazzjoni meħtieġa]</v>
      </c>
    </row>
    <row r="2281" ht="15.75" customHeight="1">
      <c r="A2281" s="2" t="s">
        <v>2281</v>
      </c>
      <c r="B2281" s="2" t="str">
        <f>IFERROR(__xludf.DUMMYFUNCTION("GOOGLETRANSLATE(A2281, ""en"", ""mt"")"),"Min kienu mistednin speċjali għas-Super Bowl Halftime Show?")</f>
        <v>Min kienu mistednin speċjali għas-Super Bowl Halftime Show?</v>
      </c>
    </row>
    <row r="2282" ht="15.75" customHeight="1">
      <c r="A2282" s="2" t="s">
        <v>2282</v>
      </c>
      <c r="B2282" s="2" t="str">
        <f>IFERROR(__xludf.DUMMYFUNCTION("GOOGLETRANSLATE(A2282, ""en"", ""mt"")"),"Id-disponibbiltà tal-Bibbja f'lingwi vernakulari")</f>
        <v>Id-disponibbiltà tal-Bibbja f'lingwi vernakulari</v>
      </c>
    </row>
    <row r="2283" ht="15.75" customHeight="1">
      <c r="A2283" s="2" t="s">
        <v>2283</v>
      </c>
      <c r="B2283" s="2" t="str">
        <f>IFERROR(__xludf.DUMMYFUNCTION("GOOGLETRANSLATE(A2283, ""en"", ""mt"")"),"Kemm ilu l-ossiġnu laħaq 10% tal-livell preżenti tiegħu?")</f>
        <v>Kemm ilu l-ossiġnu laħaq 10% tal-livell preżenti tiegħu?</v>
      </c>
    </row>
    <row r="2284" ht="15.75" customHeight="1">
      <c r="A2284" s="2" t="s">
        <v>2284</v>
      </c>
      <c r="B2284" s="2" t="str">
        <f>IFERROR(__xludf.DUMMYFUNCTION("GOOGLETRANSLATE(A2284, ""en"", ""mt"")"),"Lamtu")</f>
        <v>Lamtu</v>
      </c>
    </row>
    <row r="2285" ht="15.75" customHeight="1">
      <c r="A2285" s="2" t="s">
        <v>2285</v>
      </c>
      <c r="B2285" s="2" t="str">
        <f>IFERROR(__xludf.DUMMYFUNCTION("GOOGLETRANSLATE(A2285, ""en"", ""mt"")"),"Il-fluwidu tax-xogħol f'ċiklu ta 'Rankine jista' jopera bħala sistema ta 'linja magħluqa, fejn il-fluwidu tax-xogħol jiġi riċiklat kontinwament, jew jista' jkun sistema ""linja miftuħa"", fejn il-fwar tal-egżost jiġi rilaxxat direttament fl-atmosfera, u s"&amp;"ors separat ta 'ilma It-tmigħ tal-bojler huwa fornut. Normalment l-ilma huwa l-fluwidu tal-għażla minħabba l-proprjetajiet favorevoli tiegħu, bħal kimika mhux tossika u mhux reattiva, abbundanza, bi prezz baxx, u l-proprjetajiet termodinamiċi tagħha. Merk"&amp;"urju huwa l-fluwidu tax-xogħol fit-turbina tal-fwar tal-merkurju. Idrokarburi ta 'togħlija baxxa jistgħu jintużaw f'ċiklu binarju.")</f>
        <v>Il-fluwidu tax-xogħol f'ċiklu ta 'Rankine jista' jopera bħala sistema ta 'linja magħluqa, fejn il-fluwidu tax-xogħol jiġi riċiklat kontinwament, jew jista' jkun sistema "linja miftuħa", fejn il-fwar tal-egżost jiġi rilaxxat direttament fl-atmosfera, u sors separat ta 'ilma It-tmigħ tal-bojler huwa fornut. Normalment l-ilma huwa l-fluwidu tal-għażla minħabba l-proprjetajiet favorevoli tiegħu, bħal kimika mhux tossika u mhux reattiva, abbundanza, bi prezz baxx, u l-proprjetajiet termodinamiċi tagħha. Merkurju huwa l-fluwidu tax-xogħol fit-turbina tal-fwar tal-merkurju. Idrokarburi ta 'togħlija baxxa jistgħu jintużaw f'ċiklu binarju.</v>
      </c>
    </row>
    <row r="2286" ht="15.75" customHeight="1">
      <c r="A2286" s="2" t="s">
        <v>2286</v>
      </c>
      <c r="B2286" s="2" t="str">
        <f>IFERROR(__xludf.DUMMYFUNCTION("GOOGLETRANSLATE(A2286, ""en"", ""mt"")"),"Batterji anerobiċi")</f>
        <v>Batterji anerobiċi</v>
      </c>
    </row>
    <row r="2287" ht="15.75" customHeight="1">
      <c r="A2287" s="2" t="s">
        <v>2287</v>
      </c>
      <c r="B2287" s="2" t="str">
        <f>IFERROR(__xludf.DUMMYFUNCTION("GOOGLETRANSLATE(A2287, ""en"", ""mt"")"),"L-ebda appuntament ma huwa ffissat uffiċjali sakemm iseħħ?")</f>
        <v>L-ebda appuntament ma huwa ffissat uffiċjali sakemm iseħħ?</v>
      </c>
    </row>
    <row r="2288" ht="15.75" customHeight="1">
      <c r="A2288" s="2" t="s">
        <v>2288</v>
      </c>
      <c r="B2288" s="2" t="str">
        <f>IFERROR(__xludf.DUMMYFUNCTION("GOOGLETRANSLATE(A2288, ""en"", ""mt"")"),"Id-differenzjazzjoni fil-plastid mhix permanenti, fil-fatt huma possibbli ħafna interkonversazzjonijiet. Il-kloroplasti jistgħu jiġu kkonvertiti għal kromoplasti, li huma plastidi mimlijin pigment responsabbli għall-kuluri brillanti li jidhru fil-fjuri u "&amp;"l-frott misjur. Il-ħażna tal-lamtu tal-amiloplasti jistgħu wkoll jiġu kkonvertiti għal kromoplasti, u huwa possibbli għal proplastidi li jiżviluppaw dritt fi kromoplasti. Il-kromoplasti u l-amiloplasti jistgħu wkoll isiru kloroplasti, bħal dak li jiġri me"&amp;"ta zunnarija jew patata tkun imdawla. Jekk impjant ikun imweġġa ', jew xi ħaġa oħra tikkawża li ċellola tal-pjanti terġa' tidħol għal stat meristematiku, il-kloroplasti u plastidi oħra jistgħu jibdlu lura fi proplastidi. Il-kloroplast, l-amiloplast, il-kr"&amp;"omoplast, il-proplast, eċċ., Mhumiex stati assoluti - forom intermedjati huma komuni.")</f>
        <v>Id-differenzjazzjoni fil-plastid mhix permanenti, fil-fatt huma possibbli ħafna interkonversazzjonijiet. Il-kloroplasti jistgħu jiġu kkonvertiti għal kromoplasti, li huma plastidi mimlijin pigment responsabbli għall-kuluri brillanti li jidhru fil-fjuri u l-frott misjur. Il-ħażna tal-lamtu tal-amiloplasti jistgħu wkoll jiġu kkonvertiti għal kromoplasti, u huwa possibbli għal proplastidi li jiżviluppaw dritt fi kromoplasti. Il-kromoplasti u l-amiloplasti jistgħu wkoll isiru kloroplasti, bħal dak li jiġri meta zunnarija jew patata tkun imdawla. Jekk impjant ikun imweġġa ', jew xi ħaġa oħra tikkawża li ċellola tal-pjanti terġa' tidħol għal stat meristematiku, il-kloroplasti u plastidi oħra jistgħu jibdlu lura fi proplastidi. Il-kloroplast, l-amiloplast, il-kromoplast, il-proplast, eċċ., Mhumiex stati assoluti - forom intermedjati huma komuni.</v>
      </c>
    </row>
    <row r="2289" ht="15.75" customHeight="1">
      <c r="A2289" s="2" t="s">
        <v>2289</v>
      </c>
      <c r="B2289" s="2" t="str">
        <f>IFERROR(__xludf.DUMMYFUNCTION("GOOGLETRANSLATE(A2289, ""en"", ""mt"")"),"il-fondazzjoni ta 'knejjes Protestanti ġodda")</f>
        <v>il-fondazzjoni ta 'knejjes Protestanti ġodda</v>
      </c>
    </row>
    <row r="2290" ht="15.75" customHeight="1">
      <c r="A2290" s="2" t="s">
        <v>2290</v>
      </c>
      <c r="B2290" s="2" t="str">
        <f>IFERROR(__xludf.DUMMYFUNCTION("GOOGLETRANSLATE(A2290, ""en"", ""mt"")"),"Nitroġenu likwidu")</f>
        <v>Nitroġenu likwidu</v>
      </c>
    </row>
    <row r="2291" ht="15.75" customHeight="1">
      <c r="A2291" s="2" t="s">
        <v>2291</v>
      </c>
      <c r="B2291" s="2" t="str">
        <f>IFERROR(__xludf.DUMMYFUNCTION("GOOGLETRANSLATE(A2291, ""en"", ""mt"")"),"X'inhu identifikatur tal-konnessjoni")</f>
        <v>X'inhu identifikatur tal-konnessjoni</v>
      </c>
    </row>
    <row r="2292" ht="15.75" customHeight="1">
      <c r="A2292" s="2" t="s">
        <v>2292</v>
      </c>
      <c r="B2292" s="2" t="str">
        <f>IFERROR(__xludf.DUMMYFUNCTION("GOOGLETRANSLATE(A2292, ""en"", ""mt"")"),"1,320 kilometru (820 mil)")</f>
        <v>1,320 kilometru (820 mil)</v>
      </c>
    </row>
    <row r="2293" ht="15.75" customHeight="1">
      <c r="A2293" s="2" t="s">
        <v>2293</v>
      </c>
      <c r="B2293" s="2" t="str">
        <f>IFERROR(__xludf.DUMMYFUNCTION("GOOGLETRANSLATE(A2293, ""en"", ""mt"")"),"X'hemm bżonn li l-qorti tkun aktar aċċessibbli?")</f>
        <v>X'hemm bżonn li l-qorti tkun aktar aċċessibbli?</v>
      </c>
    </row>
    <row r="2294" ht="15.75" customHeight="1">
      <c r="A2294" s="2" t="s">
        <v>2294</v>
      </c>
      <c r="B2294" s="2" t="str">
        <f>IFERROR(__xludf.DUMMYFUNCTION("GOOGLETRANSLATE(A2294, ""en"", ""mt"")"),"It-torri tal-knisja")</f>
        <v>It-torri tal-knisja</v>
      </c>
    </row>
    <row r="2295" ht="15.75" customHeight="1">
      <c r="A2295" s="2" t="s">
        <v>2295</v>
      </c>
      <c r="B2295" s="2" t="str">
        <f>IFERROR(__xludf.DUMMYFUNCTION("GOOGLETRANSLATE(A2295, ""en"", ""mt"")"),"Studjużi u osservaturi")</f>
        <v>Studjużi u osservaturi</v>
      </c>
    </row>
    <row r="2296" ht="15.75" customHeight="1">
      <c r="A2296" s="2" t="s">
        <v>2296</v>
      </c>
      <c r="B2296" s="2" t="str">
        <f>IFERROR(__xludf.DUMMYFUNCTION("GOOGLETRANSLATE(A2296, ""en"", ""mt"")"),"Liema xprunat żieda fl-appoġġ għar-riforma tal-gvern?")</f>
        <v>Liema xprunat żieda fl-appoġġ għar-riforma tal-gvern?</v>
      </c>
    </row>
    <row r="2297" ht="15.75" customHeight="1">
      <c r="A2297" s="2" t="s">
        <v>2297</v>
      </c>
      <c r="B2297" s="2" t="str">
        <f>IFERROR(__xludf.DUMMYFUNCTION("GOOGLETRANSLATE(A2297, ""en"", ""mt"")"),"Qoton għażil")</f>
        <v>Qoton għażil</v>
      </c>
    </row>
    <row r="2298" ht="15.75" customHeight="1">
      <c r="A2298" s="2" t="s">
        <v>2298</v>
      </c>
      <c r="B2298" s="2" t="str">
        <f>IFERROR(__xludf.DUMMYFUNCTION("GOOGLETRANSLATE(A2298, ""en"", ""mt"")"),"X'inhu t-tkabbir ekonomiku biżżejjed għall-progress?")</f>
        <v>X'inhu t-tkabbir ekonomiku biżżejjed għall-progress?</v>
      </c>
    </row>
    <row r="2299" ht="15.75" customHeight="1">
      <c r="A2299" s="2" t="s">
        <v>2299</v>
      </c>
      <c r="B2299" s="2" t="str">
        <f>IFERROR(__xludf.DUMMYFUNCTION("GOOGLETRANSLATE(A2299, ""en"", ""mt"")"),"labirint ta 'problemi semantiċi u niceties grammatikali")</f>
        <v>labirint ta 'problemi semantiċi u niceties grammatikali</v>
      </c>
    </row>
    <row r="2300" ht="15.75" customHeight="1">
      <c r="A2300" s="2" t="s">
        <v>2300</v>
      </c>
      <c r="B2300" s="2" t="str">
        <f>IFERROR(__xludf.DUMMYFUNCTION("GOOGLETRANSLATE(A2300, ""en"", ""mt"")"),"Xi joħolqu s-sistemi ta 'fotosintesi li jagħmlu ħsara?")</f>
        <v>Xi joħolqu s-sistemi ta 'fotosintesi li jagħmlu ħsara?</v>
      </c>
    </row>
    <row r="2301" ht="15.75" customHeight="1">
      <c r="A2301" s="2" t="s">
        <v>2301</v>
      </c>
      <c r="B2301" s="2" t="str">
        <f>IFERROR(__xludf.DUMMYFUNCTION("GOOGLETRANSLATE(A2301, ""en"", ""mt"")"),"Il-politiki ta 'kiri ta' kampus barra mill-kampus tal-università")</f>
        <v>Il-politiki ta 'kiri ta' kampus barra mill-kampus tal-università</v>
      </c>
    </row>
    <row r="2302" ht="15.75" customHeight="1">
      <c r="A2302" s="2" t="s">
        <v>2302</v>
      </c>
      <c r="B2302" s="2" t="str">
        <f>IFERROR(__xludf.DUMMYFUNCTION("GOOGLETRANSLATE(A2302, ""en"", ""mt"")"),"13 ta 'Ġunju 1525,")</f>
        <v>13 ta 'Ġunju 1525,</v>
      </c>
    </row>
    <row r="2303" ht="15.75" customHeight="1">
      <c r="A2303" s="2" t="s">
        <v>2303</v>
      </c>
      <c r="B2303" s="2" t="str">
        <f>IFERROR(__xludf.DUMMYFUNCTION("GOOGLETRANSLATE(A2303, ""en"", ""mt"")"),"Liema rata tat-taxxa għandha relazzjoni diretta mal-inugwaljanza tad-dħul?")</f>
        <v>Liema rata tat-taxxa għandha relazzjoni diretta mal-inugwaljanza tad-dħul?</v>
      </c>
    </row>
    <row r="2304" ht="15.75" customHeight="1">
      <c r="A2304" s="2" t="s">
        <v>2304</v>
      </c>
      <c r="B2304" s="2" t="str">
        <f>IFERROR(__xludf.DUMMYFUNCTION("GOOGLETRANSLATE(A2304, ""en"", ""mt"")"),"Fl-24 ta 'Marzu 1879, Tesla ġiet mibgħuta lura lil Gospić taħt il-gwardja tal-pulizija talli ma kellhiex permess ta' residenza. Fis-17 ta 'April 1879, Milutin Tesla miet fl-età ta '60 wara li kkuntrattat marda mhux speċifikata (għalkemm xi sorsi jgħidu li"&amp;" miet ta' puplesija). Matul dik is-sena, Tesla għallmet klassi kbira ta ’studenti fl-iskola antika tiegħu, ġinnasju reali ogħla, fi Gospić.")</f>
        <v>Fl-24 ta 'Marzu 1879, Tesla ġiet mibgħuta lura lil Gospić taħt il-gwardja tal-pulizija talli ma kellhiex permess ta' residenza. Fis-17 ta 'April 1879, Milutin Tesla miet fl-età ta '60 wara li kkuntrattat marda mhux speċifikata (għalkemm xi sorsi jgħidu li miet ta' puplesija). Matul dik is-sena, Tesla għallmet klassi kbira ta ’studenti fl-iskola antika tiegħu, ġinnasju reali ogħla, fi Gospić.</v>
      </c>
    </row>
    <row r="2305" ht="15.75" customHeight="1">
      <c r="A2305" s="2" t="s">
        <v>2305</v>
      </c>
      <c r="B2305" s="2" t="str">
        <f>IFERROR(__xludf.DUMMYFUNCTION("GOOGLETRANSLATE(A2305, ""en"", ""mt"")"),"Ragħaj")</f>
        <v>Ragħaj</v>
      </c>
    </row>
    <row r="2306" ht="15.75" customHeight="1">
      <c r="A2306" s="2" t="s">
        <v>2306</v>
      </c>
      <c r="B2306" s="2" t="str">
        <f>IFERROR(__xludf.DUMMYFUNCTION("GOOGLETRANSLATE(A2306, ""en"", ""mt"")"),"il-gvern tal-unjoni")</f>
        <v>il-gvern tal-unjoni</v>
      </c>
    </row>
    <row r="2307" ht="15.75" customHeight="1">
      <c r="A2307" s="2" t="s">
        <v>2307</v>
      </c>
      <c r="B2307" s="2" t="str">
        <f>IFERROR(__xludf.DUMMYFUNCTION("GOOGLETRANSLATE(A2307, ""en"", ""mt"")"),"Liema moviment tad-drittijiet ċivili fl-Istati Uniti kien magħruf għad-diżubbidjenza tiegħu?")</f>
        <v>Liema moviment tad-drittijiet ċivili fl-Istati Uniti kien magħruf għad-diżubbidjenza tiegħu?</v>
      </c>
    </row>
    <row r="2308" ht="15.75" customHeight="1">
      <c r="A2308" s="2" t="s">
        <v>2308</v>
      </c>
      <c r="B2308" s="2" t="str">
        <f>IFERROR(__xludf.DUMMYFUNCTION("GOOGLETRANSLATE(A2308, ""en"", ""mt"")"),"X'inhi r-Repubblika tal-Kenja msemmija wara?")</f>
        <v>X'inhi r-Repubblika tal-Kenja msemmija wara?</v>
      </c>
    </row>
    <row r="2309" ht="15.75" customHeight="1">
      <c r="A2309" s="2" t="s">
        <v>2309</v>
      </c>
      <c r="B2309" s="2" t="str">
        <f>IFERROR(__xludf.DUMMYFUNCTION("GOOGLETRANSLATE(A2309, ""en"", ""mt"")"),"L-ewwel imperu Ingliż kien ibbażat fuq il-merkantiliżmu, u kien jinvolvi kolonji u azjendi primarjament fl-Amerika ta ’Fuq, il-Karibew, u l-Indja. It-tkabbir tagħha ġie mreġġa ’lura mit-telf tal-kolonji Amerikani fl-1776. Il-Gran Brittanja għamlet qligħ f"&amp;"l-Indja, l-Awstralja, u fil-kostruzzjoni ta’ imperu ekonomiku informali permezz tal-kontroll tal-kummerċ u l-finanzi fl-Amerika Latina wara l-indipendenza tal-kolonji Spanjoli u Portugiżi madwar l-1820. Fis-snin 1840, il-Gran Brittanja kienet adottat poli"&amp;"tika ta 'suċċess kbir ta' kummerċ ħieles li tatha dominanza fil-kummerċ ta 'ħafna mid-dinja. Wara li tilfet l-ewwel imperu tagħha lill-Amerikani, il-Gran Brittanja mbagħad dawret l-attenzjoni lejn l-Asja, l-Afrika, u l-Paċifiku. Wara t-telfa ta 'Napoleoni"&amp;"c France fl-1815, il-Gran Brittanja gawdiet seklu ta' dominanza kważi mhux ikkontestata u espandiet l-azjendi imperjali tagħha madwar id-dinja. Żieda fil-gradi ta 'awtonomija interna ingħataw lill-kolonji ta' kolonizzaturi bojod tagħha fis-seklu 20.")</f>
        <v>L-ewwel imperu Ingliż kien ibbażat fuq il-merkantiliżmu, u kien jinvolvi kolonji u azjendi primarjament fl-Amerika ta ’Fuq, il-Karibew, u l-Indja. It-tkabbir tagħha ġie mreġġa ’lura mit-telf tal-kolonji Amerikani fl-1776. Il-Gran Brittanja għamlet qligħ fl-Indja, l-Awstralja, u fil-kostruzzjoni ta’ imperu ekonomiku informali permezz tal-kontroll tal-kummerċ u l-finanzi fl-Amerika Latina wara l-indipendenza tal-kolonji Spanjoli u Portugiżi madwar l-1820. Fis-snin 1840, il-Gran Brittanja kienet adottat politika ta 'suċċess kbir ta' kummerċ ħieles li tatha dominanza fil-kummerċ ta 'ħafna mid-dinja. Wara li tilfet l-ewwel imperu tagħha lill-Amerikani, il-Gran Brittanja mbagħad dawret l-attenzjoni lejn l-Asja, l-Afrika, u l-Paċifiku. Wara t-telfa ta 'Napoleonic France fl-1815, il-Gran Brittanja gawdiet seklu ta' dominanza kważi mhux ikkontestata u espandiet l-azjendi imperjali tagħha madwar id-dinja. Żieda fil-gradi ta 'awtonomija interna ingħataw lill-kolonji ta' kolonizzaturi bojod tagħha fis-seklu 20.</v>
      </c>
    </row>
    <row r="2310" ht="15.75" customHeight="1">
      <c r="A2310" s="2" t="s">
        <v>2310</v>
      </c>
      <c r="B2310" s="2" t="str">
        <f>IFERROR(__xludf.DUMMYFUNCTION("GOOGLETRANSLATE(A2310, ""en"", ""mt"")"),"Lejn tmiem ħajtu")</f>
        <v>Lejn tmiem ħajtu</v>
      </c>
    </row>
    <row r="2311" ht="15.75" customHeight="1">
      <c r="A2311" s="2" t="s">
        <v>2311</v>
      </c>
      <c r="B2311" s="2" t="str">
        <f>IFERROR(__xludf.DUMMYFUNCTION("GOOGLETRANSLATE(A2311, ""en"", ""mt"")"),"tnaqqas il-prezzijiet tal-konsumatur")</f>
        <v>tnaqqas il-prezzijiet tal-konsumatur</v>
      </c>
    </row>
    <row r="2312" ht="15.75" customHeight="1">
      <c r="A2312" s="2" t="s">
        <v>2312</v>
      </c>
      <c r="B2312" s="2" t="str">
        <f>IFERROR(__xludf.DUMMYFUNCTION("GOOGLETRANSLATE(A2312, ""en"", ""mt"")"),"Kemm plejers tal-Panthers ġew magħżula għall-Pro Bowl?")</f>
        <v>Kemm plejers tal-Panthers ġew magħżula għall-Pro Bowl?</v>
      </c>
    </row>
    <row r="2313" ht="15.75" customHeight="1">
      <c r="A2313" s="2" t="s">
        <v>2313</v>
      </c>
      <c r="B2313" s="2" t="str">
        <f>IFERROR(__xludf.DUMMYFUNCTION("GOOGLETRANSLATE(A2313, ""en"", ""mt"")"),"Test ta 'Lucas-Lehmer")</f>
        <v>Test ta 'Lucas-Lehmer</v>
      </c>
    </row>
    <row r="2314" ht="15.75" customHeight="1">
      <c r="A2314" s="2" t="s">
        <v>2314</v>
      </c>
      <c r="B2314" s="2" t="str">
        <f>IFERROR(__xludf.DUMMYFUNCTION("GOOGLETRANSLATE(A2314, ""en"", ""mt"")"),"Dak li kkawża d-dewmien matul l-iżvilupp tal-mutur AC.")</f>
        <v>Dak li kkawża d-dewmien matul l-iżvilupp tal-mutur AC.</v>
      </c>
    </row>
    <row r="2315" ht="15.75" customHeight="1">
      <c r="A2315" s="2" t="s">
        <v>2315</v>
      </c>
      <c r="B2315" s="2" t="str">
        <f>IFERROR(__xludf.DUMMYFUNCTION("GOOGLETRANSLATE(A2315, ""en"", ""mt"")"),"Neil Shubin u Paul Sereno")</f>
        <v>Neil Shubin u Paul Sereno</v>
      </c>
    </row>
    <row r="2316" ht="15.75" customHeight="1">
      <c r="A2316" s="2" t="s">
        <v>2316</v>
      </c>
      <c r="B2316" s="2" t="str">
        <f>IFERROR(__xludf.DUMMYFUNCTION("GOOGLETRANSLATE(A2316, ""en"", ""mt"")"),"Fejn kien l-irvellijiet tal-1857?")</f>
        <v>Fejn kien l-irvellijiet tal-1857?</v>
      </c>
    </row>
    <row r="2317" ht="15.75" customHeight="1">
      <c r="A2317" s="2" t="s">
        <v>2317</v>
      </c>
      <c r="B2317" s="2" t="str">
        <f>IFERROR(__xludf.DUMMYFUNCTION("GOOGLETRANSLATE(A2317, ""en"", ""mt"")"),"jum il-Milied")</f>
        <v>jum il-Milied</v>
      </c>
    </row>
    <row r="2318" ht="15.75" customHeight="1">
      <c r="A2318" s="2" t="s">
        <v>2318</v>
      </c>
      <c r="B2318" s="2" t="str">
        <f>IFERROR(__xludf.DUMMYFUNCTION("GOOGLETRANSLATE(A2318, ""en"", ""mt"")"),"Innat")</f>
        <v>Innat</v>
      </c>
    </row>
    <row r="2319" ht="15.75" customHeight="1">
      <c r="A2319" s="2" t="s">
        <v>2319</v>
      </c>
      <c r="B2319" s="2" t="str">
        <f>IFERROR(__xludf.DUMMYFUNCTION("GOOGLETRANSLATE(A2319, ""en"", ""mt"")"),"X'tip ta 'grad għandu jkollu għalliem, mill-inqas?")</f>
        <v>X'tip ta 'grad għandu jkollu għalliem, mill-inqas?</v>
      </c>
    </row>
    <row r="2320" ht="15.75" customHeight="1">
      <c r="A2320" s="2" t="s">
        <v>2320</v>
      </c>
      <c r="B2320" s="2" t="str">
        <f>IFERROR(__xludf.DUMMYFUNCTION("GOOGLETRANSLATE(A2320, ""en"", ""mt"")"),"Fl-isforz li jinżamm livell ta 'astrazzjoni, liema għażla tipikament titħalla indipendenti?")</f>
        <v>Fl-isforz li jinżamm livell ta 'astrazzjoni, liema għażla tipikament titħalla indipendenti?</v>
      </c>
    </row>
    <row r="2321" ht="15.75" customHeight="1">
      <c r="A2321" s="2" t="s">
        <v>2321</v>
      </c>
      <c r="B2321" s="2" t="str">
        <f>IFERROR(__xludf.DUMMYFUNCTION("GOOGLETRANSLATE(A2321, ""en"", ""mt"")"),"mhux ċivilizzat")</f>
        <v>mhux ċivilizzat</v>
      </c>
    </row>
    <row r="2322" ht="15.75" customHeight="1">
      <c r="A2322" s="2" t="s">
        <v>2322</v>
      </c>
      <c r="B2322" s="2" t="str">
        <f>IFERROR(__xludf.DUMMYFUNCTION("GOOGLETRANSLATE(A2322, ""en"", ""mt"")"),"Amerikani")</f>
        <v>Amerikani</v>
      </c>
    </row>
    <row r="2323" ht="15.75" customHeight="1">
      <c r="A2323" s="2" t="s">
        <v>2323</v>
      </c>
      <c r="B2323" s="2" t="str">
        <f>IFERROR(__xludf.DUMMYFUNCTION("GOOGLETRANSLATE(A2323, ""en"", ""mt"")"),"mesophyll")</f>
        <v>mesophyll</v>
      </c>
    </row>
    <row r="2324" ht="15.75" customHeight="1">
      <c r="A2324" s="2" t="s">
        <v>2324</v>
      </c>
      <c r="B2324" s="2" t="str">
        <f>IFERROR(__xludf.DUMMYFUNCTION("GOOGLETRANSLATE(A2324, ""en"", ""mt"")"),"Il-lingwa formali assoċjata ma 'din il-problema ta' deċiżjoni")</f>
        <v>Il-lingwa formali assoċjata ma 'din il-problema ta' deċiżjoni</v>
      </c>
    </row>
    <row r="2325" ht="15.75" customHeight="1">
      <c r="A2325" s="2" t="s">
        <v>2325</v>
      </c>
      <c r="B2325" s="2" t="str">
        <f>IFERROR(__xludf.DUMMYFUNCTION("GOOGLETRANSLATE(A2325, ""en"", ""mt"")"),"Diversità tar-riċetturi")</f>
        <v>Diversità tar-riċetturi</v>
      </c>
    </row>
    <row r="2326" ht="15.75" customHeight="1">
      <c r="A2326" s="2" t="s">
        <v>2326</v>
      </c>
      <c r="B2326" s="2" t="str">
        <f>IFERROR(__xludf.DUMMYFUNCTION("GOOGLETRANSLATE(A2326, ""en"", ""mt"")"),"Validat il-magna tal-modulu tas-servizz u l-modulu tal-kmand Shield Heat.")</f>
        <v>Validat il-magna tal-modulu tas-servizz u l-modulu tal-kmand Shield Heat.</v>
      </c>
    </row>
    <row r="2327" ht="15.75" customHeight="1">
      <c r="A2327" s="2" t="s">
        <v>2327</v>
      </c>
      <c r="B2327" s="2" t="str">
        <f>IFERROR(__xludf.DUMMYFUNCTION("GOOGLETRANSLATE(A2327, ""en"", ""mt"")"),"X'kien ir-riżultat ta 'Attakk Franċiż taċ-Ċentru tal-Kummerċ?")</f>
        <v>X'kien ir-riżultat ta 'Attakk Franċiż taċ-Ċentru tal-Kummerċ?</v>
      </c>
    </row>
    <row r="2328" ht="15.75" customHeight="1">
      <c r="A2328" s="2" t="s">
        <v>2328</v>
      </c>
      <c r="B2328" s="2" t="str">
        <f>IFERROR(__xludf.DUMMYFUNCTION("GOOGLETRANSLATE(A2328, ""en"", ""mt"")"),"Kif kien jissejjaħ il-proġett ta 'diġitizzazzjoni?")</f>
        <v>Kif kien jissejjaħ il-proġett ta 'diġitizzazzjoni?</v>
      </c>
    </row>
    <row r="2329" ht="15.75" customHeight="1">
      <c r="A2329" s="2" t="s">
        <v>2329</v>
      </c>
      <c r="B2329" s="2" t="str">
        <f>IFERROR(__xludf.DUMMYFUNCTION("GOOGLETRANSLATE(A2329, ""en"", ""mt"")"),"Dolby Digital")</f>
        <v>Dolby Digital</v>
      </c>
    </row>
    <row r="2330" ht="15.75" customHeight="1">
      <c r="A2330" s="2" t="s">
        <v>2330</v>
      </c>
      <c r="B2330" s="2" t="str">
        <f>IFERROR(__xludf.DUMMYFUNCTION("GOOGLETRANSLATE(A2330, ""en"", ""mt"")"),"Liema lingwa tintuża fl-iskejjel primarji Ċiniżi fil-Malasja?")</f>
        <v>Liema lingwa tintuża fl-iskejjel primarji Ċiniżi fil-Malasja?</v>
      </c>
    </row>
    <row r="2331" ht="15.75" customHeight="1">
      <c r="A2331" s="2" t="s">
        <v>2331</v>
      </c>
      <c r="B2331" s="2" t="str">
        <f>IFERROR(__xludf.DUMMYFUNCTION("GOOGLETRANSLATE(A2331, ""en"", ""mt"")"),"Inqas minn $ 1.25")</f>
        <v>Inqas minn $ 1.25</v>
      </c>
    </row>
    <row r="2332" ht="15.75" customHeight="1">
      <c r="A2332" s="2" t="s">
        <v>2332</v>
      </c>
      <c r="B2332" s="2" t="str">
        <f>IFERROR(__xludf.DUMMYFUNCTION("GOOGLETRANSLATE(A2332, ""en"", ""mt"")"),"Evidenza jew avvenimenti ġodda sinifikanti li jibdlu l-fehim tagħna tax-xjenza tal-klima")</f>
        <v>Evidenza jew avvenimenti ġodda sinifikanti li jibdlu l-fehim tagħna tax-xjenza tal-klima</v>
      </c>
    </row>
    <row r="2333" ht="15.75" customHeight="1">
      <c r="A2333" s="2" t="s">
        <v>2333</v>
      </c>
      <c r="B2333" s="2" t="str">
        <f>IFERROR(__xludf.DUMMYFUNCTION("GOOGLETRANSLATE(A2333, ""en"", ""mt"")"),"Liema tipi ta 'programmi jgħinu biex jerġgħu jqassmu l-ġid?")</f>
        <v>Liema tipi ta 'programmi jgħinu biex jerġgħu jqassmu l-ġid?</v>
      </c>
    </row>
    <row r="2334" ht="15.75" customHeight="1">
      <c r="A2334" s="2" t="s">
        <v>2334</v>
      </c>
      <c r="B2334" s="2" t="str">
        <f>IFERROR(__xludf.DUMMYFUNCTION("GOOGLETRANSLATE(A2334, ""en"", ""mt"")"),"Fil-każ Geven v Land Nordrhein-Westfalen, kemm sigħat kienet il-mara Olandiża inkwistjoni taħdem fil-Ġermanja?")</f>
        <v>Fil-każ Geven v Land Nordrhein-Westfalen, kemm sigħat kienet il-mara Olandiża inkwistjoni taħdem fil-Ġermanja?</v>
      </c>
    </row>
    <row r="2335" ht="15.75" customHeight="1">
      <c r="A2335" s="2" t="s">
        <v>2335</v>
      </c>
      <c r="B2335" s="2" t="str">
        <f>IFERROR(__xludf.DUMMYFUNCTION("GOOGLETRANSLATE(A2335, ""en"", ""mt"")"),"Residenti lesti li jħallsu rata ogħla tas-suq għall-akkomodazzjoni")</f>
        <v>Residenti lesti li jħallsu rata ogħla tas-suq għall-akkomodazzjoni</v>
      </c>
    </row>
    <row r="2336" ht="15.75" customHeight="1">
      <c r="A2336" s="2" t="s">
        <v>2336</v>
      </c>
      <c r="B2336" s="2" t="str">
        <f>IFERROR(__xludf.DUMMYFUNCTION("GOOGLETRANSLATE(A2336, ""en"", ""mt"")"),"Librerija Regenstein")</f>
        <v>Librerija Regenstein</v>
      </c>
    </row>
    <row r="2337" ht="15.75" customHeight="1">
      <c r="A2337" s="2" t="s">
        <v>2337</v>
      </c>
      <c r="B2337" s="2" t="str">
        <f>IFERROR(__xludf.DUMMYFUNCTION("GOOGLETRANSLATE(A2337, ""en"", ""mt"")"),"X’wassal għal ħafna mill-istorja tal-bniedem?")</f>
        <v>X’wassal għal ħafna mill-istorja tal-bniedem?</v>
      </c>
    </row>
    <row r="2338" ht="15.75" customHeight="1">
      <c r="A2338" s="2" t="s">
        <v>2338</v>
      </c>
      <c r="B2338" s="2" t="str">
        <f>IFERROR(__xludf.DUMMYFUNCTION("GOOGLETRANSLATE(A2338, ""en"", ""mt"")"),"Pressjoni akbar tal-fwar u aktar qawwa")</f>
        <v>Pressjoni akbar tal-fwar u aktar qawwa</v>
      </c>
    </row>
    <row r="2339" ht="15.75" customHeight="1">
      <c r="A2339" s="2" t="s">
        <v>2339</v>
      </c>
      <c r="B2339" s="2" t="str">
        <f>IFERROR(__xludf.DUMMYFUNCTION("GOOGLETRANSLATE(A2339, ""en"", ""mt"")"),"It-temperaturi u l-livelli tal-baħar kienu qed jiżdiedu fuq jew 'il fuq mir-rati massimi proposti")</f>
        <v>It-temperaturi u l-livelli tal-baħar kienu qed jiżdiedu fuq jew 'il fuq mir-rati massimi proposti</v>
      </c>
    </row>
    <row r="2340" ht="15.75" customHeight="1">
      <c r="A2340" s="2" t="s">
        <v>2340</v>
      </c>
      <c r="B2340" s="2" t="str">
        <f>IFERROR(__xludf.DUMMYFUNCTION("GOOGLETRANSLATE(A2340, ""en"", ""mt"")"),"X'kienet id-difiża Ingliża normali?")</f>
        <v>X'kienet id-difiża Ingliża normali?</v>
      </c>
    </row>
    <row r="2341" ht="15.75" customHeight="1">
      <c r="A2341" s="2" t="s">
        <v>2341</v>
      </c>
      <c r="B2341" s="2" t="str">
        <f>IFERROR(__xludf.DUMMYFUNCTION("GOOGLETRANSLATE(A2341, ""en"", ""mt"")"),"Liema sforz kien Luther mhux partikolarment favur?")</f>
        <v>Liema sforz kien Luther mhux partikolarment favur?</v>
      </c>
    </row>
    <row r="2342" ht="15.75" customHeight="1">
      <c r="A2342" s="2" t="s">
        <v>2342</v>
      </c>
      <c r="B2342" s="2" t="str">
        <f>IFERROR(__xludf.DUMMYFUNCTION("GOOGLETRANSLATE(A2342, ""en"", ""mt"")"),"il-provinċji tagħha ta ’l-Amerika")</f>
        <v>il-provinċji tagħha ta ’l-Amerika</v>
      </c>
    </row>
    <row r="2343" ht="15.75" customHeight="1">
      <c r="A2343" s="2" t="s">
        <v>2343</v>
      </c>
      <c r="B2343" s="2" t="str">
        <f>IFERROR(__xludf.DUMMYFUNCTION("GOOGLETRANSLATE(A2343, ""en"", ""mt"")"),"Il-gvernijiet tal-Punent ikkunsidraw l-Iżlamisti bħala l-inqas minn żewġ ħażen meta mqabbla ma 'min?")</f>
        <v>Il-gvernijiet tal-Punent ikkunsidraw l-Iżlamisti bħala l-inqas minn żewġ ħażen meta mqabbla ma 'min?</v>
      </c>
    </row>
    <row r="2344" ht="15.75" customHeight="1">
      <c r="A2344" s="2" t="s">
        <v>2344</v>
      </c>
      <c r="B2344" s="2" t="str">
        <f>IFERROR(__xludf.DUMMYFUNCTION("GOOGLETRANSLATE(A2344, ""en"", ""mt"")"),"Akkademja")</f>
        <v>Akkademja</v>
      </c>
    </row>
    <row r="2345" ht="15.75" customHeight="1">
      <c r="A2345" s="2" t="s">
        <v>2345</v>
      </c>
      <c r="B2345" s="2" t="str">
        <f>IFERROR(__xludf.DUMMYFUNCTION("GOOGLETRANSLATE(A2345, ""en"", ""mt"")"),"Fejn tinsab 97% tal-popolazzjoni?")</f>
        <v>Fejn tinsab 97% tal-popolazzjoni?</v>
      </c>
    </row>
    <row r="2346" ht="15.75" customHeight="1">
      <c r="A2346" s="2" t="s">
        <v>2346</v>
      </c>
      <c r="B2346" s="2" t="str">
        <f>IFERROR(__xludf.DUMMYFUNCTION("GOOGLETRANSLATE(A2346, ""en"", ""mt"")"),"L-ewwel rilaxx tal-awdjo tat-Tabib li rrelata kien hemm 21 minuta narrat tal-istorja tat-televiżjoni tal-Ewwel Tabib The Chase rilaxxata fl-1966. Għaxar snin wara, l-ewwel awdjo oriġinali Doctor Who ġie rilaxxat fuq LP Record; Doctor Who u l-Pescatons li "&amp;"jidhru r-raba ’tabib. L-ewwel audiobook disponibbli kummerċjalment kien qari mqassar tar-Raba 'Doctor Story State of Decay fl-1981. Fl-1988, waqt hiatus fl-ispettaklu televiżiv, Slipback, l-ewwel drama tar-radju, ġiet trasmessa.")</f>
        <v>L-ewwel rilaxx tal-awdjo tat-Tabib li rrelata kien hemm 21 minuta narrat tal-istorja tat-televiżjoni tal-Ewwel Tabib The Chase rilaxxata fl-1966. Għaxar snin wara, l-ewwel awdjo oriġinali Doctor Who ġie rilaxxat fuq LP Record; Doctor Who u l-Pescatons li jidhru r-raba ’tabib. L-ewwel audiobook disponibbli kummerċjalment kien qari mqassar tar-Raba 'Doctor Story State of Decay fl-1981. Fl-1988, waqt hiatus fl-ispettaklu televiżiv, Slipback, l-ewwel drama tar-radju, ġiet trasmessa.</v>
      </c>
    </row>
    <row r="2347" ht="15.75" customHeight="1">
      <c r="A2347" s="2" t="s">
        <v>2347</v>
      </c>
      <c r="B2347" s="2" t="str">
        <f>IFERROR(__xludf.DUMMYFUNCTION("GOOGLETRANSLATE(A2347, ""en"", ""mt"")"),"Kumitati tas-suġġetti attwali")</f>
        <v>Kumitati tas-suġġetti attwali</v>
      </c>
    </row>
    <row r="2348" ht="15.75" customHeight="1">
      <c r="A2348" s="2" t="s">
        <v>2348</v>
      </c>
      <c r="B2348" s="2" t="str">
        <f>IFERROR(__xludf.DUMMYFUNCTION("GOOGLETRANSLATE(A2348, ""en"", ""mt"")"),"Scariest TV Show ta 'kull żmien")</f>
        <v>Scariest TV Show ta 'kull żmien</v>
      </c>
    </row>
    <row r="2349" ht="15.75" customHeight="1">
      <c r="A2349" s="2" t="s">
        <v>2349</v>
      </c>
      <c r="B2349" s="2" t="str">
        <f>IFERROR(__xludf.DUMMYFUNCTION("GOOGLETRANSLATE(A2349, ""en"", ""mt"")"),"pitturi")</f>
        <v>pitturi</v>
      </c>
    </row>
    <row r="2350" ht="15.75" customHeight="1">
      <c r="A2350" s="2" t="s">
        <v>2350</v>
      </c>
      <c r="B2350" s="2" t="str">
        <f>IFERROR(__xludf.DUMMYFUNCTION("GOOGLETRANSLATE(A2350, ""en"", ""mt"")"),"Ċentru tat-Televiżjoni ABC, Lvant")</f>
        <v>Ċentru tat-Televiżjoni ABC, Lvant</v>
      </c>
    </row>
    <row r="2351" ht="15.75" customHeight="1">
      <c r="A2351" s="2" t="s">
        <v>2351</v>
      </c>
      <c r="B2351" s="2" t="str">
        <f>IFERROR(__xludf.DUMMYFUNCTION("GOOGLETRANSLATE(A2351, ""en"", ""mt"")"),"politikament u soċjalment instabbli")</f>
        <v>politikament u soċjalment instabbli</v>
      </c>
    </row>
    <row r="2352" ht="15.75" customHeight="1">
      <c r="A2352" s="2" t="s">
        <v>2352</v>
      </c>
      <c r="B2352" s="2" t="str">
        <f>IFERROR(__xludf.DUMMYFUNCTION("GOOGLETRANSLATE(A2352, ""en"", ""mt"")"),"Kull sena, iż-żona tan-Nofsinhar tal-Kalifornja għandha madwar 10,000 terremoti. Kważi kollha huma daqshekk żgħar li ma jinħassux. Diversi mijiet biss huma ikbar mill-kobor 3.0, u madwar 15-20 biss huma ikbar mill-kobor 4.0. It-terremot ta ’Kobor 6.7 1994"&amp;" Northridge kien partikolarment distruttiv, u kkawża numru sostanzjali ta’ mwiet, korrimenti, u kollass strutturali. Huwa kkawża l-iktar ħsara fuq il-proprjetà ta 'kwalunkwe terremot fl-istorja ta' l-Istati Uniti, stmata għal aktar minn $ 20 biljun.")</f>
        <v>Kull sena, iż-żona tan-Nofsinhar tal-Kalifornja għandha madwar 10,000 terremoti. Kważi kollha huma daqshekk żgħar li ma jinħassux. Diversi mijiet biss huma ikbar mill-kobor 3.0, u madwar 15-20 biss huma ikbar mill-kobor 4.0. It-terremot ta ’Kobor 6.7 1994 Northridge kien partikolarment distruttiv, u kkawża numru sostanzjali ta’ mwiet, korrimenti, u kollass strutturali. Huwa kkawża l-iktar ħsara fuq il-proprjetà ta 'kwalunkwe terremot fl-istorja ta' l-Istati Uniti, stmata għal aktar minn $ 20 biljun.</v>
      </c>
    </row>
    <row r="2353" ht="15.75" customHeight="1">
      <c r="A2353" s="2" t="s">
        <v>2353</v>
      </c>
      <c r="B2353" s="2" t="str">
        <f>IFERROR(__xludf.DUMMYFUNCTION("GOOGLETRANSLATE(A2353, ""en"", ""mt"")"),"220 mil (350 km)")</f>
        <v>220 mil (350 km)</v>
      </c>
    </row>
    <row r="2354" ht="15.75" customHeight="1">
      <c r="A2354" s="2" t="s">
        <v>2354</v>
      </c>
      <c r="B2354" s="2" t="str">
        <f>IFERROR(__xludf.DUMMYFUNCTION("GOOGLETRANSLATE(A2354, ""en"", ""mt"")"),"Tnaqqis tax-xogħol organizzat")</f>
        <v>Tnaqqis tax-xogħol organizzat</v>
      </c>
    </row>
    <row r="2355" ht="15.75" customHeight="1">
      <c r="A2355" s="2" t="s">
        <v>2355</v>
      </c>
      <c r="B2355" s="2" t="str">
        <f>IFERROR(__xludf.DUMMYFUNCTION("GOOGLETRANSLATE(A2355, ""en"", ""mt"")"),"Għal liema tip ta 'ħiliet is-suq joffri kumpens?")</f>
        <v>Għal liema tip ta 'ħiliet is-suq joffri kumpens?</v>
      </c>
    </row>
    <row r="2356" ht="15.75" customHeight="1">
      <c r="A2356" s="2" t="s">
        <v>2356</v>
      </c>
      <c r="B2356" s="2" t="str">
        <f>IFERROR(__xludf.DUMMYFUNCTION("GOOGLETRANSLATE(A2356, ""en"", ""mt"")"),"Deżert Mojave")</f>
        <v>Deżert Mojave</v>
      </c>
    </row>
    <row r="2357" ht="15.75" customHeight="1">
      <c r="A2357" s="2" t="s">
        <v>2357</v>
      </c>
      <c r="B2357" s="2" t="str">
        <f>IFERROR(__xludf.DUMMYFUNCTION("GOOGLETRANSLATE(A2357, ""en"", ""mt"")"),"Id-dejta tal-Landing Moon ġiet irreġistrata minn kamera speċjali tat-TV Apollo li rreġistrat f'format inkompatibbli mat-TV imxandar. Dan wassal għal filmati lunari li kellhom jiġu kkonvertiti għax-xandira tat-televiżjoni diretta u maħżuna fuq tejps tat-te"&amp;"lemetrija manjetika. Matul is-snin ta 'wara, nuqqas ta' tejp manjetiku ġiegħel lin-NASA biex tneħħi numru massiv ta 'tejps manjetiċi mill-Amministrazzjoni Nazzjonali tal-Arkivji u r-Rekords li għandhom jiġu rreġistrati b'data aktar ġdida bis-satellita. St"&amp;"an Lebar, li mexxa lit-tim li ddisinja u bena l-kamera televiżiva Lunar fil-Westinghouse Electric Corporation, ħadem ukoll ma 'Nafzger biex jipprova jsib it-tejps nieqsa.")</f>
        <v>Id-dejta tal-Landing Moon ġiet irreġistrata minn kamera speċjali tat-TV Apollo li rreġistrat f'format inkompatibbli mat-TV imxandar. Dan wassal għal filmati lunari li kellhom jiġu kkonvertiti għax-xandira tat-televiżjoni diretta u maħżuna fuq tejps tat-telemetrija manjetika. Matul is-snin ta 'wara, nuqqas ta' tejp manjetiku ġiegħel lin-NASA biex tneħħi numru massiv ta 'tejps manjetiċi mill-Amministrazzjoni Nazzjonali tal-Arkivji u r-Rekords li għandhom jiġu rreġistrati b'data aktar ġdida bis-satellita. Stan Lebar, li mexxa lit-tim li ddisinja u bena l-kamera televiżiva Lunar fil-Westinghouse Electric Corporation, ħadem ukoll ma 'Nafzger biex jipprova jsib it-tejps nieqsa.</v>
      </c>
    </row>
    <row r="2358" ht="15.75" customHeight="1">
      <c r="A2358" s="2" t="s">
        <v>2358</v>
      </c>
      <c r="B2358" s="2" t="str">
        <f>IFERROR(__xludf.DUMMYFUNCTION("GOOGLETRANSLATE(A2358, ""en"", ""mt"")"),"Ħafna mistoqsijiet rigward in-numri ewlenin jibqgħu miftuħa, bħall-konġettura ta 'Goldbach (li kull numru sħiħ akbar minn 2 jistgħu jiġu espressi bħala s-somma ta' żewġ primes), u l-konġettura ġemellata primarja (li hemm infinitament ħafna pari ta 'primes"&amp;" li d-differenza tagħhom hija 2) - Tali mistoqsijiet xprunaw l-iżvilupp ta 'diversi fergħat tat-teorija tan-numri, li jiffokaw fuq aspetti analitiċi jew alġebriċi tan-numri. Il-primes jintużaw f'diversi rutini fit-teknoloġija tal-informazzjoni, bħal kript"&amp;"ografija taċ-ċavetta pubblika, li tagħmel użu minn proprjetajiet bħad-diffikultà ta 'fattur ta' numru kbir fil-fatturi ewlenin tagħhom. In-numri ewlenin iwasslu għal diversi ġeneralizzazzjonijiet f'oqsma matematiċi oħra, prinċipalment alġebra, bħal elemen"&amp;"ti ewlenin u ideali ewlenin.")</f>
        <v>Ħafna mistoqsijiet rigward in-numri ewlenin jibqgħu miftuħa, bħall-konġettura ta 'Goldbach (li kull numru sħiħ akbar minn 2 jistgħu jiġu espressi bħala s-somma ta' żewġ primes), u l-konġettura ġemellata primarja (li hemm infinitament ħafna pari ta 'primes li d-differenza tagħhom hija 2) - Tali mistoqsijiet xprunaw l-iżvilupp ta 'diversi fergħat tat-teorija tan-numri, li jiffokaw fuq aspetti analitiċi jew alġebriċi tan-numri. Il-primes jintużaw f'diversi rutini fit-teknoloġija tal-informazzjoni, bħal kriptografija taċ-ċavetta pubblika, li tagħmel użu minn proprjetajiet bħad-diffikultà ta 'fattur ta' numru kbir fil-fatturi ewlenin tagħhom. In-numri ewlenin iwasslu għal diversi ġeneralizzazzjonijiet f'oqsma matematiċi oħra, prinċipalment alġebra, bħal elementi ewlenin u ideali ewlenin.</v>
      </c>
    </row>
    <row r="2359" ht="15.75" customHeight="1">
      <c r="A2359" s="2" t="s">
        <v>2359</v>
      </c>
      <c r="B2359" s="2" t="str">
        <f>IFERROR(__xludf.DUMMYFUNCTION("GOOGLETRANSLATE(A2359, ""en"", ""mt"")"),"il-korpi tal-ilma tad-dinja")</f>
        <v>il-korpi tal-ilma tad-dinja</v>
      </c>
    </row>
    <row r="2360" ht="15.75" customHeight="1">
      <c r="A2360" s="2" t="s">
        <v>2360</v>
      </c>
      <c r="B2360" s="2" t="str">
        <f>IFERROR(__xludf.DUMMYFUNCTION("GOOGLETRANSLATE(A2360, ""en"", ""mt"")"),"Aristotile")</f>
        <v>Aristotile</v>
      </c>
    </row>
    <row r="2361" ht="15.75" customHeight="1">
      <c r="A2361" s="2" t="s">
        <v>2361</v>
      </c>
      <c r="B2361" s="2" t="str">
        <f>IFERROR(__xludf.DUMMYFUNCTION("GOOGLETRANSLATE(A2361, ""en"", ""mt"")"),"Mużiċisti famużi")</f>
        <v>Mużiċisti famużi</v>
      </c>
    </row>
    <row r="2362" ht="15.75" customHeight="1">
      <c r="A2362" s="2" t="s">
        <v>2362</v>
      </c>
      <c r="B2362" s="2" t="str">
        <f>IFERROR(__xludf.DUMMYFUNCTION("GOOGLETRANSLATE(A2362, ""en"", ""mt"")"),"Liema fergħa tax-xjenza teoretika tal-kompjuter titratta l-klassifikazzjoni ġeneralment ta 'problemi tal-komputazzjoni permezz ta' diffikultà u klassi ta 'relazzjoni?")</f>
        <v>Liema fergħa tax-xjenza teoretika tal-kompjuter titratta l-klassifikazzjoni ġeneralment ta 'problemi tal-komputazzjoni permezz ta' diffikultà u klassi ta 'relazzjoni?</v>
      </c>
    </row>
    <row r="2363" ht="15.75" customHeight="1">
      <c r="A2363" s="2" t="s">
        <v>2363</v>
      </c>
      <c r="B2363" s="2" t="str">
        <f>IFERROR(__xludf.DUMMYFUNCTION("GOOGLETRANSLATE(A2363, ""en"", ""mt"")"),"Meta mqabbel ma 'kawżi oħra, huwa l-effett tal-kummerċ fuq l-inugwaljanza fl-Amerika?")</f>
        <v>Meta mqabbel ma 'kawżi oħra, huwa l-effett tal-kummerċ fuq l-inugwaljanza fl-Amerika?</v>
      </c>
    </row>
    <row r="2364" ht="15.75" customHeight="1">
      <c r="A2364" s="2" t="s">
        <v>2364</v>
      </c>
      <c r="B2364" s="2" t="str">
        <f>IFERROR(__xludf.DUMMYFUNCTION("GOOGLETRANSLATE(A2364, ""en"", ""mt"")"),"Liema tweġibiet jipproteġu l-pulmuni billi jeħilsu mekkanikament patoġeni mis-sistema respiratorja?")</f>
        <v>Liema tweġibiet jipproteġu l-pulmuni billi jeħilsu mekkanikament patoġeni mis-sistema respiratorja?</v>
      </c>
    </row>
    <row r="2365" ht="15.75" customHeight="1">
      <c r="A2365" s="2" t="s">
        <v>2365</v>
      </c>
      <c r="B2365" s="2" t="str">
        <f>IFERROR(__xludf.DUMMYFUNCTION("GOOGLETRANSLATE(A2365, ""en"", ""mt"")"),"X'inhi l-loġika wara l-istrateġija evoluzzjonarja tan-numru Cicadas?")</f>
        <v>X'inhi l-loġika wara l-istrateġija evoluzzjonarja tan-numru Cicadas?</v>
      </c>
    </row>
    <row r="2366" ht="15.75" customHeight="1">
      <c r="A2366" s="2" t="s">
        <v>2366</v>
      </c>
      <c r="B2366" s="2" t="str">
        <f>IFERROR(__xludf.DUMMYFUNCTION("GOOGLETRANSLATE(A2366, ""en"", ""mt"")"),"għant li fih jista 'jiġi rtirat")</f>
        <v>għant li fih jista 'jiġi rtirat</v>
      </c>
    </row>
    <row r="2367" ht="15.75" customHeight="1">
      <c r="A2367" s="2" t="s">
        <v>2367</v>
      </c>
      <c r="B2367" s="2" t="str">
        <f>IFERROR(__xludf.DUMMYFUNCTION("GOOGLETRANSLATE(A2367, ""en"", ""mt"")"),"Kemm tipi ta 'fantaxjenza ġew milquta minn Tesla?")</f>
        <v>Kemm tipi ta 'fantaxjenza ġew milquta minn Tesla?</v>
      </c>
    </row>
    <row r="2368" ht="15.75" customHeight="1">
      <c r="A2368" s="2" t="s">
        <v>2368</v>
      </c>
      <c r="B2368" s="2" t="str">
        <f>IFERROR(__xludf.DUMMYFUNCTION("GOOGLETRANSLATE(A2368, ""en"", ""mt"")"),"singularment, imwaħħal direttament mat-tilakoid ġenitur tagħhom")</f>
        <v>singularment, imwaħħal direttament mat-tilakoid ġenitur tagħhom</v>
      </c>
    </row>
    <row r="2369" ht="15.75" customHeight="1">
      <c r="A2369" s="2" t="s">
        <v>2369</v>
      </c>
      <c r="B2369" s="2" t="str">
        <f>IFERROR(__xludf.DUMMYFUNCTION("GOOGLETRANSLATE(A2369, ""en"", ""mt"")"),"Wara r-revoka tal-editt ta 'Nantes, ir-Repubblika Olandiża rċeviet l-akbar grupp ta' refuġjati Huguenot, total stmat ta '75,000 sa 100,000 persuna. Fost dawn kien hemm 200 kleru. Ħafna ġew mir-reġjun ta 'Cévennes, pereżempju, il-villaġġ ta' Fraissinet-de-"&amp;"Lozère. Dan kien influss enormi peress li l-popolazzjoni kollha tar-repubblika Olandiża kienet tammonta għal ca. 2 miljun dak iż-żmien. Madwar l-1700, huwa stmat li kważi 25% tal-popolazzjoni ta 'Amsterdam kienet Huguenot. [Ċitazzjoni meħtieġa] fl-1705, A"&amp;"msterdam u ż-żona ta' West Frisia kienu l-ewwel żoni li pprovdew drittijiet sħaħ liċ-ċittadini għall-immigranti Huguenot, segwiti mir-Repubblika Olandiża fi 1715. Huguenots żarmat mal-Olandiż mill-bidu.")</f>
        <v>Wara r-revoka tal-editt ta 'Nantes, ir-Repubblika Olandiża rċeviet l-akbar grupp ta' refuġjati Huguenot, total stmat ta '75,000 sa 100,000 persuna. Fost dawn kien hemm 200 kleru. Ħafna ġew mir-reġjun ta 'Cévennes, pereżempju, il-villaġġ ta' Fraissinet-de-Lozère. Dan kien influss enormi peress li l-popolazzjoni kollha tar-repubblika Olandiża kienet tammonta għal ca. 2 miljun dak iż-żmien. Madwar l-1700, huwa stmat li kważi 25% tal-popolazzjoni ta 'Amsterdam kienet Huguenot. [Ċitazzjoni meħtieġa] fl-1705, Amsterdam u ż-żona ta' West Frisia kienu l-ewwel żoni li pprovdew drittijiet sħaħ liċ-ċittadini għall-immigranti Huguenot, segwiti mir-Repubblika Olandiża fi 1715. Huguenots żarmat mal-Olandiż mill-bidu.</v>
      </c>
    </row>
    <row r="2370" ht="15.75" customHeight="1">
      <c r="A2370" s="2" t="s">
        <v>2370</v>
      </c>
      <c r="B2370" s="2" t="str">
        <f>IFERROR(__xludf.DUMMYFUNCTION("GOOGLETRANSLATE(A2370, ""en"", ""mt"")"),"Ċentru Barnett")</f>
        <v>Ċentru Barnett</v>
      </c>
    </row>
    <row r="2371" ht="15.75" customHeight="1">
      <c r="A2371" s="2" t="s">
        <v>2371</v>
      </c>
      <c r="B2371" s="2" t="str">
        <f>IFERROR(__xludf.DUMMYFUNCTION("GOOGLETRANSLATE(A2371, ""en"", ""mt"")"),"$ 465 miljun")</f>
        <v>$ 465 miljun</v>
      </c>
    </row>
    <row r="2372" ht="15.75" customHeight="1">
      <c r="A2372" s="2" t="s">
        <v>2372</v>
      </c>
      <c r="B2372" s="2" t="str">
        <f>IFERROR(__xludf.DUMMYFUNCTION("GOOGLETRANSLATE(A2372, ""en"", ""mt"")"),"is-seba 'tabib")</f>
        <v>is-seba 'tabib</v>
      </c>
    </row>
    <row r="2373" ht="15.75" customHeight="1">
      <c r="A2373" s="2" t="s">
        <v>2373</v>
      </c>
      <c r="B2373" s="2" t="str">
        <f>IFERROR(__xludf.DUMMYFUNCTION("GOOGLETRANSLATE(A2373, ""en"", ""mt"")"),"Sal-ftuħ tal-Konferenza Ġenerali tal-2008, is-sħubija totali tal-UMC kienet stmata għal 11.4 miljun, b'madwar 7.9 miljun fl-Istati Uniti u 3.5 miljun barranin. B'mod sinifikanti, madwar 20% tad-delegati tal-konferenza kienu mill-Afrika, bil-Filippini u l-"&amp;"Ewropej jagħmlu 10% oħra. Matul il-konferenza, id-delegati vvutaw biex jiffinalizzaw l-induzzjoni tal-Knisja Metodista tal-Kosta tal-Avorju u s-700,000 membru tagħha fid-denominazzjoni. Minħabba x-xejriet attwali fl-UMC - bil-knejjes barranin li qed jikbr"&amp;"u, speċjalment fl-Afrika, u l-knejjes tal-Istati Uniti jitilfu b’mod kollettiv madwar 1,000 membru fil-ġimgħa - ġie stmat li l-Afrikani se jiffurmaw mill-inqas 30% tad-delegati fil-Konferenza Ġenerali tal-2012, u Huwa wkoll possibbli li 40% tad-delegati j"&amp;"kunu minn barra l-Istati Uniti Isqof Kongoliż stmat li l-attendenza tipika tal-Ħadd tal-UMC hija ogħla f'pajjiżu milli fl-Istati Uniti kollha.")</f>
        <v>Sal-ftuħ tal-Konferenza Ġenerali tal-2008, is-sħubija totali tal-UMC kienet stmata għal 11.4 miljun, b'madwar 7.9 miljun fl-Istati Uniti u 3.5 miljun barranin. B'mod sinifikanti, madwar 20% tad-delegati tal-konferenza kienu mill-Afrika, bil-Filippini u l-Ewropej jagħmlu 10% oħra. Matul il-konferenza, id-delegati vvutaw biex jiffinalizzaw l-induzzjoni tal-Knisja Metodista tal-Kosta tal-Avorju u s-700,000 membru tagħha fid-denominazzjoni. Minħabba x-xejriet attwali fl-UMC - bil-knejjes barranin li qed jikbru, speċjalment fl-Afrika, u l-knejjes tal-Istati Uniti jitilfu b’mod kollettiv madwar 1,000 membru fil-ġimgħa - ġie stmat li l-Afrikani se jiffurmaw mill-inqas 30% tad-delegati fil-Konferenza Ġenerali tal-2012, u Huwa wkoll possibbli li 40% tad-delegati jkunu minn barra l-Istati Uniti Isqof Kongoliż stmat li l-attendenza tipika tal-Ħadd tal-UMC hija ogħla f'pajjiżu milli fl-Istati Uniti kollha.</v>
      </c>
    </row>
    <row r="2374" ht="15.75" customHeight="1">
      <c r="A2374" s="2" t="s">
        <v>2374</v>
      </c>
      <c r="B2374" s="2" t="str">
        <f>IFERROR(__xludf.DUMMYFUNCTION("GOOGLETRANSLATE(A2374, ""en"", ""mt"")"),"Stati u territorji individwali")</f>
        <v>Stati u territorji individwali</v>
      </c>
    </row>
    <row r="2375" ht="15.75" customHeight="1">
      <c r="A2375" s="2" t="s">
        <v>2375</v>
      </c>
      <c r="B2375" s="2" t="str">
        <f>IFERROR(__xludf.DUMMYFUNCTION("GOOGLETRANSLATE(A2375, ""en"", ""mt"")"),"In-natura tal-Ewkaristija")</f>
        <v>In-natura tal-Ewkaristija</v>
      </c>
    </row>
    <row r="2376" ht="15.75" customHeight="1">
      <c r="A2376" s="2" t="s">
        <v>2376</v>
      </c>
      <c r="B2376" s="2" t="str">
        <f>IFERROR(__xludf.DUMMYFUNCTION("GOOGLETRANSLATE(A2376, ""en"", ""mt"")"),"Il-Qorti tal-Ġustizzja tal-Unjoni Ewropea tista 'tinterpreta t-trattati")</f>
        <v>Il-Qorti tal-Ġustizzja tal-Unjoni Ewropea tista 'tinterpreta t-trattati</v>
      </c>
    </row>
    <row r="2377" ht="15.75" customHeight="1">
      <c r="A2377" s="2" t="s">
        <v>2377</v>
      </c>
      <c r="B2377" s="2" t="str">
        <f>IFERROR(__xludf.DUMMYFUNCTION("GOOGLETRANSLATE(A2377, ""en"", ""mt"")"),"Liema kulturi kienu parti mill-amministrazzjoni ta 'Kublai?")</f>
        <v>Liema kulturi kienu parti mill-amministrazzjoni ta 'Kublai?</v>
      </c>
    </row>
    <row r="2378" ht="15.75" customHeight="1">
      <c r="A2378" s="2" t="s">
        <v>2378</v>
      </c>
      <c r="B2378" s="2" t="str">
        <f>IFERROR(__xludf.DUMMYFUNCTION("GOOGLETRANSLATE(A2378, ""en"", ""mt"")"),"X'tip ta 'materjali kombustibbli kienu meqjusa li għandhom ftit Philogiston?")</f>
        <v>X'tip ta 'materjali kombustibbli kienu meqjusa li għandhom ftit Philogiston?</v>
      </c>
    </row>
    <row r="2379" ht="15.75" customHeight="1">
      <c r="A2379" s="2" t="s">
        <v>2379</v>
      </c>
      <c r="B2379" s="2" t="str">
        <f>IFERROR(__xludf.DUMMYFUNCTION("GOOGLETRANSLATE(A2379, ""en"", ""mt"")"),"X'inhi l-ħarba tal-fwar x'aktarx ma twettaqx kollha ħlief l-iżgħar bojlers?")</f>
        <v>X'inhi l-ħarba tal-fwar x'aktarx ma twettaqx kollha ħlief l-iżgħar bojlers?</v>
      </c>
    </row>
    <row r="2380" ht="15.75" customHeight="1">
      <c r="A2380" s="2" t="s">
        <v>2380</v>
      </c>
      <c r="B2380" s="2" t="str">
        <f>IFERROR(__xludf.DUMMYFUNCTION("GOOGLETRANSLATE(A2380, ""en"", ""mt"")"),"Liema organizzazzjoni bassret li l-foresta tal-Amażonja tista 'tibqa' ħajja biss tliet snin ta 'nixfa?")</f>
        <v>Liema organizzazzjoni bassret li l-foresta tal-Amażonja tista 'tibqa' ħajja biss tliet snin ta 'nixfa?</v>
      </c>
    </row>
    <row r="2381" ht="15.75" customHeight="1">
      <c r="A2381" s="2" t="s">
        <v>2381</v>
      </c>
      <c r="B2381" s="2" t="str">
        <f>IFERROR(__xludf.DUMMYFUNCTION("GOOGLETRANSLATE(A2381, ""en"", ""mt"")"),"X'inhuma l-uniċi stati fejn l-ABC m'għandux affiljat liċenzjat?")</f>
        <v>X'inhuma l-uniċi stati fejn l-ABC m'għandux affiljat liċenzjat?</v>
      </c>
    </row>
    <row r="2382" ht="15.75" customHeight="1">
      <c r="A2382" s="2" t="s">
        <v>2382</v>
      </c>
      <c r="B2382" s="2" t="str">
        <f>IFERROR(__xludf.DUMMYFUNCTION("GOOGLETRANSLATE(A2382, ""en"", ""mt"")"),"forza elettrostatika (minħabba l-kamp elettriku) u l-forza manjetika")</f>
        <v>forza elettrostatika (minħabba l-kamp elettriku) u l-forza manjetika</v>
      </c>
    </row>
    <row r="2383" ht="15.75" customHeight="1">
      <c r="A2383" s="2" t="s">
        <v>2383</v>
      </c>
      <c r="B2383" s="2" t="str">
        <f>IFERROR(__xludf.DUMMYFUNCTION("GOOGLETRANSLATE(A2383, ""en"", ""mt"")"),"Kemm-il koordinazzjoni ta 'awturi ewlenin għandu kapitolu ta' rapport IPCC?")</f>
        <v>Kemm-il koordinazzjoni ta 'awturi ewlenin għandu kapitolu ta' rapport IPCC?</v>
      </c>
    </row>
    <row r="2384" ht="15.75" customHeight="1">
      <c r="A2384" s="2" t="s">
        <v>2384</v>
      </c>
      <c r="B2384" s="2" t="str">
        <f>IFERROR(__xludf.DUMMYFUNCTION("GOOGLETRANSLATE(A2384, ""en"", ""mt"")"),"Leġislazzjoni domestika tal-Parlament Skoċċiż.")</f>
        <v>Leġislazzjoni domestika tal-Parlament Skoċċiż.</v>
      </c>
    </row>
    <row r="2385" ht="15.75" customHeight="1">
      <c r="A2385" s="2" t="s">
        <v>2385</v>
      </c>
      <c r="B2385" s="2" t="str">
        <f>IFERROR(__xludf.DUMMYFUNCTION("GOOGLETRANSLATE(A2385, ""en"", ""mt"")"),"Liema magni ntużaw matul il-biċċa l-kbira tas-seklu 20 biex jimbottaw vapuri?")</f>
        <v>Liema magni ntużaw matul il-biċċa l-kbira tas-seklu 20 biex jimbottaw vapuri?</v>
      </c>
    </row>
    <row r="2386" ht="15.75" customHeight="1">
      <c r="A2386" s="2" t="s">
        <v>2386</v>
      </c>
      <c r="B2386" s="2" t="str">
        <f>IFERROR(__xludf.DUMMYFUNCTION("GOOGLETRANSLATE(A2386, ""en"", ""mt"")"),"Laboratorju")</f>
        <v>Laboratorju</v>
      </c>
    </row>
    <row r="2387" ht="15.75" customHeight="1">
      <c r="A2387" s="2" t="s">
        <v>2387</v>
      </c>
      <c r="B2387" s="2" t="str">
        <f>IFERROR(__xludf.DUMMYFUNCTION("GOOGLETRANSLATE(A2387, ""en"", ""mt"")"),"X'inhu l-isem tal-ewwel tabib min serjali?")</f>
        <v>X'inhu l-isem tal-ewwel tabib min serjali?</v>
      </c>
    </row>
    <row r="2388" ht="15.75" customHeight="1">
      <c r="A2388" s="2" t="s">
        <v>2388</v>
      </c>
      <c r="B2388" s="2" t="str">
        <f>IFERROR(__xludf.DUMMYFUNCTION("GOOGLETRANSLATE(A2388, ""en"", ""mt"")"),"Fakultà tal-passat inkludew ukoll l-Eġitologu James Henry Breasted, il-matematiku Alberto Calderón, l-ekonomista rebbieħa tal-Premju Nobel u d-difensur tal-liberaliżmu klassiku Friedrich Hayek, it-meteorologu Ted Fujita, l-ispiżjar Glenn T. Seaborg, l-iżv"&amp;"iluppatur tal-kunċett ta 'l-attinide u r-rebbieħ tal-Premju Nobel Yuan T. Lee, Ir-rumanzier rebbieħ tal-Premju Nobel Saul Bellow, filosofu politiku u l-awtur Allan Bloom, ir-riċerkaturi tal-kanċer Charles Brenton Huggins u Janet Rowley, l-astronomu Gerard"&amp;" Kuiper, wieħed mill-iktar figuri importanti fid-dixxiplina tad-dixxiplina tad-dixxiplina tal-lingwistika Edward Sapir, u l-fundatur ta ’McKinsey &amp; Co., James O. McKinsey.")</f>
        <v>Fakultà tal-passat inkludew ukoll l-Eġitologu James Henry Breasted, il-matematiku Alberto Calderón, l-ekonomista rebbieħa tal-Premju Nobel u d-difensur tal-liberaliżmu klassiku Friedrich Hayek, it-meteorologu Ted Fujita, l-ispiżjar Glenn T. Seaborg, l-iżviluppatur tal-kunċett ta 'l-attinide u r-rebbieħ tal-Premju Nobel Yuan T. Lee, Ir-rumanzier rebbieħ tal-Premju Nobel Saul Bellow, filosofu politiku u l-awtur Allan Bloom, ir-riċerkaturi tal-kanċer Charles Brenton Huggins u Janet Rowley, l-astronomu Gerard Kuiper, wieħed mill-iktar figuri importanti fid-dixxiplina tad-dixxiplina tad-dixxiplina tal-lingwistika Edward Sapir, u l-fundatur ta ’McKinsey &amp; Co., James O. McKinsey.</v>
      </c>
    </row>
    <row r="2389" ht="15.75" customHeight="1">
      <c r="A2389" s="2" t="s">
        <v>2389</v>
      </c>
      <c r="B2389" s="2" t="str">
        <f>IFERROR(__xludf.DUMMYFUNCTION("GOOGLETRANSLATE(A2389, ""en"", ""mt"")"),"Konsiderazzjonijiet makrofiżiċi li jrendu l-forzi bħala li jirriżultaw minn medja statistika makroskopika ta 'mikrostati")</f>
        <v>Konsiderazzjonijiet makrofiżiċi li jrendu l-forzi bħala li jirriżultaw minn medja statistika makroskopika ta 'mikrostati</v>
      </c>
    </row>
    <row r="2390" ht="15.75" customHeight="1">
      <c r="A2390" s="2" t="s">
        <v>2390</v>
      </c>
      <c r="B2390" s="2" t="str">
        <f>IFERROR(__xludf.DUMMYFUNCTION("GOOGLETRANSLATE(A2390, ""en"", ""mt"")"),", Albert ta 'Mainz")</f>
        <v>, Albert ta 'Mainz</v>
      </c>
    </row>
    <row r="2391" ht="15.75" customHeight="1">
      <c r="A2391" s="2" t="s">
        <v>2391</v>
      </c>
      <c r="B2391" s="2" t="str">
        <f>IFERROR(__xludf.DUMMYFUNCTION("GOOGLETRANSLATE(A2391, ""en"", ""mt"")"),"F'intervista mal-editur tal-gazzetta Arthur Brisbane, Tesla qalet li ma emminx fit-telepatija, billi ddikjara, ""Ejja ngħidu li għamilt moħħi biex joqtolok,"" qal, ""Fit-tieni tkun tafha. Issa, mhux Dak mill-isbaħ? B'liema proċess il-moħħ jikseb dan kollu"&amp;"? "" Fl-istess intervista, Tesla qalet li huwa jemmen li l-liġijiet fundamentali kollha jistgħu jitnaqqsu għal waħda.")</f>
        <v>F'intervista mal-editur tal-gazzetta Arthur Brisbane, Tesla qalet li ma emminx fit-telepatija, billi ddikjara, "Ejja ngħidu li għamilt moħħi biex joqtolok," qal, "Fit-tieni tkun tafha. Issa, mhux Dak mill-isbaħ? B'liema proċess il-moħħ jikseb dan kollu? " Fl-istess intervista, Tesla qalet li huwa jemmen li l-liġijiet fundamentali kollha jistgħu jitnaqqsu għal waħda.</v>
      </c>
    </row>
    <row r="2392" ht="15.75" customHeight="1">
      <c r="A2392" s="2" t="s">
        <v>2392</v>
      </c>
      <c r="B2392" s="2" t="str">
        <f>IFERROR(__xludf.DUMMYFUNCTION("GOOGLETRANSLATE(A2392, ""en"", ""mt"")"),"skopijiet kontra l-ajruplani")</f>
        <v>skopijiet kontra l-ajruplani</v>
      </c>
    </row>
    <row r="2393" ht="15.75" customHeight="1">
      <c r="A2393" s="2" t="s">
        <v>2393</v>
      </c>
      <c r="B2393" s="2" t="str">
        <f>IFERROR(__xludf.DUMMYFUNCTION("GOOGLETRANSLATE(A2393, ""en"", ""mt"")"),"Sistema b'żewġ fażijiet")</f>
        <v>Sistema b'żewġ fażijiet</v>
      </c>
    </row>
    <row r="2394" ht="15.75" customHeight="1">
      <c r="A2394" s="2" t="s">
        <v>2394</v>
      </c>
      <c r="B2394" s="2" t="str">
        <f>IFERROR(__xludf.DUMMYFUNCTION("GOOGLETRANSLATE(A2394, ""en"", ""mt"")"),"Fejn huma mgħallma kważi l-għalliema kollha?")</f>
        <v>Fejn huma mgħallma kważi l-għalliema kollha?</v>
      </c>
    </row>
    <row r="2395" ht="15.75" customHeight="1">
      <c r="A2395" s="2" t="s">
        <v>2395</v>
      </c>
      <c r="B2395" s="2" t="str">
        <f>IFERROR(__xludf.DUMMYFUNCTION("GOOGLETRANSLATE(A2395, ""en"", ""mt"")"),"14 sa 17-il seklu")</f>
        <v>14 sa 17-il seklu</v>
      </c>
    </row>
    <row r="2396" ht="15.75" customHeight="1">
      <c r="A2396" s="2" t="s">
        <v>2396</v>
      </c>
      <c r="B2396" s="2" t="str">
        <f>IFERROR(__xludf.DUMMYFUNCTION("GOOGLETRANSLATE(A2396, ""en"", ""mt"")"),"Problemi semantiċi u niceties grammatikali")</f>
        <v>Problemi semantiċi u niceties grammatikali</v>
      </c>
    </row>
    <row r="2397" ht="15.75" customHeight="1">
      <c r="A2397" s="2" t="s">
        <v>2397</v>
      </c>
      <c r="B2397" s="2" t="str">
        <f>IFERROR(__xludf.DUMMYFUNCTION("GOOGLETRANSLATE(A2397, ""en"", ""mt"")"),"Liema knisja tinsab fil-kantuniera tar-4 u toroq ġodda f'Piladelfja?")</f>
        <v>Liema knisja tinsab fil-kantuniera tar-4 u toroq ġodda f'Piladelfja?</v>
      </c>
    </row>
    <row r="2398" ht="15.75" customHeight="1">
      <c r="A2398" s="2" t="s">
        <v>2398</v>
      </c>
      <c r="B2398" s="2" t="str">
        <f>IFERROR(__xludf.DUMMYFUNCTION("GOOGLETRANSLATE(A2398, ""en"", ""mt"")"),"Minbarra korp ġdid, x'iktar jinbidel dwar it-tabib?")</f>
        <v>Minbarra korp ġdid, x'iktar jinbidel dwar it-tabib?</v>
      </c>
    </row>
    <row r="2399" ht="15.75" customHeight="1">
      <c r="A2399" s="2" t="s">
        <v>2399</v>
      </c>
      <c r="B2399" s="2" t="str">
        <f>IFERROR(__xludf.DUMMYFUNCTION("GOOGLETRANSLATE(A2399, ""en"", ""mt"")"),"Il-pass ewlieni li jmiss seħħ meta James Watt żviluppa (1763-1775) verżjoni mtejba tal-magna ta ’Newcomen, b’kondensatur separat. Il-magni bikrija ta 'Boulton u Watt użaw nofs il-faħam daqs il-verżjoni mtejba ta' John Smeaton ta 'Newcomen. Il-magni bikrij"&amp;"a ta 'Newcomen u Watt kienu ""atmosferiċi"". Kienu mħaddma mill-pressjoni tal-arja li ġiegħlu pistun fil-vakwu parzjali ġġenerat mill-kondensazzjoni tal-fwar, minflok il-pressjoni tal-espansjoni tal-fwar. Iċ-ċilindri tal-magna kellhom ikunu kbar minħabba "&amp;"li l-unika forza li tista 'taġixxi fuqhom kienet dovuta għal pressjoni atmosferika.")</f>
        <v>Il-pass ewlieni li jmiss seħħ meta James Watt żviluppa (1763-1775) verżjoni mtejba tal-magna ta ’Newcomen, b’kondensatur separat. Il-magni bikrija ta 'Boulton u Watt użaw nofs il-faħam daqs il-verżjoni mtejba ta' John Smeaton ta 'Newcomen. Il-magni bikrija ta 'Newcomen u Watt kienu "atmosferiċi". Kienu mħaddma mill-pressjoni tal-arja li ġiegħlu pistun fil-vakwu parzjali ġġenerat mill-kondensazzjoni tal-fwar, minflok il-pressjoni tal-espansjoni tal-fwar. Iċ-ċilindri tal-magna kellhom ikunu kbar minħabba li l-unika forza li tista 'taġixxi fuqhom kienet dovuta għal pressjoni atmosferika.</v>
      </c>
    </row>
    <row r="2400" ht="15.75" customHeight="1">
      <c r="A2400" s="2" t="s">
        <v>2400</v>
      </c>
      <c r="B2400" s="2" t="str">
        <f>IFERROR(__xludf.DUMMYFUNCTION("GOOGLETRANSLATE(A2400, ""en"", ""mt"")"),"Liema entità huwa l-korp leġiżlattiv sekondarju?")</f>
        <v>Liema entità huwa l-korp leġiżlattiv sekondarju?</v>
      </c>
    </row>
    <row r="2401" ht="15.75" customHeight="1">
      <c r="A2401" s="2" t="s">
        <v>2401</v>
      </c>
      <c r="B2401" s="2" t="str">
        <f>IFERROR(__xludf.DUMMYFUNCTION("GOOGLETRANSLATE(A2401, ""en"", ""mt"")"),"kumplessità")</f>
        <v>kumplessità</v>
      </c>
    </row>
    <row r="2402" ht="15.75" customHeight="1">
      <c r="A2402" s="2" t="s">
        <v>2402</v>
      </c>
      <c r="B2402" s="2" t="str">
        <f>IFERROR(__xludf.DUMMYFUNCTION("GOOGLETRANSLATE(A2402, ""en"", ""mt"")"),"X'inhu l-isem tal-gallerija ddedikata għall-arti Ċiniża?")</f>
        <v>X'inhu l-isem tal-gallerija ddedikata għall-arti Ċiniża?</v>
      </c>
    </row>
    <row r="2403" ht="15.75" customHeight="1">
      <c r="A2403" s="2" t="s">
        <v>2403</v>
      </c>
      <c r="B2403" s="2" t="str">
        <f>IFERROR(__xludf.DUMMYFUNCTION("GOOGLETRANSLATE(A2403, ""en"", ""mt"")"),"X'żieda f'Novembru 2011?")</f>
        <v>X'żieda f'Novembru 2011?</v>
      </c>
    </row>
    <row r="2404" ht="15.75" customHeight="1">
      <c r="A2404" s="2" t="s">
        <v>2404</v>
      </c>
      <c r="B2404" s="2" t="str">
        <f>IFERROR(__xludf.DUMMYFUNCTION("GOOGLETRANSLATE(A2404, ""en"", ""mt"")"),"Partiċelli tal-punt idealizzati aktar milli oġġetti tridimensjonali")</f>
        <v>Partiċelli tal-punt idealizzati aktar milli oġġetti tridimensjonali</v>
      </c>
    </row>
    <row r="2405" ht="15.75" customHeight="1">
      <c r="A2405" s="2" t="s">
        <v>2405</v>
      </c>
      <c r="B2405" s="2" t="str">
        <f>IFERROR(__xludf.DUMMYFUNCTION("GOOGLETRANSLATE(A2405, ""en"", ""mt"")"),"It-teorema fundamentali tal-Euclid tal-aritmetika")</f>
        <v>It-teorema fundamentali tal-Euclid tal-aritmetika</v>
      </c>
    </row>
    <row r="2406" ht="15.75" customHeight="1">
      <c r="A2406" s="2" t="s">
        <v>2406</v>
      </c>
      <c r="B2406" s="2" t="str">
        <f>IFERROR(__xludf.DUMMYFUNCTION("GOOGLETRANSLATE(A2406, ""en"", ""mt"")"),"Disa 'wieħed")</f>
        <v>Disa 'wieħed</v>
      </c>
    </row>
    <row r="2407" ht="15.75" customHeight="1">
      <c r="A2407" s="2" t="s">
        <v>2407</v>
      </c>
      <c r="B2407" s="2" t="str">
        <f>IFERROR(__xludf.DUMMYFUNCTION("GOOGLETRANSLATE(A2407, ""en"", ""mt"")"),"kwiet")</f>
        <v>kwiet</v>
      </c>
    </row>
    <row r="2408" ht="15.75" customHeight="1">
      <c r="A2408" s="2" t="s">
        <v>2408</v>
      </c>
      <c r="B2408" s="2" t="str">
        <f>IFERROR(__xludf.DUMMYFUNCTION("GOOGLETRANSLATE(A2408, ""en"", ""mt"")"),"Is-sistema bħalissa għaddejja minn perjodu ta 'rinnovar u modernizzazzjoni, intitolat ""Metro: All Change."" Il-programm ħa post il-magni tal-biljetti kollha u introduċa l-kanċelli tal-biljetti fl-istazzjonijiet l-aktar traffikużi - parti mit-tranżizzjoni"&amp;" għall-biljetti intelliġenti. Il-ferroviji kollha tal-metro qed jiġu rranġati kompletament u l-biċċa l-kbira tal-istazzjonijiet għaddejjin minn xogħlijiet ta 'titjib (jew f'xi każijiet rikostruzzjoni sħiħa, pereżempju ta' North Shields). Barra minn hekk; "&amp;"Il-binarji, is-sinjalazzjoni u l-wajers ġenerali qed jiġu rranġati wkoll. Pjanijiet fit-tul jinkludu l-akkwist ta 'flotta kompletament ġdida ta' ferroviji u aktar estensjonijiet għas-sistema. Ir-rotot proposti jinkludu lejn Newcastle's West End, lejn il-P"&amp;"ark tan-Negozju tal-Kobalt fit-Tramuntana ta 'Tyneside, lejn il-Metrocentre f'Gateshead u għal postijiet addizzjonali f'Gateshead, South Tyneside u Sunderland. Bosta mir-rotot proposti jkunu jeħtieġu trammijiet għall-kuntrarju tal-ferroviji tal-ferrovija "&amp;"ħafifa attwali.")</f>
        <v>Is-sistema bħalissa għaddejja minn perjodu ta 'rinnovar u modernizzazzjoni, intitolat "Metro: All Change." Il-programm ħa post il-magni tal-biljetti kollha u introduċa l-kanċelli tal-biljetti fl-istazzjonijiet l-aktar traffikużi - parti mit-tranżizzjoni għall-biljetti intelliġenti. Il-ferroviji kollha tal-metro qed jiġu rranġati kompletament u l-biċċa l-kbira tal-istazzjonijiet għaddejjin minn xogħlijiet ta 'titjib (jew f'xi każijiet rikostruzzjoni sħiħa, pereżempju ta' North Shields). Barra minn hekk; Il-binarji, is-sinjalazzjoni u l-wajers ġenerali qed jiġu rranġati wkoll. Pjanijiet fit-tul jinkludu l-akkwist ta 'flotta kompletament ġdida ta' ferroviji u aktar estensjonijiet għas-sistema. Ir-rotot proposti jinkludu lejn Newcastle's West End, lejn il-Park tan-Negozju tal-Kobalt fit-Tramuntana ta 'Tyneside, lejn il-Metrocentre f'Gateshead u għal postijiet addizzjonali f'Gateshead, South Tyneside u Sunderland. Bosta mir-rotot proposti jkunu jeħtieġu trammijiet għall-kuntrarju tal-ferroviji tal-ferrovija ħafifa attwali.</v>
      </c>
    </row>
    <row r="2409" ht="15.75" customHeight="1">
      <c r="A2409" s="2" t="s">
        <v>2409</v>
      </c>
      <c r="B2409" s="2" t="str">
        <f>IFERROR(__xludf.DUMMYFUNCTION("GOOGLETRANSLATE(A2409, ""en"", ""mt"")"),"X’tagħmel il-massa l-ġdida fir-rigward taċ-ċerimonja?")</f>
        <v>X’tagħmel il-massa l-ġdida fir-rigward taċ-ċerimonja?</v>
      </c>
    </row>
    <row r="2410" ht="15.75" customHeight="1">
      <c r="A2410" s="2" t="s">
        <v>2410</v>
      </c>
      <c r="B2410" s="2" t="str">
        <f>IFERROR(__xludf.DUMMYFUNCTION("GOOGLETRANSLATE(A2410, ""en"", ""mt"")"),"Burnout fuq il-post tax-xogħol")</f>
        <v>Burnout fuq il-post tax-xogħol</v>
      </c>
    </row>
    <row r="2411" ht="15.75" customHeight="1">
      <c r="A2411" s="2" t="s">
        <v>2411</v>
      </c>
      <c r="B2411" s="2" t="str">
        <f>IFERROR(__xludf.DUMMYFUNCTION("GOOGLETRANSLATE(A2411, ""en"", ""mt"")"),"X’irbaħ ir-rebħ tal-Università ta ’Newcastle fl-2000?")</f>
        <v>X’irbaħ ir-rebħ tal-Università ta ’Newcastle fl-2000?</v>
      </c>
    </row>
    <row r="2412" ht="15.75" customHeight="1">
      <c r="A2412" s="2" t="s">
        <v>2412</v>
      </c>
      <c r="B2412" s="2" t="str">
        <f>IFERROR(__xludf.DUMMYFUNCTION("GOOGLETRANSLATE(A2412, ""en"", ""mt"")"),"Temüjin kellu tliet aħwa jismu Hasar, Hachiun, u Temüge, u oħt waħda bl-isem ta ’Temülen, kif ukoll żewġ nofs aħwa bl-isem ta’ Begter u Belgutei. Bħal ħafna min-nomadi tal-Mongolja, il-ħajja bikrija ta 'Temüjin kienet diffiċli. Missieru rranġa żwieġ għali"&amp;"h, u fid-disa 'snin huwa ġie kkonsenjat minn missieru lill-familja tal-mara futura tiegħu Börte, li kienet membru tat-tribù Khongirad. Temüjin kellu jgħix hemm fis-servizz lil Dai Setsen, il-kap tad-dar il-ġdida, sakemm wasal fl-età li tista 'tiżżewweġ ta"&amp;" '12.")</f>
        <v>Temüjin kellu tliet aħwa jismu Hasar, Hachiun, u Temüge, u oħt waħda bl-isem ta ’Temülen, kif ukoll żewġ nofs aħwa bl-isem ta’ Begter u Belgutei. Bħal ħafna min-nomadi tal-Mongolja, il-ħajja bikrija ta 'Temüjin kienet diffiċli. Missieru rranġa żwieġ għalih, u fid-disa 'snin huwa ġie kkonsenjat minn missieru lill-familja tal-mara futura tiegħu Börte, li kienet membru tat-tribù Khongirad. Temüjin kellu jgħix hemm fis-servizz lil Dai Setsen, il-kap tad-dar il-ġdida, sakemm wasal fl-età li tista 'tiżżewweġ ta '12.</v>
      </c>
    </row>
    <row r="2413" ht="15.75" customHeight="1">
      <c r="A2413" s="2" t="s">
        <v>2413</v>
      </c>
      <c r="B2413" s="2" t="str">
        <f>IFERROR(__xludf.DUMMYFUNCTION("GOOGLETRANSLATE(A2413, ""en"", ""mt"")"),"X'inhi forma sempliċi ta 'diżubbidjenza ċivili?")</f>
        <v>X'inhi forma sempliċi ta 'diżubbidjenza ċivili?</v>
      </c>
    </row>
    <row r="2414" ht="15.75" customHeight="1">
      <c r="A2414" s="2" t="s">
        <v>2414</v>
      </c>
      <c r="B2414" s="2" t="str">
        <f>IFERROR(__xludf.DUMMYFUNCTION("GOOGLETRANSLATE(A2414, ""en"", ""mt"")"),"Ma 'min laqat Luther fis-snin ta' wara?")</f>
        <v>Ma 'min laqat Luther fis-snin ta' wara?</v>
      </c>
    </row>
    <row r="2415" ht="15.75" customHeight="1">
      <c r="A2415" s="2" t="s">
        <v>2415</v>
      </c>
      <c r="B2415" s="2" t="str">
        <f>IFERROR(__xludf.DUMMYFUNCTION("GOOGLETRANSLATE(A2415, ""en"", ""mt"")"),"Liema attribut ta 'bnedmin interferixxi mal-bla ħniena tan-natura fl-opinjoni ta' Tesla?")</f>
        <v>Liema attribut ta 'bnedmin interferixxi mal-bla ħniena tan-natura fl-opinjoni ta' Tesla?</v>
      </c>
    </row>
    <row r="2416" ht="15.75" customHeight="1">
      <c r="A2416" s="2" t="s">
        <v>2416</v>
      </c>
      <c r="B2416" s="2" t="str">
        <f>IFERROR(__xludf.DUMMYFUNCTION("GOOGLETRANSLATE(A2416, ""en"", ""mt"")"),"Fl-1983, ABC biegħ KXYZ lill-Infinity Broadcasting Corporation. Fl-4 ta 'Jannar, 1984, in-New York Times irrappurtat li ABC, permezz tas-sussidjarja tagħha ABC Video Enterprises, kienet eżerċitat l-għażla tagħha li tixtri sa 15% (jew bejn $ 25 miljun u $ "&amp;"30 miljun) tal-ishma ta' Getty Oil fl-ESPN, li tippermetti Huwa li jespandi l-ishma tiegħu f'data aktar tard. F'Ġunju tal-1984, il-kumitat eżekuttiv ta 'ABC approva l-akkwist ta' interess tal-kumpanija f'ESPN, u ABC irranġa ma 'Getty Oil biex jikseb sehem"&amp;" ta' 80% fil-kanal, filwaqt li biegħ l-20% li fadal lil Nabisco. Dik is-sena, ABC u Hearst laħqu ftehim ma 'RCA biex tgħaqqad l-arti u s-servizz tal-arti li jikkompetu, il-kanal ta' divertiment, f'kanal tal-kejbil wieħed imsejjaħ Arts &amp; Entertainment Tele"&amp;"vision (A&amp;E); Il-kanal il-ġdid sussegwentement kera transponder bis-satellita separat, u temm il-ftehim ta 'qsim tiegħu ma' Nickelodeon biex isir servizz ta '24 siegħa. Sadanittant, ABC irtira min-negozju tal-park tematiku għall-ġid meta biegħ il-park tat"&amp;"-tema Silver Springs Nature.")</f>
        <v>Fl-1983, ABC biegħ KXYZ lill-Infinity Broadcasting Corporation. Fl-4 ta 'Jannar, 1984, in-New York Times irrappurtat li ABC, permezz tas-sussidjarja tagħha ABC Video Enterprises, kienet eżerċitat l-għażla tagħha li tixtri sa 15% (jew bejn $ 25 miljun u $ 30 miljun) tal-ishma ta' Getty Oil fl-ESPN, li tippermetti Huwa li jespandi l-ishma tiegħu f'data aktar tard. F'Ġunju tal-1984, il-kumitat eżekuttiv ta 'ABC approva l-akkwist ta' interess tal-kumpanija f'ESPN, u ABC irranġa ma 'Getty Oil biex jikseb sehem ta' 80% fil-kanal, filwaqt li biegħ l-20% li fadal lil Nabisco. Dik is-sena, ABC u Hearst laħqu ftehim ma 'RCA biex tgħaqqad l-arti u s-servizz tal-arti li jikkompetu, il-kanal ta' divertiment, f'kanal tal-kejbil wieħed imsejjaħ Arts &amp; Entertainment Television (A&amp;E); Il-kanal il-ġdid sussegwentement kera transponder bis-satellita separat, u temm il-ftehim ta 'qsim tiegħu ma' Nickelodeon biex isir servizz ta '24 siegħa. Sadanittant, ABC irtira min-negozju tal-park tematiku għall-ġid meta biegħ il-park tat-tema Silver Springs Nature.</v>
      </c>
    </row>
    <row r="2417" ht="15.75" customHeight="1">
      <c r="A2417" s="2" t="s">
        <v>2417</v>
      </c>
      <c r="B2417" s="2" t="str">
        <f>IFERROR(__xludf.DUMMYFUNCTION("GOOGLETRANSLATE(A2417, ""en"", ""mt"")"),"Id-Dar tal-Familja Merkantili ta 'Baryczko hija eżempju notevoli ta' liema tip ta 'arkitettura?")</f>
        <v>Id-Dar tal-Familja Merkantili ta 'Baryczko hija eżempju notevoli ta' liema tip ta 'arkitettura?</v>
      </c>
    </row>
    <row r="2418" ht="15.75" customHeight="1">
      <c r="A2418" s="2" t="s">
        <v>2418</v>
      </c>
      <c r="B2418" s="2" t="str">
        <f>IFERROR(__xludf.DUMMYFUNCTION("GOOGLETRANSLATE(A2418, ""en"", ""mt"")"),"Liema parti ta 'Franza kienu jinsabu n-Normanni?")</f>
        <v>Liema parti ta 'Franza kienu jinsabu n-Normanni?</v>
      </c>
    </row>
    <row r="2419" ht="15.75" customHeight="1">
      <c r="A2419" s="2" t="s">
        <v>2419</v>
      </c>
      <c r="B2419" s="2" t="str">
        <f>IFERROR(__xludf.DUMMYFUNCTION("GOOGLETRANSLATE(A2419, ""en"", ""mt"")"),"Liema punt wieħed ma kienx miftiehem dwar dak kien għażiż għal Luther?")</f>
        <v>Liema punt wieħed ma kienx miftiehem dwar dak kien għażiż għal Luther?</v>
      </c>
    </row>
    <row r="2420" ht="15.75" customHeight="1">
      <c r="A2420" s="2" t="s">
        <v>2420</v>
      </c>
      <c r="B2420" s="2" t="str">
        <f>IFERROR(__xludf.DUMMYFUNCTION("GOOGLETRANSLATE(A2420, ""en"", ""mt"")"),"pagi mnaqqsa")</f>
        <v>pagi mnaqqsa</v>
      </c>
    </row>
    <row r="2421" ht="15.75" customHeight="1">
      <c r="A2421" s="2" t="s">
        <v>2421</v>
      </c>
      <c r="B2421" s="2" t="str">
        <f>IFERROR(__xludf.DUMMYFUNCTION("GOOGLETRANSLATE(A2421, ""en"", ""mt"")"),"Il-Gazzetta Daily Mail irrappurtat fl-2012 li l-aġenzija tal-benefiċċji tal-gvern tar-Renju Unit kienet qed tiċċekkja l-kontijiet tal-pretensjonijiet ""Sky TV biex tistabbilixxi jekk mara li tirċievi benefiċċji bħala omm waħedha qed tiddikjara b'mod żbalj"&amp;"at li tgħix waħedha"" - kif, sostniet, abbonament għal Kanali sportivi jittradixxu l-preżenza ta 'raġel fid-dar. F'Diċembru, il-Parlament tar-Renju Unit sema 'pretensjoni li abbonament għal BSKYB kien ""ta' spiss jagħmel ħsara"", flimkien ma 'alkoħol, tab"&amp;"akk u logħob tal-ażżard. Id-Deputat Konservattiv Alec Shelbrooke kien qed jipproponi l-ħlasijiet tal-benefiċċji u l-krediti tat-taxxa fuq ""karta ta 'flus kontanti tal-benesseri"", fl-istil tal-programm supplimentari ta' għajnuna dwar in-nutrizzjoni, li j"&amp;"ista 'jintuża biex jixtri biss ""essenzjali"".")</f>
        <v>Il-Gazzetta Daily Mail irrappurtat fl-2012 li l-aġenzija tal-benefiċċji tal-gvern tar-Renju Unit kienet qed tiċċekkja l-kontijiet tal-pretensjonijiet "Sky TV biex tistabbilixxi jekk mara li tirċievi benefiċċji bħala omm waħedha qed tiddikjara b'mod żbaljat li tgħix waħedha" - kif, sostniet, abbonament għal Kanali sportivi jittradixxu l-preżenza ta 'raġel fid-dar. F'Diċembru, il-Parlament tar-Renju Unit sema 'pretensjoni li abbonament għal BSKYB kien "ta' spiss jagħmel ħsara", flimkien ma 'alkoħol, tabakk u logħob tal-ażżard. Id-Deputat Konservattiv Alec Shelbrooke kien qed jipproponi l-ħlasijiet tal-benefiċċji u l-krediti tat-taxxa fuq "karta ta 'flus kontanti tal-benesseri", fl-istil tal-programm supplimentari ta' għajnuna dwar in-nutrizzjoni, li jista 'jintuża biex jixtri biss "essenzjali".</v>
      </c>
    </row>
    <row r="2422" ht="15.75" customHeight="1">
      <c r="A2422" s="2" t="s">
        <v>2422</v>
      </c>
      <c r="B2422" s="2" t="str">
        <f>IFERROR(__xludf.DUMMYFUNCTION("GOOGLETRANSLATE(A2422, ""en"", ""mt"")"),"Assigurazzjonijiet foloz.")</f>
        <v>Assigurazzjonijiet foloz.</v>
      </c>
    </row>
    <row r="2423" ht="15.75" customHeight="1">
      <c r="A2423" s="2" t="s">
        <v>2423</v>
      </c>
      <c r="B2423" s="2" t="str">
        <f>IFERROR(__xludf.DUMMYFUNCTION("GOOGLETRANSLATE(A2423, ""en"", ""mt"")"),"Kemm bini ġew imqaxxra min-nar ta 'Jacksonville?")</f>
        <v>Kemm bini ġew imqaxxra min-nar ta 'Jacksonville?</v>
      </c>
    </row>
    <row r="2424" ht="15.75" customHeight="1">
      <c r="A2424" s="2" t="s">
        <v>2424</v>
      </c>
      <c r="B2424" s="2" t="str">
        <f>IFERROR(__xludf.DUMMYFUNCTION("GOOGLETRANSLATE(A2424, ""en"", ""mt"")"),"Liema qasam tax-xjenza tal-kompjuter janalizza r-rekwiżiti tar-riżorsi ta 'algoritmu speċifiku iżolat għalih innifsu fi problema partikolari?")</f>
        <v>Liema qasam tax-xjenza tal-kompjuter janalizza r-rekwiżiti tar-riżorsi ta 'algoritmu speċifiku iżolat għalih innifsu fi problema partikolari?</v>
      </c>
    </row>
    <row r="2425" ht="15.75" customHeight="1">
      <c r="A2425" s="2" t="s">
        <v>2425</v>
      </c>
      <c r="B2425" s="2" t="str">
        <f>IFERROR(__xludf.DUMMYFUNCTION("GOOGLETRANSLATE(A2425, ""en"", ""mt"")"),"Kif jissejħu Cestida?")</f>
        <v>Kif jissejħu Cestida?</v>
      </c>
    </row>
    <row r="2426" ht="15.75" customHeight="1">
      <c r="A2426" s="2" t="s">
        <v>2426</v>
      </c>
      <c r="B2426" s="2" t="str">
        <f>IFERROR(__xludf.DUMMYFUNCTION("GOOGLETRANSLATE(A2426, ""en"", ""mt"")"),"Problemi finanzjarji li jistgħu jiġu evitati")</f>
        <v>Problemi finanzjarji li jistgħu jiġu evitati</v>
      </c>
    </row>
    <row r="2427" ht="15.75" customHeight="1">
      <c r="A2427" s="2" t="s">
        <v>2427</v>
      </c>
      <c r="B2427" s="2" t="str">
        <f>IFERROR(__xludf.DUMMYFUNCTION("GOOGLETRANSLATE(A2427, ""en"", ""mt"")"),"Movimenti Iżlamisti anti-demokratiċi")</f>
        <v>Movimenti Iżlamisti anti-demokratiċi</v>
      </c>
    </row>
    <row r="2428" ht="15.75" customHeight="1">
      <c r="A2428" s="2" t="s">
        <v>2428</v>
      </c>
      <c r="B2428" s="2" t="str">
        <f>IFERROR(__xludf.DUMMYFUNCTION("GOOGLETRANSLATE(A2428, ""en"", ""mt"")"),"Liema żoni kienu l-inqas vulnerabbli għall-mard?")</f>
        <v>Liema żoni kienu l-inqas vulnerabbli għall-mard?</v>
      </c>
    </row>
    <row r="2429" ht="15.75" customHeight="1">
      <c r="A2429" s="2" t="s">
        <v>2429</v>
      </c>
      <c r="B2429" s="2" t="str">
        <f>IFERROR(__xludf.DUMMYFUNCTION("GOOGLETRANSLATE(A2429, ""en"", ""mt"")"),"madwar 5 miljun")</f>
        <v>madwar 5 miljun</v>
      </c>
    </row>
    <row r="2430" ht="15.75" customHeight="1">
      <c r="A2430" s="2" t="s">
        <v>2430</v>
      </c>
      <c r="B2430" s="2" t="str">
        <f>IFERROR(__xludf.DUMMYFUNCTION("GOOGLETRANSLATE(A2430, ""en"", ""mt"")"),"l-użu tiegħu tal-vjolenza")</f>
        <v>l-użu tiegħu tal-vjolenza</v>
      </c>
    </row>
    <row r="2431" ht="15.75" customHeight="1">
      <c r="A2431" s="2" t="s">
        <v>2431</v>
      </c>
      <c r="B2431" s="2" t="str">
        <f>IFERROR(__xludf.DUMMYFUNCTION("GOOGLETRANSLATE(A2431, ""en"", ""mt"")"),"Għaliex l-elettriku AC kien qed jikseb popolarità?")</f>
        <v>Għaliex l-elettriku AC kien qed jikseb popolarità?</v>
      </c>
    </row>
    <row r="2432" ht="15.75" customHeight="1">
      <c r="A2432" s="2" t="s">
        <v>2432</v>
      </c>
      <c r="B2432" s="2" t="str">
        <f>IFERROR(__xludf.DUMMYFUNCTION("GOOGLETRANSLATE(A2432, ""en"", ""mt"")"),"Angiospermi C3")</f>
        <v>Angiospermi C3</v>
      </c>
    </row>
    <row r="2433" ht="15.75" customHeight="1">
      <c r="A2433" s="2" t="s">
        <v>2433</v>
      </c>
      <c r="B2433" s="2" t="str">
        <f>IFERROR(__xludf.DUMMYFUNCTION("GOOGLETRANSLATE(A2433, ""en"", ""mt"")"),"ċilindri u tagħmir tal-valv")</f>
        <v>ċilindri u tagħmir tal-valv</v>
      </c>
    </row>
    <row r="2434" ht="15.75" customHeight="1">
      <c r="A2434" s="2" t="s">
        <v>2434</v>
      </c>
      <c r="B2434" s="2" t="str">
        <f>IFERROR(__xludf.DUMMYFUNCTION("GOOGLETRANSLATE(A2434, ""en"", ""mt"")"),"X'kienet il-BBC bit-tama li ditta ta 'produzzjoni indipendenti tagħmel għal Doctor Who?")</f>
        <v>X'kienet il-BBC bit-tama li ditta ta 'produzzjoni indipendenti tagħmel għal Doctor Who?</v>
      </c>
    </row>
    <row r="2435" ht="15.75" customHeight="1">
      <c r="A2435" s="2" t="s">
        <v>2435</v>
      </c>
      <c r="B2435" s="2" t="str">
        <f>IFERROR(__xludf.DUMMYFUNCTION("GOOGLETRANSLATE(A2435, ""en"", ""mt"")"),"Min iddisinja s-servizz tal-pranzu ta 'Möllendorff?")</f>
        <v>Min iddisinja s-servizz tal-pranzu ta 'Möllendorff?</v>
      </c>
    </row>
    <row r="2436" ht="15.75" customHeight="1">
      <c r="A2436" s="2" t="s">
        <v>2436</v>
      </c>
      <c r="B2436" s="2" t="str">
        <f>IFERROR(__xludf.DUMMYFUNCTION("GOOGLETRANSLATE(A2436, ""en"", ""mt"")"),"mitħna tad-dqiq")</f>
        <v>mitħna tad-dqiq</v>
      </c>
    </row>
    <row r="2437" ht="15.75" customHeight="1">
      <c r="A2437" s="2" t="s">
        <v>2437</v>
      </c>
      <c r="B2437" s="2" t="str">
        <f>IFERROR(__xludf.DUMMYFUNCTION("GOOGLETRANSLATE(A2437, ""en"", ""mt"")"),"Liema diviżjoni ABC tieħu ħsieb id-distribuzzjoni tat-televiżjoni domestika?")</f>
        <v>Liema diviżjoni ABC tieħu ħsieb id-distribuzzjoni tat-televiżjoni domestika?</v>
      </c>
    </row>
    <row r="2438" ht="15.75" customHeight="1">
      <c r="A2438" s="2" t="s">
        <v>2438</v>
      </c>
      <c r="B2438" s="2" t="str">
        <f>IFERROR(__xludf.DUMMYFUNCTION("GOOGLETRANSLATE(A2438, ""en"", ""mt"")"),"Biex teqred il-mikrobi li jinvadu")</f>
        <v>Biex teqred il-mikrobi li jinvadu</v>
      </c>
    </row>
    <row r="2439" ht="15.75" customHeight="1">
      <c r="A2439" s="2" t="s">
        <v>2439</v>
      </c>
      <c r="B2439" s="2" t="str">
        <f>IFERROR(__xludf.DUMMYFUNCTION("GOOGLETRANSLATE(A2439, ""en"", ""mt"")"),"Is-Sindku W. Haydon Burns")</f>
        <v>Is-Sindku W. Haydon Burns</v>
      </c>
    </row>
    <row r="2440" ht="15.75" customHeight="1">
      <c r="A2440" s="2" t="s">
        <v>2440</v>
      </c>
      <c r="B2440" s="2" t="str">
        <f>IFERROR(__xludf.DUMMYFUNCTION("GOOGLETRANSLATE(A2440, ""en"", ""mt"")"),"Bilanċ bejn perspettivi differenti u partiti politiċi")</f>
        <v>Bilanċ bejn perspettivi differenti u partiti politiċi</v>
      </c>
    </row>
    <row r="2441" ht="15.75" customHeight="1">
      <c r="A2441" s="2" t="s">
        <v>2441</v>
      </c>
      <c r="B2441" s="2" t="str">
        <f>IFERROR(__xludf.DUMMYFUNCTION("GOOGLETRANSLATE(A2441, ""en"", ""mt"")"),"X'kien ir-riżultat tar-referendum tal-1967?")</f>
        <v>X'kien ir-riżultat tar-referendum tal-1967?</v>
      </c>
    </row>
    <row r="2442" ht="15.75" customHeight="1">
      <c r="A2442" s="2" t="s">
        <v>2442</v>
      </c>
      <c r="B2442" s="2" t="str">
        <f>IFERROR(__xludf.DUMMYFUNCTION("GOOGLETRANSLATE(A2442, ""en"", ""mt"")"),"Liema kwistjonijiet oħra ta 'saħħa kellu Luther?")</f>
        <v>Liema kwistjonijiet oħra ta 'saħħa kellu Luther?</v>
      </c>
    </row>
    <row r="2443" ht="15.75" customHeight="1">
      <c r="A2443" s="2" t="s">
        <v>2443</v>
      </c>
      <c r="B2443" s="2" t="str">
        <f>IFERROR(__xludf.DUMMYFUNCTION("GOOGLETRANSLATE(A2443, ""en"", ""mt"")"),"Il-gvernijiet ingħaqdu biex joħolqu l-belt konsolidata ta 'Jacksonville")</f>
        <v>Il-gvernijiet ingħaqdu biex joħolqu l-belt konsolidata ta 'Jacksonville</v>
      </c>
    </row>
    <row r="2444" ht="15.75" customHeight="1">
      <c r="A2444" s="2" t="s">
        <v>2444</v>
      </c>
      <c r="B2444" s="2" t="str">
        <f>IFERROR(__xludf.DUMMYFUNCTION("GOOGLETRANSLATE(A2444, ""en"", ""mt"")"),"Liema kundizzjoni fiżika tista 'tikkawża t-tossiċità akuta ta' l-ossiġenu?")</f>
        <v>Liema kundizzjoni fiżika tista 'tikkawża t-tossiċità akuta ta' l-ossiġenu?</v>
      </c>
    </row>
    <row r="2445" ht="15.75" customHeight="1">
      <c r="A2445" s="2" t="s">
        <v>2445</v>
      </c>
      <c r="B2445" s="2" t="str">
        <f>IFERROR(__xludf.DUMMYFUNCTION("GOOGLETRANSLATE(A2445, ""en"", ""mt"")"),"Is-servizz beda fl-1 ta 'Settembru 1993 ibbażat fuq l-idea mill-uffiċjal kap eżekuttiv ta' dak iż-żmien, Sam Chisholm u Rupert Murdoch, li jikkonvertu l-istrateġija tan-negozju tal-kumpanija għal kunċett kompletament ibbażat fuq il-ħlas. Il-pakkett il-ġdi"&amp;"d kien jinkludi erba 'kanali li qabel kienu disponibbli free-to-air, ixandru fuq is-satelliti ta' Astra, kif ukoll l-introduzzjoni ta 'stazzjonijiet ġodda. Is-servizz kompla sal-għeluq tas-servizz analogu ta 'BSKYB fis-27 ta' Settembru 2001, minħabba t-tn"&amp;"edija u l-espansjoni tal-pjattaforma diġitali Sky. Uħud mill-kanali xxandru jew fil-kriptat ċar jew artab (li bih decoder tal-vidjokript kien meħtieġ li jiddekowdja, mingħajr karta ta 'abbonament) qabel iż-żieda tagħhom mal-pakkett ta' Multichannels Sky. "&amp;"Fi żmien xahrejn mit-tnedija, BSKYB kisbet 400,000 abbonat ġdid, bil-maġġoranza tieħu mill-inqas kanal premium wieħed ukoll, li għen lil BSKYB jilħaq 3.5 miljun familja sa nofs l-1994. Michael Grad ikkritika l-operazzjonijiet quddiem il-Kumitat Magħżul dw"&amp;"ar il-Wirt Nazzjonali, l-aktar għan-nuqqas ta ’programmazzjoni oriġinali fuq ħafna mill-kanali l-ġodda.")</f>
        <v>Is-servizz beda fl-1 ta 'Settembru 1993 ibbażat fuq l-idea mill-uffiċjal kap eżekuttiv ta' dak iż-żmien, Sam Chisholm u Rupert Murdoch, li jikkonvertu l-istrateġija tan-negozju tal-kumpanija għal kunċett kompletament ibbażat fuq il-ħlas. Il-pakkett il-ġdid kien jinkludi erba 'kanali li qabel kienu disponibbli free-to-air, ixandru fuq is-satelliti ta' Astra, kif ukoll l-introduzzjoni ta 'stazzjonijiet ġodda. Is-servizz kompla sal-għeluq tas-servizz analogu ta 'BSKYB fis-27 ta' Settembru 2001, minħabba t-tnedija u l-espansjoni tal-pjattaforma diġitali Sky. Uħud mill-kanali xxandru jew fil-kriptat ċar jew artab (li bih decoder tal-vidjokript kien meħtieġ li jiddekowdja, mingħajr karta ta 'abbonament) qabel iż-żieda tagħhom mal-pakkett ta' Multichannels Sky. Fi żmien xahrejn mit-tnedija, BSKYB kisbet 400,000 abbonat ġdid, bil-maġġoranza tieħu mill-inqas kanal premium wieħed ukoll, li għen lil BSKYB jilħaq 3.5 miljun familja sa nofs l-1994. Michael Grad ikkritika l-operazzjonijiet quddiem il-Kumitat Magħżul dwar il-Wirt Nazzjonali, l-aktar għan-nuqqas ta ’programmazzjoni oriġinali fuq ħafna mill-kanali l-ġodda.</v>
      </c>
    </row>
    <row r="2446" ht="15.75" customHeight="1">
      <c r="A2446" s="2" t="s">
        <v>2446</v>
      </c>
      <c r="B2446" s="2" t="str">
        <f>IFERROR(__xludf.DUMMYFUNCTION("GOOGLETRANSLATE(A2446, ""en"", ""mt"")"),"Delegazzjoni Amerikana mill-Konferenza tal-Paċi ta 'Pariġi")</f>
        <v>Delegazzjoni Amerikana mill-Konferenza tal-Paċi ta 'Pariġi</v>
      </c>
    </row>
    <row r="2447" ht="15.75" customHeight="1">
      <c r="A2447" s="2" t="s">
        <v>2447</v>
      </c>
      <c r="B2447" s="2" t="str">
        <f>IFERROR(__xludf.DUMMYFUNCTION("GOOGLETRANSLATE(A2447, ""en"", ""mt"")"),"Anzjani")</f>
        <v>Anzjani</v>
      </c>
    </row>
    <row r="2448" ht="15.75" customHeight="1">
      <c r="A2448" s="2" t="s">
        <v>2448</v>
      </c>
      <c r="B2448" s="2" t="str">
        <f>IFERROR(__xludf.DUMMYFUNCTION("GOOGLETRANSLATE(A2448, ""en"", ""mt"")"),"Sky UK Limited (li qabel kienet British Sky Broadcasting jew BSKYB) hija kumpanija Ingliża tat-telekomunikazzjoni li sservi r-Renju Unit. Sky jipprovdi servizzi tal-internet tat-televiżjoni u tal-broadband u servizzi tat-telefon tal-linja fissa lill-konsu"&amp;"maturi u n-negozji fir-Renju Unit. Huwa l-ikbar xandar tat-TV Pay tar-Renju Unit bi 11-il miljun klijent mill-2015. Kien is-servizz tat-TV diġitali l-aktar popolari tar-Renju Unit sakemm inqabeż minn Freeview f'April 2007. Il-kwartieri ġenerali korporatti"&amp;"vi tiegħu huma bbażati f'Isleworth.")</f>
        <v>Sky UK Limited (li qabel kienet British Sky Broadcasting jew BSKYB) hija kumpanija Ingliża tat-telekomunikazzjoni li sservi r-Renju Unit. Sky jipprovdi servizzi tal-internet tat-televiżjoni u tal-broadband u servizzi tat-telefon tal-linja fissa lill-konsumaturi u n-negozji fir-Renju Unit. Huwa l-ikbar xandar tat-TV Pay tar-Renju Unit bi 11-il miljun klijent mill-2015. Kien is-servizz tat-TV diġitali l-aktar popolari tar-Renju Unit sakemm inqabeż minn Freeview f'April 2007. Il-kwartieri ġenerali korporattivi tiegħu huma bbażati f'Isleworth.</v>
      </c>
    </row>
    <row r="2449" ht="15.75" customHeight="1">
      <c r="A2449" s="2" t="s">
        <v>2449</v>
      </c>
      <c r="B2449" s="2" t="str">
        <f>IFERROR(__xludf.DUMMYFUNCTION("GOOGLETRANSLATE(A2449, ""en"", ""mt"")"),"diversi postijiet madwar id-dinja")</f>
        <v>diversi postijiet madwar id-dinja</v>
      </c>
    </row>
    <row r="2450" ht="15.75" customHeight="1">
      <c r="A2450" s="2" t="s">
        <v>2450</v>
      </c>
      <c r="B2450" s="2" t="str">
        <f>IFERROR(__xludf.DUMMYFUNCTION("GOOGLETRANSLATE(A2450, ""en"", ""mt"")"),"kritiku")</f>
        <v>kritiku</v>
      </c>
    </row>
    <row r="2451" ht="15.75" customHeight="1">
      <c r="A2451" s="2" t="s">
        <v>2451</v>
      </c>
      <c r="B2451" s="2" t="str">
        <f>IFERROR(__xludf.DUMMYFUNCTION("GOOGLETRANSLATE(A2451, ""en"", ""mt"")"),"impjegati taċ-ċivil")</f>
        <v>impjegati taċ-ċivil</v>
      </c>
    </row>
    <row r="2452" ht="15.75" customHeight="1">
      <c r="A2452" s="2" t="s">
        <v>2452</v>
      </c>
      <c r="B2452" s="2" t="str">
        <f>IFERROR(__xludf.DUMMYFUNCTION("GOOGLETRANSLATE(A2452, ""en"", ""mt"")"),"jisraq l-invenzjoni")</f>
        <v>jisraq l-invenzjoni</v>
      </c>
    </row>
    <row r="2453" ht="15.75" customHeight="1">
      <c r="A2453" s="2" t="s">
        <v>2453</v>
      </c>
      <c r="B2453" s="2" t="str">
        <f>IFERROR(__xludf.DUMMYFUNCTION("GOOGLETRANSLATE(A2453, ""en"", ""mt"")"),"Kif huwa kklassifikat l-ossiġnu bħala abbundanti fl-univers?")</f>
        <v>Kif huwa kklassifikat l-ossiġnu bħala abbundanti fl-univers?</v>
      </c>
    </row>
    <row r="2454" ht="15.75" customHeight="1">
      <c r="A2454" s="2" t="s">
        <v>2454</v>
      </c>
      <c r="B2454" s="2" t="str">
        <f>IFERROR(__xludf.DUMMYFUNCTION("GOOGLETRANSLATE(A2454, ""en"", ""mt"")"),"Kemm mill-erba 'tentattivi ta' gowl fil-grawnd irnexxielu McManus matul Super Bowl 50?")</f>
        <v>Kemm mill-erba 'tentattivi ta' gowl fil-grawnd irnexxielu McManus matul Super Bowl 50?</v>
      </c>
    </row>
    <row r="2455" ht="15.75" customHeight="1">
      <c r="A2455" s="2" t="s">
        <v>2455</v>
      </c>
      <c r="B2455" s="2" t="str">
        <f>IFERROR(__xludf.DUMMYFUNCTION("GOOGLETRANSLATE(A2455, ""en"", ""mt"")"),"Kombustjoni spontanja")</f>
        <v>Kombustjoni spontanja</v>
      </c>
    </row>
    <row r="2456" ht="15.75" customHeight="1">
      <c r="A2456" s="2" t="s">
        <v>2456</v>
      </c>
      <c r="B2456" s="2" t="str">
        <f>IFERROR(__xludf.DUMMYFUNCTION("GOOGLETRANSLATE(A2456, ""en"", ""mt"")"),"Tfittex kera")</f>
        <v>Tfittex kera</v>
      </c>
    </row>
    <row r="2457" ht="15.75" customHeight="1">
      <c r="A2457" s="2" t="s">
        <v>2457</v>
      </c>
      <c r="B2457" s="2" t="str">
        <f>IFERROR(__xludf.DUMMYFUNCTION("GOOGLETRANSLATE(A2457, ""en"", ""mt"")"),"X'inhi l-imħabba ġenwina ta 'Alla b'qalb, ruħ u moħħ?")</f>
        <v>X'inhi l-imħabba ġenwina ta 'Alla b'qalb, ruħ u moħħ?</v>
      </c>
    </row>
    <row r="2458" ht="15.75" customHeight="1">
      <c r="A2458" s="2" t="s">
        <v>2458</v>
      </c>
      <c r="B2458" s="2" t="str">
        <f>IFERROR(__xludf.DUMMYFUNCTION("GOOGLETRANSLATE(A2458, ""en"", ""mt"")"),"Kif kien jissejjaħ il-Wing Henry Cole qabel?")</f>
        <v>Kif kien jissejjaħ il-Wing Henry Cole qabel?</v>
      </c>
    </row>
    <row r="2459" ht="15.75" customHeight="1">
      <c r="A2459" s="2" t="s">
        <v>2459</v>
      </c>
      <c r="B2459" s="2" t="str">
        <f>IFERROR(__xludf.DUMMYFUNCTION("GOOGLETRANSLATE(A2459, ""en"", ""mt"")"),"tropikali")</f>
        <v>tropikali</v>
      </c>
    </row>
    <row r="2460" ht="15.75" customHeight="1">
      <c r="A2460" s="2" t="s">
        <v>2460</v>
      </c>
      <c r="B2460" s="2" t="str">
        <f>IFERROR(__xludf.DUMMYFUNCTION("GOOGLETRANSLATE(A2460, ""en"", ""mt"")"),"X'tip ta 'sforz ta' konservazzjoni qed jikseb attenzjoni fl-Amażonja?")</f>
        <v>X'tip ta 'sforz ta' konservazzjoni qed jikseb attenzjoni fl-Amażonja?</v>
      </c>
    </row>
    <row r="2461" ht="15.75" customHeight="1">
      <c r="A2461" s="2" t="s">
        <v>2461</v>
      </c>
      <c r="B2461" s="2" t="str">
        <f>IFERROR(__xludf.DUMMYFUNCTION("GOOGLETRANSLATE(A2461, ""en"", ""mt"")"),"Problema tal-funzjoni")</f>
        <v>Problema tal-funzjoni</v>
      </c>
    </row>
    <row r="2462" ht="15.75" customHeight="1">
      <c r="A2462" s="2" t="s">
        <v>2462</v>
      </c>
      <c r="B2462" s="2" t="str">
        <f>IFERROR(__xludf.DUMMYFUNCTION("GOOGLETRANSLATE(A2462, ""en"", ""mt"")"),"ċelloli dendritiċi, keratinocytes u makrofaġi")</f>
        <v>ċelloli dendritiċi, keratinocytes u makrofaġi</v>
      </c>
    </row>
    <row r="2463" ht="15.75" customHeight="1">
      <c r="A2463" s="2" t="s">
        <v>2463</v>
      </c>
      <c r="B2463" s="2" t="str">
        <f>IFERROR(__xludf.DUMMYFUNCTION("GOOGLETRANSLATE(A2463, ""en"", ""mt"")"),"Kunflitt bejn Franza u l-Gran Brittanja")</f>
        <v>Kunflitt bejn Franza u l-Gran Brittanja</v>
      </c>
    </row>
    <row r="2464" ht="15.75" customHeight="1">
      <c r="A2464" s="2" t="s">
        <v>2464</v>
      </c>
      <c r="B2464" s="2" t="str">
        <f>IFERROR(__xludf.DUMMYFUNCTION("GOOGLETRANSLATE(A2464, ""en"", ""mt"")"),"għan-netwerks nazzjonali")</f>
        <v>għan-netwerks nazzjonali</v>
      </c>
    </row>
    <row r="2465" ht="15.75" customHeight="1">
      <c r="A2465" s="2" t="s">
        <v>2465</v>
      </c>
      <c r="B2465" s="2" t="str">
        <f>IFERROR(__xludf.DUMMYFUNCTION("GOOGLETRANSLATE(A2465, ""en"", ""mt"")"),"żviluppa f'parti ewlenija tas-sinsla tal-internet")</f>
        <v>żviluppa f'parti ewlenija tas-sinsla tal-internet</v>
      </c>
    </row>
    <row r="2466" ht="15.75" customHeight="1">
      <c r="A2466" s="2" t="s">
        <v>2466</v>
      </c>
      <c r="B2466" s="2" t="str">
        <f>IFERROR(__xludf.DUMMYFUNCTION("GOOGLETRANSLATE(A2466, ""en"", ""mt"")"),"Min hu l-qaddis patrun tal-Huguenots?")</f>
        <v>Min hu l-qaddis patrun tal-Huguenots?</v>
      </c>
    </row>
    <row r="2467" ht="15.75" customHeight="1">
      <c r="A2467" s="2" t="s">
        <v>2467</v>
      </c>
      <c r="B2467" s="2" t="str">
        <f>IFERROR(__xludf.DUMMYFUNCTION("GOOGLETRANSLATE(A2467, ""en"", ""mt"")"),"il-bozza tad-dawl inkandexxenti")</f>
        <v>il-bozza tad-dawl inkandexxenti</v>
      </c>
    </row>
    <row r="2468" ht="15.75" customHeight="1">
      <c r="A2468" s="2" t="s">
        <v>2468</v>
      </c>
      <c r="B2468" s="2" t="str">
        <f>IFERROR(__xludf.DUMMYFUNCTION("GOOGLETRANSLATE(A2468, ""en"", ""mt"")"),"L-iskejjel għolja pubbliċi tilfu l-akkreditazzjoni tagħhom")</f>
        <v>L-iskejjel għolja pubbliċi tilfu l-akkreditazzjoni tagħhom</v>
      </c>
    </row>
    <row r="2469" ht="15.75" customHeight="1">
      <c r="A2469" s="2" t="s">
        <v>2469</v>
      </c>
      <c r="B2469" s="2" t="str">
        <f>IFERROR(__xludf.DUMMYFUNCTION("GOOGLETRANSLATE(A2469, ""en"", ""mt"")"),"Walt Disney tippreżenta")</f>
        <v>Walt Disney tippreżenta</v>
      </c>
    </row>
    <row r="2470" ht="15.75" customHeight="1">
      <c r="A2470" s="2" t="s">
        <v>2470</v>
      </c>
      <c r="B2470" s="2" t="str">
        <f>IFERROR(__xludf.DUMMYFUNCTION("GOOGLETRANSLATE(A2470, ""en"", ""mt"")"),"Il-motto tal-Fratellanza Musulmana jispeċifika x'inhi l-kostituzzjoni tagħhom?")</f>
        <v>Il-motto tal-Fratellanza Musulmana jispeċifika x'inhi l-kostituzzjoni tagħhom?</v>
      </c>
    </row>
    <row r="2471" ht="15.75" customHeight="1">
      <c r="A2471" s="2" t="s">
        <v>2471</v>
      </c>
      <c r="B2471" s="2" t="str">
        <f>IFERROR(__xludf.DUMMYFUNCTION("GOOGLETRANSLATE(A2471, ""en"", ""mt"")"),"Xi għalliema u ġenituri favur")</f>
        <v>Xi għalliema u ġenituri favur</v>
      </c>
    </row>
    <row r="2472" ht="15.75" customHeight="1">
      <c r="A2472" s="2" t="s">
        <v>2472</v>
      </c>
      <c r="B2472" s="2" t="str">
        <f>IFERROR(__xludf.DUMMYFUNCTION("GOOGLETRANSLATE(A2472, ""en"", ""mt"")"),"Għaqda ta ’Alla")</f>
        <v>Għaqda ta ’Alla</v>
      </c>
    </row>
    <row r="2473" ht="15.75" customHeight="1">
      <c r="A2473" s="2" t="s">
        <v>2473</v>
      </c>
      <c r="B2473" s="2" t="str">
        <f>IFERROR(__xludf.DUMMYFUNCTION("GOOGLETRANSLATE(A2473, ""en"", ""mt"")"),"tipproponi li tittieħed dik l-azzjoni")</f>
        <v>tipproponi li tittieħed dik l-azzjoni</v>
      </c>
    </row>
    <row r="2474" ht="15.75" customHeight="1">
      <c r="A2474" s="2" t="s">
        <v>2474</v>
      </c>
      <c r="B2474" s="2" t="str">
        <f>IFERROR(__xludf.DUMMYFUNCTION("GOOGLETRANSLATE(A2474, ""en"", ""mt"")"),"Minn 7500 yr ilu, sitwazzjoni kienet teżisti sitwazzjoni bil-marea u l-kurrenti, simili ħafna għall-preżent. Ir-rati ta 'żieda fil-livell tal-baħar naqsu s'issa, li s-sedimentazzjoni naturali mill-proċessi tar-Renu u tal-Kosta flimkien, tista' tikkumpensa"&amp;" t-trasgressjoni mill-baħar; Fl-aħħar 7000 sena, il-linja tal-kosta kienet bejn wieħed u ieħor fl-istess post. Fil-Baħar tan-Nofsinhar tat-Tramuntana, minħabba sussidju tettoniku kontinwu, il-livell tal-baħar għadu qed jiżdied, bir-rata ta 'madwar 1-3 cm "&amp;"(0.39–1.18 in) kull seklu (1 metru jew 39 pulzier fl-aħħar 3000 sena).")</f>
        <v>Minn 7500 yr ilu, sitwazzjoni kienet teżisti sitwazzjoni bil-marea u l-kurrenti, simili ħafna għall-preżent. Ir-rati ta 'żieda fil-livell tal-baħar naqsu s'issa, li s-sedimentazzjoni naturali mill-proċessi tar-Renu u tal-Kosta flimkien, tista' tikkumpensa t-trasgressjoni mill-baħar; Fl-aħħar 7000 sena, il-linja tal-kosta kienet bejn wieħed u ieħor fl-istess post. Fil-Baħar tan-Nofsinhar tat-Tramuntana, minħabba sussidju tettoniku kontinwu, il-livell tal-baħar għadu qed jiżdied, bir-rata ta 'madwar 1-3 cm (0.39–1.18 in) kull seklu (1 metru jew 39 pulzier fl-aħħar 3000 sena).</v>
      </c>
    </row>
    <row r="2475" ht="15.75" customHeight="1">
      <c r="A2475" s="2" t="s">
        <v>2475</v>
      </c>
      <c r="B2475" s="2" t="str">
        <f>IFERROR(__xludf.DUMMYFUNCTION("GOOGLETRANSLATE(A2475, ""en"", ""mt"")"),"Ma naħsibx lili nnifsi obbligat li nobdi")</f>
        <v>Ma naħsibx lili nnifsi obbligat li nobdi</v>
      </c>
    </row>
    <row r="2476" ht="15.75" customHeight="1">
      <c r="A2476" s="2" t="s">
        <v>2476</v>
      </c>
      <c r="B2476" s="2" t="str">
        <f>IFERROR(__xludf.DUMMYFUNCTION("GOOGLETRANSLATE(A2476, ""en"", ""mt"")"),"skola primarja")</f>
        <v>skola primarja</v>
      </c>
    </row>
    <row r="2477" ht="15.75" customHeight="1">
      <c r="A2477" s="2" t="s">
        <v>2477</v>
      </c>
      <c r="B2477" s="2" t="str">
        <f>IFERROR(__xludf.DUMMYFUNCTION("GOOGLETRANSLATE(A2477, ""en"", ""mt"")"),"Numri żgħar ta 'kolonizzaturi")</f>
        <v>Numri żgħar ta 'kolonizzaturi</v>
      </c>
    </row>
    <row r="2478" ht="15.75" customHeight="1">
      <c r="A2478" s="2" t="s">
        <v>2478</v>
      </c>
      <c r="B2478" s="2" t="str">
        <f>IFERROR(__xludf.DUMMYFUNCTION("GOOGLETRANSLATE(A2478, ""en"", ""mt"")"),"X'inhi l-professjoni ta 'Thomas B. Edsall?")</f>
        <v>X'inhi l-professjoni ta 'Thomas B. Edsall?</v>
      </c>
    </row>
    <row r="2479" ht="15.75" customHeight="1">
      <c r="A2479" s="2" t="s">
        <v>2479</v>
      </c>
      <c r="B2479" s="2" t="str">
        <f>IFERROR(__xludf.DUMMYFUNCTION("GOOGLETRANSLATE(A2479, ""en"", ""mt"")"),"stat tal-moħħ")</f>
        <v>stat tal-moħħ</v>
      </c>
    </row>
    <row r="2480" ht="15.75" customHeight="1">
      <c r="A2480" s="2" t="s">
        <v>2480</v>
      </c>
      <c r="B2480" s="2" t="str">
        <f>IFERROR(__xludf.DUMMYFUNCTION("GOOGLETRANSLATE(A2480, ""en"", ""mt"")"),"Franza, l-Arġentina, ir-Renju Unit, il-Belġju, l-Irlanda, l-Italja, Spanja, u l-Indja")</f>
        <v>Franza, l-Arġentina, ir-Renju Unit, il-Belġju, l-Irlanda, l-Italja, Spanja, u l-Indja</v>
      </c>
    </row>
    <row r="2481" ht="15.75" customHeight="1">
      <c r="A2481" s="2" t="s">
        <v>2481</v>
      </c>
      <c r="B2481" s="2" t="str">
        <f>IFERROR(__xludf.DUMMYFUNCTION("GOOGLETRANSLATE(A2481, ""en"", ""mt"")"),"iż-żona ġeografika li tkopri")</f>
        <v>iż-żona ġeografika li tkopri</v>
      </c>
    </row>
    <row r="2482" ht="15.75" customHeight="1">
      <c r="A2482" s="2" t="s">
        <v>2482</v>
      </c>
      <c r="B2482" s="2" t="str">
        <f>IFERROR(__xludf.DUMMYFUNCTION("GOOGLETRANSLATE(A2482, ""en"", ""mt"")"),"23–16")</f>
        <v>23–16</v>
      </c>
    </row>
    <row r="2483" ht="15.75" customHeight="1">
      <c r="A2483" s="2" t="s">
        <v>2483</v>
      </c>
      <c r="B2483" s="2" t="str">
        <f>IFERROR(__xludf.DUMMYFUNCTION("GOOGLETRANSLATE(A2483, ""en"", ""mt"")"),"Forza unidirezzjonali")</f>
        <v>Forza unidirezzjonali</v>
      </c>
    </row>
    <row r="2484" ht="15.75" customHeight="1">
      <c r="A2484" s="2" t="s">
        <v>2484</v>
      </c>
      <c r="B2484" s="2" t="str">
        <f>IFERROR(__xludf.DUMMYFUNCTION("GOOGLETRANSLATE(A2484, ""en"", ""mt"")"),"Huwa pproduċa sajjetti artifiċjali, bi skariki li jikkonsistu minn miljuni ta 'volt u sa 135 pied twil. Ir-ragħad mill-enerġija rilaxxata nstema '15 -il mil 'il bogħod fi Cripple Creek, Colorado. Nies li mixi fit-triq osservaw xrar li jaqbżu bejn saqajhom"&amp;" u l-art. Xrar reġgħu mill-viti tal-linja tal-ilma meta jintmess. Il-bozoz tad-dawl fi 100 pied mill-laboratorju jiddu anke meta jintfew. Żwiemel fi livery stabbli imbarrat mill-monti tagħhom wara li jirċievu xokkijiet permezz taż-żraben tal-metall tagħho"&amp;"m. Il-friefet ġew elettrifikati, iddawru fiċ-ċrieki bil-halos blu tan-nar ta ’San Elmo madwar il-ġwienaħ tagħhom.")</f>
        <v>Huwa pproduċa sajjetti artifiċjali, bi skariki li jikkonsistu minn miljuni ta 'volt u sa 135 pied twil. Ir-ragħad mill-enerġija rilaxxata nstema '15 -il mil 'il bogħod fi Cripple Creek, Colorado. Nies li mixi fit-triq osservaw xrar li jaqbżu bejn saqajhom u l-art. Xrar reġgħu mill-viti tal-linja tal-ilma meta jintmess. Il-bozoz tad-dawl fi 100 pied mill-laboratorju jiddu anke meta jintfew. Żwiemel fi livery stabbli imbarrat mill-monti tagħhom wara li jirċievu xokkijiet permezz taż-żraben tal-metall tagħhom. Il-friefet ġew elettrifikati, iddawru fiċ-ċrieki bil-halos blu tan-nar ta ’San Elmo madwar il-ġwienaħ tagħhom.</v>
      </c>
    </row>
    <row r="2485" ht="15.75" customHeight="1">
      <c r="A2485" s="2" t="s">
        <v>2485</v>
      </c>
      <c r="B2485" s="2" t="str">
        <f>IFERROR(__xludf.DUMMYFUNCTION("GOOGLETRANSLATE(A2485, ""en"", ""mt"")"),"tattiċi ta 'solidarjetà")</f>
        <v>tattiċi ta 'solidarjetà</v>
      </c>
    </row>
    <row r="2486" ht="15.75" customHeight="1">
      <c r="A2486" s="2" t="s">
        <v>2486</v>
      </c>
      <c r="B2486" s="2" t="str">
        <f>IFERROR(__xludf.DUMMYFUNCTION("GOOGLETRANSLATE(A2486, ""en"", ""mt"")"),"sistema magħluqa ta 'partiċelli")</f>
        <v>sistema magħluqa ta 'partiċelli</v>
      </c>
    </row>
    <row r="2487" ht="15.75" customHeight="1">
      <c r="A2487" s="2" t="s">
        <v>2487</v>
      </c>
      <c r="B2487" s="2" t="str">
        <f>IFERROR(__xludf.DUMMYFUNCTION("GOOGLETRANSLATE(A2487, ""en"", ""mt"")"),"Għal liema raġuni xi ħadd jevita reati waqt li jipprotesta?")</f>
        <v>Għal liema raġuni xi ħadd jevita reati waqt li jipprotesta?</v>
      </c>
    </row>
    <row r="2488" ht="15.75" customHeight="1">
      <c r="A2488" s="2" t="s">
        <v>2488</v>
      </c>
      <c r="B2488" s="2" t="str">
        <f>IFERROR(__xludf.DUMMYFUNCTION("GOOGLETRANSLATE(A2488, ""en"", ""mt"")"),"Meta japplikaw it-trattati?")</f>
        <v>Meta japplikaw it-trattati?</v>
      </c>
    </row>
    <row r="2489" ht="15.75" customHeight="1">
      <c r="A2489" s="2" t="s">
        <v>2489</v>
      </c>
      <c r="B2489" s="2" t="str">
        <f>IFERROR(__xludf.DUMMYFUNCTION("GOOGLETRANSLATE(A2489, ""en"", ""mt"")"),"il-movimenti tan-natura, movimenti ta 'tul ta' żmien ħieles u mhux ugwali")</f>
        <v>il-movimenti tan-natura, movimenti ta 'tul ta' żmien ħieles u mhux ugwali</v>
      </c>
    </row>
    <row r="2490" ht="15.75" customHeight="1">
      <c r="A2490" s="2" t="s">
        <v>2490</v>
      </c>
      <c r="B2490" s="2" t="str">
        <f>IFERROR(__xludf.DUMMYFUNCTION("GOOGLETRANSLATE(A2490, ""en"", ""mt"")"),"Staġun 1995–96")</f>
        <v>Staġun 1995–96</v>
      </c>
    </row>
    <row r="2491" ht="15.75" customHeight="1">
      <c r="A2491" s="2" t="s">
        <v>2491</v>
      </c>
      <c r="B2491" s="2" t="str">
        <f>IFERROR(__xludf.DUMMYFUNCTION("GOOGLETRANSLATE(A2491, ""en"", ""mt"")"),"Iċ-Ċina")</f>
        <v>Iċ-Ċina</v>
      </c>
    </row>
    <row r="2492" ht="15.75" customHeight="1">
      <c r="A2492" s="2" t="s">
        <v>2492</v>
      </c>
      <c r="B2492" s="2" t="str">
        <f>IFERROR(__xludf.DUMMYFUNCTION("GOOGLETRANSLATE(A2492, ""en"", ""mt"")"),"X'inhu meħtieġ biex iseħħ il-kombustjoni?")</f>
        <v>X'inhu meħtieġ biex iseħħ il-kombustjoni?</v>
      </c>
    </row>
    <row r="2493" ht="15.75" customHeight="1">
      <c r="A2493" s="2" t="s">
        <v>2493</v>
      </c>
      <c r="B2493" s="2" t="str">
        <f>IFERROR(__xludf.DUMMYFUNCTION("GOOGLETRANSLATE(A2493, ""en"", ""mt"")"),"Rappreżentant Presidenzjali Repubblika Demokratika")</f>
        <v>Rappreżentant Presidenzjali Repubblika Demokratika</v>
      </c>
    </row>
    <row r="2494" ht="15.75" customHeight="1">
      <c r="A2494" s="2" t="s">
        <v>2494</v>
      </c>
      <c r="B2494" s="2" t="str">
        <f>IFERROR(__xludf.DUMMYFUNCTION("GOOGLETRANSLATE(A2494, ""en"", ""mt"")"),"fl-agrikoltura")</f>
        <v>fl-agrikoltura</v>
      </c>
    </row>
    <row r="2495" ht="15.75" customHeight="1">
      <c r="A2495" s="2" t="s">
        <v>2495</v>
      </c>
      <c r="B2495" s="2" t="str">
        <f>IFERROR(__xludf.DUMMYFUNCTION("GOOGLETRANSLATE(A2495, ""en"", ""mt"")"),"Dħul rilevanti aħjar")</f>
        <v>Dħul rilevanti aħjar</v>
      </c>
    </row>
    <row r="2496" ht="15.75" customHeight="1">
      <c r="A2496" s="2" t="s">
        <v>2496</v>
      </c>
      <c r="B2496" s="2" t="str">
        <f>IFERROR(__xludf.DUMMYFUNCTION("GOOGLETRANSLATE(A2496, ""en"", ""mt"")"),"Kemm kienu kbar il-boltijiet artifiċjali tiegħu?")</f>
        <v>Kemm kienu kbar il-boltijiet artifiċjali tiegħu?</v>
      </c>
    </row>
    <row r="2497" ht="15.75" customHeight="1">
      <c r="A2497" s="2" t="s">
        <v>2497</v>
      </c>
      <c r="B2497" s="2" t="str">
        <f>IFERROR(__xludf.DUMMYFUNCTION("GOOGLETRANSLATE(A2497, ""en"", ""mt"")"),"għarfien jew ħiliet")</f>
        <v>għarfien jew ħiliet</v>
      </c>
    </row>
    <row r="2498" ht="15.75" customHeight="1">
      <c r="A2498" s="2" t="s">
        <v>2498</v>
      </c>
      <c r="B2498" s="2" t="str">
        <f>IFERROR(__xludf.DUMMYFUNCTION("GOOGLETRANSLATE(A2498, ""en"", ""mt"")"),"X'kienet l-ispiża medja għal kummerċ ta '30 sekonda matul Super Bowl 50?")</f>
        <v>X'kienet l-ispiża medja għal kummerċ ta '30 sekonda matul Super Bowl 50?</v>
      </c>
    </row>
    <row r="2499" ht="15.75" customHeight="1">
      <c r="A2499" s="2" t="s">
        <v>2499</v>
      </c>
      <c r="B2499" s="2" t="str">
        <f>IFERROR(__xludf.DUMMYFUNCTION("GOOGLETRANSLATE(A2499, ""en"", ""mt"")"),"Fl-iskejjel li jużaw awtorità bbażata fuq il-popolazzjoni, kif inhu l-ordni pubbliku?")</f>
        <v>Fl-iskejjel li jużaw awtorità bbażata fuq il-popolazzjoni, kif inhu l-ordni pubbliku?</v>
      </c>
    </row>
    <row r="2500" ht="15.75" customHeight="1">
      <c r="A2500" s="2" t="s">
        <v>2500</v>
      </c>
      <c r="B2500" s="2" t="str">
        <f>IFERROR(__xludf.DUMMYFUNCTION("GOOGLETRANSLATE(A2500, ""en"", ""mt"")"),"X'għandha l-Beroida minflok ma titma 'l-appendiċi?")</f>
        <v>X'għandha l-Beroida minflok ma titma 'l-appendiċi?</v>
      </c>
    </row>
    <row r="2501" ht="15.75" customHeight="1">
      <c r="A2501" s="2" t="s">
        <v>2501</v>
      </c>
      <c r="B2501" s="2" t="str">
        <f>IFERROR(__xludf.DUMMYFUNCTION("GOOGLETRANSLATE(A2501, ""en"", ""mt"")"),"rati għoljin")</f>
        <v>rati għoljin</v>
      </c>
    </row>
    <row r="2502" ht="15.75" customHeight="1">
      <c r="A2502" s="2" t="s">
        <v>2502</v>
      </c>
      <c r="B2502" s="2" t="str">
        <f>IFERROR(__xludf.DUMMYFUNCTION("GOOGLETRANSLATE(A2502, ""en"", ""mt"")"),"kuntrasti")</f>
        <v>kuntrasti</v>
      </c>
    </row>
    <row r="2503" ht="15.75" customHeight="1">
      <c r="A2503" s="2" t="s">
        <v>2503</v>
      </c>
      <c r="B2503" s="2" t="str">
        <f>IFERROR(__xludf.DUMMYFUNCTION("GOOGLETRANSLATE(A2503, ""en"", ""mt"")"),"Għal xiex kien l-aħħar episodju ta 'Doctor Who li Dudley Simpson kiteb il-mużika għalih?")</f>
        <v>Għal xiex kien l-aħħar episodju ta 'Doctor Who li Dudley Simpson kiteb il-mużika għalih?</v>
      </c>
    </row>
    <row r="2504" ht="15.75" customHeight="1">
      <c r="A2504" s="2" t="s">
        <v>2504</v>
      </c>
      <c r="B2504" s="2" t="str">
        <f>IFERROR(__xludf.DUMMYFUNCTION("GOOGLETRANSLATE(A2504, ""en"", ""mt"")"),"Liema azzjonijiet mill-istituzzjonijiet tal-UE jistgħu jkunu soġġetti għal reviżjoni ġudizzjarja?")</f>
        <v>Liema azzjonijiet mill-istituzzjonijiet tal-UE jistgħu jkunu soġġetti għal reviżjoni ġudizzjarja?</v>
      </c>
    </row>
    <row r="2505" ht="15.75" customHeight="1">
      <c r="A2505" s="2" t="s">
        <v>2505</v>
      </c>
      <c r="B2505" s="2" t="str">
        <f>IFERROR(__xludf.DUMMYFUNCTION("GOOGLETRANSLATE(A2505, ""en"", ""mt"")"),"Liema element jinstab fil-biċċa l-kbira tal-organiżmi organiċi?")</f>
        <v>Liema element jinstab fil-biċċa l-kbira tal-organiżmi organiċi?</v>
      </c>
    </row>
    <row r="2506" ht="15.75" customHeight="1">
      <c r="A2506" s="2" t="s">
        <v>2506</v>
      </c>
      <c r="B2506" s="2" t="str">
        <f>IFERROR(__xludf.DUMMYFUNCTION("GOOGLETRANSLATE(A2506, ""en"", ""mt"")"),"Il-Kastell Royal Ujazdów tas-seklu 17 bħalissa fih iċ-Ċentru għall-Arti Kontemporanja, b'xi wirjiet permanenti u temporanji, kunċerti, wirjiet u workshops kreattivi. Iċ-ċentru bħalissa jirrealizza madwar 500 proġett fis-sena. Zachęta National Gallery of A"&amp;"rt, l-eqdem sit tal-wirja f'Varsavja, bi tradizzjoni li tiġbed lura lejn nofs is-seklu 19 jorganizza esibizzjonijiet ta 'arti moderna minn artisti Pollakki u internazzjonali u tippromwovi l-arti f'ħafna modi oħra. Mill-2011 Weekend tal-Gallerija ta ’Varsa"&amp;"vja sar fil-weekend li għadda ta’ Settembru.")</f>
        <v>Il-Kastell Royal Ujazdów tas-seklu 17 bħalissa fih iċ-Ċentru għall-Arti Kontemporanja, b'xi wirjiet permanenti u temporanji, kunċerti, wirjiet u workshops kreattivi. Iċ-ċentru bħalissa jirrealizza madwar 500 proġett fis-sena. Zachęta National Gallery of Art, l-eqdem sit tal-wirja f'Varsavja, bi tradizzjoni li tiġbed lura lejn nofs is-seklu 19 jorganizza esibizzjonijiet ta 'arti moderna minn artisti Pollakki u internazzjonali u tippromwovi l-arti f'ħafna modi oħra. Mill-2011 Weekend tal-Gallerija ta ’Varsavja sar fil-weekend li għadda ta’ Settembru.</v>
      </c>
    </row>
    <row r="2507" ht="15.75" customHeight="1">
      <c r="A2507" s="2" t="s">
        <v>2507</v>
      </c>
      <c r="B2507" s="2" t="str">
        <f>IFERROR(__xludf.DUMMYFUNCTION("GOOGLETRANSLATE(A2507, ""en"", ""mt"")"),"Għaliex jeżistu stromules?")</f>
        <v>Għaliex jeżistu stromules?</v>
      </c>
    </row>
    <row r="2508" ht="15.75" customHeight="1">
      <c r="A2508" s="2" t="s">
        <v>2508</v>
      </c>
      <c r="B2508" s="2" t="str">
        <f>IFERROR(__xludf.DUMMYFUNCTION("GOOGLETRANSLATE(A2508, ""en"", ""mt"")"),"It-temperaturi u l-livelli tal-baħar kienu qed jiżdiedu fuq jew 'il fuq mir-rati massimi")</f>
        <v>It-temperaturi u l-livelli tal-baħar kienu qed jiżdiedu fuq jew 'il fuq mir-rati massimi</v>
      </c>
    </row>
    <row r="2509" ht="15.75" customHeight="1">
      <c r="A2509" s="2" t="s">
        <v>2509</v>
      </c>
      <c r="B2509" s="2" t="str">
        <f>IFERROR(__xludf.DUMMYFUNCTION("GOOGLETRANSLATE(A2509, ""en"", ""mt"")"),"F'liema aspetti tal-ħajja l-Iżlamiżmu jfittex biex jintegra ruħu?")</f>
        <v>F'liema aspetti tal-ħajja l-Iżlamiżmu jfittex biex jintegra ruħu?</v>
      </c>
    </row>
    <row r="2510" ht="15.75" customHeight="1">
      <c r="A2510" s="2" t="s">
        <v>2510</v>
      </c>
      <c r="B2510" s="2" t="str">
        <f>IFERROR(__xludf.DUMMYFUNCTION("GOOGLETRANSLATE(A2510, ""en"", ""mt"")"),"Liema annimali setgħu ġew ittimbrati fuq is-sit tal-qabar ta 'Genghis Khan?")</f>
        <v>Liema annimali setgħu ġew ittimbrati fuq is-sit tal-qabar ta 'Genghis Khan?</v>
      </c>
    </row>
    <row r="2511" ht="15.75" customHeight="1">
      <c r="A2511" s="2" t="s">
        <v>2511</v>
      </c>
      <c r="B2511" s="2" t="str">
        <f>IFERROR(__xludf.DUMMYFUNCTION("GOOGLETRANSLATE(A2511, ""en"", ""mt"")"),"reazzjonijiet ħfief")</f>
        <v>reazzjonijiet ħfief</v>
      </c>
    </row>
    <row r="2512" ht="15.75" customHeight="1">
      <c r="A2512" s="2" t="s">
        <v>2512</v>
      </c>
      <c r="B2512" s="2" t="str">
        <f>IFERROR(__xludf.DUMMYFUNCTION("GOOGLETRANSLATE(A2512, ""en"", ""mt"")"),"persuna jew grupp ta 'nies")</f>
        <v>persuna jew grupp ta 'nies</v>
      </c>
    </row>
    <row r="2513" ht="15.75" customHeight="1">
      <c r="A2513" s="2" t="s">
        <v>2513</v>
      </c>
      <c r="B2513" s="2" t="str">
        <f>IFERROR(__xludf.DUMMYFUNCTION("GOOGLETRANSLATE(A2513, ""en"", ""mt"")"),"il-mużew tal-immaġni li tiċċaqlaq")</f>
        <v>il-mużew tal-immaġni li tiċċaqlaq</v>
      </c>
    </row>
    <row r="2514" ht="15.75" customHeight="1">
      <c r="A2514" s="2" t="s">
        <v>2514</v>
      </c>
      <c r="B2514" s="2" t="str">
        <f>IFERROR(__xludf.DUMMYFUNCTION("GOOGLETRANSLATE(A2514, ""en"", ""mt"")"),"saff tal-ożonu")</f>
        <v>saff tal-ożonu</v>
      </c>
    </row>
    <row r="2515" ht="15.75" customHeight="1">
      <c r="A2515" s="2" t="s">
        <v>2515</v>
      </c>
      <c r="B2515" s="2" t="str">
        <f>IFERROR(__xludf.DUMMYFUNCTION("GOOGLETRANSLATE(A2515, ""en"", ""mt"")"),"X'inhu l-iżgħar student li jista 'jkollu għalliem?")</f>
        <v>X'inhu l-iżgħar student li jista 'jkollu għalliem?</v>
      </c>
    </row>
    <row r="2516" ht="15.75" customHeight="1">
      <c r="A2516" s="2" t="s">
        <v>2516</v>
      </c>
      <c r="B2516" s="2" t="str">
        <f>IFERROR(__xludf.DUMMYFUNCTION("GOOGLETRANSLATE(A2516, ""en"", ""mt"")"),"Super_bowl_50")</f>
        <v>Super_bowl_50</v>
      </c>
    </row>
    <row r="2517" ht="15.75" customHeight="1">
      <c r="A2517" s="2" t="s">
        <v>2517</v>
      </c>
      <c r="B2517" s="2" t="str">
        <f>IFERROR(__xludf.DUMMYFUNCTION("GOOGLETRANSLATE(A2517, ""en"", ""mt"")"),"Kif jista 'xi għoqda tkun indikata b'mod distint?")</f>
        <v>Kif jista 'xi għoqda tkun indikata b'mod distint?</v>
      </c>
    </row>
    <row r="2518" ht="15.75" customHeight="1">
      <c r="A2518" s="2" t="s">
        <v>2518</v>
      </c>
      <c r="B2518" s="2" t="str">
        <f>IFERROR(__xludf.DUMMYFUNCTION("GOOGLETRANSLATE(A2518, ""en"", ""mt"")"),"Meta l-ewwel Brittanja kellha politika imperjalista?")</f>
        <v>Meta l-ewwel Brittanja kellha politika imperjalista?</v>
      </c>
    </row>
    <row r="2519" ht="15.75" customHeight="1">
      <c r="A2519" s="2" t="s">
        <v>2519</v>
      </c>
      <c r="B2519" s="2" t="str">
        <f>IFERROR(__xludf.DUMMYFUNCTION("GOOGLETRANSLATE(A2519, ""en"", ""mt"")"),"X'tip ta 'dawl mhuwiex adegwat għall-kloroplasti biex jinqasmu?")</f>
        <v>X'tip ta 'dawl mhuwiex adegwat għall-kloroplasti biex jinqasmu?</v>
      </c>
    </row>
    <row r="2520" ht="15.75" customHeight="1">
      <c r="A2520" s="2" t="s">
        <v>2520</v>
      </c>
      <c r="B2520" s="2" t="str">
        <f>IFERROR(__xludf.DUMMYFUNCTION("GOOGLETRANSLATE(A2520, ""en"", ""mt"")"),"Fl-1874, Tesla evadiet li ġiet abbozzata fl-armata Awstro-Ungeriża fi Smiljan billi ħarbet lejn Tomingaj, qrib Gračac. Hemm, huwa esplora l-muntanji fil-garża tal-kaċċatur. Tesla qalet li dan il-kuntatt man-natura għamilha aktar b'saħħitha, kemm fiżikamen"&amp;"t kif ukoll mentalment. Huwa qara bosta kotba waqt li kien f'Tomingaj, u aktar tard qal li x-xogħlijiet ta 'Mark Twain kienu għenuh biex jirkupra b'mod mirakoluż mill-marda preċedenti tiegħu.")</f>
        <v>Fl-1874, Tesla evadiet li ġiet abbozzata fl-armata Awstro-Ungeriża fi Smiljan billi ħarbet lejn Tomingaj, qrib Gračac. Hemm, huwa esplora l-muntanji fil-garża tal-kaċċatur. Tesla qalet li dan il-kuntatt man-natura għamilha aktar b'saħħitha, kemm fiżikament kif ukoll mentalment. Huwa qara bosta kotba waqt li kien f'Tomingaj, u aktar tard qal li x-xogħlijiet ta 'Mark Twain kienu għenuh biex jirkupra b'mod mirakoluż mill-marda preċedenti tiegħu.</v>
      </c>
    </row>
    <row r="2521" ht="15.75" customHeight="1">
      <c r="A2521" s="2" t="s">
        <v>2521</v>
      </c>
      <c r="B2521" s="2" t="str">
        <f>IFERROR(__xludf.DUMMYFUNCTION("GOOGLETRANSLATE(A2521, ""en"", ""mt"")"),"Sebgħa")</f>
        <v>Sebgħa</v>
      </c>
    </row>
    <row r="2522" ht="15.75" customHeight="1">
      <c r="A2522" s="2" t="s">
        <v>2522</v>
      </c>
      <c r="B2522" s="2" t="str">
        <f>IFERROR(__xludf.DUMMYFUNCTION("GOOGLETRANSLATE(A2522, ""en"", ""mt"")"),"10 snin")</f>
        <v>10 snin</v>
      </c>
    </row>
    <row r="2523" ht="15.75" customHeight="1">
      <c r="A2523" s="2" t="s">
        <v>2523</v>
      </c>
      <c r="B2523" s="2" t="str">
        <f>IFERROR(__xludf.DUMMYFUNCTION("GOOGLETRANSLATE(A2523, ""en"", ""mt"")"),"Minbarra s-snin 1980, f'liema għaxar snin żviluppaw il-biċċa l-kbira tal-kontej ta 'San Bernardino u Riverside?")</f>
        <v>Minbarra s-snin 1980, f'liema għaxar snin żviluppaw il-biċċa l-kbira tal-kontej ta 'San Bernardino u Riverside?</v>
      </c>
    </row>
    <row r="2524" ht="15.75" customHeight="1">
      <c r="A2524" s="2" t="s">
        <v>2524</v>
      </c>
      <c r="B2524" s="2" t="str">
        <f>IFERROR(__xludf.DUMMYFUNCTION("GOOGLETRANSLATE(A2524, ""en"", ""mt"")"),"Ateni fl-430 QK")</f>
        <v>Ateni fl-430 QK</v>
      </c>
    </row>
    <row r="2525" ht="15.75" customHeight="1">
      <c r="A2525" s="2" t="s">
        <v>2525</v>
      </c>
      <c r="B2525" s="2" t="str">
        <f>IFERROR(__xludf.DUMMYFUNCTION("GOOGLETRANSLATE(A2525, ""en"", ""mt"")"),"Vosges Mountains,")</f>
        <v>Vosges Mountains,</v>
      </c>
    </row>
    <row r="2526" ht="15.75" customHeight="1">
      <c r="A2526" s="2" t="s">
        <v>2526</v>
      </c>
      <c r="B2526" s="2" t="str">
        <f>IFERROR(__xludf.DUMMYFUNCTION("GOOGLETRANSLATE(A2526, ""en"", ""mt"")"),"$ 60,000 fi flus u stokk u royalties ta '$ 2.50 għal kull horsepower AC prodott minn kull mutur")</f>
        <v>$ 60,000 fi flus u stokk u royalties ta '$ 2.50 għal kull horsepower AC prodott minn kull mutur</v>
      </c>
    </row>
    <row r="2527" ht="15.75" customHeight="1">
      <c r="A2527" s="2" t="s">
        <v>2527</v>
      </c>
      <c r="B2527" s="2" t="str">
        <f>IFERROR(__xludf.DUMMYFUNCTION("GOOGLETRANSLATE(A2527, ""en"", ""mt"")"),"Tora")</f>
        <v>Tora</v>
      </c>
    </row>
    <row r="2528" ht="15.75" customHeight="1">
      <c r="A2528" s="2" t="s">
        <v>2528</v>
      </c>
      <c r="B2528" s="2" t="str">
        <f>IFERROR(__xludf.DUMMYFUNCTION("GOOGLETRANSLATE(A2528, ""en"", ""mt"")"),"bla wajers")</f>
        <v>bla wajers</v>
      </c>
    </row>
    <row r="2529" ht="15.75" customHeight="1">
      <c r="A2529" s="2" t="s">
        <v>2529</v>
      </c>
      <c r="B2529" s="2" t="str">
        <f>IFERROR(__xludf.DUMMYFUNCTION("GOOGLETRANSLATE(A2529, ""en"", ""mt"")"),"Is-Swaħili bena Mombasa f'belt tal-port maġġuri u stabbilixxa rabtiet kummerċjali ma 'stati oħra tal-belt fil-viċin, kif ukoll ċentri kummerċjali fil-Persja, l-Arabja, u anke l-Indja. Sal-15-il seklu, il-Voyager Portugiż Duarte Barbosa sostna li ""Mombasa"&amp;" huwa post ta 'traffiku kbir u għandu port tajjeb li fih dejjem hemm inġenji żgħar ta' ħafna tipi u vapuri kbar, it-tnejn li huma marbuta minn Sofala u oħrajn li ġejjin minn Cambay u Melinde u oħrajn li jbaħħru lejn il-gżira ta 'Zanzibar. """)</f>
        <v>Is-Swaħili bena Mombasa f'belt tal-port maġġuri u stabbilixxa rabtiet kummerċjali ma 'stati oħra tal-belt fil-viċin, kif ukoll ċentri kummerċjali fil-Persja, l-Arabja, u anke l-Indja. Sal-15-il seklu, il-Voyager Portugiż Duarte Barbosa sostna li "Mombasa huwa post ta 'traffiku kbir u għandu port tajjeb li fih dejjem hemm inġenji żgħar ta' ħafna tipi u vapuri kbar, it-tnejn li huma marbuta minn Sofala u oħrajn li ġejjin minn Cambay u Melinde u oħrajn li jbaħħru lejn il-gżira ta 'Zanzibar. "</v>
      </c>
    </row>
    <row r="2530" ht="15.75" customHeight="1">
      <c r="A2530" s="2" t="s">
        <v>2530</v>
      </c>
      <c r="B2530" s="2" t="str">
        <f>IFERROR(__xludf.DUMMYFUNCTION("GOOGLETRANSLATE(A2530, ""en"", ""mt"")"),"X'tip / ġeneru tal-ispettaklu tat-TV huwa Doctor Who?")</f>
        <v>X'tip / ġeneru tal-ispettaklu tat-TV huwa Doctor Who?</v>
      </c>
    </row>
    <row r="2531" ht="15.75" customHeight="1">
      <c r="A2531" s="2" t="s">
        <v>2531</v>
      </c>
      <c r="B2531" s="2" t="str">
        <f>IFERROR(__xludf.DUMMYFUNCTION("GOOGLETRANSLATE(A2531, ""en"", ""mt"")"),"Kemm nies, l-aktar, mietu bil-pesta f'Bagdad?")</f>
        <v>Kemm nies, l-aktar, mietu bil-pesta f'Bagdad?</v>
      </c>
    </row>
    <row r="2532" ht="15.75" customHeight="1">
      <c r="A2532" s="2" t="s">
        <v>2532</v>
      </c>
      <c r="B2532" s="2" t="str">
        <f>IFERROR(__xludf.DUMMYFUNCTION("GOOGLETRANSLATE(A2532, ""en"", ""mt"")"),"Liema wirjiet ġew rilaxxati fuq LaserDisc?")</f>
        <v>Liema wirjiet ġew rilaxxati fuq LaserDisc?</v>
      </c>
    </row>
    <row r="2533" ht="15.75" customHeight="1">
      <c r="A2533" s="2" t="s">
        <v>2533</v>
      </c>
      <c r="B2533" s="2" t="str">
        <f>IFERROR(__xludf.DUMMYFUNCTION("GOOGLETRANSLATE(A2533, ""en"", ""mt"")"),"Viċi President Eżekuttiv tal-Operazzjonijiet tal-Futbol u l-Maniġer Ġenerali.")</f>
        <v>Viċi President Eżekuttiv tal-Operazzjonijiet tal-Futbol u l-Maniġer Ġenerali.</v>
      </c>
    </row>
    <row r="2534" ht="15.75" customHeight="1">
      <c r="A2534" s="2" t="s">
        <v>2534</v>
      </c>
      <c r="B2534" s="2" t="str">
        <f>IFERROR(__xludf.DUMMYFUNCTION("GOOGLETRANSLATE(A2534, ""en"", ""mt"")"),"L-Iżlamisti ta ’min akkużaw ir-reġim Sawdi li kienu?")</f>
        <v>L-Iżlamisti ta ’min akkużaw ir-reġim Sawdi li kienu?</v>
      </c>
    </row>
    <row r="2535" ht="15.75" customHeight="1">
      <c r="A2535" s="2" t="s">
        <v>2535</v>
      </c>
      <c r="B2535" s="2" t="str">
        <f>IFERROR(__xludf.DUMMYFUNCTION("GOOGLETRANSLATE(A2535, ""en"", ""mt"")"),"Madankollu, din id-definizzjoni hija kkontestata mill-filosofija politika ta 'Thoreau li pitching il-kuxjenza kontra l-kollettiv. L-individwu huwa l-imħallef finali ta 'dritt u ħażin. Aktar minn hekk, peress li l-individwi biss jaġixxu, individwi biss jis"&amp;"tgħu jaġixxu inġustament. Meta l-gvern iħabbat fuq il-bieb, huwa individwu fil-forma ta 'pustier jew kollettur tat-taxxa li l-idejn tiegħu jolqot l-injam. Qabel il-ħabs ta 'Thoreau, meta taxman konfuż kien staqsiet b'leħen għoli dwar kif jimmaniġġa r-rifj"&amp;"ut tiegħu li jħallas, Thoreau kien ta parir, ""jirriżenja."" Jekk raġel għażel li jkun aġent ta 'inġustizzja, allura Thoreau insista li jiffaċċjah bil-fatt li kien qed jagħmel għażla. Imma jekk il-gvern huwa ""l-vuċi tan-nies,"" kif spiss jissejjaħ, m'għa"&amp;"ndux ikun hemm il-vuċi? Thoreau jammetti li l-gvern jista 'jesprimi r-rieda tal-maġġoranza iżda jista' wkoll jesprimi xejn ħlief ir-rieda tal-politiċi elite. Anke forma tajba ta 'gvern hija ""suxxettibbli li tkun abbużata u pervertita qabel ma n-nies ikun"&amp;"u jistgħu jaġixxu minnha."" Barra minn hekk, anke jekk gvern esprima l-vuċi tan-nies, dan il-fatt ma jġiegħelx l-ubbidjenza ta 'individwi li ma jaqblux ma' dak li qed jingħad. Il-maġġoranza tista 'tkun b'saħħitha iżda mhux neċessarjament. X'inhi r-relazzj"&amp;"oni xierqa bejn l-individwu u l-gvern?")</f>
        <v>Madankollu, din id-definizzjoni hija kkontestata mill-filosofija politika ta 'Thoreau li pitching il-kuxjenza kontra l-kollettiv. L-individwu huwa l-imħallef finali ta 'dritt u ħażin. Aktar minn hekk, peress li l-individwi biss jaġixxu, individwi biss jistgħu jaġixxu inġustament. Meta l-gvern iħabbat fuq il-bieb, huwa individwu fil-forma ta 'pustier jew kollettur tat-taxxa li l-idejn tiegħu jolqot l-injam. Qabel il-ħabs ta 'Thoreau, meta taxman konfuż kien staqsiet b'leħen għoli dwar kif jimmaniġġa r-rifjut tiegħu li jħallas, Thoreau kien ta parir, "jirriżenja." Jekk raġel għażel li jkun aġent ta 'inġustizzja, allura Thoreau insista li jiffaċċjah bil-fatt li kien qed jagħmel għażla. Imma jekk il-gvern huwa "l-vuċi tan-nies," kif spiss jissejjaħ, m'għandux ikun hemm il-vuċi? Thoreau jammetti li l-gvern jista 'jesprimi r-rieda tal-maġġoranza iżda jista' wkoll jesprimi xejn ħlief ir-rieda tal-politiċi elite. Anke forma tajba ta 'gvern hija "suxxettibbli li tkun abbużata u pervertita qabel ma n-nies ikunu jistgħu jaġixxu minnha." Barra minn hekk, anke jekk gvern esprima l-vuċi tan-nies, dan il-fatt ma jġiegħelx l-ubbidjenza ta 'individwi li ma jaqblux ma' dak li qed jingħad. Il-maġġoranza tista 'tkun b'saħħitha iżda mhux neċessarjament. X'inhi r-relazzjoni xierqa bejn l-individwu u l-gvern?</v>
      </c>
    </row>
    <row r="2536" ht="15.75" customHeight="1">
      <c r="A2536" s="2" t="s">
        <v>2536</v>
      </c>
      <c r="B2536" s="2" t="str">
        <f>IFERROR(__xludf.DUMMYFUNCTION("GOOGLETRANSLATE(A2536, ""en"", ""mt"")"),"solidarjetà")</f>
        <v>solidarjetà</v>
      </c>
    </row>
    <row r="2537" ht="15.75" customHeight="1">
      <c r="A2537" s="2" t="s">
        <v>2537</v>
      </c>
      <c r="B2537" s="2" t="str">
        <f>IFERROR(__xludf.DUMMYFUNCTION("GOOGLETRANSLATE(A2537, ""en"", ""mt"")"),"Kif tissejjaħ id-diżubbidjenza ċivili fejn in-nies jirrifjutaw li jiġu meħlusa?")</f>
        <v>Kif tissejjaħ id-diżubbidjenza ċivili fejn in-nies jirrifjutaw li jiġu meħlusa?</v>
      </c>
    </row>
    <row r="2538" ht="15.75" customHeight="1">
      <c r="A2538" s="2" t="s">
        <v>2538</v>
      </c>
      <c r="B2538" s="2" t="str">
        <f>IFERROR(__xludf.DUMMYFUNCTION("GOOGLETRANSLATE(A2538, ""en"", ""mt"")"),"Kunsinna sekwenzjata tad-dejta")</f>
        <v>Kunsinna sekwenzjata tad-dejta</v>
      </c>
    </row>
    <row r="2539" ht="15.75" customHeight="1">
      <c r="A2539" s="2" t="s">
        <v>2539</v>
      </c>
      <c r="B2539" s="2" t="str">
        <f>IFERROR(__xludf.DUMMYFUNCTION("GOOGLETRANSLATE(A2539, ""en"", ""mt"")"),"Kemm kien twil Varsavja l-kapitali tal-Commonwealth Pollakk-Litwana?")</f>
        <v>Kemm kien twil Varsavja l-kapitali tal-Commonwealth Pollakk-Litwana?</v>
      </c>
    </row>
    <row r="2540" ht="15.75" customHeight="1">
      <c r="A2540" s="2" t="s">
        <v>2540</v>
      </c>
      <c r="B2540" s="2" t="str">
        <f>IFERROR(__xludf.DUMMYFUNCTION("GOOGLETRANSLATE(A2540, ""en"", ""mt"")"),"Elfejn persuna")</f>
        <v>Elfejn persuna</v>
      </c>
    </row>
    <row r="2541" ht="15.75" customHeight="1">
      <c r="A2541" s="2" t="s">
        <v>2541</v>
      </c>
      <c r="B2541" s="2" t="str">
        <f>IFERROR(__xludf.DUMMYFUNCTION("GOOGLETRANSLATE(A2541, ""en"", ""mt"")"),"Kif jirriproduċu l-kloroplasti?")</f>
        <v>Kif jirriproduċu l-kloroplasti?</v>
      </c>
    </row>
    <row r="2542" ht="15.75" customHeight="1">
      <c r="A2542" s="2" t="s">
        <v>2542</v>
      </c>
      <c r="B2542" s="2" t="str">
        <f>IFERROR(__xludf.DUMMYFUNCTION("GOOGLETRANSLATE(A2542, ""en"", ""mt"")"),"Il-kapitolu soċjali huwa kapitolu tat-Trattat tal-1997 ta 'Amsterdam li jkopri kwistjonijiet ta' politika soċjali fil-liġi tal-Unjoni Ewropea. Il-bażi għall-kapitolu soċjali ġiet żviluppata fl-1989 mir-rappreżentanti tas- ""imsieħba soċjali"", jiġifieri l"&amp;"-Unice, il-Konfederazzjoni ta 'Min Iħaddem, il-Konfederazzjoni tat-Trejdjunjins Ewropej (ETUC) u Ceep, iċ-Ċentru Ewropew ta' l-Intrapriżi Pubbliċi. Verżjoni attenwata ġiet adottata bħala l-Karta Soċjali fil-Kunsill Ewropew ta 'Strasburgu tal-1989. Il-Kart"&amp;"a Soċjali tiddikjara 30 prinċipju ġenerali, inkluż fuq remunerazzjoni ġusta ta 'impjiegi, saħħa u sigurtà fuq ix-xogħol, drittijiet ta' persuni b'diżabilità u anzjani, id-drittijiet tal-ħaddiema, dwar taħriġ vokazzjonali u titjib tal-kundizzjonijiet tal-g"&amp;"ħajxien. Il-Karta Soċjali saret il-bażi għal-leġislazzjoni tal-Komunità Ewropea dwar dawn il-kwistjonijiet f'40 biċċa ta 'leġiżlazzjoni.")</f>
        <v>Il-kapitolu soċjali huwa kapitolu tat-Trattat tal-1997 ta 'Amsterdam li jkopri kwistjonijiet ta' politika soċjali fil-liġi tal-Unjoni Ewropea. Il-bażi għall-kapitolu soċjali ġiet żviluppata fl-1989 mir-rappreżentanti tas- "imsieħba soċjali", jiġifieri l-Unice, il-Konfederazzjoni ta 'Min Iħaddem, il-Konfederazzjoni tat-Trejdjunjins Ewropej (ETUC) u Ceep, iċ-Ċentru Ewropew ta' l-Intrapriżi Pubbliċi. Verżjoni attenwata ġiet adottata bħala l-Karta Soċjali fil-Kunsill Ewropew ta 'Strasburgu tal-1989. Il-Karta Soċjali tiddikjara 30 prinċipju ġenerali, inkluż fuq remunerazzjoni ġusta ta 'impjiegi, saħħa u sigurtà fuq ix-xogħol, drittijiet ta' persuni b'diżabilità u anzjani, id-drittijiet tal-ħaddiema, dwar taħriġ vokazzjonali u titjib tal-kundizzjonijiet tal-għajxien. Il-Karta Soċjali saret il-bażi għal-leġislazzjoni tal-Komunità Ewropea dwar dawn il-kwistjonijiet f'40 biċċa ta 'leġiżlazzjoni.</v>
      </c>
    </row>
    <row r="2543" ht="15.75" customHeight="1">
      <c r="A2543" s="2" t="s">
        <v>2543</v>
      </c>
      <c r="B2543" s="2" t="str">
        <f>IFERROR(__xludf.DUMMYFUNCTION("GOOGLETRANSLATE(A2543, ""en"", ""mt"")"),"Sorveljanza immuni")</f>
        <v>Sorveljanza immuni</v>
      </c>
    </row>
    <row r="2544" ht="15.75" customHeight="1">
      <c r="A2544" s="2" t="s">
        <v>2544</v>
      </c>
      <c r="B2544" s="2" t="str">
        <f>IFERROR(__xludf.DUMMYFUNCTION("GOOGLETRANSLATE(A2544, ""en"", ""mt"")"),"Dawk kollha li huma verament jemmnu f'kull età jappartjenu lill-Knisja Mqaddsa inviżibbli, filwaqt li l-Knisja Metodista Magħquda hija fergħa tal-knisja viżibbli,")</f>
        <v>Dawk kollha li huma verament jemmnu f'kull età jappartjenu lill-Knisja Mqaddsa inviżibbli, filwaqt li l-Knisja Metodista Magħquda hija fergħa tal-knisja viżibbli,</v>
      </c>
    </row>
    <row r="2545" ht="15.75" customHeight="1">
      <c r="A2545" s="2" t="s">
        <v>2545</v>
      </c>
      <c r="B2545" s="2" t="str">
        <f>IFERROR(__xludf.DUMMYFUNCTION("GOOGLETRANSLATE(A2545, ""en"", ""mt"")"),"Fit-3 ta 'Mejju, 1901, id-downtown Jacksonville kien maħruq minn nar li beda bħala nar tal-kċina. Moss Spanjol f'fabbrika tas-saqqu fil-viċin ġie maħkum malajr fil-fjammi u jippermetti li n-nar jinfirex malajr. Fi tmien sigħat biss, ħakmu 146 blokka tal-b"&amp;"elt, meqruda aktar minn 2,000 bini, ħallew madwar 10,000 bla dar u qatlu 7 residenti. Il-monument Konfederat fil-Park Hemming kien wieħed mill-uniċi postijiet familjari li jgħix in-nar. Il-Gvernatur Jennings jiddikjara l-liġi marzjali u bagħat lill-milizj"&amp;"a tal-istat biex iżżomm l-ordni. Fis-17 ta 'Mejju reġgħet bdiet l-Awtorità Muniċipali f'Jacksonville. Jingħad li l-glow mill-fjammi jista 'jidher f'Savannah, il-Ġeorġja, u l-plumes tad-duħħan li dehru f'Raleigh, North Carolina. Magħruf bħala ""Nar il-Kbir"&amp;" ta 'l-1901"", kien wieħed mill-agħar diżastri fl-istorja ta' Florida u l-akbar nar urban fix-xlokk ta 'l-Istati Uniti. Il-Perit Henry John Klutho kien figura primarja fir-rikostruzzjoni tal-belt. L-ewwel struttura b'ħafna stejjer mibnija minn Klutho kien"&amp;"et il-bini Dyal-Upchurch fl-1902. Il-bini ta 'St James, mibni fuq is-sit preċedenti tal-lukanda St James li nħaraq, inbena fl-1912 bħala l-kisba ta' Klutho.")</f>
        <v>Fit-3 ta 'Mejju, 1901, id-downtown Jacksonville kien maħruq minn nar li beda bħala nar tal-kċina. Moss Spanjol f'fabbrika tas-saqqu fil-viċin ġie maħkum malajr fil-fjammi u jippermetti li n-nar jinfirex malajr. Fi tmien sigħat biss, ħakmu 146 blokka tal-belt, meqruda aktar minn 2,000 bini, ħallew madwar 10,000 bla dar u qatlu 7 residenti. Il-monument Konfederat fil-Park Hemming kien wieħed mill-uniċi postijiet familjari li jgħix in-nar. Il-Gvernatur Jennings jiddikjara l-liġi marzjali u bagħat lill-milizja tal-istat biex iżżomm l-ordni. Fis-17 ta 'Mejju reġgħet bdiet l-Awtorità Muniċipali f'Jacksonville. Jingħad li l-glow mill-fjammi jista 'jidher f'Savannah, il-Ġeorġja, u l-plumes tad-duħħan li dehru f'Raleigh, North Carolina. Magħruf bħala "Nar il-Kbir ta 'l-1901", kien wieħed mill-agħar diżastri fl-istorja ta' Florida u l-akbar nar urban fix-xlokk ta 'l-Istati Uniti. Il-Perit Henry John Klutho kien figura primarja fir-rikostruzzjoni tal-belt. L-ewwel struttura b'ħafna stejjer mibnija minn Klutho kienet il-bini Dyal-Upchurch fl-1902. Il-bini ta 'St James, mibni fuq is-sit preċedenti tal-lukanda St James li nħaraq, inbena fl-1912 bħala l-kisba ta' Klutho.</v>
      </c>
    </row>
    <row r="2546" ht="15.75" customHeight="1">
      <c r="A2546" s="2" t="s">
        <v>2546</v>
      </c>
      <c r="B2546" s="2" t="str">
        <f>IFERROR(__xludf.DUMMYFUNCTION("GOOGLETRANSLATE(A2546, ""en"", ""mt"")"),"l-ewwel ministru")</f>
        <v>l-ewwel ministru</v>
      </c>
    </row>
    <row r="2547" ht="15.75" customHeight="1">
      <c r="A2547" s="2" t="s">
        <v>2547</v>
      </c>
      <c r="B2547" s="2" t="str">
        <f>IFERROR(__xludf.DUMMYFUNCTION("GOOGLETRANSLATE(A2547, ""en"", ""mt"")")," J. A. Hobson ried liema tiġrijiet tiżviluppa d-dinja?")</f>
        <v> J. A. Hobson ried liema tiġrijiet tiżviluppa d-dinja?</v>
      </c>
    </row>
    <row r="2548" ht="15.75" customHeight="1">
      <c r="A2548" s="2" t="s">
        <v>2548</v>
      </c>
      <c r="B2548" s="2" t="str">
        <f>IFERROR(__xludf.DUMMYFUNCTION("GOOGLETRANSLATE(A2548, ""en"", ""mt"")"),"Kemm-il darba l-Forza ta 'Difiża ta' Denver fi Newton f'fatturat?")</f>
        <v>Kemm-il darba l-Forza ta 'Difiża ta' Denver fi Newton f'fatturat?</v>
      </c>
    </row>
    <row r="2549" ht="15.75" customHeight="1">
      <c r="A2549" s="2" t="s">
        <v>2549</v>
      </c>
      <c r="B2549" s="2" t="str">
        <f>IFERROR(__xludf.DUMMYFUNCTION("GOOGLETRANSLATE(A2549, ""en"", ""mt"")"),"Fejn Luther ipoġġi s-salvazzjoni?")</f>
        <v>Fejn Luther ipoġġi s-salvazzjoni?</v>
      </c>
    </row>
    <row r="2550" ht="15.75" customHeight="1">
      <c r="A2550" s="2" t="s">
        <v>2550</v>
      </c>
      <c r="B2550" s="2" t="str">
        <f>IFERROR(__xludf.DUMMYFUNCTION("GOOGLETRANSLATE(A2550, ""en"", ""mt"")"),"Liġijiet tajbin u ċari")</f>
        <v>Liġijiet tajbin u ċari</v>
      </c>
    </row>
    <row r="2551" ht="15.75" customHeight="1">
      <c r="A2551" s="2" t="s">
        <v>2551</v>
      </c>
      <c r="B2551" s="2" t="str">
        <f>IFERROR(__xludf.DUMMYFUNCTION("GOOGLETRANSLATE(A2551, ""en"", ""mt"")"),"Meta kummissjoni ma laħqet l-ebda deċiżjoni, x'ġara?")</f>
        <v>Meta kummissjoni ma laħqet l-ebda deċiżjoni, x'ġara?</v>
      </c>
    </row>
    <row r="2552" ht="15.75" customHeight="1">
      <c r="A2552" s="2" t="s">
        <v>2552</v>
      </c>
      <c r="B2552" s="2" t="str">
        <f>IFERROR(__xludf.DUMMYFUNCTION("GOOGLETRANSLATE(A2552, ""en"", ""mt"")"),"Partit Konservattiv")</f>
        <v>Partit Konservattiv</v>
      </c>
    </row>
    <row r="2553" ht="15.75" customHeight="1">
      <c r="A2553" s="2" t="s">
        <v>2553</v>
      </c>
      <c r="B2553" s="2" t="str">
        <f>IFERROR(__xludf.DUMMYFUNCTION("GOOGLETRANSLATE(A2553, ""en"", ""mt"")"),"ma tkunx konness direttament ma 'arpanet")</f>
        <v>ma tkunx konness direttament ma 'arpanet</v>
      </c>
    </row>
    <row r="2554" ht="15.75" customHeight="1">
      <c r="A2554" s="2" t="s">
        <v>2554</v>
      </c>
      <c r="B2554" s="2" t="str">
        <f>IFERROR(__xludf.DUMMYFUNCTION("GOOGLETRANSLATE(A2554, ""en"", ""mt"")"),"Liema Sagrament jaqbel mal-Kristjani mġedda l-ħajja?")</f>
        <v>Liema Sagrament jaqbel mal-Kristjani mġedda l-ħajja?</v>
      </c>
    </row>
    <row r="2555" ht="15.75" customHeight="1">
      <c r="A2555" s="2" t="s">
        <v>2555</v>
      </c>
      <c r="B2555" s="2" t="str">
        <f>IFERROR(__xludf.DUMMYFUNCTION("GOOGLETRANSLATE(A2555, ""en"", ""mt"")"),"Seba 'stejjer")</f>
        <v>Seba 'stejjer</v>
      </c>
    </row>
    <row r="2556" ht="15.75" customHeight="1">
      <c r="A2556" s="2" t="s">
        <v>2556</v>
      </c>
      <c r="B2556" s="2" t="str">
        <f>IFERROR(__xludf.DUMMYFUNCTION("GOOGLETRANSLATE(A2556, ""en"", ""mt"")"),"L-Arċisqof Albrecht ta ’Mainz u Magdeburg ma weġibx għall-ittra ta’ Luther li fiha l-95 teżi. Huwa kellu t-teżijiet ikkontrollati għall-ereżija u f'Diċembru 1517 bagħathom lil Ruma. Huwa kellu bżonn id-dħul mill-indulġenzi biex iħallas dispensa papali għa"&amp;"ll-mandat tiegħu ta 'aktar minn isqof. Kif innota Luther aktar tard, ""il-Papa kellu wkoll subgħajh fit-torta, għax nofs kien imur fil-bini tal-knisja ta 'San Pietru f'Ruma"".")</f>
        <v>L-Arċisqof Albrecht ta ’Mainz u Magdeburg ma weġibx għall-ittra ta’ Luther li fiha l-95 teżi. Huwa kellu t-teżijiet ikkontrollati għall-ereżija u f'Diċembru 1517 bagħathom lil Ruma. Huwa kellu bżonn id-dħul mill-indulġenzi biex iħallas dispensa papali għall-mandat tiegħu ta 'aktar minn isqof. Kif innota Luther aktar tard, "il-Papa kellu wkoll subgħajh fit-torta, għax nofs kien imur fil-bini tal-knisja ta 'San Pietru f'Ruma".</v>
      </c>
    </row>
    <row r="2557" ht="15.75" customHeight="1">
      <c r="A2557" s="2" t="s">
        <v>2557</v>
      </c>
      <c r="B2557" s="2" t="str">
        <f>IFERROR(__xludf.DUMMYFUNCTION("GOOGLETRANSLATE(A2557, ""en"", ""mt"")"),"X’għamlu l-VBNS")</f>
        <v>X’għamlu l-VBNS</v>
      </c>
    </row>
    <row r="2558" ht="15.75" customHeight="1">
      <c r="A2558" s="2" t="s">
        <v>2558</v>
      </c>
      <c r="B2558" s="2" t="str">
        <f>IFERROR(__xludf.DUMMYFUNCTION("GOOGLETRANSLATE(A2558, ""en"", ""mt"")"),"l-aħjar, l-agħar u l-medja tal-każ")</f>
        <v>l-aħjar, l-agħar u l-medja tal-każ</v>
      </c>
    </row>
    <row r="2559" ht="15.75" customHeight="1">
      <c r="A2559" s="2" t="s">
        <v>2559</v>
      </c>
      <c r="B2559" s="2" t="str">
        <f>IFERROR(__xludf.DUMMYFUNCTION("GOOGLETRANSLATE(A2559, ""en"", ""mt"")"),"Fuq liema kwistjonijiet jgħidu l-Istati Membri li l-Qorti tal-Ġustizzja m'għandhiex l-aħħar kelma?")</f>
        <v>Fuq liema kwistjonijiet jgħidu l-Istati Membri li l-Qorti tal-Ġustizzja m'għandhiex l-aħħar kelma?</v>
      </c>
    </row>
    <row r="2560" ht="15.75" customHeight="1">
      <c r="A2560" s="2" t="s">
        <v>2560</v>
      </c>
      <c r="B2560" s="2" t="str">
        <f>IFERROR(__xludf.DUMMYFUNCTION("GOOGLETRANSLATE(A2560, ""en"", ""mt"")"),"Liema avveniment għenu Storch u Muntzer?")</f>
        <v>Liema avveniment għenu Storch u Muntzer?</v>
      </c>
    </row>
    <row r="2561" ht="15.75" customHeight="1">
      <c r="A2561" s="2" t="s">
        <v>2561</v>
      </c>
      <c r="B2561" s="2" t="str">
        <f>IFERROR(__xludf.DUMMYFUNCTION("GOOGLETRANSLATE(A2561, ""en"", ""mt"")"),"1,320 kilometru")</f>
        <v>1,320 kilometru</v>
      </c>
    </row>
    <row r="2562" ht="15.75" customHeight="1">
      <c r="A2562" s="2" t="s">
        <v>2562</v>
      </c>
      <c r="B2562" s="2" t="str">
        <f>IFERROR(__xludf.DUMMYFUNCTION("GOOGLETRANSLATE(A2562, ""en"", ""mt"")"),"L-era pre-Kolumbjana")</f>
        <v>L-era pre-Kolumbjana</v>
      </c>
    </row>
    <row r="2563" ht="15.75" customHeight="1">
      <c r="A2563" s="2" t="s">
        <v>2563</v>
      </c>
      <c r="B2563" s="2" t="str">
        <f>IFERROR(__xludf.DUMMYFUNCTION("GOOGLETRANSLATE(A2563, ""en"", ""mt"")"),"bit-teknika")</f>
        <v>bit-teknika</v>
      </c>
    </row>
    <row r="2564" ht="15.75" customHeight="1">
      <c r="A2564" s="2" t="s">
        <v>2564</v>
      </c>
      <c r="B2564" s="2" t="str">
        <f>IFERROR(__xludf.DUMMYFUNCTION("GOOGLETRANSLATE(A2564, ""en"", ""mt"")"),"Xokkijiet ekonomiċi u politiċi vjolenti")</f>
        <v>Xokkijiet ekonomiċi u politiċi vjolenti</v>
      </c>
    </row>
    <row r="2565" ht="15.75" customHeight="1">
      <c r="A2565" s="2" t="s">
        <v>2565</v>
      </c>
      <c r="B2565" s="2" t="str">
        <f>IFERROR(__xludf.DUMMYFUNCTION("GOOGLETRANSLATE(A2565, ""en"", ""mt"")"),"720 pied")</f>
        <v>720 pied</v>
      </c>
    </row>
    <row r="2566" ht="15.75" customHeight="1">
      <c r="A2566" s="2" t="s">
        <v>2566</v>
      </c>
      <c r="B2566" s="2" t="str">
        <f>IFERROR(__xludf.DUMMYFUNCTION("GOOGLETRANSLATE(A2566, ""en"", ""mt"")"),"Liema individwi kienu responsabbli biex jawtorixxu ""dwar il-kumplessità tal-komputazzjoni tal-algoritmi""?")</f>
        <v>Liema individwi kienu responsabbli biex jawtorixxu "dwar il-kumplessità tal-komputazzjoni tal-algoritmi"?</v>
      </c>
    </row>
    <row r="2567" ht="15.75" customHeight="1">
      <c r="A2567" s="2" t="s">
        <v>2567</v>
      </c>
      <c r="B2567" s="2" t="str">
        <f>IFERROR(__xludf.DUMMYFUNCTION("GOOGLETRANSLATE(A2567, ""en"", ""mt"")"),"Liema ħakkiem, minbarra John of Saxony u Philip of Hesse, iffurmaw il-Lega Schmalkaldic?")</f>
        <v>Liema ħakkiem, minbarra John of Saxony u Philip of Hesse, iffurmaw il-Lega Schmalkaldic?</v>
      </c>
    </row>
    <row r="2568" ht="15.75" customHeight="1">
      <c r="A2568" s="2" t="s">
        <v>2568</v>
      </c>
      <c r="B2568" s="2" t="str">
        <f>IFERROR(__xludf.DUMMYFUNCTION("GOOGLETRANSLATE(A2568, ""en"", ""mt"")"),"Kemm timijiet tal-NFL kellhom telf wieħed biss sa tmiem staġun regolari?")</f>
        <v>Kemm timijiet tal-NFL kellhom telf wieħed biss sa tmiem staġun regolari?</v>
      </c>
    </row>
    <row r="2569" ht="15.75" customHeight="1">
      <c r="A2569" s="2" t="s">
        <v>2569</v>
      </c>
      <c r="B2569" s="2" t="str">
        <f>IFERROR(__xludf.DUMMYFUNCTION("GOOGLETRANSLATE(A2569, ""en"", ""mt"")"),"L-għada:")</f>
        <v>L-għada:</v>
      </c>
    </row>
    <row r="2570" ht="15.75" customHeight="1">
      <c r="A2570" s="2" t="s">
        <v>2570</v>
      </c>
      <c r="B2570" s="2" t="str">
        <f>IFERROR(__xludf.DUMMYFUNCTION("GOOGLETRANSLATE(A2570, ""en"", ""mt"")"),"L- ""Ipotesi tal-Hugues""")</f>
        <v>L- "Ipotesi tal-Hugues"</v>
      </c>
    </row>
    <row r="2571" ht="15.75" customHeight="1">
      <c r="A2571" s="2" t="s">
        <v>2571</v>
      </c>
      <c r="B2571" s="2" t="str">
        <f>IFERROR(__xludf.DUMMYFUNCTION("GOOGLETRANSLATE(A2571, ""en"", ""mt"")"),"manwalment irażżan in-nar")</f>
        <v>manwalment irażżan in-nar</v>
      </c>
    </row>
    <row r="2572" ht="15.75" customHeight="1">
      <c r="A2572" s="2" t="s">
        <v>2572</v>
      </c>
      <c r="B2572" s="2" t="str">
        <f>IFERROR(__xludf.DUMMYFUNCTION("GOOGLETRANSLATE(A2572, ""en"", ""mt"")"),"Fl-1227, l-armata ta 'Genghis Khan attakkat u qerdet il-kapitali Tangut ta' Ning Hia u kompliet tavvanza, ħatfet lil Lintiao-Fu, il-provinċja ta 'Xining, Xindu-fu, u l-provinċja ta' Deshun wara xulxin malajr fir-rebbiegħa. F'Deshun, il-Ġeneral tat-Tangut "&amp;"Ma Jianlong waqqaf reżistenza ħarxa għal diversi jiem u mexxa ħlasijiet personalment kontra l-invażuri barra l-bieb tal-belt. Ma Jianlong miet wara minn feriti li rċevew minn vleġeġ fil-battalja. Genghis Khan, wara li ħakem lil Deshun, mar għand Liupansha"&amp;"n (il-Kontea ta 'Qingshui, il-Provinċja ta' Gansu) biex jaħrab is-sajf sever. L-Imperatur Tangut il-ġdid ċeda malajr lill-Mongoli, u l-bqija tat-Tanguts ċedew uffiċjalment ftit wara. Mhux kuntent bit-tradiment u r-reżistenza tagħhom, Genghis Khan ordna li"&amp;"ll-familja imperjali kollha biex tiġi eżegwita, u ttemm b'mod effettiv in-nisel tat-tangut.")</f>
        <v>Fl-1227, l-armata ta 'Genghis Khan attakkat u qerdet il-kapitali Tangut ta' Ning Hia u kompliet tavvanza, ħatfet lil Lintiao-Fu, il-provinċja ta 'Xining, Xindu-fu, u l-provinċja ta' Deshun wara xulxin malajr fir-rebbiegħa. F'Deshun, il-Ġeneral tat-Tangut Ma Jianlong waqqaf reżistenza ħarxa għal diversi jiem u mexxa ħlasijiet personalment kontra l-invażuri barra l-bieb tal-belt. Ma Jianlong miet wara minn feriti li rċevew minn vleġeġ fil-battalja. Genghis Khan, wara li ħakem lil Deshun, mar għand Liupanshan (il-Kontea ta 'Qingshui, il-Provinċja ta' Gansu) biex jaħrab is-sajf sever. L-Imperatur Tangut il-ġdid ċeda malajr lill-Mongoli, u l-bqija tat-Tanguts ċedew uffiċjalment ftit wara. Mhux kuntent bit-tradiment u r-reżistenza tagħhom, Genghis Khan ordna lill-familja imperjali kollha biex tiġi eżegwita, u ttemm b'mod effettiv in-nisel tat-tangut.</v>
      </c>
    </row>
    <row r="2573" ht="15.75" customHeight="1">
      <c r="A2573" s="2" t="s">
        <v>2573</v>
      </c>
      <c r="B2573" s="2" t="str">
        <f>IFERROR(__xludf.DUMMYFUNCTION("GOOGLETRANSLATE(A2573, ""en"", ""mt"")"),"Il-Kenja wriet depożiti ta 'żejt f'Turkana u l-vijabbiltà kummerċjali kienet għadha kemm ġiet skoperta. Tullow Oil jistma li r-riservi taż-żejt tal-Kenja għandhom madwar 10 biljun barmil. L-esplorazzjoni għadha tkompli tiddetermina jekk hemmx aktar riżerv"&amp;"i. Il-Kenja bħalissa timporta r-rekwiżiti kollha mhux raffinati tal-pitrolju. Il-Kenja, l-akbar ekonomija tal-Afrika tal-Lvant, m'għandha l-ebda riżervi strateġiċi u tiddependi biss fuq ir-riżervi taż-żejt ta '21 jum tal-kummerċjanti taż-żejt meħtieġa taħ"&amp;"t ir-regolamenti tal-industrija. Il-pitrolju jammonta għal 20% sa 25% tal-kont nazzjonali tal-importazzjoni.")</f>
        <v>Il-Kenja wriet depożiti ta 'żejt f'Turkana u l-vijabbiltà kummerċjali kienet għadha kemm ġiet skoperta. Tullow Oil jistma li r-riservi taż-żejt tal-Kenja għandhom madwar 10 biljun barmil. L-esplorazzjoni għadha tkompli tiddetermina jekk hemmx aktar riżervi. Il-Kenja bħalissa timporta r-rekwiżiti kollha mhux raffinati tal-pitrolju. Il-Kenja, l-akbar ekonomija tal-Afrika tal-Lvant, m'għandha l-ebda riżervi strateġiċi u tiddependi biss fuq ir-riżervi taż-żejt ta '21 jum tal-kummerċjanti taż-żejt meħtieġa taħt ir-regolamenti tal-industrija. Il-pitrolju jammonta għal 20% sa 25% tal-kont nazzjonali tal-importazzjoni.</v>
      </c>
    </row>
    <row r="2574" ht="15.75" customHeight="1">
      <c r="A2574" s="2" t="s">
        <v>2574</v>
      </c>
      <c r="B2574" s="2" t="str">
        <f>IFERROR(__xludf.DUMMYFUNCTION("GOOGLETRANSLATE(A2574, ""en"", ""mt"")"),"avukat")</f>
        <v>avukat</v>
      </c>
    </row>
    <row r="2575" ht="15.75" customHeight="1">
      <c r="A2575" s="2" t="s">
        <v>2575</v>
      </c>
      <c r="B2575" s="2" t="str">
        <f>IFERROR(__xludf.DUMMYFUNCTION("GOOGLETRANSLATE(A2575, ""en"", ""mt"")"),"Fejn intużaw b'mod partikolari lokomottivi li ma jikkondensawx id-drajv dirett għall-ferroviji tal-passiġġieri veloċi?")</f>
        <v>Fejn intużaw b'mod partikolari lokomottivi li ma jikkondensawx id-drajv dirett għall-ferroviji tal-passiġġieri veloċi?</v>
      </c>
    </row>
    <row r="2576" ht="15.75" customHeight="1">
      <c r="A2576" s="2" t="s">
        <v>2576</v>
      </c>
      <c r="B2576" s="2" t="str">
        <f>IFERROR(__xludf.DUMMYFUNCTION("GOOGLETRANSLATE(A2576, ""en"", ""mt"")"),"Bid-dati tal-proċess tal-qorti kriminali internazzjonali fl-2013 kemm għall-President Kenyatta kif ukoll id-Deputat President William Ruto relatati mal-elezzjoni tal-2007, il-President Amerikan Barack Obama għażel li ma jżurx il-pajjiż matul il-vjaġġ Afri"&amp;"kan tiegħu f'nofs l-2013. Aktar tard fis-sajf, Kenyatta żaret iċ-Ċina fuq stedina tal-President Xi Jinping wara waqfa fir-Russja u ma żaretx l-Istati Uniti bħala president. F’Lulju 2015 Obama żar il-Kenja, bħala l-ewwel president Amerikan li żur il-pajjiż"&amp;" waqt li kien fil-kariga.")</f>
        <v>Bid-dati tal-proċess tal-qorti kriminali internazzjonali fl-2013 kemm għall-President Kenyatta kif ukoll id-Deputat President William Ruto relatati mal-elezzjoni tal-2007, il-President Amerikan Barack Obama għażel li ma jżurx il-pajjiż matul il-vjaġġ Afrikan tiegħu f'nofs l-2013. Aktar tard fis-sajf, Kenyatta żaret iċ-Ċina fuq stedina tal-President Xi Jinping wara waqfa fir-Russja u ma żaretx l-Istati Uniti bħala president. F’Lulju 2015 Obama żar il-Kenja, bħala l-ewwel president Amerikan li żur il-pajjiż waqt li kien fil-kariga.</v>
      </c>
    </row>
    <row r="2577" ht="15.75" customHeight="1">
      <c r="A2577" s="2" t="s">
        <v>2577</v>
      </c>
      <c r="B2577" s="2" t="str">
        <f>IFERROR(__xludf.DUMMYFUNCTION("GOOGLETRANSLATE(A2577, ""en"", ""mt"")"),"Żewġ aġenziji pubbliċi, speċjalment żewġ fergħat ugwalment sovrani tal-gvern, kunflitti")</f>
        <v>Żewġ aġenziji pubbliċi, speċjalment żewġ fergħat ugwalment sovrani tal-gvern, kunflitti</v>
      </c>
    </row>
    <row r="2578" ht="15.75" customHeight="1">
      <c r="A2578" s="2" t="s">
        <v>2578</v>
      </c>
      <c r="B2578" s="2" t="str">
        <f>IFERROR(__xludf.DUMMYFUNCTION("GOOGLETRANSLATE(A2578, ""en"", ""mt"")"),"OC-48C")</f>
        <v>OC-48C</v>
      </c>
    </row>
    <row r="2579" ht="15.75" customHeight="1">
      <c r="A2579" s="2" t="s">
        <v>2579</v>
      </c>
      <c r="B2579" s="2" t="str">
        <f>IFERROR(__xludf.DUMMYFUNCTION("GOOGLETRANSLATE(A2579, ""en"", ""mt"")"),"fjammabbli")</f>
        <v>fjammabbli</v>
      </c>
    </row>
    <row r="2580" ht="15.75" customHeight="1">
      <c r="A2580" s="2" t="s">
        <v>2580</v>
      </c>
      <c r="B2580" s="2" t="str">
        <f>IFERROR(__xludf.DUMMYFUNCTION("GOOGLETRANSLATE(A2580, ""en"", ""mt"")"),"L-irkapti tal-valv l-aktar sempliċi jagħtu avvenimenti ta 'tul fiss matul iċ-ċiklu tal-magna u ħafna drabi jagħmlu l-magna ddur f'direzzjoni waħda biss. Madankollu l-biċċa l-kbira għandhom mekkaniżmu ta 'treġġigħ lura li barra minn hekk jista' jipprovdi m"&amp;"ezzi għall-iffrankar tal-fwar hekk kif il-veloċità u l-momentum jinkisbu billi ""tqassar il-cutoff"" jew pjuttost, tqassar l-avveniment ta 'ammissjoni; Dan imbagħad ittawwal proporzjonalment il-perjodu ta 'espansjoni. Madankollu, hekk kif wieħed u l-istes"&amp;"s valv ġeneralment jikkontrolla ż-żewġ flussi tal-fwar, qtugħ qasir fl-ammissjoni jaffettwa ħażin l-egżost u l-perjodi ta 'kompressjoni li idealment għandhom dejjem jinżammu pjuttost kostanti; Jekk l-avveniment tal-egżost huwa qasir wisq, it-totalità tal-"&amp;"fwar tal-egżost ma tistax tevakwa ċ-ċilindru, tifgah u tagħti kompressjoni eċċessiva (""kick lura""). [Ċitazzjoni meħtieġa]")</f>
        <v>L-irkapti tal-valv l-aktar sempliċi jagħtu avvenimenti ta 'tul fiss matul iċ-ċiklu tal-magna u ħafna drabi jagħmlu l-magna ddur f'direzzjoni waħda biss. Madankollu l-biċċa l-kbira għandhom mekkaniżmu ta 'treġġigħ lura li barra minn hekk jista' jipprovdi mezzi għall-iffrankar tal-fwar hekk kif il-veloċità u l-momentum jinkisbu billi "tqassar il-cutoff" jew pjuttost, tqassar l-avveniment ta 'ammissjoni; Dan imbagħad ittawwal proporzjonalment il-perjodu ta 'espansjoni. Madankollu, hekk kif wieħed u l-istess valv ġeneralment jikkontrolla ż-żewġ flussi tal-fwar, qtugħ qasir fl-ammissjoni jaffettwa ħażin l-egżost u l-perjodi ta 'kompressjoni li idealment għandhom dejjem jinżammu pjuttost kostanti; Jekk l-avveniment tal-egżost huwa qasir wisq, it-totalità tal-fwar tal-egżost ma tistax tevakwa ċ-ċilindru, tifgah u tagħti kompressjoni eċċessiva ("kick lura"). [Ċitazzjoni meħtieġa]</v>
      </c>
    </row>
    <row r="2581" ht="15.75" customHeight="1">
      <c r="A2581" s="2" t="s">
        <v>2581</v>
      </c>
      <c r="B2581" s="2" t="str">
        <f>IFERROR(__xludf.DUMMYFUNCTION("GOOGLETRANSLATE(A2581, ""en"", ""mt"")"),"Il-kriżi taż-żejt tal-1973 bdiet f'Ottubru 1973 meta l-membri tal-Organizzazzjoni tal-Pajjiżi Esportanti tal-Petrolju Għarab (OAPEC, li jikkonsistu mill-membri Għarab tal-OPEC flimkien mal-Eġittu u s-Sirja) ipproklamaw embargo taż-żejt. Sa tmiem l-embargo"&amp;" f'Marzu 1974, il-prezz taż-żejt kien żdied minn US $ 3 kull barmil għal kważi $ 12 globalment; Il-prezzijiet tal-Istati Uniti kienu sinifikament ogħla. L-embargo kkawża kriżi taż-żejt, jew ""xokk"", b'ħafna effetti għal żmien qasir u fit-tul fuq il-polit"&amp;"ika globali u l-ekonomija globali. Aktar tard ġie msejjaħ ""l-ewwel xokk taż-żejt"", segwit mill-kriżi taż-żejt tal-1979, imsejjaħ it- ""Tieni Xokk taż-Żejt.""")</f>
        <v>Il-kriżi taż-żejt tal-1973 bdiet f'Ottubru 1973 meta l-membri tal-Organizzazzjoni tal-Pajjiżi Esportanti tal-Petrolju Għarab (OAPEC, li jikkonsistu mill-membri Għarab tal-OPEC flimkien mal-Eġittu u s-Sirja) ipproklamaw embargo taż-żejt. Sa tmiem l-embargo f'Marzu 1974, il-prezz taż-żejt kien żdied minn US $ 3 kull barmil għal kważi $ 12 globalment; Il-prezzijiet tal-Istati Uniti kienu sinifikament ogħla. L-embargo kkawża kriżi taż-żejt, jew "xokk", b'ħafna effetti għal żmien qasir u fit-tul fuq il-politika globali u l-ekonomija globali. Aktar tard ġie msejjaħ "l-ewwel xokk taż-żejt", segwit mill-kriżi taż-żejt tal-1979, imsejjaħ it- "Tieni Xokk taż-Żejt."</v>
      </c>
    </row>
    <row r="2582" ht="15.75" customHeight="1">
      <c r="A2582" s="2" t="s">
        <v>2582</v>
      </c>
      <c r="B2582" s="2" t="str">
        <f>IFERROR(__xludf.DUMMYFUNCTION("GOOGLETRANSLATE(A2582, ""en"", ""mt"")"),"Ir-Repubblika Olandiża")</f>
        <v>Ir-Repubblika Olandiża</v>
      </c>
    </row>
    <row r="2583" ht="15.75" customHeight="1">
      <c r="A2583" s="2" t="s">
        <v>2583</v>
      </c>
      <c r="B2583" s="2" t="str">
        <f>IFERROR(__xludf.DUMMYFUNCTION("GOOGLETRANSLATE(A2583, ""en"", ""mt"")"),"Loop Open")</f>
        <v>Loop Open</v>
      </c>
    </row>
    <row r="2584" ht="15.75" customHeight="1">
      <c r="A2584" s="2" t="s">
        <v>2584</v>
      </c>
      <c r="B2584" s="2" t="str">
        <f>IFERROR(__xludf.DUMMYFUNCTION("GOOGLETRANSLATE(A2584, ""en"", ""mt"")"),"l-aħħar tas-1340s")</f>
        <v>l-aħħar tas-1340s</v>
      </c>
    </row>
    <row r="2585" ht="15.75" customHeight="1">
      <c r="A2585" s="2" t="s">
        <v>2585</v>
      </c>
      <c r="B2585" s="2" t="str">
        <f>IFERROR(__xludf.DUMMYFUNCTION("GOOGLETRANSLATE(A2585, ""en"", ""mt"")"),"Kemm hemm thylakoids tal-granal ġeneralment f'kull granum?")</f>
        <v>Kemm hemm thylakoids tal-granal ġeneralment f'kull granum?</v>
      </c>
    </row>
    <row r="2586" ht="15.75" customHeight="1">
      <c r="A2586" s="2" t="s">
        <v>2586</v>
      </c>
      <c r="B2586" s="2" t="str">
        <f>IFERROR(__xludf.DUMMYFUNCTION("GOOGLETRANSLATE(A2586, ""en"", ""mt"")"),"X'inhu mrażżan bil-lieva fil-parti ta 'fuq ta' bojler?")</f>
        <v>X'inhu mrażżan bil-lieva fil-parti ta 'fuq ta' bojler?</v>
      </c>
    </row>
    <row r="2587" ht="15.75" customHeight="1">
      <c r="A2587" s="2" t="s">
        <v>2587</v>
      </c>
      <c r="B2587" s="2" t="str">
        <f>IFERROR(__xludf.DUMMYFUNCTION("GOOGLETRANSLATE(A2587, ""en"", ""mt"")"),"allokazzjoni")</f>
        <v>allokazzjoni</v>
      </c>
    </row>
    <row r="2588" ht="15.75" customHeight="1">
      <c r="A2588" s="2" t="s">
        <v>2588</v>
      </c>
      <c r="B2588" s="2" t="str">
        <f>IFERROR(__xludf.DUMMYFUNCTION("GOOGLETRANSLATE(A2588, ""en"", ""mt"")"),"Librerija tax-Xjenza Cabot, Librerija Lamont, u Librerija Widener")</f>
        <v>Librerija tax-Xjenza Cabot, Librerija Lamont, u Librerija Widener</v>
      </c>
    </row>
    <row r="2589" ht="15.75" customHeight="1">
      <c r="A2589" s="2" t="s">
        <v>2589</v>
      </c>
      <c r="B2589" s="2" t="str">
        <f>IFERROR(__xludf.DUMMYFUNCTION("GOOGLETRANSLATE(A2589, ""en"", ""mt"")"),"tirrifjuta li tagħmel impenn fuq ir-risposta tal-Amerika")</f>
        <v>tirrifjuta li tagħmel impenn fuq ir-risposta tal-Amerika</v>
      </c>
    </row>
    <row r="2590" ht="15.75" customHeight="1">
      <c r="A2590" s="2" t="s">
        <v>2590</v>
      </c>
      <c r="B2590" s="2" t="str">
        <f>IFERROR(__xludf.DUMMYFUNCTION("GOOGLETRANSLATE(A2590, ""en"", ""mt"")"),"Fost il-ftit spots brillanti matul dan l-istaġun kien hemm il-Kastell tal-Kriminalità tal-Midseason kif ukoll is-suċċess ta 'żewġ sitcoms tal-familja li ankraw il-formazzjoni tal-kummiedja tal-Erbgħa mġedda tan-netwerk, il-familja tan-nofs u moderna, li d"&amp;"in tal-aħħar kienet kemm suċċess kritiku u kummerċjali. Shark Tank (ibbażat fuq il-format tad-Dragon's Den Reality) sar ukoll milqugħ mill-midseason fil-Ħdud fir-rebbiegħa tal-2010; L-istaġun ta 'wara, sar it-tentpole tal-iskeda tal-Ġimgħa bil-lejl tan-ne"&amp;"twerk, li jgħin gradwalment jagħmel lil ABC kompetitur qawwi (wara li kien imqabbad ma '20 / 20 u li beda bl-istaġun 2012-13, is-sitcom Tim Allen Last Man wieqaf) kontra CBS "" Drama / lineup ta 'realtà dominanti fit-tul f'dak il-lejl għall-ewwel darba mi"&amp;"nn meta l-formazzjoni ""TGIF"" intemmet fl-2000.")</f>
        <v>Fost il-ftit spots brillanti matul dan l-istaġun kien hemm il-Kastell tal-Kriminalità tal-Midseason kif ukoll is-suċċess ta 'żewġ sitcoms tal-familja li ankraw il-formazzjoni tal-kummiedja tal-Erbgħa mġedda tan-netwerk, il-familja tan-nofs u moderna, li din tal-aħħar kienet kemm suċċess kritiku u kummerċjali. Shark Tank (ibbażat fuq il-format tad-Dragon's Den Reality) sar ukoll milqugħ mill-midseason fil-Ħdud fir-rebbiegħa tal-2010; L-istaġun ta 'wara, sar it-tentpole tal-iskeda tal-Ġimgħa bil-lejl tan-netwerk, li jgħin gradwalment jagħmel lil ABC kompetitur qawwi (wara li kien imqabbad ma '20 / 20 u li beda bl-istaġun 2012-13, is-sitcom Tim Allen Last Man wieqaf) kontra CBS " Drama / lineup ta 'realtà dominanti fit-tul f'dak il-lejl għall-ewwel darba minn meta l-formazzjoni "TGIF" intemmet fl-2000.</v>
      </c>
    </row>
    <row r="2591" ht="15.75" customHeight="1">
      <c r="A2591" s="2" t="s">
        <v>2591</v>
      </c>
      <c r="B2591" s="2" t="str">
        <f>IFERROR(__xludf.DUMMYFUNCTION("GOOGLETRANSLATE(A2591, ""en"", ""mt"")"),"Kastig korporali tal-iskola")</f>
        <v>Kastig korporali tal-iskola</v>
      </c>
    </row>
    <row r="2592" ht="15.75" customHeight="1">
      <c r="A2592" s="2" t="s">
        <v>2592</v>
      </c>
      <c r="B2592" s="2" t="str">
        <f>IFERROR(__xludf.DUMMYFUNCTION("GOOGLETRANSLATE(A2592, ""en"", ""mt"")"),"Honeyeater elmu")</f>
        <v>Honeyeater elmu</v>
      </c>
    </row>
    <row r="2593" ht="15.75" customHeight="1">
      <c r="A2593" s="2" t="s">
        <v>2593</v>
      </c>
      <c r="B2593" s="2" t="str">
        <f>IFERROR(__xludf.DUMMYFUNCTION("GOOGLETRANSLATE(A2593, ""en"", ""mt"")"),"Novgorod u Pskov")</f>
        <v>Novgorod u Pskov</v>
      </c>
    </row>
    <row r="2594" ht="15.75" customHeight="1">
      <c r="A2594" s="2" t="s">
        <v>2594</v>
      </c>
      <c r="B2594" s="2" t="str">
        <f>IFERROR(__xludf.DUMMYFUNCTION("GOOGLETRANSLATE(A2594, ""en"", ""mt"")"),"X'għamel l-NIF biex tgħaqqad l-oppożizzjoni Iżlamista?")</f>
        <v>X'għamel l-NIF biex tgħaqqad l-oppożizzjoni Iżlamista?</v>
      </c>
    </row>
    <row r="2595" ht="15.75" customHeight="1">
      <c r="A2595" s="2" t="s">
        <v>2595</v>
      </c>
      <c r="B2595" s="2" t="str">
        <f>IFERROR(__xludf.DUMMYFUNCTION("GOOGLETRANSLATE(A2595, ""en"", ""mt"")"),"Għal xiex inhu l-AFC qasir?")</f>
        <v>Għal xiex inhu l-AFC qasir?</v>
      </c>
    </row>
    <row r="2596" ht="15.75" customHeight="1">
      <c r="A2596" s="2" t="s">
        <v>2596</v>
      </c>
      <c r="B2596" s="2" t="str">
        <f>IFERROR(__xludf.DUMMYFUNCTION("GOOGLETRANSLATE(A2596, ""en"", ""mt"")"),"X'għandu jaħdem l-apparat ta 'Tesla mill-ħruġ ta'?")</f>
        <v>X'għandu jaħdem l-apparat ta 'Tesla mill-ħruġ ta'?</v>
      </c>
    </row>
    <row r="2597" ht="15.75" customHeight="1">
      <c r="A2597" s="2" t="s">
        <v>2597</v>
      </c>
      <c r="B2597" s="2" t="str">
        <f>IFERROR(__xludf.DUMMYFUNCTION("GOOGLETRANSLATE(A2597, ""en"", ""mt"")"),"Riżorsi tal-Kumplessità")</f>
        <v>Riżorsi tal-Kumplessità</v>
      </c>
    </row>
    <row r="2598" ht="15.75" customHeight="1">
      <c r="A2598" s="2" t="s">
        <v>2598</v>
      </c>
      <c r="B2598" s="2" t="str">
        <f>IFERROR(__xludf.DUMMYFUNCTION("GOOGLETRANSLATE(A2598, ""en"", ""mt"")"),"Makrofaġi u limfoċiti")</f>
        <v>Makrofaġi u limfoċiti</v>
      </c>
    </row>
    <row r="2599" ht="15.75" customHeight="1">
      <c r="A2599" s="2" t="s">
        <v>2599</v>
      </c>
      <c r="B2599" s="2" t="str">
        <f>IFERROR(__xludf.DUMMYFUNCTION("GOOGLETRANSLATE(A2599, ""en"", ""mt"")"),"rapporteur")</f>
        <v>rapporteur</v>
      </c>
    </row>
    <row r="2600" ht="15.75" customHeight="1">
      <c r="A2600" s="2" t="s">
        <v>2600</v>
      </c>
      <c r="B2600" s="2" t="str">
        <f>IFERROR(__xludf.DUMMYFUNCTION("GOOGLETRANSLATE(A2600, ""en"", ""mt"")"),"Matul l-istrajk tan-netwerk tal-ITV tal-1979, it-telespettazzjoni laħqet il-quċċata ta '16 -il miljun. Iċ-ċifri meħtieġa] baqgħu rispettabbli fis-snin 1980, iżda waqgħu b'mod notevoli wara li t-23 serje tal-programm ġiet posposta fl-1985 u l-ispettaklu ki"&amp;"en barra mill-arja għal 18-il xahar. Il-prestazzjoni tagħha tard tas-snin 1980 ta 'tlieta sa ħames miljun telespettatur kienet meqjusa bħala fqira dak iż-żmien u kienet, skond il-Bord ta' Kontroll tal-BBC, kawża ewlenija tas-sospensjoni tal-1989 tal-progr"&amp;"amm. Xi fannijiet ikkunsidraw dan id-diżingenu, peress li l-programm kien skedat kontra t-Triq tas-Soap Opera, l-iktar spettaklu popolari dak iż-żmien. Wara l-qawmien mill-ġdid tas-serje fl-2005 (it-tielet perjodu notevoli ta 'klassifikazzjonijiet għoljin"&amp;"), hija kellha livelli għoljin ta' telespettazzjoni għal-lejla li fiha xxandar l-episodju.")</f>
        <v>Matul l-istrajk tan-netwerk tal-ITV tal-1979, it-telespettazzjoni laħqet il-quċċata ta '16 -il miljun. Iċ-ċifri meħtieġa] baqgħu rispettabbli fis-snin 1980, iżda waqgħu b'mod notevoli wara li t-23 serje tal-programm ġiet posposta fl-1985 u l-ispettaklu kien barra mill-arja għal 18-il xahar. Il-prestazzjoni tagħha tard tas-snin 1980 ta 'tlieta sa ħames miljun telespettatur kienet meqjusa bħala fqira dak iż-żmien u kienet, skond il-Bord ta' Kontroll tal-BBC, kawża ewlenija tas-sospensjoni tal-1989 tal-programm. Xi fannijiet ikkunsidraw dan id-diżingenu, peress li l-programm kien skedat kontra t-Triq tas-Soap Opera, l-iktar spettaklu popolari dak iż-żmien. Wara l-qawmien mill-ġdid tas-serje fl-2005 (it-tielet perjodu notevoli ta 'klassifikazzjonijiet għoljin), hija kellha livelli għoljin ta' telespettazzjoni għal-lejla li fiha xxandar l-episodju.</v>
      </c>
    </row>
    <row r="2601" ht="15.75" customHeight="1">
      <c r="A2601" s="2" t="s">
        <v>2601</v>
      </c>
      <c r="B2601" s="2" t="str">
        <f>IFERROR(__xludf.DUMMYFUNCTION("GOOGLETRANSLATE(A2601, ""en"", ""mt"")"),"Waqt li kien qed jinbena l-bini permanenti f'Holyrood, id-dar temporanja tal-Parlament kienet is-Sala tal-Assemblea Ġenerali tal-Knisja ta 'l-Iskozja fuq ir-Royal Mile f'Edinburgu. Ritratti uffiċjali u intervisti televiżivi saru fil-bitħa li tmiss mal-Ass"&amp;"emblea Hall, li hija parti mill-Iskola tad-Divinità tal-Università ta ’Edinburgu. Dan il-bini ġie tbattal darbtejn biex jippermetti l-laqgħa tal-Assemblea Ġenerali tal-Knisja. F'Mejju 2000, il-Parlament ġie rilokat temporanjament għall-Kamra tal-Kunsill R"&amp;"eġjonali ta 'Strathclyde li tiddibatti fi Glasgow, u fl-Università ta' Aberdeen f'Mejju 2002.")</f>
        <v>Waqt li kien qed jinbena l-bini permanenti f'Holyrood, id-dar temporanja tal-Parlament kienet is-Sala tal-Assemblea Ġenerali tal-Knisja ta 'l-Iskozja fuq ir-Royal Mile f'Edinburgu. Ritratti uffiċjali u intervisti televiżivi saru fil-bitħa li tmiss mal-Assemblea Hall, li hija parti mill-Iskola tad-Divinità tal-Università ta ’Edinburgu. Dan il-bini ġie tbattal darbtejn biex jippermetti l-laqgħa tal-Assemblea Ġenerali tal-Knisja. F'Mejju 2000, il-Parlament ġie rilokat temporanjament għall-Kamra tal-Kunsill Reġjonali ta 'Strathclyde li tiddibatti fi Glasgow, u fl-Università ta' Aberdeen f'Mejju 2002.</v>
      </c>
    </row>
    <row r="2602" ht="15.75" customHeight="1">
      <c r="A2602" s="2" t="s">
        <v>2602</v>
      </c>
      <c r="B2602" s="2" t="str">
        <f>IFERROR(__xludf.DUMMYFUNCTION("GOOGLETRANSLATE(A2602, ""en"", ""mt"")"),"Kif kienet differenti l-edukazzjoni matul il-moviment tal-edukazzjoni tal-iskola għolja mill-edukazzjoni sussegwenti tal-iskola sekondarja?")</f>
        <v>Kif kienet differenti l-edukazzjoni matul il-moviment tal-edukazzjoni tal-iskola għolja mill-edukazzjoni sussegwenti tal-iskola sekondarja?</v>
      </c>
    </row>
    <row r="2603" ht="15.75" customHeight="1">
      <c r="A2603" s="2" t="s">
        <v>2603</v>
      </c>
      <c r="B2603" s="2" t="str">
        <f>IFERROR(__xludf.DUMMYFUNCTION("GOOGLETRANSLATE(A2603, ""en"", ""mt"")"),"X'kienu l-abbiltajiet speċjali ta 'omm Tesla?")</f>
        <v>X'kienu l-abbiltajiet speċjali ta 'omm Tesla?</v>
      </c>
    </row>
    <row r="2604" ht="15.75" customHeight="1">
      <c r="A2604" s="2" t="s">
        <v>2604</v>
      </c>
      <c r="B2604" s="2" t="str">
        <f>IFERROR(__xludf.DUMMYFUNCTION("GOOGLETRANSLATE(A2604, ""en"", ""mt"")"),"Għaliex kienu s-suġġerimenti inizjali għal parlament devolut qabel l-1914 bl-inkarigu?")</f>
        <v>Għaliex kienu s-suġġerimenti inizjali għal parlament devolut qabel l-1914 bl-inkarigu?</v>
      </c>
    </row>
    <row r="2605" ht="15.75" customHeight="1">
      <c r="A2605" s="2" t="s">
        <v>2605</v>
      </c>
      <c r="B2605" s="2" t="str">
        <f>IFERROR(__xludf.DUMMYFUNCTION("GOOGLETRANSLATE(A2605, ""en"", ""mt"")"),"WABC-TV u Philadelphia O &amp; O WPVI-TV")</f>
        <v>WABC-TV u Philadelphia O &amp; O WPVI-TV</v>
      </c>
    </row>
    <row r="2606" ht="15.75" customHeight="1">
      <c r="A2606" s="2" t="s">
        <v>2606</v>
      </c>
      <c r="B2606" s="2" t="str">
        <f>IFERROR(__xludf.DUMMYFUNCTION("GOOGLETRANSLATE(A2606, ""en"", ""mt"")"),"X'kien l-għan tas-sistema")</f>
        <v>X'kien l-għan tas-sistema</v>
      </c>
    </row>
    <row r="2607" ht="15.75" customHeight="1">
      <c r="A2607" s="2" t="s">
        <v>2607</v>
      </c>
      <c r="B2607" s="2" t="str">
        <f>IFERROR(__xludf.DUMMYFUNCTION("GOOGLETRANSLATE(A2607, ""en"", ""mt"")"),"Id-dewmien fis-CSM ikkawżat min-nar ippermetta n-NASA biex tlaħħaq mal-klassifikazzjoni tal-bniedem LM u Saturn V. Apollo 4 (AS-501) kienet l-ewwel titjira bla ekwipaġġ tas-Saturn V, li ġġorr blokk I CSM fid-9 ta 'Novembru, 1967. Il-kapaċità tat-tarka tas"&amp;"-sħana tal-modulu tal-kmand biex tibqa 'ħajja mill-ġdid trans-lunari ntweriet bl-użu tal-magna tal-modulu tas-servizz biex tgħaqqadha fl-atmosfera ogħla mill-veloċità tas-soltu tad-Dinja-orbitali mill-ġdid. Dan ġie segwit fl-4 ta 'April, 1968, minn Apollo"&amp;" 6 (AS-502) li ġab artiklu tat-test CSM u LM bħala saborra. L-intenzjoni ta 'din il-missjoni kienet li tinkiseb injezzjoni trans-lunari, segwita mill-qrib minn abort simulat ta' ritorn dirett, bl-użu tal-magna tal-modulu tas-servizz biex tinkiseb reentry "&amp;"ieħor ta 'veloċità għolja. Is-Saturn V esperjenzaw l-oxxillazzjoni POGO, problema kkawżata minn kombustjoni tal-magna mhux kostanti, li għamlet ħsara lill-linji tal-fjuwil fit-tieni u t-tielet stadji. Żewġ magni S-II jagħlqu qabel iż-żmien, iżda l-magni l"&amp;"i fadal setgħu jikkumpensaw. Il-ħsara fil-magna tat-tielet stadju kienet iktar severa, u ma tħallix li terġa 'tibda għall-injezzjoni trans-lunar. Il-kontrolluri tal-missjoni setgħu jużaw il-magna tal-modulu tas-servizz biex essenzjalment jirrepetu l-profi"&amp;"l tat-titjira ta 'Apollo 4. Ibbażat fuq il-prestazzjoni tajba ta' Apollo 6 u l-identifikazzjoni ta 'soluzzjonijiet sodisfaċenti għall-problemi ta' Apollo 6, in-NASA ddikjarat is-Saturn V lest għall-irġiel, tikkanċella it-tielet test mingħajr ekwipaġġ.")</f>
        <v>Id-dewmien fis-CSM ikkawżat min-nar ippermetta n-NASA biex tlaħħaq mal-klassifikazzjoni tal-bniedem LM u Saturn V. Apollo 4 (AS-501) kienet l-ewwel titjira bla ekwipaġġ tas-Saturn V, li ġġorr blokk I CSM fid-9 ta 'Novembru, 1967. Il-kapaċità tat-tarka tas-sħana tal-modulu tal-kmand biex tibqa 'ħajja mill-ġdid trans-lunari ntweriet bl-użu tal-magna tal-modulu tas-servizz biex tgħaqqadha fl-atmosfera ogħla mill-veloċità tas-soltu tad-Dinja-orbitali mill-ġdid. Dan ġie segwit fl-4 ta 'April, 1968, minn Apollo 6 (AS-502) li ġab artiklu tat-test CSM u LM bħala saborra. L-intenzjoni ta 'din il-missjoni kienet li tinkiseb injezzjoni trans-lunari, segwita mill-qrib minn abort simulat ta' ritorn dirett, bl-użu tal-magna tal-modulu tas-servizz biex tinkiseb reentry ieħor ta 'veloċità għolja. Is-Saturn V esperjenzaw l-oxxillazzjoni POGO, problema kkawżata minn kombustjoni tal-magna mhux kostanti, li għamlet ħsara lill-linji tal-fjuwil fit-tieni u t-tielet stadji. Żewġ magni S-II jagħlqu qabel iż-żmien, iżda l-magni li fadal setgħu jikkumpensaw. Il-ħsara fil-magna tat-tielet stadju kienet iktar severa, u ma tħallix li terġa 'tibda għall-injezzjoni trans-lunar. Il-kontrolluri tal-missjoni setgħu jużaw il-magna tal-modulu tas-servizz biex essenzjalment jirrepetu l-profil tat-titjira ta 'Apollo 4. Ibbażat fuq il-prestazzjoni tajba ta' Apollo 6 u l-identifikazzjoni ta 'soluzzjonijiet sodisfaċenti għall-problemi ta' Apollo 6, in-NASA ddikjarat is-Saturn V lest għall-irġiel, tikkanċella it-tielet test mingħajr ekwipaġġ.</v>
      </c>
    </row>
    <row r="2608" ht="15.75" customHeight="1">
      <c r="A2608" s="2" t="s">
        <v>2608</v>
      </c>
      <c r="B2608" s="2" t="str">
        <f>IFERROR(__xludf.DUMMYFUNCTION("GOOGLETRANSLATE(A2608, ""en"", ""mt"")"),"L-Assoċjazzjoni tal-Karozzi tal-Istat ta ’Kalifornja")</f>
        <v>L-Assoċjazzjoni tal-Karozzi tal-Istat ta ’Kalifornja</v>
      </c>
    </row>
    <row r="2609" ht="15.75" customHeight="1">
      <c r="A2609" s="2" t="s">
        <v>2609</v>
      </c>
      <c r="B2609" s="2" t="str">
        <f>IFERROR(__xludf.DUMMYFUNCTION("GOOGLETRANSLATE(A2609, ""en"", ""mt"")"),"marġinalment aktar min-normal")</f>
        <v>marġinalment aktar min-normal</v>
      </c>
    </row>
    <row r="2610" ht="15.75" customHeight="1">
      <c r="A2610" s="2" t="s">
        <v>2610</v>
      </c>
      <c r="B2610" s="2" t="str">
        <f>IFERROR(__xludf.DUMMYFUNCTION("GOOGLETRANSLATE(A2610, ""en"", ""mt"")"),"X'inhuma xi fatturi oħra li l-ispiżjar għandu jimmonitorja?")</f>
        <v>X'inhuma xi fatturi oħra li l-ispiżjar għandu jimmonitorja?</v>
      </c>
    </row>
    <row r="2611" ht="15.75" customHeight="1">
      <c r="A2611" s="2" t="s">
        <v>2611</v>
      </c>
      <c r="B2611" s="2" t="str">
        <f>IFERROR(__xludf.DUMMYFUNCTION("GOOGLETRANSLATE(A2611, ""en"", ""mt"")"),"ikkonċentrat fil-weraq")</f>
        <v>ikkonċentrat fil-weraq</v>
      </c>
    </row>
    <row r="2612" ht="15.75" customHeight="1">
      <c r="A2612" s="2" t="s">
        <v>2612</v>
      </c>
      <c r="B2612" s="2" t="str">
        <f>IFERROR(__xludf.DUMMYFUNCTION("GOOGLETRANSLATE(A2612, ""en"", ""mt"")"),"Madwar wieħed minn tmienja n-numru")</f>
        <v>Madwar wieħed minn tmienja n-numru</v>
      </c>
    </row>
    <row r="2613" ht="15.75" customHeight="1">
      <c r="A2613" s="2" t="s">
        <v>2613</v>
      </c>
      <c r="B2613" s="2" t="str">
        <f>IFERROR(__xludf.DUMMYFUNCTION("GOOGLETRANSLATE(A2613, ""en"", ""mt"")"),"43 miljun tunnellata")</f>
        <v>43 miljun tunnellata</v>
      </c>
    </row>
    <row r="2614" ht="15.75" customHeight="1">
      <c r="A2614" s="2" t="s">
        <v>2614</v>
      </c>
      <c r="B2614" s="2" t="str">
        <f>IFERROR(__xludf.DUMMYFUNCTION("GOOGLETRANSLATE(A2614, ""en"", ""mt"")"),"Ħames indirizzi solo")</f>
        <v>Ħames indirizzi solo</v>
      </c>
    </row>
    <row r="2615" ht="15.75" customHeight="1">
      <c r="A2615" s="2" t="s">
        <v>2615</v>
      </c>
      <c r="B2615" s="2" t="str">
        <f>IFERROR(__xludf.DUMMYFUNCTION("GOOGLETRANSLATE(A2615, ""en"", ""mt"")"),"Assoċjazzjoni Amerikana tan-Nisa tal-Università")</f>
        <v>Assoċjazzjoni Amerikana tan-Nisa tal-Università</v>
      </c>
    </row>
    <row r="2616" ht="15.75" customHeight="1">
      <c r="A2616" s="2" t="s">
        <v>2616</v>
      </c>
      <c r="B2616" s="2" t="str">
        <f>IFERROR(__xludf.DUMMYFUNCTION("GOOGLETRANSLATE(A2616, ""en"", ""mt"")"),"biex sistema tiffunzjona")</f>
        <v>biex sistema tiffunzjona</v>
      </c>
    </row>
    <row r="2617" ht="15.75" customHeight="1">
      <c r="A2617" s="2" t="s">
        <v>2617</v>
      </c>
      <c r="B2617" s="2" t="str">
        <f>IFERROR(__xludf.DUMMYFUNCTION("GOOGLETRANSLATE(A2617, ""en"", ""mt"")"),"""Ġeneralment bla bażi u marġinali wkoll għall-valutazzjoni""")</f>
        <v>"Ġeneralment bla bażi u marġinali wkoll għall-valutazzjoni"</v>
      </c>
    </row>
    <row r="2618" ht="15.75" customHeight="1">
      <c r="A2618" s="2" t="s">
        <v>2618</v>
      </c>
      <c r="B2618" s="2" t="str">
        <f>IFERROR(__xludf.DUMMYFUNCTION("GOOGLETRANSLATE(A2618, ""en"", ""mt"")"),"It-teoremi tal-ġerarkija tal-ħin u tal-ispazju jiffurmaw il-bażi għall-biċċa l-kbira tar-riżultati tas-separazzjoni tal-klassijiet tal-kumplessità. Pereżempju, it-teorema tal-ġerarkija tal-ħin tgħidilna li P tinsab strettament fl-eżptime, u t-teorema tal-"&amp;"ġerarkija spazjali tgħidilna li L hija strettament tinsab fi PSPACE.")</f>
        <v>It-teoremi tal-ġerarkija tal-ħin u tal-ispazju jiffurmaw il-bażi għall-biċċa l-kbira tar-riżultati tas-separazzjoni tal-klassijiet tal-kumplessità. Pereżempju, it-teorema tal-ġerarkija tal-ħin tgħidilna li P tinsab strettament fl-eżptime, u t-teorema tal-ġerarkija spazjali tgħidilna li L hija strettament tinsab fi PSPACE.</v>
      </c>
    </row>
    <row r="2619" ht="15.75" customHeight="1">
      <c r="A2619" s="2" t="s">
        <v>2619</v>
      </c>
      <c r="B2619" s="2" t="str">
        <f>IFERROR(__xludf.DUMMYFUNCTION("GOOGLETRANSLATE(A2619, ""en"", ""mt"")"),"Skema ta 'aċċess multipli")</f>
        <v>Skema ta 'aċċess multipli</v>
      </c>
    </row>
    <row r="2620" ht="15.75" customHeight="1">
      <c r="A2620" s="2" t="s">
        <v>2620</v>
      </c>
      <c r="B2620" s="2" t="str">
        <f>IFERROR(__xludf.DUMMYFUNCTION("GOOGLETRANSLATE(A2620, ""en"", ""mt"")"),"Serb")</f>
        <v>Serb</v>
      </c>
    </row>
    <row r="2621" ht="15.75" customHeight="1">
      <c r="A2621" s="2" t="s">
        <v>2621</v>
      </c>
      <c r="B2621" s="2" t="str">
        <f>IFERROR(__xludf.DUMMYFUNCTION("GOOGLETRANSLATE(A2621, ""en"", ""mt"")"),"Jew il-possedimenti kontinentali tagħha tal-Amerika ta ’Fuq fil-lvant tal-Mississippi jew il-gżejjer tal-Karibew ta’ Guadeloupe u Martinique,")</f>
        <v>Jew il-possedimenti kontinentali tagħha tal-Amerika ta ’Fuq fil-lvant tal-Mississippi jew il-gżejjer tal-Karibew ta’ Guadeloupe u Martinique,</v>
      </c>
    </row>
    <row r="2622" ht="15.75" customHeight="1">
      <c r="A2622" s="2" t="s">
        <v>2622</v>
      </c>
      <c r="B2622" s="2" t="str">
        <f>IFERROR(__xludf.DUMMYFUNCTION("GOOGLETRANSLATE(A2622, ""en"", ""mt"")"),"Il-Kumpanija Ohio")</f>
        <v>Il-Kumpanija Ohio</v>
      </c>
    </row>
    <row r="2623" ht="15.75" customHeight="1">
      <c r="A2623" s="2" t="s">
        <v>2623</v>
      </c>
      <c r="B2623" s="2" t="str">
        <f>IFERROR(__xludf.DUMMYFUNCTION("GOOGLETRANSLATE(A2623, ""en"", ""mt"")"),"Fejn żaret Kenyatta fuq stedina tal-president?")</f>
        <v>Fejn żaret Kenyatta fuq stedina tal-president?</v>
      </c>
    </row>
    <row r="2624" ht="15.75" customHeight="1">
      <c r="A2624" s="2" t="s">
        <v>2624</v>
      </c>
      <c r="B2624" s="2" t="str">
        <f>IFERROR(__xludf.DUMMYFUNCTION("GOOGLETRANSLATE(A2624, ""en"", ""mt"")"),"Duttrina tal-Ġustifikazzjoni")</f>
        <v>Duttrina tal-Ġustifikazzjoni</v>
      </c>
    </row>
    <row r="2625" ht="15.75" customHeight="1">
      <c r="A2625" s="2" t="s">
        <v>2625</v>
      </c>
      <c r="B2625" s="2" t="str">
        <f>IFERROR(__xludf.DUMMYFUNCTION("GOOGLETRANSLATE(A2625, ""en"", ""mt"")"),"Proċessi ta 'kogenerazzjoni")</f>
        <v>Proċessi ta 'kogenerazzjoni</v>
      </c>
    </row>
    <row r="2626" ht="15.75" customHeight="1">
      <c r="A2626" s="2" t="s">
        <v>2626</v>
      </c>
      <c r="B2626" s="2" t="str">
        <f>IFERROR(__xludf.DUMMYFUNCTION("GOOGLETRANSLATE(A2626, ""en"", ""mt"")"),"Il-Ġurnal tan-Natura")</f>
        <v>Il-Ġurnal tan-Natura</v>
      </c>
    </row>
    <row r="2627" ht="15.75" customHeight="1">
      <c r="A2627" s="2" t="s">
        <v>2627</v>
      </c>
      <c r="B2627" s="2" t="str">
        <f>IFERROR(__xludf.DUMMYFUNCTION("GOOGLETRANSLATE(A2627, ""en"", ""mt"")"),"Kurrenti tal-marea")</f>
        <v>Kurrenti tal-marea</v>
      </c>
    </row>
    <row r="2628" ht="15.75" customHeight="1">
      <c r="A2628" s="2" t="s">
        <v>2628</v>
      </c>
      <c r="B2628" s="2" t="str">
        <f>IFERROR(__xludf.DUMMYFUNCTION("GOOGLETRANSLATE(A2628, ""en"", ""mt"")"),"2,290 m3 / s (81,000 cu ft / s")</f>
        <v>2,290 m3 / s (81,000 cu ft / s</v>
      </c>
    </row>
    <row r="2629" ht="15.75" customHeight="1">
      <c r="A2629" s="2" t="s">
        <v>2629</v>
      </c>
      <c r="B2629" s="2" t="str">
        <f>IFERROR(__xludf.DUMMYFUNCTION("GOOGLETRANSLATE(A2629, ""en"", ""mt"")"),"Kif iddefendew lilhom infushom il-Huguenots?")</f>
        <v>Kif iddefendew lilhom infushom il-Huguenots?</v>
      </c>
    </row>
    <row r="2630" ht="15.75" customHeight="1">
      <c r="A2630" s="2" t="s">
        <v>2630</v>
      </c>
      <c r="B2630" s="2" t="str">
        <f>IFERROR(__xludf.DUMMYFUNCTION("GOOGLETRANSLATE(A2630, ""en"", ""mt"")"),"Xi speċi ta 'beroe għandhom par ta' strixxi ta 'ċelloli li jwaħħlu fuq il-ħajt tal-istonku. X'tagħmel?")</f>
        <v>Xi speċi ta 'beroe għandhom par ta' strixxi ta 'ċelloli li jwaħħlu fuq il-ħajt tal-istonku. X'tagħmel?</v>
      </c>
    </row>
    <row r="2631" ht="15.75" customHeight="1">
      <c r="A2631" s="2" t="s">
        <v>2631</v>
      </c>
      <c r="B2631" s="2" t="str">
        <f>IFERROR(__xludf.DUMMYFUNCTION("GOOGLETRANSLATE(A2631, ""en"", ""mt"")"),"Liema porzjon tal-popolazzjoni ta 'Berlin tkellmet bil-Franċiż sal-1700?")</f>
        <v>Liema porzjon tal-popolazzjoni ta 'Berlin tkellmet bil-Franċiż sal-1700?</v>
      </c>
    </row>
    <row r="2632" ht="15.75" customHeight="1">
      <c r="A2632" s="2" t="s">
        <v>2632</v>
      </c>
      <c r="B2632" s="2" t="str">
        <f>IFERROR(__xludf.DUMMYFUNCTION("GOOGLETRANSLATE(A2632, ""en"", ""mt"")"),"L-art tal-mużajk fil-gallerija tal-iskultura")</f>
        <v>L-art tal-mużajk fil-gallerija tal-iskultura</v>
      </c>
    </row>
    <row r="2633" ht="15.75" customHeight="1">
      <c r="A2633" s="2" t="s">
        <v>2633</v>
      </c>
      <c r="B2633" s="2" t="str">
        <f>IFERROR(__xludf.DUMMYFUNCTION("GOOGLETRANSLATE(A2633, ""en"", ""mt"")"),"Ktieb tal-Eżodu")</f>
        <v>Ktieb tal-Eżodu</v>
      </c>
    </row>
    <row r="2634" ht="15.75" customHeight="1">
      <c r="A2634" s="2" t="s">
        <v>2634</v>
      </c>
      <c r="B2634" s="2" t="str">
        <f>IFERROR(__xludf.DUMMYFUNCTION("GOOGLETRANSLATE(A2634, ""en"", ""mt"")"),"Dipartiment għall-Kultura, il-Midja u l-Isport")</f>
        <v>Dipartiment għall-Kultura, il-Midja u l-Isport</v>
      </c>
    </row>
    <row r="2635" ht="15.75" customHeight="1">
      <c r="A2635" s="2" t="s">
        <v>2635</v>
      </c>
      <c r="B2635" s="2" t="str">
        <f>IFERROR(__xludf.DUMMYFUNCTION("GOOGLETRANSLATE(A2635, ""en"", ""mt"")"),"X'effett għandu l-kummerċ ma 'pajjiżi aktar sinjuri fuq il-ħaddiema f'pajjiżi ifqar?")</f>
        <v>X'effett għandu l-kummerċ ma 'pajjiżi aktar sinjuri fuq il-ħaddiema f'pajjiżi ifqar?</v>
      </c>
    </row>
    <row r="2636" ht="15.75" customHeight="1">
      <c r="A2636" s="2" t="s">
        <v>2636</v>
      </c>
      <c r="B2636" s="2" t="str">
        <f>IFERROR(__xludf.DUMMYFUNCTION("GOOGLETRANSLATE(A2636, ""en"", ""mt"")"),"elettriku")</f>
        <v>elettriku</v>
      </c>
    </row>
    <row r="2637" ht="15.75" customHeight="1">
      <c r="A2637" s="2" t="s">
        <v>2637</v>
      </c>
      <c r="B2637" s="2" t="str">
        <f>IFERROR(__xludf.DUMMYFUNCTION("GOOGLETRANSLATE(A2637, ""en"", ""mt"")"),"L-ebda truppi tal-Armata Regolari Franċiżi ma kienu stazzjonati fl-Amerika ta ’Fuq,")</f>
        <v>L-ebda truppi tal-Armata Regolari Franċiżi ma kienu stazzjonati fl-Amerika ta ’Fuq,</v>
      </c>
    </row>
    <row r="2638" ht="15.75" customHeight="1">
      <c r="A2638" s="2" t="s">
        <v>2638</v>
      </c>
      <c r="B2638" s="2" t="str">
        <f>IFERROR(__xludf.DUMMYFUNCTION("GOOGLETRANSLATE(A2638, ""en"", ""mt"")"),"Beroe minorenni u adulti m'għandhomx xiex?")</f>
        <v>Beroe minorenni u adulti m'għandhomx xiex?</v>
      </c>
    </row>
    <row r="2639" ht="15.75" customHeight="1">
      <c r="A2639" s="2" t="s">
        <v>2639</v>
      </c>
      <c r="B2639" s="2" t="str">
        <f>IFERROR(__xludf.DUMMYFUNCTION("GOOGLETRANSLATE(A2639, ""en"", ""mt"")"),"X'inhu l-pjanijiet ta 'Richard biex jilħqu l-acre?")</f>
        <v>X'inhu l-pjanijiet ta 'Richard biex jilħqu l-acre?</v>
      </c>
    </row>
    <row r="2640" ht="15.75" customHeight="1">
      <c r="A2640" s="2" t="s">
        <v>2640</v>
      </c>
      <c r="B2640" s="2" t="str">
        <f>IFERROR(__xludf.DUMMYFUNCTION("GOOGLETRANSLATE(A2640, ""en"", ""mt"")"),"Rumani")</f>
        <v>Rumani</v>
      </c>
    </row>
    <row r="2641" ht="15.75" customHeight="1">
      <c r="A2641" s="2" t="s">
        <v>2641</v>
      </c>
      <c r="B2641" s="2" t="str">
        <f>IFERROR(__xludf.DUMMYFUNCTION("GOOGLETRANSLATE(A2641, ""en"", ""mt"")"),"Stratigraphers jippruvaw isibu żoni għal liema tipi ta 'estrazzjoni?")</f>
        <v>Stratigraphers jippruvaw isibu żoni għal liema tipi ta 'estrazzjoni?</v>
      </c>
    </row>
    <row r="2642" ht="15.75" customHeight="1">
      <c r="A2642" s="2" t="s">
        <v>2642</v>
      </c>
      <c r="B2642" s="2" t="str">
        <f>IFERROR(__xludf.DUMMYFUNCTION("GOOGLETRANSLATE(A2642, ""en"", ""mt"")"),"Kwistjonijiet relatati mas-sustanza tad-dikjarazzjoni")</f>
        <v>Kwistjonijiet relatati mas-sustanza tad-dikjarazzjoni</v>
      </c>
    </row>
    <row r="2643" ht="15.75" customHeight="1">
      <c r="A2643" s="2" t="s">
        <v>2643</v>
      </c>
      <c r="B2643" s="2" t="str">
        <f>IFERROR(__xludf.DUMMYFUNCTION("GOOGLETRANSLATE(A2643, ""en"", ""mt"")"),"X'sejjaħ John Wesley oriġinarjament l-esperjenza tal-konverżjoni?")</f>
        <v>X'sejjaħ John Wesley oriġinarjament l-esperjenza tal-konverżjoni?</v>
      </c>
    </row>
    <row r="2644" ht="15.75" customHeight="1">
      <c r="A2644" s="2" t="s">
        <v>2644</v>
      </c>
      <c r="B2644" s="2" t="str">
        <f>IFERROR(__xludf.DUMMYFUNCTION("GOOGLETRANSLATE(A2644, ""en"", ""mt"")"),"Luther kif jara t-Torok tal-Ottomani?")</f>
        <v>Luther kif jara t-Torok tal-Ottomani?</v>
      </c>
    </row>
    <row r="2645" ht="15.75" customHeight="1">
      <c r="A2645" s="2" t="s">
        <v>2645</v>
      </c>
      <c r="B2645" s="2" t="str">
        <f>IFERROR(__xludf.DUMMYFUNCTION("GOOGLETRANSLATE(A2645, ""en"", ""mt"")"),"Standards ta 'prattika")</f>
        <v>Standards ta 'prattika</v>
      </c>
    </row>
    <row r="2646" ht="15.75" customHeight="1">
      <c r="A2646" s="2" t="s">
        <v>2646</v>
      </c>
      <c r="B2646" s="2" t="str">
        <f>IFERROR(__xludf.DUMMYFUNCTION("GOOGLETRANSLATE(A2646, ""en"", ""mt"")"),"X'tip ta 'faċilità kienet Wardenclyffe?")</f>
        <v>X'tip ta 'faċilità kienet Wardenclyffe?</v>
      </c>
    </row>
    <row r="2647" ht="15.75" customHeight="1">
      <c r="A2647" s="2" t="s">
        <v>2647</v>
      </c>
      <c r="B2647" s="2" t="str">
        <f>IFERROR(__xludf.DUMMYFUNCTION("GOOGLETRANSLATE(A2647, ""en"", ""mt"")"),"L-Istati Uniti hija maqsuma f'ħames ġurisdizzjonijiet")</f>
        <v>L-Istati Uniti hija maqsuma f'ħames ġurisdizzjonijiet</v>
      </c>
    </row>
    <row r="2648" ht="15.75" customHeight="1">
      <c r="A2648" s="2" t="s">
        <v>2648</v>
      </c>
      <c r="B2648" s="2" t="str">
        <f>IFERROR(__xludf.DUMMYFUNCTION("GOOGLETRANSLATE(A2648, ""en"", ""mt"")"),"ammont ta 'ħin li għalih huma permessi jitkellmu")</f>
        <v>ammont ta 'ħin li għalih huma permessi jitkellmu</v>
      </c>
    </row>
    <row r="2649" ht="15.75" customHeight="1">
      <c r="A2649" s="2" t="s">
        <v>2649</v>
      </c>
      <c r="B2649" s="2" t="str">
        <f>IFERROR(__xludf.DUMMYFUNCTION("GOOGLETRANSLATE(A2649, ""en"", ""mt"")"),"Ajruport ta 'Van Nuys")</f>
        <v>Ajruport ta 'Van Nuys</v>
      </c>
    </row>
    <row r="2650" ht="15.75" customHeight="1">
      <c r="A2650" s="2" t="s">
        <v>2650</v>
      </c>
      <c r="B2650" s="2" t="str">
        <f>IFERROR(__xludf.DUMMYFUNCTION("GOOGLETRANSLATE(A2650, ""en"", ""mt"")"),"X’se jikkawża li l-lag ħdejn ir-Renu jitlaq?")</f>
        <v>X’se jikkawża li l-lag ħdejn ir-Renu jitlaq?</v>
      </c>
    </row>
    <row r="2651" ht="15.75" customHeight="1">
      <c r="A2651" s="2" t="s">
        <v>2651</v>
      </c>
      <c r="B2651" s="2" t="str">
        <f>IFERROR(__xludf.DUMMYFUNCTION("GOOGLETRANSLATE(A2651, ""en"", ""mt"")"),"X'jiġri meta n-negozju jpatti l-ħaddiema tagħhom?")</f>
        <v>X'jiġri meta n-negozju jpatti l-ħaddiema tagħhom?</v>
      </c>
    </row>
    <row r="2652" ht="15.75" customHeight="1">
      <c r="A2652" s="2" t="s">
        <v>2652</v>
      </c>
      <c r="B2652" s="2" t="str">
        <f>IFERROR(__xludf.DUMMYFUNCTION("GOOGLETRANSLATE(A2652, ""en"", ""mt"")"),"Disponibbiltà tal-Bibbja f'lingwi vernakulari")</f>
        <v>Disponibbiltà tal-Bibbja f'lingwi vernakulari</v>
      </c>
    </row>
    <row r="2653" ht="15.75" customHeight="1">
      <c r="A2653" s="2" t="s">
        <v>2653</v>
      </c>
      <c r="B2653" s="2" t="str">
        <f>IFERROR(__xludf.DUMMYFUNCTION("GOOGLETRANSLATE(A2653, ""en"", ""mt"")"),"relazzjoni simbjotika")</f>
        <v>relazzjoni simbjotika</v>
      </c>
    </row>
    <row r="2654" ht="15.75" customHeight="1">
      <c r="A2654" s="2" t="s">
        <v>2654</v>
      </c>
      <c r="B2654" s="2" t="str">
        <f>IFERROR(__xludf.DUMMYFUNCTION("GOOGLETRANSLATE(A2654, ""en"", ""mt"")"),"L-ispiżjara huma professjonisti tal-kura tas-saħħa b'edukazzjoni u taħriġ speċjalizzati li jwettqu diversi rwoli biex jiżguraw riżultati tas-saħħa ottimali għall-pazjenti tagħhom permezz tal-użu tal-kwalità tal-mediċini. L-ispiżjara jistgħu wkoll ikunu si"&amp;"dien ta ’negozji żgħar, li jippossjedu l-ispiżerija li fihom jipprattikaw. Peress li l-ispiżjara jafu dwar il-mod ta 'azzjoni ta' mediċina partikolari, u l-metaboliżmu u l-effetti fiżjoloġiċi tagħha fuq il-ġisem tal-bniedem fid-dettall, huma għandhom rwol"&amp;" importanti fl-ottimizzazzjoni ta 'trattament ta' mediċina għal individwu.")</f>
        <v>L-ispiżjara huma professjonisti tal-kura tas-saħħa b'edukazzjoni u taħriġ speċjalizzati li jwettqu diversi rwoli biex jiżguraw riżultati tas-saħħa ottimali għall-pazjenti tagħhom permezz tal-użu tal-kwalità tal-mediċini. L-ispiżjara jistgħu wkoll ikunu sidien ta ’negozji żgħar, li jippossjedu l-ispiżerija li fihom jipprattikaw. Peress li l-ispiżjara jafu dwar il-mod ta 'azzjoni ta' mediċina partikolari, u l-metaboliżmu u l-effetti fiżjoloġiċi tagħha fuq il-ġisem tal-bniedem fid-dettall, huma għandhom rwol importanti fl-ottimizzazzjoni ta 'trattament ta' mediċina għal individwu.</v>
      </c>
    </row>
    <row r="2655" ht="15.75" customHeight="1">
      <c r="A2655" s="2" t="s">
        <v>2655</v>
      </c>
      <c r="B2655" s="2" t="str">
        <f>IFERROR(__xludf.DUMMYFUNCTION("GOOGLETRANSLATE(A2655, ""en"", ""mt"")"),"mid-dejta disponibbli")</f>
        <v>mid-dejta disponibbli</v>
      </c>
    </row>
    <row r="2656" ht="15.75" customHeight="1">
      <c r="A2656" s="2" t="s">
        <v>2656</v>
      </c>
      <c r="B2656" s="2" t="str">
        <f>IFERROR(__xludf.DUMMYFUNCTION("GOOGLETRANSLATE(A2656, ""en"", ""mt"")"),"Liema liġijiet imsemmija qabel il-liġi tal-UE?")</f>
        <v>Liema liġijiet imsemmija qabel il-liġi tal-UE?</v>
      </c>
    </row>
    <row r="2657" ht="15.75" customHeight="1">
      <c r="A2657" s="2" t="s">
        <v>2657</v>
      </c>
      <c r="B2657" s="2" t="str">
        <f>IFERROR(__xludf.DUMMYFUNCTION("GOOGLETRANSLATE(A2657, ""en"", ""mt"")"),"Liema grupp armat waqqaf ir-rewwixta f'Ballarat?")</f>
        <v>Liema grupp armat waqqaf ir-rewwixta f'Ballarat?</v>
      </c>
    </row>
    <row r="2658" ht="15.75" customHeight="1">
      <c r="A2658" s="2" t="s">
        <v>2658</v>
      </c>
      <c r="B2658" s="2" t="str">
        <f>IFERROR(__xludf.DUMMYFUNCTION("GOOGLETRANSLATE(A2658, ""en"", ""mt"")"),"il-bitħa")</f>
        <v>il-bitħa</v>
      </c>
    </row>
    <row r="2659" ht="15.75" customHeight="1">
      <c r="A2659" s="2" t="s">
        <v>2659</v>
      </c>
      <c r="B2659" s="2" t="str">
        <f>IFERROR(__xludf.DUMMYFUNCTION("GOOGLETRANSLATE(A2659, ""en"", ""mt"")"),"forzi tas-suq")</f>
        <v>forzi tas-suq</v>
      </c>
    </row>
    <row r="2660" ht="15.75" customHeight="1">
      <c r="A2660" s="2" t="s">
        <v>2660</v>
      </c>
      <c r="B2660" s="2" t="str">
        <f>IFERROR(__xludf.DUMMYFUNCTION("GOOGLETRANSLATE(A2660, ""en"", ""mt"")"),"X'inhu l-għan ewlieni li wieħed iqis mhux ħati meta jiġi arrestat għal diżubbidjenza ċivili?")</f>
        <v>X'inhu l-għan ewlieni li wieħed iqis mhux ħati meta jiġi arrestat għal diżubbidjenza ċivili?</v>
      </c>
    </row>
    <row r="2661" ht="15.75" customHeight="1">
      <c r="A2661" s="2" t="s">
        <v>2661</v>
      </c>
      <c r="B2661" s="2" t="str">
        <f>IFERROR(__xludf.DUMMYFUNCTION("GOOGLETRANSLATE(A2661, ""en"", ""mt"")"),"Il-kloroplasti huma tip speċjali ta 'organella taċ-ċellula tal-pjanti msejħa plastid, għalkemm iż-żewġ termini xi kultant jintużaw minflok xulxin. Hemm ħafna tipi oħra ta 'plastidi, li jwettqu diversi funzjonijiet. Il-kloroplasti kollha f'impjant huma dix"&amp;"xendenti minn proplastidi mhux differenzjati misjuba fiż-żigot, jew bajda fertilizzata. Proplastidi huma komunement misjuba fil-meristemi apikali ta 'pjanta adulta. Il-kloroplasti normalment ma jiżviluppawx minn proplastidi fil-meristems tal-ponta tal-għe"&amp;"ruq - minflok, il-formazzjoni ta 'amiloplasti tal-ħżin tal-lamtu hija iktar komuni.")</f>
        <v>Il-kloroplasti huma tip speċjali ta 'organella taċ-ċellula tal-pjanti msejħa plastid, għalkemm iż-żewġ termini xi kultant jintużaw minflok xulxin. Hemm ħafna tipi oħra ta 'plastidi, li jwettqu diversi funzjonijiet. Il-kloroplasti kollha f'impjant huma dixxendenti minn proplastidi mhux differenzjati misjuba fiż-żigot, jew bajda fertilizzata. Proplastidi huma komunement misjuba fil-meristemi apikali ta 'pjanta adulta. Il-kloroplasti normalment ma jiżviluppawx minn proplastidi fil-meristems tal-ponta tal-għeruq - minflok, il-formazzjoni ta 'amiloplasti tal-ħżin tal-lamtu hija iktar komuni.</v>
      </c>
    </row>
    <row r="2662" ht="15.75" customHeight="1">
      <c r="A2662" s="2" t="s">
        <v>2662</v>
      </c>
      <c r="B2662" s="2" t="str">
        <f>IFERROR(__xludf.DUMMYFUNCTION("GOOGLETRANSLATE(A2662, ""en"", ""mt"")"),"reġjun metropolitana internazzjonali")</f>
        <v>reġjun metropolitana internazzjonali</v>
      </c>
    </row>
    <row r="2663" ht="15.75" customHeight="1">
      <c r="A2663" s="2" t="s">
        <v>2663</v>
      </c>
      <c r="B2663" s="2" t="str">
        <f>IFERROR(__xludf.DUMMYFUNCTION("GOOGLETRANSLATE(A2663, ""en"", ""mt"")"),"Monasteru Kummum")</f>
        <v>Monasteru Kummum</v>
      </c>
    </row>
    <row r="2664" ht="15.75" customHeight="1">
      <c r="A2664" s="2" t="s">
        <v>2664</v>
      </c>
      <c r="B2664" s="2" t="str">
        <f>IFERROR(__xludf.DUMMYFUNCTION("GOOGLETRANSLATE(A2664, ""en"", ""mt"")"),"tiġġustifika l-grazzja")</f>
        <v>tiġġustifika l-grazzja</v>
      </c>
    </row>
    <row r="2665" ht="15.75" customHeight="1">
      <c r="A2665" s="2" t="s">
        <v>2665</v>
      </c>
      <c r="B2665" s="2" t="str">
        <f>IFERROR(__xludf.DUMMYFUNCTION("GOOGLETRANSLATE(A2665, ""en"", ""mt"")"),"L-ewwel astronawt xjentist tan-NASA li jtir fl-ispazju")</f>
        <v>L-ewwel astronawt xjentist tan-NASA li jtir fl-ispazju</v>
      </c>
    </row>
    <row r="2666" ht="15.75" customHeight="1">
      <c r="A2666" s="2" t="s">
        <v>2666</v>
      </c>
      <c r="B2666" s="2" t="str">
        <f>IFERROR(__xludf.DUMMYFUNCTION("GOOGLETRANSLATE(A2666, ""en"", ""mt"")"),"Wara li waqa 'fil-qiegħ tal-baħar")</f>
        <v>Wara li waqa 'fil-qiegħ tal-baħar</v>
      </c>
    </row>
    <row r="2667" ht="15.75" customHeight="1">
      <c r="A2667" s="2" t="s">
        <v>2667</v>
      </c>
      <c r="B2667" s="2" t="str">
        <f>IFERROR(__xludf.DUMMYFUNCTION("GOOGLETRANSLATE(A2667, ""en"", ""mt"")"),"€ 5,000")</f>
        <v>€ 5,000</v>
      </c>
    </row>
    <row r="2668" ht="15.75" customHeight="1">
      <c r="A2668" s="2" t="s">
        <v>2668</v>
      </c>
      <c r="B2668" s="2" t="str">
        <f>IFERROR(__xludf.DUMMYFUNCTION("GOOGLETRANSLATE(A2668, ""en"", ""mt"")"),"Il-Panthers dehru mħejjija li skorjaw fuq il-ftuħ tagħhom tat-tieni taqsima meta Newton temmew pass ta '45 -yard lil Ted Ginn Jr fuq il-linja ta 'Denver 35-yard fit-tieni logħob offensiv tagħhom. Iżda d-difiża ta 'Broncos waqqfet l-ispinta fuq il-linja ta"&amp;"' 26-tarzna, u din intemmet bl-ebda punt meta Graham Gano laqat il-wieqfa fuq attentat ta 'goal ta' 44-tarzna. Wara l-Miss, Manning temm par ta 'pass lil Emmanuel Sanders għal qligħ ta '25 u 22 tarzna, waqqaf il-gowl ta' 33-tarzna ta 'McManus li ta lill-B"&amp;"roncos vantaġġ ta' 16-7. Carolina telqet għal bidu qawwi ieħor wara l-kickoff, bi Newton temm pass ta '42 tarzna lil Corey Brown. Iżda għal darb'oħra ħarġu vojta, din id-darba bħala riżultat ta 'Newton Pass li rkupra minn idejn Ginn u ġie interċettat mis-"&amp;"sigurtà T. J. Ward. Ward fumbled il-ballun waqt ir-ritorn, iżda Trevathan irkuprah biex jippermetti lil Denver iżomm il-pussess.")</f>
        <v>Il-Panthers dehru mħejjija li skorjaw fuq il-ftuħ tagħhom tat-tieni taqsima meta Newton temmew pass ta '45 -yard lil Ted Ginn Jr fuq il-linja ta 'Denver 35-yard fit-tieni logħob offensiv tagħhom. Iżda d-difiża ta 'Broncos waqqfet l-ispinta fuq il-linja ta' 26-tarzna, u din intemmet bl-ebda punt meta Graham Gano laqat il-wieqfa fuq attentat ta 'goal ta' 44-tarzna. Wara l-Miss, Manning temm par ta 'pass lil Emmanuel Sanders għal qligħ ta '25 u 22 tarzna, waqqaf il-gowl ta' 33-tarzna ta 'McManus li ta lill-Broncos vantaġġ ta' 16-7. Carolina telqet għal bidu qawwi ieħor wara l-kickoff, bi Newton temm pass ta '42 tarzna lil Corey Brown. Iżda għal darb'oħra ħarġu vojta, din id-darba bħala riżultat ta 'Newton Pass li rkupra minn idejn Ginn u ġie interċettat mis-sigurtà T. J. Ward. Ward fumbled il-ballun waqt ir-ritorn, iżda Trevathan irkuprah biex jippermetti lil Denver iżomm il-pussess.</v>
      </c>
    </row>
    <row r="2669" ht="15.75" customHeight="1">
      <c r="A2669" s="2" t="s">
        <v>2669</v>
      </c>
      <c r="B2669" s="2" t="str">
        <f>IFERROR(__xludf.DUMMYFUNCTION("GOOGLETRANSLATE(A2669, ""en"", ""mt"")"),"Irbaħ il-ħelsien u evita l-ħabs")</f>
        <v>Irbaħ il-ħelsien u evita l-ħabs</v>
      </c>
    </row>
    <row r="2670" ht="15.75" customHeight="1">
      <c r="A2670" s="2" t="s">
        <v>2670</v>
      </c>
      <c r="B2670" s="2" t="str">
        <f>IFERROR(__xludf.DUMMYFUNCTION("GOOGLETRANSLATE(A2670, ""en"", ""mt"")"),"Kostruzzjoni")</f>
        <v>Kostruzzjoni</v>
      </c>
    </row>
    <row r="2671" ht="15.75" customHeight="1">
      <c r="A2671" s="2" t="s">
        <v>2671</v>
      </c>
      <c r="B2671" s="2" t="str">
        <f>IFERROR(__xludf.DUMMYFUNCTION("GOOGLETRANSLATE(A2671, ""en"", ""mt"")"),"Southern California")</f>
        <v>Southern California</v>
      </c>
    </row>
    <row r="2672" ht="15.75" customHeight="1">
      <c r="A2672" s="2" t="s">
        <v>2672</v>
      </c>
      <c r="B2672" s="2" t="str">
        <f>IFERROR(__xludf.DUMMYFUNCTION("GOOGLETRANSLATE(A2672, ""en"", ""mt"")"),"Belt Ġdida Bold tan-Nofsinhar")</f>
        <v>Belt Ġdida Bold tan-Nofsinhar</v>
      </c>
    </row>
    <row r="2673" ht="15.75" customHeight="1">
      <c r="A2673" s="2" t="s">
        <v>2673</v>
      </c>
      <c r="B2673" s="2" t="str">
        <f>IFERROR(__xludf.DUMMYFUNCTION("GOOGLETRANSLATE(A2673, ""en"", ""mt"")"),"X'tip ta 'riżultati tal-kaskata meta l-proteini li jikkumplimentaw jorbtu mal-mikrobi u jattivaw l-attività tal-protease tagħhom?")</f>
        <v>X'tip ta 'riżultati tal-kaskata meta l-proteini li jikkumplimentaw jorbtu mal-mikrobi u jattivaw l-attività tal-protease tagħhom?</v>
      </c>
    </row>
    <row r="2674" ht="15.75" customHeight="1">
      <c r="A2674" s="2" t="s">
        <v>2674</v>
      </c>
      <c r="B2674" s="2" t="str">
        <f>IFERROR(__xludf.DUMMYFUNCTION("GOOGLETRANSLATE(A2674, ""en"", ""mt"")"),"Jannar 2010")</f>
        <v>Jannar 2010</v>
      </c>
    </row>
    <row r="2675" ht="15.75" customHeight="1">
      <c r="A2675" s="2" t="s">
        <v>2675</v>
      </c>
      <c r="B2675" s="2" t="str">
        <f>IFERROR(__xludf.DUMMYFUNCTION("GOOGLETRANSLATE(A2675, ""en"", ""mt"")"),"Il-kumplessità tal-komunikazzjoni hija eżempju ta 'liema tip ta' miżura?")</f>
        <v>Il-kumplessità tal-komunikazzjoni hija eżempju ta 'liema tip ta' miżura?</v>
      </c>
    </row>
    <row r="2676" ht="15.75" customHeight="1">
      <c r="A2676" s="2" t="s">
        <v>2676</v>
      </c>
      <c r="B2676" s="2" t="str">
        <f>IFERROR(__xludf.DUMMYFUNCTION("GOOGLETRANSLATE(A2676, ""en"", ""mt"")"),"Edward il-konfessur")</f>
        <v>Edward il-konfessur</v>
      </c>
    </row>
    <row r="2677" ht="15.75" customHeight="1">
      <c r="A2677" s="2" t="s">
        <v>2677</v>
      </c>
      <c r="B2677" s="2" t="str">
        <f>IFERROR(__xludf.DUMMYFUNCTION("GOOGLETRANSLATE(A2677, ""en"", ""mt"")"),"Sistema ta 'sekrezzjoni tat-Tip III")</f>
        <v>Sistema ta 'sekrezzjoni tat-Tip III</v>
      </c>
    </row>
    <row r="2678" ht="15.75" customHeight="1">
      <c r="A2678" s="2" t="s">
        <v>2678</v>
      </c>
      <c r="B2678" s="2" t="str">
        <f>IFERROR(__xludf.DUMMYFUNCTION("GOOGLETRANSLATE(A2678, ""en"", ""mt"")"),"L-eżekuttiv tat-trasport tal-passiġġieri Tyne u jilbes.")</f>
        <v>L-eżekuttiv tat-trasport tal-passiġġieri Tyne u jilbes.</v>
      </c>
    </row>
    <row r="2679" ht="15.75" customHeight="1">
      <c r="A2679" s="2" t="s">
        <v>2679</v>
      </c>
      <c r="B2679" s="2" t="str">
        <f>IFERROR(__xludf.DUMMYFUNCTION("GOOGLETRANSLATE(A2679, ""en"", ""mt"")"),"Min ikkummissjona l-Gateshead Milennium Bridge?")</f>
        <v>Min ikkummissjona l-Gateshead Milennium Bridge?</v>
      </c>
    </row>
    <row r="2680" ht="15.75" customHeight="1">
      <c r="A2680" s="2" t="s">
        <v>2680</v>
      </c>
      <c r="B2680" s="2" t="str">
        <f>IFERROR(__xludf.DUMMYFUNCTION("GOOGLETRANSLATE(A2680, ""en"", ""mt"")"),"Ferrovija tal-Kosta tal-Lvant tal-Florida")</f>
        <v>Ferrovija tal-Kosta tal-Lvant tal-Florida</v>
      </c>
    </row>
    <row r="2681" ht="15.75" customHeight="1">
      <c r="A2681" s="2" t="s">
        <v>2681</v>
      </c>
      <c r="B2681" s="2" t="str">
        <f>IFERROR(__xludf.DUMMYFUNCTION("GOOGLETRANSLATE(A2681, ""en"", ""mt"")"),"X'kien il-pjan ta 'Tesla biex l-istudenti ""jleqqu""?")</f>
        <v>X'kien il-pjan ta 'Tesla biex l-istudenti "jleqqu"?</v>
      </c>
    </row>
    <row r="2682" ht="15.75" customHeight="1">
      <c r="A2682" s="2" t="s">
        <v>2682</v>
      </c>
      <c r="B2682" s="2" t="str">
        <f>IFERROR(__xludf.DUMMYFUNCTION("GOOGLETRANSLATE(A2682, ""en"", ""mt"")"),"Importaturi paralleli")</f>
        <v>Importaturi paralleli</v>
      </c>
    </row>
    <row r="2683" ht="15.75" customHeight="1">
      <c r="A2683" s="2" t="s">
        <v>2683</v>
      </c>
      <c r="B2683" s="2" t="str">
        <f>IFERROR(__xludf.DUMMYFUNCTION("GOOGLETRANSLATE(A2683, ""en"", ""mt"")"),"L-użu tad-dawl tal-gass għamel dak li kien possibbli s-sena wara li nfetaħ uffiċjalment il-mużew?")</f>
        <v>L-użu tad-dawl tal-gass għamel dak li kien possibbli s-sena wara li nfetaħ uffiċjalment il-mużew?</v>
      </c>
    </row>
    <row r="2684" ht="15.75" customHeight="1">
      <c r="A2684" s="2" t="s">
        <v>2684</v>
      </c>
      <c r="B2684" s="2" t="str">
        <f>IFERROR(__xludf.DUMMYFUNCTION("GOOGLETRANSLATE(A2684, ""en"", ""mt"")"),"il-karatteristiċi tal-popli li jirbħu")</f>
        <v>il-karatteristiċi tal-popli li jirbħu</v>
      </c>
    </row>
    <row r="2685" ht="15.75" customHeight="1">
      <c r="A2685" s="2" t="s">
        <v>2685</v>
      </c>
      <c r="B2685" s="2" t="str">
        <f>IFERROR(__xludf.DUMMYFUNCTION("GOOGLETRANSLATE(A2685, ""en"", ""mt"")"),"Kumpanija tal-Assigurazzjoni Prudenzjali tal-Amerika")</f>
        <v>Kumpanija tal-Assigurazzjoni Prudenzjali tal-Amerika</v>
      </c>
    </row>
    <row r="2686" ht="15.75" customHeight="1">
      <c r="A2686" s="2" t="s">
        <v>2686</v>
      </c>
      <c r="B2686" s="2" t="str">
        <f>IFERROR(__xludf.DUMMYFUNCTION("GOOGLETRANSLATE(A2686, ""en"", ""mt"")"),"X'għan għandu l-Iżlamiżmu meta niġu għas-soċjetà u l-gvern?")</f>
        <v>X'għan għandu l-Iżlamiżmu meta niġu għas-soċjetà u l-gvern?</v>
      </c>
    </row>
    <row r="2687" ht="15.75" customHeight="1">
      <c r="A2687" s="2" t="s">
        <v>2687</v>
      </c>
      <c r="B2687" s="2" t="str">
        <f>IFERROR(__xludf.DUMMYFUNCTION("GOOGLETRANSLATE(A2687, ""en"", ""mt"")"),"Kemm mis-sitt pakketti totali disponibbli għax-xandara ngħataw Setanta?")</f>
        <v>Kemm mis-sitt pakketti totali disponibbli għax-xandara ngħataw Setanta?</v>
      </c>
    </row>
    <row r="2688" ht="15.75" customHeight="1">
      <c r="A2688" s="2" t="s">
        <v>2688</v>
      </c>
      <c r="B2688" s="2" t="str">
        <f>IFERROR(__xludf.DUMMYFUNCTION("GOOGLETRANSLATE(A2688, ""en"", ""mt"")"),"Veritajiet Ċentrali tal-Kristjaneżmu")</f>
        <v>Veritajiet Ċentrali tal-Kristjaneżmu</v>
      </c>
    </row>
    <row r="2689" ht="15.75" customHeight="1">
      <c r="A2689" s="2" t="s">
        <v>2689</v>
      </c>
      <c r="B2689" s="2" t="str">
        <f>IFERROR(__xludf.DUMMYFUNCTION("GOOGLETRANSLATE(A2689, ""en"", ""mt"")"),"folla barra")</f>
        <v>folla barra</v>
      </c>
    </row>
    <row r="2690" ht="15.75" customHeight="1">
      <c r="A2690" s="2" t="s">
        <v>2690</v>
      </c>
      <c r="B2690" s="2" t="str">
        <f>IFERROR(__xludf.DUMMYFUNCTION("GOOGLETRANSLATE(A2690, ""en"", ""mt"")"),"Min ġie ppremjat bil-bini tas-CSM?")</f>
        <v>Min ġie ppremjat bil-bini tas-CSM?</v>
      </c>
    </row>
    <row r="2691" ht="15.75" customHeight="1">
      <c r="A2691" s="2" t="s">
        <v>2691</v>
      </c>
      <c r="B2691" s="2" t="str">
        <f>IFERROR(__xludf.DUMMYFUNCTION("GOOGLETRANSLATE(A2691, ""en"", ""mt"")"),"Regola informali")</f>
        <v>Regola informali</v>
      </c>
    </row>
    <row r="2692" ht="15.75" customHeight="1">
      <c r="A2692" s="2" t="s">
        <v>2692</v>
      </c>
      <c r="B2692" s="2" t="str">
        <f>IFERROR(__xludf.DUMMYFUNCTION("GOOGLETRANSLATE(A2692, ""en"", ""mt"")"),"Ħdejn fejn fil-kontinent huwa maħsub li l-Baċin tal-Amażonja jinqasam?")</f>
        <v>Ħdejn fejn fil-kontinent huwa maħsub li l-Baċin tal-Amażonja jinqasam?</v>
      </c>
    </row>
    <row r="2693" ht="15.75" customHeight="1">
      <c r="A2693" s="2" t="s">
        <v>2693</v>
      </c>
      <c r="B2693" s="2" t="str">
        <f>IFERROR(__xludf.DUMMYFUNCTION("GOOGLETRANSLATE(A2693, ""en"", ""mt"")"),"tlieta, aktar tard erbgħa")</f>
        <v>tlieta, aktar tard erbgħa</v>
      </c>
    </row>
    <row r="2694" ht="15.75" customHeight="1">
      <c r="A2694" s="2" t="s">
        <v>2694</v>
      </c>
      <c r="B2694" s="2" t="str">
        <f>IFERROR(__xludf.DUMMYFUNCTION("GOOGLETRANSLATE(A2694, ""en"", ""mt"")"),"Problemi intrattabbli li m'għandhomx soluzzjonijiet ta 'ħin polinomjali neċessarjament ixxejjen l-effikaċja prattika ta' liema tip ta 'algoritmu?")</f>
        <v>Problemi intrattabbli li m'għandhomx soluzzjonijiet ta 'ħin polinomjali neċessarjament ixxejjen l-effikaċja prattika ta' liema tip ta 'algoritmu?</v>
      </c>
    </row>
    <row r="2695" ht="15.75" customHeight="1">
      <c r="A2695" s="2" t="s">
        <v>2695</v>
      </c>
      <c r="B2695" s="2" t="str">
        <f>IFERROR(__xludf.DUMMYFUNCTION("GOOGLETRANSLATE(A2695, ""en"", ""mt"")"),"Kemm ħin l-aħjar algoritmu jeħtieġ biex issolvi l-problema")</f>
        <v>Kemm ħin l-aħjar algoritmu jeħtieġ biex issolvi l-problema</v>
      </c>
    </row>
    <row r="2696" ht="15.75" customHeight="1">
      <c r="A2696" s="2" t="s">
        <v>2696</v>
      </c>
      <c r="B2696" s="2" t="str">
        <f>IFERROR(__xludf.DUMMYFUNCTION("GOOGLETRANSLATE(A2696, ""en"", ""mt"")"),"9–88 cm")</f>
        <v>9–88 cm</v>
      </c>
    </row>
    <row r="2697" ht="15.75" customHeight="1">
      <c r="A2697" s="2" t="s">
        <v>2697</v>
      </c>
      <c r="B2697" s="2" t="str">
        <f>IFERROR(__xludf.DUMMYFUNCTION("GOOGLETRANSLATE(A2697, ""en"", ""mt"")"),"Is-suspettat qed jitkellem ma 'investigaturi kriminali")</f>
        <v>Is-suspettat qed jitkellem ma 'investigaturi kriminali</v>
      </c>
    </row>
    <row r="2698" ht="15.75" customHeight="1">
      <c r="A2698" s="2" t="s">
        <v>2698</v>
      </c>
      <c r="B2698" s="2" t="str">
        <f>IFERROR(__xludf.DUMMYFUNCTION("GOOGLETRANSLATE(A2698, ""en"", ""mt"")"),"Liema żewġ kundizzjonijiet ambjentali huma kkontrollati fil-mużew?")</f>
        <v>Liema żewġ kundizzjonijiet ambjentali huma kkontrollati fil-mużew?</v>
      </c>
    </row>
    <row r="2699" ht="15.75" customHeight="1">
      <c r="A2699" s="2" t="s">
        <v>2699</v>
      </c>
      <c r="B2699" s="2" t="str">
        <f>IFERROR(__xludf.DUMMYFUNCTION("GOOGLETRANSLATE(A2699, ""en"", ""mt"")"),"elettroniku")</f>
        <v>elettroniku</v>
      </c>
    </row>
    <row r="2700" ht="15.75" customHeight="1">
      <c r="A2700" s="2" t="s">
        <v>2700</v>
      </c>
      <c r="B2700" s="2" t="str">
        <f>IFERROR(__xludf.DUMMYFUNCTION("GOOGLETRANSLATE(A2700, ""en"", ""mt"")"),"żrar")</f>
        <v>żrar</v>
      </c>
    </row>
    <row r="2701" ht="15.75" customHeight="1">
      <c r="A2701" s="2" t="s">
        <v>2701</v>
      </c>
      <c r="B2701" s="2" t="str">
        <f>IFERROR(__xludf.DUMMYFUNCTION("GOOGLETRANSLATE(A2701, ""en"", ""mt"")"),"Kif ġiet iffurmata l-Gorge Rhine?")</f>
        <v>Kif ġiet iffurmata l-Gorge Rhine?</v>
      </c>
    </row>
    <row r="2702" ht="15.75" customHeight="1">
      <c r="A2702" s="2" t="s">
        <v>2702</v>
      </c>
      <c r="B2702" s="2" t="str">
        <f>IFERROR(__xludf.DUMMYFUNCTION("GOOGLETRANSLATE(A2702, ""en"", ""mt"")"),"ikkumplikat")</f>
        <v>ikkumplikat</v>
      </c>
    </row>
    <row r="2703" ht="15.75" customHeight="1">
      <c r="A2703" s="2" t="s">
        <v>2703</v>
      </c>
      <c r="B2703" s="2" t="str">
        <f>IFERROR(__xludf.DUMMYFUNCTION("GOOGLETRANSLATE(A2703, ""en"", ""mt"")"),"ċellola ewkarjotika bikrija")</f>
        <v>ċellola ewkarjotika bikrija</v>
      </c>
    </row>
    <row r="2704" ht="15.75" customHeight="1">
      <c r="A2704" s="2" t="s">
        <v>2704</v>
      </c>
      <c r="B2704" s="2" t="str">
        <f>IFERROR(__xludf.DUMMYFUNCTION("GOOGLETRANSLATE(A2704, ""en"", ""mt"")"),"rudimentarju")</f>
        <v>rudimentarju</v>
      </c>
    </row>
    <row r="2705" ht="15.75" customHeight="1">
      <c r="A2705" s="2" t="s">
        <v>2705</v>
      </c>
      <c r="B2705" s="2" t="str">
        <f>IFERROR(__xludf.DUMMYFUNCTION("GOOGLETRANSLATE(A2705, ""en"", ""mt"")"),"X'għamel att ta 'l-Att Irjali 1530?")</f>
        <v>X'għamel att ta 'l-Att Irjali 1530?</v>
      </c>
    </row>
    <row r="2706" ht="15.75" customHeight="1">
      <c r="A2706" s="2" t="s">
        <v>2706</v>
      </c>
      <c r="B2706" s="2" t="str">
        <f>IFERROR(__xludf.DUMMYFUNCTION("GOOGLETRANSLATE(A2706, ""en"", ""mt"")"),"fil-mistrieħ")</f>
        <v>fil-mistrieħ</v>
      </c>
    </row>
    <row r="2707" ht="15.75" customHeight="1">
      <c r="A2707" s="2" t="s">
        <v>2707</v>
      </c>
      <c r="B2707" s="2" t="str">
        <f>IFERROR(__xludf.DUMMYFUNCTION("GOOGLETRANSLATE(A2707, ""en"", ""mt"")"),"Applikazzjoni ħażina ta 'proċeduri IPCC stabbiliti sew")</f>
        <v>Applikazzjoni ħażina ta 'proċeduri IPCC stabbiliti sew</v>
      </c>
    </row>
    <row r="2708" ht="15.75" customHeight="1">
      <c r="A2708" s="2" t="s">
        <v>2708</v>
      </c>
      <c r="B2708" s="2" t="str">
        <f>IFERROR(__xludf.DUMMYFUNCTION("GOOGLETRANSLATE(A2708, ""en"", ""mt"")"),"Abilene")</f>
        <v>Abilene</v>
      </c>
    </row>
    <row r="2709" ht="15.75" customHeight="1">
      <c r="A2709" s="2" t="s">
        <v>2709</v>
      </c>
      <c r="B2709" s="2" t="str">
        <f>IFERROR(__xludf.DUMMYFUNCTION("GOOGLETRANSLATE(A2709, ""en"", ""mt"")"),"Kemm riċetturi fuq ċellola T helper għandhom ikunu marbuta ma 'kumpless MHC: antiġen sabiex iċ-ċellula tiġi attivata?")</f>
        <v>Kemm riċetturi fuq ċellola T helper għandhom ikunu marbuta ma 'kumpless MHC: antiġen sabiex iċ-ċellula tiġi attivata?</v>
      </c>
    </row>
    <row r="2710" ht="15.75" customHeight="1">
      <c r="A2710" s="2" t="s">
        <v>2710</v>
      </c>
      <c r="B2710" s="2" t="str">
        <f>IFERROR(__xludf.DUMMYFUNCTION("GOOGLETRANSLATE(A2710, ""en"", ""mt"")"),"BSKYB m'għandu l-ebda veto fuq il-preżenza ta 'kanali fuq l-EPG tagħhom, b'aċċess miftuħ ikun parti infurzata tal-liċenzja operattiva tagħhom minn Ofcom. Kull kanal li jista 'jikseb ġarr fuq raġġ adattat ta' satellita f'28 ° lvant huwa intitolat li jaċċes"&amp;"sa għall-EPG ta 'BSKYB għal ħlas, li jvarja minn £ 15-100,000. Kanali ta 'partijiet terzi li jagħżlu l-encryption jirċievu skontijiet li jvarjaw minn prezz imnaqqas għal entrati EPG b'xejn, ġarr b'xejn fuq transponder mikri BSKYB, jew ħlas attwali biex ji"&amp;"nġarr. Madankollu, anke f'dan il-każ, BSKYB ma jġorr l-ebda kontroll fuq il-kontenut tal-kanal jew kwistjonijiet ta 'ġarr bħall-kwalità tal-istampa.")</f>
        <v>BSKYB m'għandu l-ebda veto fuq il-preżenza ta 'kanali fuq l-EPG tagħhom, b'aċċess miftuħ ikun parti infurzata tal-liċenzja operattiva tagħhom minn Ofcom. Kull kanal li jista 'jikseb ġarr fuq raġġ adattat ta' satellita f'28 ° lvant huwa intitolat li jaċċessa għall-EPG ta 'BSKYB għal ħlas, li jvarja minn £ 15-100,000. Kanali ta 'partijiet terzi li jagħżlu l-encryption jirċievu skontijiet li jvarjaw minn prezz imnaqqas għal entrati EPG b'xejn, ġarr b'xejn fuq transponder mikri BSKYB, jew ħlas attwali biex jinġarr. Madankollu, anke f'dan il-każ, BSKYB ma jġorr l-ebda kontroll fuq il-kontenut tal-kanal jew kwistjonijiet ta 'ġarr bħall-kwalità tal-istampa.</v>
      </c>
    </row>
    <row r="2711" ht="15.75" customHeight="1">
      <c r="A2711" s="2" t="s">
        <v>2711</v>
      </c>
      <c r="B2711" s="2" t="str">
        <f>IFERROR(__xludf.DUMMYFUNCTION("GOOGLETRANSLATE(A2711, ""en"", ""mt"")"),"kunjomijiet")</f>
        <v>kunjomijiet</v>
      </c>
    </row>
    <row r="2712" ht="15.75" customHeight="1">
      <c r="A2712" s="2" t="s">
        <v>2712</v>
      </c>
      <c r="B2712" s="2" t="str">
        <f>IFERROR(__xludf.DUMMYFUNCTION("GOOGLETRANSLATE(A2712, ""en"", ""mt"")"),"Is-serje tirritorna")</f>
        <v>Is-serje tirritorna</v>
      </c>
    </row>
    <row r="2713" ht="15.75" customHeight="1">
      <c r="A2713" s="2" t="s">
        <v>2713</v>
      </c>
      <c r="B2713" s="2" t="str">
        <f>IFERROR(__xludf.DUMMYFUNCTION("GOOGLETRANSLATE(A2713, ""en"", ""mt"")"),"Il-Kunsill tal-Belt")</f>
        <v>Il-Kunsill tal-Belt</v>
      </c>
    </row>
    <row r="2714" ht="15.75" customHeight="1">
      <c r="A2714" s="2" t="s">
        <v>2714</v>
      </c>
      <c r="B2714" s="2" t="str">
        <f>IFERROR(__xludf.DUMMYFUNCTION("GOOGLETRANSLATE(A2714, ""en"", ""mt"")"),"Oscillating")</f>
        <v>Oscillating</v>
      </c>
    </row>
    <row r="2715" ht="15.75" customHeight="1">
      <c r="A2715" s="2" t="s">
        <v>2715</v>
      </c>
      <c r="B2715" s="2" t="str">
        <f>IFERROR(__xludf.DUMMYFUNCTION("GOOGLETRANSLATE(A2715, ""en"", ""mt"")"),"Iż-żona ta ’Los Angeles")</f>
        <v>Iż-żona ta ’Los Angeles</v>
      </c>
    </row>
    <row r="2716" ht="15.75" customHeight="1">
      <c r="A2716" s="2" t="s">
        <v>2716</v>
      </c>
      <c r="B2716" s="2" t="str">
        <f>IFERROR(__xludf.DUMMYFUNCTION("GOOGLETRANSLATE(A2716, ""en"", ""mt"")"),"li jibqa 'bl-iswed u bl-abjad,")</f>
        <v>li jibqa 'bl-iswed u bl-abjad,</v>
      </c>
    </row>
    <row r="2717" ht="15.75" customHeight="1">
      <c r="A2717" s="2" t="s">
        <v>2717</v>
      </c>
      <c r="B2717" s="2" t="str">
        <f>IFERROR(__xludf.DUMMYFUNCTION("GOOGLETRANSLATE(A2717, ""en"", ""mt"")"),"Il-konkwista rapida Anglo-Norman irriżulta iktar importanti milli deher. Il-gżira okkupat pożizzjoni strateġika ewlenija fuq il-karreġġjati marittimi lejn l-Art Imqaddsa, li l-okkupazzjoni tagħha mill-Insara ma setgħetx tkompli mingħajr appoġġ mill-baħar."&amp;" Ftit wara l-konkwista, Ċipru nbiegħ lill-Kavallieri Templar u sussegwentement ġie akkwistat, fl-1192, minn Guy de Lusignan u sar renju feudali stabbli. Kien biss fl-1489 li l-Venezjani akkwistaw kontroll sħiħ tal-gżira, li baqgħet fortizza Nisranija sal-"&amp;"waqgħa ta 'Famagusta fl-1571.")</f>
        <v>Il-konkwista rapida Anglo-Norman irriżulta iktar importanti milli deher. Il-gżira okkupat pożizzjoni strateġika ewlenija fuq il-karreġġjati marittimi lejn l-Art Imqaddsa, li l-okkupazzjoni tagħha mill-Insara ma setgħetx tkompli mingħajr appoġġ mill-baħar. Ftit wara l-konkwista, Ċipru nbiegħ lill-Kavallieri Templar u sussegwentement ġie akkwistat, fl-1192, minn Guy de Lusignan u sar renju feudali stabbli. Kien biss fl-1489 li l-Venezjani akkwistaw kontroll sħiħ tal-gżira, li baqgħet fortizza Nisranija sal-waqgħa ta 'Famagusta fl-1571.</v>
      </c>
    </row>
    <row r="2718" ht="15.75" customHeight="1">
      <c r="A2718" s="2" t="s">
        <v>2718</v>
      </c>
      <c r="B2718" s="2" t="str">
        <f>IFERROR(__xludf.DUMMYFUNCTION("GOOGLETRANSLATE(A2718, ""en"", ""mt"")"),"X'kienu l-kundizzjonijiet għall-minaturi fl-għelieqi tad-deheb fir-Rabat?")</f>
        <v>X'kienu l-kundizzjonijiet għall-minaturi fl-għelieqi tad-deheb fir-Rabat?</v>
      </c>
    </row>
    <row r="2719" ht="15.75" customHeight="1">
      <c r="A2719" s="2" t="s">
        <v>2719</v>
      </c>
      <c r="B2719" s="2" t="str">
        <f>IFERROR(__xludf.DUMMYFUNCTION("GOOGLETRANSLATE(A2719, ""en"", ""mt"")"),"Proġetti ta 'kostruzzjoni jistgħu jsofru minn problemi finanzjarji li jistgħu jiġu evitati. Is-taħt iseħħ meta l-bennejja jitolbu ftit flus biex jitlestew il-proġett. Problemi tal-fluss tal-flus jeżistu meta l-ammont preżenti ta 'finanzjament ma jistax ik"&amp;"opri l-ispejjeż kurrenti għax-xogħol u l-materjali, u minħabba li huma kwistjoni li jkollok fondi suffiċjenti f'ħin speċifiku, tista' tinqala 'anke meta t-total ġenerali jkun biżżejjed. Il-frodi hija problema f'ħafna oqsma, iżda hija notorjament prevalent"&amp;"i fil-qasam tal-kostruzzjoni. L-ippjanar finanzjarju għall-proġett huwa maħsub biex jiżgura li pjan solidu b'salmagwardji u pjanijiet ta 'kontinġenza jkunu fis-seħħ qabel ma jinbeda l-proġett u jkun meħtieġ biex jiżgura li l-pjan jiġi eżegwit sewwa matul "&amp;"il-ħajja tal-proġett.")</f>
        <v>Proġetti ta 'kostruzzjoni jistgħu jsofru minn problemi finanzjarji li jistgħu jiġu evitati. Is-taħt iseħħ meta l-bennejja jitolbu ftit flus biex jitlestew il-proġett. Problemi tal-fluss tal-flus jeżistu meta l-ammont preżenti ta 'finanzjament ma jistax ikopri l-ispejjeż kurrenti għax-xogħol u l-materjali, u minħabba li huma kwistjoni li jkollok fondi suffiċjenti f'ħin speċifiku, tista' tinqala 'anke meta t-total ġenerali jkun biżżejjed. Il-frodi hija problema f'ħafna oqsma, iżda hija notorjament prevalenti fil-qasam tal-kostruzzjoni. L-ippjanar finanzjarju għall-proġett huwa maħsub biex jiżgura li pjan solidu b'salmagwardji u pjanijiet ta 'kontinġenza jkunu fis-seħħ qabel ma jinbeda l-proġett u jkun meħtieġ biex jiżgura li l-pjan jiġi eżegwit sewwa matul il-ħajja tal-proġett.</v>
      </c>
    </row>
    <row r="2720" ht="15.75" customHeight="1">
      <c r="A2720" s="2" t="s">
        <v>2720</v>
      </c>
      <c r="B2720" s="2" t="str">
        <f>IFERROR(__xludf.DUMMYFUNCTION("GOOGLETRANSLATE(A2720, ""en"", ""mt"")"),"importanza dejjem tiżdied tal-kapital uman fl-iżvilupp")</f>
        <v>importanza dejjem tiżdied tal-kapital uman fl-iżvilupp</v>
      </c>
    </row>
    <row r="2721" ht="15.75" customHeight="1">
      <c r="A2721" s="2" t="s">
        <v>2721</v>
      </c>
      <c r="B2721" s="2" t="str">
        <f>IFERROR(__xludf.DUMMYFUNCTION("GOOGLETRANSLATE(A2721, ""en"", ""mt"")"),"Fkieren Ninja Mutanti Teenage: Minn Dellijiet")</f>
        <v>Fkieren Ninja Mutanti Teenage: Minn Dellijiet</v>
      </c>
    </row>
    <row r="2722" ht="15.75" customHeight="1">
      <c r="A2722" s="2" t="s">
        <v>2722</v>
      </c>
      <c r="B2722" s="2" t="str">
        <f>IFERROR(__xludf.DUMMYFUNCTION("GOOGLETRANSLATE(A2722, ""en"", ""mt"")"),"ħama l-għadira")</f>
        <v>ħama l-għadira</v>
      </c>
    </row>
    <row r="2723" ht="15.75" customHeight="1">
      <c r="A2723" s="2" t="s">
        <v>2723</v>
      </c>
      <c r="B2723" s="2" t="str">
        <f>IFERROR(__xludf.DUMMYFUNCTION("GOOGLETRANSLATE(A2723, ""en"", ""mt"")"),"Bejn l-1945 u l-1970")</f>
        <v>Bejn l-1945 u l-1970</v>
      </c>
    </row>
    <row r="2724" ht="15.75" customHeight="1">
      <c r="A2724" s="2" t="s">
        <v>2724</v>
      </c>
      <c r="B2724" s="2" t="str">
        <f>IFERROR(__xludf.DUMMYFUNCTION("GOOGLETRANSLATE(A2724, ""en"", ""mt"")"),"Islam")</f>
        <v>Islam</v>
      </c>
    </row>
    <row r="2725" ht="15.75" customHeight="1">
      <c r="A2725" s="2" t="s">
        <v>2725</v>
      </c>
      <c r="B2725" s="2" t="str">
        <f>IFERROR(__xludf.DUMMYFUNCTION("GOOGLETRANSLATE(A2725, ""en"", ""mt"")"),"In-Netwerk Fox")</f>
        <v>In-Netwerk Fox</v>
      </c>
    </row>
    <row r="2726" ht="15.75" customHeight="1">
      <c r="A2726" s="2" t="s">
        <v>2726</v>
      </c>
      <c r="B2726" s="2" t="str">
        <f>IFERROR(__xludf.DUMMYFUNCTION("GOOGLETRANSLATE(A2726, ""en"", ""mt"")"),"ossiġnu kimiku")</f>
        <v>ossiġnu kimiku</v>
      </c>
    </row>
    <row r="2727" ht="15.75" customHeight="1">
      <c r="A2727" s="2" t="s">
        <v>2727</v>
      </c>
      <c r="B2727" s="2" t="str">
        <f>IFERROR(__xludf.DUMMYFUNCTION("GOOGLETRANSLATE(A2727, ""en"", ""mt"")"),"X'inhu l-iskambju ta 'sett ta' obbligi bejn żewġ partijiet jew aktar?")</f>
        <v>X'inhu l-iskambju ta 'sett ta' obbligi bejn żewġ partijiet jew aktar?</v>
      </c>
    </row>
    <row r="2728" ht="15.75" customHeight="1">
      <c r="A2728" s="2" t="s">
        <v>2728</v>
      </c>
      <c r="B2728" s="2" t="str">
        <f>IFERROR(__xludf.DUMMYFUNCTION("GOOGLETRANSLATE(A2728, ""en"", ""mt"")"),"Għal xiex wasslet is-sistema Mlolongo?")</f>
        <v>Għal xiex wasslet is-sistema Mlolongo?</v>
      </c>
    </row>
    <row r="2729" ht="15.75" customHeight="1">
      <c r="A2729" s="2" t="s">
        <v>2729</v>
      </c>
      <c r="B2729" s="2" t="str">
        <f>IFERROR(__xludf.DUMMYFUNCTION("GOOGLETRANSLATE(A2729, ""en"", ""mt"")"),"X'inhu l-isem tal-inizjattiva ta 'karità tal-kumitat ospitanti?")</f>
        <v>X'inhu l-isem tal-inizjattiva ta 'karità tal-kumitat ospitanti?</v>
      </c>
    </row>
    <row r="2730" ht="15.75" customHeight="1">
      <c r="A2730" s="2" t="s">
        <v>2730</v>
      </c>
      <c r="B2730" s="2" t="str">
        <f>IFERROR(__xludf.DUMMYFUNCTION("GOOGLETRANSLATE(A2730, ""en"", ""mt"")"),"X'kienet l-ispiża tal-avvenimenti l-oħra tas-Super Bowl fiż-żona ta 'San Francisco?")</f>
        <v>X'kienet l-ispiża tal-avvenimenti l-oħra tas-Super Bowl fiż-żona ta 'San Francisco?</v>
      </c>
    </row>
    <row r="2731" ht="15.75" customHeight="1">
      <c r="A2731" s="2" t="s">
        <v>2731</v>
      </c>
      <c r="B2731" s="2" t="str">
        <f>IFERROR(__xludf.DUMMYFUNCTION("GOOGLETRANSLATE(A2731, ""en"", ""mt"")"),"Il-Bini tal-Unjoni tal-Istudenti tal-Università ta ’Newcastle")</f>
        <v>Il-Bini tal-Unjoni tal-Istudenti tal-Università ta ’Newcastle</v>
      </c>
    </row>
    <row r="2732" ht="15.75" customHeight="1">
      <c r="A2732" s="2" t="s">
        <v>2732</v>
      </c>
      <c r="B2732" s="2" t="str">
        <f>IFERROR(__xludf.DUMMYFUNCTION("GOOGLETRANSLATE(A2732, ""en"", ""mt"")"),"Logo taċ-Ċirku")</f>
        <v>Logo taċ-Ċirku</v>
      </c>
    </row>
    <row r="2733" ht="15.75" customHeight="1">
      <c r="A2733" s="2" t="s">
        <v>2733</v>
      </c>
      <c r="B2733" s="2" t="str">
        <f>IFERROR(__xludf.DUMMYFUNCTION("GOOGLETRANSLATE(A2733, ""en"", ""mt"")"),"Xi jwassal l-ewwel ministru fil-bidu ta 'kull sena parlamentari?")</f>
        <v>Xi jwassal l-ewwel ministru fil-bidu ta 'kull sena parlamentari?</v>
      </c>
    </row>
    <row r="2734" ht="15.75" customHeight="1">
      <c r="A2734" s="2" t="s">
        <v>2734</v>
      </c>
      <c r="B2734" s="2" t="str">
        <f>IFERROR(__xludf.DUMMYFUNCTION("GOOGLETRANSLATE(A2734, ""en"", ""mt"")"),"X'tip ta 'reġim iddeċieda fuq is-Sudan għal ħafna snin?")</f>
        <v>X'tip ta 'reġim iddeċieda fuq is-Sudan għal ħafna snin?</v>
      </c>
    </row>
    <row r="2735" ht="15.75" customHeight="1">
      <c r="A2735" s="2" t="s">
        <v>2735</v>
      </c>
      <c r="B2735" s="2" t="str">
        <f>IFERROR(__xludf.DUMMYFUNCTION("GOOGLETRANSLATE(A2735, ""en"", ""mt"")"),"Ħdejn il-ħalq sat-tarf oppost")</f>
        <v>Ħdejn il-ħalq sat-tarf oppost</v>
      </c>
    </row>
    <row r="2736" ht="15.75" customHeight="1">
      <c r="A2736" s="2" t="s">
        <v>2736</v>
      </c>
      <c r="B2736" s="2" t="str">
        <f>IFERROR(__xludf.DUMMYFUNCTION("GOOGLETRANSLATE(A2736, ""en"", ""mt"")"),"Minħabba t-tensjonijiet fuq l-iskjavitù u l-qawwa tal-isqfijiet fid-denominazzjoni")</f>
        <v>Minħabba t-tensjonijiet fuq l-iskjavitù u l-qawwa tal-isqfijiet fid-denominazzjoni</v>
      </c>
    </row>
    <row r="2737" ht="15.75" customHeight="1">
      <c r="A2737" s="2" t="s">
        <v>2737</v>
      </c>
      <c r="B2737" s="2" t="str">
        <f>IFERROR(__xludf.DUMMYFUNCTION("GOOGLETRANSLATE(A2737, ""en"", ""mt"")"),"Liema ktieb tal-Bibbja jiddiskuti diżubbidjenza ċivili?")</f>
        <v>Liema ktieb tal-Bibbja jiddiskuti diżubbidjenza ċivili?</v>
      </c>
    </row>
    <row r="2738" ht="15.75" customHeight="1">
      <c r="A2738" s="2" t="s">
        <v>2738</v>
      </c>
      <c r="B2738" s="2" t="str">
        <f>IFERROR(__xludf.DUMMYFUNCTION("GOOGLETRANSLATE(A2738, ""en"", ""mt"")"),"Xi tfisser l-edukazzjoni f'żona fejn hemm domanda għolja għall-ħaddiema li għandhom it-tendenza li joħolqu?")</f>
        <v>Xi tfisser l-edukazzjoni f'żona fejn hemm domanda għolja għall-ħaddiema li għandhom it-tendenza li joħolqu?</v>
      </c>
    </row>
    <row r="2739" ht="15.75" customHeight="1">
      <c r="A2739" s="2" t="s">
        <v>2739</v>
      </c>
      <c r="B2739" s="2" t="str">
        <f>IFERROR(__xludf.DUMMYFUNCTION("GOOGLETRANSLATE(A2739, ""en"", ""mt"")"),"X'inhi destinazzjoni ta 'strolling popolari għall-Varsovians?")</f>
        <v>X'inhi destinazzjoni ta 'strolling popolari għall-Varsovians?</v>
      </c>
    </row>
    <row r="2740" ht="15.75" customHeight="1">
      <c r="A2740" s="2" t="s">
        <v>2740</v>
      </c>
      <c r="B2740" s="2" t="str">
        <f>IFERROR(__xludf.DUMMYFUNCTION("GOOGLETRANSLATE(A2740, ""en"", ""mt"")"),"trabi")</f>
        <v>trabi</v>
      </c>
    </row>
    <row r="2741" ht="15.75" customHeight="1">
      <c r="A2741" s="2" t="s">
        <v>2741</v>
      </c>
      <c r="B2741" s="2" t="str">
        <f>IFERROR(__xludf.DUMMYFUNCTION("GOOGLETRANSLATE(A2741, ""en"", ""mt"")"),"Għana ta 'Croesus")</f>
        <v>Għana ta 'Croesus</v>
      </c>
    </row>
    <row r="2742" ht="15.75" customHeight="1">
      <c r="A2742" s="2" t="s">
        <v>2742</v>
      </c>
      <c r="B2742" s="2" t="str">
        <f>IFERROR(__xludf.DUMMYFUNCTION("GOOGLETRANSLATE(A2742, ""en"", ""mt"")"),"reżistenti għan-nar")</f>
        <v>reżistenti għan-nar</v>
      </c>
    </row>
    <row r="2743" ht="15.75" customHeight="1">
      <c r="A2743" s="2" t="s">
        <v>2743</v>
      </c>
      <c r="B2743" s="2" t="str">
        <f>IFERROR(__xludf.DUMMYFUNCTION("GOOGLETRANSLATE(A2743, ""en"", ""mt"")"),"il-qrati tal-istati membri u l-Qorti tal-Ġustizzja tal-Unjoni Ewropea")</f>
        <v>il-qrati tal-istati membri u l-Qorti tal-Ġustizzja tal-Unjoni Ewropea</v>
      </c>
    </row>
    <row r="2744" ht="15.75" customHeight="1">
      <c r="A2744" s="2" t="s">
        <v>2744</v>
      </c>
      <c r="B2744" s="2" t="str">
        <f>IFERROR(__xludf.DUMMYFUNCTION("GOOGLETRANSLATE(A2744, ""en"", ""mt"")"),"Fl-1965, fuq l-istigazzjoni ta 'Warner Sinback, netwerk ta' dejta bbażat fuq dan in-netwerk tal-vuċi-phone kien iddisinjat biex jgħaqqad l-erba 'ċentri ta' bejgħ u servizzi tal-kompjuter ta 'GE (Schenectady, Phoenix, Chicago, u Phoenix) biex jiffaċilita s"&amp;"ervizz ta' qsim ta 'ħin tal-kompjuter, Milli jidher l-ewwel servizz onlajn kummerċjali tad-dinja. (Minbarra li jbigħu l-kompjuters GE, iċ-ċentri kienu uffiċċji tas-servizzi tal-kompjuter, joffru servizzi ta 'proċessar tal-lott. Huma tilfu l-flus mill-bidu"&amp;", u Sinback, maniġer ta' kummerċ ta 'livell għoli, ingħata x-xogħol li jdawwar in-negozju. Sistema ta 'qsim ta' ħin, ibbażata fuq ix-xogħol ta 'Kemney f'Dartmouth - li uża kompjuter b'self minn GE - jista' jkun ta 'profitt. Warner kellu raġun.)")</f>
        <v>Fl-1965, fuq l-istigazzjoni ta 'Warner Sinback, netwerk ta' dejta bbażat fuq dan in-netwerk tal-vuċi-phone kien iddisinjat biex jgħaqqad l-erba 'ċentri ta' bejgħ u servizzi tal-kompjuter ta 'GE (Schenectady, Phoenix, Chicago, u Phoenix) biex jiffaċilita servizz ta' qsim ta 'ħin tal-kompjuter, Milli jidher l-ewwel servizz onlajn kummerċjali tad-dinja. (Minbarra li jbigħu l-kompjuters GE, iċ-ċentri kienu uffiċċji tas-servizzi tal-kompjuter, joffru servizzi ta 'proċessar tal-lott. Huma tilfu l-flus mill-bidu, u Sinback, maniġer ta' kummerċ ta 'livell għoli, ingħata x-xogħol li jdawwar in-negozju. Sistema ta 'qsim ta' ħin, ibbażata fuq ix-xogħol ta 'Kemney f'Dartmouth - li uża kompjuter b'self minn GE - jista' jkun ta 'profitt. Warner kellu raġun.)</v>
      </c>
    </row>
    <row r="2745" ht="15.75" customHeight="1">
      <c r="A2745" s="2" t="s">
        <v>2745</v>
      </c>
      <c r="B2745" s="2" t="str">
        <f>IFERROR(__xludf.DUMMYFUNCTION("GOOGLETRANSLATE(A2745, ""en"", ""mt"")"),"Mitluf fin-Nar tal-Laboratorju tal-5 Vjal ta ’Marzu 1895")</f>
        <v>Mitluf fin-Nar tal-Laboratorju tal-5 Vjal ta ’Marzu 1895</v>
      </c>
    </row>
    <row r="2746" ht="15.75" customHeight="1">
      <c r="A2746" s="2" t="s">
        <v>2746</v>
      </c>
      <c r="B2746" s="2" t="str">
        <f>IFERROR(__xludf.DUMMYFUNCTION("GOOGLETRANSLATE(A2746, ""en"", ""mt"")"),"Nukleu tad-Dinophyte")</f>
        <v>Nukleu tad-Dinophyte</v>
      </c>
    </row>
    <row r="2747" ht="15.75" customHeight="1">
      <c r="A2747" s="2" t="s">
        <v>2747</v>
      </c>
      <c r="B2747" s="2" t="str">
        <f>IFERROR(__xludf.DUMMYFUNCTION("GOOGLETRANSLATE(A2747, ""en"", ""mt"")"),"Meta ġiet żviluppata l-abbiltà li tuża iżotopi radjuattivi sal-lum il-formazzjonijiet tal-blat?")</f>
        <v>Meta ġiet żviluppata l-abbiltà li tuża iżotopi radjuattivi sal-lum il-formazzjonijiet tal-blat?</v>
      </c>
    </row>
    <row r="2748" ht="15.75" customHeight="1">
      <c r="A2748" s="2" t="s">
        <v>2748</v>
      </c>
      <c r="B2748" s="2" t="str">
        <f>IFERROR(__xludf.DUMMYFUNCTION("GOOGLETRANSLATE(A2748, ""en"", ""mt"")"),"738 jum")</f>
        <v>738 jum</v>
      </c>
    </row>
    <row r="2749" ht="15.75" customHeight="1">
      <c r="A2749" s="2" t="s">
        <v>2749</v>
      </c>
      <c r="B2749" s="2" t="str">
        <f>IFERROR(__xludf.DUMMYFUNCTION("GOOGLETRANSLATE(A2749, ""en"", ""mt"")"),"Kemm ġew issuġġeriti mudelli maġġuri ta 'replikazzjoni tal-kloroplast?")</f>
        <v>Kemm ġew issuġġeriti mudelli maġġuri ta 'replikazzjoni tal-kloroplast?</v>
      </c>
    </row>
    <row r="2750" ht="15.75" customHeight="1">
      <c r="A2750" s="2" t="s">
        <v>2750</v>
      </c>
      <c r="B2750" s="2" t="str">
        <f>IFERROR(__xludf.DUMMYFUNCTION("GOOGLETRANSLATE(A2750, ""en"", ""mt"")"),"il-mistrieħ")</f>
        <v>il-mistrieħ</v>
      </c>
    </row>
    <row r="2751" ht="15.75" customHeight="1">
      <c r="A2751" s="2" t="s">
        <v>2751</v>
      </c>
      <c r="B2751" s="2" t="str">
        <f>IFERROR(__xludf.DUMMYFUNCTION("GOOGLETRANSLATE(A2751, ""en"", ""mt"")"),"il-Komunità Ewropea")</f>
        <v>il-Komunità Ewropea</v>
      </c>
    </row>
    <row r="2752" ht="15.75" customHeight="1">
      <c r="A2752" s="2" t="s">
        <v>2752</v>
      </c>
      <c r="B2752" s="2" t="str">
        <f>IFERROR(__xludf.DUMMYFUNCTION("GOOGLETRANSLATE(A2752, ""en"", ""mt"")"),"7.9 miljun")</f>
        <v>7.9 miljun</v>
      </c>
    </row>
    <row r="2753" ht="15.75" customHeight="1">
      <c r="A2753" s="2" t="s">
        <v>2753</v>
      </c>
      <c r="B2753" s="2" t="str">
        <f>IFERROR(__xludf.DUMMYFUNCTION("GOOGLETRANSLATE(A2753, ""en"", ""mt"")"),"Aktar minn 90 destinazzjoni")</f>
        <v>Aktar minn 90 destinazzjoni</v>
      </c>
    </row>
    <row r="2754" ht="15.75" customHeight="1">
      <c r="A2754" s="2" t="s">
        <v>2754</v>
      </c>
      <c r="B2754" s="2" t="str">
        <f>IFERROR(__xludf.DUMMYFUNCTION("GOOGLETRANSLATE(A2754, ""en"", ""mt"")"),"Grigal")</f>
        <v>Grigal</v>
      </c>
    </row>
    <row r="2755" ht="15.75" customHeight="1">
      <c r="A2755" s="2" t="s">
        <v>2755</v>
      </c>
      <c r="B2755" s="2" t="str">
        <f>IFERROR(__xludf.DUMMYFUNCTION("GOOGLETRANSLATE(A2755, ""en"", ""mt"")"),"satellita")</f>
        <v>satellita</v>
      </c>
    </row>
    <row r="2756" ht="15.75" customHeight="1">
      <c r="A2756" s="2" t="s">
        <v>2756</v>
      </c>
      <c r="B2756" s="2" t="str">
        <f>IFERROR(__xludf.DUMMYFUNCTION("GOOGLETRANSLATE(A2756, ""en"", ""mt"")"),"It-teologi, inklużi Zwingli, Melanchthon, Martin Bucer, u Johannes Oecolampadius, kienu differenti fuq is-sinifikat tal-kliem mitkellma minn Ġesù fl-Aħħar Ċena: ""Dan huwa l-ġisem tiegħi li huwa għalik"" u ""din it-tazza hija l-patt il-ġdid demm ""(1 Kori"&amp;"ntin 11: 23–26). Luther insista fuq il-preżenza reali tal-ġisem u d-demm ta ’Kristu fil-ħobż u l-inbid ikkonsagrati, li hu sejjaħ l-unjoni sagramentali, filwaqt li l-avversarji tiegħu jemmnu lil Alla li hu biss spiritwalment jew simbolikament preżenti. Zw"&amp;"ingli, pereżempju, ċaħad il-ħila ta 'Ġesù li jkun f'aktar minn post wieħed kull darba iżda Luther enfasizza l-omnipresenza tan-natura umana tiegħu. Skond it-traskrizzjonijiet, id-dibattitu xi kultant sar konfrontazzjoni. Waqt li kkwota l-kliem ta ’Ġesù"" "&amp;"il-laħam ma jħares xejn ”(Ġwanni 6.63), qal Zwingli,"" Din is-silta tkisser għonqek "". ""M'għandekx tkun kburi wisq,"" wieġeb Luther, ""l-għonq Ġermaniżi ma jkissrux faċilment. Dan huwa Hesse, mhux l-Isvizzera."" Fuq il-mejda tiegħu Luther kiteb il-kliem"&amp;" ""hoc est corpus meum"" (""dan ​​huwa ġismi"") fil-ġibs, biex jindika kontinwament il-pożizzjoni soda tiegħu.")</f>
        <v>It-teologi, inklużi Zwingli, Melanchthon, Martin Bucer, u Johannes Oecolampadius, kienu differenti fuq is-sinifikat tal-kliem mitkellma minn Ġesù fl-Aħħar Ċena: "Dan huwa l-ġisem tiegħi li huwa għalik" u "din it-tazza hija l-patt il-ġdid demm "(1 Korintin 11: 23–26). Luther insista fuq il-preżenza reali tal-ġisem u d-demm ta ’Kristu fil-ħobż u l-inbid ikkonsagrati, li hu sejjaħ l-unjoni sagramentali, filwaqt li l-avversarji tiegħu jemmnu lil Alla li hu biss spiritwalment jew simbolikament preżenti. Zwingli, pereżempju, ċaħad il-ħila ta 'Ġesù li jkun f'aktar minn post wieħed kull darba iżda Luther enfasizza l-omnipresenza tan-natura umana tiegħu. Skond it-traskrizzjonijiet, id-dibattitu xi kultant sar konfrontazzjoni. Waqt li kkwota l-kliem ta ’Ġesù" il-laħam ma jħares xejn ”(Ġwanni 6.63), qal Zwingli," Din is-silta tkisser għonqek ". "M'għandekx tkun kburi wisq," wieġeb Luther, "l-għonq Ġermaniżi ma jkissrux faċilment. Dan huwa Hesse, mhux l-Isvizzera." Fuq il-mejda tiegħu Luther kiteb il-kliem "hoc est corpus meum" ("dan ​​huwa ġismi") fil-ġibs, biex jindika kontinwament il-pożizzjoni soda tiegħu.</v>
      </c>
    </row>
    <row r="2757" ht="15.75" customHeight="1">
      <c r="A2757" s="2" t="s">
        <v>2757</v>
      </c>
      <c r="B2757" s="2" t="str">
        <f>IFERROR(__xludf.DUMMYFUNCTION("GOOGLETRANSLATE(A2757, ""en"", ""mt"")"),"Għal min huma dibattiti u laqgħat miftuħa?")</f>
        <v>Għal min huma dibattiti u laqgħat miftuħa?</v>
      </c>
    </row>
    <row r="2758" ht="15.75" customHeight="1">
      <c r="A2758" s="2" t="s">
        <v>2758</v>
      </c>
      <c r="B2758" s="2" t="str">
        <f>IFERROR(__xludf.DUMMYFUNCTION("GOOGLETRANSLATE(A2758, ""en"", ""mt"")"),"Fuq xiex iserraħ Ctenophora għad-diġestjoni u r-respirazzjoni?")</f>
        <v>Fuq xiex iserraħ Ctenophora għad-diġestjoni u r-respirazzjoni?</v>
      </c>
    </row>
    <row r="2759" ht="15.75" customHeight="1">
      <c r="A2759" s="2" t="s">
        <v>2759</v>
      </c>
      <c r="B2759" s="2" t="str">
        <f>IFERROR(__xludf.DUMMYFUNCTION("GOOGLETRANSLATE(A2759, ""en"", ""mt"")"),"Elettrodinamiċità kwantistika")</f>
        <v>Elettrodinamiċità kwantistika</v>
      </c>
    </row>
    <row r="2760" ht="15.75" customHeight="1">
      <c r="A2760" s="2" t="s">
        <v>2760</v>
      </c>
      <c r="B2760" s="2" t="str">
        <f>IFERROR(__xludf.DUMMYFUNCTION("GOOGLETRANSLATE(A2760, ""en"", ""mt"")"),"Imponi fiżikament")</f>
        <v>Imponi fiżikament</v>
      </c>
    </row>
    <row r="2761" ht="15.75" customHeight="1">
      <c r="A2761" s="2" t="s">
        <v>2761</v>
      </c>
      <c r="B2761" s="2" t="str">
        <f>IFERROR(__xludf.DUMMYFUNCTION("GOOGLETRANSLATE(A2761, ""en"", ""mt"")"),"25 minuta ta 'tul ta' trasmissjoni")</f>
        <v>25 minuta ta 'tul ta' trasmissjoni</v>
      </c>
    </row>
    <row r="2762" ht="15.75" customHeight="1">
      <c r="A2762" s="2" t="s">
        <v>2762</v>
      </c>
      <c r="B2762" s="2" t="str">
        <f>IFERROR(__xludf.DUMMYFUNCTION("GOOGLETRANSLATE(A2762, ""en"", ""mt"")"),"Inqas minn $ 1.25 kuljum")</f>
        <v>Inqas minn $ 1.25 kuljum</v>
      </c>
    </row>
    <row r="2763" ht="15.75" customHeight="1">
      <c r="A2763" s="2" t="s">
        <v>2763</v>
      </c>
      <c r="B2763" s="2" t="str">
        <f>IFERROR(__xludf.DUMMYFUNCTION("GOOGLETRANSLATE(A2763, ""en"", ""mt"")"),"Għalkemm il-famużi Imperaturi Mughal kienu dixxendenti kburin ta 'Genghis Khan u partikolarment Timur, huma tbiegħdu b'mod ċar mill-atroċitajiet Mongoljani mwettqa kontra l-Khwarizim Shahs, Torok, Persjani, iċ-ċittadini ta' Bagdad u Damasku, Damasku, Nish"&amp;"apur, Bukhara u figuri storiċi bħalma huma l-atttar ta ' Nishapur u ħafna Musulmani oħra notevoli. Madankollu, l-imperaturi Mughal direttament patronizzaw il-wirt ta 'Genghis Khan u Timur; Flimkien isimhom kien sinonimu ma 'l-ismijiet ta' personalitajiet "&amp;"distinti oħra partikolarment fost il-popolazzjonijiet Musulmani ta 'l-Asja t'Isfel.")</f>
        <v>Għalkemm il-famużi Imperaturi Mughal kienu dixxendenti kburin ta 'Genghis Khan u partikolarment Timur, huma tbiegħdu b'mod ċar mill-atroċitajiet Mongoljani mwettqa kontra l-Khwarizim Shahs, Torok, Persjani, iċ-ċittadini ta' Bagdad u Damasku, Damasku, Nishapur, Bukhara u figuri storiċi bħalma huma l-atttar ta ' Nishapur u ħafna Musulmani oħra notevoli. Madankollu, l-imperaturi Mughal direttament patronizzaw il-wirt ta 'Genghis Khan u Timur; Flimkien isimhom kien sinonimu ma 'l-ismijiet ta' personalitajiet distinti oħra partikolarment fost il-popolazzjonijiet Musulmani ta 'l-Asja t'Isfel.</v>
      </c>
    </row>
    <row r="2764" ht="15.75" customHeight="1">
      <c r="A2764" s="2" t="s">
        <v>2764</v>
      </c>
      <c r="B2764" s="2" t="str">
        <f>IFERROR(__xludf.DUMMYFUNCTION("GOOGLETRANSLATE(A2764, ""en"", ""mt"")"),"tassisti fil-fabbrikazzjoni ta 'evidenza jew twettaq sperġur")</f>
        <v>tassisti fil-fabbrikazzjoni ta 'evidenza jew twettaq sperġur</v>
      </c>
    </row>
    <row r="2765" ht="15.75" customHeight="1">
      <c r="A2765" s="2" t="s">
        <v>2765</v>
      </c>
      <c r="B2765" s="2" t="str">
        <f>IFERROR(__xludf.DUMMYFUNCTION("GOOGLETRANSLATE(A2765, ""en"", ""mt"")"),"Il-klassifikazzjoni industrijali standard u s-sistema l-aktar ġdida ta 'klassifikazzjoni tal-industrija tal-Amerika ta' Fuq għandhom sistema ta 'klassifikazzjoni għal kumpaniji li jwettqu jew inkella jidħlu fil-kostruzzjoni. Biex tirrikonoxxi d-differenzi"&amp;" tal-kumpaniji f'dan is-settur, hija maqsuma fi tliet subsetturi: kostruzzjoni tal-bini, kostruzzjoni ta 'inġinerija tqila u ċivili, u kuntratturi tal-kummerċ ta' speċjalità. Hemm ukoll kategoriji għal ditti ta 'servizzi ta' kostruzzjoni (per eżempju, inġ"&amp;"inerija, arkitettura) u maniġers ta 'kostruzzjoni (ditti involuti fil-ġestjoni ta' proġetti ta 'kostruzzjoni mingħajr ma jassumu r-responsabbiltà finanzjarja diretta għat-tlestija tal-proġett ta' kostruzzjoni).")</f>
        <v>Il-klassifikazzjoni industrijali standard u s-sistema l-aktar ġdida ta 'klassifikazzjoni tal-industrija tal-Amerika ta' Fuq għandhom sistema ta 'klassifikazzjoni għal kumpaniji li jwettqu jew inkella jidħlu fil-kostruzzjoni. Biex tirrikonoxxi d-differenzi tal-kumpaniji f'dan is-settur, hija maqsuma fi tliet subsetturi: kostruzzjoni tal-bini, kostruzzjoni ta 'inġinerija tqila u ċivili, u kuntratturi tal-kummerċ ta' speċjalità. Hemm ukoll kategoriji għal ditti ta 'servizzi ta' kostruzzjoni (per eżempju, inġinerija, arkitettura) u maniġers ta 'kostruzzjoni (ditti involuti fil-ġestjoni ta' proġetti ta 'kostruzzjoni mingħajr ma jassumu r-responsabbiltà finanzjarja diretta għat-tlestija tal-proġett ta' kostruzzjoni).</v>
      </c>
    </row>
    <row r="2766" ht="15.75" customHeight="1">
      <c r="A2766" s="2" t="s">
        <v>2766</v>
      </c>
      <c r="B2766" s="2" t="str">
        <f>IFERROR(__xludf.DUMMYFUNCTION("GOOGLETRANSLATE(A2766, ""en"", ""mt"")"),"Xmara Isfar")</f>
        <v>Xmara Isfar</v>
      </c>
    </row>
    <row r="2767" ht="15.75" customHeight="1">
      <c r="A2767" s="2" t="s">
        <v>2767</v>
      </c>
      <c r="B2767" s="2" t="str">
        <f>IFERROR(__xludf.DUMMYFUNCTION("GOOGLETRANSLATE(A2767, ""en"", ""mt"")"),"Kirinyaga, Kirenyaa u Kiinyaa")</f>
        <v>Kirinyaga, Kirenyaa u Kiinyaa</v>
      </c>
    </row>
    <row r="2768" ht="15.75" customHeight="1">
      <c r="A2768" s="2" t="s">
        <v>2768</v>
      </c>
      <c r="B2768" s="2" t="str">
        <f>IFERROR(__xludf.DUMMYFUNCTION("GOOGLETRANSLATE(A2768, ""en"", ""mt"")"),"90 sa 95")</f>
        <v>90 sa 95</v>
      </c>
    </row>
    <row r="2769" ht="15.75" customHeight="1">
      <c r="A2769" s="2" t="s">
        <v>2769</v>
      </c>
      <c r="B2769" s="2" t="str">
        <f>IFERROR(__xludf.DUMMYFUNCTION("GOOGLETRANSLATE(A2769, ""en"", ""mt"")"),"Ġlieda ideoloġika")</f>
        <v>Ġlieda ideoloġika</v>
      </c>
    </row>
    <row r="2770" ht="15.75" customHeight="1">
      <c r="A2770" s="2" t="s">
        <v>2770</v>
      </c>
      <c r="B2770" s="2" t="str">
        <f>IFERROR(__xludf.DUMMYFUNCTION("GOOGLETRANSLATE(A2770, ""en"", ""mt"")"),"Il-Gallerija T. T. Tsui tal-Art Ċiniża")</f>
        <v>Il-Gallerija T. T. Tsui tal-Art Ċiniża</v>
      </c>
    </row>
    <row r="2771" ht="15.75" customHeight="1">
      <c r="A2771" s="2" t="s">
        <v>2771</v>
      </c>
      <c r="B2771" s="2" t="str">
        <f>IFERROR(__xludf.DUMMYFUNCTION("GOOGLETRANSLATE(A2771, ""en"", ""mt"")"),"Liema avveniment ġara 66 miljun sena ilu?")</f>
        <v>Liema avveniment ġara 66 miljun sena ilu?</v>
      </c>
    </row>
    <row r="2772" ht="15.75" customHeight="1">
      <c r="A2772" s="2" t="s">
        <v>2772</v>
      </c>
      <c r="B2772" s="2" t="str">
        <f>IFERROR(__xludf.DUMMYFUNCTION("GOOGLETRANSLATE(A2772, ""en"", ""mt"")"),"Magna tat-Turing mhux deterministika")</f>
        <v>Magna tat-Turing mhux deterministika</v>
      </c>
    </row>
    <row r="2773" ht="15.75" customHeight="1">
      <c r="A2773" s="2" t="s">
        <v>2773</v>
      </c>
      <c r="B2773" s="2" t="str">
        <f>IFERROR(__xludf.DUMMYFUNCTION("GOOGLETRANSLATE(A2773, ""en"", ""mt"")"),"Meta tikkunsidra problemi tal-komputazzjoni, problema ta 'problema hija sekwenza fuq alfabett. Normalment, l-alfabett jittieħed bħala l-alfabett binarju (i.e., is-sett {0,1}), u għalhekk il-kordi huma bitstrings. Bħal f'kompjuter tad-dinja reali, oġġetti "&amp;"matematiċi minbarra l-bitstrings għandhom ikunu kodifikati b'mod xieraq. Pereżempju, numri interi jistgħu jiġu rrappreżentati f'notazzjoni binarja, u l-graffs jistgħu jiġu kkodifikati direttament permezz tal-matriċi ta 'aġġustanza tagħhom, jew billi jikko"&amp;"difikaw il-listi ta' aġġustanza tagħhom b'mod binarju.")</f>
        <v>Meta tikkunsidra problemi tal-komputazzjoni, problema ta 'problema hija sekwenza fuq alfabett. Normalment, l-alfabett jittieħed bħala l-alfabett binarju (i.e., is-sett {0,1}), u għalhekk il-kordi huma bitstrings. Bħal f'kompjuter tad-dinja reali, oġġetti matematiċi minbarra l-bitstrings għandhom ikunu kodifikati b'mod xieraq. Pereżempju, numri interi jistgħu jiġu rrappreżentati f'notazzjoni binarja, u l-graffs jistgħu jiġu kkodifikati direttament permezz tal-matriċi ta 'aġġustanza tagħhom, jew billi jikkodifikaw il-listi ta' aġġustanza tagħhom b'mod binarju.</v>
      </c>
    </row>
    <row r="2774" ht="15.75" customHeight="1">
      <c r="A2774" s="2" t="s">
        <v>2774</v>
      </c>
      <c r="B2774" s="2" t="str">
        <f>IFERROR(__xludf.DUMMYFUNCTION("GOOGLETRANSLATE(A2774, ""en"", ""mt"")"),"Politikament, is-sistema ta 'gvern maħluqa minn Kublai Khan kienet il-prodott ta' kompromess bejn il-feudaliżmu patrimonjali Mongoljan u s-sistema tradizzjonali Ċiniża awtokratika-burokratika. Madankollu, soċjalment l-elite Ċiniża edukata ġeneralment ma n"&amp;"għatawx il-grad ta 'stima li kienu ngħataw qabel taħt dinastiji Ċiniżi indiġeni. Għalkemm l-elite Ċiniża tradizzjonali ma ngħatawx is-sehem tagħhom tal-poter, il-Mongoli u s-Semuren (diversi gruppi alleati mill-Asja Ċentrali u t-tarf tal-punent tal-imperu"&amp;") fil-biċċa l-kbira baqgħu barranin għall-kultura Ċiniża mainstream, u din id-dikotomija tat ir-reġim tal-wan Kolorazzjoni kemmxejn qawwija ""kolonjali"". It-trattament mhux ugwali huwa possibbilment dovut għall-biża 'li tittrasferixxi l-poter liċ-Ċiniżi "&amp;"etniċi taħt ir-regola tagħhom. Il-Mongoli u Semuren ingħataw ċerti vantaġġi fid-dinastija, u dan idum anke wara r-restawr tal-eżami imperjali fil-bidu tas-seklu 14. B'mod ġenerali kien hemm ftit Ċiniżi tat-Tramuntana jew Southerners li laħqu l-ogħla post "&amp;"fil-gvern meta mqabbla mal-possibbiltà li l-Persjani għamlu dan fil-Ilkhanate. Aktar tard l-imperatur Yongle tad-dinastija Ming semma wkoll id-diskriminazzjoni li kienet teżisti matul id-dinastija Yuan. Bi tweġiba għal oġġezzjoni kontra l-użu ta '""barbar"&amp;"i"" fil-gvern tiegħu, l-Imperatur Yongle wieġeb: ""... id-diskriminazzjoni kienet użata mill-Mongoli waqt id-Dinastija Yuan, li impjegat biss"" Mongoli u Tartars ""u mormija Ċiniż tat-Tramuntana u tan-Nofsinhar U din kienet preċiżament il-kawża li ġabet d"&amp;"iżastru fuqhom "".")</f>
        <v>Politikament, is-sistema ta 'gvern maħluqa minn Kublai Khan kienet il-prodott ta' kompromess bejn il-feudaliżmu patrimonjali Mongoljan u s-sistema tradizzjonali Ċiniża awtokratika-burokratika. Madankollu, soċjalment l-elite Ċiniża edukata ġeneralment ma ngħatawx il-grad ta 'stima li kienu ngħataw qabel taħt dinastiji Ċiniżi indiġeni. Għalkemm l-elite Ċiniża tradizzjonali ma ngħatawx is-sehem tagħhom tal-poter, il-Mongoli u s-Semuren (diversi gruppi alleati mill-Asja Ċentrali u t-tarf tal-punent tal-imperu) fil-biċċa l-kbira baqgħu barranin għall-kultura Ċiniża mainstream, u din id-dikotomija tat ir-reġim tal-wan Kolorazzjoni kemmxejn qawwija "kolonjali". It-trattament mhux ugwali huwa possibbilment dovut għall-biża 'li tittrasferixxi l-poter liċ-Ċiniżi etniċi taħt ir-regola tagħhom. Il-Mongoli u Semuren ingħataw ċerti vantaġġi fid-dinastija, u dan idum anke wara r-restawr tal-eżami imperjali fil-bidu tas-seklu 14. B'mod ġenerali kien hemm ftit Ċiniżi tat-Tramuntana jew Southerners li laħqu l-ogħla post fil-gvern meta mqabbla mal-possibbiltà li l-Persjani għamlu dan fil-Ilkhanate. Aktar tard l-imperatur Yongle tad-dinastija Ming semma wkoll id-diskriminazzjoni li kienet teżisti matul id-dinastija Yuan. Bi tweġiba għal oġġezzjoni kontra l-użu ta '"barbari" fil-gvern tiegħu, l-Imperatur Yongle wieġeb: "... id-diskriminazzjoni kienet użata mill-Mongoli waqt id-Dinastija Yuan, li impjegat biss" Mongoli u Tartars "u mormija Ċiniż tat-Tramuntana u tan-Nofsinhar U din kienet preċiżament il-kawża li ġabet diżastru fuqhom ".</v>
      </c>
    </row>
    <row r="2775" ht="15.75" customHeight="1">
      <c r="A2775" s="2" t="s">
        <v>2775</v>
      </c>
      <c r="B2775" s="2" t="str">
        <f>IFERROR(__xludf.DUMMYFUNCTION("GOOGLETRANSLATE(A2775, ""en"", ""mt"")"),"l-ossidant")</f>
        <v>l-ossidant</v>
      </c>
    </row>
    <row r="2776" ht="15.75" customHeight="1">
      <c r="A2776" s="2" t="s">
        <v>2776</v>
      </c>
      <c r="B2776" s="2" t="str">
        <f>IFERROR(__xludf.DUMMYFUNCTION("GOOGLETRANSLATE(A2776, ""en"", ""mt"")"),"Ġermaniż vernakolari")</f>
        <v>Ġermaniż vernakolari</v>
      </c>
    </row>
    <row r="2777" ht="15.75" customHeight="1">
      <c r="A2777" s="2" t="s">
        <v>2777</v>
      </c>
      <c r="B2777" s="2" t="str">
        <f>IFERROR(__xludf.DUMMYFUNCTION("GOOGLETRANSLATE(A2777, ""en"", ""mt"")"),"Bord tal-Fiduċjarji")</f>
        <v>Bord tal-Fiduċjarji</v>
      </c>
    </row>
    <row r="2778" ht="15.75" customHeight="1">
      <c r="A2778" s="2" t="s">
        <v>2778</v>
      </c>
      <c r="B2778" s="2" t="str">
        <f>IFERROR(__xludf.DUMMYFUNCTION("GOOGLETRANSLATE(A2778, ""en"", ""mt"")"),"tribujiet li ma riedux jagħmlu negozju mal-Ingliżi")</f>
        <v>tribujiet li ma riedux jagħmlu negozju mal-Ingliżi</v>
      </c>
    </row>
    <row r="2779" ht="15.75" customHeight="1">
      <c r="A2779" s="2" t="s">
        <v>2779</v>
      </c>
      <c r="B2779" s="2" t="str">
        <f>IFERROR(__xludf.DUMMYFUNCTION("GOOGLETRANSLATE(A2779, ""en"", ""mt"")"),"Kif ġiet immaniġġjata l-iskarsezza f'ħafna pajjiżi?")</f>
        <v>Kif ġiet immaniġġjata l-iskarsezza f'ħafna pajjiżi?</v>
      </c>
    </row>
    <row r="2780" ht="15.75" customHeight="1">
      <c r="A2780" s="2" t="s">
        <v>2780</v>
      </c>
      <c r="B2780" s="2" t="str">
        <f>IFERROR(__xludf.DUMMYFUNCTION("GOOGLETRANSLATE(A2780, ""en"", ""mt"")"),"Kemm Vittorjani huma Kattoliċi?")</f>
        <v>Kemm Vittorjani huma Kattoliċi?</v>
      </c>
    </row>
    <row r="2781" ht="15.75" customHeight="1">
      <c r="A2781" s="2" t="s">
        <v>2781</v>
      </c>
      <c r="B2781" s="2" t="str">
        <f>IFERROR(__xludf.DUMMYFUNCTION("GOOGLETRANSLATE(A2781, ""en"", ""mt"")"),"servizz lill-ġar")</f>
        <v>servizz lill-ġar</v>
      </c>
    </row>
    <row r="2782" ht="15.75" customHeight="1">
      <c r="A2782" s="2" t="s">
        <v>2782</v>
      </c>
      <c r="B2782" s="2" t="str">
        <f>IFERROR(__xludf.DUMMYFUNCTION("GOOGLETRANSLATE(A2782, ""en"", ""mt"")"),"L-Istati Uniti bikrija esprimew l-oppożizzjoni tagħha għall-imperjalizmu, għall-inqas f'forma distinta mid-destin manifest tagħha stess, permezz ta 'politiki bħad-duttrina Monroe. Madankollu, li tibda fl-aħħar tas-seklu 19 u kmieni, politiki bħall-interve"&amp;"ntiżmu ta 'Theodore Roosevelt fl-Amerika Ċentrali u l-missjoni ta' Woodrow Wilson li ""jagħmlu d-dinja sikura għad-demokrazija"" biddlu dan kollu. Ħafna drabi kienu appoġġjati mill-forza militari, iżda aktar spiss kienu affettwati minn wara l-kwinti. Dan "&amp;"huwa konsistenti mal-kunċett ġenerali ta 'eġemonija u imperium ta' imperi storiċi. Fl-1898, l-Amerikani li opponew l-imperjalizmu ħolqu l-kampjonat anti-imperialist biex jopponu l-annessjoni tal-Istati Uniti tal-Filippini u Kuba. Sena wara, faqqgħet gwerr"&amp;"a fil-Filippini li kkawżat negozju, xogħol u mexxejja tal-gvern fl-Istati Uniti biex jikkundannaw l-okkupazzjoni tal-Amerika fil-Filippini billi ddenunzjawhom ukoll talli kkawżaw l-imwiet ta 'ħafna Filippini. Il-politika barranija Amerikana ġiet iddenunzj"&amp;"ata bħala ""racket"" minn Smedley Butler, ġenerali Amerikan. Huwa qal, ""Meta nħares lura fuqu, jista 'jkolli tajt lil Al Capone ftit ħjiel. L-aħjar li seta' jagħmel kien li jopera r-racket tiegħu fi tliet distretti. Jiena operajt fuq tliet kontinenti"".")</f>
        <v>L-Istati Uniti bikrija esprimew l-oppożizzjoni tagħha għall-imperjalizmu, għall-inqas f'forma distinta mid-destin manifest tagħha stess, permezz ta 'politiki bħad-duttrina Monroe. Madankollu, li tibda fl-aħħar tas-seklu 19 u kmieni, politiki bħall-interventiżmu ta 'Theodore Roosevelt fl-Amerika Ċentrali u l-missjoni ta' Woodrow Wilson li "jagħmlu d-dinja sikura għad-demokrazija" biddlu dan kollu. Ħafna drabi kienu appoġġjati mill-forza militari, iżda aktar spiss kienu affettwati minn wara l-kwinti. Dan huwa konsistenti mal-kunċett ġenerali ta 'eġemonija u imperium ta' imperi storiċi. Fl-1898, l-Amerikani li opponew l-imperjalizmu ħolqu l-kampjonat anti-imperialist biex jopponu l-annessjoni tal-Istati Uniti tal-Filippini u Kuba. Sena wara, faqqgħet gwerra fil-Filippini li kkawżat negozju, xogħol u mexxejja tal-gvern fl-Istati Uniti biex jikkundannaw l-okkupazzjoni tal-Amerika fil-Filippini billi ddenunzjawhom ukoll talli kkawżaw l-imwiet ta 'ħafna Filippini. Il-politika barranija Amerikana ġiet iddenunzjata bħala "racket" minn Smedley Butler, ġenerali Amerikan. Huwa qal, "Meta nħares lura fuqu, jista 'jkolli tajt lil Al Capone ftit ħjiel. L-aħjar li seta' jagħmel kien li jopera r-racket tiegħu fi tliet distretti. Jiena operajt fuq tliet kontinenti".</v>
      </c>
    </row>
    <row r="2783" ht="15.75" customHeight="1">
      <c r="A2783" s="2" t="s">
        <v>2783</v>
      </c>
      <c r="B2783" s="2" t="str">
        <f>IFERROR(__xludf.DUMMYFUNCTION("GOOGLETRANSLATE(A2783, ""en"", ""mt"")"),"Lokomottivi bil-fwar")</f>
        <v>Lokomottivi bil-fwar</v>
      </c>
    </row>
    <row r="2784" ht="15.75" customHeight="1">
      <c r="A2784" s="2" t="s">
        <v>2784</v>
      </c>
      <c r="B2784" s="2" t="str">
        <f>IFERROR(__xludf.DUMMYFUNCTION("GOOGLETRANSLATE(A2784, ""en"", ""mt"")"),"Meta ġiet meqruda parti mill-belt ta 'Grainger?")</f>
        <v>Meta ġiet meqruda parti mill-belt ta 'Grainger?</v>
      </c>
    </row>
    <row r="2785" ht="15.75" customHeight="1">
      <c r="A2785" s="2" t="s">
        <v>2785</v>
      </c>
      <c r="B2785" s="2" t="str">
        <f>IFERROR(__xludf.DUMMYFUNCTION("GOOGLETRANSLATE(A2785, ""en"", ""mt"")"),"Għaliex it-Tabib Min hu Tardis dejjem jidher l-istess?")</f>
        <v>Għaliex it-Tabib Min hu Tardis dejjem jidher l-istess?</v>
      </c>
    </row>
    <row r="2786" ht="15.75" customHeight="1">
      <c r="A2786" s="2" t="s">
        <v>2786</v>
      </c>
      <c r="B2786" s="2" t="str">
        <f>IFERROR(__xludf.DUMMYFUNCTION("GOOGLETRANSLATE(A2786, ""en"", ""mt"")"),"Uġigħ fis-sider")</f>
        <v>Uġigħ fis-sider</v>
      </c>
    </row>
    <row r="2787" ht="15.75" customHeight="1">
      <c r="A2787" s="2" t="s">
        <v>2787</v>
      </c>
      <c r="B2787" s="2" t="str">
        <f>IFERROR(__xludf.DUMMYFUNCTION("GOOGLETRANSLATE(A2787, ""en"", ""mt"")"),"US $ 100,000")</f>
        <v>US $ 100,000</v>
      </c>
    </row>
    <row r="2788" ht="15.75" customHeight="1">
      <c r="A2788" s="2" t="s">
        <v>2788</v>
      </c>
      <c r="B2788" s="2" t="str">
        <f>IFERROR(__xludf.DUMMYFUNCTION("GOOGLETRANSLATE(A2788, ""en"", ""mt"")"),"Kultant il-membrana taċ-ċellula tal-alka li tittiekel")</f>
        <v>Kultant il-membrana taċ-ċellula tal-alka li tittiekel</v>
      </c>
    </row>
    <row r="2789" ht="15.75" customHeight="1">
      <c r="A2789" s="2" t="s">
        <v>2789</v>
      </c>
      <c r="B2789" s="2" t="str">
        <f>IFERROR(__xludf.DUMMYFUNCTION("GOOGLETRANSLATE(A2789, ""en"", ""mt"")"),"X'għandhom il-kloroplasti fiċ-ċelloli tal-mesofilla jaħżnu d-dijossidu tal-karbonju?")</f>
        <v>X'għandhom il-kloroplasti fiċ-ċelloli tal-mesofilla jaħżnu d-dijossidu tal-karbonju?</v>
      </c>
    </row>
    <row r="2790" ht="15.75" customHeight="1">
      <c r="A2790" s="2" t="s">
        <v>2790</v>
      </c>
      <c r="B2790" s="2" t="str">
        <f>IFERROR(__xludf.DUMMYFUNCTION("GOOGLETRANSLATE(A2790, ""en"", ""mt"")"),"Il-Mainframe CDC fil-Michigan State University fil-East Lansing")</f>
        <v>Il-Mainframe CDC fil-Michigan State University fil-East Lansing</v>
      </c>
    </row>
    <row r="2791" ht="15.75" customHeight="1">
      <c r="A2791" s="2" t="s">
        <v>2791</v>
      </c>
      <c r="B2791" s="2" t="str">
        <f>IFERROR(__xludf.DUMMYFUNCTION("GOOGLETRANSLATE(A2791, ""en"", ""mt"")"),"In-Nofsinhar ta ’California tikkonsisti f’żona statistika kkombinata, tmien żoni statistiċi metropolitani, żona metropolitana internazzjonali, u diversi diviżjonijiet metropolitani. Ir-reġjun huwa dar għal żewġ żoni metropolitani estiżi li jaqbżu l-ħames "&amp;"miljun fil-popolazzjoni. Dawn huma l-akbar żona ta ’Los Angeles fi 17,786,419, u San Diego - Tijuana f’5,105.768. Minn dawn iż-żoni metropolitani, iż-żona metropolitana ta 'Los Angeles-santa Ana-Ana, iż-żona metropolitana ta' Riverside-san Bernardino-Onta"&amp;"rio, u ż-żona metropolitana ta 'Oxnard-Eljun Oaks-Ventura jiffurmaw Los Angeles akbar; Filwaqt li ż-żona metropolitana El Centro u ż-żona metropolitana ta 'San Diego-Carlsbad-San Marcos jiffurmaw ir-reġjun tal-fruntiera tan-Nofsinhar. It-Tramuntana ta 'Lo"&amp;"s Angeles huma ż-żoni ta' Santa Barbara, San Luis Obispo, u Bakersfield Metropolitan.")</f>
        <v>In-Nofsinhar ta ’California tikkonsisti f’żona statistika kkombinata, tmien żoni statistiċi metropolitani, żona metropolitana internazzjonali, u diversi diviżjonijiet metropolitani. Ir-reġjun huwa dar għal żewġ żoni metropolitani estiżi li jaqbżu l-ħames miljun fil-popolazzjoni. Dawn huma l-akbar żona ta ’Los Angeles fi 17,786,419, u San Diego - Tijuana f’5,105.768. Minn dawn iż-żoni metropolitani, iż-żona metropolitana ta 'Los Angeles-santa Ana-Ana, iż-żona metropolitana ta' Riverside-san Bernardino-Ontario, u ż-żona metropolitana ta 'Oxnard-Eljun Oaks-Ventura jiffurmaw Los Angeles akbar; Filwaqt li ż-żona metropolitana El Centro u ż-żona metropolitana ta 'San Diego-Carlsbad-San Marcos jiffurmaw ir-reġjun tal-fruntiera tan-Nofsinhar. It-Tramuntana ta 'Los Angeles huma ż-żoni ta' Santa Barbara, San Luis Obispo, u Bakersfield Metropolitan.</v>
      </c>
    </row>
    <row r="2792" ht="15.75" customHeight="1">
      <c r="A2792" s="2" t="s">
        <v>2792</v>
      </c>
      <c r="B2792" s="2" t="str">
        <f>IFERROR(__xludf.DUMMYFUNCTION("GOOGLETRANSLATE(A2792, ""en"", ""mt"")"),"Xlokk")</f>
        <v>Xlokk</v>
      </c>
    </row>
    <row r="2793" ht="15.75" customHeight="1">
      <c r="A2793" s="2" t="s">
        <v>2793</v>
      </c>
      <c r="B2793" s="2" t="str">
        <f>IFERROR(__xludf.DUMMYFUNCTION("GOOGLETRANSLATE(A2793, ""en"", ""mt"")"),"Malnutrizzjoni")</f>
        <v>Malnutrizzjoni</v>
      </c>
    </row>
    <row r="2794" ht="15.75" customHeight="1">
      <c r="A2794" s="2" t="s">
        <v>2794</v>
      </c>
      <c r="B2794" s="2" t="str">
        <f>IFERROR(__xludf.DUMMYFUNCTION("GOOGLETRANSLATE(A2794, ""en"", ""mt"")"),"Marzu 2007")</f>
        <v>Marzu 2007</v>
      </c>
    </row>
    <row r="2795" ht="15.75" customHeight="1">
      <c r="A2795" s="2" t="s">
        <v>2795</v>
      </c>
      <c r="B2795" s="2" t="str">
        <f>IFERROR(__xludf.DUMMYFUNCTION("GOOGLETRANSLATE(A2795, ""en"", ""mt"")"),"Radikali ħielsa")</f>
        <v>Radikali ħielsa</v>
      </c>
    </row>
    <row r="2796" ht="15.75" customHeight="1">
      <c r="A2796" s="2" t="s">
        <v>2796</v>
      </c>
      <c r="B2796" s="2" t="str">
        <f>IFERROR(__xludf.DUMMYFUNCTION("GOOGLETRANSLATE(A2796, ""en"", ""mt"")"),"Meta ġie ppubblikat l-esej ta 'Thoreau?")</f>
        <v>Meta ġie ppubblikat l-esej ta 'Thoreau?</v>
      </c>
    </row>
    <row r="2797" ht="15.75" customHeight="1">
      <c r="A2797" s="2" t="s">
        <v>2797</v>
      </c>
      <c r="B2797" s="2" t="str">
        <f>IFERROR(__xludf.DUMMYFUNCTION("GOOGLETRANSLATE(A2797, ""en"", ""mt"")"),"forma kbira ta 'dumbbell")</f>
        <v>forma kbira ta 'dumbbell</v>
      </c>
    </row>
    <row r="2798" ht="15.75" customHeight="1">
      <c r="A2798" s="2" t="s">
        <v>2798</v>
      </c>
      <c r="B2798" s="2" t="str">
        <f>IFERROR(__xludf.DUMMYFUNCTION("GOOGLETRANSLATE(A2798, ""en"", ""mt"")"),"Elmu tal-Visor")</f>
        <v>Elmu tal-Visor</v>
      </c>
    </row>
    <row r="2799" ht="15.75" customHeight="1">
      <c r="A2799" s="2" t="s">
        <v>2799</v>
      </c>
      <c r="B2799" s="2" t="str">
        <f>IFERROR(__xludf.DUMMYFUNCTION("GOOGLETRANSLATE(A2799, ""en"", ""mt"")"),"Fuq in-naħa tat-televiżjoni, f'Settembru 1969, ABC nediet il-film tal-ġimgħa, vetrina ta 'kull ġimgħa mmirata biex tikkapitalizza fuq is-suċċess dejjem jikber ta' films magħmula għat-TV mill-bidu tas-snin 1960. Il-Films Dramatiċi tal-Feature Movie tal-Ġim"&amp;"għa mxandra diretti minn produtturi tal-films tali talent bħal Aaron Spelling, David Wolper u Steven Spielberg (dan tal-aħħar li kisbu suċċess bikri permezz tal-vetrina għad-duel tal-films tiegħu tal-1971) li ġew prodotti fuq baġit medju ta ' $ 400,000 - "&amp;"$ 450,000. Hits għan-netwerk tat-televiżjoni matul l-aħħar tas-snin 1960 u l-bidu tas-snin sebgħin inkludew il-qorti ta 'missier Eddie, il-Brady Bunch u l-Familja Partridge.")</f>
        <v>Fuq in-naħa tat-televiżjoni, f'Settembru 1969, ABC nediet il-film tal-ġimgħa, vetrina ta 'kull ġimgħa mmirata biex tikkapitalizza fuq is-suċċess dejjem jikber ta' films magħmula għat-TV mill-bidu tas-snin 1960. Il-Films Dramatiċi tal-Feature Movie tal-Ġimgħa mxandra diretti minn produtturi tal-films tali talent bħal Aaron Spelling, David Wolper u Steven Spielberg (dan tal-aħħar li kisbu suċċess bikri permezz tal-vetrina għad-duel tal-films tiegħu tal-1971) li ġew prodotti fuq baġit medju ta ' $ 400,000 - $ 450,000. Hits għan-netwerk tat-televiżjoni matul l-aħħar tas-snin 1960 u l-bidu tas-snin sebgħin inkludew il-qorti ta 'missier Eddie, il-Brady Bunch u l-Familja Partridge.</v>
      </c>
    </row>
    <row r="2800" ht="15.75" customHeight="1">
      <c r="A2800" s="2" t="s">
        <v>2800</v>
      </c>
      <c r="B2800" s="2" t="str">
        <f>IFERROR(__xludf.DUMMYFUNCTION("GOOGLETRANSLATE(A2800, ""en"", ""mt"")"),"Orjentaliżmu u tropiċità")</f>
        <v>Orjentaliżmu u tropiċità</v>
      </c>
    </row>
    <row r="2801" ht="15.75" customHeight="1">
      <c r="A2801" s="2" t="s">
        <v>2801</v>
      </c>
      <c r="B2801" s="2" t="str">
        <f>IFERROR(__xludf.DUMMYFUNCTION("GOOGLETRANSLATE(A2801, ""en"", ""mt"")"),"X’spiċċa tagħmel it-tieni stadju f’The Saturn V?")</f>
        <v>X’spiċċa tagħmel it-tieni stadju f’The Saturn V?</v>
      </c>
    </row>
    <row r="2802" ht="15.75" customHeight="1">
      <c r="A2802" s="2" t="s">
        <v>2802</v>
      </c>
      <c r="B2802" s="2" t="str">
        <f>IFERROR(__xludf.DUMMYFUNCTION("GOOGLETRANSLATE(A2802, ""en"", ""mt"")"),"voluminuż")</f>
        <v>voluminuż</v>
      </c>
    </row>
    <row r="2803" ht="15.75" customHeight="1">
      <c r="A2803" s="2" t="s">
        <v>2803</v>
      </c>
      <c r="B2803" s="2" t="str">
        <f>IFERROR(__xludf.DUMMYFUNCTION("GOOGLETRANSLATE(A2803, ""en"", ""mt"")"),"Southern_California")</f>
        <v>Southern_California</v>
      </c>
    </row>
    <row r="2804" ht="15.75" customHeight="1">
      <c r="A2804" s="2" t="s">
        <v>2804</v>
      </c>
      <c r="B2804" s="2" t="str">
        <f>IFERROR(__xludf.DUMMYFUNCTION("GOOGLETRANSLATE(A2804, ""en"", ""mt"")"),"Madankollu, xi problemi tal-komputazzjoni huma aktar faċli biex jiġu analizzati f'termini ta 'riżorsi aktar mhux tas-soltu. Pereżempju, magna tat-Turing mhux deterministika hija mudell tal-komputazzjoni li huwa permess li joħroġ biex jiċċekkja ħafna possi"&amp;"bbiltajiet differenti f'daqqa. Il-magna tat-Turing mhux deterministika għandha ftit x'taqsam ma 'kif fiżikament irridu nikkalkulaw l-algoritmi, iżda l-fergħa tagħha taqbad eżattament ħafna mill-mudelli matematiċi li rridu tanalizzaw, sabiex il-ħin mhux de"&amp;"terministiku huwa riżorsa importanti ħafna fl-analiżi tal-problemi tal-komputazzjoni -")</f>
        <v>Madankollu, xi problemi tal-komputazzjoni huma aktar faċli biex jiġu analizzati f'termini ta 'riżorsi aktar mhux tas-soltu. Pereżempju, magna tat-Turing mhux deterministika hija mudell tal-komputazzjoni li huwa permess li joħroġ biex jiċċekkja ħafna possibbiltajiet differenti f'daqqa. Il-magna tat-Turing mhux deterministika għandha ftit x'taqsam ma 'kif fiżikament irridu nikkalkulaw l-algoritmi, iżda l-fergħa tagħha taqbad eżattament ħafna mill-mudelli matematiċi li rridu tanalizzaw, sabiex il-ħin mhux deterministiku huwa riżorsa importanti ħafna fl-analiżi tal-problemi tal-komputazzjoni -</v>
      </c>
    </row>
    <row r="2805" ht="15.75" customHeight="1">
      <c r="A2805" s="2" t="s">
        <v>2805</v>
      </c>
      <c r="B2805" s="2" t="str">
        <f>IFERROR(__xludf.DUMMYFUNCTION("GOOGLETRANSLATE(A2805, ""en"", ""mt"")"),"pagi aktar baxxi")</f>
        <v>pagi aktar baxxi</v>
      </c>
    </row>
    <row r="2806" ht="15.75" customHeight="1">
      <c r="A2806" s="2" t="s">
        <v>2806</v>
      </c>
      <c r="B2806" s="2" t="str">
        <f>IFERROR(__xludf.DUMMYFUNCTION("GOOGLETRANSLATE(A2806, ""en"", ""mt"")"),"Kif iqabbel il-livell ta 'tagħlim fl-iskejjel privati ​​Ġermaniżi ma' skejjel privati ​​f'pajjiżi oħra tal-Ewropa tal-Punent?")</f>
        <v>Kif iqabbel il-livell ta 'tagħlim fl-iskejjel privati ​​Ġermaniżi ma' skejjel privati ​​f'pajjiżi oħra tal-Ewropa tal-Punent?</v>
      </c>
    </row>
    <row r="2807" ht="15.75" customHeight="1">
      <c r="A2807" s="2" t="s">
        <v>2807</v>
      </c>
      <c r="B2807" s="2" t="str">
        <f>IFERROR(__xludf.DUMMYFUNCTION("GOOGLETRANSLATE(A2807, ""en"", ""mt"")"),"X'tip ta 'investigazzjonijiet tal-gvern japplikaw għad-diżubbidjenza ċivili?")</f>
        <v>X'tip ta 'investigazzjonijiet tal-gvern japplikaw għad-diżubbidjenza ċivili?</v>
      </c>
    </row>
    <row r="2808" ht="15.75" customHeight="1">
      <c r="A2808" s="2" t="s">
        <v>2808</v>
      </c>
      <c r="B2808" s="2" t="str">
        <f>IFERROR(__xludf.DUMMYFUNCTION("GOOGLETRANSLATE(A2808, ""en"", ""mt"")"),"overatlated")</f>
        <v>overatlated</v>
      </c>
    </row>
    <row r="2809" ht="15.75" customHeight="1">
      <c r="A2809" s="2" t="s">
        <v>2809</v>
      </c>
      <c r="B2809" s="2" t="str">
        <f>IFERROR(__xludf.DUMMYFUNCTION("GOOGLETRANSLATE(A2809, ""en"", ""mt"")"),"Fejn huma l-aktar komuni s-saħħa u l-problemi soċjali?")</f>
        <v>Fejn huma l-aktar komuni s-saħħa u l-problemi soċjali?</v>
      </c>
    </row>
    <row r="2810" ht="15.75" customHeight="1">
      <c r="A2810" s="2" t="s">
        <v>2810</v>
      </c>
      <c r="B2810" s="2" t="str">
        <f>IFERROR(__xludf.DUMMYFUNCTION("GOOGLETRANSLATE(A2810, ""en"", ""mt"")"),"L-istennija tal-foresta tropikali tal-Amazon kienet ristretta qabel liema era?")</f>
        <v>L-istennija tal-foresta tropikali tal-Amazon kienet ristretta qabel liema era?</v>
      </c>
    </row>
    <row r="2811" ht="15.75" customHeight="1">
      <c r="A2811" s="2" t="s">
        <v>2811</v>
      </c>
      <c r="B2811" s="2" t="str">
        <f>IFERROR(__xludf.DUMMYFUNCTION("GOOGLETRANSLATE(A2811, ""en"", ""mt"")"),"Jekk ma tafx kemm il-kobor kif ukoll id-direzzjoni ta 'żewġ forzi fuq oġġett, x'sejjaħ dik is-sitwazzjoni?")</f>
        <v>Jekk ma tafx kemm il-kobor kif ukoll id-direzzjoni ta 'żewġ forzi fuq oġġett, x'sejjaħ dik is-sitwazzjoni?</v>
      </c>
    </row>
    <row r="2812" ht="15.75" customHeight="1">
      <c r="A2812" s="2" t="s">
        <v>2812</v>
      </c>
      <c r="B2812" s="2" t="str">
        <f>IFERROR(__xludf.DUMMYFUNCTION("GOOGLETRANSLATE(A2812, ""en"", ""mt"")"),"ċilindru")</f>
        <v>ċilindru</v>
      </c>
    </row>
    <row r="2813" ht="15.75" customHeight="1">
      <c r="A2813" s="2" t="s">
        <v>2813</v>
      </c>
      <c r="B2813" s="2" t="str">
        <f>IFERROR(__xludf.DUMMYFUNCTION("GOOGLETRANSLATE(A2813, ""en"", ""mt"")"),"Tressqu varjetà ta 'alternattivi għall-Y. Pestis. Twigg issuġġerixxa li l-kawża kienet forma ta 'antrax, u Norman Cantor (2001) ħasbu li setgħet kienet taħlita ta' antrax u pandemiċi oħra. Scott u Duncan argumentaw li l-pandemija kienet forma ta 'mard inf"&amp;"ettiv li jikkaratterizza bħala pesta emorraġika simili għall-Ebola. L-arkeologu Barney Sloane argumenta li m'hemmx biżżejjed evidenza ta 'l-estinzjoni ta' numru kbir ta 'firien fir-rekord arkeoloġiku tal-waterfront medjevali f'Londra u li l-pesta nfirxet "&amp;"malajr wisq biex tappoġġja t-teżi li l-Y. Pestis kien mifrux minn briegħed firien; Huwa jsostni li t-trasmissjoni kellha tkun persuna għal persuna. Madankollu, l-ebda soluzzjoni alternattiva waħda ma kisbet aċċettazzjoni mifruxa. Ħafna studjużi li jargume"&amp;"ntaw għall-Y. Pestis bħala l-aġent ewlieni tal-pandemija jissuġġerixxu li l-firxa u s-sintomi tagħha jistgħu jiġu spjegati permezz ta 'taħlita ta' pesta bubonika ma 'mard ieħor, inklużi tifus, ġidri u infezzjonijiet respiratorji. Minbarra l-infezzjoni bub"&amp;"onika, oħrajn jindikaw settiċemiċi addizzjonali (tip ta '""avvelenament fid-demm"") u pnewmononiċi (pesta fl-ajru li tattakka l-pulmuni quddiem il-bqija tal-ġisem) tifforma l-forom tal-pesta, li ttawwal it-tul ta' tifqigħ madwar l-istaġuni u jgħinu r-rata"&amp;" għolja ta 'mortalità u sintomi rreġistrati addizzjonali tagħha. Fl-2014, xjentisti bis-saħħa pubblika l-Ingilterra ħabbru r-riżultati ta 'eżami ta' 25 korp eżumat miż-żona ta 'Clerkenwell ta' Londra, kif ukoll ta 'testment irreġistrat f'Londra matul il-p"&amp;"erjodu, li appoġġjaw l-ipoteżi pnewmonika.")</f>
        <v>Tressqu varjetà ta 'alternattivi għall-Y. Pestis. Twigg issuġġerixxa li l-kawża kienet forma ta 'antrax, u Norman Cantor (2001) ħasbu li setgħet kienet taħlita ta' antrax u pandemiċi oħra. Scott u Duncan argumentaw li l-pandemija kienet forma ta 'mard infettiv li jikkaratterizza bħala pesta emorraġika simili għall-Ebola. L-arkeologu Barney Sloane argumenta li m'hemmx biżżejjed evidenza ta 'l-estinzjoni ta' numru kbir ta 'firien fir-rekord arkeoloġiku tal-waterfront medjevali f'Londra u li l-pesta nfirxet malajr wisq biex tappoġġja t-teżi li l-Y. Pestis kien mifrux minn briegħed firien; Huwa jsostni li t-trasmissjoni kellha tkun persuna għal persuna. Madankollu, l-ebda soluzzjoni alternattiva waħda ma kisbet aċċettazzjoni mifruxa. Ħafna studjużi li jargumentaw għall-Y. Pestis bħala l-aġent ewlieni tal-pandemija jissuġġerixxu li l-firxa u s-sintomi tagħha jistgħu jiġu spjegati permezz ta 'taħlita ta' pesta bubonika ma 'mard ieħor, inklużi tifus, ġidri u infezzjonijiet respiratorji. Minbarra l-infezzjoni bubonika, oħrajn jindikaw settiċemiċi addizzjonali (tip ta '"avvelenament fid-demm") u pnewmononiċi (pesta fl-ajru li tattakka l-pulmuni quddiem il-bqija tal-ġisem) tifforma l-forom tal-pesta, li ttawwal it-tul ta' tifqigħ madwar l-istaġuni u jgħinu r-rata għolja ta 'mortalità u sintomi rreġistrati addizzjonali tagħha. Fl-2014, xjentisti bis-saħħa pubblika l-Ingilterra ħabbru r-riżultati ta 'eżami ta' 25 korp eżumat miż-żona ta 'Clerkenwell ta' Londra, kif ukoll ta 'testment irreġistrat f'Londra matul il-perjodu, li appoġġjaw l-ipoteżi pnewmonika.</v>
      </c>
    </row>
    <row r="2814" ht="15.75" customHeight="1">
      <c r="A2814" s="2" t="s">
        <v>2814</v>
      </c>
      <c r="B2814" s="2" t="str">
        <f>IFERROR(__xludf.DUMMYFUNCTION("GOOGLETRANSLATE(A2814, ""en"", ""mt"")"),"Fejn normalment jiddomina l-bhejjem tal-pajjiż?")</f>
        <v>Fejn normalment jiddomina l-bhejjem tal-pajjiż?</v>
      </c>
    </row>
    <row r="2815" ht="15.75" customHeight="1">
      <c r="A2815" s="2" t="s">
        <v>2815</v>
      </c>
      <c r="B2815" s="2" t="str">
        <f>IFERROR(__xludf.DUMMYFUNCTION("GOOGLETRANSLATE(A2815, ""en"", ""mt"")"),"Il-Kummentarji dwar il-Klassiku tal-Bidliet (I Ching)")</f>
        <v>Il-Kummentarji dwar il-Klassiku tal-Bidliet (I Ching)</v>
      </c>
    </row>
    <row r="2816" ht="15.75" customHeight="1">
      <c r="A2816" s="2" t="s">
        <v>2816</v>
      </c>
      <c r="B2816" s="2" t="str">
        <f>IFERROR(__xludf.DUMMYFUNCTION("GOOGLETRANSLATE(A2816, ""en"", ""mt"")"),"Ordni mill-ġdid")</f>
        <v>Ordni mill-ġdid</v>
      </c>
    </row>
    <row r="2817" ht="15.75" customHeight="1">
      <c r="A2817" s="2" t="s">
        <v>2817</v>
      </c>
      <c r="B2817" s="2" t="str">
        <f>IFERROR(__xludf.DUMMYFUNCTION("GOOGLETRANSLATE(A2817, ""en"", ""mt"")"),"Fi ħdan l-UE, liema qorti temmen li għandhom il-kelma finali li jiddeċiedu dwar il-kompetenza tal-UE?")</f>
        <v>Fi ħdan l-UE, liema qorti temmen li għandhom il-kelma finali li jiddeċiedu dwar il-kompetenza tal-UE?</v>
      </c>
    </row>
    <row r="2818" ht="15.75" customHeight="1">
      <c r="A2818" s="2" t="s">
        <v>2818</v>
      </c>
      <c r="B2818" s="2" t="str">
        <f>IFERROR(__xludf.DUMMYFUNCTION("GOOGLETRANSLATE(A2818, ""en"", ""mt"")"),"Minn min huma kumitati?")</f>
        <v>Minn min huma kumitati?</v>
      </c>
    </row>
    <row r="2819" ht="15.75" customHeight="1">
      <c r="A2819" s="2" t="s">
        <v>2819</v>
      </c>
      <c r="B2819" s="2" t="str">
        <f>IFERROR(__xludf.DUMMYFUNCTION("GOOGLETRANSLATE(A2819, ""en"", ""mt"")"),"Tkabbir ekonomiku solidu")</f>
        <v>Tkabbir ekonomiku solidu</v>
      </c>
    </row>
    <row r="2820" ht="15.75" customHeight="1">
      <c r="A2820" s="2" t="s">
        <v>2820</v>
      </c>
      <c r="B2820" s="2" t="str">
        <f>IFERROR(__xludf.DUMMYFUNCTION("GOOGLETRANSLATE(A2820, ""en"", ""mt"")"),"X'tipprovdi r-Ruhr lill-komunità tagħha?")</f>
        <v>X'tipprovdi r-Ruhr lill-komunità tagħha?</v>
      </c>
    </row>
    <row r="2821" ht="15.75" customHeight="1">
      <c r="A2821" s="2" t="s">
        <v>2821</v>
      </c>
      <c r="B2821" s="2" t="str">
        <f>IFERROR(__xludf.DUMMYFUNCTION("GOOGLETRANSLATE(A2821, ""en"", ""mt"")"),"Min kien essenzjali għall-Iżlam li jimita?")</f>
        <v>Min kien essenzjali għall-Iżlam li jimita?</v>
      </c>
    </row>
    <row r="2822" ht="15.75" customHeight="1">
      <c r="A2822" s="2" t="s">
        <v>2822</v>
      </c>
      <c r="B2822" s="2" t="str">
        <f>IFERROR(__xludf.DUMMYFUNCTION("GOOGLETRANSLATE(A2822, ""en"", ""mt"")"),"Turbini tal-fwar")</f>
        <v>Turbini tal-fwar</v>
      </c>
    </row>
    <row r="2823" ht="15.75" customHeight="1">
      <c r="A2823" s="2" t="s">
        <v>2823</v>
      </c>
      <c r="B2823" s="2" t="str">
        <f>IFERROR(__xludf.DUMMYFUNCTION("GOOGLETRANSLATE(A2823, ""en"", ""mt"")"),"Għal żmien twil, in-numru tat-teorija b'mod ġenerali, u l-istudju tan-numri ewlenin b'mod partikolari, kien meqjus bħala l-eżempju kanoniku tal-matematika pura, mingħajr l-ebda applikazzjoni barra mill-interess innifsu li tistudja s-suġġett bl-eċċezzjoni "&amp;"tal-użu tal-użu tal-prim numerat Snien tal-irkaptu biex iqassmu l-ilbies b'mod uniformi. B'mod partikolari, teoriċi tan-numru bħall-matematiku Ingliż G. H. Hardy kburin lilhom infushom li jagħmlu xogħol li ma kellu l-ebda sinifikat militari. Madankollu, d"&amp;"in il-viżjoni ġiet għebet fis-snin sebgħin, meta ġie mħabbar pubblikament li n-numri ewlenin jistgħu jintużaw bħala l-bażi għall-ħolqien ta 'algoritmi ta' kriptografija ewlenija pubblika. In-numri ewlenin jintużaw ukoll għat-tabelli tal-hash u l-ġeneratur"&amp;"i tan-numri tal-pseudorandom.")</f>
        <v>Għal żmien twil, in-numru tat-teorija b'mod ġenerali, u l-istudju tan-numri ewlenin b'mod partikolari, kien meqjus bħala l-eżempju kanoniku tal-matematika pura, mingħajr l-ebda applikazzjoni barra mill-interess innifsu li tistudja s-suġġett bl-eċċezzjoni tal-użu tal-użu tal-prim numerat Snien tal-irkaptu biex iqassmu l-ilbies b'mod uniformi. B'mod partikolari, teoriċi tan-numru bħall-matematiku Ingliż G. H. Hardy kburin lilhom infushom li jagħmlu xogħol li ma kellu l-ebda sinifikat militari. Madankollu, din il-viżjoni ġiet għebet fis-snin sebgħin, meta ġie mħabbar pubblikament li n-numri ewlenin jistgħu jintużaw bħala l-bażi għall-ħolqien ta 'algoritmi ta' kriptografija ewlenija pubblika. In-numri ewlenin jintużaw ukoll għat-tabelli tal-hash u l-ġeneraturi tan-numri tal-pseudorandom.</v>
      </c>
    </row>
    <row r="2824" ht="15.75" customHeight="1">
      <c r="A2824" s="2" t="s">
        <v>2824</v>
      </c>
      <c r="B2824" s="2" t="str">
        <f>IFERROR(__xludf.DUMMYFUNCTION("GOOGLETRANSLATE(A2824, ""en"", ""mt"")"),"il-komunità usa '")</f>
        <v>il-komunità usa '</v>
      </c>
    </row>
    <row r="2825" ht="15.75" customHeight="1">
      <c r="A2825" s="2" t="s">
        <v>2825</v>
      </c>
      <c r="B2825" s="2" t="str">
        <f>IFERROR(__xludf.DUMMYFUNCTION("GOOGLETRANSLATE(A2825, ""en"", ""mt"")"),"Triq Mosley")</f>
        <v>Triq Mosley</v>
      </c>
    </row>
    <row r="2826" ht="15.75" customHeight="1">
      <c r="A2826" s="2" t="s">
        <v>2826</v>
      </c>
      <c r="B2826" s="2" t="str">
        <f>IFERROR(__xludf.DUMMYFUNCTION("GOOGLETRANSLATE(A2826, ""en"", ""mt"")"),", Nairobi, Mombasa u Kisumu")</f>
        <v>, Nairobi, Mombasa u Kisumu</v>
      </c>
    </row>
    <row r="2827" ht="15.75" customHeight="1">
      <c r="A2827" s="2" t="s">
        <v>2827</v>
      </c>
      <c r="B2827" s="2" t="str">
        <f>IFERROR(__xludf.DUMMYFUNCTION("GOOGLETRANSLATE(A2827, ""en"", ""mt"")"),"L-Ewropa l-ewwel kolonizzat l-Amerika, imbagħad l-Asja, imma liema kontinent kien it-tielet?")</f>
        <v>L-Ewropa l-ewwel kolonizzat l-Amerika, imbagħad l-Asja, imma liema kontinent kien it-tielet?</v>
      </c>
    </row>
    <row r="2828" ht="15.75" customHeight="1">
      <c r="A2828" s="2" t="s">
        <v>2828</v>
      </c>
      <c r="B2828" s="2" t="str">
        <f>IFERROR(__xludf.DUMMYFUNCTION("GOOGLETRANSLATE(A2828, ""en"", ""mt"")"),"7–4–2–3")</f>
        <v>7–4–2–3</v>
      </c>
    </row>
    <row r="2829" ht="15.75" customHeight="1">
      <c r="A2829" s="2" t="s">
        <v>2829</v>
      </c>
      <c r="B2829" s="2" t="str">
        <f>IFERROR(__xludf.DUMMYFUNCTION("GOOGLETRANSLATE(A2829, ""en"", ""mt"")"),"Mill-aħħar tas-snin 1340 'il quddiem, in-nies fil-kampanja sofrew minn diżastri naturali frekwenti bħal nixfiet, għargħar u l-ġuħ li jirriżulta, u n-nuqqas ta' politika effettiva tal-gvern wassal għal telf ta 'appoġġ popolari. Fl-1351, ir-Rebellion Turban"&amp;" Red bdiet u kibret f'rewwixta nazzjonali. Fl-1354, meta Toghtogha mexxa armata kbira biex tfarrak ir-ribelli tar-Red Turban, Toghun Temür f'daqqa waħda ċaħadlu minħabba l-biża 'ta' tradiment. Dan irriżulta fir-restawr tal-poter ta 'Toghun Temür minn naħa"&amp;" u dgħajjef rapidu tal-gvern ċentrali mill-ieħor. Huwa ma kellu l-ebda għażla ħlief li jiddependi fuq il-poter militari tal-kmandanti lokali, u gradwalment tilef l-interess tiegħu fil-politika u ma baqax jintervjeni fi ġlidiet politiċi. Huwa ħarab lejn it"&amp;"-tramuntana lejn Shangdu minn Khanbaliq (Beijing preżenti) fl-1368 wara l-approċċ tal-forzi tad-dinastija Míng (1368-1644), imwaqqfa minn Zhu Yuanzhang fin-nofsinhar. Huwa kien ipprova jerġa 'jikseb Khanbaliq, li eventwalment falla; Huwa miet f'Yingchang "&amp;"(li jinsab fil-Mongolja ta 'ġewwa preżenti) sentejn wara (1370). Yingchang ġie maqbud mill-Ming ftit wara mewtu. Xi membri tal-familja rjali għadhom għexu f’Henan illum.")</f>
        <v>Mill-aħħar tas-snin 1340 'il quddiem, in-nies fil-kampanja sofrew minn diżastri naturali frekwenti bħal nixfiet, għargħar u l-ġuħ li jirriżulta, u n-nuqqas ta' politika effettiva tal-gvern wassal għal telf ta 'appoġġ popolari. Fl-1351, ir-Rebellion Turban Red bdiet u kibret f'rewwixta nazzjonali. Fl-1354, meta Toghtogha mexxa armata kbira biex tfarrak ir-ribelli tar-Red Turban, Toghun Temür f'daqqa waħda ċaħadlu minħabba l-biża 'ta' tradiment. Dan irriżulta fir-restawr tal-poter ta 'Toghun Temür minn naħa u dgħajjef rapidu tal-gvern ċentrali mill-ieħor. Huwa ma kellu l-ebda għażla ħlief li jiddependi fuq il-poter militari tal-kmandanti lokali, u gradwalment tilef l-interess tiegħu fil-politika u ma baqax jintervjeni fi ġlidiet politiċi. Huwa ħarab lejn it-tramuntana lejn Shangdu minn Khanbaliq (Beijing preżenti) fl-1368 wara l-approċċ tal-forzi tad-dinastija Míng (1368-1644), imwaqqfa minn Zhu Yuanzhang fin-nofsinhar. Huwa kien ipprova jerġa 'jikseb Khanbaliq, li eventwalment falla; Huwa miet f'Yingchang (li jinsab fil-Mongolja ta 'ġewwa preżenti) sentejn wara (1370). Yingchang ġie maqbud mill-Ming ftit wara mewtu. Xi membri tal-familja rjali għadhom għexu f’Henan illum.</v>
      </c>
    </row>
    <row r="2830" ht="15.75" customHeight="1">
      <c r="A2830" s="2" t="s">
        <v>2830</v>
      </c>
      <c r="B2830" s="2" t="str">
        <f>IFERROR(__xludf.DUMMYFUNCTION("GOOGLETRANSLATE(A2830, ""en"", ""mt"")"),"Kif argumenta Hobson biex jeħles lid-dinja tal-imperjalizmu?")</f>
        <v>Kif argumenta Hobson biex jeħles lid-dinja tal-imperjalizmu?</v>
      </c>
    </row>
    <row r="2831" ht="15.75" customHeight="1">
      <c r="A2831" s="2" t="s">
        <v>2831</v>
      </c>
      <c r="B2831" s="2" t="str">
        <f>IFERROR(__xludf.DUMMYFUNCTION("GOOGLETRANSLATE(A2831, ""en"", ""mt"")"),"Austpac kien netwerk pubbliku Awstraljan X.25 imħaddem minn Telstra. Beda minn Telecom Australia fil-bidu tas-snin 1980, Austpac kien l-ewwel netwerk ta 'dejta tal-pakketti pubbliċi tal-Awstralja, li jappoġġja applikazzjonijiet bħal imħatri onlajn, applik"&amp;"azzjonijiet finanzjarji - l-Uffiċċju tat-Taxxa Awstraljan għamel użu mill-AUSTPAC - u aċċess terminali mill-bogħod għall-istituzzjonijiet akkademiċi, li żammew il-konnessjonijiet tagħhom ma 'Austpac sa nofs it-tmiem tas-snin disgħin f'xi każijiet. L-aċċes"&amp;"s jista 'jkun permezz ta' terminal dial-up ma 'kuxxinett, jew, billi tgħaqqad nodu X.25 permanenti man-netwerk. [Ċitazzjoni meħtieġa]")</f>
        <v>Austpac kien netwerk pubbliku Awstraljan X.25 imħaddem minn Telstra. Beda minn Telecom Australia fil-bidu tas-snin 1980, Austpac kien l-ewwel netwerk ta 'dejta tal-pakketti pubbliċi tal-Awstralja, li jappoġġja applikazzjonijiet bħal imħatri onlajn, applikazzjonijiet finanzjarji - l-Uffiċċju tat-Taxxa Awstraljan għamel użu mill-AUSTPAC - u aċċess terminali mill-bogħod għall-istituzzjonijiet akkademiċi, li żammew il-konnessjonijiet tagħhom ma 'Austpac sa nofs it-tmiem tas-snin disgħin f'xi każijiet. L-aċċess jista 'jkun permezz ta' terminal dial-up ma 'kuxxinett, jew, billi tgħaqqad nodu X.25 permanenti man-netwerk. [Ċitazzjoni meħtieġa]</v>
      </c>
    </row>
    <row r="2832" ht="15.75" customHeight="1">
      <c r="A2832" s="2" t="s">
        <v>2832</v>
      </c>
      <c r="B2832" s="2" t="str">
        <f>IFERROR(__xludf.DUMMYFUNCTION("GOOGLETRANSLATE(A2832, ""en"", ""mt"")"),"X’kien qed jistudja li tah l-idea tal-arma Teleforce?")</f>
        <v>X’kien qed jistudja li tah l-idea tal-arma Teleforce?</v>
      </c>
    </row>
    <row r="2833" ht="15.75" customHeight="1">
      <c r="A2833" s="2" t="s">
        <v>2833</v>
      </c>
      <c r="B2833" s="2" t="str">
        <f>IFERROR(__xludf.DUMMYFUNCTION("GOOGLETRANSLATE(A2833, ""en"", ""mt"")"),"X'inhu l-għan tal-approċċ tal-kapaċitajiet?")</f>
        <v>X'inhu l-għan tal-approċċ tal-kapaċitajiet?</v>
      </c>
    </row>
    <row r="2834" ht="15.75" customHeight="1">
      <c r="A2834" s="2" t="s">
        <v>2834</v>
      </c>
      <c r="B2834" s="2" t="str">
        <f>IFERROR(__xludf.DUMMYFUNCTION("GOOGLETRANSLATE(A2834, ""en"", ""mt"")"),"is-7 seklu")</f>
        <v>is-7 seklu</v>
      </c>
    </row>
    <row r="2835" ht="15.75" customHeight="1">
      <c r="A2835" s="2" t="s">
        <v>2835</v>
      </c>
      <c r="B2835" s="2" t="str">
        <f>IFERROR(__xludf.DUMMYFUNCTION("GOOGLETRANSLATE(A2835, ""en"", ""mt"")"),"Liema karriera għandu Joseph Stiglitz?")</f>
        <v>Liema karriera għandu Joseph Stiglitz?</v>
      </c>
    </row>
    <row r="2836" ht="15.75" customHeight="1">
      <c r="A2836" s="2" t="s">
        <v>2836</v>
      </c>
      <c r="B2836" s="2" t="str">
        <f>IFERROR(__xludf.DUMMYFUNCTION("GOOGLETRANSLATE(A2836, ""en"", ""mt"")"),"qabdet il-sirena")</f>
        <v>qabdet il-sirena</v>
      </c>
    </row>
    <row r="2837" ht="15.75" customHeight="1">
      <c r="A2837" s="2" t="s">
        <v>2837</v>
      </c>
      <c r="B2837" s="2" t="str">
        <f>IFERROR(__xludf.DUMMYFUNCTION("GOOGLETRANSLATE(A2837, ""en"", ""mt"")"),"kumpaniji kompletament separati")</f>
        <v>kumpaniji kompletament separati</v>
      </c>
    </row>
    <row r="2838" ht="15.75" customHeight="1">
      <c r="A2838" s="2" t="s">
        <v>2838</v>
      </c>
      <c r="B2838" s="2" t="str">
        <f>IFERROR(__xludf.DUMMYFUNCTION("GOOGLETRANSLATE(A2838, ""en"", ""mt"")"),"Kleru Protestant biex jiżżewweġ")</f>
        <v>Kleru Protestant biex jiżżewweġ</v>
      </c>
    </row>
    <row r="2839" ht="15.75" customHeight="1">
      <c r="A2839" s="2" t="s">
        <v>2839</v>
      </c>
      <c r="B2839" s="2" t="str">
        <f>IFERROR(__xludf.DUMMYFUNCTION("GOOGLETRANSLATE(A2839, ""en"", ""mt"")"),"Meta kien rifless il-kumpless politiku militari fl-ambitu tal-fehim tal-imperjalizmu?")</f>
        <v>Meta kien rifless il-kumpless politiku militari fl-ambitu tal-fehim tal-imperjalizmu?</v>
      </c>
    </row>
    <row r="2840" ht="15.75" customHeight="1">
      <c r="A2840" s="2" t="s">
        <v>2840</v>
      </c>
      <c r="B2840" s="2" t="str">
        <f>IFERROR(__xludf.DUMMYFUNCTION("GOOGLETRANSLATE(A2840, ""en"", ""mt"")"),"L-aħħar snin tad-dinastija Yuan kienu mmarkati mill-ġlieda, il-ġuħ, u l-imrar fost il-popolazzjoni. Biż-żmien, is-suċċessuri ta 'Kublai Khan tilfu l-influwenza kollha fuq artijiet oħra tal-Mongolja madwar l-Asja, filwaqt li l-Mongoli lil hinn mir-Renju No"&amp;"fsani rawhom bħala Ċiniżi wisq. Gradwalment, huma tilfu l-influwenza wkoll fiċ-Ċina. Ir-renji tal-imperaturi tal-Yuan aktar tard kienu qosra u mmarkati minn intrigues u rivalitajiet. Mhux interessati fl-amministrazzjoni, ġew separati kemm mill-armata kif "&amp;"ukoll mill-popolazzjoni, u ċ-Ċina kienet imqatta 'minn dissensjoni u inkwiet. Outlaws ħarbtu l-pajjiż mingħajr interferenza mill-armati tal-wan li jiddgħajfu.")</f>
        <v>L-aħħar snin tad-dinastija Yuan kienu mmarkati mill-ġlieda, il-ġuħ, u l-imrar fost il-popolazzjoni. Biż-żmien, is-suċċessuri ta 'Kublai Khan tilfu l-influwenza kollha fuq artijiet oħra tal-Mongolja madwar l-Asja, filwaqt li l-Mongoli lil hinn mir-Renju Nofsani rawhom bħala Ċiniżi wisq. Gradwalment, huma tilfu l-influwenza wkoll fiċ-Ċina. Ir-renji tal-imperaturi tal-Yuan aktar tard kienu qosra u mmarkati minn intrigues u rivalitajiet. Mhux interessati fl-amministrazzjoni, ġew separati kemm mill-armata kif ukoll mill-popolazzjoni, u ċ-Ċina kienet imqatta 'minn dissensjoni u inkwiet. Outlaws ħarbtu l-pajjiż mingħajr interferenza mill-armati tal-wan li jiddgħajfu.</v>
      </c>
    </row>
    <row r="2841" ht="15.75" customHeight="1">
      <c r="A2841" s="2" t="s">
        <v>2841</v>
      </c>
      <c r="B2841" s="2" t="str">
        <f>IFERROR(__xludf.DUMMYFUNCTION("GOOGLETRANSLATE(A2841, ""en"", ""mt"")"),"Il-Kumitat Ospitanti tas-Super Bowl 50")</f>
        <v>Il-Kumitat Ospitanti tas-Super Bowl 50</v>
      </c>
    </row>
    <row r="2842" ht="15.75" customHeight="1">
      <c r="A2842" s="2" t="s">
        <v>2842</v>
      </c>
      <c r="B2842" s="2" t="str">
        <f>IFERROR(__xludf.DUMMYFUNCTION("GOOGLETRANSLATE(A2842, ""en"", ""mt"")"),"Fl-1890, ma 'min iddeċieda li l-università tingħaqad?")</f>
        <v>Fl-1890, ma 'min iddeċieda li l-università tingħaqad?</v>
      </c>
    </row>
    <row r="2843" ht="15.75" customHeight="1">
      <c r="A2843" s="2" t="s">
        <v>2843</v>
      </c>
      <c r="B2843" s="2" t="str">
        <f>IFERROR(__xludf.DUMMYFUNCTION("GOOGLETRANSLATE(A2843, ""en"", ""mt"")"),"Tul il-Wied tax-Xmara San Lawrenz")</f>
        <v>Tul il-Wied tax-Xmara San Lawrenz</v>
      </c>
    </row>
    <row r="2844" ht="15.75" customHeight="1">
      <c r="A2844" s="2" t="s">
        <v>2844</v>
      </c>
      <c r="B2844" s="2" t="str">
        <f>IFERROR(__xludf.DUMMYFUNCTION("GOOGLETRANSLATE(A2844, ""en"", ""mt"")"),"F'liema livell ta 'edukazzjoni dan l-isport qed isir aktar popolari?")</f>
        <v>F'liema livell ta 'edukazzjoni dan l-isport qed isir aktar popolari?</v>
      </c>
    </row>
    <row r="2845" ht="15.75" customHeight="1">
      <c r="A2845" s="2" t="s">
        <v>2845</v>
      </c>
      <c r="B2845" s="2" t="str">
        <f>IFERROR(__xludf.DUMMYFUNCTION("GOOGLETRANSLATE(A2845, ""en"", ""mt"")"),"Kif jiġu vverifikati għalliema u mhux għalliema eżistenti?")</f>
        <v>Kif jiġu vverifikati għalliema u mhux għalliema eżistenti?</v>
      </c>
    </row>
    <row r="2846" ht="15.75" customHeight="1">
      <c r="A2846" s="2" t="s">
        <v>2846</v>
      </c>
      <c r="B2846" s="2" t="str">
        <f>IFERROR(__xludf.DUMMYFUNCTION("GOOGLETRANSLATE(A2846, ""en"", ""mt"")"),"batterji")</f>
        <v>batterji</v>
      </c>
    </row>
    <row r="2847" ht="15.75" customHeight="1">
      <c r="A2847" s="2" t="s">
        <v>2847</v>
      </c>
      <c r="B2847" s="2" t="str">
        <f>IFERROR(__xludf.DUMMYFUNCTION("GOOGLETRANSLATE(A2847, ""en"", ""mt"")"),"Il-Mallee u l-Upper Wimmera huma r-reġjuni l-aktar sħan tar-Rabat bl-irjieħ sħan li jonfħu minn semi-deżerti fil-qrib. It-temperaturi medji jaqbżu t-32 ° C (90 ° F) matul is-sajf u 15 ° C (59 ° F) fix-xitwa. Ħlief f'elevazzjonijiet tal-muntanji friski, it"&amp;"-temperaturi ta 'kull xahar interni huma 2-7 ° C (4-13 ° F) aktar sħan minn madwar Melbourne (ara ċ-ċart). L-ogħla temperatura massima tar-Rabat mit-Tieni Gwerra Dinjija, ta '48 .8 ° C (119.8 ° F) ġiet irreġistrata f'Hopetoun fis-7 ta 'Frar 2009, matul il"&amp;"-mewġa tas-sħana tal-2009 tax-Xlokk tal-Awstralja.")</f>
        <v>Il-Mallee u l-Upper Wimmera huma r-reġjuni l-aktar sħan tar-Rabat bl-irjieħ sħan li jonfħu minn semi-deżerti fil-qrib. It-temperaturi medji jaqbżu t-32 ° C (90 ° F) matul is-sajf u 15 ° C (59 ° F) fix-xitwa. Ħlief f'elevazzjonijiet tal-muntanji friski, it-temperaturi ta 'kull xahar interni huma 2-7 ° C (4-13 ° F) aktar sħan minn madwar Melbourne (ara ċ-ċart). L-ogħla temperatura massima tar-Rabat mit-Tieni Gwerra Dinjija, ta '48 .8 ° C (119.8 ° F) ġiet irreġistrata f'Hopetoun fis-7 ta 'Frar 2009, matul il-mewġa tas-sħana tal-2009 tax-Xlokk tal-Awstralja.</v>
      </c>
    </row>
    <row r="2848" ht="15.75" customHeight="1">
      <c r="A2848" s="2" t="s">
        <v>2848</v>
      </c>
      <c r="B2848" s="2" t="str">
        <f>IFERROR(__xludf.DUMMYFUNCTION("GOOGLETRANSLATE(A2848, ""en"", ""mt"")"),"Total stmat minn 75,000 sa 100,000 persuna")</f>
        <v>Total stmat minn 75,000 sa 100,000 persuna</v>
      </c>
    </row>
    <row r="2849" ht="15.75" customHeight="1">
      <c r="A2849" s="2" t="s">
        <v>2849</v>
      </c>
      <c r="B2849" s="2" t="str">
        <f>IFERROR(__xludf.DUMMYFUNCTION("GOOGLETRANSLATE(A2849, ""en"", ""mt"")"),"diviżjoni taċ-ċelluli, rotta tal-proteini, u anke reżistenza għall-mard")</f>
        <v>diviżjoni taċ-ċelluli, rotta tal-proteini, u anke reżistenza għall-mard</v>
      </c>
    </row>
    <row r="2850" ht="15.75" customHeight="1">
      <c r="A2850" s="2" t="s">
        <v>2850</v>
      </c>
      <c r="B2850" s="2" t="str">
        <f>IFERROR(__xludf.DUMMYFUNCTION("GOOGLETRANSLATE(A2850, ""en"", ""mt"")"),"Xi tfisser Yeke Mongghul Ulus?")</f>
        <v>Xi tfisser Yeke Mongghul Ulus?</v>
      </c>
    </row>
    <row r="2851" ht="15.75" customHeight="1">
      <c r="A2851" s="2" t="s">
        <v>2851</v>
      </c>
      <c r="B2851" s="2" t="str">
        <f>IFERROR(__xludf.DUMMYFUNCTION("GOOGLETRANSLATE(A2851, ""en"", ""mt"")"),"diversi kulleġġi u universitajiet reġjonali")</f>
        <v>diversi kulleġġi u universitajiet reġjonali</v>
      </c>
    </row>
    <row r="2852" ht="15.75" customHeight="1">
      <c r="A2852" s="2" t="s">
        <v>2852</v>
      </c>
      <c r="B2852" s="2" t="str">
        <f>IFERROR(__xludf.DUMMYFUNCTION("GOOGLETRANSLATE(A2852, ""en"", ""mt"")"),"Skultura post-klassika")</f>
        <v>Skultura post-klassika</v>
      </c>
    </row>
    <row r="2853" ht="15.75" customHeight="1">
      <c r="A2853" s="2" t="s">
        <v>2853</v>
      </c>
      <c r="B2853" s="2" t="str">
        <f>IFERROR(__xludf.DUMMYFUNCTION("GOOGLETRANSLATE(A2853, ""en"", ""mt"")"),"Il-Kunsill Ġenerali tat-Tagħlim għall-Iskozja (GTCs)")</f>
        <v>Il-Kunsill Ġenerali tat-Tagħlim għall-Iskozja (GTCs)</v>
      </c>
    </row>
    <row r="2854" ht="15.75" customHeight="1">
      <c r="A2854" s="2" t="s">
        <v>2854</v>
      </c>
      <c r="B2854" s="2" t="str">
        <f>IFERROR(__xludf.DUMMYFUNCTION("GOOGLETRANSLATE(A2854, ""en"", ""mt"")"),"razzjonar")</f>
        <v>razzjonar</v>
      </c>
    </row>
    <row r="2855" ht="15.75" customHeight="1">
      <c r="A2855" s="2" t="s">
        <v>2855</v>
      </c>
      <c r="B2855" s="2" t="str">
        <f>IFERROR(__xludf.DUMMYFUNCTION("GOOGLETRANSLATE(A2855, ""en"", ""mt"")"),"Flimkien ma 'magni tad-diżil, liema magni qabżu magni tal-fwar għall-propulsjoni tal-baħar?")</f>
        <v>Flimkien ma 'magni tad-diżil, liema magni qabżu magni tal-fwar għall-propulsjoni tal-baħar?</v>
      </c>
    </row>
    <row r="2856" ht="15.75" customHeight="1">
      <c r="A2856" s="2" t="s">
        <v>2856</v>
      </c>
      <c r="B2856" s="2" t="str">
        <f>IFERROR(__xludf.DUMMYFUNCTION("GOOGLETRANSLATE(A2856, ""en"", ""mt"")"),"Għal liema nazzjon Ribault inizjalment iddikjara x'inhu issa Jacksonville?")</f>
        <v>Għal liema nazzjon Ribault inizjalment iddikjara x'inhu issa Jacksonville?</v>
      </c>
    </row>
    <row r="2857" ht="15.75" customHeight="1">
      <c r="A2857" s="2" t="s">
        <v>2857</v>
      </c>
      <c r="B2857" s="2" t="str">
        <f>IFERROR(__xludf.DUMMYFUNCTION("GOOGLETRANSLATE(A2857, ""en"", ""mt"")"),"Kull waħda miż-żoni metropolitani estiżi għandha popolazzjoni li taqbeż liema numru?")</f>
        <v>Kull waħda miż-żoni metropolitani estiżi għandha popolazzjoni li taqbeż liema numru?</v>
      </c>
    </row>
    <row r="2858" ht="15.75" customHeight="1">
      <c r="A2858" s="2" t="s">
        <v>2858</v>
      </c>
      <c r="B2858" s="2" t="str">
        <f>IFERROR(__xludf.DUMMYFUNCTION("GOOGLETRANSLATE(A2858, ""en"", ""mt"")"),"Luther huwa onorat fit-18 ta 'Frar b'kommemorazzjoni fil-Kalendarju tal-Qaddisin Luterani u fil-Kalendarju tal-Qaddisin Episkopali (l-Istati Uniti). Fil-kalendarju tal-Qaddisin tal-Knisja tal-Ingilterra huwa kkommemorat fil-31 ta ’Ottubru.")</f>
        <v>Luther huwa onorat fit-18 ta 'Frar b'kommemorazzjoni fil-Kalendarju tal-Qaddisin Luterani u fil-Kalendarju tal-Qaddisin Episkopali (l-Istati Uniti). Fil-kalendarju tal-Qaddisin tal-Knisja tal-Ingilterra huwa kkommemorat fil-31 ta ’Ottubru.</v>
      </c>
    </row>
    <row r="2859" ht="15.75" customHeight="1">
      <c r="A2859" s="2" t="s">
        <v>2859</v>
      </c>
      <c r="B2859" s="2" t="str">
        <f>IFERROR(__xludf.DUMMYFUNCTION("GOOGLETRANSLATE(A2859, ""en"", ""mt"")"),"Residenti Franċiżi li għażlu li jibqgħu fil-kolonja jingħataw il-libertà")</f>
        <v>Residenti Franċiżi li għażlu li jibqgħu fil-kolonja jingħataw il-libertà</v>
      </c>
    </row>
    <row r="2860" ht="15.75" customHeight="1">
      <c r="A2860" s="2" t="s">
        <v>2860</v>
      </c>
      <c r="B2860" s="2" t="str">
        <f>IFERROR(__xludf.DUMMYFUNCTION("GOOGLETRANSLATE(A2860, ""en"", ""mt"")"),"Afrikans")</f>
        <v>Afrikans</v>
      </c>
    </row>
    <row r="2861" ht="15.75" customHeight="1">
      <c r="A2861" s="2" t="s">
        <v>2861</v>
      </c>
      <c r="B2861" s="2" t="str">
        <f>IFERROR(__xludf.DUMMYFUNCTION("GOOGLETRANSLATE(A2861, ""en"", ""mt"")"),"San Lawrenz, bid-difiżi primarji f'Carillon, Quebec, u Louisbourg,")</f>
        <v>San Lawrenz, bid-difiżi primarji f'Carillon, Quebec, u Louisbourg,</v>
      </c>
    </row>
    <row r="2862" ht="15.75" customHeight="1">
      <c r="A2862" s="2" t="s">
        <v>2862</v>
      </c>
      <c r="B2862" s="2" t="str">
        <f>IFERROR(__xludf.DUMMYFUNCTION("GOOGLETRANSLATE(A2862, ""en"", ""mt"")"),"X'inhu t-tagħlim għall-2012 - 13-il sena f'Harvard?")</f>
        <v>X'inhu t-tagħlim għall-2012 - 13-il sena f'Harvard?</v>
      </c>
    </row>
    <row r="2863" ht="15.75" customHeight="1">
      <c r="A2863" s="2" t="s">
        <v>2863</v>
      </c>
      <c r="B2863" s="2" t="str">
        <f>IFERROR(__xludf.DUMMYFUNCTION("GOOGLETRANSLATE(A2863, ""en"", ""mt"")"),"X'tip ta 'matematika kien avvanzat matul il-wan?")</f>
        <v>X'tip ta 'matematika kien avvanzat matul il-wan?</v>
      </c>
    </row>
    <row r="2864" ht="15.75" customHeight="1">
      <c r="A2864" s="2" t="s">
        <v>2864</v>
      </c>
      <c r="B2864" s="2" t="str">
        <f>IFERROR(__xludf.DUMMYFUNCTION("GOOGLETRANSLATE(A2864, ""en"", ""mt"")"),"Bejn is-snin 1880 u t-Tieni Gwerra Dinjija, id-downtown Fresno iffjorixxa, mimli karozzi tat-triq elettrika, u kien fih uħud mill-isbaħ bini arkitettoniku tal-Wied ta 'San Joaquin. Fost dawn, il-Qorti oriġinali tal-Kontea ta 'Fresno (imwaqqa), il-Librerij"&amp;"a Pubblika ta' Fresno Carnegie (imwaqqa), it-Torri tal-Ilma Fresno, il-Bank tal-Bank of Italja, il-Bini tal-Lbiċ tal-Paċifiku, il-bini tad-dawl u l-enerġija ta 'San Joaquin (bħalissa magħruf bħala l-Grand 1401), u l-lukanda Hughes (maħruqa), biex insemmu "&amp;"xi ftit.")</f>
        <v>Bejn is-snin 1880 u t-Tieni Gwerra Dinjija, id-downtown Fresno iffjorixxa, mimli karozzi tat-triq elettrika, u kien fih uħud mill-isbaħ bini arkitettoniku tal-Wied ta 'San Joaquin. Fost dawn, il-Qorti oriġinali tal-Kontea ta 'Fresno (imwaqqa), il-Librerija Pubblika ta' Fresno Carnegie (imwaqqa), it-Torri tal-Ilma Fresno, il-Bank tal-Bank of Italja, il-Bini tal-Lbiċ tal-Paċifiku, il-bini tad-dawl u l-enerġija ta 'San Joaquin (bħalissa magħruf bħala l-Grand 1401), u l-lukanda Hughes (maħruqa), biex insemmu xi ftit.</v>
      </c>
    </row>
    <row r="2865" ht="15.75" customHeight="1">
      <c r="A2865" s="2" t="s">
        <v>2865</v>
      </c>
      <c r="B2865" s="2" t="str">
        <f>IFERROR(__xludf.DUMMYFUNCTION("GOOGLETRANSLATE(A2865, ""en"", ""mt"")"),"Il-pesta ġiet rappurtata l-ewwel introdotta fl-Ewropa permezz ta 'negozjanti Ġenesi fil-belt tal-port ta' Kaffa fil-Krimea fl-1347. Wara assedju fit-tul, li matulu l-armata Mongolja taħt Jani Beg kienet tbati mill-marda, l-armata qabdet il-kadavri infetta"&amp;"ti fuq il-belt Ħitan ta ’Kaffa biex jinfettaw lill-abitanti. In-negozjanti Ġenesi ħarbu, billi ħadu l-pesta bil-vapur lejn Sqallija u fin-nofsinhar tal-Ewropa, minn fejn tinfirex lejn it-tramuntana. Jekk din l-ipoteżi hijiex eżatta jew le, huwa ċar li div"&amp;"ersi kundizzjonijiet eżistenti bħall-gwerra, il-ġuħ, u t-temp ikkontribwew għas-severità tal-mewt sewda.")</f>
        <v>Il-pesta ġiet rappurtata l-ewwel introdotta fl-Ewropa permezz ta 'negozjanti Ġenesi fil-belt tal-port ta' Kaffa fil-Krimea fl-1347. Wara assedju fit-tul, li matulu l-armata Mongolja taħt Jani Beg kienet tbati mill-marda, l-armata qabdet il-kadavri infettati fuq il-belt Ħitan ta ’Kaffa biex jinfettaw lill-abitanti. In-negozjanti Ġenesi ħarbu, billi ħadu l-pesta bil-vapur lejn Sqallija u fin-nofsinhar tal-Ewropa, minn fejn tinfirex lejn it-tramuntana. Jekk din l-ipoteżi hijiex eżatta jew le, huwa ċar li diversi kundizzjonijiet eżistenti bħall-gwerra, il-ġuħ, u t-temp ikkontribwew għas-severità tal-mewt sewda.</v>
      </c>
    </row>
    <row r="2866" ht="15.75" customHeight="1">
      <c r="A2866" s="2" t="s">
        <v>2866</v>
      </c>
      <c r="B2866" s="2" t="str">
        <f>IFERROR(__xludf.DUMMYFUNCTION("GOOGLETRANSLATE(A2866, ""en"", ""mt"")"),"VA, is-Servizz tas-Saħħa Indjana, u NIH")</f>
        <v>VA, is-Servizz tas-Saħħa Indjana, u NIH</v>
      </c>
    </row>
    <row r="2867" ht="15.75" customHeight="1">
      <c r="A2867" s="2" t="s">
        <v>2867</v>
      </c>
      <c r="B2867" s="2" t="str">
        <f>IFERROR(__xludf.DUMMYFUNCTION("GOOGLETRANSLATE(A2867, ""en"", ""mt"")"),"Tard tas-snin 1960")</f>
        <v>Tard tas-snin 1960</v>
      </c>
    </row>
    <row r="2868" ht="15.75" customHeight="1">
      <c r="A2868" s="2" t="s">
        <v>2868</v>
      </c>
      <c r="B2868" s="2" t="str">
        <f>IFERROR(__xludf.DUMMYFUNCTION("GOOGLETRANSLATE(A2868, ""en"", ""mt"")"),"Fejn jaħżnu l-enerġija Apicomplexans?")</f>
        <v>Fejn jaħżnu l-enerġija Apicomplexans?</v>
      </c>
    </row>
    <row r="2869" ht="15.75" customHeight="1">
      <c r="A2869" s="2" t="s">
        <v>2869</v>
      </c>
      <c r="B2869" s="2" t="str">
        <f>IFERROR(__xludf.DUMMYFUNCTION("GOOGLETRANSLATE(A2869, ""en"", ""mt"")"),"Bi tweġiba għall-għajnuna Amerikana lill-Iżrael")</f>
        <v>Bi tweġiba għall-għajnuna Amerikana lill-Iżrael</v>
      </c>
    </row>
    <row r="2870" ht="15.75" customHeight="1">
      <c r="A2870" s="2" t="s">
        <v>2870</v>
      </c>
      <c r="B2870" s="2" t="str">
        <f>IFERROR(__xludf.DUMMYFUNCTION("GOOGLETRANSLATE(A2870, ""en"", ""mt"")"),"X'implikazzjoni tista 'tiġi derivata għal P u NP jekk P u CO-NP huma stabbiliti li mhumiex ugwali?")</f>
        <v>X'implikazzjoni tista 'tiġi derivata għal P u NP jekk P u CO-NP huma stabbiliti li mhumiex ugwali?</v>
      </c>
    </row>
    <row r="2871" ht="15.75" customHeight="1">
      <c r="A2871" s="2" t="s">
        <v>2871</v>
      </c>
      <c r="B2871" s="2" t="str">
        <f>IFERROR(__xludf.DUMMYFUNCTION("GOOGLETRANSLATE(A2871, ""en"", ""mt"")"),"5 sa 15")</f>
        <v>5 sa 15</v>
      </c>
    </row>
    <row r="2872" ht="15.75" customHeight="1">
      <c r="A2872" s="2" t="s">
        <v>2872</v>
      </c>
      <c r="B2872" s="2" t="str">
        <f>IFERROR(__xludf.DUMMYFUNCTION("GOOGLETRANSLATE(A2872, ""en"", ""mt"")"),"X’għandu jħallas Albrecht l-indulġenzi?")</f>
        <v>X’għandu jħallas Albrecht l-indulġenzi?</v>
      </c>
    </row>
    <row r="2873" ht="15.75" customHeight="1">
      <c r="A2873" s="2" t="s">
        <v>2873</v>
      </c>
      <c r="B2873" s="2" t="str">
        <f>IFERROR(__xludf.DUMMYFUNCTION("GOOGLETRANSLATE(A2873, ""en"", ""mt"")"),"Suite ta 'protokolli tan-netwerk maħluqa minn Digital Equipment Corporation")</f>
        <v>Suite ta 'protokolli tan-netwerk maħluqa minn Digital Equipment Corporation</v>
      </c>
    </row>
    <row r="2874" ht="15.75" customHeight="1">
      <c r="A2874" s="2" t="s">
        <v>2874</v>
      </c>
      <c r="B2874" s="2" t="str">
        <f>IFERROR(__xludf.DUMMYFUNCTION("GOOGLETRANSLATE(A2874, ""en"", ""mt"")"),"X'inhu isem tipiku għat-tagħlim li mhux ġewwa l-klassi?")</f>
        <v>X'inhu isem tipiku għat-tagħlim li mhux ġewwa l-klassi?</v>
      </c>
    </row>
    <row r="2875" ht="15.75" customHeight="1">
      <c r="A2875" s="2" t="s">
        <v>2875</v>
      </c>
      <c r="B2875" s="2" t="str">
        <f>IFERROR(__xludf.DUMMYFUNCTION("GOOGLETRANSLATE(A2875, ""en"", ""mt"")"),"Fuq in-naħa tal-punent")</f>
        <v>Fuq in-naħa tal-punent</v>
      </c>
    </row>
    <row r="2876" ht="15.75" customHeight="1">
      <c r="A2876" s="2" t="s">
        <v>2876</v>
      </c>
      <c r="B2876" s="2" t="str">
        <f>IFERROR(__xludf.DUMMYFUNCTION("GOOGLETRANSLATE(A2876, ""en"", ""mt"")"),"Kull pakkett huwa ttikkettjat b'indirizz ta 'destinazzjoni, indirizz tas-sors, u numri tal-port. Jista 'jkun ukoll ittikkettat bin-numru tas-sekwenza tal-pakkett")</f>
        <v>Kull pakkett huwa ttikkettjat b'indirizz ta 'destinazzjoni, indirizz tas-sors, u numri tal-port. Jista 'jkun ukoll ittikkettat bin-numru tas-sekwenza tal-pakkett</v>
      </c>
    </row>
    <row r="2877" ht="15.75" customHeight="1">
      <c r="A2877" s="2" t="s">
        <v>2877</v>
      </c>
      <c r="B2877" s="2" t="str">
        <f>IFERROR(__xludf.DUMMYFUNCTION("GOOGLETRANSLATE(A2877, ""en"", ""mt"")"),"fil-kumitat")</f>
        <v>fil-kumitat</v>
      </c>
    </row>
    <row r="2878" ht="15.75" customHeight="1">
      <c r="A2878" s="2" t="s">
        <v>2878</v>
      </c>
      <c r="B2878" s="2" t="str">
        <f>IFERROR(__xludf.DUMMYFUNCTION("GOOGLETRANSLATE(A2878, ""en"", ""mt"")"),"In-natura fermjonika ta 'l-elettroni")</f>
        <v>In-natura fermjonika ta 'l-elettroni</v>
      </c>
    </row>
    <row r="2879" ht="15.75" customHeight="1">
      <c r="A2879" s="2" t="s">
        <v>2879</v>
      </c>
      <c r="B2879" s="2" t="str">
        <f>IFERROR(__xludf.DUMMYFUNCTION("GOOGLETRANSLATE(A2879, ""en"", ""mt"")"),"F'Diċembru 1901, Marconi trażmess b'suċċess l-ittra S mill-Ingilterra għal Newfoundland, u temm ir-relazzjoni ta 'Tesla ma' Morgan. [Sintesi mhux xierqa?] Matul il-ħames snin li ġejjin, Tesla kitbet aktar minn 50 ittra lil Morgan, billi wieġeb għal u talb"&amp;"et fondi addizzjonali biex tlesti l-kostruzzjoni ta 'Wardenclyffe. Tesla kompliet il-proġett għal disa 'xhur oħra. It-torri nbena sal-187 pied sħiħ tiegħu (57 m). F'Lulju 1903, Tesla kitbet lil Morgan li minbarra l-komunikazzjoni mingħajr fili, Wardenclyf"&amp;"fe tkun kapaċi tittrasmetti bla fili ta 'enerġija elettrika. Fl-14 ta 'Ottubru 1904, Morgan fl-aħħar wieġeb permezz tas-segretarju tiegħu, u ddikjara, ""Se jkun impossibbli għal [lili] li nagħmel xi ħaġa fil-kwistjoni,"" wara li Tesla kienet kitbet lil Mo"&amp;"rgan meta l-finanzjatur kien jiltaqa' mal-Arċisqof ta 'Canterbury f'attentat biex tappella għall-ispirtu Nisrani tiegħu.")</f>
        <v>F'Diċembru 1901, Marconi trażmess b'suċċess l-ittra S mill-Ingilterra għal Newfoundland, u temm ir-relazzjoni ta 'Tesla ma' Morgan. [Sintesi mhux xierqa?] Matul il-ħames snin li ġejjin, Tesla kitbet aktar minn 50 ittra lil Morgan, billi wieġeb għal u talbet fondi addizzjonali biex tlesti l-kostruzzjoni ta 'Wardenclyffe. Tesla kompliet il-proġett għal disa 'xhur oħra. It-torri nbena sal-187 pied sħiħ tiegħu (57 m). F'Lulju 1903, Tesla kitbet lil Morgan li minbarra l-komunikazzjoni mingħajr fili, Wardenclyffe tkun kapaċi tittrasmetti bla fili ta 'enerġija elettrika. Fl-14 ta 'Ottubru 1904, Morgan fl-aħħar wieġeb permezz tas-segretarju tiegħu, u ddikjara, "Se jkun impossibbli għal [lili] li nagħmel xi ħaġa fil-kwistjoni," wara li Tesla kienet kitbet lil Morgan meta l-finanzjatur kien jiltaqa' mal-Arċisqof ta 'Canterbury f'attentat biex tappella għall-ispirtu Nisrani tiegħu.</v>
      </c>
    </row>
    <row r="2880" ht="15.75" customHeight="1">
      <c r="A2880" s="2" t="s">
        <v>2880</v>
      </c>
      <c r="B2880" s="2" t="str">
        <f>IFERROR(__xludf.DUMMYFUNCTION("GOOGLETRANSLATE(A2880, ""en"", ""mt"")"),"X'għandhom il-karatteristiċi ta 'postijiet iżgħar oħra ta' Newcastle?")</f>
        <v>X'għandhom il-karatteristiċi ta 'postijiet iżgħar oħra ta' Newcastle?</v>
      </c>
    </row>
    <row r="2881" ht="15.75" customHeight="1">
      <c r="A2881" s="2" t="s">
        <v>2881</v>
      </c>
      <c r="B2881" s="2" t="str">
        <f>IFERROR(__xludf.DUMMYFUNCTION("GOOGLETRANSLATE(A2881, ""en"", ""mt"")"),"X'inhuma żewġ eżempji ta 'vertebrati primittivi ta' xedaq?")</f>
        <v>X'inhuma żewġ eżempji ta 'vertebrati primittivi ta' xedaq?</v>
      </c>
    </row>
    <row r="2882" ht="15.75" customHeight="1">
      <c r="A2882" s="2" t="s">
        <v>2882</v>
      </c>
      <c r="B2882" s="2" t="str">
        <f>IFERROR(__xludf.DUMMYFUNCTION("GOOGLETRANSLATE(A2882, ""en"", ""mt"")"),"Liema tekniki jistgħu jintużaw biex tiddetermina l-paleotopografija?")</f>
        <v>Liema tekniki jistgħu jintużaw biex tiddetermina l-paleotopografija?</v>
      </c>
    </row>
    <row r="2883" ht="15.75" customHeight="1">
      <c r="A2883" s="2" t="s">
        <v>2883</v>
      </c>
      <c r="B2883" s="2" t="str">
        <f>IFERROR(__xludf.DUMMYFUNCTION("GOOGLETRANSLATE(A2883, ""en"", ""mt"")"),"ċili")</f>
        <v>ċili</v>
      </c>
    </row>
    <row r="2884" ht="15.75" customHeight="1">
      <c r="A2884" s="2" t="s">
        <v>2884</v>
      </c>
      <c r="B2884" s="2" t="str">
        <f>IFERROR(__xludf.DUMMYFUNCTION("GOOGLETRANSLATE(A2884, ""en"", ""mt"")"),"Liġi Internazzjonali u Liġi Pubblika")</f>
        <v>Liġi Internazzjonali u Liġi Pubblika</v>
      </c>
    </row>
    <row r="2885" ht="15.75" customHeight="1">
      <c r="A2885" s="2" t="s">
        <v>2885</v>
      </c>
      <c r="B2885" s="2" t="str">
        <f>IFERROR(__xludf.DUMMYFUNCTION("GOOGLETRANSLATE(A2885, ""en"", ""mt"")"),"Ġarr tal-kanali bażiċi rispettivi tagħhom")</f>
        <v>Ġarr tal-kanali bażiċi rispettivi tagħhom</v>
      </c>
    </row>
    <row r="2886" ht="15.75" customHeight="1">
      <c r="A2886" s="2" t="s">
        <v>2886</v>
      </c>
      <c r="B2886" s="2" t="str">
        <f>IFERROR(__xludf.DUMMYFUNCTION("GOOGLETRANSLATE(A2886, ""en"", ""mt"")"),"Kif iżomm il-volumi tal-bniedem is-sistema tal-librerija tal-Università ta 'Chicago?")</f>
        <v>Kif iżomm il-volumi tal-bniedem is-sistema tal-librerija tal-Università ta 'Chicago?</v>
      </c>
    </row>
    <row r="2887" ht="15.75" customHeight="1">
      <c r="A2887" s="2" t="s">
        <v>2887</v>
      </c>
      <c r="B2887" s="2" t="str">
        <f>IFERROR(__xludf.DUMMYFUNCTION("GOOGLETRANSLATE(A2887, ""en"", ""mt"")"),"Fil-bidu ta 'kull sessjoni parlamentari")</f>
        <v>Fil-bidu ta 'kull sessjoni parlamentari</v>
      </c>
    </row>
    <row r="2888" ht="15.75" customHeight="1">
      <c r="A2888" s="2" t="s">
        <v>2888</v>
      </c>
      <c r="B2888" s="2" t="str">
        <f>IFERROR(__xludf.DUMMYFUNCTION("GOOGLETRANSLATE(A2888, ""en"", ""mt"")"),"Liema dipartiment fih ix-xogħlijiet fuq il-karta tal-ġbir tal-kostumi?")</f>
        <v>Liema dipartiment fih ix-xogħlijiet fuq il-karta tal-ġbir tal-kostumi?</v>
      </c>
    </row>
    <row r="2889" ht="15.75" customHeight="1">
      <c r="A2889" s="2" t="s">
        <v>2889</v>
      </c>
      <c r="B2889" s="2" t="str">
        <f>IFERROR(__xludf.DUMMYFUNCTION("GOOGLETRANSLATE(A2889, ""en"", ""mt"")"),"Fejn huma maqsuma r-Renu ta 'Fuq u d-Danubju ta' Fuq?")</f>
        <v>Fejn huma maqsuma r-Renu ta 'Fuq u d-Danubju ta' Fuq?</v>
      </c>
    </row>
    <row r="2890" ht="15.75" customHeight="1">
      <c r="A2890" s="2" t="s">
        <v>2890</v>
      </c>
      <c r="B2890" s="2" t="str">
        <f>IFERROR(__xludf.DUMMYFUNCTION("GOOGLETRANSLATE(A2890, ""en"", ""mt"")"),"rotazzjoni")</f>
        <v>rotazzjoni</v>
      </c>
    </row>
    <row r="2891" ht="15.75" customHeight="1">
      <c r="A2891" s="2" t="s">
        <v>2891</v>
      </c>
      <c r="B2891" s="2" t="str">
        <f>IFERROR(__xludf.DUMMYFUNCTION("GOOGLETRANSLATE(A2891, ""en"", ""mt"")"),"għandhom ikunu appoġġjati minn evidenza xjentifika")</f>
        <v>għandhom ikunu appoġġjati minn evidenza xjentifika</v>
      </c>
    </row>
    <row r="2892" ht="15.75" customHeight="1">
      <c r="A2892" s="2" t="s">
        <v>2892</v>
      </c>
      <c r="B2892" s="2" t="str">
        <f>IFERROR(__xludf.DUMMYFUNCTION("GOOGLETRANSLATE(A2892, ""en"", ""mt"")"),"X'inhu d-difett ta 'Rubisco?")</f>
        <v>X'inhu d-difett ta 'Rubisco?</v>
      </c>
    </row>
    <row r="2893" ht="15.75" customHeight="1">
      <c r="A2893" s="2" t="s">
        <v>2893</v>
      </c>
      <c r="B2893" s="2" t="str">
        <f>IFERROR(__xludf.DUMMYFUNCTION("GOOGLETRANSLATE(A2893, ""en"", ""mt"")"),"Mill-1934, il-Westinghouse Electric &amp; Manufacturing Company bdiet tħallas lil Tesla $ 125 fix-xahar kif ukoll tħallas il-kera tiegħu fil-lukanda New Yorker, spejjeż li l-kumpanija kienet tħallas għall-bqija tal-ħajja ta 'Tesla. Kontijiet dwar kif dan ħare"&amp;"ġ ivarja. Bosta sorsi jgħidu li Westinghouse kien inkwetat dwar pubbliċità ħażina potenzjali li jdawwar il-kundizzjonijiet fqar li kien qed jgħix l-inventur stilla tagħhom. Ġie deskritt bħala akkoppjat fil-forma ta '""miżata ta' konsultazzjoni"" biex tisk"&amp;"opri l-avversjoni ta 'Tesla biex taċċetta l-karità, jew minn bijografu wieħed (Marc Seifer), bħala tip ta' soluzzjoni mhux speċifikata.")</f>
        <v>Mill-1934, il-Westinghouse Electric &amp; Manufacturing Company bdiet tħallas lil Tesla $ 125 fix-xahar kif ukoll tħallas il-kera tiegħu fil-lukanda New Yorker, spejjeż li l-kumpanija kienet tħallas għall-bqija tal-ħajja ta 'Tesla. Kontijiet dwar kif dan ħareġ ivarja. Bosta sorsi jgħidu li Westinghouse kien inkwetat dwar pubbliċità ħażina potenzjali li jdawwar il-kundizzjonijiet fqar li kien qed jgħix l-inventur stilla tagħhom. Ġie deskritt bħala akkoppjat fil-forma ta '"miżata ta' konsultazzjoni" biex tiskopri l-avversjoni ta 'Tesla biex taċċetta l-karità, jew minn bijografu wieħed (Marc Seifer), bħala tip ta' soluzzjoni mhux speċifikata.</v>
      </c>
    </row>
    <row r="2894" ht="15.75" customHeight="1">
      <c r="A2894" s="2" t="s">
        <v>2894</v>
      </c>
      <c r="B2894" s="2" t="str">
        <f>IFERROR(__xludf.DUMMYFUNCTION("GOOGLETRANSLATE(A2894, ""en"", ""mt"")"),"gass ​​ikkompressat;")</f>
        <v>gass ​​ikkompressat;</v>
      </c>
    </row>
    <row r="2895" ht="15.75" customHeight="1">
      <c r="A2895" s="2" t="s">
        <v>2895</v>
      </c>
      <c r="B2895" s="2" t="str">
        <f>IFERROR(__xludf.DUMMYFUNCTION("GOOGLETRANSLATE(A2895, ""en"", ""mt"")"),"Neil Armstrong, Michael Collins u Buzz Aldrin.")</f>
        <v>Neil Armstrong, Michael Collins u Buzz Aldrin.</v>
      </c>
    </row>
    <row r="2896" ht="15.75" customHeight="1">
      <c r="A2896" s="2" t="s">
        <v>2896</v>
      </c>
      <c r="B2896" s="2" t="str">
        <f>IFERROR(__xludf.DUMMYFUNCTION("GOOGLETRANSLATE(A2896, ""en"", ""mt"")"),"X'jista 'jaħdem biex anke d-distribuzzjoni tal-ġid?")</f>
        <v>X'jista 'jaħdem biex anke d-distribuzzjoni tal-ġid?</v>
      </c>
    </row>
    <row r="2897" ht="15.75" customHeight="1">
      <c r="A2897" s="2" t="s">
        <v>2897</v>
      </c>
      <c r="B2897" s="2" t="str">
        <f>IFERROR(__xludf.DUMMYFUNCTION("GOOGLETRANSLATE(A2897, ""en"", ""mt"")"),"Taħt kundizzjonijiet bħal konċentrazzjonijiet għoljin ta 'CO2 atmosferiċi,")</f>
        <v>Taħt kundizzjonijiet bħal konċentrazzjonijiet għoljin ta 'CO2 atmosferiċi,</v>
      </c>
    </row>
    <row r="2898" ht="15.75" customHeight="1">
      <c r="A2898" s="2" t="s">
        <v>2898</v>
      </c>
      <c r="B2898" s="2" t="str">
        <f>IFERROR(__xludf.DUMMYFUNCTION("GOOGLETRANSLATE(A2898, ""en"", ""mt"")"),"L-Ingliżi")</f>
        <v>L-Ingliżi</v>
      </c>
    </row>
    <row r="2899" ht="15.75" customHeight="1">
      <c r="A2899" s="2" t="s">
        <v>2899</v>
      </c>
      <c r="B2899" s="2" t="str">
        <f>IFERROR(__xludf.DUMMYFUNCTION("GOOGLETRANSLATE(A2899, ""en"", ""mt"")"),"X'inhu s-salarju medju tal-kostruzzjoni fir-Renju Unit?")</f>
        <v>X'inhu s-salarju medju tal-kostruzzjoni fir-Renju Unit?</v>
      </c>
    </row>
    <row r="2900" ht="15.75" customHeight="1">
      <c r="A2900" s="2" t="s">
        <v>2900</v>
      </c>
      <c r="B2900" s="2" t="str">
        <f>IFERROR(__xludf.DUMMYFUNCTION("GOOGLETRANSLATE(A2900, ""en"", ""mt"")"),"Daħħal bedchamber ippreparat li fih jorqdu fil-paċi.")</f>
        <v>Daħħal bedchamber ippreparat li fih jorqdu fil-paċi.</v>
      </c>
    </row>
    <row r="2901" ht="15.75" customHeight="1">
      <c r="A2901" s="2" t="s">
        <v>2901</v>
      </c>
      <c r="B2901" s="2" t="str">
        <f>IFERROR(__xludf.DUMMYFUNCTION("GOOGLETRANSLATE(A2901, ""en"", ""mt"")"),"riċerka, esibizzjonijiet u wirjiet oħra")</f>
        <v>riċerka, esibizzjonijiet u wirjiet oħra</v>
      </c>
    </row>
    <row r="2902" ht="15.75" customHeight="1">
      <c r="A2902" s="2" t="s">
        <v>2902</v>
      </c>
      <c r="B2902" s="2" t="str">
        <f>IFERROR(__xludf.DUMMYFUNCTION("GOOGLETRANSLATE(A2902, ""en"", ""mt"")"),"Indirizz tad-Destinazzjoni, Indirizz tas-Sors, ​​u Numri tal-Port")</f>
        <v>Indirizz tad-Destinazzjoni, Indirizz tas-Sors, ​​u Numri tal-Port</v>
      </c>
    </row>
    <row r="2903" ht="15.75" customHeight="1">
      <c r="A2903" s="2" t="s">
        <v>2903</v>
      </c>
      <c r="B2903" s="2" t="str">
        <f>IFERROR(__xludf.DUMMYFUNCTION("GOOGLETRANSLATE(A2903, ""en"", ""mt"")"),"CA. 2 miljun")</f>
        <v>CA. 2 miljun</v>
      </c>
    </row>
    <row r="2904" ht="15.75" customHeight="1">
      <c r="A2904" s="2" t="s">
        <v>2904</v>
      </c>
      <c r="B2904" s="2" t="str">
        <f>IFERROR(__xludf.DUMMYFUNCTION("GOOGLETRANSLATE(A2904, ""en"", ""mt"")"),"Kemm-il darba l-ferroviji jivvjaġġaw lejn is-salib tar-Re?")</f>
        <v>Kemm-il darba l-ferroviji jivvjaġġaw lejn is-salib tar-Re?</v>
      </c>
    </row>
    <row r="2905" ht="15.75" customHeight="1">
      <c r="A2905" s="2" t="s">
        <v>2905</v>
      </c>
      <c r="B2905" s="2" t="str">
        <f>IFERROR(__xludf.DUMMYFUNCTION("GOOGLETRANSLATE(A2905, ""en"", ""mt"")"),"It-telf ta 'Edinburgh Pentlands tassew diżappuntat min l-iktar?")</f>
        <v>It-telf ta 'Edinburgh Pentlands tassew diżappuntat min l-iktar?</v>
      </c>
    </row>
    <row r="2906" ht="15.75" customHeight="1">
      <c r="A2906" s="2" t="s">
        <v>2906</v>
      </c>
      <c r="B2906" s="2" t="str">
        <f>IFERROR(__xludf.DUMMYFUNCTION("GOOGLETRANSLATE(A2906, ""en"", ""mt"")"),"Seklu 19")</f>
        <v>Seklu 19</v>
      </c>
    </row>
    <row r="2907" ht="15.75" customHeight="1">
      <c r="A2907" s="2" t="s">
        <v>2907</v>
      </c>
      <c r="B2907" s="2" t="str">
        <f>IFERROR(__xludf.DUMMYFUNCTION("GOOGLETRANSLATE(A2907, ""en"", ""mt"")"),"X'kien iċ-Ċentru tal-Assemblea Pinedale?")</f>
        <v>X'kien iċ-Ċentru tal-Assemblea Pinedale?</v>
      </c>
    </row>
    <row r="2908" ht="15.75" customHeight="1">
      <c r="A2908" s="2" t="s">
        <v>2908</v>
      </c>
      <c r="B2908" s="2" t="str">
        <f>IFERROR(__xludf.DUMMYFUNCTION("GOOGLETRANSLATE(A2908, ""en"", ""mt"")"),"Fidi f’Ġesù Kristu")</f>
        <v>Fidi f’Ġesù Kristu</v>
      </c>
    </row>
    <row r="2909" ht="15.75" customHeight="1">
      <c r="A2909" s="2" t="s">
        <v>2909</v>
      </c>
      <c r="B2909" s="2" t="str">
        <f>IFERROR(__xludf.DUMMYFUNCTION("GOOGLETRANSLATE(A2909, ""en"", ""mt"")"),"X'inhi l-edukazzjoni terzjarja?")</f>
        <v>X'inhi l-edukazzjoni terzjarja?</v>
      </c>
    </row>
    <row r="2910" ht="15.75" customHeight="1">
      <c r="A2910" s="2" t="s">
        <v>2910</v>
      </c>
      <c r="B2910" s="2" t="str">
        <f>IFERROR(__xludf.DUMMYFUNCTION("GOOGLETRANSLATE(A2910, ""en"", ""mt"")"),"Il-Kumitat tas-Super Bowl 50 ospitanti qal li se jkun l-iktar dak li qatt?")</f>
        <v>Il-Kumitat tas-Super Bowl 50 ospitanti qal li se jkun l-iktar dak li qatt?</v>
      </c>
    </row>
    <row r="2911" ht="15.75" customHeight="1">
      <c r="A2911" s="2" t="s">
        <v>2911</v>
      </c>
      <c r="B2911" s="2" t="str">
        <f>IFERROR(__xludf.DUMMYFUNCTION("GOOGLETRANSLATE(A2911, ""en"", ""mt"")"),"Fl-aħħar massimu glaċjali")</f>
        <v>Fl-aħħar massimu glaċjali</v>
      </c>
    </row>
    <row r="2912" ht="15.75" customHeight="1">
      <c r="A2912" s="2" t="s">
        <v>2912</v>
      </c>
      <c r="B2912" s="2" t="str">
        <f>IFERROR(__xludf.DUMMYFUNCTION("GOOGLETRANSLATE(A2912, ""en"", ""mt"")"),"Ordni tal-Konferenza Annwali tal-Anzjani")</f>
        <v>Ordni tal-Konferenza Annwali tal-Anzjani</v>
      </c>
    </row>
    <row r="2913" ht="15.75" customHeight="1">
      <c r="A2913" s="2" t="s">
        <v>2913</v>
      </c>
      <c r="B2913" s="2" t="str">
        <f>IFERROR(__xludf.DUMMYFUNCTION("GOOGLETRANSLATE(A2913, ""en"", ""mt"")"),"armi tar-raġġ tal-partikuli ċċarġjati")</f>
        <v>armi tar-raġġ tal-partikuli ċċarġjati</v>
      </c>
    </row>
    <row r="2914" ht="15.75" customHeight="1">
      <c r="A2914" s="2" t="s">
        <v>2914</v>
      </c>
      <c r="B2914" s="2" t="str">
        <f>IFERROR(__xludf.DUMMYFUNCTION("GOOGLETRANSLATE(A2914, ""en"", ""mt"")"),"Liema xogħol ta 'Luther sar popolari?")</f>
        <v>Liema xogħol ta 'Luther sar popolari?</v>
      </c>
    </row>
    <row r="2915" ht="15.75" customHeight="1">
      <c r="A2915" s="2" t="s">
        <v>2915</v>
      </c>
      <c r="B2915" s="2" t="str">
        <f>IFERROR(__xludf.DUMMYFUNCTION("GOOGLETRANSLATE(A2915, ""en"", ""mt"")"),"Mill-1894, Tesla beda jinvestiga dak li rrefera għaliha bħala enerġija radjanti ta 'tipi ""inviżibbli"" wara li kien innota film bil-ħsara fil-laboratorju tiegħu f'esperimenti preċedenti (aktar tard identifikat bħala ""Roentgen Rays"" jew ""X-Rays""). L-e"&amp;"sperimenti bikrija tiegħu kienu ma 'tubi ta' crookes, tubu tal-iskarikar elettriku tal-katodu kiesaħ. Ftit wara, ħafna mir-riċerka bikrija ta 'Tesla - mijiet ta' mudelli ta 'invenzjoni, noti, dejta tal-laboratorju, għodod, ritratti, stmati għal $ 50,000 -"&amp;" mitlufa fin-nar tal-Laboratorju tal-5 Avenue ta' Marzu 1895. Tesla hija kkwotata minn The New York Times bħala Tgħid, ""Jiena wisq niket biex nitkellem. X'nista 'ngħid?"" Tesla setgħet bi żball qabdet immaġni tar-raġġi X - predazzjoni, minn ftit ġimgħat,"&amp;" it-tħabbira ta 'Wilhelm Röntgen f'Diċembru 1895 dwar l-iskoperta tar-raġġi X - meta pprova jirritratta lil Mark Twain imdawwal minn tubu ta' Geissler, tip preċedenti ta 'rimi tal-gass tubu. L-unika ħaġa maqbuda fl-immaġni kienet il-kamin tal-qfil tal-met"&amp;"all fuq il-lenti tal-kamera.:134")</f>
        <v>Mill-1894, Tesla beda jinvestiga dak li rrefera għaliha bħala enerġija radjanti ta 'tipi "inviżibbli" wara li kien innota film bil-ħsara fil-laboratorju tiegħu f'esperimenti preċedenti (aktar tard identifikat bħala "Roentgen Rays" jew "X-Rays"). L-esperimenti bikrija tiegħu kienu ma 'tubi ta' crookes, tubu tal-iskarikar elettriku tal-katodu kiesaħ. Ftit wara, ħafna mir-riċerka bikrija ta 'Tesla - mijiet ta' mudelli ta 'invenzjoni, noti, dejta tal-laboratorju, għodod, ritratti, stmati għal $ 50,000 - mitlufa fin-nar tal-Laboratorju tal-5 Avenue ta' Marzu 1895. Tesla hija kkwotata minn The New York Times bħala Tgħid, "Jiena wisq niket biex nitkellem. X'nista 'ngħid?" Tesla setgħet bi żball qabdet immaġni tar-raġġi X - predazzjoni, minn ftit ġimgħat, it-tħabbira ta 'Wilhelm Röntgen f'Diċembru 1895 dwar l-iskoperta tar-raġġi X - meta pprova jirritratta lil Mark Twain imdawwal minn tubu ta' Geissler, tip preċedenti ta 'rimi tal-gass tubu. L-unika ħaġa maqbuda fl-immaġni kienet il-kamin tal-qfil tal-metall fuq il-lenti tal-kamera.:134</v>
      </c>
    </row>
    <row r="2916" ht="15.75" customHeight="1">
      <c r="A2916" s="2" t="s">
        <v>2916</v>
      </c>
      <c r="B2916" s="2" t="str">
        <f>IFERROR(__xludf.DUMMYFUNCTION("GOOGLETRANSLATE(A2916, ""en"", ""mt"")"),"Liema Sala kienet użata bħala kamra tal-kumitat tal-Prinċipju tal-Parlament?")</f>
        <v>Liema Sala kienet użata bħala kamra tal-kumitat tal-Prinċipju tal-Parlament?</v>
      </c>
    </row>
    <row r="2917" ht="15.75" customHeight="1">
      <c r="A2917" s="2" t="s">
        <v>2917</v>
      </c>
      <c r="B2917" s="2" t="str">
        <f>IFERROR(__xludf.DUMMYFUNCTION("GOOGLETRANSLATE(A2917, ""en"", ""mt"")"),"Ċirkuwitu u apparat li jipproduċi r-raġġi X b'node wieħed")</f>
        <v>Ċirkuwitu u apparat li jipproduċi r-raġġi X b'node wieħed</v>
      </c>
    </row>
    <row r="2918" ht="15.75" customHeight="1">
      <c r="A2918" s="2" t="s">
        <v>2918</v>
      </c>
      <c r="B2918" s="2" t="str">
        <f>IFERROR(__xludf.DUMMYFUNCTION("GOOGLETRANSLATE(A2918, ""en"", ""mt"")"),"Kif waslet il-Mewt l-Iswed għall-Mediterran u l-Ewropa?")</f>
        <v>Kif waslet il-Mewt l-Iswed għall-Mediterran u l-Ewropa?</v>
      </c>
    </row>
    <row r="2919" ht="15.75" customHeight="1">
      <c r="A2919" s="2" t="s">
        <v>2919</v>
      </c>
      <c r="B2919" s="2" t="str">
        <f>IFERROR(__xludf.DUMMYFUNCTION("GOOGLETRANSLATE(A2919, ""en"", ""mt"")"),"rilaxx ta 'malajr")</f>
        <v>rilaxx ta 'malajr</v>
      </c>
    </row>
    <row r="2920" ht="15.75" customHeight="1">
      <c r="A2920" s="2" t="s">
        <v>2920</v>
      </c>
      <c r="B2920" s="2" t="str">
        <f>IFERROR(__xludf.DUMMYFUNCTION("GOOGLETRANSLATE(A2920, ""en"", ""mt"")"),"pubbliċità ħażina")</f>
        <v>pubbliċità ħażina</v>
      </c>
    </row>
    <row r="2921" ht="15.75" customHeight="1">
      <c r="A2921" s="2" t="s">
        <v>2921</v>
      </c>
      <c r="B2921" s="2" t="str">
        <f>IFERROR(__xludf.DUMMYFUNCTION("GOOGLETRANSLATE(A2921, ""en"", ""mt"")"),"Infrastruttura")</f>
        <v>Infrastruttura</v>
      </c>
    </row>
    <row r="2922" ht="15.75" customHeight="1">
      <c r="A2922" s="2" t="s">
        <v>2922</v>
      </c>
      <c r="B2922" s="2" t="str">
        <f>IFERROR(__xludf.DUMMYFUNCTION("GOOGLETRANSLATE(A2922, ""en"", ""mt"")"),"X’għamel Austpac")</f>
        <v>X’għamel Austpac</v>
      </c>
    </row>
    <row r="2923" ht="15.75" customHeight="1">
      <c r="A2923" s="2" t="s">
        <v>2923</v>
      </c>
      <c r="B2923" s="2" t="str">
        <f>IFERROR(__xludf.DUMMYFUNCTION("GOOGLETRANSLATE(A2923, ""en"", ""mt"")"),"pretendenti")</f>
        <v>pretendenti</v>
      </c>
    </row>
    <row r="2924" ht="15.75" customHeight="1">
      <c r="A2924" s="2" t="s">
        <v>2924</v>
      </c>
      <c r="B2924" s="2" t="str">
        <f>IFERROR(__xludf.DUMMYFUNCTION("GOOGLETRANSLATE(A2924, ""en"", ""mt"")"),"X'kien l-attakk fuq id-dgħjufija Ingliża?")</f>
        <v>X'kien l-attakk fuq id-dgħjufija Ingliża?</v>
      </c>
    </row>
    <row r="2925" ht="15.75" customHeight="1">
      <c r="A2925" s="2" t="s">
        <v>2925</v>
      </c>
      <c r="B2925" s="2" t="str">
        <f>IFERROR(__xludf.DUMMYFUNCTION("GOOGLETRANSLATE(A2925, ""en"", ""mt"")"),"X'inhuma fost l-aktar esperimenti magħrufa fil-ġeoloġija strutturali?")</f>
        <v>X'inhuma fost l-aktar esperimenti magħrufa fil-ġeoloġija strutturali?</v>
      </c>
    </row>
    <row r="2926" ht="15.75" customHeight="1">
      <c r="A2926" s="2" t="s">
        <v>2926</v>
      </c>
      <c r="B2926" s="2" t="str">
        <f>IFERROR(__xludf.DUMMYFUNCTION("GOOGLETRANSLATE(A2926, ""en"", ""mt"")"),"X’għamel brevett fl-1891?")</f>
        <v>X’għamel brevett fl-1891?</v>
      </c>
    </row>
    <row r="2927" ht="15.75" customHeight="1">
      <c r="A2927" s="2" t="s">
        <v>2927</v>
      </c>
      <c r="B2927" s="2" t="str">
        <f>IFERROR(__xludf.DUMMYFUNCTION("GOOGLETRANSLATE(A2927, ""en"", ""mt"")"),"Fit-13 ta 'Ġunju 1525, il-koppja kienet ingaġġata ma' Johannes Bugenhagen, Justus Jonas, Johannes Apel, Philipp Melanchthon u Lucas Cranach lill-anzjani u lil martu bħala xhieda. Fil-għaxija tal-istess jum, il-koppja kienet miżżewġa minn Bugenhagen. Il-mi"&amp;"xja ċerimonjali lejn il-knisja u l-banquet tat-tieġ tħallew barra, u kienu magħmula ġimagħtejn wara fis-27 ta 'Ġunju.")</f>
        <v>Fit-13 ta 'Ġunju 1525, il-koppja kienet ingaġġata ma' Johannes Bugenhagen, Justus Jonas, Johannes Apel, Philipp Melanchthon u Lucas Cranach lill-anzjani u lil martu bħala xhieda. Fil-għaxija tal-istess jum, il-koppja kienet miżżewġa minn Bugenhagen. Il-mixja ċerimonjali lejn il-knisja u l-banquet tat-tieġ tħallew barra, u kienu magħmula ġimagħtejn wara fis-27 ta 'Ġunju.</v>
      </c>
    </row>
    <row r="2928" ht="15.75" customHeight="1">
      <c r="A2928" s="2" t="s">
        <v>2928</v>
      </c>
      <c r="B2928" s="2" t="str">
        <f>IFERROR(__xludf.DUMMYFUNCTION("GOOGLETRANSLATE(A2928, ""en"", ""mt"")"),"djar konvertiti jew maqsuma")</f>
        <v>djar konvertiti jew maqsuma</v>
      </c>
    </row>
    <row r="2929" ht="15.75" customHeight="1">
      <c r="A2929" s="2" t="s">
        <v>2929</v>
      </c>
      <c r="B2929" s="2" t="str">
        <f>IFERROR(__xludf.DUMMYFUNCTION("GOOGLETRANSLATE(A2929, ""en"", ""mt"")"),"Direttur")</f>
        <v>Direttur</v>
      </c>
    </row>
    <row r="2930" ht="15.75" customHeight="1">
      <c r="A2930" s="2" t="s">
        <v>2930</v>
      </c>
      <c r="B2930" s="2" t="str">
        <f>IFERROR(__xludf.DUMMYFUNCTION("GOOGLETRANSLATE(A2930, ""en"", ""mt"")"),"arżnu")</f>
        <v>arżnu</v>
      </c>
    </row>
    <row r="2931" ht="15.75" customHeight="1">
      <c r="A2931" s="2" t="s">
        <v>2931</v>
      </c>
      <c r="B2931" s="2" t="str">
        <f>IFERROR(__xludf.DUMMYFUNCTION("GOOGLETRANSLATE(A2931, ""en"", ""mt"")"),"Walt Disney u ħuh Roy ikkuntattjaw lil Goldenson fl-aħħar tal-1953 biex ABC jaqblu li jiffinanzjaw parti mill-proġett Disneyland bi skambju għall-produzzjoni ta 'programm televiżiv għan-netwerk. Walt ried li ABC jinvesti $ 500,000 u akkumula garanzija ta "&amp;"'$ 4.5 miljun f'self addizzjonali, terz tal-baġit maħsub għall-park. Madwar l-1954, ABC aċċetta li jiffinanzja Disneyland bi skambju għad-dritt li jxandar programm ġdid tal-Ħadd filgħaxija, Disneyland, li ddebutta fuq in-netwerk fis-27 ta 'Ottubru, 1954 b"&amp;"ħala l-ewwel wieħed minn bosta programmi tat-televiżjoni tal-antoloġija li Disney kien se jxandar matul il-kors 50 sena li ġejjin.")</f>
        <v>Walt Disney u ħuh Roy ikkuntattjaw lil Goldenson fl-aħħar tal-1953 biex ABC jaqblu li jiffinanzjaw parti mill-proġett Disneyland bi skambju għall-produzzjoni ta 'programm televiżiv għan-netwerk. Walt ried li ABC jinvesti $ 500,000 u akkumula garanzija ta '$ 4.5 miljun f'self addizzjonali, terz tal-baġit maħsub għall-park. Madwar l-1954, ABC aċċetta li jiffinanzja Disneyland bi skambju għad-dritt li jxandar programm ġdid tal-Ħadd filgħaxija, Disneyland, li ddebutta fuq in-netwerk fis-27 ta 'Ottubru, 1954 bħala l-ewwel wieħed minn bosta programmi tat-televiżjoni tal-antoloġija li Disney kien se jxandar matul il-kors 50 sena li ġejjin.</v>
      </c>
    </row>
    <row r="2932" ht="15.75" customHeight="1">
      <c r="A2932" s="2" t="s">
        <v>2932</v>
      </c>
      <c r="B2932" s="2" t="str">
        <f>IFERROR(__xludf.DUMMYFUNCTION("GOOGLETRANSLATE(A2932, ""en"", ""mt"")"),"La kuxjenzjuż u lanqas ta 'benefiċċju soċjali")</f>
        <v>La kuxjenzjuż u lanqas ta 'benefiċċju soċjali</v>
      </c>
    </row>
    <row r="2933" ht="15.75" customHeight="1">
      <c r="A2933" s="2" t="s">
        <v>2933</v>
      </c>
      <c r="B2933" s="2" t="str">
        <f>IFERROR(__xludf.DUMMYFUNCTION("GOOGLETRANSLATE(A2933, ""en"", ""mt"")"),"Ħaddem pompi tal-protoni u wettaq il-fosforilazzjoni ossidattiva madwar biex tiġġenera l-enerġija ATP")</f>
        <v>Ħaddem pompi tal-protoni u wettaq il-fosforilazzjoni ossidattiva madwar biex tiġġenera l-enerġija ATP</v>
      </c>
    </row>
    <row r="2934" ht="15.75" customHeight="1">
      <c r="A2934" s="2" t="s">
        <v>2934</v>
      </c>
      <c r="B2934" s="2" t="str">
        <f>IFERROR(__xludf.DUMMYFUNCTION("GOOGLETRANSLATE(A2934, ""en"", ""mt"")"),"Hemm tmien ringieli ta 'pettnijiet li jimxu minn ħdejn il-ħalq sat-tarf oppost, u huma spazjati b'mod uniformi mal-ġisem. Il- ""Combs"" jegħlbu f'ritmu metakronali pjuttost bħal dak ta 'mewġa Messikana. Minn kull balancer fl-istatocyst, kanal ciliary jisp"&amp;"iċċa taħt il-koppla u mbagħad jinqasam biex jgħaqqad ma 'żewġ ringieli tal-moxt li jmissu magħhom, u f'xi speċi jimxu fit-triq kollha tul ir-ringieli tal-moxt. Dan jifforma sistema mekkanika għat-trasmissjoni tar-ritmu ta 'taħbit mill-pettnijiet lill-bila"&amp;"nċjaturi, permezz ta' disturbi fl-ilma maħluqa miċ-ċili.")</f>
        <v>Hemm tmien ringieli ta 'pettnijiet li jimxu minn ħdejn il-ħalq sat-tarf oppost, u huma spazjati b'mod uniformi mal-ġisem. Il- "Combs" jegħlbu f'ritmu metakronali pjuttost bħal dak ta 'mewġa Messikana. Minn kull balancer fl-istatocyst, kanal ciliary jispiċċa taħt il-koppla u mbagħad jinqasam biex jgħaqqad ma 'żewġ ringieli tal-moxt li jmissu magħhom, u f'xi speċi jimxu fit-triq kollha tul ir-ringieli tal-moxt. Dan jifforma sistema mekkanika għat-trasmissjoni tar-ritmu ta 'taħbit mill-pettnijiet lill-bilanċjaturi, permezz ta' disturbi fl-ilma maħluqa miċ-ċili.</v>
      </c>
    </row>
    <row r="2935" ht="15.75" customHeight="1">
      <c r="A2935" s="2" t="s">
        <v>2935</v>
      </c>
      <c r="B2935" s="2" t="str">
        <f>IFERROR(__xludf.DUMMYFUNCTION("GOOGLETRANSLATE(A2935, ""en"", ""mt"")"),"Interventi organizzattivi")</f>
        <v>Interventi organizzattivi</v>
      </c>
    </row>
    <row r="2936" ht="15.75" customHeight="1">
      <c r="A2936" s="2" t="s">
        <v>2936</v>
      </c>
      <c r="B2936" s="2" t="str">
        <f>IFERROR(__xludf.DUMMYFUNCTION("GOOGLETRANSLATE(A2936, ""en"", ""mt"")"),"Avveniment ewlieni fid-dinja Musulmana Għarbija")</f>
        <v>Avveniment ewlieni fid-dinja Musulmana Għarbija</v>
      </c>
    </row>
    <row r="2937" ht="15.75" customHeight="1">
      <c r="A2937" s="2" t="s">
        <v>2937</v>
      </c>
      <c r="B2937" s="2" t="str">
        <f>IFERROR(__xludf.DUMMYFUNCTION("GOOGLETRANSLATE(A2937, ""en"", ""mt"")"),"Stacks ta 'tnejn")</f>
        <v>Stacks ta 'tnejn</v>
      </c>
    </row>
    <row r="2938" ht="15.75" customHeight="1">
      <c r="A2938" s="2" t="s">
        <v>2938</v>
      </c>
      <c r="B2938" s="2" t="str">
        <f>IFERROR(__xludf.DUMMYFUNCTION("GOOGLETRANSLATE(A2938, ""en"", ""mt"")"),"Infermiera")</f>
        <v>Infermiera</v>
      </c>
    </row>
    <row r="2939" ht="15.75" customHeight="1">
      <c r="A2939" s="2" t="s">
        <v>2939</v>
      </c>
      <c r="B2939" s="2" t="str">
        <f>IFERROR(__xludf.DUMMYFUNCTION("GOOGLETRANSLATE(A2939, ""en"", ""mt"")"),"X’jaħsbu l-kritiċi l-kawża tal-problemi bl-iskola moderna?")</f>
        <v>X’jaħsbu l-kritiċi l-kawża tal-problemi bl-iskola moderna?</v>
      </c>
    </row>
    <row r="2940" ht="15.75" customHeight="1">
      <c r="A2940" s="2" t="s">
        <v>2940</v>
      </c>
      <c r="B2940" s="2" t="str">
        <f>IFERROR(__xludf.DUMMYFUNCTION("GOOGLETRANSLATE(A2940, ""en"", ""mt"")"),"Netwerking Soċjali")</f>
        <v>Netwerking Soċjali</v>
      </c>
    </row>
    <row r="2941" ht="15.75" customHeight="1">
      <c r="A2941" s="2" t="s">
        <v>2941</v>
      </c>
      <c r="B2941" s="2" t="str">
        <f>IFERROR(__xludf.DUMMYFUNCTION("GOOGLETRANSLATE(A2941, ""en"", ""mt"")"),"Liema dinastija waslet quddiem il-wan?")</f>
        <v>Liema dinastija waslet quddiem il-wan?</v>
      </c>
    </row>
    <row r="2942" ht="15.75" customHeight="1">
      <c r="A2942" s="2" t="s">
        <v>2942</v>
      </c>
      <c r="B2942" s="2" t="str">
        <f>IFERROR(__xludf.DUMMYFUNCTION("GOOGLETRANSLATE(A2942, ""en"", ""mt"")"),"UDP")</f>
        <v>UDP</v>
      </c>
    </row>
    <row r="2943" ht="15.75" customHeight="1">
      <c r="A2943" s="2" t="s">
        <v>2943</v>
      </c>
      <c r="B2943" s="2" t="str">
        <f>IFERROR(__xludf.DUMMYFUNCTION("GOOGLETRANSLATE(A2943, ""en"", ""mt"")"),"Showmanship")</f>
        <v>Showmanship</v>
      </c>
    </row>
    <row r="2944" ht="15.75" customHeight="1">
      <c r="A2944" s="2" t="s">
        <v>2944</v>
      </c>
      <c r="B2944" s="2" t="str">
        <f>IFERROR(__xludf.DUMMYFUNCTION("GOOGLETRANSLATE(A2944, ""en"", ""mt"")"),"Alternattiva")</f>
        <v>Alternattiva</v>
      </c>
    </row>
    <row r="2945" ht="15.75" customHeight="1">
      <c r="A2945" s="2" t="s">
        <v>2945</v>
      </c>
      <c r="B2945" s="2" t="str">
        <f>IFERROR(__xludf.DUMMYFUNCTION("GOOGLETRANSLATE(A2945, ""en"", ""mt"")"),"L-istudju tal-2012 wera lill-għalliema esperjenzaw aktar stress minn min?")</f>
        <v>L-istudju tal-2012 wera lill-għalliema esperjenzaw aktar stress minn min?</v>
      </c>
    </row>
    <row r="2946" ht="15.75" customHeight="1">
      <c r="A2946" s="2" t="s">
        <v>2946</v>
      </c>
      <c r="B2946" s="2" t="str">
        <f>IFERROR(__xludf.DUMMYFUNCTION("GOOGLETRANSLATE(A2946, ""en"", ""mt"")"),"Asinkronikament tuża l-ewwel-in, l-ewwel buffering")</f>
        <v>Asinkronikament tuża l-ewwel-in, l-ewwel buffering</v>
      </c>
    </row>
    <row r="2947" ht="15.75" customHeight="1">
      <c r="A2947" s="2" t="s">
        <v>2947</v>
      </c>
      <c r="B2947" s="2" t="str">
        <f>IFERROR(__xludf.DUMMYFUNCTION("GOOGLETRANSLATE(A2947, ""en"", ""mt"")"),"Fejn attakka Mongke Khan id-dinastija tal-kanzunetta?")</f>
        <v>Fejn attakka Mongke Khan id-dinastija tal-kanzunetta?</v>
      </c>
    </row>
    <row r="2948" ht="15.75" customHeight="1">
      <c r="A2948" s="2" t="s">
        <v>2948</v>
      </c>
      <c r="B2948" s="2" t="str">
        <f>IFERROR(__xludf.DUMMYFUNCTION("GOOGLETRANSLATE(A2948, ""en"", ""mt"")"),"Jekk id-daqs tal-input huwa ugwali għal N, x'jista 'jassumi rispettivament il-funzjoni ta' n?")</f>
        <v>Jekk id-daqs tal-input huwa ugwali għal N, x'jista 'jassumi rispettivament il-funzjoni ta' n?</v>
      </c>
    </row>
    <row r="2949" ht="15.75" customHeight="1">
      <c r="A2949" s="2" t="s">
        <v>2949</v>
      </c>
      <c r="B2949" s="2" t="str">
        <f>IFERROR(__xludf.DUMMYFUNCTION("GOOGLETRANSLATE(A2949, ""en"", ""mt"")"),"sferi separati ta 'għarfien li kull wieħed japplika għal")</f>
        <v>sferi separati ta 'għarfien li kull wieħed japplika għal</v>
      </c>
    </row>
    <row r="2950" ht="15.75" customHeight="1">
      <c r="A2950" s="2" t="s">
        <v>2950</v>
      </c>
      <c r="B2950" s="2" t="str">
        <f>IFERROR(__xludf.DUMMYFUNCTION("GOOGLETRANSLATE(A2950, ""en"", ""mt"")"),"Kemm jiem ta 'vaganza mħallsa d-direttiva tal-ħin tax-xogħol teħtieġ li l-ħaddiema jkollhom kull sena?")</f>
        <v>Kemm jiem ta 'vaganza mħallsa d-direttiva tal-ħin tax-xogħol teħtieġ li l-ħaddiema jkollhom kull sena?</v>
      </c>
    </row>
    <row r="2951" ht="15.75" customHeight="1">
      <c r="A2951" s="2" t="s">
        <v>2951</v>
      </c>
      <c r="B2951" s="2" t="str">
        <f>IFERROR(__xludf.DUMMYFUNCTION("GOOGLETRANSLATE(A2951, ""en"", ""mt"")"),"£ 42,090")</f>
        <v>£ 42,090</v>
      </c>
    </row>
    <row r="2952" ht="15.75" customHeight="1">
      <c r="A2952" s="2" t="s">
        <v>2952</v>
      </c>
      <c r="B2952" s="2" t="str">
        <f>IFERROR(__xludf.DUMMYFUNCTION("GOOGLETRANSLATE(A2952, ""en"", ""mt"")"),"Eskursjoni waħda tal-kaċċa")</f>
        <v>Eskursjoni waħda tal-kaċċa</v>
      </c>
    </row>
    <row r="2953" ht="15.75" customHeight="1">
      <c r="A2953" s="2" t="s">
        <v>2953</v>
      </c>
      <c r="B2953" s="2" t="str">
        <f>IFERROR(__xludf.DUMMYFUNCTION("GOOGLETRANSLATE(A2953, ""en"", ""mt"")"),"Osservazzjonijiet dwar il-Ġeoloġija ta 'l-Istati Uniti Spjegazzjoni ta' Mappa Ġeoloġika")</f>
        <v>Osservazzjonijiet dwar il-Ġeoloġija ta 'l-Istati Uniti Spjegazzjoni ta' Mappa Ġeoloġika</v>
      </c>
    </row>
    <row r="2954" ht="15.75" customHeight="1">
      <c r="A2954" s="2" t="s">
        <v>2954</v>
      </c>
      <c r="B2954" s="2" t="str">
        <f>IFERROR(__xludf.DUMMYFUNCTION("GOOGLETRANSLATE(A2954, ""en"", ""mt"")"),"Għaliex ġie rtirat iż-żejt il-qadim mis-suq?")</f>
        <v>Għaliex ġie rtirat iż-żejt il-qadim mis-suq?</v>
      </c>
    </row>
    <row r="2955" ht="15.75" customHeight="1">
      <c r="A2955" s="2" t="s">
        <v>2955</v>
      </c>
      <c r="B2955" s="2" t="str">
        <f>IFERROR(__xludf.DUMMYFUNCTION("GOOGLETRANSLATE(A2955, ""en"", ""mt"")"),"Minn fejn ġej l-ewwel oġġett fil-kollezzjoni tal-ħġieġ V&amp;A?")</f>
        <v>Minn fejn ġej l-ewwel oġġett fil-kollezzjoni tal-ħġieġ V&amp;A?</v>
      </c>
    </row>
    <row r="2956" ht="15.75" customHeight="1">
      <c r="A2956" s="2" t="s">
        <v>2956</v>
      </c>
      <c r="B2956" s="2" t="str">
        <f>IFERROR(__xludf.DUMMYFUNCTION("GOOGLETRANSLATE(A2956, ""en"", ""mt"")"),"L-invażjoni tal-USSR fl-Afganistan kienet biss sinjal wieħed ta 'nuqqas ta' sigurtà fir-reġjun, immarkat ukoll minn żieda fil-bejgħ tal-armi Amerikani, teknoloġija u preżenza militari diretta. L-Arabja Sawdita u l-Iran saru dejjem aktar dipendenti fuq l-a"&amp;"ssigurazzjoni tas-sigurtà Amerikana biex jimmaniġġjaw kemm theddid estern kif ukoll intern, inkluż żieda fil-kompetizzjoni militari bejniethom fuq żieda fid-dħul taż-żejt. Iż-żewġ stati kienu qed jikkompetu għall-preeminenza fil-Golf Persjan u jużaw dħul "&amp;"miżjud biex jiffinanzjaw militari estiżi. Sal-1979, ix-xiri tal-armi Sawdi mill-Istati Uniti qabeż ħames darbiet l-Iżrael. Motiv ieħor għax-xiri ta 'armi fuq skala kbira mill-Istati Uniti mill-Arabja Sawdija kien il-falliment tax-Shah matul Jannar 1979 bi"&amp;"ex iżomm il-kontroll tal-Iran, nazzjon Musulman mhux Għarbi iżda fil-biċċa l-kbira Shiite, li waqa' għal gvern Iżlatiku teokratiku taħt l-Ayatollah Ruhollah Khomeini wara r-Rivoluzzjoni Iranjana tal-1979. L-Arabja Sawdita, min-naħa l-oħra, hija nazzjon Għ"&amp;"arbi, fil-biċċa l-kbira Sunni Musulman immexxi minn monarkija kważi assolutista. Wara r-rivoluzzjoni Iranjana, is-Saudis kienu mġiegħla jittrattaw il-prospett ta 'destabilizzazzjoni interna permezz tar-radikaliżmu tal-Iżlamiżmu, realtà li malajr tiġi żvel"&amp;"ata fil-qbid tal-Moskea Gran Revolta fir-reġjun b'ħafna żejt al-Hasa fl-Arabja Sawdija f'Diċembru tal-istess sena. F'Novembru 2010, WikiLeaks nixxew kejbils diplomatiċi kunfidenzjali li għandhom x'jaqsmu ma 'l-Istati Uniti u l-alleati tagħha li żvelaw li "&amp;"r-re Sawdi tal-mibki Abdullah ħeġġeġ lill-Istati Uniti biex jattakkaw l-Iran sabiex jeqirdu l-programm potenzjali tiegħu ta' armi nukleari, li ddeskriva l-Iran bħala ""serp li għandhom jinqatgħu mingħajr ebda procrastination. """)</f>
        <v>L-invażjoni tal-USSR fl-Afganistan kienet biss sinjal wieħed ta 'nuqqas ta' sigurtà fir-reġjun, immarkat ukoll minn żieda fil-bejgħ tal-armi Amerikani, teknoloġija u preżenza militari diretta. L-Arabja Sawdita u l-Iran saru dejjem aktar dipendenti fuq l-assigurazzjoni tas-sigurtà Amerikana biex jimmaniġġjaw kemm theddid estern kif ukoll intern, inkluż żieda fil-kompetizzjoni militari bejniethom fuq żieda fid-dħul taż-żejt. Iż-żewġ stati kienu qed jikkompetu għall-preeminenza fil-Golf Persjan u jużaw dħul miżjud biex jiffinanzjaw militari estiżi. Sal-1979, ix-xiri tal-armi Sawdi mill-Istati Uniti qabeż ħames darbiet l-Iżrael. Motiv ieħor għax-xiri ta 'armi fuq skala kbira mill-Istati Uniti mill-Arabja Sawdija kien il-falliment tax-Shah matul Jannar 1979 biex iżomm il-kontroll tal-Iran, nazzjon Musulman mhux Għarbi iżda fil-biċċa l-kbira Shiite, li waqa' għal gvern Iżlatiku teokratiku taħt l-Ayatollah Ruhollah Khomeini wara r-Rivoluzzjoni Iranjana tal-1979. L-Arabja Sawdita, min-naħa l-oħra, hija nazzjon Għarbi, fil-biċċa l-kbira Sunni Musulman immexxi minn monarkija kważi assolutista. Wara r-rivoluzzjoni Iranjana, is-Saudis kienu mġiegħla jittrattaw il-prospett ta 'destabilizzazzjoni interna permezz tar-radikaliżmu tal-Iżlamiżmu, realtà li malajr tiġi żvelata fil-qbid tal-Moskea Gran Revolta fir-reġjun b'ħafna żejt al-Hasa fl-Arabja Sawdija f'Diċembru tal-istess sena. F'Novembru 2010, WikiLeaks nixxew kejbils diplomatiċi kunfidenzjali li għandhom x'jaqsmu ma 'l-Istati Uniti u l-alleati tagħha li żvelaw li r-re Sawdi tal-mibki Abdullah ħeġġeġ lill-Istati Uniti biex jattakkaw l-Iran sabiex jeqirdu l-programm potenzjali tiegħu ta' armi nukleari, li ddeskriva l-Iran bħala "serp li għandhom jinqatgħu mingħajr ebda procrastination. "</v>
      </c>
    </row>
    <row r="2957" ht="15.75" customHeight="1">
      <c r="A2957" s="2" t="s">
        <v>2957</v>
      </c>
      <c r="B2957" s="2" t="str">
        <f>IFERROR(__xludf.DUMMYFUNCTION("GOOGLETRANSLATE(A2957, ""en"", ""mt"")"),"Anabaptisti, Zwinglianism, u l-Papat")</f>
        <v>Anabaptisti, Zwinglianism, u l-Papat</v>
      </c>
    </row>
    <row r="2958" ht="15.75" customHeight="1">
      <c r="A2958" s="2" t="s">
        <v>2958</v>
      </c>
      <c r="B2958" s="2" t="str">
        <f>IFERROR(__xludf.DUMMYFUNCTION("GOOGLETRANSLATE(A2958, ""en"", ""mt"")"),"Ma 'liema tipi ta' mard jintużaw ħafna drabi drogi speċjalizzati?")</f>
        <v>Ma 'liema tipi ta' mard jintużaw ħafna drabi drogi speċjalizzati?</v>
      </c>
    </row>
    <row r="2959" ht="15.75" customHeight="1">
      <c r="A2959" s="2" t="s">
        <v>2959</v>
      </c>
      <c r="B2959" s="2" t="str">
        <f>IFERROR(__xludf.DUMMYFUNCTION("GOOGLETRANSLATE(A2959, ""en"", ""mt"")"),"F'liema tip ta 'sistema ta' partiċelli m'hemmx forzi iinternali żbilanċjati?")</f>
        <v>F'liema tip ta 'sistema ta' partiċelli m'hemmx forzi iinternali żbilanċjati?</v>
      </c>
    </row>
    <row r="2960" ht="15.75" customHeight="1">
      <c r="A2960" s="2" t="s">
        <v>2960</v>
      </c>
      <c r="B2960" s="2" t="str">
        <f>IFERROR(__xludf.DUMMYFUNCTION("GOOGLETRANSLATE(A2960, ""en"", ""mt"")"),"Min għandu r-rwol li jżomm il-gvern Skoċċiż?")</f>
        <v>Min għandu r-rwol li jżomm il-gvern Skoċċiż?</v>
      </c>
    </row>
    <row r="2961" ht="15.75" customHeight="1">
      <c r="A2961" s="2" t="s">
        <v>2961</v>
      </c>
      <c r="B2961" s="2" t="str">
        <f>IFERROR(__xludf.DUMMYFUNCTION("GOOGLETRANSLATE(A2961, ""en"", ""mt"")"),"Sport (inkluż il-futbol Ingliż tal-Premier League), films, divertiment u aħbarijiet")</f>
        <v>Sport (inkluż il-futbol Ingliż tal-Premier League), films, divertiment u aħbarijiet</v>
      </c>
    </row>
    <row r="2962" ht="15.75" customHeight="1">
      <c r="A2962" s="2" t="s">
        <v>2962</v>
      </c>
      <c r="B2962" s="2" t="str">
        <f>IFERROR(__xludf.DUMMYFUNCTION("GOOGLETRANSLATE(A2962, ""en"", ""mt"")"),"Madwar 3,000 mil (4,800 km) bejn Ġunju u Novembru 1749.")</f>
        <v>Madwar 3,000 mil (4,800 km) bejn Ġunju u Novembru 1749.</v>
      </c>
    </row>
    <row r="2963" ht="15.75" customHeight="1">
      <c r="A2963" s="2" t="s">
        <v>2963</v>
      </c>
      <c r="B2963" s="2" t="str">
        <f>IFERROR(__xludf.DUMMYFUNCTION("GOOGLETRANSLATE(A2963, ""en"", ""mt"")"),"Meta ġew injorati l-kitbiet ta 'Luther dwar il-Lhud, skond Johannes Wallmann?")</f>
        <v>Meta ġew injorati l-kitbiet ta 'Luther dwar il-Lhud, skond Johannes Wallmann?</v>
      </c>
    </row>
    <row r="2964" ht="15.75" customHeight="1">
      <c r="A2964" s="2" t="s">
        <v>2964</v>
      </c>
      <c r="B2964" s="2" t="str">
        <f>IFERROR(__xludf.DUMMYFUNCTION("GOOGLETRANSLATE(A2964, ""en"", ""mt"")"),"tkeċċija")</f>
        <v>tkeċċija</v>
      </c>
    </row>
    <row r="2965" ht="15.75" customHeight="1">
      <c r="A2965" s="2" t="s">
        <v>2965</v>
      </c>
      <c r="B2965" s="2" t="str">
        <f>IFERROR(__xludf.DUMMYFUNCTION("GOOGLETRANSLATE(A2965, ""en"", ""mt"")"),"Settembru 2007")</f>
        <v>Settembru 2007</v>
      </c>
    </row>
    <row r="2966" ht="15.75" customHeight="1">
      <c r="A2966" s="2" t="s">
        <v>2966</v>
      </c>
      <c r="B2966" s="2" t="str">
        <f>IFERROR(__xludf.DUMMYFUNCTION("GOOGLETRANSLATE(A2966, ""en"", ""mt"")"),"Ir-Renju Unit")</f>
        <v>Ir-Renju Unit</v>
      </c>
    </row>
    <row r="2967" ht="15.75" customHeight="1">
      <c r="A2967" s="2" t="s">
        <v>2967</v>
      </c>
      <c r="B2967" s="2" t="str">
        <f>IFERROR(__xludf.DUMMYFUNCTION("GOOGLETRANSLATE(A2967, ""en"", ""mt"")"),"Mongolja")</f>
        <v>Mongolja</v>
      </c>
    </row>
    <row r="2968" ht="15.75" customHeight="1">
      <c r="A2968" s="2" t="s">
        <v>2968</v>
      </c>
      <c r="B2968" s="2" t="str">
        <f>IFERROR(__xludf.DUMMYFUNCTION("GOOGLETRANSLATE(A2968, ""en"", ""mt"")"),"X'inhuma t-tliet tradizzjonijiet ewlenin preżenti fil-Kristjaneżmu?")</f>
        <v>X'inhuma t-tliet tradizzjonijiet ewlenin preżenti fil-Kristjaneżmu?</v>
      </c>
    </row>
    <row r="2969" ht="15.75" customHeight="1">
      <c r="A2969" s="2" t="s">
        <v>2969</v>
      </c>
      <c r="B2969" s="2" t="str">
        <f>IFERROR(__xludf.DUMMYFUNCTION("GOOGLETRANSLATE(A2969, ""en"", ""mt"")"),"Ctenophora (/ tᵻˈnɒfərə /; ctenophore singular, / ˈtɛnəfɔːr / jew / ˈtiːnəfɔːr /; mill-Grieg κτείς kteis 'comb' u φέρω pherō 'carry'; magħrufa bħala mellies tal-moxt) huwa l-phylu li jgħixu fid-dinja tal-baħar. L-iktar karatteristika distintiva tagħhom hi"&amp;"ja l- ""pettnijiet"" - gruppi ta 'ċili li jużaw għall-għawm - huma l-akbar annimali li jgħumu permezz ta' ċili. Adulti ta 'speċi varji jvarjaw minn ftit millimetri sa 1.5 m (4 ft 11 in) fid-daqs. Bħal cnidarians, ġisimhom jikkonsistu minn massa ta 'ġelati"&amp;"na, b'saff wieħed ta' ċelloli fuq barra u ieħor inforra l-kavità interna. Fis-ctenophores, dawn is-saffi huma żewġ ċelloli fil-fond, filwaqt li dawk fis-cnidarians huma ċellola waħda fil-fond biss. Xi awturi kkombinaw ctenophores u cnidarians fi phylum wi"&amp;"eħed, coelenterata, billi ż-żewġ gruppi jiddependu fuq il-fluss tal-ilma mill-kavità tal-ġisem kemm għad-diġestjoni kif ukoll għar-respirazzjoni. Iż-żieda fl-għarfien tad-differenzi kkonvinċiet lill-awturi aktar riċenti biex jikklassifikawhom bħala phyla "&amp;"separati.")</f>
        <v>Ctenophora (/ tᵻˈnɒfərə /; ctenophore singular, / ˈtɛnəfɔːr / jew / ˈtiːnəfɔːr /; mill-Grieg κτείς kteis 'comb' u φέρω pherō 'carry'; magħrufa bħala mellies tal-moxt) huwa l-phylu li jgħixu fid-dinja tal-baħar. L-iktar karatteristika distintiva tagħhom hija l- "pettnijiet" - gruppi ta 'ċili li jużaw għall-għawm - huma l-akbar annimali li jgħumu permezz ta' ċili. Adulti ta 'speċi varji jvarjaw minn ftit millimetri sa 1.5 m (4 ft 11 in) fid-daqs. Bħal cnidarians, ġisimhom jikkonsistu minn massa ta 'ġelatina, b'saff wieħed ta' ċelloli fuq barra u ieħor inforra l-kavità interna. Fis-ctenophores, dawn is-saffi huma żewġ ċelloli fil-fond, filwaqt li dawk fis-cnidarians huma ċellola waħda fil-fond biss. Xi awturi kkombinaw ctenophores u cnidarians fi phylum wieħed, coelenterata, billi ż-żewġ gruppi jiddependu fuq il-fluss tal-ilma mill-kavità tal-ġisem kemm għad-diġestjoni kif ukoll għar-respirazzjoni. Iż-żieda fl-għarfien tad-differenzi kkonvinċiet lill-awturi aktar riċenti biex jikklassifikawhom bħala phyla separati.</v>
      </c>
    </row>
    <row r="2970" ht="15.75" customHeight="1">
      <c r="A2970" s="2" t="s">
        <v>2970</v>
      </c>
      <c r="B2970" s="2" t="str">
        <f>IFERROR(__xludf.DUMMYFUNCTION("GOOGLETRANSLATE(A2970, ""en"", ""mt"")"),"Politiki li jnaqqsu l-effetti assoċjati tal-inugwaljanza tal-qgħad jappoġġjaw liema tip ta 'tkabbir?")</f>
        <v>Politiki li jnaqqsu l-effetti assoċjati tal-inugwaljanza tal-qgħad jappoġġjaw liema tip ta 'tkabbir?</v>
      </c>
    </row>
    <row r="2971" ht="15.75" customHeight="1">
      <c r="A2971" s="2" t="s">
        <v>2971</v>
      </c>
      <c r="B2971" s="2" t="str">
        <f>IFERROR(__xludf.DUMMYFUNCTION("GOOGLETRANSLATE(A2971, ""en"", ""mt"")"),"Daħħal is-saċerdozju")</f>
        <v>Daħħal is-saċerdozju</v>
      </c>
    </row>
    <row r="2972" ht="15.75" customHeight="1">
      <c r="A2972" s="2" t="s">
        <v>2972</v>
      </c>
      <c r="B2972" s="2" t="str">
        <f>IFERROR(__xludf.DUMMYFUNCTION("GOOGLETRANSLATE(A2972, ""en"", ""mt"")"),"X’tesla kitbet Tesla?")</f>
        <v>X’tesla kitbet Tesla?</v>
      </c>
    </row>
    <row r="2973" ht="15.75" customHeight="1">
      <c r="A2973" s="2" t="s">
        <v>2973</v>
      </c>
      <c r="B2973" s="2" t="str">
        <f>IFERROR(__xludf.DUMMYFUNCTION("GOOGLETRANSLATE(A2973, ""en"", ""mt"")"),"Pro-għażla")</f>
        <v>Pro-għażla</v>
      </c>
    </row>
    <row r="2974" ht="15.75" customHeight="1">
      <c r="A2974" s="2" t="s">
        <v>2974</v>
      </c>
      <c r="B2974" s="2" t="str">
        <f>IFERROR(__xludf.DUMMYFUNCTION("GOOGLETRANSLATE(A2974, ""en"", ""mt"")"),"X'jista 'jkollu l-gvern li jkollu għalliem qabel ma jitħalla jgħallem?")</f>
        <v>X'jista 'jkollu l-gvern li jkollu għalliem qabel ma jitħalla jgħallem?</v>
      </c>
    </row>
    <row r="2975" ht="15.75" customHeight="1">
      <c r="A2975" s="2" t="s">
        <v>2975</v>
      </c>
      <c r="B2975" s="2" t="str">
        <f>IFERROR(__xludf.DUMMYFUNCTION("GOOGLETRANSLATE(A2975, ""en"", ""mt"")"),"ħamsin")</f>
        <v>ħamsin</v>
      </c>
    </row>
    <row r="2976" ht="15.75" customHeight="1">
      <c r="A2976" s="2" t="s">
        <v>2976</v>
      </c>
      <c r="B2976" s="2" t="str">
        <f>IFERROR(__xludf.DUMMYFUNCTION("GOOGLETRANSLATE(A2976, ""en"", ""mt"")"),"Kemm touchdowns Jonathan Stewart kellu fi 13-il logħba?")</f>
        <v>Kemm touchdowns Jonathan Stewart kellu fi 13-il logħba?</v>
      </c>
    </row>
    <row r="2977" ht="15.75" customHeight="1">
      <c r="A2977" s="2" t="s">
        <v>2977</v>
      </c>
      <c r="B2977" s="2" t="str">
        <f>IFERROR(__xludf.DUMMYFUNCTION("GOOGLETRANSLATE(A2977, ""en"", ""mt"")"),"Iżlamiżmu")</f>
        <v>Iżlamiżmu</v>
      </c>
    </row>
    <row r="2978" ht="15.75" customHeight="1">
      <c r="A2978" s="2" t="s">
        <v>2978</v>
      </c>
      <c r="B2978" s="2" t="str">
        <f>IFERROR(__xludf.DUMMYFUNCTION("GOOGLETRANSLATE(A2978, ""en"", ""mt"")"),"elett")</f>
        <v>elett</v>
      </c>
    </row>
    <row r="2979" ht="15.75" customHeight="1">
      <c r="A2979" s="2" t="s">
        <v>2979</v>
      </c>
      <c r="B2979" s="2" t="str">
        <f>IFERROR(__xludf.DUMMYFUNCTION("GOOGLETRANSLATE(A2979, ""en"", ""mt"")"),"Meta seħħet l-estinzjoni tal-paleogen Kretaċeju?")</f>
        <v>Meta seħħet l-estinzjoni tal-paleogen Kretaċeju?</v>
      </c>
    </row>
    <row r="2980" ht="15.75" customHeight="1">
      <c r="A2980" s="2" t="s">
        <v>2980</v>
      </c>
      <c r="B2980" s="2" t="str">
        <f>IFERROR(__xludf.DUMMYFUNCTION("GOOGLETRANSLATE(A2980, ""en"", ""mt"")"),"Deżert tal-Colorado")</f>
        <v>Deżert tal-Colorado</v>
      </c>
    </row>
    <row r="2981" ht="15.75" customHeight="1">
      <c r="A2981" s="2" t="s">
        <v>2981</v>
      </c>
      <c r="B2981" s="2" t="str">
        <f>IFERROR(__xludf.DUMMYFUNCTION("GOOGLETRANSLATE(A2981, ""en"", ""mt"")"),"Luther's Tune")</f>
        <v>Luther's Tune</v>
      </c>
    </row>
    <row r="2982" ht="15.75" customHeight="1">
      <c r="A2982" s="2" t="s">
        <v>2982</v>
      </c>
      <c r="B2982" s="2" t="str">
        <f>IFERROR(__xludf.DUMMYFUNCTION("GOOGLETRANSLATE(A2982, ""en"", ""mt"")"),"Dak li kultant isegwi l-kloroplasti li jiċċaqilqu?")</f>
        <v>Dak li kultant isegwi l-kloroplasti li jiċċaqilqu?</v>
      </c>
    </row>
    <row r="2983" ht="15.75" customHeight="1">
      <c r="A2983" s="2" t="s">
        <v>2983</v>
      </c>
      <c r="B2983" s="2" t="str">
        <f>IFERROR(__xludf.DUMMYFUNCTION("GOOGLETRANSLATE(A2983, ""en"", ""mt"")"),"Tramuntana")</f>
        <v>Tramuntana</v>
      </c>
    </row>
    <row r="2984" ht="15.75" customHeight="1">
      <c r="A2984" s="2" t="s">
        <v>2984</v>
      </c>
      <c r="B2984" s="2" t="str">
        <f>IFERROR(__xludf.DUMMYFUNCTION("GOOGLETRANSLATE(A2984, ""en"", ""mt"")"),"it-tieni l-akbar")</f>
        <v>it-tieni l-akbar</v>
      </c>
    </row>
    <row r="2985" ht="15.75" customHeight="1">
      <c r="A2985" s="2" t="s">
        <v>2985</v>
      </c>
      <c r="B2985" s="2" t="str">
        <f>IFERROR(__xludf.DUMMYFUNCTION("GOOGLETRANSLATE(A2985, ""en"", ""mt"")"),"Grupp tal-kloroplast tal-glaukofit")</f>
        <v>Grupp tal-kloroplast tal-glaukofit</v>
      </c>
    </row>
    <row r="2986" ht="15.75" customHeight="1">
      <c r="A2986" s="2" t="s">
        <v>2986</v>
      </c>
      <c r="B2986" s="2" t="str">
        <f>IFERROR(__xludf.DUMMYFUNCTION("GOOGLETRANSLATE(A2986, ""en"", ""mt"")"),"Ta 'liema reġjun kienet parti sassonja?")</f>
        <v>Ta 'liema reġjun kienet parti sassonja?</v>
      </c>
    </row>
    <row r="2987" ht="15.75" customHeight="1">
      <c r="A2987" s="2" t="s">
        <v>2987</v>
      </c>
      <c r="B2987" s="2" t="str">
        <f>IFERROR(__xludf.DUMMYFUNCTION("GOOGLETRANSLATE(A2987, ""en"", ""mt"")"),"Tribujiet Mongoljani u Turkiċi")</f>
        <v>Tribujiet Mongoljani u Turkiċi</v>
      </c>
    </row>
    <row r="2988" ht="15.75" customHeight="1">
      <c r="A2988" s="2" t="s">
        <v>2988</v>
      </c>
      <c r="B2988" s="2" t="str">
        <f>IFERROR(__xludf.DUMMYFUNCTION("GOOGLETRANSLATE(A2988, ""en"", ""mt"")"),"F’liema reliġjon Tesla kibret?")</f>
        <v>F’liema reliġjon Tesla kibret?</v>
      </c>
    </row>
    <row r="2989" ht="15.75" customHeight="1">
      <c r="A2989" s="2" t="s">
        <v>2989</v>
      </c>
      <c r="B2989" s="2" t="str">
        <f>IFERROR(__xludf.DUMMYFUNCTION("GOOGLETRANSLATE(A2989, ""en"", ""mt"")"),"konferma u xi kultant il-professjoni tal-fidi")</f>
        <v>konferma u xi kultant il-professjoni tal-fidi</v>
      </c>
    </row>
    <row r="2990" ht="15.75" customHeight="1">
      <c r="A2990" s="2" t="s">
        <v>2990</v>
      </c>
      <c r="B2990" s="2" t="str">
        <f>IFERROR(__xludf.DUMMYFUNCTION("GOOGLETRANSLATE(A2990, ""en"", ""mt"")"),"ġew stabbiliti l-fondazzjonijiet")</f>
        <v>ġew stabbiliti l-fondazzjonijiet</v>
      </c>
    </row>
    <row r="2991" ht="15.75" customHeight="1">
      <c r="A2991" s="2" t="s">
        <v>2991</v>
      </c>
      <c r="B2991" s="2" t="str">
        <f>IFERROR(__xludf.DUMMYFUNCTION("GOOGLETRANSLATE(A2991, ""en"", ""mt"")"),"Spjegazzjonijiet huma raġonevolment appoġġati tajjeb")</f>
        <v>Spjegazzjonijiet huma raġonevolment appoġġati tajjeb</v>
      </c>
    </row>
    <row r="2992" ht="15.75" customHeight="1">
      <c r="A2992" s="2" t="s">
        <v>2992</v>
      </c>
      <c r="B2992" s="2" t="str">
        <f>IFERROR(__xludf.DUMMYFUNCTION("GOOGLETRANSLATE(A2992, ""en"", ""mt"")"),"siegħat twal")</f>
        <v>siegħat twal</v>
      </c>
    </row>
    <row r="2993" ht="15.75" customHeight="1">
      <c r="A2993" s="2" t="s">
        <v>2993</v>
      </c>
      <c r="B2993" s="2" t="str">
        <f>IFERROR(__xludf.DUMMYFUNCTION("GOOGLETRANSLATE(A2993, ""en"", ""mt"")"),"L-istati u t-territorji individwali")</f>
        <v>L-istati u t-territorji individwali</v>
      </c>
    </row>
    <row r="2994" ht="15.75" customHeight="1">
      <c r="A2994" s="2" t="s">
        <v>2994</v>
      </c>
      <c r="B2994" s="2" t="str">
        <f>IFERROR(__xludf.DUMMYFUNCTION("GOOGLETRANSLATE(A2994, ""en"", ""mt"")"),"L-istess sess")</f>
        <v>L-istess sess</v>
      </c>
    </row>
    <row r="2995" ht="15.75" customHeight="1">
      <c r="A2995" s="2" t="s">
        <v>2995</v>
      </c>
      <c r="B2995" s="2" t="str">
        <f>IFERROR(__xludf.DUMMYFUNCTION("GOOGLETRANSLATE(A2995, ""en"", ""mt"")"),"Meqrud Fort Frontenac")</f>
        <v>Meqrud Fort Frontenac</v>
      </c>
    </row>
    <row r="2996" ht="15.75" customHeight="1">
      <c r="A2996" s="2" t="s">
        <v>2996</v>
      </c>
      <c r="B2996" s="2" t="str">
        <f>IFERROR(__xludf.DUMMYFUNCTION("GOOGLETRANSLATE(A2996, ""en"", ""mt"")"),"Iddeċidejt li l-privattiva ta 'Tesla probabbilment tikkontrolla s-suq")</f>
        <v>Iddeċidejt li l-privattiva ta 'Tesla probabbilment tikkontrolla s-suq</v>
      </c>
    </row>
    <row r="2997" ht="15.75" customHeight="1">
      <c r="A2997" s="2" t="s">
        <v>2997</v>
      </c>
      <c r="B2997" s="2" t="str">
        <f>IFERROR(__xludf.DUMMYFUNCTION("GOOGLETRANSLATE(A2997, ""en"", ""mt"")"),"Sit tat-Test Nukleari tal-Merkurju tal-Kamp")</f>
        <v>Sit tat-Test Nukleari tal-Merkurju tal-Kamp</v>
      </c>
    </row>
    <row r="2998" ht="15.75" customHeight="1">
      <c r="A2998" s="2" t="s">
        <v>2998</v>
      </c>
      <c r="B2998" s="2" t="str">
        <f>IFERROR(__xludf.DUMMYFUNCTION("GOOGLETRANSLATE(A2998, ""en"", ""mt"")"),"aritmetika")</f>
        <v>aritmetika</v>
      </c>
    </row>
    <row r="2999" ht="15.75" customHeight="1">
      <c r="A2999" s="2" t="s">
        <v>2999</v>
      </c>
      <c r="B2999" s="2" t="str">
        <f>IFERROR(__xludf.DUMMYFUNCTION("GOOGLETRANSLATE(A2999, ""en"", ""mt"")"),"relatat mat-temp")</f>
        <v>relatat mat-temp</v>
      </c>
    </row>
    <row r="3000" ht="15.75" customHeight="1">
      <c r="A3000" s="2" t="s">
        <v>3000</v>
      </c>
      <c r="B3000" s="2" t="str">
        <f>IFERROR(__xludf.DUMMYFUNCTION("GOOGLETRANSLATE(A3000, ""en"", ""mt"")"),"Eżenzjonijiet mit-taxxa")</f>
        <v>Eżenzjonijiet mit-taxxa</v>
      </c>
    </row>
    <row r="3001" ht="15.75" customHeight="1">
      <c r="A3001" s="2" t="s">
        <v>3001</v>
      </c>
      <c r="B3001" s="2" t="str">
        <f>IFERROR(__xludf.DUMMYFUNCTION("GOOGLETRANSLATE(A3001, ""en"", ""mt"")"),"Fejn għamlu Charles de Gaulle u l-Operazzjonijiet tal-Ġirja Franċiża b'xejn matul it-Tieni Gwerra Dinjija?")</f>
        <v>Fejn għamlu Charles de Gaulle u l-Operazzjonijiet tal-Ġirja Franċiża b'xejn matul it-Tieni Gwerra Dinjija?</v>
      </c>
    </row>
    <row r="3002" ht="15.75" customHeight="1">
      <c r="A3002" s="2" t="s">
        <v>3002</v>
      </c>
      <c r="B3002" s="2" t="str">
        <f>IFERROR(__xludf.DUMMYFUNCTION("GOOGLETRANSLATE(A3002, ""en"", ""mt"")"),"Il-Knisja Metodista Magħquda hija")</f>
        <v>Il-Knisja Metodista Magħquda hija</v>
      </c>
    </row>
    <row r="3003" ht="15.75" customHeight="1">
      <c r="A3003" s="2" t="s">
        <v>3003</v>
      </c>
      <c r="B3003" s="2" t="str">
        <f>IFERROR(__xludf.DUMMYFUNCTION("GOOGLETRANSLATE(A3003, ""en"", ""mt"")"),"Il-bdil tal-pakketti jikkuntrasta ma 'paradigma ta' netwerking prinċipali ieħor, swiċċjar taċ-ċirkwit, metodu li jalloka minn qabel il-wisa 'tal-frekwenza netwerk iddedikat speċifikament għal kull sessjoni ta' komunikazzjoni, kull wieħed għandu rata ta 'b"&amp;"it kostanti u latenza bejn l-għoqiedi. F'każijiet ta 'servizzi li jistgħu jiġu kkonsenjati, bħal servizzi ta' komunikazzjoni ċellulari, iċ-ċirkwiti huma kkaratterizzati minn tariffa għal kull unità ta 'ħin ta' konnessjoni, anke meta l-ebda data ma tiġi tr"&amp;"asferita, filwaqt li l-iswiċċ tal-pakketti jista 'jkun ikkaratterizzat minn tariffa għal kull unità ta' informazzjoni trażmessa, bħal karattri , pakketti, jew messaġġi.")</f>
        <v>Il-bdil tal-pakketti jikkuntrasta ma 'paradigma ta' netwerking prinċipali ieħor, swiċċjar taċ-ċirkwit, metodu li jalloka minn qabel il-wisa 'tal-frekwenza netwerk iddedikat speċifikament għal kull sessjoni ta' komunikazzjoni, kull wieħed għandu rata ta 'bit kostanti u latenza bejn l-għoqiedi. F'każijiet ta 'servizzi li jistgħu jiġu kkonsenjati, bħal servizzi ta' komunikazzjoni ċellulari, iċ-ċirkwiti huma kkaratterizzati minn tariffa għal kull unità ta 'ħin ta' konnessjoni, anke meta l-ebda data ma tiġi trasferita, filwaqt li l-iswiċċ tal-pakketti jista 'jkun ikkaratterizzat minn tariffa għal kull unità ta' informazzjoni trażmessa, bħal karattri , pakketti, jew messaġġi.</v>
      </c>
    </row>
    <row r="3004" ht="15.75" customHeight="1">
      <c r="A3004" s="2" t="s">
        <v>3004</v>
      </c>
      <c r="B3004" s="2" t="str">
        <f>IFERROR(__xludf.DUMMYFUNCTION("GOOGLETRANSLATE(A3004, ""en"", ""mt"")"),"korruzzjoni u tixħim")</f>
        <v>korruzzjoni u tixħim</v>
      </c>
    </row>
    <row r="3005" ht="15.75" customHeight="1">
      <c r="A3005" s="2" t="s">
        <v>3005</v>
      </c>
      <c r="B3005" s="2" t="str">
        <f>IFERROR(__xludf.DUMMYFUNCTION("GOOGLETRANSLATE(A3005, ""en"", ""mt"")"),"Jannar 1985")</f>
        <v>Jannar 1985</v>
      </c>
    </row>
    <row r="3006" ht="15.75" customHeight="1">
      <c r="A3006" s="2" t="s">
        <v>3006</v>
      </c>
      <c r="B3006" s="2" t="str">
        <f>IFERROR(__xludf.DUMMYFUNCTION("GOOGLETRANSLATE(A3006, ""en"", ""mt"")"),"Fuq liema kien il-moviment liberu bbażat dejjem aktar?")</f>
        <v>Fuq liema kien il-moviment liberu bbażat dejjem aktar?</v>
      </c>
    </row>
    <row r="3007" ht="15.75" customHeight="1">
      <c r="A3007" s="2" t="s">
        <v>3007</v>
      </c>
      <c r="B3007" s="2" t="str">
        <f>IFERROR(__xludf.DUMMYFUNCTION("GOOGLETRANSLATE(A3007, ""en"", ""mt"")"),"B'liema pajjiż Ewropew ħassitha l-Huguenots għall-emigrazzjoni?")</f>
        <v>B'liema pajjiż Ewropew ħassitha l-Huguenots għall-emigrazzjoni?</v>
      </c>
    </row>
    <row r="3008" ht="15.75" customHeight="1">
      <c r="A3008" s="2" t="s">
        <v>3008</v>
      </c>
      <c r="B3008" s="2" t="str">
        <f>IFERROR(__xludf.DUMMYFUNCTION("GOOGLETRANSLATE(A3008, ""en"", ""mt"")"),"Meta tintuża l-vjolenza, kif tissejjaħ kultant id-diżubbidjenza ċivili?")</f>
        <v>Meta tintuża l-vjolenza, kif tissejjaħ kultant id-diżubbidjenza ċivili?</v>
      </c>
    </row>
    <row r="3009" ht="15.75" customHeight="1">
      <c r="A3009" s="2" t="s">
        <v>3009</v>
      </c>
      <c r="B3009" s="2" t="str">
        <f>IFERROR(__xludf.DUMMYFUNCTION("GOOGLETRANSLATE(A3009, ""en"", ""mt"")"),"X'wassal għal inugwaljanza fid-dħul aktar baxxa?")</f>
        <v>X'wassal għal inugwaljanza fid-dħul aktar baxxa?</v>
      </c>
    </row>
    <row r="3010" ht="15.75" customHeight="1">
      <c r="A3010" s="2" t="s">
        <v>3010</v>
      </c>
      <c r="B3010" s="2" t="str">
        <f>IFERROR(__xludf.DUMMYFUNCTION("GOOGLETRANSLATE(A3010, ""en"", ""mt"")"),"Kważi tliet mitt sena")</f>
        <v>Kważi tliet mitt sena</v>
      </c>
    </row>
    <row r="3011" ht="15.75" customHeight="1">
      <c r="A3011" s="2" t="s">
        <v>3011</v>
      </c>
      <c r="B3011" s="2" t="str">
        <f>IFERROR(__xludf.DUMMYFUNCTION("GOOGLETRANSLATE(A3011, ""en"", ""mt"")"),"Artisti Pollakki u Internazzjonali a")</f>
        <v>Artisti Pollakki u Internazzjonali a</v>
      </c>
    </row>
    <row r="3012" ht="15.75" customHeight="1">
      <c r="A3012" s="2" t="s">
        <v>3012</v>
      </c>
      <c r="B3012" s="2" t="str">
        <f>IFERROR(__xludf.DUMMYFUNCTION("GOOGLETRANSLATE(A3012, ""en"", ""mt"")"),"Liema għaxar snin reċenti rat it-tleqqija tal-perċezzjoni ta 'Genghis Khan fil-Mongolja?")</f>
        <v>Liema għaxar snin reċenti rat it-tleqqija tal-perċezzjoni ta 'Genghis Khan fil-Mongolja?</v>
      </c>
    </row>
    <row r="3013" ht="15.75" customHeight="1">
      <c r="A3013" s="2" t="s">
        <v>3013</v>
      </c>
      <c r="B3013" s="2" t="str">
        <f>IFERROR(__xludf.DUMMYFUNCTION("GOOGLETRANSLATE(A3013, ""en"", ""mt"")"),"2p - 1")</f>
        <v>2p - 1</v>
      </c>
    </row>
    <row r="3014" ht="15.75" customHeight="1">
      <c r="A3014" s="2" t="s">
        <v>3014</v>
      </c>
      <c r="B3014" s="2" t="str">
        <f>IFERROR(__xludf.DUMMYFUNCTION("GOOGLETRANSLATE(A3014, ""en"", ""mt"")"),"Ippjana li niġbor il-kitbiet tiegħi f'volumi")</f>
        <v>Ippjana li niġbor il-kitbiet tiegħi f'volumi</v>
      </c>
    </row>
    <row r="3015" ht="15.75" customHeight="1">
      <c r="A3015" s="2" t="s">
        <v>3015</v>
      </c>
      <c r="B3015" s="2" t="str">
        <f>IFERROR(__xludf.DUMMYFUNCTION("GOOGLETRANSLATE(A3015, ""en"", ""mt"")"),"X'inhuma l-aktar partijiet attivi ta 'Ctenophora?")</f>
        <v>X'inhuma l-aktar partijiet attivi ta 'Ctenophora?</v>
      </c>
    </row>
    <row r="3016" ht="15.75" customHeight="1">
      <c r="A3016" s="2" t="s">
        <v>3016</v>
      </c>
      <c r="B3016" s="2" t="str">
        <f>IFERROR(__xludf.DUMMYFUNCTION("GOOGLETRANSLATE(A3016, ""en"", ""mt"")"),"Min fost is-suġġetti ta 'Genghis Khan qasmu privileġġi simili għall-membri tal-familja viċin tiegħu?")</f>
        <v>Min fost is-suġġetti ta 'Genghis Khan qasmu privileġġi simili għall-membri tal-familja viċin tiegħu?</v>
      </c>
    </row>
    <row r="3017" ht="15.75" customHeight="1">
      <c r="A3017" s="2" t="s">
        <v>3017</v>
      </c>
      <c r="B3017" s="2" t="str">
        <f>IFERROR(__xludf.DUMMYFUNCTION("GOOGLETRANSLATE(A3017, ""en"", ""mt"")"),"X'segwi l-edukazzjoni sekondarja?")</f>
        <v>X'segwi l-edukazzjoni sekondarja?</v>
      </c>
    </row>
    <row r="3018" ht="15.75" customHeight="1">
      <c r="A3018" s="2" t="s">
        <v>3018</v>
      </c>
      <c r="B3018" s="2" t="str">
        <f>IFERROR(__xludf.DUMMYFUNCTION("GOOGLETRANSLATE(A3018, ""en"", ""mt"")"),"ħafna ħwawar oħra")</f>
        <v>ħafna ħwawar oħra</v>
      </c>
    </row>
    <row r="3019" ht="15.75" customHeight="1">
      <c r="A3019" s="2" t="s">
        <v>3019</v>
      </c>
      <c r="B3019" s="2" t="str">
        <f>IFERROR(__xludf.DUMMYFUNCTION("GOOGLETRANSLATE(A3019, ""en"", ""mt"")"),"Netwerk tar-Radju")</f>
        <v>Netwerk tar-Radju</v>
      </c>
    </row>
    <row r="3020" ht="15.75" customHeight="1">
      <c r="A3020" s="2" t="s">
        <v>3020</v>
      </c>
      <c r="B3020" s="2" t="str">
        <f>IFERROR(__xludf.DUMMYFUNCTION("GOOGLETRANSLATE(A3020, ""en"", ""mt"")"),"X'jagħmel xi ħadd li jagħmel diżubbidjenti ċivily fil-qorti?")</f>
        <v>X'jagħmel xi ħadd li jagħmel diżubbidjenti ċivily fil-qorti?</v>
      </c>
    </row>
    <row r="3021" ht="15.75" customHeight="1">
      <c r="A3021" s="2" t="s">
        <v>3021</v>
      </c>
      <c r="B3021" s="2" t="str">
        <f>IFERROR(__xludf.DUMMYFUNCTION("GOOGLETRANSLATE(A3021, ""en"", ""mt"")"),"Minn xiex tista 'skola charter teħtieġ li l-għalliema tagħhom jilħqu l-istandards biex ikunu kwalifikati ħafna?")</f>
        <v>Minn xiex tista 'skola charter teħtieġ li l-għalliema tagħhom jilħqu l-istandards biex ikunu kwalifikati ħafna?</v>
      </c>
    </row>
    <row r="3022" ht="15.75" customHeight="1">
      <c r="A3022" s="2" t="s">
        <v>3022</v>
      </c>
      <c r="B3022" s="2" t="str">
        <f>IFERROR(__xludf.DUMMYFUNCTION("GOOGLETRANSLATE(A3022, ""en"", ""mt"")"),"X'kien effett proġettat addizzjonali tal-attentat ta 'riforma?")</f>
        <v>X'kien effett proġettat addizzjonali tal-attentat ta 'riforma?</v>
      </c>
    </row>
    <row r="3023" ht="15.75" customHeight="1">
      <c r="A3023" s="2" t="s">
        <v>3023</v>
      </c>
      <c r="B3023" s="2" t="str">
        <f>IFERROR(__xludf.DUMMYFUNCTION("GOOGLETRANSLATE(A3023, ""en"", ""mt"")"),"Gradjenti topografiċi")</f>
        <v>Gradjenti topografiċi</v>
      </c>
    </row>
    <row r="3024" ht="15.75" customHeight="1">
      <c r="A3024" s="2" t="s">
        <v>3024</v>
      </c>
      <c r="B3024" s="2" t="str">
        <f>IFERROR(__xludf.DUMMYFUNCTION("GOOGLETRANSLATE(A3024, ""en"", ""mt"")"),"X'jiġri man-nematokisti tal-bram meta jittieklu mill-Haeckelia?")</f>
        <v>X'jiġri man-nematokisti tal-bram meta jittieklu mill-Haeckelia?</v>
      </c>
    </row>
    <row r="3025" ht="15.75" customHeight="1">
      <c r="A3025" s="2" t="s">
        <v>3025</v>
      </c>
      <c r="B3025" s="2" t="str">
        <f>IFERROR(__xludf.DUMMYFUNCTION("GOOGLETRANSLATE(A3025, ""en"", ""mt"")"),"B'differenza mill-konferma u l-professjoni tal-fidi, x'inhu sagrament fl-UMC?")</f>
        <v>B'differenza mill-konferma u l-professjoni tal-fidi, x'inhu sagrament fl-UMC?</v>
      </c>
    </row>
    <row r="3026" ht="15.75" customHeight="1">
      <c r="A3026" s="2" t="s">
        <v>3026</v>
      </c>
      <c r="B3026" s="2" t="str">
        <f>IFERROR(__xludf.DUMMYFUNCTION("GOOGLETRANSLATE(A3026, ""en"", ""mt"")"),"Pressjoni 'l isfel fuq il-pagi")</f>
        <v>Pressjoni 'l isfel fuq il-pagi</v>
      </c>
    </row>
    <row r="3027" ht="15.75" customHeight="1">
      <c r="A3027" s="2" t="s">
        <v>3027</v>
      </c>
      <c r="B3027" s="2" t="str">
        <f>IFERROR(__xludf.DUMMYFUNCTION("GOOGLETRANSLATE(A3027, ""en"", ""mt"")"),"jaħbi Lhudi fid-dar tagħhom")</f>
        <v>jaħbi Lhudi fid-dar tagħhom</v>
      </c>
    </row>
    <row r="3028" ht="15.75" customHeight="1">
      <c r="A3028" s="2" t="s">
        <v>3028</v>
      </c>
      <c r="B3028" s="2" t="str">
        <f>IFERROR(__xludf.DUMMYFUNCTION("GOOGLETRANSLATE(A3028, ""en"", ""mt"")"),"produtturi tal-ispettaklu")</f>
        <v>produtturi tal-ispettaklu</v>
      </c>
    </row>
    <row r="3029" ht="15.75" customHeight="1">
      <c r="A3029" s="2" t="s">
        <v>3029</v>
      </c>
      <c r="B3029" s="2" t="str">
        <f>IFERROR(__xludf.DUMMYFUNCTION("GOOGLETRANSLATE(A3029, ""en"", ""mt"")"),"Min jagħti tmexxija, jippriedka l-kelma u jmexxi ż-żwiġijiet, fost dmirijiet oħra?")</f>
        <v>Min jagħti tmexxija, jippriedka l-kelma u jmexxi ż-żwiġijiet, fost dmirijiet oħra?</v>
      </c>
    </row>
    <row r="3030" ht="15.75" customHeight="1">
      <c r="A3030" s="2" t="s">
        <v>3030</v>
      </c>
      <c r="B3030" s="2" t="str">
        <f>IFERROR(__xludf.DUMMYFUNCTION("GOOGLETRANSLATE(A3030, ""en"", ""mt"")"),"mukus")</f>
        <v>mukus</v>
      </c>
    </row>
    <row r="3031" ht="15.75" customHeight="1">
      <c r="A3031" s="2" t="s">
        <v>3031</v>
      </c>
      <c r="B3031" s="2" t="str">
        <f>IFERROR(__xludf.DUMMYFUNCTION("GOOGLETRANSLATE(A3031, ""en"", ""mt"")"),"Kemm-il darba l-Broncos ikkawżaw fatturat fil-logħba?")</f>
        <v>Kemm-il darba l-Broncos ikkawżaw fatturat fil-logħba?</v>
      </c>
    </row>
    <row r="3032" ht="15.75" customHeight="1">
      <c r="A3032" s="2" t="s">
        <v>3032</v>
      </c>
      <c r="B3032" s="2" t="str">
        <f>IFERROR(__xludf.DUMMYFUNCTION("GOOGLETRANSLATE(A3032, ""en"", ""mt"")"),"Kemm instabu l-fossili fiċ-Ċina?")</f>
        <v>Kemm instabu l-fossili fiċ-Ċina?</v>
      </c>
    </row>
    <row r="3033" ht="15.75" customHeight="1">
      <c r="A3033" s="2" t="s">
        <v>3033</v>
      </c>
      <c r="B3033" s="2" t="str">
        <f>IFERROR(__xludf.DUMMYFUNCTION("GOOGLETRANSLATE(A3033, ""en"", ""mt"")"),"diżarm ġenerali u komplut")</f>
        <v>diżarm ġenerali u komplut</v>
      </c>
    </row>
    <row r="3034" ht="15.75" customHeight="1">
      <c r="A3034" s="2" t="s">
        <v>3034</v>
      </c>
      <c r="B3034" s="2" t="str">
        <f>IFERROR(__xludf.DUMMYFUNCTION("GOOGLETRANSLATE(A3034, ""en"", ""mt"")"),"Xi jħossu xi nies diżubbidjenti ċivili li jirrikonoxxu.")</f>
        <v>Xi jħossu xi nies diżubbidjenti ċivili li jirrikonoxxu.</v>
      </c>
    </row>
    <row r="3035" ht="15.75" customHeight="1">
      <c r="A3035" s="2" t="s">
        <v>3035</v>
      </c>
      <c r="B3035" s="2" t="str">
        <f>IFERROR(__xludf.DUMMYFUNCTION("GOOGLETRANSLATE(A3035, ""en"", ""mt"")"),"Popli ta 'l-Amerika t'Isfel")</f>
        <v>Popli ta 'l-Amerika t'Isfel</v>
      </c>
    </row>
    <row r="3036" ht="15.75" customHeight="1">
      <c r="A3036" s="2" t="s">
        <v>3036</v>
      </c>
      <c r="B3036" s="2" t="str">
        <f>IFERROR(__xludf.DUMMYFUNCTION("GOOGLETRANSLATE(A3036, ""en"", ""mt"")"),"ossiġenu molekulari u idroġenu")</f>
        <v>ossiġenu molekulari u idroġenu</v>
      </c>
    </row>
    <row r="3037" ht="15.75" customHeight="1">
      <c r="A3037" s="2" t="s">
        <v>3037</v>
      </c>
      <c r="B3037" s="2" t="str">
        <f>IFERROR(__xludf.DUMMYFUNCTION("GOOGLETRANSLATE(A3037, ""en"", ""mt"")"),"Ħafna mill-kitbiet ta 'Tesla huma disponibbli liberament fuq il-web, inkluż l-artiklu ""Il-Problema taż-Żieda tal-Enerġija tal-Bniedem"", ippubblikat fir-rivista Century fl-1900, u l-artiklu ""Esperimenti b'kurrenti alternattivi ta' potenzjal għoli u frek"&amp;"wenza għolja,"" ippubblikat f'Hid Invenzjonijiet tal-kotba, riċerki u kitbiet ta ’Nikola Tesla.")</f>
        <v>Ħafna mill-kitbiet ta 'Tesla huma disponibbli liberament fuq il-web, inkluż l-artiklu "Il-Problema taż-Żieda tal-Enerġija tal-Bniedem", ippubblikat fir-rivista Century fl-1900, u l-artiklu "Esperimenti b'kurrenti alternattivi ta' potenzjal għoli u frekwenza għolja," ippubblikat f'Hid Invenzjonijiet tal-kotba, riċerki u kitbiet ta ’Nikola Tesla.</v>
      </c>
    </row>
    <row r="3038" ht="15.75" customHeight="1">
      <c r="A3038" s="2" t="s">
        <v>3038</v>
      </c>
      <c r="B3038" s="2" t="str">
        <f>IFERROR(__xludf.DUMMYFUNCTION("GOOGLETRANSLATE(A3038, ""en"", ""mt"")"),"Komponenti oħra huma spiss preżenti; Pompi (bħal injettur) biex ifornu l-ilma lill-bojler waqt l-operazzjoni, kondensaturi biex jirriċirkulaw l-ilma u jirkupraw is-sħana moħbija tal-vaporizzazzjoni, u s-superheaters biex jgħollu t-temperatura tal-fwar 'il"&amp;" fuq mill-punt tal-fwar saturat tiegħu, u diversi mekkaniżmi biex iżidu l- Abbozz għall-FireBoxes. Meta jintuża l-faħam, mekkaniżmu ta 'stoking tal-katina jew kamin u l-magna tas-sewqan jew mutur tiegħu jistgħu jiġu inklużi biex iċċaqlaq il-fjuwil minn bi"&amp;"nja tal-provvista (bunker) lejn il-firebox. Ara: Stoker Mekkaniku")</f>
        <v>Komponenti oħra huma spiss preżenti; Pompi (bħal injettur) biex ifornu l-ilma lill-bojler waqt l-operazzjoni, kondensaturi biex jirriċirkulaw l-ilma u jirkupraw is-sħana moħbija tal-vaporizzazzjoni, u s-superheaters biex jgħollu t-temperatura tal-fwar 'il fuq mill-punt tal-fwar saturat tiegħu, u diversi mekkaniżmi biex iżidu l- Abbozz għall-FireBoxes. Meta jintuża l-faħam, mekkaniżmu ta 'stoking tal-katina jew kamin u l-magna tas-sewqan jew mutur tiegħu jistgħu jiġu inklużi biex iċċaqlaq il-fjuwil minn binja tal-provvista (bunker) lejn il-firebox. Ara: Stoker Mekkaniku</v>
      </c>
    </row>
    <row r="3039" ht="15.75" customHeight="1">
      <c r="A3039" s="2" t="s">
        <v>3039</v>
      </c>
      <c r="B3039" s="2" t="str">
        <f>IFERROR(__xludf.DUMMYFUNCTION("GOOGLETRANSLATE(A3039, ""en"", ""mt"")"),"Liema lag massiv il-Mongoljani sejħu Tenggis?")</f>
        <v>Liema lag massiv il-Mongoljani sejħu Tenggis?</v>
      </c>
    </row>
    <row r="3040" ht="15.75" customHeight="1">
      <c r="A3040" s="2" t="s">
        <v>3040</v>
      </c>
      <c r="B3040" s="2" t="str">
        <f>IFERROR(__xludf.DUMMYFUNCTION("GOOGLETRANSLATE(A3040, ""en"", ""mt"")"),"Kemm imperi Musulmani użaw l-imperjalizmu?")</f>
        <v>Kemm imperi Musulmani użaw l-imperjalizmu?</v>
      </c>
    </row>
    <row r="3041" ht="15.75" customHeight="1">
      <c r="A3041" s="2" t="s">
        <v>3041</v>
      </c>
      <c r="B3041" s="2" t="str">
        <f>IFERROR(__xludf.DUMMYFUNCTION("GOOGLETRANSLATE(A3041, ""en"", ""mt"")"),"Il-kastig korporali qed jiżdied jew jonqos fin-Nofsinhar?")</f>
        <v>Il-kastig korporali qed jiżdied jew jonqos fin-Nofsinhar?</v>
      </c>
    </row>
    <row r="3042" ht="15.75" customHeight="1">
      <c r="A3042" s="2" t="s">
        <v>3042</v>
      </c>
      <c r="B3042" s="2" t="str">
        <f>IFERROR(__xludf.DUMMYFUNCTION("GOOGLETRANSLATE(A3042, ""en"", ""mt"")"),"X'jiġri meta s-sistema immuni inqas attiva min-normal?")</f>
        <v>X'jiġri meta s-sistema immuni inqas attiva min-normal?</v>
      </c>
    </row>
    <row r="3043" ht="15.75" customHeight="1">
      <c r="A3043" s="2" t="s">
        <v>3043</v>
      </c>
      <c r="B3043" s="2" t="str">
        <f>IFERROR(__xludf.DUMMYFUNCTION("GOOGLETRANSLATE(A3043, ""en"", ""mt"")"),"Min sekwenza l-ewwel plastome?")</f>
        <v>Min sekwenza l-ewwel plastome?</v>
      </c>
    </row>
    <row r="3044" ht="15.75" customHeight="1">
      <c r="A3044" s="2" t="s">
        <v>3044</v>
      </c>
      <c r="B3044" s="2" t="str">
        <f>IFERROR(__xludf.DUMMYFUNCTION("GOOGLETRANSLATE(A3044, ""en"", ""mt"")"),"It-talba ta 'Franza għar-reġjun kienet superjuri għal dik tal-Ingliżi")</f>
        <v>It-talba ta 'Franza għar-reġjun kienet superjuri għal dik tal-Ingliżi</v>
      </c>
    </row>
    <row r="3045" ht="15.75" customHeight="1">
      <c r="A3045" s="2" t="s">
        <v>3045</v>
      </c>
      <c r="B3045" s="2" t="str">
        <f>IFERROR(__xludf.DUMMYFUNCTION("GOOGLETRANSLATE(A3045, ""en"", ""mt"")"),"Min waqqaf l-UMC?")</f>
        <v>Min waqqaf l-UMC?</v>
      </c>
    </row>
    <row r="3046" ht="15.75" customHeight="1">
      <c r="A3046" s="2" t="s">
        <v>3046</v>
      </c>
      <c r="B3046" s="2" t="str">
        <f>IFERROR(__xludf.DUMMYFUNCTION("GOOGLETRANSLATE(A3046, ""en"", ""mt"")"),"X'inhi l-iktar interazzjoni ewlenija dgħajfa?")</f>
        <v>X'inhi l-iktar interazzjoni ewlenija dgħajfa?</v>
      </c>
    </row>
    <row r="3047" ht="15.75" customHeight="1">
      <c r="A3047" s="2" t="s">
        <v>3047</v>
      </c>
      <c r="B3047" s="2" t="str">
        <f>IFERROR(__xludf.DUMMYFUNCTION("GOOGLETRANSLATE(A3047, ""en"", ""mt"")"),"instabilità ekonomika")</f>
        <v>instabilità ekonomika</v>
      </c>
    </row>
    <row r="3048" ht="15.75" customHeight="1">
      <c r="A3048" s="2" t="s">
        <v>3048</v>
      </c>
      <c r="B3048" s="2" t="str">
        <f>IFERROR(__xludf.DUMMYFUNCTION("GOOGLETRANSLATE(A3048, ""en"", ""mt"")"),"mibegħda")</f>
        <v>mibegħda</v>
      </c>
    </row>
    <row r="3049" ht="15.75" customHeight="1">
      <c r="A3049" s="2" t="s">
        <v>3049</v>
      </c>
      <c r="B3049" s="2" t="str">
        <f>IFERROR(__xludf.DUMMYFUNCTION("GOOGLETRANSLATE(A3049, ""en"", ""mt"")"),"Il-lobati għandhom tmien rewwix, li joriġinaw mill-arblu aboral u ġeneralment ma jestendux lil hinn mill-ġisem sal-lobi; Fi speċi bi (erba ') aurikoli, iċ-ċili li jtajru l-aurikoli huma estensjonijiet ta' cili f'erba 'ringieli tal-moxt. Il-biċċa l-kbira t"&amp;"al-lobati huma pjuttost passivi meta jiċċaqalqu mill-ilma, billi jużaw iċ-ċili fuq ir-ringieli tal-moxt tagħhom għall-propulsjoni, għalkemm Leucothea għandha aurikoli twal u attivi li l-movimenti tagħhom jikkontribwixxu wkoll għall-propulsjoni. Il-membri "&amp;"tal-ġeneru tal-lobate u l-bathocyroe u l-ocyropsis jistgħu jaħarbu mill-periklu billi jagħlqu l-lobi tagħhom, sabiex il-ġett ta 'l-ilma mkeċċi jmexxihom lura malajr ħafna. B'differenza miċ-ċidippids, il-movimenti tal-pettnijiet tal-lobates huma kkoordinat"&amp;"i min-nervituri aktar milli minn disturbi fl-ilma maħluqa miċ-ċili, iżda l-pettnijiet fuq l-istess ringiela jegħlbu fl-istess stil tal-mewġ Messikani bħall-moxt ikkoordinat mekkanikament ta 'ringieli ta' cydippids u beroids. Dan jista 'jkun ippermetta l-l"&amp;"obati jikbru akbar minn cydippids u biex ikollhom forom li huma inqas simili għall-bajd.")</f>
        <v>Il-lobati għandhom tmien rewwix, li joriġinaw mill-arblu aboral u ġeneralment ma jestendux lil hinn mill-ġisem sal-lobi; Fi speċi bi (erba ') aurikoli, iċ-ċili li jtajru l-aurikoli huma estensjonijiet ta' cili f'erba 'ringieli tal-moxt. Il-biċċa l-kbira tal-lobati huma pjuttost passivi meta jiċċaqalqu mill-ilma, billi jużaw iċ-ċili fuq ir-ringieli tal-moxt tagħhom għall-propulsjoni, għalkemm Leucothea għandha aurikoli twal u attivi li l-movimenti tagħhom jikkontribwixxu wkoll għall-propulsjoni. Il-membri tal-ġeneru tal-lobate u l-bathocyroe u l-ocyropsis jistgħu jaħarbu mill-periklu billi jagħlqu l-lobi tagħhom, sabiex il-ġett ta 'l-ilma mkeċċi jmexxihom lura malajr ħafna. B'differenza miċ-ċidippids, il-movimenti tal-pettnijiet tal-lobates huma kkoordinati min-nervituri aktar milli minn disturbi fl-ilma maħluqa miċ-ċili, iżda l-pettnijiet fuq l-istess ringiela jegħlbu fl-istess stil tal-mewġ Messikani bħall-moxt ikkoordinat mekkanikament ta 'ringieli ta' cydippids u beroids. Dan jista 'jkun ippermetta l-lobati jikbru akbar minn cydippids u biex ikollhom forom li huma inqas simili għall-bajd.</v>
      </c>
    </row>
    <row r="3050" ht="15.75" customHeight="1">
      <c r="A3050" s="2" t="s">
        <v>3050</v>
      </c>
      <c r="B3050" s="2" t="str">
        <f>IFERROR(__xludf.DUMMYFUNCTION("GOOGLETRANSLATE(A3050, ""en"", ""mt"")"),"X'tip ta 'xjenzi kienu d-darwiniżmu soċjali u t-teoriji tar-razza?")</f>
        <v>X'tip ta 'xjenzi kienu d-darwiniżmu soċjali u t-teoriji tar-razza?</v>
      </c>
    </row>
    <row r="3051" ht="15.75" customHeight="1">
      <c r="A3051" s="2" t="s">
        <v>3051</v>
      </c>
      <c r="B3051" s="2" t="str">
        <f>IFERROR(__xludf.DUMMYFUNCTION("GOOGLETRANSLATE(A3051, ""en"", ""mt"")"),"Min iddisinja l-galleriji Turner u Vernon li nbnew fl-1858-9?")</f>
        <v>Min iddisinja l-galleriji Turner u Vernon li nbnew fl-1858-9?</v>
      </c>
    </row>
    <row r="3052" ht="15.75" customHeight="1">
      <c r="A3052" s="2" t="s">
        <v>3052</v>
      </c>
      <c r="B3052" s="2" t="str">
        <f>IFERROR(__xludf.DUMMYFUNCTION("GOOGLETRANSLATE(A3052, ""en"", ""mt"")"),"Diviżjoni tripartita")</f>
        <v>Diviżjoni tripartita</v>
      </c>
    </row>
    <row r="3053" ht="15.75" customHeight="1">
      <c r="A3053" s="2" t="s">
        <v>3053</v>
      </c>
      <c r="B3053" s="2" t="str">
        <f>IFERROR(__xludf.DUMMYFUNCTION("GOOGLETRANSLATE(A3053, ""en"", ""mt"")"),"Ir-rivoluzzjoni")</f>
        <v>Ir-rivoluzzjoni</v>
      </c>
    </row>
    <row r="3054" ht="15.75" customHeight="1">
      <c r="A3054" s="2" t="s">
        <v>3054</v>
      </c>
      <c r="B3054" s="2" t="str">
        <f>IFERROR(__xludf.DUMMYFUNCTION("GOOGLETRANSLATE(A3054, ""en"", ""mt"")"),"li jirriflettu kontribuzzjonijiet individwali")</f>
        <v>li jirriflettu kontribuzzjonijiet individwali</v>
      </c>
    </row>
    <row r="3055" ht="15.75" customHeight="1">
      <c r="A3055" s="2" t="s">
        <v>3055</v>
      </c>
      <c r="B3055" s="2" t="str">
        <f>IFERROR(__xludf.DUMMYFUNCTION("GOOGLETRANSLATE(A3055, ""en"", ""mt"")"),"twettaq riċerka u lanqas tissorvelja d-dejta relatata mal-klima")</f>
        <v>twettaq riċerka u lanqas tissorvelja d-dejta relatata mal-klima</v>
      </c>
    </row>
    <row r="3056" ht="15.75" customHeight="1">
      <c r="A3056" s="2" t="s">
        <v>3056</v>
      </c>
      <c r="B3056" s="2" t="str">
        <f>IFERROR(__xludf.DUMMYFUNCTION("GOOGLETRANSLATE(A3056, ""en"", ""mt"")"),"Kemm korsijiet iridu jieħdu qaddej lokali?")</f>
        <v>Kemm korsijiet iridu jieħdu qaddej lokali?</v>
      </c>
    </row>
    <row r="3057" ht="15.75" customHeight="1">
      <c r="A3057" s="2" t="s">
        <v>3057</v>
      </c>
      <c r="B3057" s="2" t="str">
        <f>IFERROR(__xludf.DUMMYFUNCTION("GOOGLETRANSLATE(A3057, ""en"", ""mt"")"),"X'tip ta 'hermaphrodite jipproduċi bajd u sperma fi żminijiet differenti?")</f>
        <v>X'tip ta 'hermaphrodite jipproduċi bajd u sperma fi żminijiet differenti?</v>
      </c>
    </row>
    <row r="3058" ht="15.75" customHeight="1">
      <c r="A3058" s="2" t="s">
        <v>3058</v>
      </c>
      <c r="B3058" s="2" t="str">
        <f>IFERROR(__xludf.DUMMYFUNCTION("GOOGLETRANSLATE(A3058, ""en"", ""mt"")"),"Post-Klassiku")</f>
        <v>Post-Klassiku</v>
      </c>
    </row>
    <row r="3059" ht="15.75" customHeight="1">
      <c r="A3059" s="2" t="s">
        <v>3059</v>
      </c>
      <c r="B3059" s="2" t="str">
        <f>IFERROR(__xludf.DUMMYFUNCTION("GOOGLETRANSLATE(A3059, ""en"", ""mt"")"),"Liema entitajiet kellhom jiżviluppaw prinċipji ddedikati għar-riżoluzzjoni tal-kunflitti bejn liġijiet ta 'sistemi differenti?")</f>
        <v>Liema entitajiet kellhom jiżviluppaw prinċipji ddedikati għar-riżoluzzjoni tal-kunflitti bejn liġijiet ta 'sistemi differenti?</v>
      </c>
    </row>
    <row r="3060" ht="15.75" customHeight="1">
      <c r="A3060" s="2" t="s">
        <v>3060</v>
      </c>
      <c r="B3060" s="2" t="str">
        <f>IFERROR(__xludf.DUMMYFUNCTION("GOOGLETRANSLATE(A3060, ""en"", ""mt"")"),"Kemm dam il-ġlied fi Gwerra ta 'Seba' Snin?")</f>
        <v>Kemm dam il-ġlied fi Gwerra ta 'Seba' Snin?</v>
      </c>
    </row>
    <row r="3061" ht="15.75" customHeight="1">
      <c r="A3061" s="2" t="s">
        <v>3061</v>
      </c>
      <c r="B3061" s="2" t="str">
        <f>IFERROR(__xludf.DUMMYFUNCTION("GOOGLETRANSLATE(A3061, ""en"", ""mt"")"),"waħda")</f>
        <v>waħda</v>
      </c>
    </row>
    <row r="3062" ht="15.75" customHeight="1">
      <c r="A3062" s="2" t="s">
        <v>3062</v>
      </c>
      <c r="B3062" s="2" t="str">
        <f>IFERROR(__xludf.DUMMYFUNCTION("GOOGLETRANSLATE(A3062, ""en"", ""mt"")"),"Ħwawar oħra")</f>
        <v>Ħwawar oħra</v>
      </c>
    </row>
    <row r="3063" ht="15.75" customHeight="1">
      <c r="A3063" s="2" t="s">
        <v>3063</v>
      </c>
      <c r="B3063" s="2" t="str">
        <f>IFERROR(__xludf.DUMMYFUNCTION("GOOGLETRANSLATE(A3063, ""en"", ""mt"")"),"Fil-50 sena tiegħu fl-1906, Tesla wera l-200 horsepower tiegħu (150 kilowatts) 16,000 RPM turbina bla xkiel. Matul l-1910–1911 fil-Waterside Power Station fi New York, bosta magni tat-turbini bla xkiel tiegħu ġew ittestjati f'100-5,000 hp.")</f>
        <v>Fil-50 sena tiegħu fl-1906, Tesla wera l-200 horsepower tiegħu (150 kilowatts) 16,000 RPM turbina bla xkiel. Matul l-1910–1911 fil-Waterside Power Station fi New York, bosta magni tat-turbini bla xkiel tiegħu ġew ittestjati f'100-5,000 hp.</v>
      </c>
    </row>
    <row r="3064" ht="15.75" customHeight="1">
      <c r="A3064" s="2" t="s">
        <v>3064</v>
      </c>
      <c r="B3064" s="2" t="str">
        <f>IFERROR(__xludf.DUMMYFUNCTION("GOOGLETRANSLATE(A3064, ""en"", ""mt"")"),"Min kien ikun il-klassi l-iktar baxxa?")</f>
        <v>Min kien ikun il-klassi l-iktar baxxa?</v>
      </c>
    </row>
    <row r="3065" ht="15.75" customHeight="1">
      <c r="A3065" s="2" t="s">
        <v>3065</v>
      </c>
      <c r="B3065" s="2" t="str">
        <f>IFERROR(__xludf.DUMMYFUNCTION("GOOGLETRANSLATE(A3065, ""en"", ""mt"")"),"Il-Konferenza tal-Knisja")</f>
        <v>Il-Konferenza tal-Knisja</v>
      </c>
    </row>
    <row r="3066" ht="15.75" customHeight="1">
      <c r="A3066" s="2" t="s">
        <v>3066</v>
      </c>
      <c r="B3066" s="2" t="str">
        <f>IFERROR(__xludf.DUMMYFUNCTION("GOOGLETRANSLATE(A3066, ""en"", ""mt"")"),"Liġi ta 'Avogadro")</f>
        <v>Liġi ta 'Avogadro</v>
      </c>
    </row>
    <row r="3067" ht="15.75" customHeight="1">
      <c r="A3067" s="2" t="s">
        <v>3067</v>
      </c>
      <c r="B3067" s="2" t="str">
        <f>IFERROR(__xludf.DUMMYFUNCTION("GOOGLETRANSLATE(A3067, ""en"", ""mt"")"),"X'tip ta 'valv jintuża minn valvi ta' sigurtà reċenti?")</f>
        <v>X'tip ta 'valv jintuża minn valvi ta' sigurtà reċenti?</v>
      </c>
    </row>
    <row r="3068" ht="15.75" customHeight="1">
      <c r="A3068" s="2" t="s">
        <v>3068</v>
      </c>
      <c r="B3068" s="2" t="str">
        <f>IFERROR(__xludf.DUMMYFUNCTION("GOOGLETRANSLATE(A3068, ""en"", ""mt"")"),"Testijiet moderni ta 'primalità għal numri ġenerali n jistgħu jinqasmu f'żewġ klassijiet ewlenin, probabilistiċi (jew ""Monte Carlo"") u algoritmi deterministiċi. Algoritmi deterministiċi jipprovdu mod kif tgħid żgur jekk numru partikolari huwiex ewlieni "&amp;"jew le. Pereżempju, id-diviżjoni tal-prova hija algoritmu deterministiku għaliex, jekk titwettaq b'mod korrett, dejjem tidentifika numru ewlieni bħala prim u numru kompost bħala kompost. L-algoritmi probabilistiċi huma normalment aktar mgħaġġla, iżda ma j"&amp;"ippruvawx kompletament li numru huwa ewlieni. Dawn it-testijiet jiddependu fuq l-ittestjar ta 'numru partikolari b'mod parzjalment bl-addoċċ. Pereżempju, test partikolari jista 'jgħaddi l-ħin kollu jekk jiġi applikat għal numru ewlieni, imma jgħaddi biss "&amp;"bi probabbiltà P jekk applikat għal numru kompost. Jekk nirrepetu t-test n darbiet u ngħaddu kull darba, allura l-probabbiltà li n-numru tagħna huwa kompost huwa 1 / (1-p) n, li jonqos b'mod esponenzjali man-numru ta 'testijiet, sabiex inkunu nistgħu nkun"&amp;"u żgur kif nixtiequ (għalkemm qatt perfettament ċert) li n-numru huwa ewlieni. Min-naħa l-oħra, jekk it-test dejjem ifalli, allura nafu li n-numru huwa kompost.")</f>
        <v>Testijiet moderni ta 'primalità għal numri ġenerali n jistgħu jinqasmu f'żewġ klassijiet ewlenin, probabilistiċi (jew "Monte Carlo") u algoritmi deterministiċi. Algoritmi deterministiċi jipprovdu mod kif tgħid żgur jekk numru partikolari huwiex ewlieni jew le. Pereżempju, id-diviżjoni tal-prova hija algoritmu deterministiku għaliex, jekk titwettaq b'mod korrett, dejjem tidentifika numru ewlieni bħala prim u numru kompost bħala kompost. L-algoritmi probabilistiċi huma normalment aktar mgħaġġla, iżda ma jippruvawx kompletament li numru huwa ewlieni. Dawn it-testijiet jiddependu fuq l-ittestjar ta 'numru partikolari b'mod parzjalment bl-addoċċ. Pereżempju, test partikolari jista 'jgħaddi l-ħin kollu jekk jiġi applikat għal numru ewlieni, imma jgħaddi biss bi probabbiltà P jekk applikat għal numru kompost. Jekk nirrepetu t-test n darbiet u ngħaddu kull darba, allura l-probabbiltà li n-numru tagħna huwa kompost huwa 1 / (1-p) n, li jonqos b'mod esponenzjali man-numru ta 'testijiet, sabiex inkunu nistgħu nkunu żgur kif nixtiequ (għalkemm qatt perfettament ċert) li n-numru huwa ewlieni. Min-naħa l-oħra, jekk it-test dejjem ifalli, allura nafu li n-numru huwa kompost.</v>
      </c>
    </row>
    <row r="3069" ht="15.75" customHeight="1">
      <c r="A3069" s="2" t="s">
        <v>3069</v>
      </c>
      <c r="B3069" s="2" t="str">
        <f>IFERROR(__xludf.DUMMYFUNCTION("GOOGLETRANSLATE(A3069, ""en"", ""mt"")"),"Il-Kummissjoni Santer")</f>
        <v>Il-Kummissjoni Santer</v>
      </c>
    </row>
    <row r="3070" ht="15.75" customHeight="1">
      <c r="A3070" s="2" t="s">
        <v>3070</v>
      </c>
      <c r="B3070" s="2" t="str">
        <f>IFERROR(__xludf.DUMMYFUNCTION("GOOGLETRANSLATE(A3070, ""en"", ""mt"")"),"Liema karozzi ta 'daqs kienu l-inqas karozzi mitluba fil-kriżi?")</f>
        <v>Liema karozzi ta 'daqs kienu l-inqas karozzi mitluba fil-kriżi?</v>
      </c>
    </row>
    <row r="3071" ht="15.75" customHeight="1">
      <c r="A3071" s="2" t="s">
        <v>3071</v>
      </c>
      <c r="B3071" s="2" t="str">
        <f>IFERROR(__xludf.DUMMYFUNCTION("GOOGLETRANSLATE(A3071, ""en"", ""mt"")"),"Ir-raġuni għar-regola tal-maġġoranza hija r-riskju għoli ta 'kunflitt ta' interess u / jew l-evitar ta 'poteri assoluti. Inkella, it-tabib ikollu interess finanzjarju fl-awto fid- ""dijanjosi"" kemm jista 'jkun kundizzjonijiet, u biex jesaġera s-serjetà t"&amp;"agħhom, għax hu jew hi jistgħu mbagħad ibigħu aktar mediċini lill-pazjent. Tali interess innifsu f'kunflitti direttament ma 'l-interess tal-pazjent biex jikseb medikazzjoni kosteffikaċi u jevita l-użu bla bżonn ta' medikazzjoni li jista 'jkollha effetti s"&amp;"ekondarji. Din is-sistema tirrifletti ħafna xebh mas-sistema tal-kontrolli u l-bilanċi tal-Istati Uniti u ta 'ħafna gvernijiet oħra. [Ċitazzjoni meħtieġa]")</f>
        <v>Ir-raġuni għar-regola tal-maġġoranza hija r-riskju għoli ta 'kunflitt ta' interess u / jew l-evitar ta 'poteri assoluti. Inkella, it-tabib ikollu interess finanzjarju fl-awto fid- "dijanjosi" kemm jista 'jkun kundizzjonijiet, u biex jesaġera s-serjetà tagħhom, għax hu jew hi jistgħu mbagħad ibigħu aktar mediċini lill-pazjent. Tali interess innifsu f'kunflitti direttament ma 'l-interess tal-pazjent biex jikseb medikazzjoni kosteffikaċi u jevita l-użu bla bżonn ta' medikazzjoni li jista 'jkollha effetti sekondarji. Din is-sistema tirrifletti ħafna xebh mas-sistema tal-kontrolli u l-bilanċi tal-Istati Uniti u ta 'ħafna gvernijiet oħra. [Ċitazzjoni meħtieġa]</v>
      </c>
    </row>
    <row r="3072" ht="15.75" customHeight="1">
      <c r="A3072" s="2" t="s">
        <v>3072</v>
      </c>
      <c r="B3072" s="2" t="str">
        <f>IFERROR(__xludf.DUMMYFUNCTION("GOOGLETRANSLATE(A3072, ""en"", ""mt"")"),"Djalogu Nazzjonali u Proċess ta 'Rikonċiljazzjoni tal-Kenja")</f>
        <v>Djalogu Nazzjonali u Proċess ta 'Rikonċiljazzjoni tal-Kenja</v>
      </c>
    </row>
    <row r="3073" ht="15.75" customHeight="1">
      <c r="A3073" s="2" t="s">
        <v>3073</v>
      </c>
      <c r="B3073" s="2" t="str">
        <f>IFERROR(__xludf.DUMMYFUNCTION("GOOGLETRANSLATE(A3073, ""en"", ""mt"")"),"Liema teorema kienet implikata mill-assiomi ta 'Manuel Blum?")</f>
        <v>Liema teorema kienet implikata mill-assiomi ta 'Manuel Blum?</v>
      </c>
    </row>
    <row r="3074" ht="15.75" customHeight="1">
      <c r="A3074" s="2" t="s">
        <v>3074</v>
      </c>
      <c r="B3074" s="2" t="str">
        <f>IFERROR(__xludf.DUMMYFUNCTION("GOOGLETRANSLATE(A3074, ""en"", ""mt"")"),"Luther meta ta r-risposta tiegħu għal Eck?")</f>
        <v>Luther meta ta r-risposta tiegħu għal Eck?</v>
      </c>
    </row>
    <row r="3075" ht="15.75" customHeight="1">
      <c r="A3075" s="2" t="s">
        <v>3075</v>
      </c>
      <c r="B3075" s="2" t="str">
        <f>IFERROR(__xludf.DUMMYFUNCTION("GOOGLETRANSLATE(A3075, ""en"", ""mt"")"),"Il-kontrolli tal-prezzijiet aggravaw il-kriżi fl-Istati Uniti. Is-sistema illimitat il-prezz ta '""żejt qadim"" (dak li kien diġà ġie skopert) filwaqt li ppermetta li ż-żejt li għadu kif ġie mibjugħ jinbiegħ bi prezz ogħla biex jinkoraġġixxi l-investiment"&amp;". Prevedibbilment, żejt qadim ġie rtirat mis-suq, u ħoloq skarsezza akbar. Ir-regola skoraġġit ukoll l-iżvilupp ta 'enerġiji alternattivi. Ir-regola kienet maħsuba biex tippromwovi l-esplorazzjoni taż-żejt. L-iskarsezza kienet indirizzata mir-razzjonar (b"&amp;"ħal f'ħafna pajjiżi). Is-sewwieqa ffaċċjaw linji twal fil-pompi tal-gass li jibdew fis-sajf tal-1972 u jiżdiedu sas-sajf tal-1973.")</f>
        <v>Il-kontrolli tal-prezzijiet aggravaw il-kriżi fl-Istati Uniti. Is-sistema illimitat il-prezz ta '"żejt qadim" (dak li kien diġà ġie skopert) filwaqt li ppermetta li ż-żejt li għadu kif ġie mibjugħ jinbiegħ bi prezz ogħla biex jinkoraġġixxi l-investiment. Prevedibbilment, żejt qadim ġie rtirat mis-suq, u ħoloq skarsezza akbar. Ir-regola skoraġġit ukoll l-iżvilupp ta 'enerġiji alternattivi. Ir-regola kienet maħsuba biex tippromwovi l-esplorazzjoni taż-żejt. L-iskarsezza kienet indirizzata mir-razzjonar (bħal f'ħafna pajjiżi). Is-sewwieqa ffaċċjaw linji twal fil-pompi tal-gass li jibdew fis-sajf tal-1972 u jiżdiedu sas-sajf tal-1973.</v>
      </c>
    </row>
    <row r="3076" ht="15.75" customHeight="1">
      <c r="A3076" s="2" t="s">
        <v>3076</v>
      </c>
      <c r="B3076" s="2" t="str">
        <f>IFERROR(__xludf.DUMMYFUNCTION("GOOGLETRANSLATE(A3076, ""en"", ""mt"")"),"pożittiv")</f>
        <v>pożittiv</v>
      </c>
    </row>
    <row r="3077" ht="15.75" customHeight="1">
      <c r="A3077" s="2" t="s">
        <v>3077</v>
      </c>
      <c r="B3077" s="2" t="str">
        <f>IFERROR(__xludf.DUMMYFUNCTION("GOOGLETRANSLATE(A3077, ""en"", ""mt"")"),"John W. Weeks Bridge")</f>
        <v>John W. Weeks Bridge</v>
      </c>
    </row>
    <row r="3078" ht="15.75" customHeight="1">
      <c r="A3078" s="2" t="s">
        <v>3078</v>
      </c>
      <c r="B3078" s="2" t="str">
        <f>IFERROR(__xludf.DUMMYFUNCTION("GOOGLETRANSLATE(A3078, ""en"", ""mt"")"),"Min jista 'jkun għalliem spiritwali fil-knisja LDS?")</f>
        <v>Min jista 'jkun għalliem spiritwali fil-knisja LDS?</v>
      </c>
    </row>
    <row r="3079" ht="15.75" customHeight="1">
      <c r="A3079" s="2" t="s">
        <v>3079</v>
      </c>
      <c r="B3079" s="2" t="str">
        <f>IFERROR(__xludf.DUMMYFUNCTION("GOOGLETRANSLATE(A3079, ""en"", ""mt"")"),"fini tar-riċerka")</f>
        <v>fini tar-riċerka</v>
      </c>
    </row>
    <row r="3080" ht="15.75" customHeight="1">
      <c r="A3080" s="2" t="s">
        <v>3080</v>
      </c>
      <c r="B3080" s="2" t="str">
        <f>IFERROR(__xludf.DUMMYFUNCTION("GOOGLETRANSLATE(A3080, ""en"", ""mt"")"),"Kemm avvenimenti jseħħu f'ċiklu tal-magna?")</f>
        <v>Kemm avvenimenti jseħħu f'ċiklu tal-magna?</v>
      </c>
    </row>
    <row r="3081" ht="15.75" customHeight="1">
      <c r="A3081" s="2" t="s">
        <v>3081</v>
      </c>
      <c r="B3081" s="2" t="str">
        <f>IFERROR(__xludf.DUMMYFUNCTION("GOOGLETRANSLATE(A3081, ""en"", ""mt"")"),"Impass kostituzzjonali li fih żewġ aġenziji pubbliċi")</f>
        <v>Impass kostituzzjonali li fih żewġ aġenziji pubbliċi</v>
      </c>
    </row>
    <row r="3082" ht="15.75" customHeight="1">
      <c r="A3082" s="2" t="s">
        <v>3082</v>
      </c>
      <c r="B3082" s="2" t="str">
        <f>IFERROR(__xludf.DUMMYFUNCTION("GOOGLETRANSLATE(A3082, ""en"", ""mt"")"),"it-test tal-primalità Fermat,")</f>
        <v>it-test tal-primalità Fermat,</v>
      </c>
    </row>
    <row r="3083" ht="15.75" customHeight="1">
      <c r="A3083" s="2" t="s">
        <v>3083</v>
      </c>
      <c r="B3083" s="2" t="str">
        <f>IFERROR(__xludf.DUMMYFUNCTION("GOOGLETRANSLATE(A3083, ""en"", ""mt"")"),"Meta ntuża l-ewwel it-terminu ""riġenerazzjoni""?")</f>
        <v>Meta ntuża l-ewwel it-terminu "riġenerazzjoni"?</v>
      </c>
    </row>
    <row r="3084" ht="15.75" customHeight="1">
      <c r="A3084" s="2" t="s">
        <v>3084</v>
      </c>
      <c r="B3084" s="2" t="str">
        <f>IFERROR(__xludf.DUMMYFUNCTION("GOOGLETRANSLATE(A3084, ""en"", ""mt"")"),"Minbarra l-ossidi, liema komposti oħra jinkludu porzjon kbir tal-qoxra tad-Dinja?")</f>
        <v>Minbarra l-ossidi, liema komposti oħra jinkludu porzjon kbir tal-qoxra tad-Dinja?</v>
      </c>
    </row>
    <row r="3085" ht="15.75" customHeight="1">
      <c r="A3085" s="2" t="s">
        <v>3085</v>
      </c>
      <c r="B3085" s="2" t="str">
        <f>IFERROR(__xludf.DUMMYFUNCTION("GOOGLETRANSLATE(A3085, ""en"", ""mt"")"),"sitwazzjoni finanzjarja diżastruża")</f>
        <v>sitwazzjoni finanzjarja diżastruża</v>
      </c>
    </row>
    <row r="3086" ht="15.75" customHeight="1">
      <c r="A3086" s="2" t="s">
        <v>3086</v>
      </c>
      <c r="B3086" s="2" t="str">
        <f>IFERROR(__xludf.DUMMYFUNCTION("GOOGLETRANSLATE(A3086, ""en"", ""mt"")"),"verżjoni standard")</f>
        <v>verżjoni standard</v>
      </c>
    </row>
    <row r="3087" ht="15.75" customHeight="1">
      <c r="A3087" s="2" t="s">
        <v>3087</v>
      </c>
      <c r="B3087" s="2" t="str">
        <f>IFERROR(__xludf.DUMMYFUNCTION("GOOGLETRANSLATE(A3087, ""en"", ""mt"")"),"gassuż")</f>
        <v>gassuż</v>
      </c>
    </row>
    <row r="3088" ht="15.75" customHeight="1">
      <c r="A3088" s="2" t="s">
        <v>3088</v>
      </c>
      <c r="B3088" s="2" t="str">
        <f>IFERROR(__xludf.DUMMYFUNCTION("GOOGLETRANSLATE(A3088, ""en"", ""mt"")"),"Biex tippromwovi l-aċċessibilità tax-xogħlijiet, x'neħħa Luther?")</f>
        <v>Biex tippromwovi l-aċċessibilità tax-xogħlijiet, x'neħħa Luther?</v>
      </c>
    </row>
    <row r="3089" ht="15.75" customHeight="1">
      <c r="A3089" s="2" t="s">
        <v>3089</v>
      </c>
      <c r="B3089" s="2" t="str">
        <f>IFERROR(__xludf.DUMMYFUNCTION("GOOGLETRANSLATE(A3089, ""en"", ""mt"")"),"Il-Ġermanja u l-Isvizzera")</f>
        <v>Il-Ġermanja u l-Isvizzera</v>
      </c>
    </row>
    <row r="3090" ht="15.75" customHeight="1">
      <c r="A3090" s="2" t="s">
        <v>3090</v>
      </c>
      <c r="B3090" s="2" t="str">
        <f>IFERROR(__xludf.DUMMYFUNCTION("GOOGLETRANSLATE(A3090, ""en"", ""mt"")"),"Mibnija kompluta fuq l-art")</f>
        <v>Mibnija kompluta fuq l-art</v>
      </c>
    </row>
    <row r="3091" ht="15.75" customHeight="1">
      <c r="A3091" s="2" t="s">
        <v>3091</v>
      </c>
      <c r="B3091" s="2" t="str">
        <f>IFERROR(__xludf.DUMMYFUNCTION("GOOGLETRANSLATE(A3091, ""en"", ""mt"")"),"Uċuħ tar-raba 'modifikati ġenetikament")</f>
        <v>Uċuħ tar-raba 'modifikati ġenetikament</v>
      </c>
    </row>
    <row r="3092" ht="15.75" customHeight="1">
      <c r="A3092" s="2" t="s">
        <v>3092</v>
      </c>
      <c r="B3092" s="2" t="str">
        <f>IFERROR(__xludf.DUMMYFUNCTION("GOOGLETRANSLATE(A3092, ""en"", ""mt"")"),"Liema żewġ rwoli ewlenin audra McDonald wettqet meta kienet fl-iskola għolja?")</f>
        <v>Liema żewġ rwoli ewlenin audra McDonald wettqet meta kienet fl-iskola għolja?</v>
      </c>
    </row>
    <row r="3093" ht="15.75" customHeight="1">
      <c r="A3093" s="2" t="s">
        <v>3093</v>
      </c>
      <c r="B3093" s="2" t="str">
        <f>IFERROR(__xludf.DUMMYFUNCTION("GOOGLETRANSLATE(A3093, ""en"", ""mt"")"),"Klassi Olimpika")</f>
        <v>Klassi Olimpika</v>
      </c>
    </row>
    <row r="3094" ht="15.75" customHeight="1">
      <c r="A3094" s="2" t="s">
        <v>3094</v>
      </c>
      <c r="B3094" s="2" t="str">
        <f>IFERROR(__xludf.DUMMYFUNCTION("GOOGLETRANSLATE(A3094, ""en"", ""mt"")"),"L-individwu")</f>
        <v>L-individwu</v>
      </c>
    </row>
    <row r="3095" ht="15.75" customHeight="1">
      <c r="A3095" s="2" t="s">
        <v>3095</v>
      </c>
      <c r="B3095" s="2" t="str">
        <f>IFERROR(__xludf.DUMMYFUNCTION("GOOGLETRANSLATE(A3095, ""en"", ""mt"")"),"Kemm hemm mistoqsijiet ġenerali disponibbli għall-mexxejja tal-oppożizzjoni?")</f>
        <v>Kemm hemm mistoqsijiet ġenerali disponibbli għall-mexxejja tal-oppożizzjoni?</v>
      </c>
    </row>
    <row r="3096" ht="15.75" customHeight="1">
      <c r="A3096" s="2" t="s">
        <v>3096</v>
      </c>
      <c r="B3096" s="2" t="str">
        <f>IFERROR(__xludf.DUMMYFUNCTION("GOOGLETRANSLATE(A3096, ""en"", ""mt"")"),"y Permezz tal-kummerċ tal-port ma 'Kostantinopli, u portijiet fuq il-Baħar l-Iswed")</f>
        <v>y Permezz tal-kummerċ tal-port ma 'Kostantinopli, u portijiet fuq il-Baħar l-Iswed</v>
      </c>
    </row>
    <row r="3097" ht="15.75" customHeight="1">
      <c r="A3097" s="2" t="s">
        <v>3097</v>
      </c>
      <c r="B3097" s="2" t="str">
        <f>IFERROR(__xludf.DUMMYFUNCTION("GOOGLETRANSLATE(A3097, ""en"", ""mt"")"),"Matul liema tip ta 'klima huwa l-ossiġenu 18 fl-ilma baħar f'livelli ogħla?")</f>
        <v>Matul liema tip ta 'klima huwa l-ossiġenu 18 fl-ilma baħar f'livelli ogħla?</v>
      </c>
    </row>
    <row r="3098" ht="15.75" customHeight="1">
      <c r="A3098" s="2" t="s">
        <v>3098</v>
      </c>
      <c r="B3098" s="2" t="str">
        <f>IFERROR(__xludf.DUMMYFUNCTION("GOOGLETRANSLATE(A3098, ""en"", ""mt"")"),"Dak li għen biex isostni l-modulu tal-kmand b'magna tal-propulsjoni u propellanti?")</f>
        <v>Dak li għen biex isostni l-modulu tal-kmand b'magna tal-propulsjoni u propellanti?</v>
      </c>
    </row>
    <row r="3099" ht="15.75" customHeight="1">
      <c r="A3099" s="2" t="s">
        <v>3099</v>
      </c>
      <c r="B3099" s="2" t="str">
        <f>IFERROR(__xludf.DUMMYFUNCTION("GOOGLETRANSLATE(A3099, ""en"", ""mt"")"),"F'liema punt il-baċin tad-drenaġġ tal-Amażonja nqasam?")</f>
        <v>F'liema punt il-baċin tad-drenaġġ tal-Amażonja nqasam?</v>
      </c>
    </row>
    <row r="3100" ht="15.75" customHeight="1">
      <c r="A3100" s="2" t="s">
        <v>3100</v>
      </c>
      <c r="B3100" s="2" t="str">
        <f>IFERROR(__xludf.DUMMYFUNCTION("GOOGLETRANSLATE(A3100, ""en"", ""mt"")"),"Liema kummiedja għal ABC intemmet ix-xandira tagħha fl-1986?")</f>
        <v>Liema kummiedja għal ABC intemmet ix-xandira tagħha fl-1986?</v>
      </c>
    </row>
    <row r="3101" ht="15.75" customHeight="1">
      <c r="A3101" s="2" t="s">
        <v>3101</v>
      </c>
      <c r="B3101" s="2" t="str">
        <f>IFERROR(__xludf.DUMMYFUNCTION("GOOGLETRANSLATE(A3101, ""en"", ""mt"")"),"X'eżamina studju tal-1996 minn Perotti?")</f>
        <v>X'eżamina studju tal-1996 minn Perotti?</v>
      </c>
    </row>
    <row r="3102" ht="15.75" customHeight="1">
      <c r="A3102" s="2" t="s">
        <v>3102</v>
      </c>
      <c r="B3102" s="2" t="str">
        <f>IFERROR(__xludf.DUMMYFUNCTION("GOOGLETRANSLATE(A3102, ""en"", ""mt"")"),"transġeni f'dawn il-plastidi ma jistgħux jiġu mxerrda mill-polline")</f>
        <v>transġeni f'dawn il-plastidi ma jistgħux jiġu mxerrda mill-polline</v>
      </c>
    </row>
    <row r="3103" ht="15.75" customHeight="1">
      <c r="A3103" s="2" t="s">
        <v>3103</v>
      </c>
      <c r="B3103" s="2" t="str">
        <f>IFERROR(__xludf.DUMMYFUNCTION("GOOGLETRANSLATE(A3103, ""en"", ""mt"")"),"Premju tas-Sunday Times University of the Year")</f>
        <v>Premju tas-Sunday Times University of the Year</v>
      </c>
    </row>
    <row r="3104" ht="15.75" customHeight="1">
      <c r="A3104" s="2" t="s">
        <v>3104</v>
      </c>
      <c r="B3104" s="2" t="str">
        <f>IFERROR(__xludf.DUMMYFUNCTION("GOOGLETRANSLATE(A3104, ""en"", ""mt"")"),"Tard tas-snin 1920")</f>
        <v>Tard tas-snin 1920</v>
      </c>
    </row>
    <row r="3105" ht="15.75" customHeight="1">
      <c r="A3105" s="2" t="s">
        <v>3105</v>
      </c>
      <c r="B3105" s="2" t="str">
        <f>IFERROR(__xludf.DUMMYFUNCTION("GOOGLETRANSLATE(A3105, ""en"", ""mt"")"),"Għal xiex wassal l-użu tal-magni tal-fwar fil-biedja?")</f>
        <v>Għal xiex wassal l-użu tal-magni tal-fwar fil-biedja?</v>
      </c>
    </row>
    <row r="3106" ht="15.75" customHeight="1">
      <c r="A3106" s="2" t="s">
        <v>3106</v>
      </c>
      <c r="B3106" s="2" t="str">
        <f>IFERROR(__xludf.DUMMYFUNCTION("GOOGLETRANSLATE(A3106, ""en"", ""mt"")"),"diskors pur")</f>
        <v>diskors pur</v>
      </c>
    </row>
    <row r="3107" ht="15.75" customHeight="1">
      <c r="A3107" s="2" t="s">
        <v>3107</v>
      </c>
      <c r="B3107" s="2" t="str">
        <f>IFERROR(__xludf.DUMMYFUNCTION("GOOGLETRANSLATE(A3107, ""en"", ""mt"")"),"X'inhi università oħra notevoli f'Varsavja wara l-Università ta 'Varsavja?")</f>
        <v>X'inhi università oħra notevoli f'Varsavja wara l-Università ta 'Varsavja?</v>
      </c>
    </row>
    <row r="3108" ht="15.75" customHeight="1">
      <c r="A3108" s="2" t="s">
        <v>3108</v>
      </c>
      <c r="B3108" s="2" t="str">
        <f>IFERROR(__xludf.DUMMYFUNCTION("GOOGLETRANSLATE(A3108, ""en"", ""mt"")"),"L-Imperu Etjopjan")</f>
        <v>L-Imperu Etjopjan</v>
      </c>
    </row>
    <row r="3109" ht="15.75" customHeight="1">
      <c r="A3109" s="2" t="s">
        <v>3109</v>
      </c>
      <c r="B3109" s="2" t="str">
        <f>IFERROR(__xludf.DUMMYFUNCTION("GOOGLETRANSLATE(A3109, ""en"", ""mt"")"),"X’kienu jemmnu li l-għalliema ta ’Tesla kien qed jagħmel waqt l-iskola?")</f>
        <v>X’kienu jemmnu li l-għalliema ta ’Tesla kien qed jagħmel waqt l-iskola?</v>
      </c>
    </row>
    <row r="3110" ht="15.75" customHeight="1">
      <c r="A3110" s="2" t="s">
        <v>3110</v>
      </c>
      <c r="B3110" s="2" t="str">
        <f>IFERROR(__xludf.DUMMYFUNCTION("GOOGLETRANSLATE(A3110, ""en"", ""mt"")"),"Liema pajjiżi kienu l-Ftehim Ewropew tal-Komunità tal-Faħam u l-Azzar?")</f>
        <v>Liema pajjiżi kienu l-Ftehim Ewropew tal-Komunità tal-Faħam u l-Azzar?</v>
      </c>
    </row>
    <row r="3111" ht="15.75" customHeight="1">
      <c r="A3111" s="2" t="s">
        <v>3111</v>
      </c>
      <c r="B3111" s="2" t="str">
        <f>IFERROR(__xludf.DUMMYFUNCTION("GOOGLETRANSLATE(A3111, ""en"", ""mt"")"),"X'taħseb li Luther ir-raġuni ma setgħetx tintuża biex tittestja?")</f>
        <v>X'taħseb li Luther ir-raġuni ma setgħetx tintuża biex tittestja?</v>
      </c>
    </row>
    <row r="3112" ht="15.75" customHeight="1">
      <c r="A3112" s="2" t="s">
        <v>3112</v>
      </c>
      <c r="B3112" s="2" t="str">
        <f>IFERROR(__xludf.DUMMYFUNCTION("GOOGLETRANSLATE(A3112, ""en"", ""mt"")"),"L-ekonomista bankarju ċentrali Raghuram Rajan jargumenta li ""l-inugwaljanzi ekonomiċi sistematiċi, fl-Istati Uniti u madwar id-dinja, ħolqu 'linji ta' difetti finanzjarji profondi li għamlu kriżijiet [finanzjarji] aktar probabbli li jiġri milli fil-passa"&amp;"t"" - il-kriżi finanzjarja ta ' 2007–08 huwa l-iktar eżempju reċenti. Biex tikkumpensa għall-istaġnar u t-tnaqqis tal-poter tax-xiri, il-pressjoni politika żviluppat biex testendi kreditu aktar faċli għal dawk li jaqilgħu bi dħul aktar baxx u medju - part"&amp;"ikolarment biex jixtru djar - u kreditu aktar faċli b'mod ġenerali biex iżommu r-rati tal-qgħad baxxi. Dan ta lill-ekonomija Amerikana tendenza li tmur ""minn bużżieqa għal bużżieqa"" alimentata minn stimulazzjoni monetarja mhux sostenibbli.")</f>
        <v>L-ekonomista bankarju ċentrali Raghuram Rajan jargumenta li "l-inugwaljanzi ekonomiċi sistematiċi, fl-Istati Uniti u madwar id-dinja, ħolqu 'linji ta' difetti finanzjarji profondi li għamlu kriżijiet [finanzjarji] aktar probabbli li jiġri milli fil-passat" - il-kriżi finanzjarja ta ' 2007–08 huwa l-iktar eżempju reċenti. Biex tikkumpensa għall-istaġnar u t-tnaqqis tal-poter tax-xiri, il-pressjoni politika żviluppat biex testendi kreditu aktar faċli għal dawk li jaqilgħu bi dħul aktar baxx u medju - partikolarment biex jixtru djar - u kreditu aktar faċli b'mod ġenerali biex iżommu r-rati tal-qgħad baxxi. Dan ta lill-ekonomija Amerikana tendenza li tmur "minn bużżieqa għal bużżieqa" alimentata minn stimulazzjoni monetarja mhux sostenibbli.</v>
      </c>
    </row>
    <row r="3113" ht="15.75" customHeight="1">
      <c r="A3113" s="2" t="s">
        <v>3113</v>
      </c>
      <c r="B3113" s="2" t="str">
        <f>IFERROR(__xludf.DUMMYFUNCTION("GOOGLETRANSLATE(A3113, ""en"", ""mt"")"),"X'inhu t-tip ta 'tnaqqis l-iktar impjegat ta' spiss?")</f>
        <v>X'inhu t-tip ta 'tnaqqis l-iktar impjegat ta' spiss?</v>
      </c>
    </row>
    <row r="3114" ht="15.75" customHeight="1">
      <c r="A3114" s="2" t="s">
        <v>3114</v>
      </c>
      <c r="B3114" s="2" t="str">
        <f>IFERROR(__xludf.DUMMYFUNCTION("GOOGLETRANSLATE(A3114, ""en"", ""mt"")"),"Sit tal-Wirt Dinji tal-UNESCO")</f>
        <v>Sit tal-Wirt Dinji tal-UNESCO</v>
      </c>
    </row>
    <row r="3115" ht="15.75" customHeight="1">
      <c r="A3115" s="2" t="s">
        <v>3115</v>
      </c>
      <c r="B3115" s="2" t="str">
        <f>IFERROR(__xludf.DUMMYFUNCTION("GOOGLETRANSLATE(A3115, ""en"", ""mt"")"),"lill-istat u l-liġijiet tiegħu")</f>
        <v>lill-istat u l-liġijiet tiegħu</v>
      </c>
    </row>
    <row r="3116" ht="15.75" customHeight="1">
      <c r="A3116" s="2" t="s">
        <v>3116</v>
      </c>
      <c r="B3116" s="2" t="str">
        <f>IFERROR(__xludf.DUMMYFUNCTION("GOOGLETRANSLATE(A3116, ""en"", ""mt"")"),"Xi Normanni ngħaqdu mal-forzi Torok biex jgħinu fil-qerda tal-istati vassali tal-Armeni ta ’Sassoun u Taron fl-Anatolja tal-Lvant Imbiegħed. Aktar tard, ħafna ħadu servizz mal-Istat Armenjan aktar fin-nofsinhar f'Cilicia u l-Muntanji Taurus. Norman jismu "&amp;"Oursel mexxa forza ta '""Franks"" fil-Wied ta' Upper Euphrates fit-Tramuntana tas-Sirja. Mill-1073 sa 1074, 8,000 mill-20,000 truppa tal-Ġeneral Armenjan Philaretus Brachamius kienu Normanni - formolament ta 'Oursel - Miċħuda minn Raimbaud. Huma saħansitr"&amp;"a sellfu l-etniċità tagħhom għall-isem tal-kastell tagħhom: Afranji, li jfisser ""Franks."" Il-kummerċ magħruf bejn Amalfi u Antijokja u bejn Bari u Tarsu jista 'jkun relatat mal-preżenza ta' Italo-Normans f'dawk l-ibliet waqt li Amalfi u Bari kienu taħt "&amp;"il-ħakma Norman fl-Italja.")</f>
        <v>Xi Normanni ngħaqdu mal-forzi Torok biex jgħinu fil-qerda tal-istati vassali tal-Armeni ta ’Sassoun u Taron fl-Anatolja tal-Lvant Imbiegħed. Aktar tard, ħafna ħadu servizz mal-Istat Armenjan aktar fin-nofsinhar f'Cilicia u l-Muntanji Taurus. Norman jismu Oursel mexxa forza ta '"Franks" fil-Wied ta' Upper Euphrates fit-Tramuntana tas-Sirja. Mill-1073 sa 1074, 8,000 mill-20,000 truppa tal-Ġeneral Armenjan Philaretus Brachamius kienu Normanni - formolament ta 'Oursel - Miċħuda minn Raimbaud. Huma saħansitra sellfu l-etniċità tagħhom għall-isem tal-kastell tagħhom: Afranji, li jfisser "Franks." Il-kummerċ magħruf bejn Amalfi u Antijokja u bejn Bari u Tarsu jista 'jkun relatat mal-preżenza ta' Italo-Normans f'dawk l-ibliet waqt li Amalfi u Bari kienu taħt il-ħakma Norman fl-Italja.</v>
      </c>
    </row>
    <row r="3117" ht="15.75" customHeight="1">
      <c r="A3117" s="2" t="s">
        <v>3117</v>
      </c>
      <c r="B3117" s="2" t="str">
        <f>IFERROR(__xludf.DUMMYFUNCTION("GOOGLETRANSLATE(A3117, ""en"", ""mt"")"),"Għaliex Polonia ġiet relegata mill-aqwa titjira tal-pajjiż fl-2013?")</f>
        <v>Għaliex Polonia ġiet relegata mill-aqwa titjira tal-pajjiż fl-2013?</v>
      </c>
    </row>
    <row r="3118" ht="15.75" customHeight="1">
      <c r="A3118" s="2" t="s">
        <v>3118</v>
      </c>
      <c r="B3118" s="2" t="str">
        <f>IFERROR(__xludf.DUMMYFUNCTION("GOOGLETRANSLATE(A3118, ""en"", ""mt"")"),"Programmazzjoni lokali tard")</f>
        <v>Programmazzjoni lokali tard</v>
      </c>
    </row>
    <row r="3119" ht="15.75" customHeight="1">
      <c r="A3119" s="2" t="s">
        <v>3119</v>
      </c>
      <c r="B3119" s="2" t="str">
        <f>IFERROR(__xludf.DUMMYFUNCTION("GOOGLETRANSLATE(A3119, ""en"", ""mt"")"),"Il-prinċipju ta 'inklużjonijiet u komponenti")</f>
        <v>Il-prinċipju ta 'inklużjonijiet u komponenti</v>
      </c>
    </row>
    <row r="3120" ht="15.75" customHeight="1">
      <c r="A3120" s="2" t="s">
        <v>3120</v>
      </c>
      <c r="B3120" s="2" t="str">
        <f>IFERROR(__xludf.DUMMYFUNCTION("GOOGLETRANSLATE(A3120, ""en"", ""mt"")"),"Magazine tax-Xjenza")</f>
        <v>Magazine tax-Xjenza</v>
      </c>
    </row>
    <row r="3121" ht="15.75" customHeight="1">
      <c r="A3121" s="2" t="s">
        <v>3121</v>
      </c>
      <c r="B3121" s="2" t="str">
        <f>IFERROR(__xludf.DUMMYFUNCTION("GOOGLETRANSLATE(A3121, ""en"", ""mt"")"),"Liema kumpanija għandha l-kumpanija tax-xandir Amerikana?")</f>
        <v>Liema kumpanija għandha l-kumpanija tax-xandir Amerikana?</v>
      </c>
    </row>
    <row r="3122" ht="15.75" customHeight="1">
      <c r="A3122" s="2" t="s">
        <v>3122</v>
      </c>
      <c r="B3122" s="2" t="str">
        <f>IFERROR(__xludf.DUMMYFUNCTION("GOOGLETRANSLATE(A3122, ""en"", ""mt"")"),"Fejn Tesla bdiet xogħol ġdid fl-1882?")</f>
        <v>Fejn Tesla bdiet xogħol ġdid fl-1882?</v>
      </c>
    </row>
    <row r="3123" ht="15.75" customHeight="1">
      <c r="A3123" s="2" t="s">
        <v>3123</v>
      </c>
      <c r="B3123" s="2" t="str">
        <f>IFERROR(__xludf.DUMMYFUNCTION("GOOGLETRANSLATE(A3123, ""en"", ""mt"")"),"Għaliex Fresno għandu biss stazzjonijiet tat-televiżjoni UHF?")</f>
        <v>Għaliex Fresno għandu biss stazzjonijiet tat-televiżjoni UHF?</v>
      </c>
    </row>
    <row r="3124" ht="15.75" customHeight="1">
      <c r="A3124" s="2" t="s">
        <v>3124</v>
      </c>
      <c r="B3124" s="2" t="str">
        <f>IFERROR(__xludf.DUMMYFUNCTION("GOOGLETRANSLATE(A3124, ""en"", ""mt"")"),"Liema ġurnata kienet il-funeral ta 'Tesla?")</f>
        <v>Liema ġurnata kienet il-funeral ta 'Tesla?</v>
      </c>
    </row>
    <row r="3125" ht="15.75" customHeight="1">
      <c r="A3125" s="2" t="s">
        <v>3125</v>
      </c>
      <c r="B3125" s="2" t="str">
        <f>IFERROR(__xludf.DUMMYFUNCTION("GOOGLETRANSLATE(A3125, ""en"", ""mt"")"),"Wara l-ftuħ mill-ġdid tagħha, liema tipi ta 'films juru t-Tower Theatre?")</f>
        <v>Wara l-ftuħ mill-ġdid tagħha, liema tipi ta 'films juru t-Tower Theatre?</v>
      </c>
    </row>
    <row r="3126" ht="15.75" customHeight="1">
      <c r="A3126" s="2" t="s">
        <v>3126</v>
      </c>
      <c r="B3126" s="2" t="str">
        <f>IFERROR(__xludf.DUMMYFUNCTION("GOOGLETRANSLATE(A3126, ""en"", ""mt"")"),"erbatax")</f>
        <v>erbatax</v>
      </c>
    </row>
    <row r="3127" ht="15.75" customHeight="1">
      <c r="A3127" s="2" t="s">
        <v>3127</v>
      </c>
      <c r="B3127" s="2" t="str">
        <f>IFERROR(__xludf.DUMMYFUNCTION("GOOGLETRANSLATE(A3127, ""en"", ""mt"")"),"Netwerk tal-kompjuter iffinanzjat mill-Fondazzjoni Nazzjonali tax-Xjenza tal-Istati Uniti (NSF)")</f>
        <v>Netwerk tal-kompjuter iffinanzjat mill-Fondazzjoni Nazzjonali tax-Xjenza tal-Istati Uniti (NSF)</v>
      </c>
    </row>
    <row r="3128" ht="15.75" customHeight="1">
      <c r="A3128" s="2" t="s">
        <v>3128</v>
      </c>
      <c r="B3128" s="2" t="str">
        <f>IFERROR(__xludf.DUMMYFUNCTION("GOOGLETRANSLATE(A3128, ""en"", ""mt"")"),"tista 'tipproduċi kemm bajd kif ukoll sperma, fis-sens li tista' fertilize l-bajda tagħha stess")</f>
        <v>tista 'tipproduċi kemm bajd kif ukoll sperma, fis-sens li tista' fertilize l-bajda tagħha stess</v>
      </c>
    </row>
    <row r="3129" ht="15.75" customHeight="1">
      <c r="A3129" s="2" t="s">
        <v>3129</v>
      </c>
      <c r="B3129" s="2" t="str">
        <f>IFERROR(__xludf.DUMMYFUNCTION("GOOGLETRANSLATE(A3129, ""en"", ""mt"")"),"Alfabett binarju")</f>
        <v>Alfabett binarju</v>
      </c>
    </row>
    <row r="3130" ht="15.75" customHeight="1">
      <c r="A3130" s="2" t="s">
        <v>3130</v>
      </c>
      <c r="B3130" s="2" t="str">
        <f>IFERROR(__xludf.DUMMYFUNCTION("GOOGLETRANSLATE(A3130, ""en"", ""mt"")"),"Karatteristiċi tal-popli li jirbħu")</f>
        <v>Karatteristiċi tal-popli li jirbħu</v>
      </c>
    </row>
    <row r="3131" ht="15.75" customHeight="1">
      <c r="A3131" s="2" t="s">
        <v>3131</v>
      </c>
      <c r="B3131" s="2" t="str">
        <f>IFERROR(__xludf.DUMMYFUNCTION("GOOGLETRANSLATE(A3131, ""en"", ""mt"")"),"5,000 sa 30,000")</f>
        <v>5,000 sa 30,000</v>
      </c>
    </row>
    <row r="3132" ht="15.75" customHeight="1">
      <c r="A3132" s="2" t="s">
        <v>3132</v>
      </c>
      <c r="B3132" s="2" t="str">
        <f>IFERROR(__xludf.DUMMYFUNCTION("GOOGLETRANSLATE(A3132, ""en"", ""mt"")"),"Min imexxi l-gvern tal-istudenti?")</f>
        <v>Min imexxi l-gvern tal-istudenti?</v>
      </c>
    </row>
    <row r="3133" ht="15.75" customHeight="1">
      <c r="A3133" s="2" t="s">
        <v>3133</v>
      </c>
      <c r="B3133" s="2" t="str">
        <f>IFERROR(__xludf.DUMMYFUNCTION("GOOGLETRANSLATE(A3133, ""en"", ""mt"")"),"Meta l-Ġermanja invadiet il-Polonja u meta għamlet hekk tibda t-Tieni Gwerra Dinjija?")</f>
        <v>Meta l-Ġermanja invadiet il-Polonja u meta għamlet hekk tibda t-Tieni Gwerra Dinjija?</v>
      </c>
    </row>
    <row r="3134" ht="15.75" customHeight="1">
      <c r="A3134" s="2" t="s">
        <v>3134</v>
      </c>
      <c r="B3134" s="2" t="str">
        <f>IFERROR(__xludf.DUMMYFUNCTION("GOOGLETRANSLATE(A3134, ""en"", ""mt"")"),"ċelloli tal-parenchyma")</f>
        <v>ċelloli tal-parenchyma</v>
      </c>
    </row>
    <row r="3135" ht="15.75" customHeight="1">
      <c r="A3135" s="2" t="s">
        <v>3135</v>
      </c>
      <c r="B3135" s="2" t="str">
        <f>IFERROR(__xludf.DUMMYFUNCTION("GOOGLETRANSLATE(A3135, ""en"", ""mt"")"),"Ċivilizza")</f>
        <v>Ċivilizza</v>
      </c>
    </row>
    <row r="3136" ht="15.75" customHeight="1">
      <c r="A3136" s="2" t="s">
        <v>3136</v>
      </c>
      <c r="B3136" s="2" t="str">
        <f>IFERROR(__xludf.DUMMYFUNCTION("GOOGLETRANSLATE(A3136, ""en"", ""mt"")"),"plaċebo")</f>
        <v>plaċebo</v>
      </c>
    </row>
    <row r="3137" ht="15.75" customHeight="1">
      <c r="A3137" s="2" t="s">
        <v>3137</v>
      </c>
      <c r="B3137" s="2" t="str">
        <f>IFERROR(__xludf.DUMMYFUNCTION("GOOGLETRANSLATE(A3137, ""en"", ""mt"")"),"Dejta minn esperimenti fiżiċi tista 'tiġi estrapolata fuq il-post biex tifhem liema proċessi?")</f>
        <v>Dejta minn esperimenti fiżiċi tista 'tiġi estrapolata fuq il-post biex tifhem liema proċessi?</v>
      </c>
    </row>
    <row r="3138" ht="15.75" customHeight="1">
      <c r="A3138" s="2" t="s">
        <v>3138</v>
      </c>
      <c r="B3138" s="2" t="str">
        <f>IFERROR(__xludf.DUMMYFUNCTION("GOOGLETRANSLATE(A3138, ""en"", ""mt"")"),"F'liema għaxar snin spiċċat l-ABC li għaddiet għall-kulur?")</f>
        <v>F'liema għaxar snin spiċċat l-ABC li għaddiet għall-kulur?</v>
      </c>
    </row>
    <row r="3139" ht="15.75" customHeight="1">
      <c r="A3139" s="2" t="s">
        <v>3139</v>
      </c>
      <c r="B3139" s="2" t="str">
        <f>IFERROR(__xludf.DUMMYFUNCTION("GOOGLETRANSLATE(A3139, ""en"", ""mt"")"),"Università ta ’Newcastle")</f>
        <v>Università ta ’Newcastle</v>
      </c>
    </row>
    <row r="3140" ht="15.75" customHeight="1">
      <c r="A3140" s="2" t="s">
        <v>3140</v>
      </c>
      <c r="B3140" s="2" t="str">
        <f>IFERROR(__xludf.DUMMYFUNCTION("GOOGLETRANSLATE(A3140, ""en"", ""mt"")"),"Huma ""applikabbli direttament fl-istati membri kollha""")</f>
        <v>Huma "applikabbli direttament fl-istati membri kollha"</v>
      </c>
    </row>
    <row r="3141" ht="15.75" customHeight="1">
      <c r="A3141" s="2" t="s">
        <v>3141</v>
      </c>
      <c r="B3141" s="2" t="str">
        <f>IFERROR(__xludf.DUMMYFUNCTION("GOOGLETRANSLATE(A3141, ""en"", ""mt"")"),"L-ispiżjara huma mistennija jsiru aktar integrali fis-sistema tal-kura tas-saħħa")</f>
        <v>L-ispiżjara huma mistennija jsiru aktar integrali fis-sistema tal-kura tas-saħħa</v>
      </c>
    </row>
    <row r="3142" ht="15.75" customHeight="1">
      <c r="A3142" s="2" t="s">
        <v>3142</v>
      </c>
      <c r="B3142" s="2" t="str">
        <f>IFERROR(__xludf.DUMMYFUNCTION("GOOGLETRANSLATE(A3142, ""en"", ""mt"")"),"konvezzjoni tal-mantell")</f>
        <v>konvezzjoni tal-mantell</v>
      </c>
    </row>
    <row r="3143" ht="15.75" customHeight="1">
      <c r="A3143" s="2" t="s">
        <v>3143</v>
      </c>
      <c r="B3143" s="2" t="str">
        <f>IFERROR(__xludf.DUMMYFUNCTION("GOOGLETRANSLATE(A3143, ""en"", ""mt"")"),"Materji riservati huma suġġetti li huma barra l-kompetenza leġiżlattiva tal-Parlament tal-Iskozja. Il-Parlament Skoċċiż ma jistax jilleġiżla dwar dawn il-kwistjonijiet li huma riservati, u ttrattati fi, Westminster (u fejn il-funzjonijiet ministerjali ġen"&amp;"eralment jinsabu mal-ministri tal-gvern tar-Renju Unit). Dawn jinkludu abort, politika tax-xandir, servizz ċivili, swieq komuni għal oġġetti u servizzi tar-Renju Unit, kostituzzjoni, elettriku, faħam, żejt, gass, enerġija nukleari, difiża u sigurtà nazzjo"&amp;"nali, politika tad-droga, impjieg, politika barranija, politika barranija u relazzjonijiet mal-Ewropa, ħafna aspetti ta 'sigurtà u regolamentazzjoni tat-trasport, lotterija nazzjonali, protezzjoni tal-fruntieri, sigurtà soċjali u stabbiltà tas-sistema fis"&amp;"kali, ekonomika u monetarja tar-Renju Unit.")</f>
        <v>Materji riservati huma suġġetti li huma barra l-kompetenza leġiżlattiva tal-Parlament tal-Iskozja. Il-Parlament Skoċċiż ma jistax jilleġiżla dwar dawn il-kwistjonijiet li huma riservati, u ttrattati fi, Westminster (u fejn il-funzjonijiet ministerjali ġeneralment jinsabu mal-ministri tal-gvern tar-Renju Unit). Dawn jinkludu abort, politika tax-xandir, servizz ċivili, swieq komuni għal oġġetti u servizzi tar-Renju Unit, kostituzzjoni, elettriku, faħam, żejt, gass, enerġija nukleari, difiża u sigurtà nazzjonali, politika tad-droga, impjieg, politika barranija, politika barranija u relazzjonijiet mal-Ewropa, ħafna aspetti ta 'sigurtà u regolamentazzjoni tat-trasport, lotterija nazzjonali, protezzjoni tal-fruntieri, sigurtà soċjali u stabbiltà tas-sistema fiskali, ekonomika u monetarja tar-Renju Unit.</v>
      </c>
    </row>
    <row r="3144" ht="15.75" customHeight="1">
      <c r="A3144" s="2" t="s">
        <v>3144</v>
      </c>
      <c r="B3144" s="2" t="str">
        <f>IFERROR(__xludf.DUMMYFUNCTION("GOOGLETRANSLATE(A3144, ""en"", ""mt"")"),"Billi tissepara l-fidi u r-raġuni, x’jagħmel Luther?")</f>
        <v>Billi tissepara l-fidi u r-raġuni, x’jagħmel Luther?</v>
      </c>
    </row>
    <row r="3145" ht="15.75" customHeight="1">
      <c r="A3145" s="2" t="s">
        <v>3145</v>
      </c>
      <c r="B3145" s="2" t="str">
        <f>IFERROR(__xludf.DUMMYFUNCTION("GOOGLETRANSLATE(A3145, ""en"", ""mt"")"),"It-telfa ta 'Napuljun")</f>
        <v>It-telfa ta 'Napuljun</v>
      </c>
    </row>
    <row r="3146" ht="15.75" customHeight="1">
      <c r="A3146" s="2" t="s">
        <v>3146</v>
      </c>
      <c r="B3146" s="2" t="str">
        <f>IFERROR(__xludf.DUMMYFUNCTION("GOOGLETRANSLATE(A3146, ""en"", ""mt"")"),"Pjanijiet tal-Gwerra Ingliża")</f>
        <v>Pjanijiet tal-Gwerra Ingliża</v>
      </c>
    </row>
    <row r="3147" ht="15.75" customHeight="1">
      <c r="A3147" s="2" t="s">
        <v>3147</v>
      </c>
      <c r="B3147" s="2" t="str">
        <f>IFERROR(__xludf.DUMMYFUNCTION("GOOGLETRANSLATE(A3147, ""en"", ""mt"")"),"Lista tal-Wirt Dinji tal-UNESCO")</f>
        <v>Lista tal-Wirt Dinji tal-UNESCO</v>
      </c>
    </row>
    <row r="3148" ht="15.75" customHeight="1">
      <c r="A3148" s="2" t="s">
        <v>3148</v>
      </c>
      <c r="B3148" s="2" t="str">
        <f>IFERROR(__xludf.DUMMYFUNCTION("GOOGLETRANSLATE(A3148, ""en"", ""mt"")"),"Liema emenda għall-Kostituzzjoni ta 'l-Istati Uniti tirregola l-finanzjament tal-gvern ta' skejjel reliġjużi?")</f>
        <v>Liema emenda għall-Kostituzzjoni ta 'l-Istati Uniti tirregola l-finanzjament tal-gvern ta' skejjel reliġjużi?</v>
      </c>
    </row>
    <row r="3149" ht="15.75" customHeight="1">
      <c r="A3149" s="2" t="s">
        <v>3149</v>
      </c>
      <c r="B3149" s="2" t="str">
        <f>IFERROR(__xludf.DUMMYFUNCTION("GOOGLETRANSLATE(A3149, ""en"", ""mt"")"),"Għaliex il-ministri taż-żejt qablu ma 'qatgħa fil-produzzjoni taż-żejt?")</f>
        <v>Għaliex il-ministri taż-żejt qablu ma 'qatgħa fil-produzzjoni taż-żejt?</v>
      </c>
    </row>
    <row r="3150" ht="15.75" customHeight="1">
      <c r="A3150" s="2" t="s">
        <v>3150</v>
      </c>
      <c r="B3150" s="2" t="str">
        <f>IFERROR(__xludf.DUMMYFUNCTION("GOOGLETRANSLATE(A3150, ""en"", ""mt"")"),"L-Iskola tal-Grammatika Rjali")</f>
        <v>L-Iskola tal-Grammatika Rjali</v>
      </c>
    </row>
    <row r="3151" ht="15.75" customHeight="1">
      <c r="A3151" s="2" t="s">
        <v>3151</v>
      </c>
      <c r="B3151" s="2" t="str">
        <f>IFERROR(__xludf.DUMMYFUNCTION("GOOGLETRANSLATE(A3151, ""en"", ""mt"")"),"li jikkonsisti f'miljuni ta 'volts u sa 135 pied twil")</f>
        <v>li jikkonsisti f'miljuni ta 'volts u sa 135 pied twil</v>
      </c>
    </row>
    <row r="3152" ht="15.75" customHeight="1">
      <c r="A3152" s="2" t="s">
        <v>3152</v>
      </c>
      <c r="B3152" s="2" t="str">
        <f>IFERROR(__xludf.DUMMYFUNCTION("GOOGLETRANSLATE(A3152, ""en"", ""mt"")"),"atturi privati")</f>
        <v>atturi privati</v>
      </c>
    </row>
    <row r="3153" ht="15.75" customHeight="1">
      <c r="A3153" s="2" t="s">
        <v>3153</v>
      </c>
      <c r="B3153" s="2" t="str">
        <f>IFERROR(__xludf.DUMMYFUNCTION("GOOGLETRANSLATE(A3153, ""en"", ""mt"")"),"widien")</f>
        <v>widien</v>
      </c>
    </row>
    <row r="3154" ht="15.75" customHeight="1">
      <c r="A3154" s="2" t="s">
        <v>3154</v>
      </c>
      <c r="B3154" s="2" t="str">
        <f>IFERROR(__xludf.DUMMYFUNCTION("GOOGLETRANSLATE(A3154, ""en"", ""mt"")"),"methotrexate jew azathioprine")</f>
        <v>methotrexate jew azathioprine</v>
      </c>
    </row>
    <row r="3155" ht="15.75" customHeight="1">
      <c r="A3155" s="2" t="s">
        <v>3155</v>
      </c>
      <c r="B3155" s="2" t="str">
        <f>IFERROR(__xludf.DUMMYFUNCTION("GOOGLETRANSLATE(A3155, ""en"", ""mt"")"),"xabla")</f>
        <v>xabla</v>
      </c>
    </row>
    <row r="3156" ht="15.75" customHeight="1">
      <c r="A3156" s="2" t="s">
        <v>3156</v>
      </c>
      <c r="B3156" s="2" t="str">
        <f>IFERROR(__xludf.DUMMYFUNCTION("GOOGLETRANSLATE(A3156, ""en"", ""mt"")"),"Tuzzjonijiet bejn il-pari")</f>
        <v>Tuzzjonijiet bejn il-pari</v>
      </c>
    </row>
    <row r="3157" ht="15.75" customHeight="1">
      <c r="A3157" s="2" t="s">
        <v>3157</v>
      </c>
      <c r="B3157" s="2" t="str">
        <f>IFERROR(__xludf.DUMMYFUNCTION("GOOGLETRANSLATE(A3157, ""en"", ""mt"")"),"Il-Knisja Protestanta Franċiża ta ’Londra")</f>
        <v>Il-Knisja Protestanta Franċiża ta ’Londra</v>
      </c>
    </row>
    <row r="3158" ht="15.75" customHeight="1">
      <c r="A3158" s="2" t="s">
        <v>3158</v>
      </c>
      <c r="B3158" s="2" t="str">
        <f>IFERROR(__xludf.DUMMYFUNCTION("GOOGLETRANSLATE(A3158, ""en"", ""mt"")"),"Kif ġie rranġat qabel minn missieru, Temüjin iżżewweġ lil Börte tat-tribù Onggirat meta kellu madwar 16-il sena sabiex jissimentja l-alleanzi bejn it-tribujiet rispettivi tagħhom. Ftit wara ż-żwieġ ta 'Börte ma' Temüjin, hija kienet maħtufa mill-Merkits u"&amp;" allegatament ingħatat bħala mara. Temüjin salvatha bl-għajnuna ta 'sieħbu u r-rivali futuri tiegħu, Jamukha, u l-protettur tiegħu, Toghrul Khan tat-tribù Keraite. Hija welldet tifel, Jochi (1185-1226), disa 'xhur wara, imsaħħaħ il-kwistjoni tal-ġenituri "&amp;"tiegħu. Minkejja l-ispekulazzjoni fuq Jochi, Börte kien l-uniku imperatriċi ta 'Temüjin, għalkemm huwa segwa t-tradizzjoni billi ħa diversi nisa morgatiċi.")</f>
        <v>Kif ġie rranġat qabel minn missieru, Temüjin iżżewweġ lil Börte tat-tribù Onggirat meta kellu madwar 16-il sena sabiex jissimentja l-alleanzi bejn it-tribujiet rispettivi tagħhom. Ftit wara ż-żwieġ ta 'Börte ma' Temüjin, hija kienet maħtufa mill-Merkits u allegatament ingħatat bħala mara. Temüjin salvatha bl-għajnuna ta 'sieħbu u r-rivali futuri tiegħu, Jamukha, u l-protettur tiegħu, Toghrul Khan tat-tribù Keraite. Hija welldet tifel, Jochi (1185-1226), disa 'xhur wara, imsaħħaħ il-kwistjoni tal-ġenituri tiegħu. Minkejja l-ispekulazzjoni fuq Jochi, Börte kien l-uniku imperatriċi ta 'Temüjin, għalkemm huwa segwa t-tradizzjoni billi ħa diversi nisa morgatiċi.</v>
      </c>
    </row>
    <row r="3159" ht="15.75" customHeight="1">
      <c r="A3159" s="2" t="s">
        <v>3159</v>
      </c>
      <c r="B3159" s="2" t="str">
        <f>IFERROR(__xludf.DUMMYFUNCTION("GOOGLETRANSLATE(A3159, ""en"", ""mt"")"),"sħana u pressjoni")</f>
        <v>sħana u pressjoni</v>
      </c>
    </row>
    <row r="3160" ht="15.75" customHeight="1">
      <c r="A3160" s="2" t="s">
        <v>3160</v>
      </c>
      <c r="B3160" s="2" t="str">
        <f>IFERROR(__xludf.DUMMYFUNCTION("GOOGLETRANSLATE(A3160, ""en"", ""mt"")"),"'Ħieles mit-tagħlim")</f>
        <v>'Ħieles mit-tagħlim</v>
      </c>
    </row>
    <row r="3161" ht="15.75" customHeight="1">
      <c r="A3161" s="2" t="s">
        <v>3161</v>
      </c>
      <c r="B3161" s="2" t="str">
        <f>IFERROR(__xludf.DUMMYFUNCTION("GOOGLETRANSLATE(A3161, ""en"", ""mt"")"),"Eicosanoids")</f>
        <v>Eicosanoids</v>
      </c>
    </row>
    <row r="3162" ht="15.75" customHeight="1">
      <c r="A3162" s="2" t="s">
        <v>3162</v>
      </c>
      <c r="B3162" s="2" t="str">
        <f>IFERROR(__xludf.DUMMYFUNCTION("GOOGLETRANSLATE(A3162, ""en"", ""mt"")"),"baħar")</f>
        <v>baħar</v>
      </c>
    </row>
    <row r="3163" ht="15.75" customHeight="1">
      <c r="A3163" s="2" t="s">
        <v>3163</v>
      </c>
      <c r="B3163" s="2" t="str">
        <f>IFERROR(__xludf.DUMMYFUNCTION("GOOGLETRANSLATE(A3163, ""en"", ""mt"")"),"'l isfel")</f>
        <v>'l isfel</v>
      </c>
    </row>
    <row r="3164" ht="15.75" customHeight="1">
      <c r="A3164" s="2" t="s">
        <v>3164</v>
      </c>
      <c r="B3164" s="2" t="str">
        <f>IFERROR(__xludf.DUMMYFUNCTION("GOOGLETRANSLATE(A3164, ""en"", ""mt"")"),"Tliet speċi putattivi addizzjonali")</f>
        <v>Tliet speċi putattivi addizzjonali</v>
      </c>
    </row>
    <row r="3165" ht="15.75" customHeight="1">
      <c r="A3165" s="2" t="s">
        <v>3165</v>
      </c>
      <c r="B3165" s="2" t="str">
        <f>IFERROR(__xludf.DUMMYFUNCTION("GOOGLETRANSLATE(A3165, ""en"", ""mt"")"),"Fejn il-Korea kienet il-fruntiera tat-territorju ta 'Kublai?")</f>
        <v>Fejn il-Korea kienet il-fruntiera tat-territorju ta 'Kublai?</v>
      </c>
    </row>
    <row r="3166" ht="15.75" customHeight="1">
      <c r="A3166" s="2" t="s">
        <v>3166</v>
      </c>
      <c r="B3166" s="2" t="str">
        <f>IFERROR(__xludf.DUMMYFUNCTION("GOOGLETRANSLATE(A3166, ""en"", ""mt"")"),"Liema grupp kien responsabbli biex jikkawża aktar vjolenza f'Wittenberg?")</f>
        <v>Liema grupp kien responsabbli biex jikkawża aktar vjolenza f'Wittenberg?</v>
      </c>
    </row>
    <row r="3167" ht="15.75" customHeight="1">
      <c r="A3167" s="2" t="s">
        <v>3167</v>
      </c>
      <c r="B3167" s="2" t="str">
        <f>IFERROR(__xludf.DUMMYFUNCTION("GOOGLETRANSLATE(A3167, ""en"", ""mt"")"),"Suite proprjetarja ta 'protokolli ta' netwerking żviluppati minn Apple Inc")</f>
        <v>Suite proprjetarja ta 'protokolli ta' netwerking żviluppati minn Apple Inc</v>
      </c>
    </row>
    <row r="3168" ht="15.75" customHeight="1">
      <c r="A3168" s="2" t="s">
        <v>3168</v>
      </c>
      <c r="B3168" s="2" t="str">
        <f>IFERROR(__xludf.DUMMYFUNCTION("GOOGLETRANSLATE(A3168, ""en"", ""mt"")"),"sezzjoni moderna kanalizzata")</f>
        <v>sezzjoni moderna kanalizzata</v>
      </c>
    </row>
    <row r="3169" ht="15.75" customHeight="1">
      <c r="A3169" s="2" t="s">
        <v>3169</v>
      </c>
      <c r="B3169" s="2" t="str">
        <f>IFERROR(__xludf.DUMMYFUNCTION("GOOGLETRANSLATE(A3169, ""en"", ""mt"")"),"Kemm mill-iskejjel fi Newcastle huma indipendenti?")</f>
        <v>Kemm mill-iskejjel fi Newcastle huma indipendenti?</v>
      </c>
    </row>
    <row r="3170" ht="15.75" customHeight="1">
      <c r="A3170" s="2" t="s">
        <v>3170</v>
      </c>
      <c r="B3170" s="2" t="str">
        <f>IFERROR(__xludf.DUMMYFUNCTION("GOOGLETRANSLATE(A3170, ""en"", ""mt"")"),"X'ġara Luther li ġara lill-erwieħ wara l-mewt?")</f>
        <v>X'ġara Luther li ġara lill-erwieħ wara l-mewt?</v>
      </c>
    </row>
    <row r="3171" ht="15.75" customHeight="1">
      <c r="A3171" s="2" t="s">
        <v>3171</v>
      </c>
      <c r="B3171" s="2" t="str">
        <f>IFERROR(__xludf.DUMMYFUNCTION("GOOGLETRANSLATE(A3171, ""en"", ""mt"")"),"President")</f>
        <v>President</v>
      </c>
    </row>
    <row r="3172" ht="15.75" customHeight="1">
      <c r="A3172" s="2" t="s">
        <v>3172</v>
      </c>
      <c r="B3172" s="2" t="str">
        <f>IFERROR(__xludf.DUMMYFUNCTION("GOOGLETRANSLATE(A3172, ""en"", ""mt"")"),"Għal xiex intużat is-sistema AC ta 'Tesla f'Pittsburgh?")</f>
        <v>Għal xiex intużat is-sistema AC ta 'Tesla f'Pittsburgh?</v>
      </c>
    </row>
    <row r="3173" ht="15.75" customHeight="1">
      <c r="A3173" s="2" t="s">
        <v>3173</v>
      </c>
      <c r="B3173" s="2" t="str">
        <f>IFERROR(__xludf.DUMMYFUNCTION("GOOGLETRANSLATE(A3173, ""en"", ""mt"")"),"Telfa mgħaġġla u deċiżiva")</f>
        <v>Telfa mgħaġġla u deċiżiva</v>
      </c>
    </row>
    <row r="3174" ht="15.75" customHeight="1">
      <c r="A3174" s="2" t="s">
        <v>3174</v>
      </c>
      <c r="B3174" s="2" t="str">
        <f>IFERROR(__xludf.DUMMYFUNCTION("GOOGLETRANSLATE(A3174, ""en"", ""mt"")"),"fil-kumitat jew kumitati rilevanti")</f>
        <v>fil-kumitat jew kumitati rilevanti</v>
      </c>
    </row>
    <row r="3175" ht="15.75" customHeight="1">
      <c r="A3175" s="2" t="s">
        <v>3175</v>
      </c>
      <c r="B3175" s="2" t="str">
        <f>IFERROR(__xludf.DUMMYFUNCTION("GOOGLETRANSLATE(A3175, ""en"", ""mt"")"),"X'tifhem li l-atleti professjonali jfittxu li jagħtu spinta mill-ossiġnu tan-nifs?")</f>
        <v>X'tifhem li l-atleti professjonali jfittxu li jagħtu spinta mill-ossiġnu tan-nifs?</v>
      </c>
    </row>
    <row r="3176" ht="15.75" customHeight="1">
      <c r="A3176" s="2" t="s">
        <v>3176</v>
      </c>
      <c r="B3176" s="2" t="str">
        <f>IFERROR(__xludf.DUMMYFUNCTION("GOOGLETRANSLATE(A3176, ""en"", ""mt"")"),"X'kien ix-xogħol ta 'Brisbane?")</f>
        <v>X'kien ix-xogħol ta 'Brisbane?</v>
      </c>
    </row>
    <row r="3177" ht="15.75" customHeight="1">
      <c r="A3177" s="2" t="s">
        <v>3177</v>
      </c>
      <c r="B3177" s="2" t="str">
        <f>IFERROR(__xludf.DUMMYFUNCTION("GOOGLETRANSLATE(A3177, ""en"", ""mt"")"),"Rapporti ta 'spiżeriji bħal dawn li jqassmu prodotti mhux standard")</f>
        <v>Rapporti ta 'spiżeriji bħal dawn li jqassmu prodotti mhux standard</v>
      </c>
    </row>
    <row r="3178" ht="15.75" customHeight="1">
      <c r="A3178" s="2" t="s">
        <v>3178</v>
      </c>
      <c r="B3178" s="2" t="str">
        <f>IFERROR(__xludf.DUMMYFUNCTION("GOOGLETRANSLATE(A3178, ""en"", ""mt"")"),"Minn liema tista 'tiddependi l-elastiċità tat-tkabbir tal-faqar?")</f>
        <v>Minn liema tista 'tiddependi l-elastiċità tat-tkabbir tal-faqar?</v>
      </c>
    </row>
    <row r="3179" ht="15.75" customHeight="1">
      <c r="A3179" s="2" t="s">
        <v>3179</v>
      </c>
      <c r="B3179" s="2" t="str">
        <f>IFERROR(__xludf.DUMMYFUNCTION("GOOGLETRANSLATE(A3179, ""en"", ""mt"")"),"Fil-biċċa l-kbira tal-ġurisdizzjonijiet (bħall-Istati Uniti), l-ispiżjara huma rregolati separatament minn tobba. Dawn il-ġurisdizzjonijiet ġeneralment jispeċifikaw li l-ispiżjara biss jistgħu jfornu farmaċewtiċi skedati lill-pubbliku, u li l-ispiżjara ma"&amp;" jistgħux jiffurmaw sħubijiet kummerċjali ma 'tobba jew jagħtuhom ħlasijiet ta' ""kickback"". Madankollu, il-Kodiċi ta 'Etika tal-Assoċjazzjoni Medika Amerikana (AMA) jipprovdi li t-tobba jistgħu jwarrbu d-drogi fil-prattiki tal-uffiċċju tagħhom sakemm ma"&amp;" jkun hemm l-ebda sfruttament tal-pazjenti u l-pazjenti jkollhom id-dritt għal preskrizzjoni bil-miktub li tista' timtela x'imkien ieħor. 7 sa 10 fil-mija tal-prattiki tat-tobba Amerikani rrappurtaw li jwarrbu d-droga waħedhom.")</f>
        <v>Fil-biċċa l-kbira tal-ġurisdizzjonijiet (bħall-Istati Uniti), l-ispiżjara huma rregolati separatament minn tobba. Dawn il-ġurisdizzjonijiet ġeneralment jispeċifikaw li l-ispiżjara biss jistgħu jfornu farmaċewtiċi skedati lill-pubbliku, u li l-ispiżjara ma jistgħux jiffurmaw sħubijiet kummerċjali ma 'tobba jew jagħtuhom ħlasijiet ta' "kickback". Madankollu, il-Kodiċi ta 'Etika tal-Assoċjazzjoni Medika Amerikana (AMA) jipprovdi li t-tobba jistgħu jwarrbu d-drogi fil-prattiki tal-uffiċċju tagħhom sakemm ma jkun hemm l-ebda sfruttament tal-pazjenti u l-pazjenti jkollhom id-dritt għal preskrizzjoni bil-miktub li tista' timtela x'imkien ieħor. 7 sa 10 fil-mija tal-prattiki tat-tobba Amerikani rrappurtaw li jwarrbu d-droga waħedhom.</v>
      </c>
    </row>
    <row r="3180" ht="15.75" customHeight="1">
      <c r="A3180" s="2" t="s">
        <v>3180</v>
      </c>
      <c r="B3180" s="2" t="str">
        <f>IFERROR(__xludf.DUMMYFUNCTION("GOOGLETRANSLATE(A3180, ""en"", ""mt"")"),"Kif Luther ikkonvinċiet lill-Arċisqof Albrecht biex iwaqqaf il-bejgħ ta 'indulġenzi?")</f>
        <v>Kif Luther ikkonvinċiet lill-Arċisqof Albrecht biex iwaqqaf il-bejgħ ta 'indulġenzi?</v>
      </c>
    </row>
    <row r="3181" ht="15.75" customHeight="1">
      <c r="A3181" s="2" t="s">
        <v>3181</v>
      </c>
      <c r="B3181" s="2" t="str">
        <f>IFERROR(__xludf.DUMMYFUNCTION("GOOGLETRANSLATE(A3181, ""en"", ""mt"")"),"Il-konkwista ta ’Ċipru mill-forzi Anglo-Norman tat-Tielet Kruċjata fetħet kapitolu ġdid fl-istorja tal-gżira, li kienet tkun taħt il-ħakma tal-Ewropa tal-Punent għat-380 sena li ġejjin. Għalkemm mhux parti minn operazzjoni ppjanata, il-konkwista kellha ri"&amp;"żultati ferm aktar permanenti milli kien mistenni inizjalment.")</f>
        <v>Il-konkwista ta ’Ċipru mill-forzi Anglo-Norman tat-Tielet Kruċjata fetħet kapitolu ġdid fl-istorja tal-gżira, li kienet tkun taħt il-ħakma tal-Ewropa tal-Punent għat-380 sena li ġejjin. Għalkemm mhux parti minn operazzjoni ppjanata, il-konkwista kellha riżultati ferm aktar permanenti milli kien mistenni inizjalment.</v>
      </c>
    </row>
    <row r="3182" ht="15.75" customHeight="1">
      <c r="A3182" s="2" t="s">
        <v>3182</v>
      </c>
      <c r="B3182" s="2" t="str">
        <f>IFERROR(__xludf.DUMMYFUNCTION("GOOGLETRANSLATE(A3182, ""en"", ""mt"")"),"Format inkompatibbli mat-TV imxandar")</f>
        <v>Format inkompatibbli mat-TV imxandar</v>
      </c>
    </row>
    <row r="3183" ht="15.75" customHeight="1">
      <c r="A3183" s="2" t="s">
        <v>3183</v>
      </c>
      <c r="B3183" s="2" t="str">
        <f>IFERROR(__xludf.DUMMYFUNCTION("GOOGLETRANSLATE(A3183, ""en"", ""mt"")"),"5% tal-produzzjoni maqtugħa")</f>
        <v>5% tal-produzzjoni maqtugħa</v>
      </c>
    </row>
    <row r="3184" ht="15.75" customHeight="1">
      <c r="A3184" s="2" t="s">
        <v>3184</v>
      </c>
      <c r="B3184" s="2" t="str">
        <f>IFERROR(__xludf.DUMMYFUNCTION("GOOGLETRANSLATE(A3184, ""en"", ""mt"")"),"Ċirku kommutattiv r")</f>
        <v>Ċirku kommutattiv r</v>
      </c>
    </row>
    <row r="3185" ht="15.75" customHeight="1">
      <c r="A3185" s="2" t="s">
        <v>3185</v>
      </c>
      <c r="B3185" s="2" t="str">
        <f>IFERROR(__xludf.DUMMYFUNCTION("GOOGLETRANSLATE(A3185, ""en"", ""mt"")"),"Analiżi mikroskopika")</f>
        <v>Analiżi mikroskopika</v>
      </c>
    </row>
    <row r="3186" ht="15.75" customHeight="1">
      <c r="A3186" s="2" t="s">
        <v>3186</v>
      </c>
      <c r="B3186" s="2" t="str">
        <f>IFERROR(__xludf.DUMMYFUNCTION("GOOGLETRANSLATE(A3186, ""en"", ""mt"")"),"Il-Grupp ta 'Xandir Sinclair huwa l-akbar operatur ta' stazzjonijiet ABC permezz ta 'total numeriku, li jippossjedi jew jipprovdi servizzi lil 28 affiljat ABC u żewġ affiljati addizzjonali ta' subchannel biss; Sinclair tippossjedi l-ikbar affiljat tas-sub"&amp;"channel ABC skont id-daqs tas-suq, WABM-DT2 / WDBB-DT2 fis-suq ta 'Birmingham, li jservu bħala ripetituri ta' WBMA-LD (l-ikbar poter baxx ""Four Big Four"" affiljat skond id-daqs tas-suq, li fih innifsu huwa wkoll ukoll huwa wkoll simulcast fuq subchannel"&amp;" ta 'eks WBMA Satellite WGWW, proprjetà tal-kumpanija msieħba Sinclair Howard Stirk Holdings). Il-Kumpanija E. W. Scripps hija l-akbar operatur tal-istazzjonijiet ABC f'termini ta 'firxa ġenerali tas-suq, li għandha 15-il stazzjon affiljat mill-ABC (inklu"&amp;"żi affiljati fi swieq ikbar bħal Cleveland, Phoenix, Detroit u Denver), u permezz tal-pussess tagħha ta' Phoenix affiljat KNXV, L-affiljat ta 'Las Vegas KTNV-TV u l-affiljat ta' Tucson KGUN-TV, l-uniku fornitur ta 'programmazzjoni ABC għall-maġġoranza ta'"&amp;" Arizona (barra mis-suq Yuma-El Centro) u fin-Nofsinhar ta 'Nevada.")</f>
        <v>Il-Grupp ta 'Xandir Sinclair huwa l-akbar operatur ta' stazzjonijiet ABC permezz ta 'total numeriku, li jippossjedi jew jipprovdi servizzi lil 28 affiljat ABC u żewġ affiljati addizzjonali ta' subchannel biss; Sinclair tippossjedi l-ikbar affiljat tas-subchannel ABC skont id-daqs tas-suq, WABM-DT2 / WDBB-DT2 fis-suq ta 'Birmingham, li jservu bħala ripetituri ta' WBMA-LD (l-ikbar poter baxx "Four Big Four" affiljat skond id-daqs tas-suq, li fih innifsu huwa wkoll ukoll huwa wkoll simulcast fuq subchannel ta 'eks WBMA Satellite WGWW, proprjetà tal-kumpanija msieħba Sinclair Howard Stirk Holdings). Il-Kumpanija E. W. Scripps hija l-akbar operatur tal-istazzjonijiet ABC f'termini ta 'firxa ġenerali tas-suq, li għandha 15-il stazzjon affiljat mill-ABC (inklużi affiljati fi swieq ikbar bħal Cleveland, Phoenix, Detroit u Denver), u permezz tal-pussess tagħha ta' Phoenix affiljat KNXV, L-affiljat ta 'Las Vegas KTNV-TV u l-affiljat ta' Tucson KGUN-TV, l-uniku fornitur ta 'programmazzjoni ABC għall-maġġoranza ta' Arizona (barra mis-suq Yuma-El Centro) u fin-Nofsinhar ta 'Nevada.</v>
      </c>
    </row>
    <row r="3187" ht="15.75" customHeight="1">
      <c r="A3187" s="2" t="s">
        <v>3187</v>
      </c>
      <c r="B3187" s="2" t="str">
        <f>IFERROR(__xludf.DUMMYFUNCTION("GOOGLETRANSLATE(A3187, ""en"", ""mt"")"),"Fil-meristemi apikali ta 'pjanta adulta")</f>
        <v>Fil-meristemi apikali ta 'pjanta adulta</v>
      </c>
    </row>
    <row r="3188" ht="15.75" customHeight="1">
      <c r="A3188" s="2" t="s">
        <v>3188</v>
      </c>
      <c r="B3188" s="2" t="str">
        <f>IFERROR(__xludf.DUMMYFUNCTION("GOOGLETRANSLATE(A3188, ""en"", ""mt"")"),"Magni tal-fwar")</f>
        <v>Magni tal-fwar</v>
      </c>
    </row>
    <row r="3189" ht="15.75" customHeight="1">
      <c r="A3189" s="2" t="s">
        <v>3189</v>
      </c>
      <c r="B3189" s="2" t="str">
        <f>IFERROR(__xludf.DUMMYFUNCTION("GOOGLETRANSLATE(A3189, ""en"", ""mt"")"),"University_of_chicago")</f>
        <v>University_of_chicago</v>
      </c>
    </row>
    <row r="3190" ht="15.75" customHeight="1">
      <c r="A3190" s="2" t="s">
        <v>3190</v>
      </c>
      <c r="B3190" s="2" t="str">
        <f>IFERROR(__xludf.DUMMYFUNCTION("GOOGLETRANSLATE(A3190, ""en"", ""mt"")"),"Rinaxximent Taljan")</f>
        <v>Rinaxximent Taljan</v>
      </c>
    </row>
    <row r="3191" ht="15.75" customHeight="1">
      <c r="A3191" s="2" t="s">
        <v>3191</v>
      </c>
      <c r="B3191" s="2" t="str">
        <f>IFERROR(__xludf.DUMMYFUNCTION("GOOGLETRANSLATE(A3191, ""en"", ""mt"")"),"ilma baħar")</f>
        <v>ilma baħar</v>
      </c>
    </row>
    <row r="3192" ht="15.75" customHeight="1">
      <c r="A3192" s="2" t="s">
        <v>3192</v>
      </c>
      <c r="B3192" s="2" t="str">
        <f>IFERROR(__xludf.DUMMYFUNCTION("GOOGLETRANSLATE(A3192, ""en"", ""mt"")"),"X'inhi l-iktar kundizzjoni tal-biża 'li l-għaddasa jridu jevitaw?")</f>
        <v>X'inhi l-iktar kundizzjoni tal-biża 'li l-għaddasa jridu jevitaw?</v>
      </c>
    </row>
    <row r="3193" ht="15.75" customHeight="1">
      <c r="A3193" s="2" t="s">
        <v>3193</v>
      </c>
      <c r="B3193" s="2" t="str">
        <f>IFERROR(__xludf.DUMMYFUNCTION("GOOGLETRANSLATE(A3193, ""en"", ""mt"")"),"Liġijiet tal-Istat individwali")</f>
        <v>Liġijiet tal-Istat individwali</v>
      </c>
    </row>
    <row r="3194" ht="15.75" customHeight="1">
      <c r="A3194" s="2" t="s">
        <v>3194</v>
      </c>
      <c r="B3194" s="2" t="str">
        <f>IFERROR(__xludf.DUMMYFUNCTION("GOOGLETRANSLATE(A3194, ""en"", ""mt"")"),"X'inhu jidher fuq il-Bandiera tal-Belt ta 'Fresno?")</f>
        <v>X'inhu jidher fuq il-Bandiera tal-Belt ta 'Fresno?</v>
      </c>
    </row>
    <row r="3195" ht="15.75" customHeight="1">
      <c r="A3195" s="2" t="s">
        <v>3195</v>
      </c>
      <c r="B3195" s="2" t="str">
        <f>IFERROR(__xludf.DUMMYFUNCTION("GOOGLETRANSLATE(A3195, ""en"", ""mt"")"),"Żieda fil-livell tal-baħar kienet naqset")</f>
        <v>Żieda fil-livell tal-baħar kienet naqset</v>
      </c>
    </row>
    <row r="3196" ht="15.75" customHeight="1">
      <c r="A3196" s="2" t="s">
        <v>3196</v>
      </c>
      <c r="B3196" s="2" t="str">
        <f>IFERROR(__xludf.DUMMYFUNCTION("GOOGLETRANSLATE(A3196, ""en"", ""mt"")"),"mogħdijiet multipli bejn kwalunkwe żewġ punti")</f>
        <v>mogħdijiet multipli bejn kwalunkwe żewġ punti</v>
      </c>
    </row>
    <row r="3197" ht="15.75" customHeight="1">
      <c r="A3197" s="2" t="s">
        <v>3197</v>
      </c>
      <c r="B3197" s="2" t="str">
        <f>IFERROR(__xludf.DUMMYFUNCTION("GOOGLETRANSLATE(A3197, ""en"", ""mt"")"),"Fl-1 ta 'Frar 2007, lejliet il-pubblikazzjoni tar-rapport ewlieni tal-IPCC dwar il-klima, ġie ppubblikat studju li jissuġġerixxi li t-temperaturi u l-livelli tal-baħar kienu qed jiżdiedu fuq jew' il fuq mir-rati massimi proposti matul l-aħħar rapport tal-"&amp;"IPCC fl-2001. L-istudju qabbel IPCC 2001 Projezzjonijiet dwar it-temperatura u l-livell tal-baħar jinbidlu bl-osservazzjonijiet. Matul is-sitt snin studjati, iż-żieda fit-temperatura attwali kienet qrib it-tarf ta 'fuq tal-firxa mogħtija mill-projezzjoni "&amp;"tal-IPCC 2001, u ż-żieda attwali fil-livell tal-baħar kienet' il fuq mill-parti ta 'fuq tal-firxa tal-projezzjoni IPCC.")</f>
        <v>Fl-1 ta 'Frar 2007, lejliet il-pubblikazzjoni tar-rapport ewlieni tal-IPCC dwar il-klima, ġie ppubblikat studju li jissuġġerixxi li t-temperaturi u l-livelli tal-baħar kienu qed jiżdiedu fuq jew' il fuq mir-rati massimi proposti matul l-aħħar rapport tal-IPCC fl-2001. L-istudju qabbel IPCC 2001 Projezzjonijiet dwar it-temperatura u l-livell tal-baħar jinbidlu bl-osservazzjonijiet. Matul is-sitt snin studjati, iż-żieda fit-temperatura attwali kienet qrib it-tarf ta 'fuq tal-firxa mogħtija mill-projezzjoni tal-IPCC 2001, u ż-żieda attwali fil-livell tal-baħar kienet' il fuq mill-parti ta 'fuq tal-firxa tal-projezzjoni IPCC.</v>
      </c>
    </row>
    <row r="3198" ht="15.75" customHeight="1">
      <c r="A3198" s="2" t="s">
        <v>3198</v>
      </c>
      <c r="B3198" s="2" t="str">
        <f>IFERROR(__xludf.DUMMYFUNCTION("GOOGLETRANSLATE(A3198, ""en"", ""mt"")"),"linja ta 'ħames stilel")</f>
        <v>linja ta 'ħames stilel</v>
      </c>
    </row>
    <row r="3199" ht="15.75" customHeight="1">
      <c r="A3199" s="2" t="s">
        <v>3199</v>
      </c>
      <c r="B3199" s="2" t="str">
        <f>IFERROR(__xludf.DUMMYFUNCTION("GOOGLETRANSLATE(A3199, ""en"", ""mt"")"),"Speċjalisti tas-Suġġett")</f>
        <v>Speċjalisti tas-Suġġett</v>
      </c>
    </row>
    <row r="3200" ht="15.75" customHeight="1">
      <c r="A3200" s="2" t="s">
        <v>3200</v>
      </c>
      <c r="B3200" s="2" t="str">
        <f>IFERROR(__xludf.DUMMYFUNCTION("GOOGLETRANSLATE(A3200, ""en"", ""mt"")"),"Min qal Luther li l-Kristjani m'għandhomx jitnaqqsu?")</f>
        <v>Min qal Luther li l-Kristjani m'għandhomx jitnaqqsu?</v>
      </c>
    </row>
    <row r="3201" ht="15.75" customHeight="1">
      <c r="A3201" s="2" t="s">
        <v>3201</v>
      </c>
      <c r="B3201" s="2" t="str">
        <f>IFERROR(__xludf.DUMMYFUNCTION("GOOGLETRANSLATE(A3201, ""en"", ""mt"")"),"X'jifhem Piketty kien l-akbar fatturi fit-tnaqqis tal-inugwaljanza bejn l-1914 sal-1945?")</f>
        <v>X'jifhem Piketty kien l-akbar fatturi fit-tnaqqis tal-inugwaljanza bejn l-1914 sal-1945?</v>
      </c>
    </row>
    <row r="3202" ht="15.75" customHeight="1">
      <c r="A3202" s="2" t="s">
        <v>3202</v>
      </c>
      <c r="B3202" s="2" t="str">
        <f>IFERROR(__xludf.DUMMYFUNCTION("GOOGLETRANSLATE(A3202, ""en"", ""mt"")"),"Liema ħlas alternattiv Edison offra lil Tesla?")</f>
        <v>Liema ħlas alternattiv Edison offra lil Tesla?</v>
      </c>
    </row>
    <row r="3203" ht="15.75" customHeight="1">
      <c r="A3203" s="2" t="s">
        <v>3203</v>
      </c>
      <c r="B3203" s="2" t="str">
        <f>IFERROR(__xludf.DUMMYFUNCTION("GOOGLETRANSLATE(A3203, ""en"", ""mt"")"),"8 ta 'Frar, 1974,")</f>
        <v>8 ta 'Frar, 1974,</v>
      </c>
    </row>
    <row r="3204" ht="15.75" customHeight="1">
      <c r="A3204" s="2" t="s">
        <v>3204</v>
      </c>
      <c r="B3204" s="2" t="str">
        <f>IFERROR(__xludf.DUMMYFUNCTION("GOOGLETRANSLATE(A3204, ""en"", ""mt"")"),"2.2 pulzieri")</f>
        <v>2.2 pulzieri</v>
      </c>
    </row>
    <row r="3205" ht="15.75" customHeight="1">
      <c r="A3205" s="2" t="s">
        <v>3205</v>
      </c>
      <c r="B3205" s="2" t="str">
        <f>IFERROR(__xludf.DUMMYFUNCTION("GOOGLETRANSLATE(A3205, ""en"", ""mt"")"),"Meta l-ewwel ħareġ mis-sodda wara l-inċident?")</f>
        <v>Meta l-ewwel ħareġ mis-sodda wara l-inċident?</v>
      </c>
    </row>
    <row r="3206" ht="15.75" customHeight="1">
      <c r="A3206" s="2" t="s">
        <v>3206</v>
      </c>
      <c r="B3206" s="2" t="str">
        <f>IFERROR(__xludf.DUMMYFUNCTION("GOOGLETRANSLATE(A3206, ""en"", ""mt"")"),"kieku ma kinux diskriminatorji")</f>
        <v>kieku ma kinux diskriminatorji</v>
      </c>
    </row>
    <row r="3207" ht="15.75" customHeight="1">
      <c r="A3207" s="2" t="s">
        <v>3207</v>
      </c>
      <c r="B3207" s="2" t="str">
        <f>IFERROR(__xludf.DUMMYFUNCTION("GOOGLETRANSLATE(A3207, ""en"", ""mt"")"),"Il-Festival tal-Pride tat-Tramuntana")</f>
        <v>Il-Festival tal-Pride tat-Tramuntana</v>
      </c>
    </row>
    <row r="3208" ht="15.75" customHeight="1">
      <c r="A3208" s="2" t="s">
        <v>3208</v>
      </c>
      <c r="B3208" s="2" t="str">
        <f>IFERROR(__xludf.DUMMYFUNCTION("GOOGLETRANSLATE(A3208, ""en"", ""mt"")"),"ċelloli T qattiel")</f>
        <v>ċelloli T qattiel</v>
      </c>
    </row>
    <row r="3209" ht="15.75" customHeight="1">
      <c r="A3209" s="2" t="s">
        <v>3209</v>
      </c>
      <c r="B3209" s="2" t="str">
        <f>IFERROR(__xludf.DUMMYFUNCTION("GOOGLETRANSLATE(A3209, ""en"", ""mt"")"),"Ħsad fqir fl-1757")</f>
        <v>Ħsad fqir fl-1757</v>
      </c>
    </row>
    <row r="3210" ht="15.75" customHeight="1">
      <c r="A3210" s="2" t="s">
        <v>3210</v>
      </c>
      <c r="B3210" s="2" t="str">
        <f>IFERROR(__xludf.DUMMYFUNCTION("GOOGLETRANSLATE(A3210, ""en"", ""mt"")"),"7:00 sad-9.00 a.m")</f>
        <v>7:00 sad-9.00 a.m</v>
      </c>
    </row>
    <row r="3211" ht="15.75" customHeight="1">
      <c r="A3211" s="2" t="s">
        <v>3211</v>
      </c>
      <c r="B3211" s="2" t="str">
        <f>IFERROR(__xludf.DUMMYFUNCTION("GOOGLETRANSLATE(A3211, ""en"", ""mt"")"),"Mewġ sismiċi")</f>
        <v>Mewġ sismiċi</v>
      </c>
    </row>
    <row r="3212" ht="15.75" customHeight="1">
      <c r="A3212" s="2" t="s">
        <v>3212</v>
      </c>
      <c r="B3212" s="2" t="str">
        <f>IFERROR(__xludf.DUMMYFUNCTION("GOOGLETRANSLATE(A3212, ""en"", ""mt"")"),"Dwar il-ħin tal-ewwel inżul fl-1969, ġie deċiż li tuża Saturn V eżistenti biex tniedi l-laboratorju orbitali SkyLab mibni minn qabel fuq l-art, li tissostitwixxi l-pjan oriġinali biex tibniha fl-orbita minn diversi tnedijiet ta 'Saturn IB; Dan elimina Apo"&amp;"llo 20. Il-baġit annwali tan-NASA beda wkoll jonqos fid-dawl tal-inżul ta 'suċċess, u n-NASA kellha wkoll tagħmel fondi disponibbli għall-iżvilupp tax-shuttle spazjali li jmiss. Sal-1971, ittieħdet ukoll id-deċiżjoni li tikkanċella wkoll il-Missjonijiet 1"&amp;"8 u 19. Iż-żewġ Saturn Vs mhux użati saru esebiti tal-mużew fiċ-Ċentru Spazjali John F. Kennedy fuq Merritt Island, Florida, George C. Marshall Space Centre fi Huntsville, Alabama, Michoud Assemblea Faċilità fi New Orleans, Louisiana, u Lyndon B. Johnson "&amp;"Space Centre fi Houston, Texas.")</f>
        <v>Dwar il-ħin tal-ewwel inżul fl-1969, ġie deċiż li tuża Saturn V eżistenti biex tniedi l-laboratorju orbitali SkyLab mibni minn qabel fuq l-art, li tissostitwixxi l-pjan oriġinali biex tibniha fl-orbita minn diversi tnedijiet ta 'Saturn IB; Dan elimina Apollo 20. Il-baġit annwali tan-NASA beda wkoll jonqos fid-dawl tal-inżul ta 'suċċess, u n-NASA kellha wkoll tagħmel fondi disponibbli għall-iżvilupp tax-shuttle spazjali li jmiss. Sal-1971, ittieħdet ukoll id-deċiżjoni li tikkanċella wkoll il-Missjonijiet 18 u 19. Iż-żewġ Saturn Vs mhux użati saru esebiti tal-mużew fiċ-Ċentru Spazjali John F. Kennedy fuq Merritt Island, Florida, George C. Marshall Space Centre fi Huntsville, Alabama, Michoud Assemblea Faċilità fi New Orleans, Louisiana, u Lyndon B. Johnson Space Centre fi Houston, Texas.</v>
      </c>
    </row>
    <row r="3213" ht="15.75" customHeight="1">
      <c r="A3213" s="2" t="s">
        <v>3213</v>
      </c>
      <c r="B3213" s="2" t="str">
        <f>IFERROR(__xludf.DUMMYFUNCTION("GOOGLETRANSLATE(A3213, ""en"", ""mt"")"),"Fannijiet jaħsbu t-telespettatur fqir ta 'l-aħħar tas-snin 80 għal kompetizzjoni minn liema spettaklu?")</f>
        <v>Fannijiet jaħsbu t-telespettatur fqir ta 'l-aħħar tas-snin 80 għal kompetizzjoni minn liema spettaklu?</v>
      </c>
    </row>
    <row r="3214" ht="15.75" customHeight="1">
      <c r="A3214" s="2" t="s">
        <v>3214</v>
      </c>
      <c r="B3214" s="2" t="str">
        <f>IFERROR(__xludf.DUMMYFUNCTION("GOOGLETRANSLATE(A3214, ""en"", ""mt"")"),"Id-delta interna fil-ħalq tar-Renu hija ma 'liema lag?")</f>
        <v>Id-delta interna fil-ħalq tar-Renu hija ma 'liema lag?</v>
      </c>
    </row>
    <row r="3215" ht="15.75" customHeight="1">
      <c r="A3215" s="2" t="s">
        <v>3215</v>
      </c>
      <c r="B3215" s="2" t="str">
        <f>IFERROR(__xludf.DUMMYFUNCTION("GOOGLETRANSLATE(A3215, ""en"", ""mt"")"),"X'iktar ġie interrogat pubblikament?")</f>
        <v>X'iktar ġie interrogat pubblikament?</v>
      </c>
    </row>
    <row r="3216" ht="15.75" customHeight="1">
      <c r="A3216" s="2" t="s">
        <v>3216</v>
      </c>
      <c r="B3216" s="2" t="str">
        <f>IFERROR(__xludf.DUMMYFUNCTION("GOOGLETRANSLATE(A3216, ""en"", ""mt"")"),"X'jistgħu jqattgħu aktar ħin għalliema ta 'appoġġ?")</f>
        <v>X'jistgħu jqattgħu aktar ħin għalliema ta 'appoġġ?</v>
      </c>
    </row>
    <row r="3217" ht="15.75" customHeight="1">
      <c r="A3217" s="2" t="s">
        <v>3217</v>
      </c>
      <c r="B3217" s="2" t="str">
        <f>IFERROR(__xludf.DUMMYFUNCTION("GOOGLETRANSLATE(A3217, ""en"", ""mt"")"),"132 miljun tunnellata")</f>
        <v>132 miljun tunnellata</v>
      </c>
    </row>
    <row r="3218" ht="15.75" customHeight="1">
      <c r="A3218" s="2" t="s">
        <v>3218</v>
      </c>
      <c r="B3218" s="2" t="str">
        <f>IFERROR(__xludf.DUMMYFUNCTION("GOOGLETRANSLATE(A3218, ""en"", ""mt"")"),"Xi tfisser il-fatturizzazzjoni tal-ideali ewlenin?")</f>
        <v>Xi tfisser il-fatturizzazzjoni tal-ideali ewlenin?</v>
      </c>
    </row>
    <row r="3219" ht="15.75" customHeight="1">
      <c r="A3219" s="2" t="s">
        <v>3219</v>
      </c>
      <c r="B3219" s="2" t="str">
        <f>IFERROR(__xludf.DUMMYFUNCTION("GOOGLETRANSLATE(A3219, ""en"", ""mt"")"),"X’għamel l-ekwipaġġ ta ’Apollo 12 ma’ partijiet tas-Surveyor li żbarkaw wara li r-ritratti tagħhom?")</f>
        <v>X’għamel l-ekwipaġġ ta ’Apollo 12 ma’ partijiet tas-Surveyor li żbarkaw wara li r-ritratti tagħhom?</v>
      </c>
    </row>
    <row r="3220" ht="15.75" customHeight="1">
      <c r="A3220" s="2" t="s">
        <v>3220</v>
      </c>
      <c r="B3220" s="2" t="str">
        <f>IFERROR(__xludf.DUMMYFUNCTION("GOOGLETRANSLATE(A3220, ""en"", ""mt"")"),"Kemm damet il-pesta fl-imperu Ottoman?")</f>
        <v>Kemm damet il-pesta fl-imperu Ottoman?</v>
      </c>
    </row>
    <row r="3221" ht="15.75" customHeight="1">
      <c r="A3221" s="2" t="s">
        <v>3221</v>
      </c>
      <c r="B3221" s="2" t="str">
        <f>IFERROR(__xludf.DUMMYFUNCTION("GOOGLETRANSLATE(A3221, ""en"", ""mt"")"),"30 ta 'Jannar")</f>
        <v>30 ta 'Jannar</v>
      </c>
    </row>
    <row r="3222" ht="15.75" customHeight="1">
      <c r="A3222" s="2" t="s">
        <v>3222</v>
      </c>
      <c r="B3222" s="2" t="str">
        <f>IFERROR(__xludf.DUMMYFUNCTION("GOOGLETRANSLATE(A3222, ""en"", ""mt"")"),"B'liema dokument il-Huguenots stqarr il-fidi tagħhom lill-Portugiż fil-Brażil?")</f>
        <v>B'liema dokument il-Huguenots stqarr il-fidi tagħhom lill-Portugiż fil-Brażil?</v>
      </c>
    </row>
    <row r="3223" ht="15.75" customHeight="1">
      <c r="A3223" s="2" t="s">
        <v>3223</v>
      </c>
      <c r="B3223" s="2" t="str">
        <f>IFERROR(__xludf.DUMMYFUNCTION("GOOGLETRANSLATE(A3223, ""en"", ""mt"")"),"Matul liema għaxar snin il-kampus beda jidher aktar modern?")</f>
        <v>Matul liema għaxar snin il-kampus beda jidher aktar modern?</v>
      </c>
    </row>
    <row r="3224" ht="15.75" customHeight="1">
      <c r="A3224" s="2" t="s">
        <v>3224</v>
      </c>
      <c r="B3224" s="2" t="str">
        <f>IFERROR(__xludf.DUMMYFUNCTION("GOOGLETRANSLATE(A3224, ""en"", ""mt"")"),"X'tip ta 'organiżmu huma ċjanobatterji?")</f>
        <v>X'tip ta 'organiżmu huma ċjanobatterji?</v>
      </c>
    </row>
    <row r="3225" ht="15.75" customHeight="1">
      <c r="A3225" s="2" t="s">
        <v>3225</v>
      </c>
      <c r="B3225" s="2" t="str">
        <f>IFERROR(__xludf.DUMMYFUNCTION("GOOGLETRANSLATE(A3225, ""en"", ""mt"")"),"Ctenophora")</f>
        <v>Ctenophora</v>
      </c>
    </row>
    <row r="3226" ht="15.75" customHeight="1">
      <c r="A3226" s="2" t="s">
        <v>3226</v>
      </c>
      <c r="B3226" s="2" t="str">
        <f>IFERROR(__xludf.DUMMYFUNCTION("GOOGLETRANSLATE(A3226, ""en"", ""mt"")"),"It-tniġġis ta 'l-ilma minn nitrati u fosfati se jinkoraġġixxi t-tkabbir ta' xiex?")</f>
        <v>It-tniġġis ta 'l-ilma minn nitrati u fosfati se jinkoraġġixxi t-tkabbir ta' xiex?</v>
      </c>
    </row>
    <row r="3227" ht="15.75" customHeight="1">
      <c r="A3227" s="2" t="s">
        <v>3227</v>
      </c>
      <c r="B3227" s="2" t="str">
        <f>IFERROR(__xludf.DUMMYFUNCTION("GOOGLETRANSLATE(A3227, ""en"", ""mt"")"),"Liema qaddis tal-knisja huwa mlaqqam il-martri?")</f>
        <v>Liema qaddis tal-knisja huwa mlaqqam il-martri?</v>
      </c>
    </row>
    <row r="3228" ht="15.75" customHeight="1">
      <c r="A3228" s="2" t="s">
        <v>3228</v>
      </c>
      <c r="B3228" s="2" t="str">
        <f>IFERROR(__xludf.DUMMYFUNCTION("GOOGLETRANSLATE(A3228, ""en"", ""mt"")"),"Kummissarju wieħed għal kull wieħed mit-28 stat membru")</f>
        <v>Kummissarju wieħed għal kull wieħed mit-28 stat membru</v>
      </c>
    </row>
    <row r="3229" ht="15.75" customHeight="1">
      <c r="A3229" s="2" t="s">
        <v>3229</v>
      </c>
      <c r="B3229" s="2" t="str">
        <f>IFERROR(__xludf.DUMMYFUNCTION("GOOGLETRANSLATE(A3229, ""en"", ""mt"")"),"Kien hemm dibattiti dwar jekk id-diżubbidjenza ċivili għandhiex neċessarjament tkun mhux vjolenti. Id-Dizzjunarju tal-Liġi ta 'l-Iswed jinkludi n-non-vjolenza fid-definizzjoni tiegħu ta' diżubbidjenza ċivili. L-artikolu tal-Enċiklopedija ta 'Christian Bay"&amp;" jiddikjara li d-diżubbidjenza ċivili teħtieġ ""mezzi magħżula bir-reqqa u leġittima"", iżda jqis li m'għandhomx għalfejn ikunu mhux vjolenti. Ġie argumentat li, filwaqt li kemm id-diżubbidjenza ċivili kif ukoll ir-ribelljoni ċivili huma ġġustifikati bl-a"&amp;"ppell għal difetti kostituzzjonali, ir-ribelljoni hija ferm aktar distruttiva; Għalhekk, id-difetti li jiġġustifikaw ribelljoni għandhom ikunu ferm iktar serji minn dawk li jiġġustifikaw id-diżubbidjenza, u jekk wieħed ma jistax jiġġustifika ribelljoni ċi"&amp;"vili, allura wieħed ma jistax jiġġustifika l-użu ta 'forza u vjolenza ta' diżubbidjenti ċivili u rifjut li jissottometti għall-arrest. Id-diżubbidjenti ċivili joqogħdu mill-vjolenza jingħad ukoll biex jgħinu jippreservaw it-tolleranza tas-soċjetà ta 'diżu"&amp;"bbidjenza ċivili.")</f>
        <v>Kien hemm dibattiti dwar jekk id-diżubbidjenza ċivili għandhiex neċessarjament tkun mhux vjolenti. Id-Dizzjunarju tal-Liġi ta 'l-Iswed jinkludi n-non-vjolenza fid-definizzjoni tiegħu ta' diżubbidjenza ċivili. L-artikolu tal-Enċiklopedija ta 'Christian Bay jiddikjara li d-diżubbidjenza ċivili teħtieġ "mezzi magħżula bir-reqqa u leġittima", iżda jqis li m'għandhomx għalfejn ikunu mhux vjolenti. Ġie argumentat li, filwaqt li kemm id-diżubbidjenza ċivili kif ukoll ir-ribelljoni ċivili huma ġġustifikati bl-appell għal difetti kostituzzjonali, ir-ribelljoni hija ferm aktar distruttiva; Għalhekk, id-difetti li jiġġustifikaw ribelljoni għandhom ikunu ferm iktar serji minn dawk li jiġġustifikaw id-diżubbidjenza, u jekk wieħed ma jistax jiġġustifika ribelljoni ċivili, allura wieħed ma jistax jiġġustifika l-użu ta 'forza u vjolenza ta' diżubbidjenti ċivili u rifjut li jissottometti għall-arrest. Id-diżubbidjenti ċivili joqogħdu mill-vjolenza jingħad ukoll biex jgħinu jippreservaw it-tolleranza tas-soċjetà ta 'diżubbidjenza ċivili.</v>
      </c>
    </row>
    <row r="3230" ht="15.75" customHeight="1">
      <c r="A3230" s="2" t="s">
        <v>3230</v>
      </c>
      <c r="B3230" s="2" t="str">
        <f>IFERROR(__xludf.DUMMYFUNCTION("GOOGLETRANSLATE(A3230, ""en"", ""mt"")"),"Min ma kellu l-ebda poter militari reali matul il-wan?")</f>
        <v>Min ma kellu l-ebda poter militari reali matul il-wan?</v>
      </c>
    </row>
    <row r="3231" ht="15.75" customHeight="1">
      <c r="A3231" s="2" t="s">
        <v>3231</v>
      </c>
      <c r="B3231" s="2" t="str">
        <f>IFERROR(__xludf.DUMMYFUNCTION("GOOGLETRANSLATE(A3231, ""en"", ""mt"")"),"Belt multi-kulturali")</f>
        <v>Belt multi-kulturali</v>
      </c>
    </row>
    <row r="3232" ht="15.75" customHeight="1">
      <c r="A3232" s="2" t="s">
        <v>3232</v>
      </c>
      <c r="B3232" s="2" t="str">
        <f>IFERROR(__xludf.DUMMYFUNCTION("GOOGLETRANSLATE(A3232, ""en"", ""mt"")"),"Temm is-sistema Iżlamika vera")</f>
        <v>Temm is-sistema Iżlamika vera</v>
      </c>
    </row>
    <row r="3233" ht="15.75" customHeight="1">
      <c r="A3233" s="2" t="s">
        <v>3233</v>
      </c>
      <c r="B3233" s="2" t="str">
        <f>IFERROR(__xludf.DUMMYFUNCTION("GOOGLETRANSLATE(A3233, ""en"", ""mt"")"),"Destinazzjonijiet tax-xiri")</f>
        <v>Destinazzjonijiet tax-xiri</v>
      </c>
    </row>
    <row r="3234" ht="15.75" customHeight="1">
      <c r="A3234" s="2" t="s">
        <v>3234</v>
      </c>
      <c r="B3234" s="2" t="str">
        <f>IFERROR(__xludf.DUMMYFUNCTION("GOOGLETRANSLATE(A3234, ""en"", ""mt"")"),"Reġistrazzjoni Provviżorja")</f>
        <v>Reġistrazzjoni Provviżorja</v>
      </c>
    </row>
    <row r="3235" ht="15.75" customHeight="1">
      <c r="A3235" s="2" t="s">
        <v>3235</v>
      </c>
      <c r="B3235" s="2" t="str">
        <f>IFERROR(__xludf.DUMMYFUNCTION("GOOGLETRANSLATE(A3235, ""en"", ""mt"")"),"Min ġie msemmi l-president u l-Kap Eżekuttiv ta ’ABC wara li Goldenson sofra attakk tal-qalb?")</f>
        <v>Min ġie msemmi l-president u l-Kap Eżekuttiv ta ’ABC wara li Goldenson sofra attakk tal-qalb?</v>
      </c>
    </row>
    <row r="3236" ht="15.75" customHeight="1">
      <c r="A3236" s="2" t="s">
        <v>3236</v>
      </c>
      <c r="B3236" s="2" t="str">
        <f>IFERROR(__xludf.DUMMYFUNCTION("GOOGLETRANSLATE(A3236, ""en"", ""mt"")"),"differenza fl-enerġija potenzjali")</f>
        <v>differenza fl-enerġija potenzjali</v>
      </c>
    </row>
    <row r="3237" ht="15.75" customHeight="1">
      <c r="A3237" s="2" t="s">
        <v>3237</v>
      </c>
      <c r="B3237" s="2" t="str">
        <f>IFERROR(__xludf.DUMMYFUNCTION("GOOGLETRANSLATE(A3237, ""en"", ""mt"")"),"L-Interkonnessjoni tan-Netwerks Nazzjonali X.25")</f>
        <v>L-Interkonnessjoni tan-Netwerks Nazzjonali X.25</v>
      </c>
    </row>
    <row r="3238" ht="15.75" customHeight="1">
      <c r="A3238" s="2" t="s">
        <v>3238</v>
      </c>
      <c r="B3238" s="2" t="str">
        <f>IFERROR(__xludf.DUMMYFUNCTION("GOOGLETRANSLATE(A3238, ""en"", ""mt"")"),"Madwar 2.5 miljun")</f>
        <v>Madwar 2.5 miljun</v>
      </c>
    </row>
    <row r="3239" ht="15.75" customHeight="1">
      <c r="A3239" s="2" t="s">
        <v>3239</v>
      </c>
      <c r="B3239" s="2" t="str">
        <f>IFERROR(__xludf.DUMMYFUNCTION("GOOGLETRANSLATE(A3239, ""en"", ""mt"")"),"Solventi")</f>
        <v>Solventi</v>
      </c>
    </row>
    <row r="3240" ht="15.75" customHeight="1">
      <c r="A3240" s="2" t="s">
        <v>3240</v>
      </c>
      <c r="B3240" s="2" t="str">
        <f>IFERROR(__xludf.DUMMYFUNCTION("GOOGLETRANSLATE(A3240, ""en"", ""mt"")"),"l-istess proċeduri bħal għal rapporti ta 'valutazzjoni tal-IPCC")</f>
        <v>l-istess proċeduri bħal għal rapporti ta 'valutazzjoni tal-IPCC</v>
      </c>
    </row>
    <row r="3241" ht="15.75" customHeight="1">
      <c r="A3241" s="2" t="s">
        <v>3241</v>
      </c>
      <c r="B3241" s="2" t="str">
        <f>IFERROR(__xludf.DUMMYFUNCTION("GOOGLETRANSLATE(A3241, ""en"", ""mt"")"),"Perjodu ġeoloġiku tal-etajiet tas-silġ")</f>
        <v>Perjodu ġeoloġiku tal-etajiet tas-silġ</v>
      </c>
    </row>
    <row r="3242" ht="15.75" customHeight="1">
      <c r="A3242" s="2" t="s">
        <v>3242</v>
      </c>
      <c r="B3242" s="2" t="str">
        <f>IFERROR(__xludf.DUMMYFUNCTION("GOOGLETRANSLATE(A3242, ""en"", ""mt"")"),"Kif kienet is-saħħa ta 'Luther għas-snin tal-1531 sal-1546?")</f>
        <v>Kif kienet is-saħħa ta 'Luther għas-snin tal-1531 sal-1546?</v>
      </c>
    </row>
    <row r="3243" ht="15.75" customHeight="1">
      <c r="A3243" s="2" t="s">
        <v>3243</v>
      </c>
      <c r="B3243" s="2" t="str">
        <f>IFERROR(__xludf.DUMMYFUNCTION("GOOGLETRANSLATE(A3243, ""en"", ""mt"")"),"Rinaxximent")</f>
        <v>Rinaxximent</v>
      </c>
    </row>
    <row r="3244" ht="15.75" customHeight="1">
      <c r="A3244" s="2" t="s">
        <v>3244</v>
      </c>
      <c r="B3244" s="2" t="str">
        <f>IFERROR(__xludf.DUMMYFUNCTION("GOOGLETRANSLATE(A3244, ""en"", ""mt"")"),"il-faqar, in-nuqqas ta ’aċċess għall-edukazzjoni u istituzzjonijiet tal-gvern dgħajfa")</f>
        <v>il-faqar, in-nuqqas ta ’aċċess għall-edukazzjoni u istituzzjonijiet tal-gvern dgħajfa</v>
      </c>
    </row>
    <row r="3245" ht="15.75" customHeight="1">
      <c r="A3245" s="2" t="s">
        <v>3245</v>
      </c>
      <c r="B3245" s="2" t="str">
        <f>IFERROR(__xludf.DUMMYFUNCTION("GOOGLETRANSLATE(A3245, ""en"", ""mt"")"),"Stabbilizza l-kumplament tal-ġenoma tal-kloroplast")</f>
        <v>Stabbilizza l-kumplament tal-ġenoma tal-kloroplast</v>
      </c>
    </row>
    <row r="3246" ht="15.75" customHeight="1">
      <c r="A3246" s="2" t="s">
        <v>3246</v>
      </c>
      <c r="B3246" s="2" t="str">
        <f>IFERROR(__xludf.DUMMYFUNCTION("GOOGLETRANSLATE(A3246, ""en"", ""mt"")"),"William eventwalment jikseb liema tron?")</f>
        <v>William eventwalment jikseb liema tron?</v>
      </c>
    </row>
    <row r="3247" ht="15.75" customHeight="1">
      <c r="A3247" s="2" t="s">
        <v>3247</v>
      </c>
      <c r="B3247" s="2" t="str">
        <f>IFERROR(__xludf.DUMMYFUNCTION("GOOGLETRANSLATE(A3247, ""en"", ""mt"")"),"Ktieb tal-Ġenesi")</f>
        <v>Ktieb tal-Ġenesi</v>
      </c>
    </row>
    <row r="3248" ht="15.75" customHeight="1">
      <c r="A3248" s="2" t="s">
        <v>3248</v>
      </c>
      <c r="B3248" s="2" t="str">
        <f>IFERROR(__xludf.DUMMYFUNCTION("GOOGLETRANSLATE(A3248, ""en"", ""mt"")"),"Anglikan")</f>
        <v>Anglikan</v>
      </c>
    </row>
    <row r="3249" ht="15.75" customHeight="1">
      <c r="A3249" s="2" t="s">
        <v>3249</v>
      </c>
      <c r="B3249" s="2" t="str">
        <f>IFERROR(__xludf.DUMMYFUNCTION("GOOGLETRANSLATE(A3249, ""en"", ""mt"")"),"Bejn is-snin 1880 u t-Tieni Gwerra Dinjija")</f>
        <v>Bejn is-snin 1880 u t-Tieni Gwerra Dinjija</v>
      </c>
    </row>
    <row r="3250" ht="15.75" customHeight="1">
      <c r="A3250" s="2" t="s">
        <v>3250</v>
      </c>
      <c r="B3250" s="2" t="str">
        <f>IFERROR(__xludf.DUMMYFUNCTION("GOOGLETRANSLATE(A3250, ""en"", ""mt"")"),"X'tipi ta 'xjenzati jfittxu sinjali ta' treġġigħ lura manjetiku fi blat igneous fil-qlub tat-tħaffir?")</f>
        <v>X'tipi ta 'xjenzati jfittxu sinjali ta' treġġigħ lura manjetiku fi blat igneous fil-qlub tat-tħaffir?</v>
      </c>
    </row>
    <row r="3251" ht="15.75" customHeight="1">
      <c r="A3251" s="2" t="s">
        <v>3251</v>
      </c>
      <c r="B3251" s="2" t="str">
        <f>IFERROR(__xludf.DUMMYFUNCTION("GOOGLETRANSLATE(A3251, ""en"", ""mt"")"),"X'kien maħsub li jiddeċiedi l-imġieba ta 'persuna?")</f>
        <v>X'kien maħsub li jiddeċiedi l-imġieba ta 'persuna?</v>
      </c>
    </row>
    <row r="3252" ht="15.75" customHeight="1">
      <c r="A3252" s="2" t="s">
        <v>3252</v>
      </c>
      <c r="B3252" s="2" t="str">
        <f>IFERROR(__xludf.DUMMYFUNCTION("GOOGLETRANSLATE(A3252, ""en"", ""mt"")"),"Numru ta 'riċerkaturi (David Rodda, Jacob Vigdor, u Janna Matlack), jargumentaw li nuqqas ta' akkomodazzjoni bi prezz raġonevoli - għall-inqas fl-Istati Uniti - huwa kkawżat parzjalment mill-inugwaljanza tad-dħul. David Rodda nnota li mill-1984 u l-1991, "&amp;"in-numru ta 'unitajiet ta' kiri ta 'kwalità naqas hekk kif id-domanda għal akkomodazzjoni ta' kwalità ogħla żdiedet (Rhoda 1994: 148). Permezz ta 'gentrifikazzjoni ta' kwartieri anzjani, pereżempju, fil-Lvant ta 'New York, il-prezzijiet tal-kiri żdiedu ma"&amp;"lajr hekk kif sidien sabu residenti ġodda lesti li jħallsu rata ogħla tas-suq għall-akkomodazzjoni u ħallew familji bi dħul aktar baxx mingħajr unitajiet ta' kiri. Il-politika tat-taxxa fuq il-proprjetà ad valorem flimkien ma 'prezzijiet dejjem jiżdiedu g"&amp;"ħamlitha diffiċli jew impossibbli għal residenti bi dħul baxx biex iżommu l-pass.")</f>
        <v>Numru ta 'riċerkaturi (David Rodda, Jacob Vigdor, u Janna Matlack), jargumentaw li nuqqas ta' akkomodazzjoni bi prezz raġonevoli - għall-inqas fl-Istati Uniti - huwa kkawżat parzjalment mill-inugwaljanza tad-dħul. David Rodda nnota li mill-1984 u l-1991, in-numru ta 'unitajiet ta' kiri ta 'kwalità naqas hekk kif id-domanda għal akkomodazzjoni ta' kwalità ogħla żdiedet (Rhoda 1994: 148). Permezz ta 'gentrifikazzjoni ta' kwartieri anzjani, pereżempju, fil-Lvant ta 'New York, il-prezzijiet tal-kiri żdiedu malajr hekk kif sidien sabu residenti ġodda lesti li jħallsu rata ogħla tas-suq għall-akkomodazzjoni u ħallew familji bi dħul aktar baxx mingħajr unitajiet ta' kiri. Il-politika tat-taxxa fuq il-proprjetà ad valorem flimkien ma 'prezzijiet dejjem jiżdiedu għamlitha diffiċli jew impossibbli għal residenti bi dħul baxx biex iżommu l-pass.</v>
      </c>
    </row>
    <row r="3253" ht="15.75" customHeight="1">
      <c r="A3253" s="2" t="s">
        <v>3253</v>
      </c>
      <c r="B3253" s="2" t="str">
        <f>IFERROR(__xludf.DUMMYFUNCTION("GOOGLETRANSLATE(A3253, ""en"", ""mt"")"),"X'inhu kastig komuni fir-Renju Unit u fl-Irlanda?")</f>
        <v>X'inhu kastig komuni fir-Renju Unit u fl-Irlanda?</v>
      </c>
    </row>
    <row r="3254" ht="15.75" customHeight="1">
      <c r="A3254" s="2" t="s">
        <v>3254</v>
      </c>
      <c r="B3254" s="2" t="str">
        <f>IFERROR(__xludf.DUMMYFUNCTION("GOOGLETRANSLATE(A3254, ""en"", ""mt"")"),"Riċetturi tal-limfoċiti varjabbli (VLRs)")</f>
        <v>Riċetturi tal-limfoċiti varjabbli (VLRs)</v>
      </c>
    </row>
    <row r="3255" ht="15.75" customHeight="1">
      <c r="A3255" s="2" t="s">
        <v>3255</v>
      </c>
      <c r="B3255" s="2" t="str">
        <f>IFERROR(__xludf.DUMMYFUNCTION("GOOGLETRANSLATE(A3255, ""en"", ""mt"")"),"Kemm hemm fraternitajiet apparti mill-università?")</f>
        <v>Kemm hemm fraternitajiet apparti mill-università?</v>
      </c>
    </row>
    <row r="3256" ht="15.75" customHeight="1">
      <c r="A3256" s="2" t="s">
        <v>3256</v>
      </c>
      <c r="B3256" s="2" t="str">
        <f>IFERROR(__xludf.DUMMYFUNCTION("GOOGLETRANSLATE(A3256, ""en"", ""mt"")"),"Apostat")</f>
        <v>Apostat</v>
      </c>
    </row>
    <row r="3257" ht="15.75" customHeight="1">
      <c r="A3257" s="2" t="s">
        <v>3257</v>
      </c>
      <c r="B3257" s="2" t="str">
        <f>IFERROR(__xludf.DUMMYFUNCTION("GOOGLETRANSLATE(A3257, ""en"", ""mt"")"),"X'kienet imsejħa d-disputazzjoni ta 'Luther ta' Martin Luther dwar il-poter u l-effikaċja ta 'indulġenzi aktar tard?")</f>
        <v>X'kienet imsejħa d-disputazzjoni ta 'Luther ta' Martin Luther dwar il-poter u l-effikaċja ta 'indulġenzi aktar tard?</v>
      </c>
    </row>
    <row r="3258" ht="15.75" customHeight="1">
      <c r="A3258" s="2" t="s">
        <v>3258</v>
      </c>
      <c r="B3258" s="2" t="str">
        <f>IFERROR(__xludf.DUMMYFUNCTION("GOOGLETRANSLATE(A3258, ""en"", ""mt"")"),"Diċembru 1895")</f>
        <v>Diċembru 1895</v>
      </c>
    </row>
    <row r="3259" ht="15.75" customHeight="1">
      <c r="A3259" s="2" t="s">
        <v>3259</v>
      </c>
      <c r="B3259" s="2" t="str">
        <f>IFERROR(__xludf.DUMMYFUNCTION("GOOGLETRANSLATE(A3259, ""en"", ""mt"")"),"ir-relazzjoni tan-numru mal-valur korrispondenti tagħha tal-funzjoni totjenti ta 'Euler")</f>
        <v>ir-relazzjoni tan-numru mal-valur korrispondenti tagħha tal-funzjoni totjenti ta 'Euler</v>
      </c>
    </row>
    <row r="3260" ht="15.75" customHeight="1">
      <c r="A3260" s="2" t="s">
        <v>3260</v>
      </c>
      <c r="B3260" s="2" t="str">
        <f>IFERROR(__xludf.DUMMYFUNCTION("GOOGLETRANSLATE(A3260, ""en"", ""mt"")"),"Liema parti mill-Att tal-Kunsill tat-Tagħlim teħtieġ reġistrazzjoni?")</f>
        <v>Liema parti mill-Att tal-Kunsill tat-Tagħlim teħtieġ reġistrazzjoni?</v>
      </c>
    </row>
    <row r="3261" ht="15.75" customHeight="1">
      <c r="A3261" s="2" t="s">
        <v>3261</v>
      </c>
      <c r="B3261" s="2" t="str">
        <f>IFERROR(__xludf.DUMMYFUNCTION("GOOGLETRANSLATE(A3261, ""en"", ""mt"")"),"Adobe li jipprovdi inqas utilità lil persuna waħda minn oħra huwa eżempju ta 'xiex imnaqqas?")</f>
        <v>Adobe li jipprovdi inqas utilità lil persuna waħda minn oħra huwa eżempju ta 'xiex imnaqqas?</v>
      </c>
    </row>
    <row r="3262" ht="15.75" customHeight="1">
      <c r="A3262" s="2" t="s">
        <v>3262</v>
      </c>
      <c r="B3262" s="2" t="str">
        <f>IFERROR(__xludf.DUMMYFUNCTION("GOOGLETRANSLATE(A3262, ""en"", ""mt"")"),"il-kulur tiegħu")</f>
        <v>il-kulur tiegħu</v>
      </c>
    </row>
    <row r="3263" ht="15.75" customHeight="1">
      <c r="A3263" s="2" t="s">
        <v>3263</v>
      </c>
      <c r="B3263" s="2" t="str">
        <f>IFERROR(__xludf.DUMMYFUNCTION("GOOGLETRANSLATE(A3263, ""en"", ""mt"")"),"Politika tat-Taxxa tal-Propjetà Ad Valorem")</f>
        <v>Politika tat-Taxxa tal-Propjetà Ad Valorem</v>
      </c>
    </row>
    <row r="3264" ht="15.75" customHeight="1">
      <c r="A3264" s="2" t="s">
        <v>3264</v>
      </c>
      <c r="B3264" s="2" t="str">
        <f>IFERROR(__xludf.DUMMYFUNCTION("GOOGLETRANSLATE(A3264, ""en"", ""mt"")"),"Fil-bidu tas-snin 1950, l-applikazzjonijiet tal-istudenti naqsu bħala riżultat taż-żieda fil-kriminalità u l-faqar fil-viċinat tal-Hyde Park. Bi tweġiba, l-università saret sponsor ewlieni ta 'proġett ta' tiġdid urban kontroversjali għal Hyde Park, li aff"&amp;"ettwa profondament kemm l-arkitettura tal-viċinat kif ukoll il-pjan tat-triq. Matul dan il-perjodu l-università, bħal Shimer College u 10 oħrajn, adottaw programm ta 'parteċipant bikri li ppermetta studenti żgħar ħafna biex jattendu l-kulleġġ; Barra minn "&amp;"hekk, l-istudenti rreġistrati f'Shimer ingħataw it-trasferiment awtomatikament fl-Università ta 'Chicago wara t-tieni sena tagħhom, wara li ħadu eżamijiet u korsijiet komparabbli jew identiċi.")</f>
        <v>Fil-bidu tas-snin 1950, l-applikazzjonijiet tal-istudenti naqsu bħala riżultat taż-żieda fil-kriminalità u l-faqar fil-viċinat tal-Hyde Park. Bi tweġiba, l-università saret sponsor ewlieni ta 'proġett ta' tiġdid urban kontroversjali għal Hyde Park, li affettwa profondament kemm l-arkitettura tal-viċinat kif ukoll il-pjan tat-triq. Matul dan il-perjodu l-università, bħal Shimer College u 10 oħrajn, adottaw programm ta 'parteċipant bikri li ppermetta studenti żgħar ħafna biex jattendu l-kulleġġ; Barra minn hekk, l-istudenti rreġistrati f'Shimer ingħataw it-trasferiment awtomatikament fl-Università ta 'Chicago wara t-tieni sena tagħhom, wara li ħadu eżamijiet u korsijiet komparabbli jew identiċi.</v>
      </c>
    </row>
    <row r="3265" ht="15.75" customHeight="1">
      <c r="A3265" s="2" t="s">
        <v>3265</v>
      </c>
      <c r="B3265" s="2" t="str">
        <f>IFERROR(__xludf.DUMMYFUNCTION("GOOGLETRANSLATE(A3265, ""en"", ""mt"")"),"miżata għal kull unità ta 'informazzjoni trażmessa")</f>
        <v>miżata għal kull unità ta 'informazzjoni trażmessa</v>
      </c>
    </row>
    <row r="3266" ht="15.75" customHeight="1">
      <c r="A3266" s="2" t="s">
        <v>3266</v>
      </c>
      <c r="B3266" s="2" t="str">
        <f>IFERROR(__xludf.DUMMYFUNCTION("GOOGLETRANSLATE(A3266, ""en"", ""mt"")"),"Tħeġġeġ kunsens fost il-membri eletti")</f>
        <v>Tħeġġeġ kunsens fost il-membri eletti</v>
      </c>
    </row>
    <row r="3267" ht="15.75" customHeight="1">
      <c r="A3267" s="2" t="s">
        <v>3267</v>
      </c>
      <c r="B3267" s="2" t="str">
        <f>IFERROR(__xludf.DUMMYFUNCTION("GOOGLETRANSLATE(A3267, ""en"", ""mt"")"),"Toroq mod wieħed")</f>
        <v>Toroq mod wieħed</v>
      </c>
    </row>
    <row r="3268" ht="15.75" customHeight="1">
      <c r="A3268" s="2" t="s">
        <v>3268</v>
      </c>
      <c r="B3268" s="2" t="str">
        <f>IFERROR(__xludf.DUMMYFUNCTION("GOOGLETRANSLATE(A3268, ""en"", ""mt"")"),"Min jiddeċiedi min jasal biex jindirizza lill-membri tal-Parlament biex jaqsmu l-ħsibijiet tagħhom dwar kwistjonijiet ta 'fidi?")</f>
        <v>Min jiddeċiedi min jasal biex jindirizza lill-membri tal-Parlament biex jaqsmu l-ħsibijiet tagħhom dwar kwistjonijiet ta 'fidi?</v>
      </c>
    </row>
    <row r="3269" ht="15.75" customHeight="1">
      <c r="A3269" s="2" t="s">
        <v>3269</v>
      </c>
      <c r="B3269" s="2" t="str">
        <f>IFERROR(__xludf.DUMMYFUNCTION("GOOGLETRANSLATE(A3269, ""en"", ""mt"")"),"Ċerti numru ta 'salarji tal-għalliema jitħallsu mill-istat")</f>
        <v>Ċerti numru ta 'salarji tal-għalliema jitħallsu mill-istat</v>
      </c>
    </row>
    <row r="3270" ht="15.75" customHeight="1">
      <c r="A3270" s="2" t="s">
        <v>3270</v>
      </c>
      <c r="B3270" s="2" t="str">
        <f>IFERROR(__xludf.DUMMYFUNCTION("GOOGLETRANSLATE(A3270, ""en"", ""mt"")"),"Kapaċità tal-mina Tyne")</f>
        <v>Kapaċità tal-mina Tyne</v>
      </c>
    </row>
    <row r="3271" ht="15.75" customHeight="1">
      <c r="A3271" s="2" t="s">
        <v>3271</v>
      </c>
      <c r="B3271" s="2" t="str">
        <f>IFERROR(__xludf.DUMMYFUNCTION("GOOGLETRANSLATE(A3271, ""en"", ""mt"")"),"Il-mekkaniżmu għar-replikazzjoni tad-DNA tal-kloroplast (cpDNA) ma ġiex iddeterminat b'mod konklużiv, iżda ġew proposti żewġ mudelli ewlenin. Ix-xjentisti ppruvaw josservaw ir-replikazzjoni tal-kloroplast permezz ta ’mikroskopija elettronika mill-1970. Ir"&amp;"-riżultati tal-esperimenti tal-mikroskopija wasslu għall-idea li d-DNA tal-kloroplast jirreplika bl-użu ta 'linja ta' spostament doppju (D-loop). Hekk kif id-D-loop jiċċaqlaq mid-DNA ċirkolari, huwa jadotta forma intermedjarja ta 'theta, magħrufa wkoll bħ"&amp;"ala replikazzjoni ta' cairns intermedja, u tlesti r-replikazzjoni b'mekkaniżmu ta 'ċirku rolling. It-traskrizzjoni tibda f'punti ta 'oriġini speċifiċi. Forks multipli ta 'replikazzjoni jiftħu, li jippermettu li makkinarju ta' replikazzjoni jittraskrivi d-"&amp;"DNA. Hekk kif tkompli r-replikazzjoni, il-frieket jikbru u eventwalment jikkonverġu. L-istrutturi l-ġodda ta 'cpDNA jisseparaw, u joħolqu kromożomi cpDNA bint.")</f>
        <v>Il-mekkaniżmu għar-replikazzjoni tad-DNA tal-kloroplast (cpDNA) ma ġiex iddeterminat b'mod konklużiv, iżda ġew proposti żewġ mudelli ewlenin. Ix-xjentisti ppruvaw josservaw ir-replikazzjoni tal-kloroplast permezz ta ’mikroskopija elettronika mill-1970. Ir-riżultati tal-esperimenti tal-mikroskopija wasslu għall-idea li d-DNA tal-kloroplast jirreplika bl-użu ta 'linja ta' spostament doppju (D-loop). Hekk kif id-D-loop jiċċaqlaq mid-DNA ċirkolari, huwa jadotta forma intermedjarja ta 'theta, magħrufa wkoll bħala replikazzjoni ta' cairns intermedja, u tlesti r-replikazzjoni b'mekkaniżmu ta 'ċirku rolling. It-traskrizzjoni tibda f'punti ta 'oriġini speċifiċi. Forks multipli ta 'replikazzjoni jiftħu, li jippermettu li makkinarju ta' replikazzjoni jittraskrivi d-DNA. Hekk kif tkompli r-replikazzjoni, il-frieket jikbru u eventwalment jikkonverġu. L-istrutturi l-ġodda ta 'cpDNA jisseparaw, u joħolqu kromożomi cpDNA bint.</v>
      </c>
    </row>
    <row r="3272" ht="15.75" customHeight="1">
      <c r="A3272" s="2" t="s">
        <v>3272</v>
      </c>
      <c r="B3272" s="2" t="str">
        <f>IFERROR(__xludf.DUMMYFUNCTION("GOOGLETRANSLATE(A3272, ""en"", ""mt"")"),"Luther iddedika ruħu għall-ordni Agostinjan, jiddedika lilu nnifsu għas-sawm, sigħat twal fit-talb, pellegrinaġġ, u konfessjoni frekwenti. Luther iddeskriva dan il-perjodu ta ’ħajtu bħala wieħed ta’ disperazzjoni spiritwali profonda. Huwa qal, ""Tlift il-"&amp;"kuntatt ma 'Kristu s-Salvatur u l-Comforter, u għamilt minnu l-ħabs u l-hangman tar-ruħ fqira tiegħi."" Johann von Staupitz, is-superjur tiegħu, indika l-moħħ ta 'Luther' il bogħod minn riflessjoni kontinwa fuq dnubietu lejn il-mertu ta 'Kristu. Huwa għal"&amp;"lem li l-indiema vera ma tinvolvix penitenzi u pieni li jinfetħu lilhom infushom iżda pjuttost bidla fil-qalb.")</f>
        <v>Luther iddedika ruħu għall-ordni Agostinjan, jiddedika lilu nnifsu għas-sawm, sigħat twal fit-talb, pellegrinaġġ, u konfessjoni frekwenti. Luther iddeskriva dan il-perjodu ta ’ħajtu bħala wieħed ta’ disperazzjoni spiritwali profonda. Huwa qal, "Tlift il-kuntatt ma 'Kristu s-Salvatur u l-Comforter, u għamilt minnu l-ħabs u l-hangman tar-ruħ fqira tiegħi." Johann von Staupitz, is-superjur tiegħu, indika l-moħħ ta 'Luther' il bogħod minn riflessjoni kontinwa fuq dnubietu lejn il-mertu ta 'Kristu. Huwa għallem li l-indiema vera ma tinvolvix penitenzi u pieni li jinfetħu lilhom infushom iżda pjuttost bidla fil-qalb.</v>
      </c>
    </row>
    <row r="3273" ht="15.75" customHeight="1">
      <c r="A3273" s="2" t="s">
        <v>3273</v>
      </c>
      <c r="B3273" s="2" t="str">
        <f>IFERROR(__xludf.DUMMYFUNCTION("GOOGLETRANSLATE(A3273, ""en"", ""mt"")"),"mogħtija awtorità sagramentali")</f>
        <v>mogħtija awtorità sagramentali</v>
      </c>
    </row>
    <row r="3274" ht="15.75" customHeight="1">
      <c r="A3274" s="2" t="s">
        <v>3274</v>
      </c>
      <c r="B3274" s="2" t="str">
        <f>IFERROR(__xludf.DUMMYFUNCTION("GOOGLETRANSLATE(A3274, ""en"", ""mt"")"),"Fl-1893, George Westinghouse rebaħ l-offerta biex jixgħel l-Espożizzjoni tal-Kolumbja Dinjija tal-1893 f'Chicago b'kurrent alternattiv, li għeleb offerta ta 'General Electric b'miljun dollaru. Il-fiera ta 'din id-dinja ddedikat bini għal esebiti elettriċi"&amp;". Kien avveniment ewlieni fl-istorja tal-qawwa AC, peress li Westinghouse wera s-sigurtà, l-affidabbiltà, u l-effiċjenza ta 'sistema kurrenti alternattiva integrata għal kollox għall-pubbliku Amerikan. Fl-Espożizzjoni tal-Kolumbja, taħt banner li jħabbar "&amp;"is- ""Sistema ta 'Tesla Polyphase"", Tesla wriet serje ta' effetti elettriċi li qabel kienu mwettqa madwar l-Amerika u l-Ewropa,: 76 Inkluż bl-użu ta 'vultaġġ għoli u ta' frekwenza għolja li jalterna kurrent biex jixgħel l-iskarikar tal-gass mingħajr fili"&amp;" Lamp.:79 Osservatur innota:")</f>
        <v>Fl-1893, George Westinghouse rebaħ l-offerta biex jixgħel l-Espożizzjoni tal-Kolumbja Dinjija tal-1893 f'Chicago b'kurrent alternattiv, li għeleb offerta ta 'General Electric b'miljun dollaru. Il-fiera ta 'din id-dinja ddedikat bini għal esebiti elettriċi. Kien avveniment ewlieni fl-istorja tal-qawwa AC, peress li Westinghouse wera s-sigurtà, l-affidabbiltà, u l-effiċjenza ta 'sistema kurrenti alternattiva integrata għal kollox għall-pubbliku Amerikan. Fl-Espożizzjoni tal-Kolumbja, taħt banner li jħabbar is- "Sistema ta 'Tesla Polyphase", Tesla wriet serje ta' effetti elettriċi li qabel kienu mwettqa madwar l-Amerika u l-Ewropa,: 76 Inkluż bl-użu ta 'vultaġġ għoli u ta' frekwenza għolja li jalterna kurrent biex jixgħel l-iskarikar tal-gass mingħajr fili Lamp.:79 Osservatur innota:</v>
      </c>
    </row>
    <row r="3275" ht="15.75" customHeight="1">
      <c r="A3275" s="2" t="s">
        <v>3275</v>
      </c>
      <c r="B3275" s="2" t="str">
        <f>IFERROR(__xludf.DUMMYFUNCTION("GOOGLETRANSLATE(A3275, ""en"", ""mt"")"),"M'hemm l-ebda soluzzjoni magħrufa fil-ħin polinomjali")</f>
        <v>M'hemm l-ebda soluzzjoni magħrufa fil-ħin polinomjali</v>
      </c>
    </row>
    <row r="3276" ht="15.75" customHeight="1">
      <c r="A3276" s="2" t="s">
        <v>3276</v>
      </c>
      <c r="B3276" s="2" t="str">
        <f>IFERROR(__xludf.DUMMYFUNCTION("GOOGLETRANSLATE(A3276, ""en"", ""mt"")"),"X'inhuma t-tliet subsetturi tal-kostruzzjoni?")</f>
        <v>X'inhuma t-tliet subsetturi tal-kostruzzjoni?</v>
      </c>
    </row>
    <row r="3277" ht="15.75" customHeight="1">
      <c r="A3277" s="2" t="s">
        <v>3277</v>
      </c>
      <c r="B3277" s="2" t="str">
        <f>IFERROR(__xludf.DUMMYFUNCTION("GOOGLETRANSLATE(A3277, ""en"", ""mt"")"),"awto-determinat")</f>
        <v>awto-determinat</v>
      </c>
    </row>
    <row r="3278" ht="15.75" customHeight="1">
      <c r="A3278" s="2" t="s">
        <v>3278</v>
      </c>
      <c r="B3278" s="2" t="str">
        <f>IFERROR(__xludf.DUMMYFUNCTION("GOOGLETRANSLATE(A3278, ""en"", ""mt"")"),"Fil-kodifikazzjoni ta 'oġġetti matematiċi, x'inhu l-mod li bih huma espressi b'mod komuni?")</f>
        <v>Fil-kodifikazzjoni ta 'oġġetti matematiċi, x'inhu l-mod li bih huma espressi b'mod komuni?</v>
      </c>
    </row>
    <row r="3279" ht="15.75" customHeight="1">
      <c r="A3279" s="2" t="s">
        <v>3279</v>
      </c>
      <c r="B3279" s="2" t="str">
        <f>IFERROR(__xludf.DUMMYFUNCTION("GOOGLETRANSLATE(A3279, ""en"", ""mt"")"),"X'inhi l-forma tas-soltu ta 'komposti marbuta mal-ossiġnu?")</f>
        <v>X'inhi l-forma tas-soltu ta 'komposti marbuta mal-ossiġnu?</v>
      </c>
    </row>
    <row r="3280" ht="15.75" customHeight="1">
      <c r="A3280" s="2" t="s">
        <v>3280</v>
      </c>
      <c r="B3280" s="2" t="str">
        <f>IFERROR(__xludf.DUMMYFUNCTION("GOOGLETRANSLATE(A3280, ""en"", ""mt"")"),"sa elf darba daqs ħafna")</f>
        <v>sa elf darba daqs ħafna</v>
      </c>
    </row>
    <row r="3281" ht="15.75" customHeight="1">
      <c r="A3281" s="2" t="s">
        <v>3281</v>
      </c>
      <c r="B3281" s="2" t="str">
        <f>IFERROR(__xludf.DUMMYFUNCTION("GOOGLETRANSLATE(A3281, ""en"", ""mt"")"),"Il-qalba storika ta ’Newcastle hija ż-żona tal-belt ta’ Grainger. Imwaqqfa fi toroq klassiċi mibnija minn Richard Grainger, bennej u żviluppatur, bejn l-1835 u l-1842, uħud mill-ifjen Bini u Toroq ta 'Tyne jinsabu fi ħdan din iż-żona taċ-ċentru tal-belt i"&amp;"nkluż Grainger Market, Teatru Royal, Gray Street, Grainger Street u Clayton Triq. Dawn il-binjiet huma fil-biċċa l-kbira erba 'stejjer għoljin, b'dormers vertikali, koppli, turretti u spikes. Richard Grainger kien qal li ""sab Newcastle ta 'briks u injam "&amp;"u ħallah fil-ġebla"". Il-450 bini ta 'Grainger Town, 244 huma elenkati, li 29 huma Grad I u 49 huma Grad II *.")</f>
        <v>Il-qalba storika ta ’Newcastle hija ż-żona tal-belt ta’ Grainger. Imwaqqfa fi toroq klassiċi mibnija minn Richard Grainger, bennej u żviluppatur, bejn l-1835 u l-1842, uħud mill-ifjen Bini u Toroq ta 'Tyne jinsabu fi ħdan din iż-żona taċ-ċentru tal-belt inkluż Grainger Market, Teatru Royal, Gray Street, Grainger Street u Clayton Triq. Dawn il-binjiet huma fil-biċċa l-kbira erba 'stejjer għoljin, b'dormers vertikali, koppli, turretti u spikes. Richard Grainger kien qal li "sab Newcastle ta 'briks u injam u ħallah fil-ġebla". Il-450 bini ta 'Grainger Town, 244 huma elenkati, li 29 huma Grad I u 49 huma Grad II *.</v>
      </c>
    </row>
    <row r="3282" ht="15.75" customHeight="1">
      <c r="A3282" s="2" t="s">
        <v>3282</v>
      </c>
      <c r="B3282" s="2" t="str">
        <f>IFERROR(__xludf.DUMMYFUNCTION("GOOGLETRANSLATE(A3282, ""en"", ""mt"")"),"Fuq xiex jiddependi l-IPCC għar-riċerka?")</f>
        <v>Fuq xiex jiddependi l-IPCC għar-riċerka?</v>
      </c>
    </row>
    <row r="3283" ht="15.75" customHeight="1">
      <c r="A3283" s="2" t="s">
        <v>3283</v>
      </c>
      <c r="B3283" s="2" t="str">
        <f>IFERROR(__xludf.DUMMYFUNCTION("GOOGLETRANSLATE(A3283, ""en"", ""mt"")"),"Fl-1501, fl-età ta '19, daħal fl-Università ta 'Erfurt, li aktar tard iddeskriva bħala birra u whorehouse. Huwa kien magħmul biex iqum l-erbgħa kull filgħodu għal dak li ġie deskritt bħala ""ġurnata ta 'tagħlim tar-rote u ta' spiss li jintlibes eżerċizzji"&amp;" spiritwali."" Irċieva l-grad tal-kaptan tiegħu fl-1505.")</f>
        <v>Fl-1501, fl-età ta '19, daħal fl-Università ta 'Erfurt, li aktar tard iddeskriva bħala birra u whorehouse. Huwa kien magħmul biex iqum l-erbgħa kull filgħodu għal dak li ġie deskritt bħala "ġurnata ta 'tagħlim tar-rote u ta' spiss li jintlibes eżerċizzji spiritwali." Irċieva l-grad tal-kaptan tiegħu fl-1505.</v>
      </c>
    </row>
    <row r="3284" ht="15.75" customHeight="1">
      <c r="A3284" s="2" t="s">
        <v>3284</v>
      </c>
      <c r="B3284" s="2" t="str">
        <f>IFERROR(__xludf.DUMMYFUNCTION("GOOGLETRANSLATE(A3284, ""en"", ""mt"")"),"Umdità għolja")</f>
        <v>Umdità għolja</v>
      </c>
    </row>
    <row r="3285" ht="15.75" customHeight="1">
      <c r="A3285" s="2" t="s">
        <v>3285</v>
      </c>
      <c r="B3285" s="2" t="str">
        <f>IFERROR(__xludf.DUMMYFUNCTION("GOOGLETRANSLATE(A3285, ""en"", ""mt"")"),"Hekk kif persuna tixjieħ, minn xiex tipproduċi l-ġilda inqas?")</f>
        <v>Hekk kif persuna tixjieħ, minn xiex tipproduċi l-ġilda inqas?</v>
      </c>
    </row>
    <row r="3286" ht="15.75" customHeight="1">
      <c r="A3286" s="2" t="s">
        <v>3286</v>
      </c>
      <c r="B3286" s="2" t="str">
        <f>IFERROR(__xludf.DUMMYFUNCTION("GOOGLETRANSLATE(A3286, ""en"", ""mt"")"),"Tagħti Super Bowl")</f>
        <v>Tagħti Super Bowl</v>
      </c>
    </row>
    <row r="3287" ht="15.75" customHeight="1">
      <c r="A3287" s="2" t="s">
        <v>3287</v>
      </c>
      <c r="B3287" s="2" t="str">
        <f>IFERROR(__xludf.DUMMYFUNCTION("GOOGLETRANSLATE(A3287, ""en"", ""mt"")"),"Għal liema tip ta 'pożizzjonijiet dawn il-kontej ikunu qed jippruvaw jirreklutaw?")</f>
        <v>Għal liema tip ta 'pożizzjonijiet dawn il-kontej ikunu qed jippruvaw jirreklutaw?</v>
      </c>
    </row>
    <row r="3288" ht="15.75" customHeight="1">
      <c r="A3288" s="2" t="s">
        <v>3288</v>
      </c>
      <c r="B3288" s="2" t="str">
        <f>IFERROR(__xludf.DUMMYFUNCTION("GOOGLETRANSLATE(A3288, ""en"", ""mt"")"),"Għaliex Tanaghrisson kien jappoġġja l-isforzi Ingliżi?")</f>
        <v>Għaliex Tanaghrisson kien jappoġġja l-isforzi Ingliżi?</v>
      </c>
    </row>
    <row r="3289" ht="15.75" customHeight="1">
      <c r="A3289" s="2" t="s">
        <v>3289</v>
      </c>
      <c r="B3289" s="2" t="str">
        <f>IFERROR(__xludf.DUMMYFUNCTION("GOOGLETRANSLATE(A3289, ""en"", ""mt"")"),"Saltna ta ’Sqallija")</f>
        <v>Saltna ta ’Sqallija</v>
      </c>
    </row>
    <row r="3290" ht="15.75" customHeight="1">
      <c r="A3290" s="2" t="s">
        <v>3290</v>
      </c>
      <c r="B3290" s="2" t="str">
        <f>IFERROR(__xludf.DUMMYFUNCTION("GOOGLETRANSLATE(A3290, ""en"", ""mt"")"),"Ma 'liema rata ta' kriminalità kienet li kienet korrelata f'soċjetà?")</f>
        <v>Ma 'liema rata ta' kriminalità kienet li kienet korrelata f'soċjetà?</v>
      </c>
    </row>
    <row r="3291" ht="15.75" customHeight="1">
      <c r="A3291" s="2" t="s">
        <v>3291</v>
      </c>
      <c r="B3291" s="2" t="str">
        <f>IFERROR(__xludf.DUMMYFUNCTION("GOOGLETRANSLATE(A3291, ""en"", ""mt"")"),"L-Editt ta 'Fontainebleau")</f>
        <v>L-Editt ta 'Fontainebleau</v>
      </c>
    </row>
    <row r="3292" ht="15.75" customHeight="1">
      <c r="A3292" s="2" t="s">
        <v>3292</v>
      </c>
      <c r="B3292" s="2" t="str">
        <f>IFERROR(__xludf.DUMMYFUNCTION("GOOGLETRANSLATE(A3292, ""en"", ""mt"")"),"forma ta 'antrax")</f>
        <v>forma ta 'antrax</v>
      </c>
    </row>
    <row r="3293" ht="15.75" customHeight="1">
      <c r="A3293" s="2" t="s">
        <v>3293</v>
      </c>
      <c r="B3293" s="2" t="str">
        <f>IFERROR(__xludf.DUMMYFUNCTION("GOOGLETRANSLATE(A3293, ""en"", ""mt"")"),"Minn fejn ix-xjenzati jaħsbu li l-pesti kollha oriġinaw minnu?")</f>
        <v>Minn fejn ix-xjenzati jaħsbu li l-pesti kollha oriġinaw minnu?</v>
      </c>
    </row>
    <row r="3294" ht="15.75" customHeight="1">
      <c r="A3294" s="2" t="s">
        <v>3294</v>
      </c>
      <c r="B3294" s="2" t="str">
        <f>IFERROR(__xludf.DUMMYFUNCTION("GOOGLETRANSLATE(A3294, ""en"", ""mt"")"),"Flimkien mal-Istitut Amerikan tal-Inġiniera Elettriċi liema istitut ieħor eventwalment sar l-IEEE?")</f>
        <v>Flimkien mal-Istitut Amerikan tal-Inġiniera Elettriċi liema istitut ieħor eventwalment sar l-IEEE?</v>
      </c>
    </row>
    <row r="3295" ht="15.75" customHeight="1">
      <c r="A3295" s="2" t="s">
        <v>3295</v>
      </c>
      <c r="B3295" s="2" t="str">
        <f>IFERROR(__xludf.DUMMYFUNCTION("GOOGLETRANSLATE(A3295, ""en"", ""mt"")"),"Sage Gateshead Music and Arts Centre")</f>
        <v>Sage Gateshead Music and Arts Centre</v>
      </c>
    </row>
    <row r="3296" ht="15.75" customHeight="1">
      <c r="A3296" s="2" t="s">
        <v>3296</v>
      </c>
      <c r="B3296" s="2" t="str">
        <f>IFERROR(__xludf.DUMMYFUNCTION("GOOGLETRANSLATE(A3296, ""en"", ""mt"")"),"Il-konġettura ta 'Brocard")</f>
        <v>Il-konġettura ta 'Brocard</v>
      </c>
    </row>
    <row r="3297" ht="15.75" customHeight="1">
      <c r="A3297" s="2" t="s">
        <v>3297</v>
      </c>
      <c r="B3297" s="2" t="str">
        <f>IFERROR(__xludf.DUMMYFUNCTION("GOOGLETRANSLATE(A3297, ""en"", ""mt"")"),"Liema mill-faċilitajiet ta 'produzzjoni ewlenin ta' ABC tinsab fi New York City?")</f>
        <v>Liema mill-faċilitajiet ta 'produzzjoni ewlenin ta' ABC tinsab fi New York City?</v>
      </c>
    </row>
    <row r="3298" ht="15.75" customHeight="1">
      <c r="A3298" s="2" t="s">
        <v>3298</v>
      </c>
      <c r="B3298" s="2" t="str">
        <f>IFERROR(__xludf.DUMMYFUNCTION("GOOGLETRANSLATE(A3298, ""en"", ""mt"")"),"Ir-Re ta ’Franza")</f>
        <v>Ir-Re ta ’Franza</v>
      </c>
    </row>
    <row r="3299" ht="15.75" customHeight="1">
      <c r="A3299" s="2" t="s">
        <v>3299</v>
      </c>
      <c r="B3299" s="2" t="str">
        <f>IFERROR(__xludf.DUMMYFUNCTION("GOOGLETRANSLATE(A3299, ""en"", ""mt"")"),"Bħal ħafna bliet fl-Ewropa Ċentrali u tal-Lvant, l-infrastruttura f'Varsavja sofriet konsiderevolment matul iż-żmien tagħha bħala ekonomija tal-blokk tal-Lvant - għalkemm ta 'min isemmi li l-pjan inizjali ta' tliet snin biex jerġa 'jibni l-Polonja (speċja"&amp;"lment Varsavja) kien suċċess kbir, imma dak li segwa kien ħafna l-oppost. Madankollu, matul l-aħħar għaxar snin Varsavja rat bosta titjib minħabba tkabbir ekonomiku solidu, żieda fl-investiment barrani kif ukoll fondi mill-Unjoni Ewropea. B'mod partikolar"&amp;"i, il-metro tal-belt, toroq, bankini, faċilitajiet tal-kura tas-saħħa u faċilitajiet ta 'sanità tjiebu sew.")</f>
        <v>Bħal ħafna bliet fl-Ewropa Ċentrali u tal-Lvant, l-infrastruttura f'Varsavja sofriet konsiderevolment matul iż-żmien tagħha bħala ekonomija tal-blokk tal-Lvant - għalkemm ta 'min isemmi li l-pjan inizjali ta' tliet snin biex jerġa 'jibni l-Polonja (speċjalment Varsavja) kien suċċess kbir, imma dak li segwa kien ħafna l-oppost. Madankollu, matul l-aħħar għaxar snin Varsavja rat bosta titjib minħabba tkabbir ekonomiku solidu, żieda fl-investiment barrani kif ukoll fondi mill-Unjoni Ewropea. B'mod partikolari, il-metro tal-belt, toroq, bankini, faċilitajiet tal-kura tas-saħħa u faċilitajiet ta 'sanità tjiebu sew.</v>
      </c>
    </row>
    <row r="3300" ht="15.75" customHeight="1">
      <c r="A3300" s="2" t="s">
        <v>3300</v>
      </c>
      <c r="B3300" s="2" t="str">
        <f>IFERROR(__xludf.DUMMYFUNCTION("GOOGLETRANSLATE(A3300, ""en"", ""mt"")"),"Subutai u Jebe")</f>
        <v>Subutai u Jebe</v>
      </c>
    </row>
    <row r="3301" ht="15.75" customHeight="1">
      <c r="A3301" s="2" t="s">
        <v>3301</v>
      </c>
      <c r="B3301" s="2" t="str">
        <f>IFERROR(__xludf.DUMMYFUNCTION("GOOGLETRANSLATE(A3301, ""en"", ""mt"")"),"104 ° F.")</f>
        <v>104 ° F.</v>
      </c>
    </row>
    <row r="3302" ht="15.75" customHeight="1">
      <c r="A3302" s="2" t="s">
        <v>3302</v>
      </c>
      <c r="B3302" s="2" t="str">
        <f>IFERROR(__xludf.DUMMYFUNCTION("GOOGLETRANSLATE(A3302, ""en"", ""mt"")"),"jistgħu jinkludu b'mod arbitrarju ħafna każijiet ta '1 fi kwalunkwe fatturizzazzjoni")</f>
        <v>jistgħu jinkludu b'mod arbitrarju ħafna każijiet ta '1 fi kwalunkwe fatturizzazzjoni</v>
      </c>
    </row>
    <row r="3303" ht="15.75" customHeight="1">
      <c r="A3303" s="2" t="s">
        <v>3303</v>
      </c>
      <c r="B3303" s="2" t="str">
        <f>IFERROR(__xludf.DUMMYFUNCTION("GOOGLETRANSLATE(A3303, ""en"", ""mt"")"),"Kemm jekk l-organella twettaq l-aħħar sieq tal-passaġġ jew jekk jiġri fiċ-ċitosol")</f>
        <v>Kemm jekk l-organella twettaq l-aħħar sieq tal-passaġġ jew jekk jiġri fiċ-ċitosol</v>
      </c>
    </row>
    <row r="3304" ht="15.75" customHeight="1">
      <c r="A3304" s="2" t="s">
        <v>3304</v>
      </c>
      <c r="B3304" s="2" t="str">
        <f>IFERROR(__xludf.DUMMYFUNCTION("GOOGLETRANSLATE(A3304, ""en"", ""mt"")"),"L-ispiżjara ma jistgħux jiffurmaw sħubijiet kummerċjali ma 'tobba jew jagħtuhom ħlasijiet ""kickback""")</f>
        <v>L-ispiżjara ma jistgħux jiffurmaw sħubijiet kummerċjali ma 'tobba jew jagħtuhom ħlasijiet "kickback"</v>
      </c>
    </row>
    <row r="3305" ht="15.75" customHeight="1">
      <c r="A3305" s="2" t="s">
        <v>3305</v>
      </c>
      <c r="B3305" s="2" t="str">
        <f>IFERROR(__xludf.DUMMYFUNCTION("GOOGLETRANSLATE(A3305, ""en"", ""mt"")"),"X'kienet inkarigata l-Aġenzija tal-Informazzjoni ta 'l-Istati Uniti li għamlet matul il-Gwerra Bierda?")</f>
        <v>X'kienet inkarigata l-Aġenzija tal-Informazzjoni ta 'l-Istati Uniti li għamlet matul il-Gwerra Bierda?</v>
      </c>
    </row>
    <row r="3306" ht="15.75" customHeight="1">
      <c r="A3306" s="2" t="s">
        <v>3306</v>
      </c>
      <c r="B3306" s="2" t="str">
        <f>IFERROR(__xludf.DUMMYFUNCTION("GOOGLETRANSLATE(A3306, ""en"", ""mt"")"),"X'jista 'jkun għalliem entużjastiku għal student żagħżugħ?")</f>
        <v>X'jista 'jkun għalliem entużjastiku għal student żagħżugħ?</v>
      </c>
    </row>
    <row r="3307" ht="15.75" customHeight="1">
      <c r="A3307" s="2" t="s">
        <v>3307</v>
      </c>
      <c r="B3307" s="2" t="str">
        <f>IFERROR(__xludf.DUMMYFUNCTION("GOOGLETRANSLATE(A3307, ""en"", ""mt"")"),"Il-kollezzjoni ta 'tessuti tikkonsisti f'aktar minn 53,000 eżempji, prinċipalment l-Ewropa tal-Punent għalkemm il-kontinenti kollha popolati huma rappreżentati, li jmorru mis-seklu 1 WK għall-preżent, din hija l-akbar ġabra bħal din fid-dinja. It-tekniki "&amp;"rappreżentati jinkludu l-insiġ, l-istampar, ir-rakkmu tal-quilting, il-bizzilla, it-tapizzerija u t-twapet. Dawn huma kklassifikati skont it-teknika, il-pajjiżi tal-oriġini u d-data tal-produzzjoni. Il-kollezzjonijiet huma rrappreżentati sew f'dawn iż-żon"&amp;"i: ħarir bikri mil-Lvant Qarib, bizzilla, tapizzeriji Ewropej u rakkmu tal-knisja medjevali Ingliża.")</f>
        <v>Il-kollezzjoni ta 'tessuti tikkonsisti f'aktar minn 53,000 eżempji, prinċipalment l-Ewropa tal-Punent għalkemm il-kontinenti kollha popolati huma rappreżentati, li jmorru mis-seklu 1 WK għall-preżent, din hija l-akbar ġabra bħal din fid-dinja. It-tekniki rappreżentati jinkludu l-insiġ, l-istampar, ir-rakkmu tal-quilting, il-bizzilla, it-tapizzerija u t-twapet. Dawn huma kklassifikati skont it-teknika, il-pajjiżi tal-oriġini u d-data tal-produzzjoni. Il-kollezzjonijiet huma rrappreżentati sew f'dawn iż-żoni: ħarir bikri mil-Lvant Qarib, bizzilla, tapizzeriji Ewropej u rakkmu tal-knisja medjevali Ingliża.</v>
      </c>
    </row>
    <row r="3308" ht="15.75" customHeight="1">
      <c r="A3308" s="2" t="s">
        <v>3308</v>
      </c>
      <c r="B3308" s="2" t="str">
        <f>IFERROR(__xludf.DUMMYFUNCTION("GOOGLETRANSLATE(A3308, ""en"", ""mt"")"),"projbizzjonijiet")</f>
        <v>projbizzjonijiet</v>
      </c>
    </row>
    <row r="3309" ht="15.75" customHeight="1">
      <c r="A3309" s="2" t="s">
        <v>3309</v>
      </c>
      <c r="B3309" s="2" t="str">
        <f>IFERROR(__xludf.DUMMYFUNCTION("GOOGLETRANSLATE(A3309, ""en"", ""mt"")"),"Cyanobacteria")</f>
        <v>Cyanobacteria</v>
      </c>
    </row>
    <row r="3310" ht="15.75" customHeight="1">
      <c r="A3310" s="2" t="s">
        <v>3310</v>
      </c>
      <c r="B3310" s="2" t="str">
        <f>IFERROR(__xludf.DUMMYFUNCTION("GOOGLETRANSLATE(A3310, ""en"", ""mt"")"),"Liema nazzjonalità hija l-banda Coldplay?")</f>
        <v>Liema nazzjonalità hija l-banda Coldplay?</v>
      </c>
    </row>
    <row r="3311" ht="15.75" customHeight="1">
      <c r="A3311" s="2" t="s">
        <v>3311</v>
      </c>
      <c r="B3311" s="2" t="str">
        <f>IFERROR(__xludf.DUMMYFUNCTION("GOOGLETRANSLATE(A3311, ""en"", ""mt"")"),"Ideali ewlenin")</f>
        <v>Ideali ewlenin</v>
      </c>
    </row>
    <row r="3312" ht="15.75" customHeight="1">
      <c r="A3312" s="2" t="s">
        <v>3312</v>
      </c>
      <c r="B3312" s="2" t="str">
        <f>IFERROR(__xludf.DUMMYFUNCTION("GOOGLETRANSLATE(A3312, ""en"", ""mt"")"),"Hija rebħet il-forma qasira tal-Premju Hugo għall-Aħjar Preżentazzjoni Dramatika, l-eqdem Premju tax-Xjenza Fikzjoni / Fantasija għall-Films u s-Serje, sitt darbiet (kull sena mill-2006, ħlief għall-2009, 2013 u 2014). L-episodji rebbieħa kienu ""The Empt"&amp;"y Child"" / ""The Doctor Dances"" (2006), ""The Girl in the Fireplace"" (2007), ""Blink"" (2008), ""The Waters of Mars"" (2010), ""The Pandorica Tiftaħ ""/"" The Big Bang ""(2011), u"" The Doctor's Wife ""(2012). L-istilla tat-Tabib Who Matt Smith rebħet "&amp;"l-aqwa attur fil-Premjijiet Nazzjonali tat-Televiżjoni 2012 flimkien ma ’Karen Gillan li rebħet l-Aqwa Attriċi. Doctor Who ġie nominat għal aktar minn 200 premju u rebaħ aktar minn mitt minnhom.")</f>
        <v>Hija rebħet il-forma qasira tal-Premju Hugo għall-Aħjar Preżentazzjoni Dramatika, l-eqdem Premju tax-Xjenza Fikzjoni / Fantasija għall-Films u s-Serje, sitt darbiet (kull sena mill-2006, ħlief għall-2009, 2013 u 2014). L-episodji rebbieħa kienu "The Empty Child" / "The Doctor Dances" (2006), "The Girl in the Fireplace" (2007), "Blink" (2008), "The Waters of Mars" (2010), "The Pandorica Tiftaħ "/" The Big Bang "(2011), u" The Doctor's Wife "(2012). L-istilla tat-Tabib Who Matt Smith rebħet l-aqwa attur fil-Premjijiet Nazzjonali tat-Televiżjoni 2012 flimkien ma ’Karen Gillan li rebħet l-Aqwa Attriċi. Doctor Who ġie nominat għal aktar minn 200 premju u rebaħ aktar minn mitt minnhom.</v>
      </c>
    </row>
    <row r="3313" ht="15.75" customHeight="1">
      <c r="A3313" s="2" t="s">
        <v>3313</v>
      </c>
      <c r="B3313" s="2" t="str">
        <f>IFERROR(__xludf.DUMMYFUNCTION("GOOGLETRANSLATE(A3313, ""en"", ""mt"")"),"Liema pjattaforma kienet Sentanta Sports li qed tippjana fuq it-tnedija?")</f>
        <v>Liema pjattaforma kienet Sentanta Sports li qed tippjana fuq it-tnedija?</v>
      </c>
    </row>
    <row r="3314" ht="15.75" customHeight="1">
      <c r="A3314" s="2" t="s">
        <v>3314</v>
      </c>
      <c r="B3314" s="2" t="str">
        <f>IFERROR(__xludf.DUMMYFUNCTION("GOOGLETRANSLATE(A3314, ""en"", ""mt"")"),"Franza")</f>
        <v>Franza</v>
      </c>
    </row>
    <row r="3315" ht="15.75" customHeight="1">
      <c r="A3315" s="2" t="s">
        <v>3315</v>
      </c>
      <c r="B3315" s="2" t="str">
        <f>IFERROR(__xludf.DUMMYFUNCTION("GOOGLETRANSLATE(A3315, ""en"", ""mt"")"),"trattament ħażin minn uffiċjali tal-gvern")</f>
        <v>trattament ħażin minn uffiċjali tal-gvern</v>
      </c>
    </row>
    <row r="3316" ht="15.75" customHeight="1">
      <c r="A3316" s="2" t="s">
        <v>3316</v>
      </c>
      <c r="B3316" s="2" t="str">
        <f>IFERROR(__xludf.DUMMYFUNCTION("GOOGLETRANSLATE(A3316, ""en"", ""mt"")"),"meħtieġa")</f>
        <v>meħtieġa</v>
      </c>
    </row>
    <row r="3317" ht="15.75" customHeight="1">
      <c r="A3317" s="2" t="s">
        <v>3317</v>
      </c>
      <c r="B3317" s="2" t="str">
        <f>IFERROR(__xludf.DUMMYFUNCTION("GOOGLETRANSLATE(A3317, ""en"", ""mt"")"),"Iddikjara l-liġi marzjali u bagħtet lill-milizja tal-istat biex iżżomm l-ordni")</f>
        <v>Iddikjara l-liġi marzjali u bagħtet lill-milizja tal-istat biex iżżomm l-ordni</v>
      </c>
    </row>
    <row r="3318" ht="15.75" customHeight="1">
      <c r="A3318" s="2" t="s">
        <v>3318</v>
      </c>
      <c r="B3318" s="2" t="str">
        <f>IFERROR(__xludf.DUMMYFUNCTION("GOOGLETRANSLATE(A3318, ""en"", ""mt"")"),"Skoċċiż, Galliku, jew kwalunkwe lingwa oħra bil-ftehim tal-uffiċjal li jippresiedi")</f>
        <v>Skoċċiż, Galliku, jew kwalunkwe lingwa oħra bil-ftehim tal-uffiċjal li jippresiedi</v>
      </c>
    </row>
    <row r="3319" ht="15.75" customHeight="1">
      <c r="A3319" s="2" t="s">
        <v>3319</v>
      </c>
      <c r="B3319" s="2" t="str">
        <f>IFERROR(__xludf.DUMMYFUNCTION("GOOGLETRANSLATE(A3319, ""en"", ""mt"")"),"X'ġibu meta tidher is-somma tal-forzi b'żieda fil-vettur?")</f>
        <v>X'ġibu meta tidher is-somma tal-forzi b'żieda fil-vettur?</v>
      </c>
    </row>
    <row r="3320" ht="15.75" customHeight="1">
      <c r="A3320" s="2" t="s">
        <v>3320</v>
      </c>
      <c r="B3320" s="2" t="str">
        <f>IFERROR(__xludf.DUMMYFUNCTION("GOOGLETRANSLATE(A3320, ""en"", ""mt"")"),"inqas minn jew daqs l-għerq kwadru ta 'n")</f>
        <v>inqas minn jew daqs l-għerq kwadru ta 'n</v>
      </c>
    </row>
    <row r="3321" ht="15.75" customHeight="1">
      <c r="A3321" s="2" t="s">
        <v>3321</v>
      </c>
      <c r="B3321" s="2" t="str">
        <f>IFERROR(__xludf.DUMMYFUNCTION("GOOGLETRANSLATE(A3321, ""en"", ""mt"")"),"Librerija Pusey")</f>
        <v>Librerija Pusey</v>
      </c>
    </row>
    <row r="3322" ht="15.75" customHeight="1">
      <c r="A3322" s="2" t="s">
        <v>3322</v>
      </c>
      <c r="B3322" s="2" t="str">
        <f>IFERROR(__xludf.DUMMYFUNCTION("GOOGLETRANSLATE(A3322, ""en"", ""mt"")"),"għaxar-horsepower")</f>
        <v>għaxar-horsepower</v>
      </c>
    </row>
    <row r="3323" ht="15.75" customHeight="1">
      <c r="A3323" s="2" t="s">
        <v>3323</v>
      </c>
      <c r="B3323" s="2" t="str">
        <f>IFERROR(__xludf.DUMMYFUNCTION("GOOGLETRANSLATE(A3323, ""en"", ""mt"")"),"Nuqqas ta 'għalliema rġiel")</f>
        <v>Nuqqas ta 'għalliema rġiel</v>
      </c>
    </row>
    <row r="3324" ht="15.75" customHeight="1">
      <c r="A3324" s="2" t="s">
        <v>3324</v>
      </c>
      <c r="B3324" s="2" t="str">
        <f>IFERROR(__xludf.DUMMYFUNCTION("GOOGLETRANSLATE(A3324, ""en"", ""mt"")"),"Liema sorsi oħra ta 'potenzjal ossidattiv għoli jistgħu jżidu ma' nar?")</f>
        <v>Liema sorsi oħra ta 'potenzjal ossidattiv għoli jistgħu jżidu ma' nar?</v>
      </c>
    </row>
    <row r="3325" ht="15.75" customHeight="1">
      <c r="A3325" s="2" t="s">
        <v>3325</v>
      </c>
      <c r="B3325" s="2" t="str">
        <f>IFERROR(__xludf.DUMMYFUNCTION("GOOGLETRANSLATE(A3325, ""en"", ""mt"")"),"Liema knisja fil-Virginia tinżamm minn Huguenots bħala santwarju storiku?")</f>
        <v>Liema knisja fil-Virginia tinżamm minn Huguenots bħala santwarju storiku?</v>
      </c>
    </row>
    <row r="3326" ht="15.75" customHeight="1">
      <c r="A3326" s="2" t="s">
        <v>3326</v>
      </c>
      <c r="B3326" s="2" t="str">
        <f>IFERROR(__xludf.DUMMYFUNCTION("GOOGLETRANSLATE(A3326, ""en"", ""mt"")"),"Xi jfisser zhèng?")</f>
        <v>Xi jfisser zhèng?</v>
      </c>
    </row>
    <row r="3327" ht="15.75" customHeight="1">
      <c r="A3327" s="2" t="s">
        <v>3327</v>
      </c>
      <c r="B3327" s="2" t="str">
        <f>IFERROR(__xludf.DUMMYFUNCTION("GOOGLETRANSLATE(A3327, ""en"", ""mt"")"),"Carolina sofra daqqa ta ’ħarta kbira meta Thomas Davis, veteran ta ’11 -il sena li kien diġà għeleb tliet dmugħ ACL fil-karriera tiegħu, niżel b’dirma miksura fil-logħba tal-Kampjonat NFC. Minkejja dan, huwa insista li kien għadu jsib mod kif jilgħab fis-"&amp;"Super Bowl. It-tbassir tiegħu rriżulta li kien preċiż.")</f>
        <v>Carolina sofra daqqa ta ’ħarta kbira meta Thomas Davis, veteran ta ’11 -il sena li kien diġà għeleb tliet dmugħ ACL fil-karriera tiegħu, niżel b’dirma miksura fil-logħba tal-Kampjonat NFC. Minkejja dan, huwa insista li kien għadu jsib mod kif jilgħab fis-Super Bowl. It-tbassir tiegħu rriżulta li kien preċiż.</v>
      </c>
    </row>
    <row r="3328" ht="15.75" customHeight="1">
      <c r="A3328" s="2" t="s">
        <v>3328</v>
      </c>
      <c r="B3328" s="2" t="str">
        <f>IFERROR(__xludf.DUMMYFUNCTION("GOOGLETRANSLATE(A3328, ""en"", ""mt"")"),"Kif tissejjaħ il-Kamra ta ’Fuq tal-Parlament tar-Rabat?")</f>
        <v>Kif tissejjaħ il-Kamra ta ’Fuq tal-Parlament tar-Rabat?</v>
      </c>
    </row>
    <row r="3329" ht="15.75" customHeight="1">
      <c r="A3329" s="2" t="s">
        <v>3329</v>
      </c>
      <c r="B3329" s="2" t="str">
        <f>IFERROR(__xludf.DUMMYFUNCTION("GOOGLETRANSLATE(A3329, ""en"", ""mt"")"),"Amerikana ta ’Fuq")</f>
        <v>Amerikana ta ’Fuq</v>
      </c>
    </row>
    <row r="3330" ht="15.75" customHeight="1">
      <c r="A3330" s="2" t="s">
        <v>3330</v>
      </c>
      <c r="B3330" s="2" t="str">
        <f>IFERROR(__xludf.DUMMYFUNCTION("GOOGLETRANSLATE(A3330, ""en"", ""mt"")"),"jogħla fil-livelli tal-baħar")</f>
        <v>jogħla fil-livelli tal-baħar</v>
      </c>
    </row>
    <row r="3331" ht="15.75" customHeight="1">
      <c r="A3331" s="2" t="s">
        <v>3331</v>
      </c>
      <c r="B3331" s="2" t="str">
        <f>IFERROR(__xludf.DUMMYFUNCTION("GOOGLETRANSLATE(A3331, ""en"", ""mt"")"),"singularment")</f>
        <v>singularment</v>
      </c>
    </row>
    <row r="3332" ht="15.75" customHeight="1">
      <c r="A3332" s="2" t="s">
        <v>3332</v>
      </c>
      <c r="B3332" s="2" t="str">
        <f>IFERROR(__xludf.DUMMYFUNCTION("GOOGLETRANSLATE(A3332, ""en"", ""mt"")"),"Ir-rikostruzzjoni tal-ħsieb reliġjuż fl-Islam")</f>
        <v>Ir-rikostruzzjoni tal-ħsieb reliġjuż fl-Islam</v>
      </c>
    </row>
    <row r="3333" ht="15.75" customHeight="1">
      <c r="A3333" s="2" t="s">
        <v>3333</v>
      </c>
      <c r="B3333" s="2" t="str">
        <f>IFERROR(__xludf.DUMMYFUNCTION("GOOGLETRANSLATE(A3333, ""en"", ""mt"")"),"Pakkett ta 'strumenti xjentifiċi orbitali")</f>
        <v>Pakkett ta 'strumenti xjentifiċi orbitali</v>
      </c>
    </row>
    <row r="3334" ht="15.75" customHeight="1">
      <c r="A3334" s="2" t="s">
        <v>3334</v>
      </c>
      <c r="B3334" s="2" t="str">
        <f>IFERROR(__xludf.DUMMYFUNCTION("GOOGLETRANSLATE(A3334, ""en"", ""mt"")"),"Dominanza politika u monetarja")</f>
        <v>Dominanza politika u monetarja</v>
      </c>
    </row>
    <row r="3335" ht="15.75" customHeight="1">
      <c r="A3335" s="2" t="s">
        <v>3335</v>
      </c>
      <c r="B3335" s="2" t="str">
        <f>IFERROR(__xludf.DUMMYFUNCTION("GOOGLETRANSLATE(A3335, ""en"", ""mt"")"),"dawl intens")</f>
        <v>dawl intens</v>
      </c>
    </row>
    <row r="3336" ht="15.75" customHeight="1">
      <c r="A3336" s="2" t="s">
        <v>3336</v>
      </c>
      <c r="B3336" s="2" t="str">
        <f>IFERROR(__xludf.DUMMYFUNCTION("GOOGLETRANSLATE(A3336, ""en"", ""mt"")"),"Il-Klassi P tal-Kumplessità hija spiss meqjusa bħala astrazzjoni matematika li timmudella dawk il-kompiti tal-komputazzjoni li jammettu algoritmu effiċjenti. Din l-ipoteżi tissejjaħ it-teżi ta 'Cobham-Edmonds. Il-klassi tal-kumplessità NP, min-naħa l-oħra"&amp;", fiha ħafna problemi li n-nies jixtiequ jsolvu b'mod effiċjenti, iżda li għalih ma huwa magħruf l-ebda algoritmu effiċjenti, bħall-problema ta 'sodisfazzjon Boolean, il-problema tal-passaġġ Hamiltonjan u l-problema tal-kopertura tal-vertiċi. Peress li l-"&amp;"magni tat-Turing deterministiċi huma magni speċjali mhux deterministiċi tat-Turing, huwa faċilment osservat li kull problema f'P hija wkoll membru tal-klassi NP.")</f>
        <v>Il-Klassi P tal-Kumplessità hija spiss meqjusa bħala astrazzjoni matematika li timmudella dawk il-kompiti tal-komputazzjoni li jammettu algoritmu effiċjenti. Din l-ipoteżi tissejjaħ it-teżi ta 'Cobham-Edmonds. Il-klassi tal-kumplessità NP, min-naħa l-oħra, fiha ħafna problemi li n-nies jixtiequ jsolvu b'mod effiċjenti, iżda li għalih ma huwa magħruf l-ebda algoritmu effiċjenti, bħall-problema ta 'sodisfazzjon Boolean, il-problema tal-passaġġ Hamiltonjan u l-problema tal-kopertura tal-vertiċi. Peress li l-magni tat-Turing deterministiċi huma magni speċjali mhux deterministiċi tat-Turing, huwa faċilment osservat li kull problema f'P hija wkoll membru tal-klassi NP.</v>
      </c>
    </row>
    <row r="3337" ht="15.75" customHeight="1">
      <c r="A3337" s="2" t="s">
        <v>3337</v>
      </c>
      <c r="B3337" s="2" t="str">
        <f>IFERROR(__xludf.DUMMYFUNCTION("GOOGLETRANSLATE(A3337, ""en"", ""mt"")"),"matul il-vaganza tal-bank tar-rebbiegħa")</f>
        <v>matul il-vaganza tal-bank tar-rebbiegħa</v>
      </c>
    </row>
    <row r="3338" ht="15.75" customHeight="1">
      <c r="A3338" s="2" t="s">
        <v>3338</v>
      </c>
      <c r="B3338" s="2" t="str">
        <f>IFERROR(__xludf.DUMMYFUNCTION("GOOGLETRANSLATE(A3338, ""en"", ""mt"")"),"X'għandu jkun l-integer M inqas minn jew daqs meta twettaq diviżjoni ta 'prova?")</f>
        <v>X'għandu jkun l-integer M inqas minn jew daqs meta twettaq diviżjoni ta 'prova?</v>
      </c>
    </row>
    <row r="3339" ht="15.75" customHeight="1">
      <c r="A3339" s="2" t="s">
        <v>3339</v>
      </c>
      <c r="B3339" s="2" t="str">
        <f>IFERROR(__xludf.DUMMYFUNCTION("GOOGLETRANSLATE(A3339, ""en"", ""mt"")"),"indekompożizzjoni")</f>
        <v>indekompożizzjoni</v>
      </c>
    </row>
    <row r="3340" ht="15.75" customHeight="1">
      <c r="A3340" s="2" t="s">
        <v>3340</v>
      </c>
      <c r="B3340" s="2" t="str">
        <f>IFERROR(__xludf.DUMMYFUNCTION("GOOGLETRANSLATE(A3340, ""en"", ""mt"")"),"Il-bidliet fix-xita naqqsu x'tip ta 'kopertura tal-veġetazzjoni fil-baċin tal-Amażonja?")</f>
        <v>Il-bidliet fix-xita naqqsu x'tip ta 'kopertura tal-veġetazzjoni fil-baċin tal-Amażonja?</v>
      </c>
    </row>
    <row r="3341" ht="15.75" customHeight="1">
      <c r="A3341" s="2" t="s">
        <v>3341</v>
      </c>
      <c r="B3341" s="2" t="str">
        <f>IFERROR(__xludf.DUMMYFUNCTION("GOOGLETRANSLATE(A3341, ""en"", ""mt"")"),"grana u thylakoids")</f>
        <v>grana u thylakoids</v>
      </c>
    </row>
    <row r="3342" ht="15.75" customHeight="1">
      <c r="A3342" s="2" t="s">
        <v>3342</v>
      </c>
      <c r="B3342" s="2" t="str">
        <f>IFERROR(__xludf.DUMMYFUNCTION("GOOGLETRANSLATE(A3342, ""en"", ""mt"")"),"X’irċieva Tesla l-ewwel wara li beda l-kumpanija tiegħu?")</f>
        <v>X’irċieva Tesla l-ewwel wara li beda l-kumpanija tiegħu?</v>
      </c>
    </row>
    <row r="3343" ht="15.75" customHeight="1">
      <c r="A3343" s="2" t="s">
        <v>3343</v>
      </c>
      <c r="B3343" s="2" t="str">
        <f>IFERROR(__xludf.DUMMYFUNCTION("GOOGLETRANSLATE(A3343, ""en"", ""mt"")"),"X'tagħmel il-Beroe meta ssegwi l-priża?")</f>
        <v>X'tagħmel il-Beroe meta ssegwi l-priża?</v>
      </c>
    </row>
    <row r="3344" ht="15.75" customHeight="1">
      <c r="A3344" s="2" t="s">
        <v>3344</v>
      </c>
      <c r="B3344" s="2" t="str">
        <f>IFERROR(__xludf.DUMMYFUNCTION("GOOGLETRANSLATE(A3344, ""en"", ""mt"")"),"X'tip ta 'distrett huwa d-dar tan-Nofsinhar ta' California għal ħafna?")</f>
        <v>X'tip ta 'distrett huwa d-dar tan-Nofsinhar ta' California għal ħafna?</v>
      </c>
    </row>
    <row r="3345" ht="15.75" customHeight="1">
      <c r="A3345" s="2" t="s">
        <v>3345</v>
      </c>
      <c r="B3345" s="2" t="str">
        <f>IFERROR(__xludf.DUMMYFUNCTION("GOOGLETRANSLATE(A3345, ""en"", ""mt"")"),"Molekuli MHC tal-Klassi II")</f>
        <v>Molekuli MHC tal-Klassi II</v>
      </c>
    </row>
    <row r="3346" ht="15.75" customHeight="1">
      <c r="A3346" s="2" t="s">
        <v>3346</v>
      </c>
      <c r="B3346" s="2" t="str">
        <f>IFERROR(__xludf.DUMMYFUNCTION("GOOGLETRANSLATE(A3346, ""en"", ""mt"")"),"L-ossiġnu huwa l-ossidant")</f>
        <v>L-ossiġnu huwa l-ossidant</v>
      </c>
    </row>
    <row r="3347" ht="15.75" customHeight="1">
      <c r="A3347" s="2" t="s">
        <v>3347</v>
      </c>
      <c r="B3347" s="2" t="str">
        <f>IFERROR(__xludf.DUMMYFUNCTION("GOOGLETRANSLATE(A3347, ""en"", ""mt"")"),"gruppi terroristiċi")</f>
        <v>gruppi terroristiċi</v>
      </c>
    </row>
    <row r="3348" ht="15.75" customHeight="1">
      <c r="A3348" s="2" t="s">
        <v>3348</v>
      </c>
      <c r="B3348" s="2" t="str">
        <f>IFERROR(__xludf.DUMMYFUNCTION("GOOGLETRANSLATE(A3348, ""en"", ""mt"")"),"il-kodiċi Yassa")</f>
        <v>il-kodiċi Yassa</v>
      </c>
    </row>
    <row r="3349" ht="15.75" customHeight="1">
      <c r="A3349" s="2" t="s">
        <v>3349</v>
      </c>
      <c r="B3349" s="2" t="str">
        <f>IFERROR(__xludf.DUMMYFUNCTION("GOOGLETRANSLATE(A3349, ""en"", ""mt"")"),"Studenti fl-Università ta ’Chicago jmexxu aktar minn 400 klabb u organizzazzjonijiet magħrufa bħala organizzazzjonijiet ta’ studenti rikonoxxuti (RSOs). Dawn jinkludu gruppi kulturali u reliġjużi, klabbs u timijiet akkademiċi, u organizzazzjonijiet ta 'in"&amp;"teress komuni. Gruppi extra-kurrikulari notevoli jinkludu t-tim tal-Università ta 'Chicago College Bowl, li rebaħ 118-il tournaments u 15-il kampjonat nazzjonali, li jwasslu ż-żewġ kategoriji internazzjonalment. Il-mudell kompetittiv tal-università tat-ti"&amp;"m tan-Nazzjonijiet Uniti kien l-aqwa tim ikklassifikat fl-Amerika ta ’Fuq fl-2013-14 u fl-2014-2015. Fost l-RSOs notevoli hemm l-itwal films tal-films tal-istudenti li jmexxu kontinwament in-nazzjon, Kumitat Organizzazzjoni għall-Università ta 'Chicago Sc"&amp;"avenger Hunt, il-gazzetta studenti darbtejn fil-ġimgħa The Chicago Maroon, il-gazzetta tal-istudenti alternattivi ta' kull ġimgħa South Side Weekly, it-tieni l-eqdem tan-nazzjon kontinwament ġiri kontinwament Studenti Improvisational Theatre Troupe Off-Of"&amp;"f Campus, u l-istazzjon tar-radju tal-università WHPK.")</f>
        <v>Studenti fl-Università ta ’Chicago jmexxu aktar minn 400 klabb u organizzazzjonijiet magħrufa bħala organizzazzjonijiet ta’ studenti rikonoxxuti (RSOs). Dawn jinkludu gruppi kulturali u reliġjużi, klabbs u timijiet akkademiċi, u organizzazzjonijiet ta 'interess komuni. Gruppi extra-kurrikulari notevoli jinkludu t-tim tal-Università ta 'Chicago College Bowl, li rebaħ 118-il tournaments u 15-il kampjonat nazzjonali, li jwasslu ż-żewġ kategoriji internazzjonalment. Il-mudell kompetittiv tal-università tat-tim tan-Nazzjonijiet Uniti kien l-aqwa tim ikklassifikat fl-Amerika ta ’Fuq fl-2013-14 u fl-2014-2015. Fost l-RSOs notevoli hemm l-itwal films tal-films tal-istudenti li jmexxu kontinwament in-nazzjon, Kumitat Organizzazzjoni għall-Università ta 'Chicago Scavenger Hunt, il-gazzetta studenti darbtejn fil-ġimgħa The Chicago Maroon, il-gazzetta tal-istudenti alternattivi ta' kull ġimgħa South Side Weekly, it-tieni l-eqdem tan-nazzjon kontinwament ġiri kontinwament Studenti Improvisational Theatre Troupe Off-Off Campus, u l-istazzjon tar-radju tal-università WHPK.</v>
      </c>
    </row>
    <row r="3350" ht="15.75" customHeight="1">
      <c r="A3350" s="2" t="s">
        <v>3350</v>
      </c>
      <c r="B3350" s="2" t="str">
        <f>IFERROR(__xludf.DUMMYFUNCTION("GOOGLETRANSLATE(A3350, ""en"", ""mt"")"),"X'jiġri l-oqbra iżolati, spazjati barra mill-vittmi tal-pesta?")</f>
        <v>X'jiġri l-oqbra iżolati, spazjati barra mill-vittmi tal-pesta?</v>
      </c>
    </row>
    <row r="3351" ht="15.75" customHeight="1">
      <c r="A3351" s="2" t="s">
        <v>3351</v>
      </c>
      <c r="B3351" s="2" t="str">
        <f>IFERROR(__xludf.DUMMYFUNCTION("GOOGLETRANSLATE(A3351, ""en"", ""mt"")"),"Tabib tat-Teoloġija")</f>
        <v>Tabib tat-Teoloġija</v>
      </c>
    </row>
    <row r="3352" ht="15.75" customHeight="1">
      <c r="A3352" s="2" t="s">
        <v>3352</v>
      </c>
      <c r="B3352" s="2" t="str">
        <f>IFERROR(__xludf.DUMMYFUNCTION("GOOGLETRANSLATE(A3352, ""en"", ""mt"")"),"assenjawhom lill-kumpanija minflok l-istokk.")</f>
        <v>assenjawhom lill-kumpanija minflok l-istokk.</v>
      </c>
    </row>
    <row r="3353" ht="15.75" customHeight="1">
      <c r="A3353" s="2" t="s">
        <v>3353</v>
      </c>
      <c r="B3353" s="2" t="str">
        <f>IFERROR(__xludf.DUMMYFUNCTION("GOOGLETRANSLATE(A3353, ""en"", ""mt"")"),"Min għandu t-tort talli aġixxa inġustament?")</f>
        <v>Min għandu t-tort talli aġixxa inġustament?</v>
      </c>
    </row>
    <row r="3354" ht="15.75" customHeight="1">
      <c r="A3354" s="2" t="s">
        <v>3354</v>
      </c>
      <c r="B3354" s="2" t="str">
        <f>IFERROR(__xludf.DUMMYFUNCTION("GOOGLETRANSLATE(A3354, ""en"", ""mt"")"),"ma jikserx id-drittijiet ta 'ħaddieħor")</f>
        <v>ma jikserx id-drittijiet ta 'ħaddieħor</v>
      </c>
    </row>
    <row r="3355" ht="15.75" customHeight="1">
      <c r="A3355" s="2" t="s">
        <v>3355</v>
      </c>
      <c r="B3355" s="2" t="str">
        <f>IFERROR(__xludf.DUMMYFUNCTION("GOOGLETRANSLATE(A3355, ""en"", ""mt"")"),"permess ta 'okkupazzjoni")</f>
        <v>permess ta 'okkupazzjoni</v>
      </c>
    </row>
    <row r="3356" ht="15.75" customHeight="1">
      <c r="A3356" s="2" t="s">
        <v>3356</v>
      </c>
      <c r="B3356" s="2" t="str">
        <f>IFERROR(__xludf.DUMMYFUNCTION("GOOGLETRANSLATE(A3356, ""en"", ""mt"")"),"Skulturi hindu u Buddisti")</f>
        <v>Skulturi hindu u Buddisti</v>
      </c>
    </row>
    <row r="3357" ht="15.75" customHeight="1">
      <c r="A3357" s="2" t="s">
        <v>3357</v>
      </c>
      <c r="B3357" s="2" t="str">
        <f>IFERROR(__xludf.DUMMYFUNCTION("GOOGLETRANSLATE(A3357, ""en"", ""mt"")"),"livell tal-aqwa rata tat-taxxa")</f>
        <v>livell tal-aqwa rata tat-taxxa</v>
      </c>
    </row>
    <row r="3358" ht="15.75" customHeight="1">
      <c r="A3358" s="2" t="s">
        <v>3358</v>
      </c>
      <c r="B3358" s="2" t="str">
        <f>IFERROR(__xludf.DUMMYFUNCTION("GOOGLETRANSLATE(A3358, ""en"", ""mt"")"),"Il-possedimenti kontinentali tagħha tal-Amerika ta ’Fuq fil-lvant tal-Mississippi jew il-Gżejjer tal-Karibew")</f>
        <v>Il-possedimenti kontinentali tagħha tal-Amerika ta ’Fuq fil-lvant tal-Mississippi jew il-Gżejjer tal-Karibew</v>
      </c>
    </row>
    <row r="3359" ht="15.75" customHeight="1">
      <c r="A3359" s="2" t="s">
        <v>3359</v>
      </c>
      <c r="B3359" s="2" t="str">
        <f>IFERROR(__xludf.DUMMYFUNCTION("GOOGLETRANSLATE(A3359, ""en"", ""mt"")"),"il-magna gun")</f>
        <v>il-magna gun</v>
      </c>
    </row>
    <row r="3360" ht="15.75" customHeight="1">
      <c r="A3360" s="2" t="s">
        <v>3360</v>
      </c>
      <c r="B3360" s="2" t="str">
        <f>IFERROR(__xludf.DUMMYFUNCTION("GOOGLETRANSLATE(A3360, ""en"", ""mt"")"),"żewġ raġel")</f>
        <v>żewġ raġel</v>
      </c>
    </row>
    <row r="3361" ht="15.75" customHeight="1">
      <c r="A3361" s="2" t="s">
        <v>3361</v>
      </c>
      <c r="B3361" s="2" t="str">
        <f>IFERROR(__xludf.DUMMYFUNCTION("GOOGLETRANSLATE(A3361, ""en"", ""mt"")"),"Uffiċjal li jippresiedi")</f>
        <v>Uffiċjal li jippresiedi</v>
      </c>
    </row>
    <row r="3362" ht="15.75" customHeight="1">
      <c r="A3362" s="2" t="s">
        <v>3362</v>
      </c>
      <c r="B3362" s="2" t="str">
        <f>IFERROR(__xludf.DUMMYFUNCTION("GOOGLETRANSLATE(A3362, ""en"", ""mt"")"),"Sweetgum Amerikan")</f>
        <v>Sweetgum Amerikan</v>
      </c>
    </row>
    <row r="3363" ht="15.75" customHeight="1">
      <c r="A3363" s="2" t="s">
        <v>3363</v>
      </c>
      <c r="B3363" s="2" t="str">
        <f>IFERROR(__xludf.DUMMYFUNCTION("GOOGLETRANSLATE(A3363, ""en"", ""mt"")"),"tikkomunika mal-pazjenti")</f>
        <v>tikkomunika mal-pazjenti</v>
      </c>
    </row>
    <row r="3364" ht="15.75" customHeight="1">
      <c r="A3364" s="2" t="s">
        <v>3364</v>
      </c>
      <c r="B3364" s="2" t="str">
        <f>IFERROR(__xludf.DUMMYFUNCTION("GOOGLETRANSLATE(A3364, ""en"", ""mt"")"),"X'kien imsejjaħ Jacksonville bħala wara l-konsolidazzjoni?")</f>
        <v>X'kien imsejjaħ Jacksonville bħala wara l-konsolidazzjoni?</v>
      </c>
    </row>
    <row r="3365" ht="15.75" customHeight="1">
      <c r="A3365" s="2" t="s">
        <v>3365</v>
      </c>
      <c r="B3365" s="2" t="str">
        <f>IFERROR(__xludf.DUMMYFUNCTION("GOOGLETRANSLATE(A3365, ""en"", ""mt"")"),"$ 159 miljun")</f>
        <v>$ 159 miljun</v>
      </c>
    </row>
    <row r="3366" ht="15.75" customHeight="1">
      <c r="A3366" s="2" t="s">
        <v>3366</v>
      </c>
      <c r="B3366" s="2" t="str">
        <f>IFERROR(__xludf.DUMMYFUNCTION("GOOGLETRANSLATE(A3366, ""en"", ""mt"")"),"Mużew Rebbiegħa ta 'Varsavja")</f>
        <v>Mużew Rebbiegħa ta 'Varsavja</v>
      </c>
    </row>
    <row r="3367" ht="15.75" customHeight="1">
      <c r="A3367" s="2" t="s">
        <v>3367</v>
      </c>
      <c r="B3367" s="2" t="str">
        <f>IFERROR(__xludf.DUMMYFUNCTION("GOOGLETRANSLATE(A3367, ""en"", ""mt"")"),"Frontiers minn bejn Nova Scotia u Acadia fit-tramuntana, lejn il-pajjiż ta ’Ohio fin-nofsinhar, ġew mitluba miż-żewġ naħat")</f>
        <v>Frontiers minn bejn Nova Scotia u Acadia fit-tramuntana, lejn il-pajjiż ta ’Ohio fin-nofsinhar, ġew mitluba miż-żewġ naħat</v>
      </c>
    </row>
    <row r="3368" ht="15.75" customHeight="1">
      <c r="A3368" s="2" t="s">
        <v>3368</v>
      </c>
      <c r="B3368" s="2" t="str">
        <f>IFERROR(__xludf.DUMMYFUNCTION("GOOGLETRANSLATE(A3368, ""en"", ""mt"")"),"Min jistabbilixxi l-aġenda tax-xogħol u jalloka l-ħin fil-kamra?")</f>
        <v>Min jistabbilixxi l-aġenda tax-xogħol u jalloka l-ħin fil-kamra?</v>
      </c>
    </row>
    <row r="3369" ht="15.75" customHeight="1">
      <c r="A3369" s="2" t="s">
        <v>3369</v>
      </c>
      <c r="B3369" s="2" t="str">
        <f>IFERROR(__xludf.DUMMYFUNCTION("GOOGLETRANSLATE(A3369, ""en"", ""mt"")"),"sid tal-propjetà")</f>
        <v>sid tal-propjetà</v>
      </c>
    </row>
    <row r="3370" ht="15.75" customHeight="1">
      <c r="A3370" s="2" t="s">
        <v>3370</v>
      </c>
      <c r="B3370" s="2" t="str">
        <f>IFERROR(__xludf.DUMMYFUNCTION("GOOGLETRANSLATE(A3370, ""en"", ""mt"")"),"William Hanna u Joseph Barbera")</f>
        <v>William Hanna u Joseph Barbera</v>
      </c>
    </row>
    <row r="3371" ht="15.75" customHeight="1">
      <c r="A3371" s="2" t="s">
        <v>3371</v>
      </c>
      <c r="B3371" s="2" t="str">
        <f>IFERROR(__xludf.DUMMYFUNCTION("GOOGLETRANSLATE(A3371, ""en"", ""mt"")"),"Oxygen ġie skopert indipendentement minn Carl Wilhelm Scheele, f'Uppsala, fl-1773 jew qabel, u Joseph Priestley f'Wiltshire, fl-1774, iżda Priestley ħafna drabi jingħata prijorità minħabba li x-xogħol tiegħu ġie ppubblikat l-ewwel. L-isem Oxygen inħoloq f"&amp;"l-1777 minn Antoine Lavoisier, li l-esperimenti tiegħu bl-ossiġnu għenu biex jiskreditaw it-teorija tal-flogiston popolari dak iż-żmien tal-kombustjoni u l-korrużjoni. Ismu joħroġ mill-għeruq Griegi ὀξύς oxys, ""aċidu"", litteralment ""qawwi"", li jirrefe"&amp;"ri għat-togħma qarsa ta 'aċidi u -γενής -enes, ""produttur"", litteralment ""begetter"", minħabba li fil-ħin tal-ismijiet, kien ħasbu bi żball li l-aċidi kollha kienu jeħtieġu ossiġnu fil-kompożizzjoni tagħhom. Użi komuni ta 'ossiġnu jinkludi ċ-ċiklu ta' "&amp;"produzzjoni ta 'l-azzar, plastik u tessuti, ibbrejżjar, iwweldjar u qtugħ ta' azzar u metalli oħra, rokit propellant, fit-terapija ta 'l-ossiġnu u sistemi ta' appoġġ għall-ħajja f'ajruplani, sottomarini, fluss spazjali u għadis.")</f>
        <v>Oxygen ġie skopert indipendentement minn Carl Wilhelm Scheele, f'Uppsala, fl-1773 jew qabel, u Joseph Priestley f'Wiltshire, fl-1774, iżda Priestley ħafna drabi jingħata prijorità minħabba li x-xogħol tiegħu ġie ppubblikat l-ewwel. L-isem Oxygen inħoloq fl-1777 minn Antoine Lavoisier, li l-esperimenti tiegħu bl-ossiġnu għenu biex jiskreditaw it-teorija tal-flogiston popolari dak iż-żmien tal-kombustjoni u l-korrużjoni. Ismu joħroġ mill-għeruq Griegi ὀξύς oxys, "aċidu", litteralment "qawwi", li jirreferi għat-togħma qarsa ta 'aċidi u -γενής -enes, "produttur", litteralment "begetter", minħabba li fil-ħin tal-ismijiet, kien ħasbu bi żball li l-aċidi kollha kienu jeħtieġu ossiġnu fil-kompożizzjoni tagħhom. Użi komuni ta 'ossiġnu jinkludi ċ-ċiklu ta' produzzjoni ta 'l-azzar, plastik u tessuti, ibbrejżjar, iwweldjar u qtugħ ta' azzar u metalli oħra, rokit propellant, fit-terapija ta 'l-ossiġnu u sistemi ta' appoġġ għall-ħajja f'ajruplani, sottomarini, fluss spazjali u għadis.</v>
      </c>
    </row>
    <row r="3372" ht="15.75" customHeight="1">
      <c r="A3372" s="2" t="s">
        <v>3372</v>
      </c>
      <c r="B3372" s="2" t="str">
        <f>IFERROR(__xludf.DUMMYFUNCTION("GOOGLETRANSLATE(A3372, ""en"", ""mt"")"),"6 piedi 2 pulzieri (1.88 m)")</f>
        <v>6 piedi 2 pulzieri (1.88 m)</v>
      </c>
    </row>
    <row r="3373" ht="15.75" customHeight="1">
      <c r="A3373" s="2" t="s">
        <v>3373</v>
      </c>
      <c r="B3373" s="2" t="str">
        <f>IFERROR(__xludf.DUMMYFUNCTION("GOOGLETRANSLATE(A3373, ""en"", ""mt"")"),"Tkabbir ogħla tal-PGD")</f>
        <v>Tkabbir ogħla tal-PGD</v>
      </c>
    </row>
    <row r="3374" ht="15.75" customHeight="1">
      <c r="A3374" s="2" t="s">
        <v>3374</v>
      </c>
      <c r="B3374" s="2" t="str">
        <f>IFERROR(__xludf.DUMMYFUNCTION("GOOGLETRANSLATE(A3374, ""en"", ""mt"")"),"X'inhu l-ogħla quċċata fir-Rabat?")</f>
        <v>X'inhu l-ogħla quċċata fir-Rabat?</v>
      </c>
    </row>
    <row r="3375" ht="15.75" customHeight="1">
      <c r="A3375" s="2" t="s">
        <v>3375</v>
      </c>
      <c r="B3375" s="2" t="str">
        <f>IFERROR(__xludf.DUMMYFUNCTION("GOOGLETRANSLATE(A3375, ""en"", ""mt"")"),"Il-mewt l-Iswed kienet ferm aktar mgħaġġla minn dik tal-pesta bubonika moderna")</f>
        <v>Il-mewt l-Iswed kienet ferm aktar mgħaġġla minn dik tal-pesta bubonika moderna</v>
      </c>
    </row>
    <row r="3376" ht="15.75" customHeight="1">
      <c r="A3376" s="2" t="s">
        <v>3376</v>
      </c>
      <c r="B3376" s="2" t="str">
        <f>IFERROR(__xludf.DUMMYFUNCTION("GOOGLETRANSLATE(A3376, ""en"", ""mt"")"),"Iċ-Ċiklu ta ’Calvin")</f>
        <v>Iċ-Ċiklu ta ’Calvin</v>
      </c>
    </row>
    <row r="3377" ht="15.75" customHeight="1">
      <c r="A3377" s="2" t="s">
        <v>3377</v>
      </c>
      <c r="B3377" s="2" t="str">
        <f>IFERROR(__xludf.DUMMYFUNCTION("GOOGLETRANSLATE(A3377, ""en"", ""mt"")"),"Il-fruntiera tal-Istati Uniti tal-Messiku")</f>
        <v>Il-fruntiera tal-Istati Uniti tal-Messiku</v>
      </c>
    </row>
    <row r="3378" ht="15.75" customHeight="1">
      <c r="A3378" s="2" t="s">
        <v>3378</v>
      </c>
      <c r="B3378" s="2" t="str">
        <f>IFERROR(__xludf.DUMMYFUNCTION("GOOGLETRANSLATE(A3378, ""en"", ""mt"")"),"Maskri tal-ossiġnu")</f>
        <v>Maskri tal-ossiġnu</v>
      </c>
    </row>
    <row r="3379" ht="15.75" customHeight="1">
      <c r="A3379" s="2" t="s">
        <v>3379</v>
      </c>
      <c r="B3379" s="2" t="str">
        <f>IFERROR(__xludf.DUMMYFUNCTION("GOOGLETRANSLATE(A3379, ""en"", ""mt"")"),"tond")</f>
        <v>tond</v>
      </c>
    </row>
    <row r="3380" ht="15.75" customHeight="1">
      <c r="A3380" s="2" t="s">
        <v>3380</v>
      </c>
      <c r="B3380" s="2" t="str">
        <f>IFERROR(__xludf.DUMMYFUNCTION("GOOGLETRANSLATE(A3380, ""en"", ""mt"")"),"Id-deforestazzjoni hija l-konverżjoni ta 'żoni forestali f'żoni mhux forestati. Is-sorsi ewlenin ta 'deforestazzjoni fl-Amażonja huma s-soluzzjoni umana u l-iżvilupp tal-art. Qabel il-bidu tas-snin 1960, l-aċċess għall-intern tal-foresta kien ristrett ħaf"&amp;"na, u l-foresta baqgħet bażikament intatta. L-irziezet stabbiliti matul is-snin 1960 kienu bbażati fuq il-kultivazzjoni tal-għelejjel u l-metodu slash u ħruq. Madankollu, il-kolonisti ma setgħux jimmaniġġjaw l-għelieqi tagħhom u l-għelejjel minħabba t-tel"&amp;"f tal-fertilità tal-ħamrija u l-invażjoni tal-ħaxix ħażin. Il-ħamrija fl-Amażonja huma produttivi għal perjodu qasir ta 'żmien, u għalhekk il-bdiewa qed jimxu kontinwament għal żoni ġodda u jikklerjaw aktar art. Dawn il-prattiki tal-biedja wasslu għal def"&amp;"orestazzjoni u kkawżaw ħsara ambjentali estensiva. Id-deforestazzjoni hija konsiderevoli, u ż-żoni mneħħija mill-foresta huma viżibbli għall-għajn mill-ispazju ta 'barra.")</f>
        <v>Id-deforestazzjoni hija l-konverżjoni ta 'żoni forestali f'żoni mhux forestati. Is-sorsi ewlenin ta 'deforestazzjoni fl-Amażonja huma s-soluzzjoni umana u l-iżvilupp tal-art. Qabel il-bidu tas-snin 1960, l-aċċess għall-intern tal-foresta kien ristrett ħafna, u l-foresta baqgħet bażikament intatta. L-irziezet stabbiliti matul is-snin 1960 kienu bbażati fuq il-kultivazzjoni tal-għelejjel u l-metodu slash u ħruq. Madankollu, il-kolonisti ma setgħux jimmaniġġjaw l-għelieqi tagħhom u l-għelejjel minħabba t-telf tal-fertilità tal-ħamrija u l-invażjoni tal-ħaxix ħażin. Il-ħamrija fl-Amażonja huma produttivi għal perjodu qasir ta 'żmien, u għalhekk il-bdiewa qed jimxu kontinwament għal żoni ġodda u jikklerjaw aktar art. Dawn il-prattiki tal-biedja wasslu għal deforestazzjoni u kkawżaw ħsara ambjentali estensiva. Id-deforestazzjoni hija konsiderevoli, u ż-żoni mneħħija mill-foresta huma viżibbli għall-għajn mill-ispazju ta 'barra.</v>
      </c>
    </row>
    <row r="3381" ht="15.75" customHeight="1">
      <c r="A3381" s="2" t="s">
        <v>3381</v>
      </c>
      <c r="B3381" s="2" t="str">
        <f>IFERROR(__xludf.DUMMYFUNCTION("GOOGLETRANSLATE(A3381, ""en"", ""mt"")"),"Id-diversi gruppi etniċi tal-Kenja tipikament jitkellmu bil-lingwa materna tagħhom fil-komunitajiet tagħhom stess")</f>
        <v>Id-diversi gruppi etniċi tal-Kenja tipikament jitkellmu bil-lingwa materna tagħhom fil-komunitajiet tagħhom stess</v>
      </c>
    </row>
    <row r="3382" ht="15.75" customHeight="1">
      <c r="A3382" s="2" t="s">
        <v>3382</v>
      </c>
      <c r="B3382" s="2" t="str">
        <f>IFERROR(__xludf.DUMMYFUNCTION("GOOGLETRANSLATE(A3382, ""en"", ""mt"")"),"Warner ipprova b'suċċess imħallat biex jadatta wħud mill-aktar films ta 'suċċess tagħha bħala serje televiżiva ABC, u vetrina dawn l-adattamenti bħala parti mis-serje tar-roti Warner Bros. jippreżenta. Ix-xandir matul l-istaġun 1955-56, huwa wera adattame"&amp;"nti tat-televiżjoni tal-1942 Films Kings Row u Casablanca; Cheyenne (adattat mill-film tal-1947 Wyoming Kid); Sugarfoot (remake tal-film tal-1954 The Boy minn Oklahoma); u Maverick. Madankollu, l-iktar ikonika tar-relazzjonijiet ta 'ABC mal-produtturi ta'"&amp;" Hollywood kienet il-ftehim tagħha ma 'Walt Disney; Wara l-bidu tar-rabta tan-netwerk mal-istudjo Disney, James Lewis Baughman, li ħadem bħala columnist dak iż-żmien, osserva li ""fil-kwartieri ġenerali ta 'ABC fi New York, is-segretarji [issa kienu] lieb"&amp;"es kpiepel ma' Mickey Mouse Ears"".")</f>
        <v>Warner ipprova b'suċċess imħallat biex jadatta wħud mill-aktar films ta 'suċċess tagħha bħala serje televiżiva ABC, u vetrina dawn l-adattamenti bħala parti mis-serje tar-roti Warner Bros. jippreżenta. Ix-xandir matul l-istaġun 1955-56, huwa wera adattamenti tat-televiżjoni tal-1942 Films Kings Row u Casablanca; Cheyenne (adattat mill-film tal-1947 Wyoming Kid); Sugarfoot (remake tal-film tal-1954 The Boy minn Oklahoma); u Maverick. Madankollu, l-iktar ikonika tar-relazzjonijiet ta 'ABC mal-produtturi ta' Hollywood kienet il-ftehim tagħha ma 'Walt Disney; Wara l-bidu tar-rabta tan-netwerk mal-istudjo Disney, James Lewis Baughman, li ħadem bħala columnist dak iż-żmien, osserva li "fil-kwartieri ġenerali ta 'ABC fi New York, is-segretarji [issa kienu] liebes kpiepel ma' Mickey Mouse Ears".</v>
      </c>
    </row>
    <row r="3383" ht="15.75" customHeight="1">
      <c r="A3383" s="2" t="s">
        <v>3383</v>
      </c>
      <c r="B3383" s="2" t="str">
        <f>IFERROR(__xludf.DUMMYFUNCTION("GOOGLETRANSLATE(A3383, ""en"", ""mt"")"),"Kif jista 'l-approċċ tal-kapaċitajiet jilħaq l-għan tiegħu?")</f>
        <v>Kif jista 'l-approċċ tal-kapaċitajiet jilħaq l-għan tiegħu?</v>
      </c>
    </row>
    <row r="3384" ht="15.75" customHeight="1">
      <c r="A3384" s="2" t="s">
        <v>3384</v>
      </c>
      <c r="B3384" s="2" t="str">
        <f>IFERROR(__xludf.DUMMYFUNCTION("GOOGLETRANSLATE(A3384, ""en"", ""mt"")"),"Liema imperi jew dinastiji oħra rnexxielhom Genghis Khan?")</f>
        <v>Liema imperi jew dinastiji oħra rnexxielhom Genghis Khan?</v>
      </c>
    </row>
    <row r="3385" ht="15.75" customHeight="1">
      <c r="A3385" s="2" t="s">
        <v>3385</v>
      </c>
      <c r="B3385" s="2" t="str">
        <f>IFERROR(__xludf.DUMMYFUNCTION("GOOGLETRANSLATE(A3385, ""en"", ""mt"")"),"Ir-raba 'imperatur Yuan, Buyantu Khan (Ayurbarwada), kien imperatur kompetenti. Huwa kien l-ewwel Imperatur Yuan li jappoġġja attivament u jadotta l-kultura Ċiniża mainstream wara r-renju ta 'Kublai, għall-iskuntentizza ta' xi elite Mongolja. Huwa kien me"&amp;"ntored minn Li Meng, akkademiku Confucian. Huwa għamel ħafna riformi, inkluża l-likwidazzjoni tad-Dipartiment tal-Affarijiet tal-Istat (Ċiniż: 尚 書 省), li rriżultaw fl-eżekuzzjoni ta 'ħamsa mill-uffiċjali tal-ogħla grad. Mill-1313 l-eżamijiet imperjali tra"&amp;"dizzjonali ġew introdotti mill-ġdid għal uffiċjali prospettivi, ittestjaw l-għarfien tagħhom dwar xogħlijiet storiċi sinifikanti. Ukoll, huwa kkodifika ħafna mil-liġi, kif ukoll jippubblika jew jittraduċi numru ta 'kotba u xogħlijiet Ċiniżi.")</f>
        <v>Ir-raba 'imperatur Yuan, Buyantu Khan (Ayurbarwada), kien imperatur kompetenti. Huwa kien l-ewwel Imperatur Yuan li jappoġġja attivament u jadotta l-kultura Ċiniża mainstream wara r-renju ta 'Kublai, għall-iskuntentizza ta' xi elite Mongolja. Huwa kien mentored minn Li Meng, akkademiku Confucian. Huwa għamel ħafna riformi, inkluża l-likwidazzjoni tad-Dipartiment tal-Affarijiet tal-Istat (Ċiniż: 尚 書 省), li rriżultaw fl-eżekuzzjoni ta 'ħamsa mill-uffiċjali tal-ogħla grad. Mill-1313 l-eżamijiet imperjali tradizzjonali ġew introdotti mill-ġdid għal uffiċjali prospettivi, ittestjaw l-għarfien tagħhom dwar xogħlijiet storiċi sinifikanti. Ukoll, huwa kkodifika ħafna mil-liġi, kif ukoll jippubblika jew jittraduċi numru ta 'kotba u xogħlijiet Ċiniżi.</v>
      </c>
    </row>
    <row r="3386" ht="15.75" customHeight="1">
      <c r="A3386" s="2" t="s">
        <v>3386</v>
      </c>
      <c r="B3386" s="2" t="str">
        <f>IFERROR(__xludf.DUMMYFUNCTION("GOOGLETRANSLATE(A3386, ""en"", ""mt"")"),"1702 u 1709")</f>
        <v>1702 u 1709</v>
      </c>
    </row>
    <row r="3387" ht="15.75" customHeight="1">
      <c r="A3387" s="2" t="s">
        <v>3387</v>
      </c>
      <c r="B3387" s="2" t="str">
        <f>IFERROR(__xludf.DUMMYFUNCTION("GOOGLETRANSLATE(A3387, ""en"", ""mt"")"),"X'tip ta 'mewt qal Luther li jistħoqqilhom il-bdiewa li jduru?")</f>
        <v>X'tip ta 'mewt qal Luther li jistħoqqilhom il-bdiewa li jduru?</v>
      </c>
    </row>
    <row r="3388" ht="15.75" customHeight="1">
      <c r="A3388" s="2" t="s">
        <v>3388</v>
      </c>
      <c r="B3388" s="2" t="str">
        <f>IFERROR(__xludf.DUMMYFUNCTION("GOOGLETRANSLATE(A3388, ""en"", ""mt"")"),"Varsavja, speċjalment iċ-ċentru tal-belt tagħha (Śródmieście), hija d-dar mhux biss għal ħafna istituzzjonijiet nazzjonali u aġenziji tal-gvern, iżda wkoll għal ħafna kumpaniji domestiċi u internazzjonali. Fl-2006, 304,016 kumpanija ġew irreġistrati fil-b"&amp;"elt. Il-komunità kummerċjali li dejjem qed tikber ta 'Varsavja ġiet innotata globalment, reġjonali u nazzjonalment. MasterCard Emerging Market Index innota s-saħħa ekonomika u ċ-ċentru kummerċjali ta 'Varsavja. Barra minn hekk, Varsavja kienet ikklassifik"&amp;"ata bħala s-7 l-ikbar suq emerġenti. Il-parteċipazzjoni finanzjarja tal-investituri barranin fl-iżvilupp tal-belt kienet stmata fl-2002 għal aktar minn 650 miljun euro. Varsavja tipproduċi 12% tad-dħul nazzjonali tal-Polonja, li fl-2008 kien 305.1% tal-me"&amp;"dja Pollakka, per capita (jew 160% tal-medja tal-Unjoni Ewropea). Il-PDG per capita f'Varsavja ammonta għal PLN 94 000 fl-2008 (c. EUR 23 800, USD 33 000). Il-PGD nominali totali tal-belt fl-2010 ammonta għal 191.766 biljun PLN, 111696 PLN per capita, li "&amp;"kien 301,1% tal-medja Pollakka. Varsavja tmexxi r-reġjun tal-Ewropa ċentrali tal-lvant fl-investiment barrani u fl-2006, it-tkabbir tal-PGD issodisfa l-aspettattivi b'livell ta '6.1%. Għandu wkoll waħda mill-ekonomiji li qed jikbru l-iktar malajr, bi tkab"&amp;"bir tal-PGD għal 6.5 fil-mija fl-2007 u 6.1 fil-mija fl-ewwel kwart tal-2008.")</f>
        <v>Varsavja, speċjalment iċ-ċentru tal-belt tagħha (Śródmieście), hija d-dar mhux biss għal ħafna istituzzjonijiet nazzjonali u aġenziji tal-gvern, iżda wkoll għal ħafna kumpaniji domestiċi u internazzjonali. Fl-2006, 304,016 kumpanija ġew irreġistrati fil-belt. Il-komunità kummerċjali li dejjem qed tikber ta 'Varsavja ġiet innotata globalment, reġjonali u nazzjonalment. MasterCard Emerging Market Index innota s-saħħa ekonomika u ċ-ċentru kummerċjali ta 'Varsavja. Barra minn hekk, Varsavja kienet ikklassifikata bħala s-7 l-ikbar suq emerġenti. Il-parteċipazzjoni finanzjarja tal-investituri barranin fl-iżvilupp tal-belt kienet stmata fl-2002 għal aktar minn 650 miljun euro. Varsavja tipproduċi 12% tad-dħul nazzjonali tal-Polonja, li fl-2008 kien 305.1% tal-medja Pollakka, per capita (jew 160% tal-medja tal-Unjoni Ewropea). Il-PDG per capita f'Varsavja ammonta għal PLN 94 000 fl-2008 (c. EUR 23 800, USD 33 000). Il-PGD nominali totali tal-belt fl-2010 ammonta għal 191.766 biljun PLN, 111696 PLN per capita, li kien 301,1% tal-medja Pollakka. Varsavja tmexxi r-reġjun tal-Ewropa ċentrali tal-lvant fl-investiment barrani u fl-2006, it-tkabbir tal-PGD issodisfa l-aspettattivi b'livell ta '6.1%. Għandu wkoll waħda mill-ekonomiji li qed jikbru l-iktar malajr, bi tkabbir tal-PGD għal 6.5 fil-mija fl-2007 u 6.1 fil-mija fl-ewwel kwart tal-2008.</v>
      </c>
    </row>
    <row r="3389" ht="15.75" customHeight="1">
      <c r="A3389" s="2" t="s">
        <v>3389</v>
      </c>
      <c r="B3389" s="2" t="str">
        <f>IFERROR(__xludf.DUMMYFUNCTION("GOOGLETRANSLATE(A3389, ""en"", ""mt"")"),"Xi jfisser rapport taċ-Ċensiment tal-Istati Uniti li anke wara fatturi oħra għad hemm dan bejn il-qligħ tal-irġiel u n-nisa?")</f>
        <v>Xi jfisser rapport taċ-Ċensiment tal-Istati Uniti li anke wara fatturi oħra għad hemm dan bejn il-qligħ tal-irġiel u n-nisa?</v>
      </c>
    </row>
    <row r="3390" ht="15.75" customHeight="1">
      <c r="A3390" s="2" t="s">
        <v>3390</v>
      </c>
      <c r="B3390" s="2" t="str">
        <f>IFERROR(__xludf.DUMMYFUNCTION("GOOGLETRANSLATE(A3390, ""en"", ""mt"")"),"il-ġarr tal-kanali bażiċi rispettivi tagħhom")</f>
        <v>il-ġarr tal-kanali bażiċi rispettivi tagħhom</v>
      </c>
    </row>
    <row r="3391" ht="15.75" customHeight="1">
      <c r="A3391" s="2" t="s">
        <v>3391</v>
      </c>
      <c r="B3391" s="2" t="str">
        <f>IFERROR(__xludf.DUMMYFUNCTION("GOOGLETRANSLATE(A3391, ""en"", ""mt"")"),"Kull membru tal-gvern Skoċċiż")</f>
        <v>Kull membru tal-gvern Skoċċiż</v>
      </c>
    </row>
    <row r="3392" ht="15.75" customHeight="1">
      <c r="A3392" s="2" t="s">
        <v>3392</v>
      </c>
      <c r="B3392" s="2" t="str">
        <f>IFERROR(__xludf.DUMMYFUNCTION("GOOGLETRANSLATE(A3392, ""en"", ""mt"")"),"Ħafna speċi huma ermafroditi")</f>
        <v>Ħafna speċi huma ermafroditi</v>
      </c>
    </row>
    <row r="3393" ht="15.75" customHeight="1">
      <c r="A3393" s="2" t="s">
        <v>3393</v>
      </c>
      <c r="B3393" s="2" t="str">
        <f>IFERROR(__xludf.DUMMYFUNCTION("GOOGLETRANSLATE(A3393, ""en"", ""mt"")"),"Il-Pechenegs, il-Bulgars, u speċjalment it-Torok Seljuk")</f>
        <v>Il-Pechenegs, il-Bulgars, u speċjalment it-Torok Seljuk</v>
      </c>
    </row>
    <row r="3394" ht="15.75" customHeight="1">
      <c r="A3394" s="2" t="s">
        <v>3394</v>
      </c>
      <c r="B3394" s="2" t="str">
        <f>IFERROR(__xludf.DUMMYFUNCTION("GOOGLETRANSLATE(A3394, ""en"", ""mt"")"),"il-liġi dwar ir-reazzjoni ta 'azzjoni")</f>
        <v>il-liġi dwar ir-reazzjoni ta 'azzjoni</v>
      </c>
    </row>
    <row r="3395" ht="15.75" customHeight="1">
      <c r="A3395" s="2" t="s">
        <v>3395</v>
      </c>
      <c r="B3395" s="2" t="str">
        <f>IFERROR(__xludf.DUMMYFUNCTION("GOOGLETRANSLATE(A3395, ""en"", ""mt"")"),"Ammont kbir minnu")</f>
        <v>Ammont kbir minnu</v>
      </c>
    </row>
    <row r="3396" ht="15.75" customHeight="1">
      <c r="A3396" s="2" t="s">
        <v>3396</v>
      </c>
      <c r="B3396" s="2" t="str">
        <f>IFERROR(__xludf.DUMMYFUNCTION("GOOGLETRANSLATE(A3396, ""en"", ""mt"")"),"Dak li għamel lill-istudent jiddeċiedi li jokkupa l-uffiċċju tal-president bħala protesta?")</f>
        <v>Dak li għamel lill-istudent jiddeċiedi li jokkupa l-uffiċċju tal-president bħala protesta?</v>
      </c>
    </row>
    <row r="3397" ht="15.75" customHeight="1">
      <c r="A3397" s="2" t="s">
        <v>3397</v>
      </c>
      <c r="B3397" s="2" t="str">
        <f>IFERROR(__xludf.DUMMYFUNCTION("GOOGLETRANSLATE(A3397, ""en"", ""mt"")"),"tropikali niedja")</f>
        <v>tropikali niedja</v>
      </c>
    </row>
    <row r="3398" ht="15.75" customHeight="1">
      <c r="A3398" s="2" t="s">
        <v>3398</v>
      </c>
      <c r="B3398" s="2" t="str">
        <f>IFERROR(__xludf.DUMMYFUNCTION("GOOGLETRANSLATE(A3398, ""en"", ""mt"")"),"Id-difiża tal-Panthers ċediet biss 308 punt, ikklassifikat is-sitt post fil-kampjonat, filwaqt li wasslet ukoll lill-NFL fl-interċezzjonijiet ma '24 u tiftaħar erba 'selezzjonijiet ta' Pro Bowl. L-indirizz difensiv ta 'Pro Bowl Kawann Short mexxa lit-tim "&amp;"f'boroż bi 11, filwaqt li ġiegħel ukoll tliet fumbles u rkupra tnejn. Sieħbu lineman Mario Addison żied 6½ xkejjer. Il-Panthers Line kienet tidher ukoll it-tmiem difensiv veteran Jared Allen, 5-time Pro Bowler li kien il-mexxej tal-karriera attiva tal-NFL"&amp;" bi 136, flimkien mat-tmiem difensiv ta ’Kony Ealy, li kellu 5 xkejjer f’9 li jibda biss. Warajhom, tnejn mill-Panthers ġew magħżula wkoll tliet linebackers tal-bidu biex jilagħbu fil-Pro Bowl: Thomas Davis u Luke Kuechly. Davis ġabru 5½ xkejjer, erba 'fu"&amp;"mbles sfurzati, u erba' interċezzjonijiet, filwaqt li Kuechly mexxa lit-tim f'attakk (118) ġiegħel żewġ fumbles, u interċetta erba 'passes tiegħu stess. Is-sekondarja ta ’Carolina kienet tidher Pro Bowl Safety Kurt Coleman, li mexxa lit-tim b’seba’ interċ"&amp;"ezzjonijiet tal-karriera għolja, filwaqt li wkoll racking 88 indirizz u l-kantuniera ta ’Pro Bowl Josh Norman, li żviluppa f’kantuniera ta’ għeluq matul l-istaġun u kellu erba ’interċezzjonijiet, tnejn ġew mibgħuta lura għall-illandjar.")</f>
        <v>Id-difiża tal-Panthers ċediet biss 308 punt, ikklassifikat is-sitt post fil-kampjonat, filwaqt li wasslet ukoll lill-NFL fl-interċezzjonijiet ma '24 u tiftaħar erba 'selezzjonijiet ta' Pro Bowl. L-indirizz difensiv ta 'Pro Bowl Kawann Short mexxa lit-tim f'boroż bi 11, filwaqt li ġiegħel ukoll tliet fumbles u rkupra tnejn. Sieħbu lineman Mario Addison żied 6½ xkejjer. Il-Panthers Line kienet tidher ukoll it-tmiem difensiv veteran Jared Allen, 5-time Pro Bowler li kien il-mexxej tal-karriera attiva tal-NFL bi 136, flimkien mat-tmiem difensiv ta ’Kony Ealy, li kellu 5 xkejjer f’9 li jibda biss. Warajhom, tnejn mill-Panthers ġew magħżula wkoll tliet linebackers tal-bidu biex jilagħbu fil-Pro Bowl: Thomas Davis u Luke Kuechly. Davis ġabru 5½ xkejjer, erba 'fumbles sfurzati, u erba' interċezzjonijiet, filwaqt li Kuechly mexxa lit-tim f'attakk (118) ġiegħel żewġ fumbles, u interċetta erba 'passes tiegħu stess. Is-sekondarja ta ’Carolina kienet tidher Pro Bowl Safety Kurt Coleman, li mexxa lit-tim b’seba’ interċezzjonijiet tal-karriera għolja, filwaqt li wkoll racking 88 indirizz u l-kantuniera ta ’Pro Bowl Josh Norman, li żviluppa f’kantuniera ta’ għeluq matul l-istaġun u kellu erba ’interċezzjonijiet, tnejn ġew mibgħuta lura għall-illandjar.</v>
      </c>
    </row>
    <row r="3399" ht="15.75" customHeight="1">
      <c r="A3399" s="2" t="s">
        <v>3399</v>
      </c>
      <c r="B3399" s="2" t="str">
        <f>IFERROR(__xludf.DUMMYFUNCTION("GOOGLETRANSLATE(A3399, ""en"", ""mt"")"),"kowċ")</f>
        <v>kowċ</v>
      </c>
    </row>
    <row r="3400" ht="15.75" customHeight="1">
      <c r="A3400" s="2" t="s">
        <v>3400</v>
      </c>
      <c r="B3400" s="2" t="str">
        <f>IFERROR(__xludf.DUMMYFUNCTION("GOOGLETRANSLATE(A3400, ""en"", ""mt"")"),"Fl-1973, Nixon issemma William E. Simon bħala l-ewwel amministratur tal-Uffiċċju Federali tal-Enerġija, organizzazzjoni għal żmien qasir maħluqa biex tikkoordina r-rispons għall-embargo. Simon alloka jiddikjara l-istess ammont ta 'żejt domestiku għall-197"&amp;"4 li kull wieħed kien ikkunsma fl-1972, li ħadem għal stati li l-popolazzjonijiet tagħhom ma kinux qed jiżdiedu. Fi stati oħra, il-linji fl-istazzjonijiet tal-petrol kienu komuni. L-Assoċjazzjoni Amerikana tal-Karozzi rrappurtat li fl-aħħar ġimgħa ta ’Fra"&amp;"r 1974, 20% tal-istazzjonijiet tal-petrol Amerikani ma kellhomx fjuwil.")</f>
        <v>Fl-1973, Nixon issemma William E. Simon bħala l-ewwel amministratur tal-Uffiċċju Federali tal-Enerġija, organizzazzjoni għal żmien qasir maħluqa biex tikkoordina r-rispons għall-embargo. Simon alloka jiddikjara l-istess ammont ta 'żejt domestiku għall-1974 li kull wieħed kien ikkunsma fl-1972, li ħadem għal stati li l-popolazzjonijiet tagħhom ma kinux qed jiżdiedu. Fi stati oħra, il-linji fl-istazzjonijiet tal-petrol kienu komuni. L-Assoċjazzjoni Amerikana tal-Karozzi rrappurtat li fl-aħħar ġimgħa ta ’Frar 1974, 20% tal-istazzjonijiet tal-petrol Amerikani ma kellhomx fjuwil.</v>
      </c>
    </row>
    <row r="3401" ht="15.75" customHeight="1">
      <c r="A3401" s="2" t="s">
        <v>3401</v>
      </c>
      <c r="B3401" s="2" t="str">
        <f>IFERROR(__xludf.DUMMYFUNCTION("GOOGLETRANSLATE(A3401, ""en"", ""mt"")"),"Kumpanija Olandiża tal-Indja tal-Lvant")</f>
        <v>Kumpanija Olandiża tal-Indja tal-Lvant</v>
      </c>
    </row>
    <row r="3402" ht="15.75" customHeight="1">
      <c r="A3402" s="2" t="s">
        <v>3402</v>
      </c>
      <c r="B3402" s="2" t="str">
        <f>IFERROR(__xludf.DUMMYFUNCTION("GOOGLETRANSLATE(A3402, ""en"", ""mt"")"),"Kemm kien okkupat Varsavja mill-Ġermanja?")</f>
        <v>Kemm kien okkupat Varsavja mill-Ġermanja?</v>
      </c>
    </row>
    <row r="3403" ht="15.75" customHeight="1">
      <c r="A3403" s="2" t="s">
        <v>3403</v>
      </c>
      <c r="B3403" s="2" t="str">
        <f>IFERROR(__xludf.DUMMYFUNCTION("GOOGLETRANSLATE(A3403, ""en"", ""mt"")"),"Fejn intwera li għandu prevalenza ta '0.3% ta' abbuż sesswali minn professjonisti?")</f>
        <v>Fejn intwera li għandu prevalenza ta '0.3% ta' abbuż sesswali minn professjonisti?</v>
      </c>
    </row>
    <row r="3404" ht="15.75" customHeight="1">
      <c r="A3404" s="2" t="s">
        <v>3404</v>
      </c>
      <c r="B3404" s="2" t="str">
        <f>IFERROR(__xludf.DUMMYFUNCTION("GOOGLETRANSLATE(A3404, ""en"", ""mt"")"),"Il-kategorija l-oħra ta 'skejjel huma dawk immexxija u parzjalment jew kompletament iffinanzjati minn individwi privati, organizzazzjonijiet privati ​​u gruppi reliġjużi. Dawk li jaċċettaw fondi tal-gvern huma msejħa skejjel 'megħjuna'. L-iskejjel privati"&amp;" ​​'mhux megħjuna' huma ffinanzjati bis-sħiħ minn partijiet privati. L-istandard u l-kwalità tal-edukazzjoni huma pjuttost għoljin. Teknikament, dawn jiġu kklassifikati bħala skejjel privati, iżda ħafna minnhom għandhom l-isem ""skola pubblika"" mehmuża m"&amp;"agħhom, e.g., l-Iskola Pubblika Galaxy f'Katmandu. Ħafna mill-familji tal-klassi tan-nofs jibagħtu lil uliedhom fi skejjel bħal dawn, li jistgħu jkunu fil-belt tagħhom stess jew 'il bogħod, bħall-iskejjel tal-imbarkazzjoni. Il-mezz ta 'edukazzjoni huwa l-"&amp;"Ingliż, iżda bħala suġġett obbligatorju, in-Nepali u / jew il-lingwa uffiċjali tal-istat huwa mgħallem ukoll. L-edukazzjoni qabel l-iskola hija l-aktar limitata għal skejjel organizzati tal-viċinat tal-viċinat.")</f>
        <v>Il-kategorija l-oħra ta 'skejjel huma dawk immexxija u parzjalment jew kompletament iffinanzjati minn individwi privati, organizzazzjonijiet privati ​​u gruppi reliġjużi. Dawk li jaċċettaw fondi tal-gvern huma msejħa skejjel 'megħjuna'. L-iskejjel privati ​​'mhux megħjuna' huma ffinanzjati bis-sħiħ minn partijiet privati. L-istandard u l-kwalità tal-edukazzjoni huma pjuttost għoljin. Teknikament, dawn jiġu kklassifikati bħala skejjel privati, iżda ħafna minnhom għandhom l-isem "skola pubblika" mehmuża magħhom, e.g., l-Iskola Pubblika Galaxy f'Katmandu. Ħafna mill-familji tal-klassi tan-nofs jibagħtu lil uliedhom fi skejjel bħal dawn, li jistgħu jkunu fil-belt tagħhom stess jew 'il bogħod, bħall-iskejjel tal-imbarkazzjoni. Il-mezz ta 'edukazzjoni huwa l-Ingliż, iżda bħala suġġett obbligatorju, in-Nepali u / jew il-lingwa uffiċjali tal-istat huwa mgħallem ukoll. L-edukazzjoni qabel l-iskola hija l-aktar limitata għal skejjel organizzati tal-viċinat tal-viċinat.</v>
      </c>
    </row>
    <row r="3405" ht="15.75" customHeight="1">
      <c r="A3405" s="2" t="s">
        <v>3405</v>
      </c>
      <c r="B3405" s="2" t="str">
        <f>IFERROR(__xludf.DUMMYFUNCTION("GOOGLETRANSLATE(A3405, ""en"", ""mt"")"),"X'beda l-ewwel gwerra bħala li kienet bejniethom?")</f>
        <v>X'beda l-ewwel gwerra bħala li kienet bejniethom?</v>
      </c>
    </row>
    <row r="3406" ht="15.75" customHeight="1">
      <c r="A3406" s="2" t="s">
        <v>3406</v>
      </c>
      <c r="B3406" s="2" t="str">
        <f>IFERROR(__xludf.DUMMYFUNCTION("GOOGLETRANSLATE(A3406, ""en"", ""mt"")"),"Kif irrispondew il-mexxejja tal-belt ta 'Bukhara?")</f>
        <v>Kif irrispondew il-mexxejja tal-belt ta 'Bukhara?</v>
      </c>
    </row>
    <row r="3407" ht="15.75" customHeight="1">
      <c r="A3407" s="2" t="s">
        <v>3407</v>
      </c>
      <c r="B3407" s="2" t="str">
        <f>IFERROR(__xludf.DUMMYFUNCTION("GOOGLETRANSLATE(A3407, ""en"", ""mt"")"),"Ħafna ċelloli tat-tumur għandhom inqas minn liema tip ta 'molekula fuq wiċċhom?")</f>
        <v>Ħafna ċelloli tat-tumur għandhom inqas minn liema tip ta 'molekula fuq wiċċhom?</v>
      </c>
    </row>
    <row r="3408" ht="15.75" customHeight="1">
      <c r="A3408" s="2" t="s">
        <v>3408</v>
      </c>
      <c r="B3408" s="2" t="str">
        <f>IFERROR(__xludf.DUMMYFUNCTION("GOOGLETRANSLATE(A3408, ""en"", ""mt"")"),"Eżempju modern ta 'dixxiplina tal-iskola fl-Amerika ta' Fuq u fl-Ewropa tal-Punent jiddependi fuq l-idea ta 'għalliem assertiv li huwa lest li jimponi r-rieda tagħhom fuq klassi. It-tisħiħ pożittiv huwa bbilanċjat bil-piena immedjata u ġusta għal imġieba "&amp;"ħażina u soda, fruntieri ċari jiddefinixxu dak li hu xieraq u mhux xieraq. L-għalliema huma mistennija jirrispettaw l-istudenti tagħhom; Sarcasm u tentattivi biex umiljaw lill-istudenti huma meqjusa bħala li jaqgħu barra minn dak li jikkostitwixxi dixxipl"&amp;"ina raġonevoli. [Verifika meħtieġa]")</f>
        <v>Eżempju modern ta 'dixxiplina tal-iskola fl-Amerika ta' Fuq u fl-Ewropa tal-Punent jiddependi fuq l-idea ta 'għalliem assertiv li huwa lest li jimponi r-rieda tagħhom fuq klassi. It-tisħiħ pożittiv huwa bbilanċjat bil-piena immedjata u ġusta għal imġieba ħażina u soda, fruntieri ċari jiddefinixxu dak li hu xieraq u mhux xieraq. L-għalliema huma mistennija jirrispettaw l-istudenti tagħhom; Sarcasm u tentattivi biex umiljaw lill-istudenti huma meqjusa bħala li jaqgħu barra minn dak li jikkostitwixxi dixxiplina raġonevoli. [Verifika meħtieġa]</v>
      </c>
    </row>
    <row r="3409" ht="15.75" customHeight="1">
      <c r="A3409" s="2" t="s">
        <v>3409</v>
      </c>
      <c r="B3409" s="2" t="str">
        <f>IFERROR(__xludf.DUMMYFUNCTION("GOOGLETRANSLATE(A3409, ""en"", ""mt"")"),"F'liema settur qed jibdew jiżdiedu l-impjiegi?")</f>
        <v>F'liema settur qed jibdew jiżdiedu l-impjiegi?</v>
      </c>
    </row>
    <row r="3410" ht="15.75" customHeight="1">
      <c r="A3410" s="2" t="s">
        <v>3410</v>
      </c>
      <c r="B3410" s="2" t="str">
        <f>IFERROR(__xludf.DUMMYFUNCTION("GOOGLETRANSLATE(A3410, ""en"", ""mt"")"),"Mill-ħolqien tal-karattru tad-Doctor Who mill-BBC Television fil-bidu tas-snin 1960, ġie ppubblikat numru kbir rumanzi, komiks, stejjer qosra, kotba awdjo, logħob tar-radju, logħob tal-kompjuter interattiv, kotba tal-logħob, webcasts, DVD extras, u saħans"&amp;"itra wirjiet tal-palk. F'dan ir-rigward ta 'min jinnota li l-BBC ma tieħu l-ebda pożizzjoni dwar il-kanoniċità ta' xi stejjer bħal dawn, u l-produtturi tal-ispettaklu esprimew id-diżgust għall-idea.")</f>
        <v>Mill-ħolqien tal-karattru tad-Doctor Who mill-BBC Television fil-bidu tas-snin 1960, ġie ppubblikat numru kbir rumanzi, komiks, stejjer qosra, kotba awdjo, logħob tar-radju, logħob tal-kompjuter interattiv, kotba tal-logħob, webcasts, DVD extras, u saħansitra wirjiet tal-palk. F'dan ir-rigward ta 'min jinnota li l-BBC ma tieħu l-ebda pożizzjoni dwar il-kanoniċità ta' xi stejjer bħal dawn, u l-produtturi tal-ispettaklu esprimew id-diżgust għall-idea.</v>
      </c>
    </row>
    <row r="3411" ht="15.75" customHeight="1">
      <c r="A3411" s="2" t="s">
        <v>3411</v>
      </c>
      <c r="B3411" s="2" t="str">
        <f>IFERROR(__xludf.DUMMYFUNCTION("GOOGLETRANSLATE(A3411, ""en"", ""mt"")"),"30 ° C.")</f>
        <v>30 ° C.</v>
      </c>
    </row>
    <row r="3412" ht="15.75" customHeight="1">
      <c r="A3412" s="2" t="s">
        <v>3412</v>
      </c>
      <c r="B3412" s="2" t="str">
        <f>IFERROR(__xludf.DUMMYFUNCTION("GOOGLETRANSLATE(A3412, ""en"", ""mt"")"),"ribosoma")</f>
        <v>ribosoma</v>
      </c>
    </row>
    <row r="3413" ht="15.75" customHeight="1">
      <c r="A3413" s="2" t="s">
        <v>3413</v>
      </c>
      <c r="B3413" s="2" t="str">
        <f>IFERROR(__xludf.DUMMYFUNCTION("GOOGLETRANSLATE(A3413, ""en"", ""mt"")"),"Ix-xita fil-baċin matul l-LGM kienet inqas milli għall-preżent")</f>
        <v>Ix-xita fil-baċin matul l-LGM kienet inqas milli għall-preżent</v>
      </c>
    </row>
    <row r="3414" ht="15.75" customHeight="1">
      <c r="A3414" s="2" t="s">
        <v>3414</v>
      </c>
      <c r="B3414" s="2" t="str">
        <f>IFERROR(__xludf.DUMMYFUNCTION("GOOGLETRANSLATE(A3414, ""en"", ""mt"")"),"£ 21,000")</f>
        <v>£ 21,000</v>
      </c>
    </row>
    <row r="3415" ht="15.75" customHeight="1">
      <c r="A3415" s="2" t="s">
        <v>3415</v>
      </c>
      <c r="B3415" s="2" t="str">
        <f>IFERROR(__xludf.DUMMYFUNCTION("GOOGLETRANSLATE(A3415, ""en"", ""mt"")"),"2.666 miljun")</f>
        <v>2.666 miljun</v>
      </c>
    </row>
    <row r="3416" ht="15.75" customHeight="1">
      <c r="A3416" s="2" t="s">
        <v>3416</v>
      </c>
      <c r="B3416" s="2" t="str">
        <f>IFERROR(__xludf.DUMMYFUNCTION("GOOGLETRANSLATE(A3416, ""en"", ""mt"")"),"X'tagħmel it-terapija bl-ossiġenu tippromwovi l-ġisem biex jieħu?")</f>
        <v>X'tagħmel it-terapija bl-ossiġenu tippromwovi l-ġisem biex jieħu?</v>
      </c>
    </row>
    <row r="3417" ht="15.75" customHeight="1">
      <c r="A3417" s="2" t="s">
        <v>3417</v>
      </c>
      <c r="B3417" s="2" t="str">
        <f>IFERROR(__xludf.DUMMYFUNCTION("GOOGLETRANSLATE(A3417, ""en"", ""mt"")"),"Min normalment jagħti struzzjonijiet lill-membri kif jivvutaw?")</f>
        <v>Min normalment jagħti struzzjonijiet lill-membri kif jivvutaw?</v>
      </c>
    </row>
    <row r="3418" ht="15.75" customHeight="1">
      <c r="A3418" s="2" t="s">
        <v>3418</v>
      </c>
      <c r="B3418" s="2" t="str">
        <f>IFERROR(__xludf.DUMMYFUNCTION("GOOGLETRANSLATE(A3418, ""en"", ""mt"")"),"inkapaċitazzjoni")</f>
        <v>inkapaċitazzjoni</v>
      </c>
    </row>
    <row r="3419" ht="15.75" customHeight="1">
      <c r="A3419" s="2" t="s">
        <v>3419</v>
      </c>
      <c r="B3419" s="2" t="str">
        <f>IFERROR(__xludf.DUMMYFUNCTION("GOOGLETRANSLATE(A3419, ""en"", ""mt"")"),"X'inhu li jipprovdi netwerks ta 'appoġġ meqjusa bħala?")</f>
        <v>X'inhu li jipprovdi netwerks ta 'appoġġ meqjusa bħala?</v>
      </c>
    </row>
    <row r="3420" ht="15.75" customHeight="1">
      <c r="A3420" s="2" t="s">
        <v>3420</v>
      </c>
      <c r="B3420" s="2" t="str">
        <f>IFERROR(__xludf.DUMMYFUNCTION("GOOGLETRANSLATE(A3420, ""en"", ""mt"")"),"Dioxygen")</f>
        <v>Dioxygen</v>
      </c>
    </row>
    <row r="3421" ht="15.75" customHeight="1">
      <c r="A3421" s="2" t="s">
        <v>3421</v>
      </c>
      <c r="B3421" s="2" t="str">
        <f>IFERROR(__xludf.DUMMYFUNCTION("GOOGLETRANSLATE(A3421, ""en"", ""mt"")"),"ABC sar kompetitur aggressiv għal NBC u CBS meta, kontinwa t-tradizzjonijiet tas-servizz pubbliku tal-NBC Blue, xandar wirjiet sinfoniċi mmexxija minn Paul Whiteman, wirjiet mill-opra metropolitana, u kunċerti tal-jazz imxandra bħala parti mix-xandira tas"&amp;"-Soċjetà tal-Mużika tal-Kamra tagħha ta 'Lower Triq il-Baċin imħabbra minn Milton Cross. In-netwerk sar magħruf ukoll għal drammi suspenseful bħal Sherlock Holmes, Gang Busters u Counterspy, kif ukoll għal diversi programmi orjentati lejn iż-żgħażagħ ta '"&amp;"nofsinhar. Madankollu, ABC għamel isem għalih innifsu billi uża l-prattika ta 'kontroprogrammazzjoni, li magħha ħafna drabi poġġa wirjiet tagħha stess kontra l-offerti ta' NBC u CBS, billi adotta l-użu tat-tape recorder tal-manjetofon, miġjub fl-Istati Un"&amp;"iti mill-Ġermanja Nażista wara konkwista, biex tirrekordja minn qabel l-ipprogrammar tagħha. Bl-għajnuna tal-manjetofon, ABC irnexxielu jipprovdi l-istilel tiegħu b'ħin akbar f'termini ta 'żmien, u jattira wkoll diversi ismijiet kbar, bħal Bing Crosby fi "&amp;"żmien meta NBC u CBS ma ppermettewx wirjiet ta' qabel it-taped.")</f>
        <v>ABC sar kompetitur aggressiv għal NBC u CBS meta, kontinwa t-tradizzjonijiet tas-servizz pubbliku tal-NBC Blue, xandar wirjiet sinfoniċi mmexxija minn Paul Whiteman, wirjiet mill-opra metropolitana, u kunċerti tal-jazz imxandra bħala parti mix-xandira tas-Soċjetà tal-Mużika tal-Kamra tagħha ta 'Lower Triq il-Baċin imħabbra minn Milton Cross. In-netwerk sar magħruf ukoll għal drammi suspenseful bħal Sherlock Holmes, Gang Busters u Counterspy, kif ukoll għal diversi programmi orjentati lejn iż-żgħażagħ ta 'nofsinhar. Madankollu, ABC għamel isem għalih innifsu billi uża l-prattika ta 'kontroprogrammazzjoni, li magħha ħafna drabi poġġa wirjiet tagħha stess kontra l-offerti ta' NBC u CBS, billi adotta l-użu tat-tape recorder tal-manjetofon, miġjub fl-Istati Uniti mill-Ġermanja Nażista wara konkwista, biex tirrekordja minn qabel l-ipprogrammar tagħha. Bl-għajnuna tal-manjetofon, ABC irnexxielu jipprovdi l-istilel tiegħu b'ħin akbar f'termini ta 'żmien, u jattira wkoll diversi ismijiet kbar, bħal Bing Crosby fi żmien meta NBC u CBS ma ppermettewx wirjiet ta' qabel it-taped.</v>
      </c>
    </row>
    <row r="3422" ht="15.75" customHeight="1">
      <c r="A3422" s="2" t="s">
        <v>3422</v>
      </c>
      <c r="B3422" s="2" t="str">
        <f>IFERROR(__xludf.DUMMYFUNCTION("GOOGLETRANSLATE(A3422, ""en"", ""mt"")"),"jaqbad tliet negozjanti u joqtol 14-il persuna")</f>
        <v>jaqbad tliet negozjanti u joqtol 14-il persuna</v>
      </c>
    </row>
    <row r="3423" ht="15.75" customHeight="1">
      <c r="A3423" s="2" t="s">
        <v>3423</v>
      </c>
      <c r="B3423" s="2" t="str">
        <f>IFERROR(__xludf.DUMMYFUNCTION("GOOGLETRANSLATE(A3423, ""en"", ""mt"")"),"X'għandu l-Istat Olivier Roy li għadda minn bidla notevoli fit-tieni nofs tas-seklu 20?")</f>
        <v>X'għandu l-Istat Olivier Roy li għadda minn bidla notevoli fit-tieni nofs tas-seklu 20?</v>
      </c>
    </row>
    <row r="3424" ht="15.75" customHeight="1">
      <c r="A3424" s="2" t="s">
        <v>3424</v>
      </c>
      <c r="B3424" s="2" t="str">
        <f>IFERROR(__xludf.DUMMYFUNCTION("GOOGLETRANSLATE(A3424, ""en"", ""mt"")"),"L-Isqof qara l-appuntamenti fis-sessjoni tal-Konferenza Annwali")</f>
        <v>L-Isqof qara l-appuntamenti fis-sessjoni tal-Konferenza Annwali</v>
      </c>
    </row>
    <row r="3425" ht="15.75" customHeight="1">
      <c r="A3425" s="2" t="s">
        <v>3425</v>
      </c>
      <c r="B3425" s="2" t="str">
        <f>IFERROR(__xludf.DUMMYFUNCTION("GOOGLETRANSLATE(A3425, ""en"", ""mt"")"),"Livell tal-ilma")</f>
        <v>Livell tal-ilma</v>
      </c>
    </row>
    <row r="3426" ht="15.75" customHeight="1">
      <c r="A3426" s="2" t="s">
        <v>3426</v>
      </c>
      <c r="B3426" s="2" t="str">
        <f>IFERROR(__xludf.DUMMYFUNCTION("GOOGLETRANSLATE(A3426, ""en"", ""mt"")"),"Iz-zijiet ta ’Tesla")</f>
        <v>Iz-zijiet ta ’Tesla</v>
      </c>
    </row>
    <row r="3427" ht="15.75" customHeight="1">
      <c r="A3427" s="2" t="s">
        <v>3427</v>
      </c>
      <c r="B3427" s="2" t="str">
        <f>IFERROR(__xludf.DUMMYFUNCTION("GOOGLETRANSLATE(A3427, ""en"", ""mt"")"),"l-iktar abbundanti")</f>
        <v>l-iktar abbundanti</v>
      </c>
    </row>
    <row r="3428" ht="15.75" customHeight="1">
      <c r="A3428" s="2" t="s">
        <v>3428</v>
      </c>
      <c r="B3428" s="2" t="str">
        <f>IFERROR(__xludf.DUMMYFUNCTION("GOOGLETRANSLATE(A3428, ""en"", ""mt"")"),"X'tista 'jestendi l-Att tal-Iskozja tal-2012?")</f>
        <v>X'tista 'jestendi l-Att tal-Iskozja tal-2012?</v>
      </c>
    </row>
    <row r="3429" ht="15.75" customHeight="1">
      <c r="A3429" s="2" t="s">
        <v>3429</v>
      </c>
      <c r="B3429" s="2" t="str">
        <f>IFERROR(__xludf.DUMMYFUNCTION("GOOGLETRANSLATE(A3429, ""en"", ""mt"")"),"Fresno għandu tliet parks pubbliċi kbar, tnejn fil-limiti tal-belt u wieħed fl-art tal-kontea lejn il-Lbiċ. Woodward Park, li fih il-Ġonna Ġappuniżi Shinzen, bosta żoni tal-pikniks u diversi mili ta ’traċċi, jinsab fit-Tramuntana ta’ Fresno u jinsab biswi"&amp;"t il-Parkway tax-Xmara San Joaquin. Roeding Park, qrib id-downtown Fresno, huwa d-dar taż-Żoo ta 'Fresno Chaffee, u Storyland u Playland Rotary. Kearney Park hija l-ikbar sistema tal-park tar-reġjun ta 'Fresno u hija d-dar ta' Kearney Mansion storika u ti"&amp;"lgħab li l-Gwerra Ċivili riveduta annwali, l-akbar mill-ġdid mill-ġdid tal-gwerra ċivili fil-kosta tal-punent ta 'l-Istati Uniti ta' l-Istati Uniti ta 'l-Istati Uniti ta' l-Istati Uniti ta 'l-Istati Uniti ta' l-Istati Uniti.")</f>
        <v>Fresno għandu tliet parks pubbliċi kbar, tnejn fil-limiti tal-belt u wieħed fl-art tal-kontea lejn il-Lbiċ. Woodward Park, li fih il-Ġonna Ġappuniżi Shinzen, bosta żoni tal-pikniks u diversi mili ta ’traċċi, jinsab fit-Tramuntana ta’ Fresno u jinsab biswit il-Parkway tax-Xmara San Joaquin. Roeding Park, qrib id-downtown Fresno, huwa d-dar taż-Żoo ta 'Fresno Chaffee, u Storyland u Playland Rotary. Kearney Park hija l-ikbar sistema tal-park tar-reġjun ta 'Fresno u hija d-dar ta' Kearney Mansion storika u tilgħab li l-Gwerra Ċivili riveduta annwali, l-akbar mill-ġdid mill-ġdid tal-gwerra ċivili fil-kosta tal-punent ta 'l-Istati Uniti ta' l-Istati Uniti ta 'l-Istati Uniti ta' l-Istati Uniti ta 'l-Istati Uniti ta' l-Istati Uniti.</v>
      </c>
    </row>
    <row r="3430" ht="15.75" customHeight="1">
      <c r="A3430" s="2" t="s">
        <v>3430</v>
      </c>
      <c r="B3430" s="2" t="str">
        <f>IFERROR(__xludf.DUMMYFUNCTION("GOOGLETRANSLATE(A3430, ""en"", ""mt"")"),"skart tossiku")</f>
        <v>skart tossiku</v>
      </c>
    </row>
    <row r="3431" ht="15.75" customHeight="1">
      <c r="A3431" s="2" t="s">
        <v>3431</v>
      </c>
      <c r="B3431" s="2" t="str">
        <f>IFERROR(__xludf.DUMMYFUNCTION("GOOGLETRANSLATE(A3431, ""en"", ""mt"")"),"X'inhi s-sistema immunitarja ta 'l-imħuħ magħrufa bħala?")</f>
        <v>X'inhi s-sistema immunitarja ta 'l-imħuħ magħrufa bħala?</v>
      </c>
    </row>
    <row r="3432" ht="15.75" customHeight="1">
      <c r="A3432" s="2" t="s">
        <v>3432</v>
      </c>
      <c r="B3432" s="2" t="str">
        <f>IFERROR(__xludf.DUMMYFUNCTION("GOOGLETRANSLATE(A3432, ""en"", ""mt"")"),"Liema metodu jintuża biex jivvaluta jew jikkwantifika b'mod intuwittiv l-ammont ta 'riżorsi meħtieġa biex issolvi problema tal-komputazzjoni?")</f>
        <v>Liema metodu jintuża biex jivvaluta jew jikkwantifika b'mod intuwittiv l-ammont ta 'riżorsi meħtieġa biex issolvi problema tal-komputazzjoni?</v>
      </c>
    </row>
    <row r="3433" ht="15.75" customHeight="1">
      <c r="A3433" s="2" t="s">
        <v>3433</v>
      </c>
      <c r="B3433" s="2" t="str">
        <f>IFERROR(__xludf.DUMMYFUNCTION("GOOGLETRANSLATE(A3433, ""en"", ""mt"")"),"X’kisja Luther li l-knisja kienet se tinkludi jekk il-liġi ma kinitx mgħallma?")</f>
        <v>X’kisja Luther li l-knisja kienet se tinkludi jekk il-liġi ma kinitx mgħallma?</v>
      </c>
    </row>
    <row r="3434" ht="15.75" customHeight="1">
      <c r="A3434" s="2" t="s">
        <v>3434</v>
      </c>
      <c r="B3434" s="2" t="str">
        <f>IFERROR(__xludf.DUMMYFUNCTION("GOOGLETRANSLATE(A3434, ""en"", ""mt"")"),"Fil-Kap tat-Tama t-Tajba")</f>
        <v>Fil-Kap tat-Tama t-Tajba</v>
      </c>
    </row>
    <row r="3435" ht="15.75" customHeight="1">
      <c r="A3435" s="2" t="s">
        <v>3435</v>
      </c>
      <c r="B3435" s="2" t="str">
        <f>IFERROR(__xludf.DUMMYFUNCTION("GOOGLETRANSLATE(A3435, ""en"", ""mt"")"),"Liema dixxendenti ta 'Genghis Khan ippruvaw jiddisassoċjaw ruħhom mill-massakri tal-Mongolja fil-Lvant Nofsani?")</f>
        <v>Liema dixxendenti ta 'Genghis Khan ippruvaw jiddisassoċjaw ruħhom mill-massakri tal-Mongolja fil-Lvant Nofsani?</v>
      </c>
    </row>
    <row r="3436" ht="15.75" customHeight="1">
      <c r="A3436" s="2" t="s">
        <v>3436</v>
      </c>
      <c r="B3436" s="2" t="str">
        <f>IFERROR(__xludf.DUMMYFUNCTION("GOOGLETRANSLATE(A3436, ""en"", ""mt"")"),"X'inhuma l-aġenti li s-sistema immunitarja tiskopri magħrufa bħala?")</f>
        <v>X'inhuma l-aġenti li s-sistema immunitarja tiskopri magħrufa bħala?</v>
      </c>
    </row>
    <row r="3437" ht="15.75" customHeight="1">
      <c r="A3437" s="2" t="s">
        <v>3437</v>
      </c>
      <c r="B3437" s="2" t="str">
        <f>IFERROR(__xludf.DUMMYFUNCTION("GOOGLETRANSLATE(A3437, ""en"", ""mt"")"),"Kemm hija twila l-pjanura tar-Renu ta 'Fuq?")</f>
        <v>Kemm hija twila l-pjanura tar-Renu ta 'Fuq?</v>
      </c>
    </row>
    <row r="3438" ht="15.75" customHeight="1">
      <c r="A3438" s="2" t="s">
        <v>3438</v>
      </c>
      <c r="B3438" s="2" t="str">
        <f>IFERROR(__xludf.DUMMYFUNCTION("GOOGLETRANSLATE(A3438, ""en"", ""mt"")"),"In-numru ta 'servizzi soċjali li n-nies jistgħu jaċċessaw kull fejn jimxu")</f>
        <v>In-numru ta 'servizzi soċjali li n-nies jistgħu jaċċessaw kull fejn jimxu</v>
      </c>
    </row>
    <row r="3439" ht="15.75" customHeight="1">
      <c r="A3439" s="2" t="s">
        <v>3439</v>
      </c>
      <c r="B3439" s="2" t="str">
        <f>IFERROR(__xludf.DUMMYFUNCTION("GOOGLETRANSLATE(A3439, ""en"", ""mt"")"),"State Mughal")</f>
        <v>State Mughal</v>
      </c>
    </row>
    <row r="3440" ht="15.75" customHeight="1">
      <c r="A3440" s="2" t="s">
        <v>3440</v>
      </c>
      <c r="B3440" s="2" t="str">
        <f>IFERROR(__xludf.DUMMYFUNCTION("GOOGLETRANSLATE(A3440, ""en"", ""mt"")"),"Kumpanija Brittanika tat-Telekomunikazzjoni")</f>
        <v>Kumpanija Brittanika tat-Telekomunikazzjoni</v>
      </c>
    </row>
    <row r="3441" ht="15.75" customHeight="1">
      <c r="A3441" s="2" t="s">
        <v>3441</v>
      </c>
      <c r="B3441" s="2" t="str">
        <f>IFERROR(__xludf.DUMMYFUNCTION("GOOGLETRANSLATE(A3441, ""en"", ""mt"")"),"Min jiddeċiedi dwar il-kurrikuli li huwa konsistenti u standard?")</f>
        <v>Min jiddeċiedi dwar il-kurrikuli li huwa konsistenti u standard?</v>
      </c>
    </row>
    <row r="3442" ht="15.75" customHeight="1">
      <c r="A3442" s="2" t="s">
        <v>3442</v>
      </c>
      <c r="B3442" s="2" t="str">
        <f>IFERROR(__xludf.DUMMYFUNCTION("GOOGLETRANSLATE(A3442, ""en"", ""mt"")"),"F'Diċembru 1966, il-missjoni AS-205 ġiet ikkanċellata, peress li l-validazzjoni tas-CSM kienet se titwettaq fl-ewwel titjira ta '14 -il jum, u AS-205 kienet tkun iddedikata għall-esperimenti spazjali u ma tikkontribwixxi l-ebda għarfien ġdid ta 'inġinerij"&amp;"a dwar il-vettura spazjali. L-IB Saturn tagħha ġie allokat għall-missjoni doppja, issa ddisinjat mill-ġdid AS-205/208 jew AS-258, ippjanat għal Awwissu 1967. McDivitt, Scott u Schweickart ġew promossi għall-ekwipaġġ Prime AS-258, u Schirra, Eisele u Cunni"&amp;"ngham ġew assenjati mill-ġdid Bħala l-ekwipaġġ tal-backup Apollo 1.")</f>
        <v>F'Diċembru 1966, il-missjoni AS-205 ġiet ikkanċellata, peress li l-validazzjoni tas-CSM kienet se titwettaq fl-ewwel titjira ta '14 -il jum, u AS-205 kienet tkun iddedikata għall-esperimenti spazjali u ma tikkontribwixxi l-ebda għarfien ġdid ta 'inġinerija dwar il-vettura spazjali. L-IB Saturn tagħha ġie allokat għall-missjoni doppja, issa ddisinjat mill-ġdid AS-205/208 jew AS-258, ippjanat għal Awwissu 1967. McDivitt, Scott u Schweickart ġew promossi għall-ekwipaġġ Prime AS-258, u Schirra, Eisele u Cunningham ġew assenjati mill-ġdid Bħala l-ekwipaġġ tal-backup Apollo 1.</v>
      </c>
    </row>
    <row r="3443" ht="15.75" customHeight="1">
      <c r="A3443" s="2" t="s">
        <v>3443</v>
      </c>
      <c r="B3443" s="2" t="str">
        <f>IFERROR(__xludf.DUMMYFUNCTION("GOOGLETRANSLATE(A3443, ""en"", ""mt"")"),"Immaġni tar-raġġi X.")</f>
        <v>Immaġni tar-raġġi X.</v>
      </c>
    </row>
    <row r="3444" ht="15.75" customHeight="1">
      <c r="A3444" s="2" t="s">
        <v>3444</v>
      </c>
      <c r="B3444" s="2" t="str">
        <f>IFERROR(__xludf.DUMMYFUNCTION("GOOGLETRANSLATE(A3444, ""en"", ""mt"")"),"Liema kunċett iżomm it-tifsira tagħha kemm permezz tal-ekwazzjonijiet tal-fiżika Netonian kif ukoll ta 'Schrodinger?")</f>
        <v>Liema kunċett iżomm it-tifsira tagħha kemm permezz tal-ekwazzjonijiet tal-fiżika Netonian kif ukoll ta 'Schrodinger?</v>
      </c>
    </row>
    <row r="3445" ht="15.75" customHeight="1">
      <c r="A3445" s="2" t="s">
        <v>3445</v>
      </c>
      <c r="B3445" s="2" t="str">
        <f>IFERROR(__xludf.DUMMYFUNCTION("GOOGLETRANSLATE(A3445, ""en"", ""mt"")"),"Ibgħatlu l-aqwa skola tal-inġinerija jekk irkupra")</f>
        <v>Ibgħatlu l-aqwa skola tal-inġinerija jekk irkupra</v>
      </c>
    </row>
    <row r="3446" ht="15.75" customHeight="1">
      <c r="A3446" s="2" t="s">
        <v>3446</v>
      </c>
      <c r="B3446" s="2" t="str">
        <f>IFERROR(__xludf.DUMMYFUNCTION("GOOGLETRANSLATE(A3446, ""en"", ""mt"")"),"X’jmbisset il-kaxxa tas-sema +?")</f>
        <v>X’jmbisset il-kaxxa tas-sema +?</v>
      </c>
    </row>
    <row r="3447" ht="15.75" customHeight="1">
      <c r="A3447" s="2" t="s">
        <v>3447</v>
      </c>
      <c r="B3447" s="2" t="str">
        <f>IFERROR(__xludf.DUMMYFUNCTION("GOOGLETRANSLATE(A3447, ""en"", ""mt"")"),"Dawl")</f>
        <v>Dawl</v>
      </c>
    </row>
    <row r="3448" ht="15.75" customHeight="1">
      <c r="A3448" s="2" t="s">
        <v>3448</v>
      </c>
      <c r="B3448" s="2" t="str">
        <f>IFERROR(__xludf.DUMMYFUNCTION("GOOGLETRANSLATE(A3448, ""en"", ""mt"")"),"Ċiklu ta 'Calvin")</f>
        <v>Ċiklu ta 'Calvin</v>
      </c>
    </row>
    <row r="3449" ht="15.75" customHeight="1">
      <c r="A3449" s="2" t="s">
        <v>3449</v>
      </c>
      <c r="B3449" s="2" t="str">
        <f>IFERROR(__xludf.DUMMYFUNCTION("GOOGLETRANSLATE(A3449, ""en"", ""mt"")"),"Sakemm l-Isqof qara l-appuntamenti fis-sessjoni tal-Konferenza Annwali,")</f>
        <v>Sakemm l-Isqof qara l-appuntamenti fis-sessjoni tal-Konferenza Annwali,</v>
      </c>
    </row>
    <row r="3450" ht="15.75" customHeight="1">
      <c r="A3450" s="2" t="s">
        <v>3450</v>
      </c>
      <c r="B3450" s="2" t="str">
        <f>IFERROR(__xludf.DUMMYFUNCTION("GOOGLETRANSLATE(A3450, ""en"", ""mt"")"),"X'qed żdied biex ikun fattur fit-tagħlim illum?")</f>
        <v>X'qed żdied biex ikun fattur fit-tagħlim illum?</v>
      </c>
    </row>
    <row r="3451" ht="15.75" customHeight="1">
      <c r="A3451" s="2" t="s">
        <v>3451</v>
      </c>
      <c r="B3451" s="2" t="str">
        <f>IFERROR(__xludf.DUMMYFUNCTION("GOOGLETRANSLATE(A3451, ""en"", ""mt"")"),"Ma 'min għandu xi ħadd li jrid jgħallem jirreġistra?")</f>
        <v>Ma 'min għandu xi ħadd li jrid jgħallem jirreġistra?</v>
      </c>
    </row>
    <row r="3452" ht="15.75" customHeight="1">
      <c r="A3452" s="2" t="s">
        <v>3452</v>
      </c>
      <c r="B3452" s="2" t="str">
        <f>IFERROR(__xludf.DUMMYFUNCTION("GOOGLETRANSLATE(A3452, ""en"", ""mt"")"),"Mewt ta 'żewġ ħbieb")</f>
        <v>Mewt ta 'żewġ ħbieb</v>
      </c>
    </row>
    <row r="3453" ht="15.75" customHeight="1">
      <c r="A3453" s="2" t="s">
        <v>3453</v>
      </c>
      <c r="B3453" s="2" t="str">
        <f>IFERROR(__xludf.DUMMYFUNCTION("GOOGLETRANSLATE(A3453, ""en"", ""mt"")"),"l-iktar li tagħti Super Bowl li qatt kien hemm")</f>
        <v>l-iktar li tagħti Super Bowl li qatt kien hemm</v>
      </c>
    </row>
    <row r="3454" ht="15.75" customHeight="1">
      <c r="A3454" s="2" t="s">
        <v>3454</v>
      </c>
      <c r="B3454" s="2" t="str">
        <f>IFERROR(__xludf.DUMMYFUNCTION("GOOGLETRANSLATE(A3454, ""en"", ""mt"")"),"Videoguard UK")</f>
        <v>Videoguard UK</v>
      </c>
    </row>
    <row r="3455" ht="15.75" customHeight="1">
      <c r="A3455" s="2" t="s">
        <v>3455</v>
      </c>
      <c r="B3455" s="2" t="str">
        <f>IFERROR(__xludf.DUMMYFUNCTION("GOOGLETRANSLATE(A3455, ""en"", ""mt"")"),"sistema ta 'ħafna strutturi u proċessi bijoloġiċi")</f>
        <v>sistema ta 'ħafna strutturi u proċessi bijoloġiċi</v>
      </c>
    </row>
    <row r="3456" ht="15.75" customHeight="1">
      <c r="A3456" s="2" t="s">
        <v>3456</v>
      </c>
      <c r="B3456" s="2" t="str">
        <f>IFERROR(__xludf.DUMMYFUNCTION("GOOGLETRANSLATE(A3456, ""en"", ""mt"")"),"Kemm soundtracks Doctor Who ġew rilaxxati mill-2005?")</f>
        <v>Kemm soundtracks Doctor Who ġew rilaxxati mill-2005?</v>
      </c>
    </row>
    <row r="3457" ht="15.75" customHeight="1">
      <c r="A3457" s="2" t="s">
        <v>3457</v>
      </c>
      <c r="B3457" s="2" t="str">
        <f>IFERROR(__xludf.DUMMYFUNCTION("GOOGLETRANSLATE(A3457, ""en"", ""mt"")"),"aġenziji tal-gvern u kumpaniji kbar (l-aktar banek u linji tal-ajru) biex jibnu n-netwerks iddedikati tagħhom stess")</f>
        <v>aġenziji tal-gvern u kumpaniji kbar (l-aktar banek u linji tal-ajru) biex jibnu n-netwerks iddedikati tagħhom stess</v>
      </c>
    </row>
    <row r="3458" ht="15.75" customHeight="1">
      <c r="A3458" s="2" t="s">
        <v>3458</v>
      </c>
      <c r="B3458" s="2" t="str">
        <f>IFERROR(__xludf.DUMMYFUNCTION("GOOGLETRANSLATE(A3458, ""en"", ""mt"")"),"Maria Skłodowska-Curie Institute of Onkology")</f>
        <v>Maria Skłodowska-Curie Institute of Onkology</v>
      </c>
    </row>
    <row r="3459" ht="15.75" customHeight="1">
      <c r="A3459" s="2" t="s">
        <v>3459</v>
      </c>
      <c r="B3459" s="2" t="str">
        <f>IFERROR(__xludf.DUMMYFUNCTION("GOOGLETRANSLATE(A3459, ""en"", ""mt"")"),"Seklu 11")</f>
        <v>Seklu 11</v>
      </c>
    </row>
    <row r="3460" ht="15.75" customHeight="1">
      <c r="A3460" s="2" t="s">
        <v>3460</v>
      </c>
      <c r="B3460" s="2" t="str">
        <f>IFERROR(__xludf.DUMMYFUNCTION("GOOGLETRANSLATE(A3460, ""en"", ""mt"")"),"L-għalliem fl-istil tal-platoon huwa ġeneralment aktar _____?")</f>
        <v>L-għalliem fl-istil tal-platoon huwa ġeneralment aktar _____?</v>
      </c>
    </row>
    <row r="3461" ht="15.75" customHeight="1">
      <c r="A3461" s="2" t="s">
        <v>3461</v>
      </c>
      <c r="B3461" s="2" t="str">
        <f>IFERROR(__xludf.DUMMYFUNCTION("GOOGLETRANSLATE(A3461, ""en"", ""mt"")"),"AKS Test Primalità")</f>
        <v>AKS Test Primalità</v>
      </c>
    </row>
    <row r="3462" ht="15.75" customHeight="1">
      <c r="A3462" s="2" t="s">
        <v>3462</v>
      </c>
      <c r="B3462" s="2" t="str">
        <f>IFERROR(__xludf.DUMMYFUNCTION("GOOGLETRANSLATE(A3462, ""en"", ""mt"")"),"X'inhuma l-plastoglobuli marbuta magħhom?")</f>
        <v>X'inhuma l-plastoglobuli marbuta magħhom?</v>
      </c>
    </row>
    <row r="3463" ht="15.75" customHeight="1">
      <c r="A3463" s="2" t="s">
        <v>3463</v>
      </c>
      <c r="B3463" s="2" t="str">
        <f>IFERROR(__xludf.DUMMYFUNCTION("GOOGLETRANSLATE(A3463, ""en"", ""mt"")"),"X'jista 'jkun meħtieġ ukoll li jgħaddi għalliem, minbarra ċ-ċertifikazzjoni?")</f>
        <v>X'jista 'jkun meħtieġ ukoll li jgħaddi għalliem, minbarra ċ-ċertifikazzjoni?</v>
      </c>
    </row>
    <row r="3464" ht="15.75" customHeight="1">
      <c r="A3464" s="2" t="s">
        <v>3464</v>
      </c>
      <c r="B3464" s="2" t="str">
        <f>IFERROR(__xludf.DUMMYFUNCTION("GOOGLETRANSLATE(A3464, ""en"", ""mt"")"),"kemm adattivi kif ukoll innati")</f>
        <v>kemm adattivi kif ukoll innati</v>
      </c>
    </row>
    <row r="3465" ht="15.75" customHeight="1">
      <c r="A3465" s="2" t="s">
        <v>3465</v>
      </c>
      <c r="B3465" s="2" t="str">
        <f>IFERROR(__xludf.DUMMYFUNCTION("GOOGLETRANSLATE(A3465, ""en"", ""mt"")"),"Flimkien mal-imtieħen u l-minjieri, f'liema postijiet industrijali ssuq il-magni?")</f>
        <v>Flimkien mal-imtieħen u l-minjieri, f'liema postijiet industrijali ssuq il-magni?</v>
      </c>
    </row>
    <row r="3466" ht="15.75" customHeight="1">
      <c r="A3466" s="2" t="s">
        <v>3466</v>
      </c>
      <c r="B3466" s="2" t="str">
        <f>IFERROR(__xludf.DUMMYFUNCTION("GOOGLETRANSLATE(A3466, ""en"", ""mt"")"),"Il-Kenja għandha klima tropikali sħuna u umda fuq il-kosta tal-Oċean Indjan tagħha. Il-klima hija aktar friska fil-ħaxix ta 'Savannah madwar il-belt kapitali, Nairobi, u speċjalment eqreb lejn il-Muntanja Kenja, li għandha borra b'mod permanenti fuq il-qċ"&amp;"aċet tagħha. Aktar 'il ġewwa, fir-reġjun ta' Nyanza, hemm klima sħuna u niexfa li ssir umda madwar il-Lag Victoria, l-akbar lag tropikali ta 'ilma ħelu fid-dinja. Dan jagħti lok għal żoni bl-għoljiet moderati u forestali fir-reġjun tal-Punent ġirien. Ir-r"&amp;"eġjuni tal-Lvant tal-Grigal tul il-fruntiera mas-Somalja u l-Etjopja huma żoni aridi u semi-aridi b'pajsaġġi kważi-deżerta. Il-Kenja hija magħrufa għas-safaris tagħha, il-klima u l-ġeografija differenti, u r-riżervi espansivi tal-ħajja selvaġġa u l-parks "&amp;"nazzjonali bħall-Park Nazzjonali tal-Lvant u l-Punent Tsavo, il-Maasai Mara, il-Park Nazzjonali tal-Lag Nakuru, u l-Park Nazzjonali ta 'Aberdares. Il-Kenja għandha diversi siti ta 'wirt dinji bħal Lamu u bosta bajjiet, inklużi f'Diani, Bamburi u Kilifi, f"&amp;"ejn kull sena jsiru kompetizzjonijiet ta' yachting internazzjonali.")</f>
        <v>Il-Kenja għandha klima tropikali sħuna u umda fuq il-kosta tal-Oċean Indjan tagħha. Il-klima hija aktar friska fil-ħaxix ta 'Savannah madwar il-belt kapitali, Nairobi, u speċjalment eqreb lejn il-Muntanja Kenja, li għandha borra b'mod permanenti fuq il-qċaċet tagħha. Aktar 'il ġewwa, fir-reġjun ta' Nyanza, hemm klima sħuna u niexfa li ssir umda madwar il-Lag Victoria, l-akbar lag tropikali ta 'ilma ħelu fid-dinja. Dan jagħti lok għal żoni bl-għoljiet moderati u forestali fir-reġjun tal-Punent ġirien. Ir-reġjuni tal-Lvant tal-Grigal tul il-fruntiera mas-Somalja u l-Etjopja huma żoni aridi u semi-aridi b'pajsaġġi kważi-deżerta. Il-Kenja hija magħrufa għas-safaris tagħha, il-klima u l-ġeografija differenti, u r-riżervi espansivi tal-ħajja selvaġġa u l-parks nazzjonali bħall-Park Nazzjonali tal-Lvant u l-Punent Tsavo, il-Maasai Mara, il-Park Nazzjonali tal-Lag Nakuru, u l-Park Nazzjonali ta 'Aberdares. Il-Kenja għandha diversi siti ta 'wirt dinji bħal Lamu u bosta bajjiet, inklużi f'Diani, Bamburi u Kilifi, fejn kull sena jsiru kompetizzjonijiet ta' yachting internazzjonali.</v>
      </c>
    </row>
    <row r="3467" ht="15.75" customHeight="1">
      <c r="A3467" s="2" t="s">
        <v>3467</v>
      </c>
      <c r="B3467" s="2" t="str">
        <f>IFERROR(__xludf.DUMMYFUNCTION("GOOGLETRANSLATE(A3467, ""en"", ""mt"")"),"Kunsill Leġiżlattiv")</f>
        <v>Kunsill Leġiżlattiv</v>
      </c>
    </row>
    <row r="3468" ht="15.75" customHeight="1">
      <c r="A3468" s="2" t="s">
        <v>3468</v>
      </c>
      <c r="B3468" s="2" t="str">
        <f>IFERROR(__xludf.DUMMYFUNCTION("GOOGLETRANSLATE(A3468, ""en"", ""mt"")"),"Biex tirbaħ il-ħelsien u tevita ħabs jew multa")</f>
        <v>Biex tirbaħ il-ħelsien u tevita ħabs jew multa</v>
      </c>
    </row>
    <row r="3469" ht="15.75" customHeight="1">
      <c r="A3469" s="2" t="s">
        <v>3469</v>
      </c>
      <c r="B3469" s="2" t="str">
        <f>IFERROR(__xludf.DUMMYFUNCTION("GOOGLETRANSLATE(A3469, ""en"", ""mt"")"),"X'qal l-IPCC li kien żbaljat?")</f>
        <v>X'qal l-IPCC li kien żbaljat?</v>
      </c>
    </row>
    <row r="3470" ht="15.75" customHeight="1">
      <c r="A3470" s="2" t="s">
        <v>3470</v>
      </c>
      <c r="B3470" s="2" t="str">
        <f>IFERROR(__xludf.DUMMYFUNCTION("GOOGLETRANSLATE(A3470, ""en"", ""mt"")"),"Erba 'rġiel li jattendu l-Kulleġġ ta' Harvard għal kull mara")</f>
        <v>Erba 'rġiel li jattendu l-Kulleġġ ta' Harvard għal kull mara</v>
      </c>
    </row>
    <row r="3471" ht="15.75" customHeight="1">
      <c r="A3471" s="2" t="s">
        <v>3471</v>
      </c>
      <c r="B3471" s="2" t="str">
        <f>IFERROR(__xludf.DUMMYFUNCTION("GOOGLETRANSLATE(A3471, ""en"", ""mt"")"),"Il-qoxra tad-Dinja")</f>
        <v>Il-qoxra tad-Dinja</v>
      </c>
    </row>
    <row r="3472" ht="15.75" customHeight="1">
      <c r="A3472" s="2" t="s">
        <v>3472</v>
      </c>
      <c r="B3472" s="2" t="str">
        <f>IFERROR(__xludf.DUMMYFUNCTION("GOOGLETRANSLATE(A3472, ""en"", ""mt"")"),"Biex tindika territorju mhux magħruf jew mhux esplorat")</f>
        <v>Biex tindika territorju mhux magħruf jew mhux esplorat</v>
      </c>
    </row>
    <row r="3473" ht="15.75" customHeight="1">
      <c r="A3473" s="2" t="s">
        <v>3473</v>
      </c>
      <c r="B3473" s="2" t="str">
        <f>IFERROR(__xludf.DUMMYFUNCTION("GOOGLETRANSLATE(A3473, ""en"", ""mt"")"),"Infjammazzjoni")</f>
        <v>Infjammazzjoni</v>
      </c>
    </row>
    <row r="3474" ht="15.75" customHeight="1">
      <c r="A3474" s="2" t="s">
        <v>3474</v>
      </c>
      <c r="B3474" s="2" t="str">
        <f>IFERROR(__xludf.DUMMYFUNCTION("GOOGLETRANSLATE(A3474, ""en"", ""mt"")"),"Fuq liema grupp ibbażat fuq l-art Tesla ħaseb li l-arma tista 'tintuża fuqha?")</f>
        <v>Fuq liema grupp ibbażat fuq l-art Tesla ħaseb li l-arma tista 'tintuża fuqha?</v>
      </c>
    </row>
    <row r="3475" ht="15.75" customHeight="1">
      <c r="A3475" s="2" t="s">
        <v>3475</v>
      </c>
      <c r="B3475" s="2" t="str">
        <f>IFERROR(__xludf.DUMMYFUNCTION("GOOGLETRANSLATE(A3475, ""en"", ""mt"")"),"X'inhu xogħol ta 'Thomas Piketty?")</f>
        <v>X'inhu xogħol ta 'Thomas Piketty?</v>
      </c>
    </row>
    <row r="3476" ht="15.75" customHeight="1">
      <c r="A3476" s="2" t="s">
        <v>3476</v>
      </c>
      <c r="B3476" s="2" t="str">
        <f>IFERROR(__xludf.DUMMYFUNCTION("GOOGLETRANSLATE(A3476, ""en"", ""mt"")"),"X'inhuma ż-żewġ affiljati ABC għal Grand Rapids Michigan?")</f>
        <v>X'inhuma ż-żewġ affiljati ABC għal Grand Rapids Michigan?</v>
      </c>
    </row>
    <row r="3477" ht="15.75" customHeight="1">
      <c r="A3477" s="2" t="s">
        <v>3477</v>
      </c>
      <c r="B3477" s="2" t="str">
        <f>IFERROR(__xludf.DUMMYFUNCTION("GOOGLETRANSLATE(A3477, ""en"", ""mt"")"),"Bħala riżultat, bl-eċċezzjoni tal-ikbar swieq, ABC ġie relegat għal status sekondarju fuq waħda jew it-tnejn mill-istazzjonijiet eżistenti, ġeneralment permezz ta 'approvazzjonijiet ta' barra (eċċezzjoni notevoli matul dan iż-żmien kienet WKST-TV fi Young"&amp;"stown, Ohio, issa WYTV, minkejja d-daqs żgħir tas-suq tal-madwar u l-viċinanza tiegħu ma 'Cleveland u Pittsburgh saħansitra għexieren ta' snin qabel il-kollass ekonomiku tal-belt). Skond Goldenson, dan kien ifisser li siegħa ta 'programmazzjoni ABC irrapp"&amp;"urtat ħames darbiet aktar baxxa mill-kompetituri tagħha. Madankollu, il-konsum ta 'flus tan-netwerk dak iż-żmien jippermettilha tħaffef il-produzzjoni tal-kontenut tagħha. Xorta, il-firxa limitata ta 'ABC tkompli tgħaqqadha għall-għoxrin sena li ġejjin; B"&amp;"osta swieq iżgħar ma jikbrux kbar biżżejjed biex jappoġġjaw affiljat ABC full-time sas-snin 1960, b'xi swieq żgħar ħafna jkollhom jistennew sa mis-snin 1980 jew saħansitra l-miġja tat-televiżjoni diġitali fis-snin 2000, li ppermettew stazzjonijiet bħal WT"&amp;"RF- TV in Wheeling, Virginia tal-Punent biex tibda tixxandar l-ipprogrammar ABC fuq subchannel diġitali wara li tixxandar il-programmi tan-netwerk barra mill-iskedi ta 'żmien irrakkomandati għexieren ta' snin qabel.")</f>
        <v>Bħala riżultat, bl-eċċezzjoni tal-ikbar swieq, ABC ġie relegat għal status sekondarju fuq waħda jew it-tnejn mill-istazzjonijiet eżistenti, ġeneralment permezz ta 'approvazzjonijiet ta' barra (eċċezzjoni notevoli matul dan iż-żmien kienet WKST-TV fi Youngstown, Ohio, issa WYTV, minkejja d-daqs żgħir tas-suq tal-madwar u l-viċinanza tiegħu ma 'Cleveland u Pittsburgh saħansitra għexieren ta' snin qabel il-kollass ekonomiku tal-belt). Skond Goldenson, dan kien ifisser li siegħa ta 'programmazzjoni ABC irrappurtat ħames darbiet aktar baxxa mill-kompetituri tagħha. Madankollu, il-konsum ta 'flus tan-netwerk dak iż-żmien jippermettilha tħaffef il-produzzjoni tal-kontenut tagħha. Xorta, il-firxa limitata ta 'ABC tkompli tgħaqqadha għall-għoxrin sena li ġejjin; Bosta swieq iżgħar ma jikbrux kbar biżżejjed biex jappoġġjaw affiljat ABC full-time sas-snin 1960, b'xi swieq żgħar ħafna jkollhom jistennew sa mis-snin 1980 jew saħansitra l-miġja tat-televiżjoni diġitali fis-snin 2000, li ppermettew stazzjonijiet bħal WTRF- TV in Wheeling, Virginia tal-Punent biex tibda tixxandar l-ipprogrammar ABC fuq subchannel diġitali wara li tixxandar il-programmi tan-netwerk barra mill-iskedi ta 'żmien irrakkomandati għexieren ta' snin qabel.</v>
      </c>
    </row>
    <row r="3478" ht="15.75" customHeight="1">
      <c r="A3478" s="2" t="s">
        <v>3478</v>
      </c>
      <c r="B3478" s="2" t="str">
        <f>IFERROR(__xludf.DUMMYFUNCTION("GOOGLETRANSLATE(A3478, ""en"", ""mt"")"),"Meta l-kumitat għal azzjoni mhux vjolenti sponsorja protesta f'Awwissu 1957, fis-sit tat-test nukleari tal-Merkurju tal-kamp qrib Las Vegas, Nevada, 13 mill-protestanti ppruvaw jidħlu fis-sit tat-test meta jafu li ffaċċjaw l-arrest. F'ħin imħabbra minn qa"&amp;"bel, wieħed kull darba li telgħu madwar il- ""linja"" u ġew arrestati immedjatament. Huma tpoġġew fuq xarabank u ttieħdu fis-sede tal-Kontea ta ’Nye ta’ Tonopah, Nevada, u ntejbu għall-proċess quddiem il-ġustizzja lokali tal-paċi, dak wara nofsinhar. Avuk"&amp;"at magħruf tad-drittijiet ċivili, Francis Heisler, kien volontarjat biex jiddefendi lill-persuni arrestati, u tahom pariri biex jinvokaw ""Nolo Contendere"", bħala alternattiva biex tinvoka ħati jew mhux ħatja. Il-persuni arrestati nstabu ""ħatja,"" madan"&amp;"kollu, u ngħataw sentenzi sospiżi, kondizzjonali fuq il-bażi tas-sit tat-test tagħhom. [Ċitazzjoni meħtieġa]")</f>
        <v>Meta l-kumitat għal azzjoni mhux vjolenti sponsorja protesta f'Awwissu 1957, fis-sit tat-test nukleari tal-Merkurju tal-kamp qrib Las Vegas, Nevada, 13 mill-protestanti ppruvaw jidħlu fis-sit tat-test meta jafu li ffaċċjaw l-arrest. F'ħin imħabbra minn qabel, wieħed kull darba li telgħu madwar il- "linja" u ġew arrestati immedjatament. Huma tpoġġew fuq xarabank u ttieħdu fis-sede tal-Kontea ta ’Nye ta’ Tonopah, Nevada, u ntejbu għall-proċess quddiem il-ġustizzja lokali tal-paċi, dak wara nofsinhar. Avukat magħruf tad-drittijiet ċivili, Francis Heisler, kien volontarjat biex jiddefendi lill-persuni arrestati, u tahom pariri biex jinvokaw "Nolo Contendere", bħala alternattiva biex tinvoka ħati jew mhux ħatja. Il-persuni arrestati nstabu "ħatja," madankollu, u ngħataw sentenzi sospiżi, kondizzjonali fuq il-bażi tas-sit tat-test tagħhom. [Ċitazzjoni meħtieġa]</v>
      </c>
    </row>
    <row r="3479" ht="15.75" customHeight="1">
      <c r="A3479" s="2" t="s">
        <v>3479</v>
      </c>
      <c r="B3479" s="2" t="str">
        <f>IFERROR(__xludf.DUMMYFUNCTION("GOOGLETRANSLATE(A3479, ""en"", ""mt"")"),"X’kritika Lindzen dwar is-sommarju għal dawk li jfasslu l-politika?")</f>
        <v>X’kritika Lindzen dwar is-sommarju għal dawk li jfasslu l-politika?</v>
      </c>
    </row>
    <row r="3480" ht="15.75" customHeight="1">
      <c r="A3480" s="2" t="s">
        <v>3480</v>
      </c>
      <c r="B3480" s="2" t="str">
        <f>IFERROR(__xludf.DUMMYFUNCTION("GOOGLETRANSLATE(A3480, ""en"", ""mt"")"),"Formula ta 'interpolazzjoni kubika")</f>
        <v>Formula ta 'interpolazzjoni kubika</v>
      </c>
    </row>
    <row r="3481" ht="15.75" customHeight="1">
      <c r="A3481" s="2" t="s">
        <v>3481</v>
      </c>
      <c r="B3481" s="2" t="str">
        <f>IFERROR(__xludf.DUMMYFUNCTION("GOOGLETRANSLATE(A3481, ""en"", ""mt"")"),"X'għandhom l-aktar tliet persuni sinjuri fid-dinja li għandhom aktar mill-inqas 48 nazzjon flimkien?")</f>
        <v>X'għandhom l-aktar tliet persuni sinjuri fid-dinja li għandhom aktar mill-inqas 48 nazzjon flimkien?</v>
      </c>
    </row>
    <row r="3482" ht="15.75" customHeight="1">
      <c r="A3482" s="2" t="s">
        <v>3482</v>
      </c>
      <c r="B3482" s="2" t="str">
        <f>IFERROR(__xludf.DUMMYFUNCTION("GOOGLETRANSLATE(A3482, ""en"", ""mt"")"),"X'għandhom l-armati tal-Mongolja jiddevjaw sabiex inaqqsu r-riżorsi tal-bliet li kienu jattakkaw?")</f>
        <v>X'għandhom l-armati tal-Mongolja jiddevjaw sabiex inaqqsu r-riżorsi tal-bliet li kienu jattakkaw?</v>
      </c>
    </row>
    <row r="3483" ht="15.75" customHeight="1">
      <c r="A3483" s="2" t="s">
        <v>3483</v>
      </c>
      <c r="B3483" s="2" t="str">
        <f>IFERROR(__xludf.DUMMYFUNCTION("GOOGLETRANSLATE(A3483, ""en"", ""mt"")"),"Aktar minn $ 20 biljun")</f>
        <v>Aktar minn $ 20 biljun</v>
      </c>
    </row>
    <row r="3484" ht="15.75" customHeight="1">
      <c r="A3484" s="2" t="s">
        <v>3484</v>
      </c>
      <c r="B3484" s="2" t="str">
        <f>IFERROR(__xludf.DUMMYFUNCTION("GOOGLETRANSLATE(A3484, ""en"", ""mt"")"),"Għaliex l-OPEC jimblokka l-kunsinni taż-żejt lill-Istati Uniti?")</f>
        <v>Għaliex l-OPEC jimblokka l-kunsinni taż-żejt lill-Istati Uniti?</v>
      </c>
    </row>
    <row r="3485" ht="15.75" customHeight="1">
      <c r="A3485" s="2" t="s">
        <v>3485</v>
      </c>
      <c r="B3485" s="2" t="str">
        <f>IFERROR(__xludf.DUMMYFUNCTION("GOOGLETRANSLATE(A3485, ""en"", ""mt"")"),"Genghis Khan huwa kkreditat li ġab it-triq tal-ħarir taħt ambjent politiku koeżiv wieħed. Dan ippermetta żieda fil-komunikazzjoni u l-kummerċ bejn il-Punent, il-Lvant Nofsani u l-Asja, u b'hekk tespandi l-orizzonti tat-tliet żoni kulturali kollha. Xi stor"&amp;"iċi nnotaw li Genghis Khan waqqaf ċerti livelli ta 'meritokrazija fir-regola tiegħu, kien tolleranti għar-reliġjonijiet u spjega l-politiki tiegħu b'mod ċar lis-suldati kollha tiegħu. Fit-Turkija, Genghis Khan huwa meqjus bħala mexxej militari kbir, u huw"&amp;"a popolari għat-tfal maskili li jġorru t-titlu tiegħu bħala isem.")</f>
        <v>Genghis Khan huwa kkreditat li ġab it-triq tal-ħarir taħt ambjent politiku koeżiv wieħed. Dan ippermetta żieda fil-komunikazzjoni u l-kummerċ bejn il-Punent, il-Lvant Nofsani u l-Asja, u b'hekk tespandi l-orizzonti tat-tliet żoni kulturali kollha. Xi storiċi nnotaw li Genghis Khan waqqaf ċerti livelli ta 'meritokrazija fir-regola tiegħu, kien tolleranti għar-reliġjonijiet u spjega l-politiki tiegħu b'mod ċar lis-suldati kollha tiegħu. Fit-Turkija, Genghis Khan huwa meqjus bħala mexxej militari kbir, u huwa popolari għat-tfal maskili li jġorru t-titlu tiegħu bħala isem.</v>
      </c>
    </row>
    <row r="3486" ht="15.75" customHeight="1">
      <c r="A3486" s="2" t="s">
        <v>3486</v>
      </c>
      <c r="B3486" s="2" t="str">
        <f>IFERROR(__xludf.DUMMYFUNCTION("GOOGLETRANSLATE(A3486, ""en"", ""mt"")"),"Kif tissejjaħ iż-żona ħdejn il-Gorge Rhine bil-kastelli mill-Medju Evu?")</f>
        <v>Kif tissejjaħ iż-żona ħdejn il-Gorge Rhine bil-kastelli mill-Medju Evu?</v>
      </c>
    </row>
    <row r="3487" ht="15.75" customHeight="1">
      <c r="A3487" s="2" t="s">
        <v>3487</v>
      </c>
      <c r="B3487" s="2" t="str">
        <f>IFERROR(__xludf.DUMMYFUNCTION("GOOGLETRANSLATE(A3487, ""en"", ""mt"")"),"kien bil-kontenut tagħhom")</f>
        <v>kien bil-kontenut tagħhom</v>
      </c>
    </row>
    <row r="3488" ht="15.75" customHeight="1">
      <c r="A3488" s="2" t="s">
        <v>3488</v>
      </c>
      <c r="B3488" s="2" t="str">
        <f>IFERROR(__xludf.DUMMYFUNCTION("GOOGLETRANSLATE(A3488, ""en"", ""mt"")"),"Il-kontijiet tal-ħajja ta 'Genghis Khan huma mmarkati minn talbiet ta' serje ta 'tradimenti u konspirazzjonijiet. Dawn jinkludu Rifts mal-alleati bikrija tiegħu bħal Jamukha (li ried ukoll ikun ħakkiem ta 'tribujiet Mongoljani) u Wang Khan (l-alleat tiegħ"&amp;"u u missieru), ibnu Jochi, u problemi bl-iktar shaman importanti, li allegatament kien qed jipprova Sewqan felli bejnu u ħuh leali Khasar. L-istrateġiji militari tiegħu wrew interess profond fil-ġbir ta 'intelliġenza tajba u biex jifhmu l-motivazzjonijiet"&amp;" tar-rivali tiegħu, eżemplifikati min-netwerk ta' spija estensiv tiegħu u s-sistemi tar-rotta tal-yam. Huwa deher li kien student rapidu, li adotta teknoloġiji u ideat ġodda li ltaqa 'magħhom, bħal gwerra tal-assedju miċ-Ċiniżi. Huwa kien ukoll bla ħniena"&amp;", muri bit-tattika tiegħu ta 'kejl kontra l-linchpin, użat kontra t-tribujiet immexxija minn Jamukha.")</f>
        <v>Il-kontijiet tal-ħajja ta 'Genghis Khan huma mmarkati minn talbiet ta' serje ta 'tradimenti u konspirazzjonijiet. Dawn jinkludu Rifts mal-alleati bikrija tiegħu bħal Jamukha (li ried ukoll ikun ħakkiem ta 'tribujiet Mongoljani) u Wang Khan (l-alleat tiegħu u missieru), ibnu Jochi, u problemi bl-iktar shaman importanti, li allegatament kien qed jipprova Sewqan felli bejnu u ħuh leali Khasar. L-istrateġiji militari tiegħu wrew interess profond fil-ġbir ta 'intelliġenza tajba u biex jifhmu l-motivazzjonijiet tar-rivali tiegħu, eżemplifikati min-netwerk ta' spija estensiv tiegħu u s-sistemi tar-rotta tal-yam. Huwa deher li kien student rapidu, li adotta teknoloġiji u ideat ġodda li ltaqa 'magħhom, bħal gwerra tal-assedju miċ-Ċiniżi. Huwa kien ukoll bla ħniena, muri bit-tattika tiegħu ta 'kejl kontra l-linchpin, użat kontra t-tribujiet immexxija minn Jamukha.</v>
      </c>
    </row>
    <row r="3489" ht="15.75" customHeight="1">
      <c r="A3489" s="2" t="s">
        <v>3489</v>
      </c>
      <c r="B3489" s="2" t="str">
        <f>IFERROR(__xludf.DUMMYFUNCTION("GOOGLETRANSLATE(A3489, ""en"", ""mt"")"),"Uniformitarjiżmu")</f>
        <v>Uniformitarjiżmu</v>
      </c>
    </row>
    <row r="3490" ht="15.75" customHeight="1">
      <c r="A3490" s="2" t="s">
        <v>3490</v>
      </c>
      <c r="B3490" s="2" t="str">
        <f>IFERROR(__xludf.DUMMYFUNCTION("GOOGLETRANSLATE(A3490, ""en"", ""mt"")"),"Ma 'min huma meħtieġa l-għalliema biex jirreġistraw?")</f>
        <v>Ma 'min huma meħtieġa l-għalliema biex jirreġistraw?</v>
      </c>
    </row>
    <row r="3491" ht="15.75" customHeight="1">
      <c r="A3491" s="2" t="s">
        <v>3491</v>
      </c>
      <c r="B3491" s="2" t="str">
        <f>IFERROR(__xludf.DUMMYFUNCTION("GOOGLETRANSLATE(A3491, ""en"", ""mt"")"),"Kull pakkett jinkludi informazzjoni sħiħa dwar l-indirizzar")</f>
        <v>Kull pakkett jinkludi informazzjoni sħiħa dwar l-indirizzar</v>
      </c>
    </row>
    <row r="3492" ht="15.75" customHeight="1">
      <c r="A3492" s="2" t="s">
        <v>3492</v>
      </c>
      <c r="B3492" s="2" t="str">
        <f>IFERROR(__xludf.DUMMYFUNCTION("GOOGLETRANSLATE(A3492, ""en"", ""mt"")"),"Lepidodinium Viride u l-qraba viċin tiegħu huma dinofiti li tilfu l-kloroplast tal-peridinin oriġinali tagħhom u ħaduha bi kloroplast derivat bl-alka ħadra (b'mod aktar speċifiku, prasinofita). Lepidodinium huwa l-uniku dinofite li għandu kloroplast li mh"&amp;"ux min-nisel tar-rhodoplast. Il-kloroplast huwa mdawwar b'żewġ membrani u m'għandu l-ebda nukleomorf - il-ġeni tan-nukleomorfi kollha ġew trasferiti għan-nukleu tad-dinofiti. L-avveniment endosimbijotiku li wassal għal dan il-kloroplast kien endosimbijosi"&amp;" sekondarja tas-serje aktar milli endosimbijosi terzjarja - l-endosymbiont kienet alka ħadra li fiha kloroplast primarju (li tagħmel kloroplast sekondarju).")</f>
        <v>Lepidodinium Viride u l-qraba viċin tiegħu huma dinofiti li tilfu l-kloroplast tal-peridinin oriġinali tagħhom u ħaduha bi kloroplast derivat bl-alka ħadra (b'mod aktar speċifiku, prasinofita). Lepidodinium huwa l-uniku dinofite li għandu kloroplast li mhux min-nisel tar-rhodoplast. Il-kloroplast huwa mdawwar b'żewġ membrani u m'għandu l-ebda nukleomorf - il-ġeni tan-nukleomorfi kollha ġew trasferiti għan-nukleu tad-dinofiti. L-avveniment endosimbijotiku li wassal għal dan il-kloroplast kien endosimbijosi sekondarja tas-serje aktar milli endosimbijosi terzjarja - l-endosymbiont kienet alka ħadra li fiha kloroplast primarju (li tagħmel kloroplast sekondarju).</v>
      </c>
    </row>
    <row r="3493" ht="15.75" customHeight="1">
      <c r="A3493" s="2" t="s">
        <v>3493</v>
      </c>
      <c r="B3493" s="2" t="str">
        <f>IFERROR(__xludf.DUMMYFUNCTION("GOOGLETRANSLATE(A3493, ""en"", ""mt"")"),"Ftit wara li kiseb Florida, x’għamlu l-Ingliżi?")</f>
        <v>Ftit wara li kiseb Florida, x’għamlu l-Ingliżi?</v>
      </c>
    </row>
    <row r="3494" ht="15.75" customHeight="1">
      <c r="A3494" s="2" t="s">
        <v>3494</v>
      </c>
      <c r="B3494" s="2" t="str">
        <f>IFERROR(__xludf.DUMMYFUNCTION("GOOGLETRANSLATE(A3494, ""en"", ""mt"")"),"Liema parti mill-UMC titlob lill-isqfijiet tagħha biex iżommu l-oppożizzjoni għall-piena kapitali?")</f>
        <v>Liema parti mill-UMC titlob lill-isqfijiet tagħha biex iżommu l-oppożizzjoni għall-piena kapitali?</v>
      </c>
    </row>
    <row r="3495" ht="15.75" customHeight="1">
      <c r="A3495" s="2" t="s">
        <v>3495</v>
      </c>
      <c r="B3495" s="2" t="str">
        <f>IFERROR(__xludf.DUMMYFUNCTION("GOOGLETRANSLATE(A3495, ""en"", ""mt"")"),"attakki fuq il-Lhud")</f>
        <v>attakki fuq il-Lhud</v>
      </c>
    </row>
    <row r="3496" ht="15.75" customHeight="1">
      <c r="A3496" s="2" t="s">
        <v>3496</v>
      </c>
      <c r="B3496" s="2" t="str">
        <f>IFERROR(__xludf.DUMMYFUNCTION("GOOGLETRANSLATE(A3496, ""en"", ""mt"")"),"Shamanist, Buddista jew Nisrani")</f>
        <v>Shamanist, Buddista jew Nisrani</v>
      </c>
    </row>
    <row r="3497" ht="15.75" customHeight="1">
      <c r="A3497" s="2" t="s">
        <v>3497</v>
      </c>
      <c r="B3497" s="2" t="str">
        <f>IFERROR(__xludf.DUMMYFUNCTION("GOOGLETRANSLATE(A3497, ""en"", ""mt"")"),"10 ta ’nofsinhar")</f>
        <v>10 ta ’nofsinhar</v>
      </c>
    </row>
    <row r="3498" ht="15.75" customHeight="1">
      <c r="A3498" s="2" t="s">
        <v>3498</v>
      </c>
      <c r="B3498" s="2" t="str">
        <f>IFERROR(__xludf.DUMMYFUNCTION("GOOGLETRANSLATE(A3498, ""en"", ""mt"")"),"Ibni mill-ġdid il-Bażilika ta ’San Pietru")</f>
        <v>Ibni mill-ġdid il-Bażilika ta ’San Pietru</v>
      </c>
    </row>
    <row r="3499" ht="15.75" customHeight="1">
      <c r="A3499" s="2" t="s">
        <v>3499</v>
      </c>
      <c r="B3499" s="2" t="str">
        <f>IFERROR(__xludf.DUMMYFUNCTION("GOOGLETRANSLATE(A3499, ""en"", ""mt"")"),"Kostruzzjoni tal-bini")</f>
        <v>Kostruzzjoni tal-bini</v>
      </c>
    </row>
    <row r="3500" ht="15.75" customHeight="1">
      <c r="A3500" s="2" t="s">
        <v>3500</v>
      </c>
      <c r="B3500" s="2" t="str">
        <f>IFERROR(__xludf.DUMMYFUNCTION("GOOGLETRANSLATE(A3500, ""en"", ""mt"")"),"Innu Nazzjonali")</f>
        <v>Innu Nazzjonali</v>
      </c>
    </row>
    <row r="3501" ht="15.75" customHeight="1">
      <c r="A3501" s="2" t="s">
        <v>3501</v>
      </c>
      <c r="B3501" s="2" t="str">
        <f>IFERROR(__xludf.DUMMYFUNCTION("GOOGLETRANSLATE(A3501, ""en"", ""mt"")"),"Liema lag fi gżira Ġermaniża Mainau jirċievi frazzjoni tal-fluss tar-Renu?")</f>
        <v>Liema lag fi gżira Ġermaniża Mainau jirċievi frazzjoni tal-fluss tar-Renu?</v>
      </c>
    </row>
    <row r="3502" ht="15.75" customHeight="1">
      <c r="A3502" s="2" t="s">
        <v>3502</v>
      </c>
      <c r="B3502" s="2" t="str">
        <f>IFERROR(__xludf.DUMMYFUNCTION("GOOGLETRANSLATE(A3502, ""en"", ""mt"")"),"Spjegazzjoni ta 'tliet partijiet tal-Kredu tal-Appostli")</f>
        <v>Spjegazzjoni ta 'tliet partijiet tal-Kredu tal-Appostli</v>
      </c>
    </row>
    <row r="3503" ht="15.75" customHeight="1">
      <c r="A3503" s="2" t="s">
        <v>3503</v>
      </c>
      <c r="B3503" s="2" t="str">
        <f>IFERROR(__xludf.DUMMYFUNCTION("GOOGLETRANSLATE(A3503, ""en"", ""mt"")"),"X'inhi t-teorija li l-isem ta 'dan ir-re huwa l-oriġini ta' ""Huguenot"" imsejjaħ?")</f>
        <v>X'inhi t-teorija li l-isem ta 'dan ir-re huwa l-oriġini ta' "Huguenot" imsejjaħ?</v>
      </c>
    </row>
    <row r="3504" ht="15.75" customHeight="1">
      <c r="A3504" s="2" t="s">
        <v>3504</v>
      </c>
      <c r="B3504" s="2" t="str">
        <f>IFERROR(__xludf.DUMMYFUNCTION("GOOGLETRANSLATE(A3504, ""en"", ""mt"")"),"Il-Bureau tal-Affarijiet Buddisti u Tibetani")</f>
        <v>Il-Bureau tal-Affarijiet Buddisti u Tibetani</v>
      </c>
    </row>
    <row r="3505" ht="15.75" customHeight="1">
      <c r="A3505" s="2" t="s">
        <v>3505</v>
      </c>
      <c r="B3505" s="2" t="str">
        <f>IFERROR(__xludf.DUMMYFUNCTION("GOOGLETRANSLATE(A3505, ""en"", ""mt"")"),"kollha fi ftit mijiet ta 'piedi minn xulxin")</f>
        <v>kollha fi ftit mijiet ta 'piedi minn xulxin</v>
      </c>
    </row>
    <row r="3506" ht="15.75" customHeight="1">
      <c r="A3506" s="2" t="s">
        <v>3506</v>
      </c>
      <c r="B3506" s="2" t="str">
        <f>IFERROR(__xludf.DUMMYFUNCTION("GOOGLETRANSLATE(A3506, ""en"", ""mt"")"),"135 pied")</f>
        <v>135 pied</v>
      </c>
    </row>
    <row r="3507" ht="15.75" customHeight="1">
      <c r="A3507" s="2" t="s">
        <v>3507</v>
      </c>
      <c r="B3507" s="2" t="str">
        <f>IFERROR(__xludf.DUMMYFUNCTION("GOOGLETRANSLATE(A3507, ""en"", ""mt"")"),"Għaliex jeżisti l-kulleġġ ta 'għalliem?")</f>
        <v>Għaliex jeżisti l-kulleġġ ta 'għalliem?</v>
      </c>
    </row>
    <row r="3508" ht="15.75" customHeight="1">
      <c r="A3508" s="2" t="s">
        <v>3508</v>
      </c>
      <c r="B3508" s="2" t="str">
        <f>IFERROR(__xludf.DUMMYFUNCTION("GOOGLETRANSLATE(A3508, ""en"", ""mt"")"),"Separazzjoni Ekonomika")</f>
        <v>Separazzjoni Ekonomika</v>
      </c>
    </row>
    <row r="3509" ht="15.75" customHeight="1">
      <c r="A3509" s="2" t="s">
        <v>3509</v>
      </c>
      <c r="B3509" s="2" t="str">
        <f>IFERROR(__xludf.DUMMYFUNCTION("GOOGLETRANSLATE(A3509, ""en"", ""mt"")"),"Kien hemm żewġ tipi ta 'netwerks X.25. Uħud bħal DataPac u TransPac ġew inizjalment implimentati b'interface esterna X.25. Xi netwerks anzjani bħal Telenet u Tymnet ġew modifikati biex jipprovdu interface ospitanti X.25 minbarra skemi ta 'konnessjoni ospi"&amp;"tanti anzjani. Datapac ġie żviluppat minn Bell Northern Research li kienet impriża konġunta ta ’Bell Canada (trasportatur komuni) u tat-telekomunikazzjoni tat-Tramuntana (fornitur tat-tagħmir tat-telekomunikazzjoni). Northern Telecom biegħ diversi kloni D"&amp;"atapac lil PTTs barranin inkluż id-Deutsche Bundespost. X.75 u X.121 ippermettew l-interkonnessjoni tan-netwerks nazzjonali X.25. Utent jew ospitanti jistgħu jċemplu ospitanti fuq netwerk barrani billi jinkludu d-DNIC tan-netwerk remot bħala parti mill-in"&amp;"dirizz tad-destinazzjoni. [Ċitazzjoni meħtieġa]")</f>
        <v>Kien hemm żewġ tipi ta 'netwerks X.25. Uħud bħal DataPac u TransPac ġew inizjalment implimentati b'interface esterna X.25. Xi netwerks anzjani bħal Telenet u Tymnet ġew modifikati biex jipprovdu interface ospitanti X.25 minbarra skemi ta 'konnessjoni ospitanti anzjani. Datapac ġie żviluppat minn Bell Northern Research li kienet impriża konġunta ta ’Bell Canada (trasportatur komuni) u tat-telekomunikazzjoni tat-Tramuntana (fornitur tat-tagħmir tat-telekomunikazzjoni). Northern Telecom biegħ diversi kloni Datapac lil PTTs barranin inkluż id-Deutsche Bundespost. X.75 u X.121 ippermettew l-interkonnessjoni tan-netwerks nazzjonali X.25. Utent jew ospitanti jistgħu jċemplu ospitanti fuq netwerk barrani billi jinkludu d-DNIC tan-netwerk remot bħala parti mill-indirizz tad-destinazzjoni. [Ċitazzjoni meħtieġa]</v>
      </c>
    </row>
    <row r="3510" ht="15.75" customHeight="1">
      <c r="A3510" s="2" t="s">
        <v>3510</v>
      </c>
      <c r="B3510" s="2" t="str">
        <f>IFERROR(__xludf.DUMMYFUNCTION("GOOGLETRANSLATE(A3510, ""en"", ""mt"")"),"Ewropa Ċentrali u tal-Punent")</f>
        <v>Ewropa Ċentrali u tal-Punent</v>
      </c>
    </row>
    <row r="3511" ht="15.75" customHeight="1">
      <c r="A3511" s="2" t="s">
        <v>3511</v>
      </c>
      <c r="B3511" s="2" t="str">
        <f>IFERROR(__xludf.DUMMYFUNCTION("GOOGLETRANSLATE(A3511, ""en"", ""mt"")"),"Fibrożi pulmonari")</f>
        <v>Fibrożi pulmonari</v>
      </c>
    </row>
    <row r="3512" ht="15.75" customHeight="1">
      <c r="A3512" s="2" t="s">
        <v>3512</v>
      </c>
      <c r="B3512" s="2" t="str">
        <f>IFERROR(__xludf.DUMMYFUNCTION("GOOGLETRANSLATE(A3512, ""en"", ""mt"")"),"Ħafna mill-irziezet fil-Provinċja tal-Kap tal-Punent fl-Afrika t'Isfel għadhom iġorru ismijiet Franċiżi. Ħafna familji, illum l-aktar l-Afrikani li jitkellmu, għandhom kunjomijiet li jindikaw l-antenati tiegħu Huguenot. Eżempji jinkludu: Blignaut, Cillier"&amp;"s, De Klerk (Le Clercq), De Villiers, Du Plessis, Du Preez (Des Pres), Du Randt (Durand), Du Toit, Duvenhage (Du VinAge), Franck, Fouche, Fourie (Fleurit) , Gervais, Giliomee (Guilliaume), Gous / Gouws (Gauch), Hugo, Jordaan (Jourdan), Joubert, Kriek, Lab"&amp;"uschagne (La Buscagne), Le Roux, Lombard, Malan, Malherbe, Marais, Maree, Minnaar (Mesnard), Nel (Nell), Naude ', Nortje (Nortier), Pienaar (Pinard), RETIEF (Retif), Rossouw (Rousseau), Taljaard (Taillard), Terblanche, Theron, Viljoen (Villion) u Visagie "&amp;"(Visage). L-industrija tal-inbid fl-Afrika t'Isfel għandha dejn sinifikanti lill-Huguenots, li wħud minnhom kellhom dwieli fi Franza, jew kienu distillaturi tal-brandi, u użaw il-ħiliet tagħhom fid-dar il-ġdida tagħhom.")</f>
        <v>Ħafna mill-irziezet fil-Provinċja tal-Kap tal-Punent fl-Afrika t'Isfel għadhom iġorru ismijiet Franċiżi. Ħafna familji, illum l-aktar l-Afrikani li jitkellmu, għandhom kunjomijiet li jindikaw l-antenati tiegħu Huguenot. Eżempji jinkludu: Blignaut, Cilliers, De Klerk (Le Clercq), De Villiers, Du Plessis, Du Preez (Des Pres), Du Randt (Durand), Du Toit, Duvenhage (Du VinAge), Franck, Fouche, Fourie (Fleurit) , Gervais, Giliomee (Guilliaume), Gous / Gouws (Gauch), Hugo, Jordaan (Jourdan), Joubert, Kriek, Labuschagne (La Buscagne), Le Roux, Lombard, Malan, Malherbe, Marais, Maree, Minnaar (Mesnard), Nel (Nell), Naude ', Nortje (Nortier), Pienaar (Pinard), RETIEF (Retif), Rossouw (Rousseau), Taljaard (Taillard), Terblanche, Theron, Viljoen (Villion) u Visagie (Visage). L-industrija tal-inbid fl-Afrika t'Isfel għandha dejn sinifikanti lill-Huguenots, li wħud minnhom kellhom dwieli fi Franza, jew kienu distillaturi tal-brandi, u użaw il-ħiliet tagħhom fid-dar il-ġdida tagħhom.</v>
      </c>
    </row>
    <row r="3513" ht="15.75" customHeight="1">
      <c r="A3513" s="2" t="s">
        <v>3513</v>
      </c>
      <c r="B3513" s="2" t="str">
        <f>IFERROR(__xludf.DUMMYFUNCTION("GOOGLETRANSLATE(A3513, ""en"", ""mt"")"),"15% –16%")</f>
        <v>15% –16%</v>
      </c>
    </row>
    <row r="3514" ht="15.75" customHeight="1">
      <c r="A3514" s="2" t="s">
        <v>3514</v>
      </c>
      <c r="B3514" s="2" t="str">
        <f>IFERROR(__xludf.DUMMYFUNCTION("GOOGLETRANSLATE(A3514, ""en"", ""mt"")"),"Nuqqas ta 'Parlament tal-Iskozja")</f>
        <v>Nuqqas ta 'Parlament tal-Iskozja</v>
      </c>
    </row>
    <row r="3515" ht="15.75" customHeight="1">
      <c r="A3515" s="2" t="s">
        <v>3515</v>
      </c>
      <c r="B3515" s="2" t="str">
        <f>IFERROR(__xludf.DUMMYFUNCTION("GOOGLETRANSLATE(A3515, ""en"", ""mt"")"),"it-tmiem innifsu")</f>
        <v>it-tmiem innifsu</v>
      </c>
    </row>
    <row r="3516" ht="15.75" customHeight="1">
      <c r="A3516" s="2" t="s">
        <v>3516</v>
      </c>
      <c r="B3516" s="2" t="str">
        <f>IFERROR(__xludf.DUMMYFUNCTION("GOOGLETRANSLATE(A3516, ""en"", ""mt"")"),"Liema serje hija l-itwal programm li għaddej fl-istorja tal-ABC?")</f>
        <v>Liema serje hija l-itwal programm li għaddej fl-istorja tal-ABC?</v>
      </c>
    </row>
    <row r="3517" ht="15.75" customHeight="1">
      <c r="A3517" s="2" t="s">
        <v>3517</v>
      </c>
      <c r="B3517" s="2" t="str">
        <f>IFERROR(__xludf.DUMMYFUNCTION("GOOGLETRANSLATE(A3517, ""en"", ""mt"")"),"Għalkemm il-Kenja hija l-ikbar ekonomija u l-iktar avvanzata fil-Lvant u l-Afrika Ċentrali, u għandha minoranza urbana sinjura, għandha indiċi ta 'żvilupp uman (HDI) ta' 0.519, ikklassifikat 145 minn 186 fid-dinja. Mill-2005, 17.7% tal-Kenjani għexu fuq i"&amp;"nqas minn $ 1.25 kuljum. Is-settur agrikolu importanti huwa wieħed mill-inqas żviluppati u fil-biċċa l-kbira ineffiċjenti, li juża 75% tal-forza tax-xogħol meta mqabbel ma 'inqas minn 3% fil-pajjiżi żviluppati siguri tal-ikel. Il-Kenja ġeneralment tkun ik"&amp;"klassifikata bħala suq tal-fruntiera jew kultant suq emerġenti, iżda mhuwiex wieħed mill-inqas pajjiżi żviluppati.")</f>
        <v>Għalkemm il-Kenja hija l-ikbar ekonomija u l-iktar avvanzata fil-Lvant u l-Afrika Ċentrali, u għandha minoranza urbana sinjura, għandha indiċi ta 'żvilupp uman (HDI) ta' 0.519, ikklassifikat 145 minn 186 fid-dinja. Mill-2005, 17.7% tal-Kenjani għexu fuq inqas minn $ 1.25 kuljum. Is-settur agrikolu importanti huwa wieħed mill-inqas żviluppati u fil-biċċa l-kbira ineffiċjenti, li juża 75% tal-forza tax-xogħol meta mqabbel ma 'inqas minn 3% fil-pajjiżi żviluppati siguri tal-ikel. Il-Kenja ġeneralment tkun ikklassifikata bħala suq tal-fruntiera jew kultant suq emerġenti, iżda mhuwiex wieħed mill-inqas pajjiżi żviluppati.</v>
      </c>
    </row>
    <row r="3518" ht="15.75" customHeight="1">
      <c r="A3518" s="2" t="s">
        <v>3518</v>
      </c>
      <c r="B3518" s="2" t="str">
        <f>IFERROR(__xludf.DUMMYFUNCTION("GOOGLETRANSLATE(A3518, ""en"", ""mt"")"),"Black_death")</f>
        <v>Black_death</v>
      </c>
    </row>
    <row r="3519" ht="15.75" customHeight="1">
      <c r="A3519" s="2" t="s">
        <v>3519</v>
      </c>
      <c r="B3519" s="2" t="str">
        <f>IFERROR(__xludf.DUMMYFUNCTION("GOOGLETRANSLATE(A3519, ""en"", ""mt"")"),"l-omm")</f>
        <v>l-omm</v>
      </c>
    </row>
    <row r="3520" ht="15.75" customHeight="1">
      <c r="A3520" s="2" t="s">
        <v>3520</v>
      </c>
      <c r="B3520" s="2" t="str">
        <f>IFERROR(__xludf.DUMMYFUNCTION("GOOGLETRANSLATE(A3520, ""en"", ""mt"")"),"teatru")</f>
        <v>teatru</v>
      </c>
    </row>
    <row r="3521" ht="15.75" customHeight="1">
      <c r="A3521" s="2" t="s">
        <v>3521</v>
      </c>
      <c r="B3521" s="2" t="str">
        <f>IFERROR(__xludf.DUMMYFUNCTION("GOOGLETRANSLATE(A3521, ""en"", ""mt"")"),"Luther kien ippubblika t-traduzzjoni Ġermaniża tiegħu tat-Testment il-Ġdid fl-1522, u hu u l-kollaboraturi tiegħu temmew it-traduzzjoni tat-Testment il-Qadim fl-1534, meta ġiet ippubblikata l-Bibbja kollha. Huwa kompla jaħdem fuq ir-raffinar tat-traduzzjo"&amp;"ni sa tmiem ħajtu. Oħrajn kienu tradottaw il-Bibbja fil-Ġermaniż, iżda Luther imfassal it-traduzzjoni tiegħu għad-duttrina tiegħu stess. Meta ġie kkritikat talli ddaħħal il-kelma ""waħdu"" wara ""fidi"" fir-Rumani 3:28, huwa wieġeb parzjalment: ""[t] huwa"&amp;" t-test innifsu u t-tifsira ta 'San Pawl jeħtieġ b'mod urġenti u titlobha. Għax f'dak ħafna Passaġġ Huwa qed jittratta l-punt ewlieni tad-duttrina Nisranija, jiġifieri, li aħna ġustifikati bil-fidi fi Kristu mingħajr xogħlijiet tal-liġi Kull min jitkellem"&amp;" b'mod ċar u ċar dwar dan il-qtugħ tax-xogħlijiet se jkollu jgħid, ""Il-fidi biss tiġġustifika lilna, u mhux taħdem"". """)</f>
        <v>Luther kien ippubblika t-traduzzjoni Ġermaniża tiegħu tat-Testment il-Ġdid fl-1522, u hu u l-kollaboraturi tiegħu temmew it-traduzzjoni tat-Testment il-Qadim fl-1534, meta ġiet ippubblikata l-Bibbja kollha. Huwa kompla jaħdem fuq ir-raffinar tat-traduzzjoni sa tmiem ħajtu. Oħrajn kienu tradottaw il-Bibbja fil-Ġermaniż, iżda Luther imfassal it-traduzzjoni tiegħu għad-duttrina tiegħu stess. Meta ġie kkritikat talli ddaħħal il-kelma "waħdu" wara "fidi" fir-Rumani 3:28, huwa wieġeb parzjalment: "[t] huwa t-test innifsu u t-tifsira ta 'San Pawl jeħtieġ b'mod urġenti u titlobha. Għax f'dak ħafna Passaġġ Huwa qed jittratta l-punt ewlieni tad-duttrina Nisranija, jiġifieri, li aħna ġustifikati bil-fidi fi Kristu mingħajr xogħlijiet tal-liġi Kull min jitkellem b'mod ċar u ċar dwar dan il-qtugħ tax-xogħlijiet se jkollu jgħid, "Il-fidi biss tiġġustifika lilna, u mhux taħdem". "</v>
      </c>
    </row>
    <row r="3522" ht="15.75" customHeight="1">
      <c r="A3522" s="2" t="s">
        <v>3522</v>
      </c>
      <c r="B3522" s="2" t="str">
        <f>IFERROR(__xludf.DUMMYFUNCTION("GOOGLETRANSLATE(A3522, ""en"", ""mt"")"),"Fejn ivvjaġġaw in-nassaba tal-pil Franċiżi?")</f>
        <v>Fejn ivvjaġġaw in-nassaba tal-pil Franċiżi?</v>
      </c>
    </row>
    <row r="3523" ht="15.75" customHeight="1">
      <c r="A3523" s="2" t="s">
        <v>3523</v>
      </c>
      <c r="B3523" s="2" t="str">
        <f>IFERROR(__xludf.DUMMYFUNCTION("GOOGLETRANSLATE(A3523, ""en"", ""mt"")"),"Liema politika Stalin implimenta ftit wara l-mewt ta 'Lenin?")</f>
        <v>Liema politika Stalin implimenta ftit wara l-mewt ta 'Lenin?</v>
      </c>
    </row>
    <row r="3524" ht="15.75" customHeight="1">
      <c r="A3524" s="2" t="s">
        <v>3524</v>
      </c>
      <c r="B3524" s="2" t="str">
        <f>IFERROR(__xludf.DUMMYFUNCTION("GOOGLETRANSLATE(A3524, ""en"", ""mt"")"),"X'inhu l-oppost ta 'rwol kontinwu tat-tagħlim?")</f>
        <v>X'inhu l-oppost ta 'rwol kontinwu tat-tagħlim?</v>
      </c>
    </row>
    <row r="3525" ht="15.75" customHeight="1">
      <c r="A3525" s="2" t="s">
        <v>3525</v>
      </c>
      <c r="B3525" s="2" t="str">
        <f>IFERROR(__xludf.DUMMYFUNCTION("GOOGLETRANSLATE(A3525, ""en"", ""mt"")"),"It-terminu ""Southern"" California ġeneralment jirreferi għal kemm mill-iktar kontej tan-Nofsinhar tal-istat?")</f>
        <v>It-terminu "Southern" California ġeneralment jirreferi għal kemm mill-iktar kontej tan-Nofsinhar tal-istat?</v>
      </c>
    </row>
    <row r="3526" ht="15.75" customHeight="1">
      <c r="A3526" s="2" t="s">
        <v>3526</v>
      </c>
      <c r="B3526" s="2" t="str">
        <f>IFERROR(__xludf.DUMMYFUNCTION("GOOGLETRANSLATE(A3526, ""en"", ""mt"")"),"billi jkollok kolloblasti")</f>
        <v>billi jkollok kolloblasti</v>
      </c>
    </row>
    <row r="3527" ht="15.75" customHeight="1">
      <c r="A3527" s="2" t="s">
        <v>3527</v>
      </c>
      <c r="B3527" s="2" t="str">
        <f>IFERROR(__xludf.DUMMYFUNCTION("GOOGLETRANSLATE(A3527, ""en"", ""mt"")"),"Fl-1952, meta r-rilaxx tas-sitt rapport u l-ordni tal-FCC ħabbru t-tmiem tal-iffriżar tagħha fuq applikazzjonijiet ta 'liċenzja ta' stazzjon ġodda, fost il-kwistjonijiet li l-kummissjoni kienet prevista biex tindirizza kienet jekk tapprovax l-għaqda UPT-A"&amp;"BC. Kummissarju wieħed tal-FCC ra l-possibbiltà ta 'ABC, iffinanzjat mill-UPT, li sar terz netwerk tat-televiżjoni vijabbli u kompetittiv. Fid-9 ta 'Frar, 1953, l-FCC approva x-xiri ta' ABC tal-UPT bi skambju għal $ 25 miljun f'ishma. Il-kumpanija magħqud"&amp;"a, imsejħa American Broadcasting-Paramount Theaters, Inc. u bil-kwartjieri ġenerali fil-Paramount Building fil-1501 Broadway f'Manhattan, kienet proprjetà ta 'sitta AM u diversi stazzjonijiet tar-radju FM, ħames stazzjonijiet televiżivi u 644 ċinema f'300"&amp;" belt ta' l-Istati Uniti. Biex tikkonforma mar-restrizzjonijiet tas-sjieda tal-FCC fis-seħħ fiż-żmien li jwaqqfu s-sjieda komuni ta 'żewġ stazzjonijiet tat-televiżjoni fl-istess suq, UPT biegħ l-istazzjon tat-televiżjoni tagħha f'Chicago, WBKB-TV, lil CBS"&amp;" (li sussegwentement biddel l-ittri tal-istazzjon lil WBBM-TV) Għal $ 6 miljun, waqt li żamm l-istazzjon ta 'Chicago eżistenti ta' ABC, WENR-TV. Il-kumpanija magħquda akkwistat l-ittri ta 'telefonati WBKB għal Channel 7, li eventwalment issir WLS-TV. Gold"&amp;"enson beda jbiegħ uħud mit-teatri anzjani biex jgħinu jiffinanzjaw in-netwerk tat-televiżjoni l-ġdid.")</f>
        <v>Fl-1952, meta r-rilaxx tas-sitt rapport u l-ordni tal-FCC ħabbru t-tmiem tal-iffriżar tagħha fuq applikazzjonijiet ta 'liċenzja ta' stazzjon ġodda, fost il-kwistjonijiet li l-kummissjoni kienet prevista biex tindirizza kienet jekk tapprovax l-għaqda UPT-ABC. Kummissarju wieħed tal-FCC ra l-possibbiltà ta 'ABC, iffinanzjat mill-UPT, li sar terz netwerk tat-televiżjoni vijabbli u kompetittiv. Fid-9 ta 'Frar, 1953, l-FCC approva x-xiri ta' ABC tal-UPT bi skambju għal $ 25 miljun f'ishma. Il-kumpanija magħquda, imsejħa American Broadcasting-Paramount Theaters, Inc. u bil-kwartjieri ġenerali fil-Paramount Building fil-1501 Broadway f'Manhattan, kienet proprjetà ta 'sitta AM u diversi stazzjonijiet tar-radju FM, ħames stazzjonijiet televiżivi u 644 ċinema f'300 belt ta' l-Istati Uniti. Biex tikkonforma mar-restrizzjonijiet tas-sjieda tal-FCC fis-seħħ fiż-żmien li jwaqqfu s-sjieda komuni ta 'żewġ stazzjonijiet tat-televiżjoni fl-istess suq, UPT biegħ l-istazzjon tat-televiżjoni tagħha f'Chicago, WBKB-TV, lil CBS (li sussegwentement biddel l-ittri tal-istazzjon lil WBBM-TV) Għal $ 6 miljun, waqt li żamm l-istazzjon ta 'Chicago eżistenti ta' ABC, WENR-TV. Il-kumpanija magħquda akkwistat l-ittri ta 'telefonati WBKB għal Channel 7, li eventwalment issir WLS-TV. Goldenson beda jbiegħ uħud mit-teatri anzjani biex jgħinu jiffinanzjaw in-netwerk tat-televiżjoni l-ġdid.</v>
      </c>
    </row>
    <row r="3528" ht="15.75" customHeight="1">
      <c r="A3528" s="2" t="s">
        <v>3528</v>
      </c>
      <c r="B3528" s="2" t="str">
        <f>IFERROR(__xludf.DUMMYFUNCTION("GOOGLETRANSLATE(A3528, ""en"", ""mt"")"),"Ir-Repubblika tal-Kenja hija msejħa wara l-Muntanja Kenja. L-oriġini tal-isem Kenja mhix ċara, imma forsi marbuta mal-kliem Kikuyu, Embu u Kamba Kirinyaga, Kirenyaa u Kiinyaa li jfissru ""l-post ta 'mistrieħ ta' Alla"" fit-tliet lingwi kollha. Jekk iva, a"&amp;"llura l-Ingliżi jistgħu ma jkunux daqstant imdgħajfa ('Keenya'), kif miktuba ħażin. Eruzzjonijiet vulkaniċi preistoriċi tal-Muntanja Kenja (issa estinta) setgħu rriżultaw fl-assoċjazzjoni tagħha mad-divinità u l-ħolqien fost il-gruppi etniċi Bantu Indiġen"&amp;"i, li huma l-abitanti indiġeni ta 'l-art agrikola li tdawwar il-Muntanja Kenja. [Riċerka oriġinali?]")</f>
        <v>Ir-Repubblika tal-Kenja hija msejħa wara l-Muntanja Kenja. L-oriġini tal-isem Kenja mhix ċara, imma forsi marbuta mal-kliem Kikuyu, Embu u Kamba Kirinyaga, Kirenyaa u Kiinyaa li jfissru "l-post ta 'mistrieħ ta' Alla" fit-tliet lingwi kollha. Jekk iva, allura l-Ingliżi jistgħu ma jkunux daqstant imdgħajfa ('Keenya'), kif miktuba ħażin. Eruzzjonijiet vulkaniċi preistoriċi tal-Muntanja Kenja (issa estinta) setgħu rriżultaw fl-assoċjazzjoni tagħha mad-divinità u l-ħolqien fost il-gruppi etniċi Bantu Indiġeni, li huma l-abitanti indiġeni ta 'l-art agrikola li tdawwar il-Muntanja Kenja. [Riċerka oriġinali?]</v>
      </c>
    </row>
    <row r="3529" ht="15.75" customHeight="1">
      <c r="A3529" s="2" t="s">
        <v>3529</v>
      </c>
      <c r="B3529" s="2" t="str">
        <f>IFERROR(__xludf.DUMMYFUNCTION("GOOGLETRANSLATE(A3529, ""en"", ""mt"")"),"Liema perjodu fetaħ l-Oċean Tethys?")</f>
        <v>Liema perjodu fetaħ l-Oċean Tethys?</v>
      </c>
    </row>
    <row r="3530" ht="15.75" customHeight="1">
      <c r="A3530" s="2" t="s">
        <v>3530</v>
      </c>
      <c r="B3530" s="2" t="str">
        <f>IFERROR(__xludf.DUMMYFUNCTION("GOOGLETRANSLATE(A3530, ""en"", ""mt"")"),"Lil fejn ħarbu Ethelred?")</f>
        <v>Lil fejn ħarbu Ethelred?</v>
      </c>
    </row>
    <row r="3531" ht="15.75" customHeight="1">
      <c r="A3531" s="2" t="s">
        <v>3531</v>
      </c>
      <c r="B3531" s="2" t="str">
        <f>IFERROR(__xludf.DUMMYFUNCTION("GOOGLETRANSLATE(A3531, ""en"", ""mt"")"),"aktar kapital")</f>
        <v>aktar kapital</v>
      </c>
    </row>
    <row r="3532" ht="15.75" customHeight="1">
      <c r="A3532" s="2" t="s">
        <v>3532</v>
      </c>
      <c r="B3532" s="2" t="str">
        <f>IFERROR(__xludf.DUMMYFUNCTION("GOOGLETRANSLATE(A3532, ""en"", ""mt"")"),"impatt konsiderevoli")</f>
        <v>impatt konsiderevoli</v>
      </c>
    </row>
    <row r="3533" ht="15.75" customHeight="1">
      <c r="A3533" s="2" t="s">
        <v>3533</v>
      </c>
      <c r="B3533" s="2" t="str">
        <f>IFERROR(__xludf.DUMMYFUNCTION("GOOGLETRANSLATE(A3533, ""en"", ""mt"")"),"Trattat li jemenda")</f>
        <v>Trattat li jemenda</v>
      </c>
    </row>
    <row r="3534" ht="15.75" customHeight="1">
      <c r="A3534" s="2" t="s">
        <v>3534</v>
      </c>
      <c r="B3534" s="2" t="str">
        <f>IFERROR(__xludf.DUMMYFUNCTION("GOOGLETRANSLATE(A3534, ""en"", ""mt"")"),"Liema artikoli jiddikjaraw li d-drittijiet tal-istati membri biex iwasslu s-servizzi pubbliċi jistgħu ma jiġux imxekkla?")</f>
        <v>Liema artikoli jiddikjaraw li d-drittijiet tal-istati membri biex iwasslu s-servizzi pubbliċi jistgħu ma jiġux imxekkla?</v>
      </c>
    </row>
    <row r="3535" ht="15.75" customHeight="1">
      <c r="A3535" s="2" t="s">
        <v>3535</v>
      </c>
      <c r="B3535" s="2" t="str">
        <f>IFERROR(__xludf.DUMMYFUNCTION("GOOGLETRANSLATE(A3535, ""en"", ""mt"")"),"Madwar tlieta")</f>
        <v>Madwar tlieta</v>
      </c>
    </row>
    <row r="3536" ht="15.75" customHeight="1">
      <c r="A3536" s="2" t="s">
        <v>3536</v>
      </c>
      <c r="B3536" s="2" t="str">
        <f>IFERROR(__xludf.DUMMYFUNCTION("GOOGLETRANSLATE(A3536, ""en"", ""mt"")"),"Sir Charles Lyell ippubblika l-ewwel ktieb famuż tiegħu, Principles of Geology, fl-1830. Dan il-ktieb, li influwenza l-ħsieb ta ’Charles Darwin, ippromwova b’suċċess id-duttrina tal-uniformitarjiżmu. Din it-teorija tgħid li proċessi ġeoloġiċi bil-mod seħħ"&amp;"ew matul l-istorja tad-Dinja u għadhom iseħħu sal-lum. B'kuntrast, il-katastrofizmu huwa t-teorija li l-karatteristiċi tad-Dinja ffurmaw f'avvenimenti singoli u katastrofiċi u baqgħu mhux mibdula wara. Għalkemm Hutton emmen fl-uniformitarjiżmu, l-idea ma "&amp;"kinitx aċċettata ħafna dak iż-żmien.")</f>
        <v>Sir Charles Lyell ippubblika l-ewwel ktieb famuż tiegħu, Principles of Geology, fl-1830. Dan il-ktieb, li influwenza l-ħsieb ta ’Charles Darwin, ippromwova b’suċċess id-duttrina tal-uniformitarjiżmu. Din it-teorija tgħid li proċessi ġeoloġiċi bil-mod seħħew matul l-istorja tad-Dinja u għadhom iseħħu sal-lum. B'kuntrast, il-katastrofizmu huwa t-teorija li l-karatteristiċi tad-Dinja ffurmaw f'avvenimenti singoli u katastrofiċi u baqgħu mhux mibdula wara. Għalkemm Hutton emmen fl-uniformitarjiżmu, l-idea ma kinitx aċċettata ħafna dak iż-żmien.</v>
      </c>
    </row>
    <row r="3537" ht="15.75" customHeight="1">
      <c r="A3537" s="2" t="s">
        <v>3537</v>
      </c>
      <c r="B3537" s="2" t="str">
        <f>IFERROR(__xludf.DUMMYFUNCTION("GOOGLETRANSLATE(A3537, ""en"", ""mt"")"),"Il-gass tal-ossiġnu jista 'jiġi prodott ukoll permezz ta' elettroliżi ta 'l-ilma f'ossiġenu molekulari u idroġenu. L-elettriku DC għandu jintuża: Jekk jintuża AC, il-gassijiet f'kull parti tikkonsistu minn idroġenu u ossiġenu fil-proporzjon splussiv 2: 1."&amp;" Kuntrarju għat-twemmin popolari, il-proporzjon 2: 1 osservat fl-elettroliżi DC ta 'ilma aċidifikat ma jipprovax li l-formula empirika ta' l-ilma hija H2O sakemm ma jsirux ċerti suppożizzjonijiet dwar il-formuli molekulari ta 'l-idroġenu u l-ossiġenu nfus"&amp;"hom. Metodu simili huwa l-o elettrokatalitiku
2 Evoluzzjoni minn ossidi u oxoacids. Katalizzaturi kimiċi jistgħu jintużaw ukoll, bħal fil-ġeneraturi tal-ossiġnu kimiku jew xemgħat ta 'ossiġnu li jintużaw bħala parti mit-tagħmir ta' appoġġ għall-ħajja fuq "&amp;"sottomarini, u għadhom parti minn tagħmir standard fuq linji tal-ajru kummerċjali f'każ ta 'emerġenzi ta' depressurizzazzjoni. Teknoloġija oħra ta 'separazzjoni ta' l-arja tinvolvi li l-arja tinħall permezz ta 'membrani taċ-ċeramika bbażati fuq dijossidu "&amp;"taż-żirkonju jew bi pressjoni għolja jew minn kurrent elettriku, biex tipproduċi kważi o pur
2 gass.")</f>
        <v>Il-gass tal-ossiġnu jista 'jiġi prodott ukoll permezz ta' elettroliżi ta 'l-ilma f'ossiġenu molekulari u idroġenu. L-elettriku DC għandu jintuża: Jekk jintuża AC, il-gassijiet f'kull parti tikkonsistu minn idroġenu u ossiġenu fil-proporzjon splussiv 2: 1. Kuntrarju għat-twemmin popolari, il-proporzjon 2: 1 osservat fl-elettroliżi DC ta 'ilma aċidifikat ma jipprovax li l-formula empirika ta' l-ilma hija H2O sakemm ma jsirux ċerti suppożizzjonijiet dwar il-formuli molekulari ta 'l-idroġenu u l-ossiġenu nfushom. Metodu simili huwa l-o elettrokatalitiku
2 Evoluzzjoni minn ossidi u oxoacids. Katalizzaturi kimiċi jistgħu jintużaw ukoll, bħal fil-ġeneraturi tal-ossiġnu kimiku jew xemgħat ta 'ossiġnu li jintużaw bħala parti mit-tagħmir ta' appoġġ għall-ħajja fuq sottomarini, u għadhom parti minn tagħmir standard fuq linji tal-ajru kummerċjali f'każ ta 'emerġenzi ta' depressurizzazzjoni. Teknoloġija oħra ta 'separazzjoni ta' l-arja tinvolvi li l-arja tinħall permezz ta 'membrani taċ-ċeramika bbażati fuq dijossidu taż-żirkonju jew bi pressjoni għolja jew minn kurrent elettriku, biex tipproduċi kważi o pur
2 gass.</v>
      </c>
    </row>
    <row r="3538" ht="15.75" customHeight="1">
      <c r="A3538" s="2" t="s">
        <v>3538</v>
      </c>
      <c r="B3538" s="2" t="str">
        <f>IFERROR(__xludf.DUMMYFUNCTION("GOOGLETRANSLATE(A3538, ""en"", ""mt"")"),"Venom tal-Iskorpjun")</f>
        <v>Venom tal-Iskorpjun</v>
      </c>
    </row>
    <row r="3539" ht="15.75" customHeight="1">
      <c r="A3539" s="2" t="s">
        <v>3539</v>
      </c>
      <c r="B3539" s="2" t="str">
        <f>IFERROR(__xludf.DUMMYFUNCTION("GOOGLETRANSLATE(A3539, ""en"", ""mt"")"),"is-soluzzjoni")</f>
        <v>is-soluzzjoni</v>
      </c>
    </row>
    <row r="3540" ht="15.75" customHeight="1">
      <c r="A3540" s="2" t="s">
        <v>3540</v>
      </c>
      <c r="B3540" s="2" t="str">
        <f>IFERROR(__xludf.DUMMYFUNCTION("GOOGLETRANSLATE(A3540, ""en"", ""mt"")"),"X’għamel l-innu, aus tiefer ma jesprimix?")</f>
        <v>X’għamel l-innu, aus tiefer ma jesprimix?</v>
      </c>
    </row>
    <row r="3541" ht="15.75" customHeight="1">
      <c r="A3541" s="2" t="s">
        <v>3541</v>
      </c>
      <c r="B3541" s="2" t="str">
        <f>IFERROR(__xludf.DUMMYFUNCTION("GOOGLETRANSLATE(A3541, ""en"", ""mt"")"),"Tnejn sa mija")</f>
        <v>Tnejn sa mija</v>
      </c>
    </row>
    <row r="3542" ht="15.75" customHeight="1">
      <c r="A3542" s="2" t="s">
        <v>3542</v>
      </c>
      <c r="B3542" s="2" t="str">
        <f>IFERROR(__xludf.DUMMYFUNCTION("GOOGLETRANSLATE(A3542, ""en"", ""mt"")"),"unjoni sagramentali")</f>
        <v>unjoni sagramentali</v>
      </c>
    </row>
    <row r="3543" ht="15.75" customHeight="1">
      <c r="A3543" s="2" t="s">
        <v>3543</v>
      </c>
      <c r="B3543" s="2" t="str">
        <f>IFERROR(__xludf.DUMMYFUNCTION("GOOGLETRANSLATE(A3543, ""en"", ""mt"")"),"L-era storika")</f>
        <v>L-era storika</v>
      </c>
    </row>
    <row r="3544" ht="15.75" customHeight="1">
      <c r="A3544" s="2" t="s">
        <v>3544</v>
      </c>
      <c r="B3544" s="2" t="str">
        <f>IFERROR(__xludf.DUMMYFUNCTION("GOOGLETRANSLATE(A3544, ""en"", ""mt"")"),"Bantu u Nilotiku")</f>
        <v>Bantu u Nilotiku</v>
      </c>
    </row>
    <row r="3545" ht="15.75" customHeight="1">
      <c r="A3545" s="2" t="s">
        <v>3545</v>
      </c>
      <c r="B3545" s="2" t="str">
        <f>IFERROR(__xludf.DUMMYFUNCTION("GOOGLETRANSLATE(A3545, ""en"", ""mt"")"),"Dynasties Sui u Tang")</f>
        <v>Dynasties Sui u Tang</v>
      </c>
    </row>
    <row r="3546" ht="15.75" customHeight="1">
      <c r="A3546" s="2" t="s">
        <v>3546</v>
      </c>
      <c r="B3546" s="2" t="str">
        <f>IFERROR(__xludf.DUMMYFUNCTION("GOOGLETRANSLATE(A3546, ""en"", ""mt"")"),"Liema fenomenu naturali tesla ħolqot artifiċjalment?")</f>
        <v>Liema fenomenu naturali tesla ħolqot artifiċjalment?</v>
      </c>
    </row>
    <row r="3547" ht="15.75" customHeight="1">
      <c r="A3547" s="2" t="s">
        <v>3547</v>
      </c>
      <c r="B3547" s="2" t="str">
        <f>IFERROR(__xludf.DUMMYFUNCTION("GOOGLETRANSLATE(A3547, ""en"", ""mt"")"),"Ma 'liema sistema Mongoljana għamlet kompromess il-gvern ta' Kublai?")</f>
        <v>Ma 'liema sistema Mongoljana għamlet kompromess il-gvern ta' Kublai?</v>
      </c>
    </row>
    <row r="3548" ht="15.75" customHeight="1">
      <c r="A3548" s="2" t="s">
        <v>3548</v>
      </c>
      <c r="B3548" s="2" t="str">
        <f>IFERROR(__xludf.DUMMYFUNCTION("GOOGLETRANSLATE(A3548, ""en"", ""mt"")"),"Għaliex xi kultant qed jagħti diskors sfidanti għall-individwu?")</f>
        <v>Għaliex xi kultant qed jagħti diskors sfidanti għall-individwu?</v>
      </c>
    </row>
    <row r="3549" ht="15.75" customHeight="1">
      <c r="A3549" s="2" t="s">
        <v>3549</v>
      </c>
      <c r="B3549" s="2" t="str">
        <f>IFERROR(__xludf.DUMMYFUNCTION("GOOGLETRANSLATE(A3549, ""en"", ""mt"")"),"assolut ġdid")</f>
        <v>assolut ġdid</v>
      </c>
    </row>
    <row r="3550" ht="15.75" customHeight="1">
      <c r="A3550" s="2" t="s">
        <v>3550</v>
      </c>
      <c r="B3550" s="2" t="str">
        <f>IFERROR(__xludf.DUMMYFUNCTION("GOOGLETRANSLATE(A3550, ""en"", ""mt"")"),"Stampi mixtrija għax-xandir")</f>
        <v>Stampi mixtrija għax-xandir</v>
      </c>
    </row>
    <row r="3551" ht="15.75" customHeight="1">
      <c r="A3551" s="2" t="s">
        <v>3551</v>
      </c>
      <c r="B3551" s="2" t="str">
        <f>IFERROR(__xludf.DUMMYFUNCTION("GOOGLETRANSLATE(A3551, ""en"", ""mt"")"),"L-intonazzjoni ta 'Luther adottata")</f>
        <v>L-intonazzjoni ta 'Luther adottata</v>
      </c>
    </row>
    <row r="3552" ht="15.75" customHeight="1">
      <c r="A3552" s="2" t="s">
        <v>3552</v>
      </c>
      <c r="B3552" s="2" t="str">
        <f>IFERROR(__xludf.DUMMYFUNCTION("GOOGLETRANSLATE(A3552, ""en"", ""mt"")"),"Fit-turbina tal-fwar, fuq liema huma mmuntati r-rotors?")</f>
        <v>Fit-turbina tal-fwar, fuq liema huma mmuntati r-rotors?</v>
      </c>
    </row>
    <row r="3553" ht="15.75" customHeight="1">
      <c r="A3553" s="2" t="s">
        <v>3553</v>
      </c>
      <c r="B3553" s="2" t="str">
        <f>IFERROR(__xludf.DUMMYFUNCTION("GOOGLETRANSLATE(A3553, ""en"", ""mt"")"),"Il-Ktieb ta ’Roger")</f>
        <v>Il-Ktieb ta ’Roger</v>
      </c>
    </row>
    <row r="3554" ht="15.75" customHeight="1">
      <c r="A3554" s="2" t="s">
        <v>3554</v>
      </c>
      <c r="B3554" s="2" t="str">
        <f>IFERROR(__xludf.DUMMYFUNCTION("GOOGLETRANSLATE(A3554, ""en"", ""mt"")"),"Il-kwistjonijiet ta 'talbiet territorjali konfliġġenti bejn kolonji Ingliżi u Franċiżi")</f>
        <v>Il-kwistjonijiet ta 'talbiet territorjali konfliġġenti bejn kolonji Ingliżi u Franċiżi</v>
      </c>
    </row>
    <row r="3555" ht="15.75" customHeight="1">
      <c r="A3555" s="2" t="s">
        <v>3555</v>
      </c>
      <c r="B3555" s="2" t="str">
        <f>IFERROR(__xludf.DUMMYFUNCTION("GOOGLETRANSLATE(A3555, ""en"", ""mt"")"),"X'kienet ħalliet il-Gwerra Ċivili l-istat ta 'l-ekonomija ta' l-Afganistan?")</f>
        <v>X'kienet ħalliet il-Gwerra Ċivili l-istat ta 'l-ekonomija ta' l-Afganistan?</v>
      </c>
    </row>
    <row r="3556" ht="15.75" customHeight="1">
      <c r="A3556" s="2" t="s">
        <v>3556</v>
      </c>
      <c r="B3556" s="2" t="str">
        <f>IFERROR(__xludf.DUMMYFUNCTION("GOOGLETRANSLATE(A3556, ""en"", ""mt"")"),"Il-Gwerra tas-Suċċessjoni Awstrijaka (li t-teatru tal-Amerika ta ’Fuq hija magħrufa bħala l-Gwerra tar-Re Ġorġ) intemmet formalment fl-1748 bl-iffirmar tat-Trattat ta’ Aix-La-Chapelle. It-trattat kien primarjament iffokat fuq ir-riżoluzzjoni ta 'kwistjoni"&amp;"jiet fl-Ewropa. Il-kwistjonijiet ta 'talbiet territorjali konfliġġenti bejn il-kolonji Ingliżi u Franċiżi fl-Amerika ta' Fuq ġew mibdula f'kummissjoni biex issolvi, iżda ma waslu l-ebda deċiżjoni. Frontiers minn bejn Nova Scotia u Acadia fit-tramuntana, l"&amp;"ejn il-pajjiż ta 'Ohio fin-nofsinhar, ġew mitluba miż-żewġ naħat. It-tilwim estenda wkoll fl-Oċean Atlantiku, fejn iż-żewġ poteri riedu aċċess għas-sajd għani tal-Grand Banks barra Newfoundland.")</f>
        <v>Il-Gwerra tas-Suċċessjoni Awstrijaka (li t-teatru tal-Amerika ta ’Fuq hija magħrufa bħala l-Gwerra tar-Re Ġorġ) intemmet formalment fl-1748 bl-iffirmar tat-Trattat ta’ Aix-La-Chapelle. It-trattat kien primarjament iffokat fuq ir-riżoluzzjoni ta 'kwistjonijiet fl-Ewropa. Il-kwistjonijiet ta 'talbiet territorjali konfliġġenti bejn il-kolonji Ingliżi u Franċiżi fl-Amerika ta' Fuq ġew mibdula f'kummissjoni biex issolvi, iżda ma waslu l-ebda deċiżjoni. Frontiers minn bejn Nova Scotia u Acadia fit-tramuntana, lejn il-pajjiż ta 'Ohio fin-nofsinhar, ġew mitluba miż-żewġ naħat. It-tilwim estenda wkoll fl-Oċean Atlantiku, fejn iż-żewġ poteri riedu aċċess għas-sajd għani tal-Grand Banks barra Newfoundland.</v>
      </c>
    </row>
    <row r="3557" ht="15.75" customHeight="1">
      <c r="A3557" s="2" t="s">
        <v>3557</v>
      </c>
      <c r="B3557" s="2" t="str">
        <f>IFERROR(__xludf.DUMMYFUNCTION("GOOGLETRANSLATE(A3557, ""en"", ""mt"")"),"X'inhu l-isem tal-faċilità ta 'rikreazzjoni primarja ta' Harvard?")</f>
        <v>X'inhu l-isem tal-faċilità ta 'rikreazzjoni primarja ta' Harvard?</v>
      </c>
    </row>
    <row r="3558" ht="15.75" customHeight="1">
      <c r="A3558" s="2" t="s">
        <v>3558</v>
      </c>
      <c r="B3558" s="2" t="str">
        <f>IFERROR(__xludf.DUMMYFUNCTION("GOOGLETRANSLATE(A3558, ""en"", ""mt"")"),"Permezz ta 'assoċjazzjonijiet varji")</f>
        <v>Permezz ta 'assoċjazzjonijiet varji</v>
      </c>
    </row>
    <row r="3559" ht="15.75" customHeight="1">
      <c r="A3559" s="2" t="s">
        <v>3559</v>
      </c>
      <c r="B3559" s="2" t="str">
        <f>IFERROR(__xludf.DUMMYFUNCTION("GOOGLETRANSLATE(A3559, ""en"", ""mt"")"),"Solidarjetà tal-ħabs")</f>
        <v>Solidarjetà tal-ħabs</v>
      </c>
    </row>
    <row r="3560" ht="15.75" customHeight="1">
      <c r="A3560" s="2" t="s">
        <v>3560</v>
      </c>
      <c r="B3560" s="2" t="str">
        <f>IFERROR(__xludf.DUMMYFUNCTION("GOOGLETRANSLATE(A3560, ""en"", ""mt"")"),"X'inhu l-isem ta 'tip ieħor ta' test tal-primalità moderna?")</f>
        <v>X'inhu l-isem ta 'tip ieħor ta' test tal-primalità moderna?</v>
      </c>
    </row>
    <row r="3561" ht="15.75" customHeight="1">
      <c r="A3561" s="2" t="s">
        <v>3561</v>
      </c>
      <c r="B3561" s="2" t="str">
        <f>IFERROR(__xludf.DUMMYFUNCTION("GOOGLETRANSLATE(A3561, ""en"", ""mt"")"),"Thylakoids stromali helicoid")</f>
        <v>Thylakoids stromali helicoid</v>
      </c>
    </row>
    <row r="3562" ht="15.75" customHeight="1">
      <c r="A3562" s="2" t="s">
        <v>3562</v>
      </c>
      <c r="B3562" s="2" t="str">
        <f>IFERROR(__xludf.DUMMYFUNCTION("GOOGLETRANSLATE(A3562, ""en"", ""mt"")"),"Involvi fi djalogu morali")</f>
        <v>Involvi fi djalogu morali</v>
      </c>
    </row>
    <row r="3563" ht="15.75" customHeight="1">
      <c r="A3563" s="2" t="s">
        <v>3563</v>
      </c>
      <c r="B3563" s="2" t="str">
        <f>IFERROR(__xludf.DUMMYFUNCTION("GOOGLETRANSLATE(A3563, ""en"", ""mt"")"),"L-eqdem triq fl-Istati Uniti tal-Amerika")</f>
        <v>L-eqdem triq fl-Istati Uniti tal-Amerika</v>
      </c>
    </row>
    <row r="3564" ht="15.75" customHeight="1">
      <c r="A3564" s="2" t="s">
        <v>3564</v>
      </c>
      <c r="B3564" s="2" t="str">
        <f>IFERROR(__xludf.DUMMYFUNCTION("GOOGLETRANSLATE(A3564, ""en"", ""mt"")"),"kompetizzjoni")</f>
        <v>kompetizzjoni</v>
      </c>
    </row>
    <row r="3565" ht="15.75" customHeight="1">
      <c r="A3565" s="2" t="s">
        <v>3565</v>
      </c>
      <c r="B3565" s="2" t="str">
        <f>IFERROR(__xludf.DUMMYFUNCTION("GOOGLETRANSLATE(A3565, ""en"", ""mt"")"),"Meta Marconi jittrasmetti sinjali simili għal dawk li rċeviet Tesla?")</f>
        <v>Meta Marconi jittrasmetti sinjali simili għal dawk li rċeviet Tesla?</v>
      </c>
    </row>
    <row r="3566" ht="15.75" customHeight="1">
      <c r="A3566" s="2" t="s">
        <v>3566</v>
      </c>
      <c r="B3566" s="2" t="str">
        <f>IFERROR(__xludf.DUMMYFUNCTION("GOOGLETRANSLATE(A3566, ""en"", ""mt"")"),"Santa Eliżabetta")</f>
        <v>Santa Eliżabetta</v>
      </c>
    </row>
    <row r="3567" ht="15.75" customHeight="1">
      <c r="A3567" s="2" t="s">
        <v>3567</v>
      </c>
      <c r="B3567" s="2" t="str">
        <f>IFERROR(__xludf.DUMMYFUNCTION("GOOGLETRANSLATE(A3567, ""en"", ""mt"")"),"Fejn jaħżnu l-lamtu tal-kloroplasti tal-kriptofiti?")</f>
        <v>Fejn jaħżnu l-lamtu tal-kloroplasti tal-kriptofiti?</v>
      </c>
    </row>
    <row r="3568" ht="15.75" customHeight="1">
      <c r="A3568" s="2" t="s">
        <v>3568</v>
      </c>
      <c r="B3568" s="2" t="str">
        <f>IFERROR(__xludf.DUMMYFUNCTION("GOOGLETRANSLATE(A3568, ""en"", ""mt"")"),"Kemm hemm stazzjonijiet tat-televiżjoni u tar-radju li s-servizz diġitali l-ġdid jista 'jġorr?")</f>
        <v>Kemm hemm stazzjonijiet tat-televiżjoni u tar-radju li s-servizz diġitali l-ġdid jista 'jġorr?</v>
      </c>
    </row>
    <row r="3569" ht="15.75" customHeight="1">
      <c r="A3569" s="2" t="s">
        <v>3569</v>
      </c>
      <c r="B3569" s="2" t="str">
        <f>IFERROR(__xludf.DUMMYFUNCTION("GOOGLETRANSLATE(A3569, ""en"", ""mt"")"),"ħames sa għaxar snin")</f>
        <v>ħames sa għaxar snin</v>
      </c>
    </row>
    <row r="3570" ht="15.75" customHeight="1">
      <c r="A3570" s="2" t="s">
        <v>3570</v>
      </c>
      <c r="B3570" s="2" t="str">
        <f>IFERROR(__xludf.DUMMYFUNCTION("GOOGLETRANSLATE(A3570, ""en"", ""mt"")"),"Immunoglobulini")</f>
        <v>Immunoglobulini</v>
      </c>
    </row>
    <row r="3571" ht="15.75" customHeight="1">
      <c r="A3571" s="2" t="s">
        <v>3571</v>
      </c>
      <c r="B3571" s="2" t="str">
        <f>IFERROR(__xludf.DUMMYFUNCTION("GOOGLETRANSLATE(A3571, ""en"", ""mt"")"),"Min jgħallem fi skejjel sekondarji?")</f>
        <v>Min jgħallem fi skejjel sekondarji?</v>
      </c>
    </row>
    <row r="3572" ht="15.75" customHeight="1">
      <c r="A3572" s="2" t="s">
        <v>3572</v>
      </c>
      <c r="B3572" s="2" t="str">
        <f>IFERROR(__xludf.DUMMYFUNCTION("GOOGLETRANSLATE(A3572, ""en"", ""mt"")"),"Fluttwazzjonijiet fil-klima")</f>
        <v>Fluttwazzjonijiet fil-klima</v>
      </c>
    </row>
    <row r="3573" ht="15.75" customHeight="1">
      <c r="A3573" s="2" t="s">
        <v>3573</v>
      </c>
      <c r="B3573" s="2" t="str">
        <f>IFERROR(__xludf.DUMMYFUNCTION("GOOGLETRANSLATE(A3573, ""en"", ""mt"")"),"Fil-komunità usa '")</f>
        <v>Fil-komunità usa '</v>
      </c>
    </row>
    <row r="3574" ht="15.75" customHeight="1">
      <c r="A3574" s="2" t="s">
        <v>3574</v>
      </c>
      <c r="B3574" s="2" t="str">
        <f>IFERROR(__xludf.DUMMYFUNCTION("GOOGLETRANSLATE(A3574, ""en"", ""mt"")"),"Min ta lil Tesla flus biex imur Praga?")</f>
        <v>Min ta lil Tesla flus biex imur Praga?</v>
      </c>
    </row>
    <row r="3575" ht="15.75" customHeight="1">
      <c r="A3575" s="2" t="s">
        <v>3575</v>
      </c>
      <c r="B3575" s="2" t="str">
        <f>IFERROR(__xludf.DUMMYFUNCTION("GOOGLETRANSLATE(A3575, ""en"", ""mt"")"),"Laszlo Babai u Eugene Luks")</f>
        <v>Laszlo Babai u Eugene Luks</v>
      </c>
    </row>
    <row r="3576" ht="15.75" customHeight="1">
      <c r="A3576" s="2" t="s">
        <v>3576</v>
      </c>
      <c r="B3576" s="2" t="str">
        <f>IFERROR(__xludf.DUMMYFUNCTION("GOOGLETRANSLATE(A3576, ""en"", ""mt"")"),"Min mexxa t-truppi ta 'Kievjan Rus kontra l-armata Mongoljana ta' Subutai?")</f>
        <v>Min mexxa t-truppi ta 'Kievjan Rus kontra l-armata Mongoljana ta' Subutai?</v>
      </c>
    </row>
    <row r="3577" ht="15.75" customHeight="1">
      <c r="A3577" s="2" t="s">
        <v>3577</v>
      </c>
      <c r="B3577" s="2" t="str">
        <f>IFERROR(__xludf.DUMMYFUNCTION("GOOGLETRANSLATE(A3577, ""en"", ""mt"")"),"Stazzjonijiet idroelettriċi fid-digi")</f>
        <v>Stazzjonijiet idroelettriċi fid-digi</v>
      </c>
    </row>
    <row r="3578" ht="15.75" customHeight="1">
      <c r="A3578" s="2" t="s">
        <v>3578</v>
      </c>
      <c r="B3578" s="2" t="str">
        <f>IFERROR(__xludf.DUMMYFUNCTION("GOOGLETRANSLATE(A3578, ""en"", ""mt"")"),"X'inhuma ż-żewġ affiljati ABC għal Tampa, Florida?")</f>
        <v>X'inhuma ż-żewġ affiljati ABC għal Tampa, Florida?</v>
      </c>
    </row>
    <row r="3579" ht="15.75" customHeight="1">
      <c r="A3579" s="2" t="s">
        <v>3579</v>
      </c>
      <c r="B3579" s="2" t="str">
        <f>IFERROR(__xludf.DUMMYFUNCTION("GOOGLETRANSLATE(A3579, ""en"", ""mt"")"),"Stanley Steamer")</f>
        <v>Stanley Steamer</v>
      </c>
    </row>
    <row r="3580" ht="15.75" customHeight="1">
      <c r="A3580" s="2" t="s">
        <v>3580</v>
      </c>
      <c r="B3580" s="2" t="str">
        <f>IFERROR(__xludf.DUMMYFUNCTION("GOOGLETRANSLATE(A3580, ""en"", ""mt"")"),"toroq")</f>
        <v>toroq</v>
      </c>
    </row>
    <row r="3581" ht="15.75" customHeight="1">
      <c r="A3581" s="2" t="s">
        <v>3581</v>
      </c>
      <c r="B3581" s="2" t="str">
        <f>IFERROR(__xludf.DUMMYFUNCTION("GOOGLETRANSLATE(A3581, ""en"", ""mt"")"),"X'għandha xxandret is-CBS tas-Super Bowl 50 għall-websajt tagħha, xi apps u media players?")</f>
        <v>X'għandha xxandret is-CBS tas-Super Bowl 50 għall-websajt tagħha, xi apps u media players?</v>
      </c>
    </row>
    <row r="3582" ht="15.75" customHeight="1">
      <c r="A3582" s="2" t="s">
        <v>3582</v>
      </c>
      <c r="B3582" s="2" t="str">
        <f>IFERROR(__xludf.DUMMYFUNCTION("GOOGLETRANSLATE(A3582, ""en"", ""mt"")"),"Vendobionta għex matul liema perjodu?")</f>
        <v>Vendobionta għex matul liema perjodu?</v>
      </c>
    </row>
    <row r="3583" ht="15.75" customHeight="1">
      <c r="A3583" s="2" t="s">
        <v>3583</v>
      </c>
      <c r="B3583" s="2" t="str">
        <f>IFERROR(__xludf.DUMMYFUNCTION("GOOGLETRANSLATE(A3583, ""en"", ""mt"")"),"tliet darbiet")</f>
        <v>tliet darbiet</v>
      </c>
    </row>
    <row r="3584" ht="15.75" customHeight="1">
      <c r="A3584" s="2" t="s">
        <v>3584</v>
      </c>
      <c r="B3584" s="2" t="str">
        <f>IFERROR(__xludf.DUMMYFUNCTION("GOOGLETRANSLATE(A3584, ""en"", ""mt"")"),"tisħin")</f>
        <v>tisħin</v>
      </c>
    </row>
    <row r="3585" ht="15.75" customHeight="1">
      <c r="A3585" s="2" t="s">
        <v>3585</v>
      </c>
      <c r="B3585" s="2" t="str">
        <f>IFERROR(__xludf.DUMMYFUNCTION("GOOGLETRANSLATE(A3585, ""en"", ""mt"")"),"Eroj ta ’Lixandra")</f>
        <v>Eroj ta ’Lixandra</v>
      </c>
    </row>
    <row r="3586" ht="15.75" customHeight="1">
      <c r="A3586" s="2" t="s">
        <v>3586</v>
      </c>
      <c r="B3586" s="2" t="str">
        <f>IFERROR(__xludf.DUMMYFUNCTION("GOOGLETRANSLATE(A3586, ""en"", ""mt"")"),"Liema kummiedja ABC kellha r-rekord għall-itwal kummiedja li kienet għaddejja sakemm għaddiet minn The Simpsons fl-2002?")</f>
        <v>Liema kummiedja ABC kellha r-rekord għall-itwal kummiedja li kienet għaddejja sakemm għaddiet minn The Simpsons fl-2002?</v>
      </c>
    </row>
    <row r="3587" ht="15.75" customHeight="1">
      <c r="A3587" s="2" t="s">
        <v>3587</v>
      </c>
      <c r="B3587" s="2" t="str">
        <f>IFERROR(__xludf.DUMMYFUNCTION("GOOGLETRANSLATE(A3587, ""en"", ""mt"")"),"X'għandhom il-forzi fir-rigward ta 'kwantitajiet addittivi?")</f>
        <v>X'għandhom il-forzi fir-rigward ta 'kwantitajiet addittivi?</v>
      </c>
    </row>
    <row r="3588" ht="15.75" customHeight="1">
      <c r="A3588" s="2" t="s">
        <v>3588</v>
      </c>
      <c r="B3588" s="2" t="str">
        <f>IFERROR(__xludf.DUMMYFUNCTION("GOOGLETRANSLATE(A3588, ""en"", ""mt"")"),"Kemm hemm tipi ta 'netwerks x.25 oriġinarjament kien hemm")</f>
        <v>Kemm hemm tipi ta 'netwerks x.25 oriġinarjament kien hemm</v>
      </c>
    </row>
    <row r="3589" ht="15.75" customHeight="1">
      <c r="A3589" s="2" t="s">
        <v>3589</v>
      </c>
      <c r="B3589" s="2" t="str">
        <f>IFERROR(__xludf.DUMMYFUNCTION("GOOGLETRANSLATE(A3589, ""en"", ""mt"")"),"Il-proċedura tkompli sa liema?")</f>
        <v>Il-proċedura tkompli sa liema?</v>
      </c>
    </row>
    <row r="3590" ht="15.75" customHeight="1">
      <c r="A3590" s="2" t="s">
        <v>3590</v>
      </c>
      <c r="B3590" s="2" t="str">
        <f>IFERROR(__xludf.DUMMYFUNCTION("GOOGLETRANSLATE(A3590, ""en"", ""mt"")"),"il-bilanċ tat-twemmin reliġjuż")</f>
        <v>il-bilanċ tat-twemmin reliġjuż</v>
      </c>
    </row>
    <row r="3591" ht="15.75" customHeight="1">
      <c r="A3591" s="2" t="s">
        <v>3591</v>
      </c>
      <c r="B3591" s="2" t="str">
        <f>IFERROR(__xludf.DUMMYFUNCTION("GOOGLETRANSLATE(A3591, ""en"", ""mt"")"),"Inkurunazzjoni doppja")</f>
        <v>Inkurunazzjoni doppja</v>
      </c>
    </row>
    <row r="3592" ht="15.75" customHeight="1">
      <c r="A3592" s="2" t="s">
        <v>3592</v>
      </c>
      <c r="B3592" s="2" t="str">
        <f>IFERROR(__xludf.DUMMYFUNCTION("GOOGLETRANSLATE(A3592, ""en"", ""mt"")"),"Għaliex wieħed jista 'jinvoka ħati ta' reat li jinvolvi diżubbidjenza ċivili?")</f>
        <v>Għaliex wieħed jista 'jinvoka ħati ta' reat li jinvolvi diżubbidjenza ċivili?</v>
      </c>
    </row>
    <row r="3593" ht="15.75" customHeight="1">
      <c r="A3593" s="2" t="s">
        <v>3593</v>
      </c>
      <c r="B3593" s="2" t="str">
        <f>IFERROR(__xludf.DUMMYFUNCTION("GOOGLETRANSLATE(A3593, ""en"", ""mt"")"),"X'jista 'juża għalliem biex jgħin lill-istudenti jitgħallmu?")</f>
        <v>X'jista 'juża għalliem biex jgħin lill-istudenti jitgħallmu?</v>
      </c>
    </row>
    <row r="3594" ht="15.75" customHeight="1">
      <c r="A3594" s="2" t="s">
        <v>3594</v>
      </c>
      <c r="B3594" s="2" t="str">
        <f>IFERROR(__xludf.DUMMYFUNCTION("GOOGLETRANSLATE(A3594, ""en"", ""mt"")"),"Il-poter leġiżlattiv f'Varsavja huwa mogħti fil-Kunsill tal-Belt Unikameral ta 'Varsavja (Rada Miasta), li jinkludi 60 membru. Il-membri tal-Kunsill huma eletti direttament kull erba 'snin. Bħal fil-biċċa l-kbira tal-korpi leġiżlattivi, il-Kunsill tal-Bel"&amp;"t jaqsam ruħu f'kumitati li għandhom is-sorveljanza ta 'diversi funzjonijiet tal-gvern tal-belt. Il-kontijiet mgħoddija minn maġġoranza sempliċi jintbagħtu lis-Sindku (il-President ta 'Varsavja), li jista' jiffirmahom fil-liġi. Jekk is-Sindku jivvota abbo"&amp;"zz ta ’liġi, il-Kunsill għandu 30 jum biex jwarrab il-veto permezz ta’ vot ta ’maġġoranza ta’ żewġ terzi.")</f>
        <v>Il-poter leġiżlattiv f'Varsavja huwa mogħti fil-Kunsill tal-Belt Unikameral ta 'Varsavja (Rada Miasta), li jinkludi 60 membru. Il-membri tal-Kunsill huma eletti direttament kull erba 'snin. Bħal fil-biċċa l-kbira tal-korpi leġiżlattivi, il-Kunsill tal-Belt jaqsam ruħu f'kumitati li għandhom is-sorveljanza ta 'diversi funzjonijiet tal-gvern tal-belt. Il-kontijiet mgħoddija minn maġġoranza sempliċi jintbagħtu lis-Sindku (il-President ta 'Varsavja), li jista' jiffirmahom fil-liġi. Jekk is-Sindku jivvota abbozz ta ’liġi, il-Kunsill għandu 30 jum biex jwarrab il-veto permezz ta’ vot ta ’maġġoranza ta’ żewġ terzi.</v>
      </c>
    </row>
    <row r="3595" ht="15.75" customHeight="1">
      <c r="A3595" s="2" t="s">
        <v>3595</v>
      </c>
      <c r="B3595" s="2" t="str">
        <f>IFERROR(__xludf.DUMMYFUNCTION("GOOGLETRANSLATE(A3595, ""en"", ""mt"")"),"Jekk Q = 9 u A = 1,2,4,5,7, jew 8, kemm primes ikunu fi progress?")</f>
        <v>Jekk Q = 9 u A = 1,2,4,5,7, jew 8, kemm primes ikunu fi progress?</v>
      </c>
    </row>
    <row r="3596" ht="15.75" customHeight="1">
      <c r="A3596" s="2" t="s">
        <v>3596</v>
      </c>
      <c r="B3596" s="2" t="str">
        <f>IFERROR(__xludf.DUMMYFUNCTION("GOOGLETRANSLATE(A3596, ""en"", ""mt"")"),"Liema skop ikollu Luther biex ma riedx jipprojbixxi l-Koran?")</f>
        <v>Liema skop ikollu Luther biex ma riedx jipprojbixxi l-Koran?</v>
      </c>
    </row>
    <row r="3597" ht="15.75" customHeight="1">
      <c r="A3597" s="2" t="s">
        <v>3597</v>
      </c>
      <c r="B3597" s="2" t="str">
        <f>IFERROR(__xludf.DUMMYFUNCTION("GOOGLETRANSLATE(A3597, ""en"", ""mt"")"),"Liema qorti argumentat li t-Trattat ta 'Ruma ma kienx jipprevjeni n-nazzjonaliżmu tal-enerġija?")</f>
        <v>Liema qorti argumentat li t-Trattat ta 'Ruma ma kienx jipprevjeni n-nazzjonaliżmu tal-enerġija?</v>
      </c>
    </row>
    <row r="3598" ht="15.75" customHeight="1">
      <c r="A3598" s="2" t="s">
        <v>3598</v>
      </c>
      <c r="B3598" s="2" t="str">
        <f>IFERROR(__xludf.DUMMYFUNCTION("GOOGLETRANSLATE(A3598, ""en"", ""mt"")"),"Min għaqqad Genghis Khan qabel ma beda jirbħu l-kumplament tal-Eurasia?")</f>
        <v>Min għaqqad Genghis Khan qabel ma beda jirbħu l-kumplament tal-Eurasia?</v>
      </c>
    </row>
    <row r="3599" ht="15.75" customHeight="1">
      <c r="A3599" s="2" t="s">
        <v>3599</v>
      </c>
      <c r="B3599" s="2" t="str">
        <f>IFERROR(__xludf.DUMMYFUNCTION("GOOGLETRANSLATE(A3599, ""en"", ""mt"")"),"Minn kull sitta")</f>
        <v>Minn kull sitta</v>
      </c>
    </row>
    <row r="3600" ht="15.75" customHeight="1">
      <c r="A3600" s="2" t="s">
        <v>3600</v>
      </c>
      <c r="B3600" s="2" t="str">
        <f>IFERROR(__xludf.DUMMYFUNCTION("GOOGLETRANSLATE(A3600, ""en"", ""mt"")"),"Diski statiċi")</f>
        <v>Diski statiċi</v>
      </c>
    </row>
    <row r="3601" ht="15.75" customHeight="1">
      <c r="A3601" s="2" t="s">
        <v>3601</v>
      </c>
      <c r="B3601" s="2" t="str">
        <f>IFERROR(__xludf.DUMMYFUNCTION("GOOGLETRANSLATE(A3601, ""en"", ""mt"")"),"X’għandu Artur Oppman lid-dinja?")</f>
        <v>X’għandu Artur Oppman lid-dinja?</v>
      </c>
    </row>
    <row r="3602" ht="15.75" customHeight="1">
      <c r="A3602" s="2" t="s">
        <v>3602</v>
      </c>
      <c r="B3602" s="2" t="str">
        <f>IFERROR(__xludf.DUMMYFUNCTION("GOOGLETRANSLATE(A3602, ""en"", ""mt"")"),"Liema renju annessa Varsavja fl-1796?")</f>
        <v>Liema renju annessa Varsavja fl-1796?</v>
      </c>
    </row>
    <row r="3603" ht="15.75" customHeight="1">
      <c r="A3603" s="2" t="s">
        <v>3603</v>
      </c>
      <c r="B3603" s="2" t="str">
        <f>IFERROR(__xludf.DUMMYFUNCTION("GOOGLETRANSLATE(A3603, ""en"", ""mt"")"),"Meta kienet qed tispiċċa l-amministrazzjoni ta 'Kublai?")</f>
        <v>Meta kienet qed tispiċċa l-amministrazzjoni ta 'Kublai?</v>
      </c>
    </row>
    <row r="3604" ht="15.75" customHeight="1">
      <c r="A3604" s="2" t="s">
        <v>3604</v>
      </c>
      <c r="B3604" s="2" t="str">
        <f>IFERROR(__xludf.DUMMYFUNCTION("GOOGLETRANSLATE(A3604, ""en"", ""mt"")"),"Stati ta 'mard kroniku u kumpless")</f>
        <v>Stati ta 'mard kroniku u kumpless</v>
      </c>
    </row>
    <row r="3605" ht="15.75" customHeight="1">
      <c r="A3605" s="2" t="s">
        <v>3605</v>
      </c>
      <c r="B3605" s="2" t="str">
        <f>IFERROR(__xludf.DUMMYFUNCTION("GOOGLETRANSLATE(A3605, ""en"", ""mt"")"),"Konnessjonijiet tal-1972")</f>
        <v>Konnessjonijiet tal-1972</v>
      </c>
    </row>
    <row r="3606" ht="15.75" customHeight="1">
      <c r="A3606" s="2" t="s">
        <v>3606</v>
      </c>
      <c r="B3606" s="2" t="str">
        <f>IFERROR(__xludf.DUMMYFUNCTION("GOOGLETRANSLATE(A3606, ""en"", ""mt"")"),"L-Inkurunazzjoni tar-Reġina Eliżabetta II")</f>
        <v>L-Inkurunazzjoni tar-Reġina Eliżabetta II</v>
      </c>
    </row>
    <row r="3607" ht="15.75" customHeight="1">
      <c r="A3607" s="2" t="s">
        <v>3607</v>
      </c>
      <c r="B3607" s="2" t="str">
        <f>IFERROR(__xludf.DUMMYFUNCTION("GOOGLETRANSLATE(A3607, ""en"", ""mt"")"),"Juri mingħajr ambigwità li Y. pestis kien l-aġent kawżattiv tal-pesta epidemika")</f>
        <v>Juri mingħajr ambigwità li Y. pestis kien l-aġent kawżattiv tal-pesta epidemika</v>
      </c>
    </row>
    <row r="3608" ht="15.75" customHeight="1">
      <c r="A3608" s="2" t="s">
        <v>3608</v>
      </c>
      <c r="B3608" s="2" t="str">
        <f>IFERROR(__xludf.DUMMYFUNCTION("GOOGLETRANSLATE(A3608, ""en"", ""mt"")"),"Screenings ta 'kull ġimgħa tal-episodji klassiċi kollha disponibbli")</f>
        <v>Screenings ta 'kull ġimgħa tal-episodji klassiċi kollha disponibbli</v>
      </c>
    </row>
    <row r="3609" ht="15.75" customHeight="1">
      <c r="A3609" s="2" t="s">
        <v>3609</v>
      </c>
      <c r="B3609" s="2" t="str">
        <f>IFERROR(__xludf.DUMMYFUNCTION("GOOGLETRANSLATE(A3609, ""en"", ""mt"")"),"F'liema spiss jipparteċipaw l-ispiżjara kliniċi?")</f>
        <v>F'liema spiss jipparteċipaw l-ispiżjara kliniċi?</v>
      </c>
    </row>
    <row r="3610" ht="15.75" customHeight="1">
      <c r="A3610" s="2" t="s">
        <v>3610</v>
      </c>
      <c r="B3610" s="2" t="str">
        <f>IFERROR(__xludf.DUMMYFUNCTION("GOOGLETRANSLATE(A3610, ""en"", ""mt"")"),"Min kienu l-ewwel żewġ atturi li lagħbu tabib min?")</f>
        <v>Min kienu l-ewwel żewġ atturi li lagħbu tabib min?</v>
      </c>
    </row>
    <row r="3611" ht="15.75" customHeight="1">
      <c r="A3611" s="2" t="s">
        <v>3611</v>
      </c>
      <c r="B3611" s="2" t="str">
        <f>IFERROR(__xludf.DUMMYFUNCTION("GOOGLETRANSLATE(A3611, ""en"", ""mt"")"),"X'jagħmel bidliet fl-enerġija f'sistema magħluqa?")</f>
        <v>X'jagħmel bidliet fl-enerġija f'sistema magħluqa?</v>
      </c>
    </row>
    <row r="3612" ht="15.75" customHeight="1">
      <c r="A3612" s="2" t="s">
        <v>3612</v>
      </c>
      <c r="B3612" s="2" t="str">
        <f>IFERROR(__xludf.DUMMYFUNCTION("GOOGLETRANSLATE(A3612, ""en"", ""mt"")"),"""Kumitat tal-Konċiljazzjoni""")</f>
        <v>"Kumitat tal-Konċiljazzjoni"</v>
      </c>
    </row>
    <row r="3613" ht="15.75" customHeight="1">
      <c r="A3613" s="2" t="s">
        <v>3613</v>
      </c>
      <c r="B3613" s="2" t="str">
        <f>IFERROR(__xludf.DUMMYFUNCTION("GOOGLETRANSLATE(A3613, ""en"", ""mt"")"),"Il-verżjoni tal-2005 ta 'Doctor Who hija kontinwazzjoni ta' plott dirett tas-serje oriġinali 1963–1989 [Nota 2] u t-Telefilm tal-1996. Dan huwa simili għat-tkomplija tal-1988 tal-Missjoni Impossibbli, iżda huwa differenti mill-biċċa l-kbira tas-serje l-oħ"&amp;"ra li jew ingħataw mill-ġdid (per eżempju, Battlestar Galactica u l-mara bijonika [ċitazzjoni meħtieġa]) jew imwaqqfa fl-istess univers bħall-oriġinal iżda fi differenti Perjodu ta 'żmien u b'karattri differenti (pereżempju, Star Trek: Il-Ġenerazzjoni li "&amp;"Jmiss u l-Spin-Offs [Ċitazzjoni meħtieġa]).")</f>
        <v>Il-verżjoni tal-2005 ta 'Doctor Who hija kontinwazzjoni ta' plott dirett tas-serje oriġinali 1963–1989 [Nota 2] u t-Telefilm tal-1996. Dan huwa simili għat-tkomplija tal-1988 tal-Missjoni Impossibbli, iżda huwa differenti mill-biċċa l-kbira tas-serje l-oħra li jew ingħataw mill-ġdid (per eżempju, Battlestar Galactica u l-mara bijonika [ċitazzjoni meħtieġa]) jew imwaqqfa fl-istess univers bħall-oriġinal iżda fi differenti Perjodu ta 'żmien u b'karattri differenti (pereżempju, Star Trek: Il-Ġenerazzjoni li Jmiss u l-Spin-Offs [Ċitazzjoni meħtieġa]).</v>
      </c>
    </row>
    <row r="3614" ht="15.75" customHeight="1">
      <c r="A3614" s="2" t="s">
        <v>3614</v>
      </c>
      <c r="B3614" s="2" t="str">
        <f>IFERROR(__xludf.DUMMYFUNCTION("GOOGLETRANSLATE(A3614, ""en"", ""mt"")"),"Kif il-pjan aħjar ta 'Jacksonville ġġenera flus?")</f>
        <v>Kif il-pjan aħjar ta 'Jacksonville ġġenera flus?</v>
      </c>
    </row>
    <row r="3615" ht="15.75" customHeight="1">
      <c r="A3615" s="2" t="s">
        <v>3615</v>
      </c>
      <c r="B3615" s="2" t="str">
        <f>IFERROR(__xludf.DUMMYFUNCTION("GOOGLETRANSLATE(A3615, ""en"", ""mt"")"),"Alla")</f>
        <v>Alla</v>
      </c>
    </row>
    <row r="3616" ht="15.75" customHeight="1">
      <c r="A3616" s="2" t="s">
        <v>3616</v>
      </c>
      <c r="B3616" s="2" t="str">
        <f>IFERROR(__xludf.DUMMYFUNCTION("GOOGLETRANSLATE(A3616, ""en"", ""mt"")"),"tagħmilha iktar diffiċli għal sistema biex tiffunzjona")</f>
        <v>tagħmilha iktar diffiċli għal sistema biex tiffunzjona</v>
      </c>
    </row>
    <row r="3617" ht="15.75" customHeight="1">
      <c r="A3617" s="2" t="s">
        <v>3617</v>
      </c>
      <c r="B3617" s="2" t="str">
        <f>IFERROR(__xludf.DUMMYFUNCTION("GOOGLETRANSLATE(A3617, ""en"", ""mt"")"),"Sal-1620 il-Huguenots kienu fuq id-difiża, u l-gvern dejjem applika pressjoni. Serje ta 'tliet gwerer ċivili żgħar magħrufa bħala r-ribelljonijiet Huguenot faqqgħu, l-aktar fil-Lbiċ ta' Franza, bejn l-1621 u l-1629. Revolted kontra l-Awtorità Rjali. Ir-re"&amp;"wwixta seħħet għaxar snin wara l-mewt ta 'Henry IV, Huguenot qabel ma kkonverta għall-Kattoliċiżmu, li kien ipproteġi lill-Protestanti permezz tal-editt ta' Nantes. Is-suċċessur tiegħu Louis XIII, taħt ir-regenza tal-omm Kattolika Taljana tiegħu Marie de "&amp;"'Medici, sar aktar intolleranti għall-Protestantiżmu. Il-Huguenots jirrispondu billi jistabbilixxu strutturi politiċi u militari indipendenti, jistabbilixxu kuntatti diplomatiċi ma 'poteri barranin, u jduru b'mod miftuħ kontra l-poter ċentrali. Ir-ribellj"&amp;"onijiet ġew imrażżna mill-kuruna Franċiża. [Ċitazzjoni meħtieġa]")</f>
        <v>Sal-1620 il-Huguenots kienu fuq id-difiża, u l-gvern dejjem applika pressjoni. Serje ta 'tliet gwerer ċivili żgħar magħrufa bħala r-ribelljonijiet Huguenot faqqgħu, l-aktar fil-Lbiċ ta' Franza, bejn l-1621 u l-1629. Revolted kontra l-Awtorità Rjali. Ir-rewwixta seħħet għaxar snin wara l-mewt ta 'Henry IV, Huguenot qabel ma kkonverta għall-Kattoliċiżmu, li kien ipproteġi lill-Protestanti permezz tal-editt ta' Nantes. Is-suċċessur tiegħu Louis XIII, taħt ir-regenza tal-omm Kattolika Taljana tiegħu Marie de 'Medici, sar aktar intolleranti għall-Protestantiżmu. Il-Huguenots jirrispondu billi jistabbilixxu strutturi politiċi u militari indipendenti, jistabbilixxu kuntatti diplomatiċi ma 'poteri barranin, u jduru b'mod miftuħ kontra l-poter ċentrali. Ir-ribelljonijiet ġew imrażżna mill-kuruna Franċiża. [Ċitazzjoni meħtieġa]</v>
      </c>
    </row>
    <row r="3618" ht="15.75" customHeight="1">
      <c r="A3618" s="2" t="s">
        <v>3618</v>
      </c>
      <c r="B3618" s="2" t="str">
        <f>IFERROR(__xludf.DUMMYFUNCTION("GOOGLETRANSLATE(A3618, ""en"", ""mt"")"),"ordnat minn isqof")</f>
        <v>ordnat minn isqof</v>
      </c>
    </row>
    <row r="3619" ht="15.75" customHeight="1">
      <c r="A3619" s="2" t="s">
        <v>3619</v>
      </c>
      <c r="B3619" s="2" t="str">
        <f>IFERROR(__xludf.DUMMYFUNCTION("GOOGLETRANSLATE(A3619, ""en"", ""mt"")"),"Fl-Istati Uniti, kull stat jiddetermina r-rekwiżiti biex tinkiseb liċenzja biex tgħallem fl-iskejjel pubbliċi. Iċ-ċertifikazzjoni tat-tagħlim ġeneralment iddum tliet snin, iżda l-għalliema jistgħu jirċievu ċertifikati li jdumu sa għaxar snin. L-għalliema "&amp;"tal-iskejjel pubbliċi huma meħtieġa li jkollhom baċellerat u l-maġġoranza għandhom ikunu ċċertifikati mill-istat li fih jgħallmu. Bosta skejjel charter ma jirrikjedux li l-għalliema tagħhom jiġu ċċertifikati, sakemm jissodisfaw l-istandards biex ikunu kwa"&amp;"lifikati ħafna kif stabbilit minn ebda tifel u tifla li tħallew warajhom. Barra minn hekk, ir-rekwiżiti għal għalliema sostituti / temporanji ġeneralment mhumiex daqshekk rigorużi bħal dawk għal professjonisti full-time. L-Uffiċċju tal-Istatistika tax-Xog"&amp;"ħol jistma li hemm 1.4 miljun għalliem tal-iskola elementari, 674,000 għalliem tal-iskola tan-nofs, u 1 miljun għalliem tal-iskola sekondarja impjegati fl-Istati Uniti.")</f>
        <v>Fl-Istati Uniti, kull stat jiddetermina r-rekwiżiti biex tinkiseb liċenzja biex tgħallem fl-iskejjel pubbliċi. Iċ-ċertifikazzjoni tat-tagħlim ġeneralment iddum tliet snin, iżda l-għalliema jistgħu jirċievu ċertifikati li jdumu sa għaxar snin. L-għalliema tal-iskejjel pubbliċi huma meħtieġa li jkollhom baċellerat u l-maġġoranza għandhom ikunu ċċertifikati mill-istat li fih jgħallmu. Bosta skejjel charter ma jirrikjedux li l-għalliema tagħhom jiġu ċċertifikati, sakemm jissodisfaw l-istandards biex ikunu kwalifikati ħafna kif stabbilit minn ebda tifel u tifla li tħallew warajhom. Barra minn hekk, ir-rekwiżiti għal għalliema sostituti / temporanji ġeneralment mhumiex daqshekk rigorużi bħal dawk għal professjonisti full-time. L-Uffiċċju tal-Istatistika tax-Xogħol jistma li hemm 1.4 miljun għalliem tal-iskola elementari, 674,000 għalliem tal-iskola tan-nofs, u 1 miljun għalliem tal-iskola sekondarja impjegati fl-Istati Uniti.</v>
      </c>
    </row>
    <row r="3620" ht="15.75" customHeight="1">
      <c r="A3620" s="2" t="s">
        <v>3620</v>
      </c>
      <c r="B3620" s="2" t="str">
        <f>IFERROR(__xludf.DUMMYFUNCTION("GOOGLETRANSLATE(A3620, ""en"", ""mt"")"),"aktar attiv u għex itwal")</f>
        <v>aktar attiv u għex itwal</v>
      </c>
    </row>
    <row r="3621" ht="15.75" customHeight="1">
      <c r="A3621" s="2" t="s">
        <v>3621</v>
      </c>
      <c r="B3621" s="2" t="str">
        <f>IFERROR(__xludf.DUMMYFUNCTION("GOOGLETRANSLATE(A3621, ""en"", ""mt"")"),"30 sa 50 elf")</f>
        <v>30 sa 50 elf</v>
      </c>
    </row>
    <row r="3622" ht="15.75" customHeight="1">
      <c r="A3622" s="2" t="s">
        <v>3622</v>
      </c>
      <c r="B3622" s="2" t="str">
        <f>IFERROR(__xludf.DUMMYFUNCTION("GOOGLETRANSLATE(A3622, ""en"", ""mt"")"),"V8 u sitt magni taċ-ċilindru")</f>
        <v>V8 u sitt magni taċ-ċilindru</v>
      </c>
    </row>
    <row r="3623" ht="15.75" customHeight="1">
      <c r="A3623" s="2" t="s">
        <v>3623</v>
      </c>
      <c r="B3623" s="2" t="str">
        <f>IFERROR(__xludf.DUMMYFUNCTION("GOOGLETRANSLATE(A3623, ""en"", ""mt"")"),"Inkorporati fil-membrani tat-tilakoid huma kumplessi importanti tal-proteini li jwettqu r-reazzjonijiet ħfief tal-fotosintesi. Photosystem II u Photosystem I fihom kumplessi ta 'ħsad ħafif bi klorofilla u karotenojdi li jassorbu l-enerġija ħafifa u jużawh"&amp;"a biex iħaddmu l-elettroni. Il-molekuli fil-membrana tat-tilkoid jużaw l-elettroni enerġizzati biex jippompjaw joni tal-idroġenu fl-ispazju tat-tilakoid, jonqsu l-pH u jduru aċiduż. ATP synthase huwa kumpless kbir ta 'proteina li jisfrutta l-gradjent tal-"&amp;"konċentrazzjoni tal-joni tal-idroġenu fl-ispazju tat-tilkoid biex jiġġenera l-enerġija ATP hekk kif l-joni tal-idroġenu joħorġu lura fl-istoma - ħafna bħal turbina tad-diga.")</f>
        <v>Inkorporati fil-membrani tat-tilakoid huma kumplessi importanti tal-proteini li jwettqu r-reazzjonijiet ħfief tal-fotosintesi. Photosystem II u Photosystem I fihom kumplessi ta 'ħsad ħafif bi klorofilla u karotenojdi li jassorbu l-enerġija ħafifa u jużawha biex iħaddmu l-elettroni. Il-molekuli fil-membrana tat-tilkoid jużaw l-elettroni enerġizzati biex jippompjaw joni tal-idroġenu fl-ispazju tat-tilakoid, jonqsu l-pH u jduru aċiduż. ATP synthase huwa kumpless kbir ta 'proteina li jisfrutta l-gradjent tal-konċentrazzjoni tal-joni tal-idroġenu fl-ispazju tat-tilkoid biex jiġġenera l-enerġija ATP hekk kif l-joni tal-idroġenu joħorġu lura fl-istoma - ħafna bħal turbina tad-diga.</v>
      </c>
    </row>
    <row r="3624" ht="15.75" customHeight="1">
      <c r="A3624" s="2" t="s">
        <v>3624</v>
      </c>
      <c r="B3624" s="2" t="str">
        <f>IFERROR(__xludf.DUMMYFUNCTION("GOOGLETRANSLATE(A3624, ""en"", ""mt"")"),"X’jagħmel battering waqt l-assedju ta ’Newcastle?")</f>
        <v>X’jagħmel battering waqt l-assedju ta ’Newcastle?</v>
      </c>
    </row>
    <row r="3625" ht="15.75" customHeight="1">
      <c r="A3625" s="2" t="s">
        <v>3625</v>
      </c>
      <c r="B3625" s="2" t="str">
        <f>IFERROR(__xludf.DUMMYFUNCTION("GOOGLETRANSLATE(A3625, ""en"", ""mt"")"),"X'inhu l-freeman ta 'Newcastle jagħmlu bil-baqar tagħhom fuq il-belt Moor?")</f>
        <v>X'inhu l-freeman ta 'Newcastle jagħmlu bil-baqar tagħhom fuq il-belt Moor?</v>
      </c>
    </row>
    <row r="3626" ht="15.75" customHeight="1">
      <c r="A3626" s="2" t="s">
        <v>3626</v>
      </c>
      <c r="B3626" s="2" t="str">
        <f>IFERROR(__xludf.DUMMYFUNCTION("GOOGLETRANSLATE(A3626, ""en"", ""mt"")"),"Iż-żieda fil-livell tal-baħar attwali kienet 'il fuq mill-parti ta' fuq tal-firxa")</f>
        <v>Iż-żieda fil-livell tal-baħar attwali kienet 'il fuq mill-parti ta' fuq tal-firxa</v>
      </c>
    </row>
    <row r="3627" ht="15.75" customHeight="1">
      <c r="A3627" s="2" t="s">
        <v>3627</v>
      </c>
      <c r="B3627" s="2" t="str">
        <f>IFERROR(__xludf.DUMMYFUNCTION("GOOGLETRANSLATE(A3627, ""en"", ""mt"")"),"Il-ħdax")</f>
        <v>Il-ħdax</v>
      </c>
    </row>
    <row r="3628" ht="15.75" customHeight="1">
      <c r="A3628" s="2" t="s">
        <v>3628</v>
      </c>
      <c r="B3628" s="2" t="str">
        <f>IFERROR(__xludf.DUMMYFUNCTION("GOOGLETRANSLATE(A3628, ""en"", ""mt"")"),"Sussegwentement, Californios (mhux sodisfatti bit-taxxi u l-liġijiet tal-art inġusti) u s-southers favur l-iskjavitù fil- ""kontej tal-baqar"" popolati ħafif fin-Nofsinhar ta 'California li ppruvaw tliet darbiet fl-1850s biex jiksbu stat ta' stat separat "&amp;"jew territorjali separat mit-Tramuntana ta 'California. L-aħħar attentat, l-Att Pico tal-1859, ġie mgħoddi mil-Leġislatura tal-Istat ta ’Kalifornja u ffirmat mill-Gvernatur tal-Istat John B. Weller. Ġie approvat bil-kbir bi kważi 75% tal-votanti fit-terri"&amp;"torju propost ta 'Colorado. Dan it-territorju kellu jinkludi l-kontej kollha sal-Kontea ta 'Tulare ħafna dak iż-żmien ikbar (li kien jinkludi dak li issa huwa Kings, ħafna mill-Kern, u parti mill-kontej Inyo) u l-Kontea ta' San Luis Obispo. Il-proposta nt"&amp;"bagħtet lil Washington, D.C. ma 'avukat qawwi fis-Senatur Milton Latham. Madankollu, il-kriżi tas-seċessjoni wara l-elezzjoni ta 'Abraham Lincoln fl-1860 wasslet għall-proposta li qatt ma tasal għal vot.")</f>
        <v>Sussegwentement, Californios (mhux sodisfatti bit-taxxi u l-liġijiet tal-art inġusti) u s-southers favur l-iskjavitù fil- "kontej tal-baqar" popolati ħafif fin-Nofsinhar ta 'California li ppruvaw tliet darbiet fl-1850s biex jiksbu stat ta' stat separat jew territorjali separat mit-Tramuntana ta 'California. L-aħħar attentat, l-Att Pico tal-1859, ġie mgħoddi mil-Leġislatura tal-Istat ta ’Kalifornja u ffirmat mill-Gvernatur tal-Istat John B. Weller. Ġie approvat bil-kbir bi kważi 75% tal-votanti fit-territorju propost ta 'Colorado. Dan it-territorju kellu jinkludi l-kontej kollha sal-Kontea ta 'Tulare ħafna dak iż-żmien ikbar (li kien jinkludi dak li issa huwa Kings, ħafna mill-Kern, u parti mill-kontej Inyo) u l-Kontea ta' San Luis Obispo. Il-proposta ntbagħtet lil Washington, D.C. ma 'avukat qawwi fis-Senatur Milton Latham. Madankollu, il-kriżi tas-seċessjoni wara l-elezzjoni ta 'Abraham Lincoln fl-1860 wasslet għall-proposta li qatt ma tasal għal vot.</v>
      </c>
    </row>
    <row r="3629" ht="15.75" customHeight="1">
      <c r="A3629" s="2" t="s">
        <v>3629</v>
      </c>
      <c r="B3629" s="2" t="str">
        <f>IFERROR(__xludf.DUMMYFUNCTION("GOOGLETRANSLATE(A3629, ""en"", ""mt"")"),"pestilenza kbira fl-arja")</f>
        <v>pestilenza kbira fl-arja</v>
      </c>
    </row>
    <row r="3630" ht="15.75" customHeight="1">
      <c r="A3630" s="2" t="s">
        <v>3630</v>
      </c>
      <c r="B3630" s="2" t="str">
        <f>IFERROR(__xludf.DUMMYFUNCTION("GOOGLETRANSLATE(A3630, ""en"", ""mt"")"),"It-tliet drives li ġejjin")</f>
        <v>It-tliet drives li ġejjin</v>
      </c>
    </row>
    <row r="3631" ht="15.75" customHeight="1">
      <c r="A3631" s="2" t="s">
        <v>3631</v>
      </c>
      <c r="B3631" s="2" t="str">
        <f>IFERROR(__xludf.DUMMYFUNCTION("GOOGLETRANSLATE(A3631, ""en"", ""mt"")"),"Varsavja baqgħet il-kapitali tal-Commonwealth Pollakka-Litwana sal-1796, meta ġiet annessa mir-renju tal-Prussja biex issir il-kapitali tal-provinċja tan-Nofsinhar tal-Prussja. Meħlus mill-armata ta 'Napuljun fl-1806, Varsavja saret il-kapitali tad-Dukat "&amp;"ta' Varsavja li għadu kif inħoloq. Wara l-Kungress ta ’Vjenna tal-1815, Varsavja sar iċ-ċentru tal-Kungress tal-Polonja, monarkija kostituzzjonali taħt unjoni personali mar-Russja Imperjali. L-Università Rjali ta ’Varsavja ġiet stabbilita fl-1816.")</f>
        <v>Varsavja baqgħet il-kapitali tal-Commonwealth Pollakka-Litwana sal-1796, meta ġiet annessa mir-renju tal-Prussja biex issir il-kapitali tal-provinċja tan-Nofsinhar tal-Prussja. Meħlus mill-armata ta 'Napuljun fl-1806, Varsavja saret il-kapitali tad-Dukat ta' Varsavja li għadu kif inħoloq. Wara l-Kungress ta ’Vjenna tal-1815, Varsavja sar iċ-ċentru tal-Kungress tal-Polonja, monarkija kostituzzjonali taħt unjoni personali mar-Russja Imperjali. L-Università Rjali ta ’Varsavja ġiet stabbilita fl-1816.</v>
      </c>
    </row>
    <row r="3632" ht="15.75" customHeight="1">
      <c r="A3632" s="2" t="s">
        <v>3632</v>
      </c>
      <c r="B3632" s="2" t="str">
        <f>IFERROR(__xludf.DUMMYFUNCTION("GOOGLETRANSLATE(A3632, ""en"", ""mt"")"),"Min hu eżempju ta 'nies sedentarji li ma kinux iffavoriti mil-liġijiet tal-imperu Mongoljan?")</f>
        <v>Min hu eżempju ta 'nies sedentarji li ma kinux iffavoriti mil-liġijiet tal-imperu Mongoljan?</v>
      </c>
    </row>
    <row r="3633" ht="15.75" customHeight="1">
      <c r="A3633" s="2" t="s">
        <v>3633</v>
      </c>
      <c r="B3633" s="2" t="str">
        <f>IFERROR(__xludf.DUMMYFUNCTION("GOOGLETRANSLATE(A3633, ""en"", ""mt"")"),"inklużjonijiet")</f>
        <v>inklużjonijiet</v>
      </c>
    </row>
    <row r="3634" ht="15.75" customHeight="1">
      <c r="A3634" s="2" t="s">
        <v>3634</v>
      </c>
      <c r="B3634" s="2" t="str">
        <f>IFERROR(__xludf.DUMMYFUNCTION("GOOGLETRANSLATE(A3634, ""en"", ""mt"")"),"driegħ")</f>
        <v>driegħ</v>
      </c>
    </row>
    <row r="3635" ht="15.75" customHeight="1">
      <c r="A3635" s="2" t="s">
        <v>3635</v>
      </c>
      <c r="B3635" s="2" t="str">
        <f>IFERROR(__xludf.DUMMYFUNCTION("GOOGLETRANSLATE(A3635, ""en"", ""mt"")"),"Bayeux Tapestry")</f>
        <v>Bayeux Tapestry</v>
      </c>
    </row>
    <row r="3636" ht="15.75" customHeight="1">
      <c r="A3636" s="2" t="s">
        <v>3636</v>
      </c>
      <c r="B3636" s="2" t="str">
        <f>IFERROR(__xludf.DUMMYFUNCTION("GOOGLETRANSLATE(A3636, ""en"", ""mt"")"),"Influwenza imperjalista")</f>
        <v>Influwenza imperjalista</v>
      </c>
    </row>
    <row r="3637" ht="15.75" customHeight="1">
      <c r="A3637" s="2" t="s">
        <v>3637</v>
      </c>
      <c r="B3637" s="2" t="str">
        <f>IFERROR(__xludf.DUMMYFUNCTION("GOOGLETRANSLATE(A3637, ""en"", ""mt"")"),"Kull erba 'snin.")</f>
        <v>Kull erba 'snin.</v>
      </c>
    </row>
    <row r="3638" ht="15.75" customHeight="1">
      <c r="A3638" s="2" t="s">
        <v>3638</v>
      </c>
      <c r="B3638" s="2" t="str">
        <f>IFERROR(__xludf.DUMMYFUNCTION("GOOGLETRANSLATE(A3638, ""en"", ""mt"")"),"Disturbi fl-ilma maħluqa miċ-ċili")</f>
        <v>Disturbi fl-ilma maħluqa miċ-ċili</v>
      </c>
    </row>
    <row r="3639" ht="15.75" customHeight="1">
      <c r="A3639" s="2" t="s">
        <v>3639</v>
      </c>
      <c r="B3639" s="2" t="str">
        <f>IFERROR(__xludf.DUMMYFUNCTION("GOOGLETRANSLATE(A3639, ""en"", ""mt"")"),"Fl-2013, l-identità ta 'ABC ġiet imġedda mill-ġdid minn liema aġenzija tad-disinn?")</f>
        <v>Fl-2013, l-identità ta 'ABC ġiet imġedda mill-ġdid minn liema aġenzija tad-disinn?</v>
      </c>
    </row>
    <row r="3640" ht="15.75" customHeight="1">
      <c r="A3640" s="2" t="s">
        <v>3640</v>
      </c>
      <c r="B3640" s="2" t="str">
        <f>IFERROR(__xludf.DUMMYFUNCTION("GOOGLETRANSLATE(A3640, ""en"", ""mt"")"),"Stokk firxa akbar ta 'mediċini, inklużi mediċini aktar speċjalizzati")</f>
        <v>Stokk firxa akbar ta 'mediċini, inklużi mediċini aktar speċjalizzati</v>
      </c>
    </row>
    <row r="3641" ht="15.75" customHeight="1">
      <c r="A3641" s="2" t="s">
        <v>3641</v>
      </c>
      <c r="B3641" s="2" t="str">
        <f>IFERROR(__xludf.DUMMYFUNCTION("GOOGLETRANSLATE(A3641, ""en"", ""mt"")"),"Min elenka l-arkitettura tas-suq Grainger bħala Grad 1 fl-1954?")</f>
        <v>Min elenka l-arkitettura tas-suq Grainger bħala Grad 1 fl-1954?</v>
      </c>
    </row>
    <row r="3642" ht="15.75" customHeight="1">
      <c r="A3642" s="2" t="s">
        <v>3642</v>
      </c>
      <c r="B3642" s="2" t="str">
        <f>IFERROR(__xludf.DUMMYFUNCTION("GOOGLETRANSLATE(A3642, ""en"", ""mt"")"),"F'April 1970, il-Kungress għadda l-Att dwar it-Tipjip tas-Sigaretti tas-Saħħa Pubblika li pprojbixxa r-reklamar tas-sigaretti min-netwerks kollha tat-televiżjoni u tar-radju, inkluż ABC, meta daħal fis-seħħ fit-2 ta 'Jannar, 1971. Iċċita profittabilità li"&amp;"mitata taċ-ċinemas tiegħu, ABC Great Stati, il-Punent Ċentrali, il-Punent Ċentrali Id-Diviżjoni tat-Teatri tal-ABC, inbiegħet lil Henry Plitt fl-1974. Fis-17 ta 'Jannar, 1972, ir-regola Elton ġiet imsemmija president u uffiċjal kap operattiv ta' ABC ftit "&amp;"xhur wara li Goldenson naqqas ir-rwol tiegħu fil-kumpanija wara li sofra attakk tal-qalb.")</f>
        <v>F'April 1970, il-Kungress għadda l-Att dwar it-Tipjip tas-Sigaretti tas-Saħħa Pubblika li pprojbixxa r-reklamar tas-sigaretti min-netwerks kollha tat-televiżjoni u tar-radju, inkluż ABC, meta daħal fis-seħħ fit-2 ta 'Jannar, 1971. Iċċita profittabilità limitata taċ-ċinemas tiegħu, ABC Great Stati, il-Punent Ċentrali, il-Punent Ċentrali Id-Diviżjoni tat-Teatri tal-ABC, inbiegħet lil Henry Plitt fl-1974. Fis-17 ta 'Jannar, 1972, ir-regola Elton ġiet imsemmija president u uffiċjal kap operattiv ta' ABC ftit xhur wara li Goldenson naqqas ir-rwol tiegħu fil-kumpanija wara li sofra attakk tal-qalb.</v>
      </c>
    </row>
    <row r="3643" ht="15.75" customHeight="1">
      <c r="A3643" s="2" t="s">
        <v>3643</v>
      </c>
      <c r="B3643" s="2" t="str">
        <f>IFERROR(__xludf.DUMMYFUNCTION("GOOGLETRANSLATE(A3643, ""en"", ""mt"")"),"Minn meta kienet il-parti tar-Rhine tal-kultura Areal of Hallstatt?")</f>
        <v>Minn meta kienet il-parti tar-Rhine tal-kultura Areal of Hallstatt?</v>
      </c>
    </row>
    <row r="3644" ht="15.75" customHeight="1">
      <c r="A3644" s="2" t="s">
        <v>3644</v>
      </c>
      <c r="B3644" s="2" t="str">
        <f>IFERROR(__xludf.DUMMYFUNCTION("GOOGLETRANSLATE(A3644, ""en"", ""mt"")"),"mhux restawrat mill-awtoritajiet komunisti")</f>
        <v>mhux restawrat mill-awtoritajiet komunisti</v>
      </c>
    </row>
    <row r="3645" ht="15.75" customHeight="1">
      <c r="A3645" s="2" t="s">
        <v>3645</v>
      </c>
      <c r="B3645" s="2" t="str">
        <f>IFERROR(__xludf.DUMMYFUNCTION("GOOGLETRANSLATE(A3645, ""en"", ""mt"")"),"Diversi gruppi alleati")</f>
        <v>Diversi gruppi alleati</v>
      </c>
    </row>
    <row r="3646" ht="15.75" customHeight="1">
      <c r="A3646" s="2" t="s">
        <v>3646</v>
      </c>
      <c r="B3646" s="2" t="str">
        <f>IFERROR(__xludf.DUMMYFUNCTION("GOOGLETRANSLATE(A3646, ""en"", ""mt"")"),"X'jagħmlu livelli għoljin ta 'inugwaljanza għat-tkabbir f'pajjiżi foqra?")</f>
        <v>X'jagħmlu livelli għoljin ta 'inugwaljanza għat-tkabbir f'pajjiżi foqra?</v>
      </c>
    </row>
    <row r="3647" ht="15.75" customHeight="1">
      <c r="A3647" s="2" t="s">
        <v>3647</v>
      </c>
      <c r="B3647" s="2" t="str">
        <f>IFERROR(__xludf.DUMMYFUNCTION("GOOGLETRANSLATE(A3647, ""en"", ""mt"")"),"Cork City")</f>
        <v>Cork City</v>
      </c>
    </row>
    <row r="3648" ht="15.75" customHeight="1">
      <c r="A3648" s="2" t="s">
        <v>3648</v>
      </c>
      <c r="B3648" s="2" t="str">
        <f>IFERROR(__xludf.DUMMYFUNCTION("GOOGLETRANSLATE(A3648, ""en"", ""mt"")"),"xogħol tal-magna")</f>
        <v>xogħol tal-magna</v>
      </c>
    </row>
    <row r="3649" ht="15.75" customHeight="1">
      <c r="A3649" s="2" t="s">
        <v>3649</v>
      </c>
      <c r="B3649" s="2" t="str">
        <f>IFERROR(__xludf.DUMMYFUNCTION("GOOGLETRANSLATE(A3649, ""en"", ""mt"")"),"Ħalib tas-sider")</f>
        <v>Ħalib tas-sider</v>
      </c>
    </row>
    <row r="3650" ht="15.75" customHeight="1">
      <c r="A3650" s="2" t="s">
        <v>3650</v>
      </c>
      <c r="B3650" s="2" t="str">
        <f>IFERROR(__xludf.DUMMYFUNCTION("GOOGLETRANSLATE(A3650, ""en"", ""mt"")"),"Liema annimali jinkludu l-ekosistema tax-Xmara Vistula?")</f>
        <v>Liema annimali jinkludu l-ekosistema tax-Xmara Vistula?</v>
      </c>
    </row>
    <row r="3651" ht="15.75" customHeight="1">
      <c r="A3651" s="2" t="s">
        <v>3651</v>
      </c>
      <c r="B3651" s="2" t="str">
        <f>IFERROR(__xludf.DUMMYFUNCTION("GOOGLETRANSLATE(A3651, ""en"", ""mt"")"),"100-150")</f>
        <v>100-150</v>
      </c>
    </row>
    <row r="3652" ht="15.75" customHeight="1">
      <c r="A3652" s="2" t="s">
        <v>3652</v>
      </c>
      <c r="B3652" s="2" t="str">
        <f>IFERROR(__xludf.DUMMYFUNCTION("GOOGLETRANSLATE(A3652, ""en"", ""mt"")"),"F'liema pajjiż tal-Lvant Nofsani huwa l-isem popolari ta 'Genghis Khan għal tfal maskili?")</f>
        <v>F'liema pajjiż tal-Lvant Nofsani huwa l-isem popolari ta 'Genghis Khan għal tfal maskili?</v>
      </c>
    </row>
    <row r="3653" ht="15.75" customHeight="1">
      <c r="A3653" s="2" t="s">
        <v>3653</v>
      </c>
      <c r="B3653" s="2" t="str">
        <f>IFERROR(__xludf.DUMMYFUNCTION("GOOGLETRANSLATE(A3653, ""en"", ""mt"")"),"X'jikkommemora l-istorja erojka ta 'Varsavja?")</f>
        <v>X'jikkommemora l-istorja erojka ta 'Varsavja?</v>
      </c>
    </row>
    <row r="3654" ht="15.75" customHeight="1">
      <c r="A3654" s="2" t="s">
        <v>3654</v>
      </c>
      <c r="B3654" s="2" t="str">
        <f>IFERROR(__xludf.DUMMYFUNCTION("GOOGLETRANSLATE(A3654, ""en"", ""mt"")"),"Segretarjat Wing")</f>
        <v>Segretarjat Wing</v>
      </c>
    </row>
    <row r="3655" ht="15.75" customHeight="1">
      <c r="A3655" s="2" t="s">
        <v>3655</v>
      </c>
      <c r="B3655" s="2" t="str">
        <f>IFERROR(__xludf.DUMMYFUNCTION("GOOGLETRANSLATE(A3655, ""en"", ""mt"")"),"Rocketry u SpaceFlight Space Fidled, inklużi Avijoniċi, Telekomunikazzjonijiet, u Kompjuters")</f>
        <v>Rocketry u SpaceFlight Space Fidled, inklużi Avijoniċi, Telekomunikazzjonijiet, u Kompjuters</v>
      </c>
    </row>
    <row r="3656" ht="15.75" customHeight="1">
      <c r="A3656" s="2" t="s">
        <v>3656</v>
      </c>
      <c r="B3656" s="2" t="str">
        <f>IFERROR(__xludf.DUMMYFUNCTION("GOOGLETRANSLATE(A3656, ""en"", ""mt"")"),"Ġeneratur elettriku")</f>
        <v>Ġeneratur elettriku</v>
      </c>
    </row>
    <row r="3657" ht="15.75" customHeight="1">
      <c r="A3657" s="2" t="s">
        <v>3657</v>
      </c>
      <c r="B3657" s="2" t="str">
        <f>IFERROR(__xludf.DUMMYFUNCTION("GOOGLETRANSLATE(A3657, ""en"", ""mt"")"),"X'kien l-iskor finali tal-logħba bejn il-Broncos u l-Steelers?")</f>
        <v>X'kien l-iskor finali tal-logħba bejn il-Broncos u l-Steelers?</v>
      </c>
    </row>
    <row r="3658" ht="15.75" customHeight="1">
      <c r="A3658" s="2" t="s">
        <v>3658</v>
      </c>
      <c r="B3658" s="2" t="str">
        <f>IFERROR(__xludf.DUMMYFUNCTION("GOOGLETRANSLATE(A3658, ""en"", ""mt"")"),"kanali li permezz tagħhom l-inugwaljanza tista 'taffettwa t-tkabbir ekonomiku")</f>
        <v>kanali li permezz tagħhom l-inugwaljanza tista 'taffettwa t-tkabbir ekonomiku</v>
      </c>
    </row>
    <row r="3659" ht="15.75" customHeight="1">
      <c r="A3659" s="2" t="s">
        <v>3659</v>
      </c>
      <c r="B3659" s="2" t="str">
        <f>IFERROR(__xludf.DUMMYFUNCTION("GOOGLETRANSLATE(A3659, ""en"", ""mt"")"),"temperaturi")</f>
        <v>temperaturi</v>
      </c>
    </row>
    <row r="3660" ht="15.75" customHeight="1">
      <c r="A3660" s="2" t="s">
        <v>3660</v>
      </c>
      <c r="B3660" s="2" t="str">
        <f>IFERROR(__xludf.DUMMYFUNCTION("GOOGLETRANSLATE(A3660, ""en"", ""mt"")"),"btieti tal-aringi")</f>
        <v>btieti tal-aringi</v>
      </c>
    </row>
    <row r="3661" ht="15.75" customHeight="1">
      <c r="A3661" s="2" t="s">
        <v>3661</v>
      </c>
      <c r="B3661" s="2" t="str">
        <f>IFERROR(__xludf.DUMMYFUNCTION("GOOGLETRANSLATE(A3661, ""en"", ""mt"")"),"Radjazzjoni tal-ibbrejkjar")</f>
        <v>Radjazzjoni tal-ibbrejkjar</v>
      </c>
    </row>
    <row r="3662" ht="15.75" customHeight="1">
      <c r="A3662" s="2" t="s">
        <v>3662</v>
      </c>
      <c r="B3662" s="2" t="str">
        <f>IFERROR(__xludf.DUMMYFUNCTION("GOOGLETRANSLATE(A3662, ""en"", ""mt"")"),"tnejn")</f>
        <v>tnejn</v>
      </c>
    </row>
    <row r="3663" ht="15.75" customHeight="1">
      <c r="A3663" s="2" t="s">
        <v>3663</v>
      </c>
      <c r="B3663" s="2" t="str">
        <f>IFERROR(__xludf.DUMMYFUNCTION("GOOGLETRANSLATE(A3663, ""en"", ""mt"")"),"Yassa kbira")</f>
        <v>Yassa kbira</v>
      </c>
    </row>
    <row r="3664" ht="15.75" customHeight="1">
      <c r="A3664" s="2" t="s">
        <v>3664</v>
      </c>
      <c r="B3664" s="2" t="str">
        <f>IFERROR(__xludf.DUMMYFUNCTION("GOOGLETRANSLATE(A3664, ""en"", ""mt"")"),"Għaliex l-ispeċi kostali huma iebsa?")</f>
        <v>Għaliex l-ispeċi kostali huma iebsa?</v>
      </c>
    </row>
    <row r="3665" ht="15.75" customHeight="1">
      <c r="A3665" s="2" t="s">
        <v>3665</v>
      </c>
      <c r="B3665" s="2" t="str">
        <f>IFERROR(__xludf.DUMMYFUNCTION("GOOGLETRANSLATE(A3665, ""en"", ""mt"")"),"Premjijiet tal-Akkademja, Emmy Awards")</f>
        <v>Premjijiet tal-Akkademja, Emmy Awards</v>
      </c>
    </row>
    <row r="3666" ht="15.75" customHeight="1">
      <c r="A3666" s="2" t="s">
        <v>3666</v>
      </c>
      <c r="B3666" s="2" t="str">
        <f>IFERROR(__xludf.DUMMYFUNCTION("GOOGLETRANSLATE(A3666, ""en"", ""mt"")"),"Waħda mill-aktar partijiet drammatiċi tal-mużew hija l-qrati mitfugħa fil-ġwienaħ tal-iskultura, li jinkludu żewġ kmamar kbar u tamboljati żewġ sulari li joqogħdu għoljin mijiet ta ’kasti ta’ ġibs ta ’skulturi, friezes u oqbra. Waħda minn dawn hija ddomin"&amp;"ata minn replika fuq skala sħiħa tal-kolonna ta 'Trajan, maqtugħa bin-nofs sabiex toqgħod taħt il-limitu. L-ieħor jinkludi riproduzzjonijiet ta 'diversi xogħlijiet ta' skultura u arkitettura ta 'Rinaxximent Taljan, inkluża replika ta' daqs sħiħ ta 'David "&amp;"ta' Michelangelo. Replikazzjonijiet ta 'żewġ Davids preċedenti minn David ta' Donatello u David ta 'Verrocchio, huma wkoll inklużi, għalkemm għal raġunijiet ta' konservazzjoni r-replika ta 'Verrocchio hija murija f'każ tal-ħġieġ.")</f>
        <v>Waħda mill-aktar partijiet drammatiċi tal-mużew hija l-qrati mitfugħa fil-ġwienaħ tal-iskultura, li jinkludu żewġ kmamar kbar u tamboljati żewġ sulari li joqogħdu għoljin mijiet ta ’kasti ta’ ġibs ta ’skulturi, friezes u oqbra. Waħda minn dawn hija ddominata minn replika fuq skala sħiħa tal-kolonna ta 'Trajan, maqtugħa bin-nofs sabiex toqgħod taħt il-limitu. L-ieħor jinkludi riproduzzjonijiet ta 'diversi xogħlijiet ta' skultura u arkitettura ta 'Rinaxximent Taljan, inkluża replika ta' daqs sħiħ ta 'David ta' Michelangelo. Replikazzjonijiet ta 'żewġ Davids preċedenti minn David ta' Donatello u David ta 'Verrocchio, huma wkoll inklużi, għalkemm għal raġunijiet ta' konservazzjoni r-replika ta 'Verrocchio hija murija f'każ tal-ħġieġ.</v>
      </c>
    </row>
    <row r="3667" ht="15.75" customHeight="1">
      <c r="A3667" s="2" t="s">
        <v>3667</v>
      </c>
      <c r="B3667" s="2" t="str">
        <f>IFERROR(__xludf.DUMMYFUNCTION("GOOGLETRANSLATE(A3667, ""en"", ""mt"")"),"silikati (f'minerali tas-silikat)")</f>
        <v>silikati (f'minerali tas-silikat)</v>
      </c>
    </row>
    <row r="3668" ht="15.75" customHeight="1">
      <c r="A3668" s="2" t="s">
        <v>3668</v>
      </c>
      <c r="B3668" s="2" t="str">
        <f>IFERROR(__xludf.DUMMYFUNCTION("GOOGLETRANSLATE(A3668, ""en"", ""mt"")"),"Biex tlesti l-kostruzzjoni ta 'Wardenclyffe")</f>
        <v>Biex tlesti l-kostruzzjoni ta 'Wardenclyffe</v>
      </c>
    </row>
    <row r="3669" ht="15.75" customHeight="1">
      <c r="A3669" s="2" t="s">
        <v>3669</v>
      </c>
      <c r="B3669" s="2" t="str">
        <f>IFERROR(__xludf.DUMMYFUNCTION("GOOGLETRANSLATE(A3669, ""en"", ""mt"")"),"Forza konservattiva li taġixxi fuq sistema magħluqa għandha xogħol mekkaniku assoċjat li jippermetti li l-enerġija tikkonverti biss bejn forom kinetiċi jew potenzjali. Dan ifisser li għal sistema magħluqa, l-enerġija mekkanika netta tiġi kkonservata kull "&amp;"meta forza konservattiva taġixxi fis-sistema. Il-forza, għalhekk, hija relatata direttament mad-differenza fl-enerġija potenzjali bejn żewġ postijiet differenti fl-ispazju, u tista 'titqies bħala artifact tal-kamp potenzjali bl-istess mod li d-direzzjoni "&amp;"u l-ammont ta' fluss ta 'ilma jistgħu jitqiesu Biex tkun artifact tal-mappa tal-kontorn tal-elevazzjoni ta 'żona.")</f>
        <v>Forza konservattiva li taġixxi fuq sistema magħluqa għandha xogħol mekkaniku assoċjat li jippermetti li l-enerġija tikkonverti biss bejn forom kinetiċi jew potenzjali. Dan ifisser li għal sistema magħluqa, l-enerġija mekkanika netta tiġi kkonservata kull meta forza konservattiva taġixxi fis-sistema. Il-forza, għalhekk, hija relatata direttament mad-differenza fl-enerġija potenzjali bejn żewġ postijiet differenti fl-ispazju, u tista 'titqies bħala artifact tal-kamp potenzjali bl-istess mod li d-direzzjoni u l-ammont ta' fluss ta 'ilma jistgħu jitqiesu Biex tkun artifact tal-mappa tal-kontorn tal-elevazzjoni ta 'żona.</v>
      </c>
    </row>
    <row r="3670" ht="15.75" customHeight="1">
      <c r="A3670" s="2" t="s">
        <v>3670</v>
      </c>
      <c r="B3670" s="2" t="str">
        <f>IFERROR(__xludf.DUMMYFUNCTION("GOOGLETRANSLATE(A3670, ""en"", ""mt"")"),"Il-kloroplasti ta 'xi hornworts u alka")</f>
        <v>Il-kloroplasti ta 'xi hornworts u alka</v>
      </c>
    </row>
    <row r="3671" ht="15.75" customHeight="1">
      <c r="A3671" s="2" t="s">
        <v>3671</v>
      </c>
      <c r="B3671" s="2" t="str">
        <f>IFERROR(__xludf.DUMMYFUNCTION("GOOGLETRANSLATE(A3671, ""en"", ""mt"")"),"Mekkaniżmu ta 'ċirku rolling")</f>
        <v>Mekkaniżmu ta 'ċirku rolling</v>
      </c>
    </row>
    <row r="3672" ht="15.75" customHeight="1">
      <c r="A3672" s="2" t="s">
        <v>3672</v>
      </c>
      <c r="B3672" s="2" t="str">
        <f>IFERROR(__xludf.DUMMYFUNCTION("GOOGLETRANSLATE(A3672, ""en"", ""mt"")"),"Assassin Deadly u Mawdryn Undead")</f>
        <v>Assassin Deadly u Mawdryn Undead</v>
      </c>
    </row>
    <row r="3673" ht="15.75" customHeight="1">
      <c r="A3673" s="2" t="s">
        <v>3673</v>
      </c>
      <c r="B3673" s="2" t="str">
        <f>IFERROR(__xludf.DUMMYFUNCTION("GOOGLETRANSLATE(A3673, ""en"", ""mt"")"),"Meta kienet il-ftuħ ta '""Super Bowl City""?")</f>
        <v>Meta kienet il-ftuħ ta '"Super Bowl City"?</v>
      </c>
    </row>
    <row r="3674" ht="15.75" customHeight="1">
      <c r="A3674" s="2" t="s">
        <v>3674</v>
      </c>
      <c r="B3674" s="2" t="str">
        <f>IFERROR(__xludf.DUMMYFUNCTION("GOOGLETRANSLATE(A3674, ""en"", ""mt"")"),"Diversi impjiegi ta 'tiswija elettrika")</f>
        <v>Diversi impjiegi ta 'tiswija elettrika</v>
      </c>
    </row>
    <row r="3675" ht="15.75" customHeight="1">
      <c r="A3675" s="2" t="s">
        <v>3675</v>
      </c>
      <c r="B3675" s="2" t="str">
        <f>IFERROR(__xludf.DUMMYFUNCTION("GOOGLETRANSLATE(A3675, ""en"", ""mt"")"),"Renu Nofsani")</f>
        <v>Renu Nofsani</v>
      </c>
    </row>
    <row r="3676" ht="15.75" customHeight="1">
      <c r="A3676" s="2" t="s">
        <v>3676</v>
      </c>
      <c r="B3676" s="2" t="str">
        <f>IFERROR(__xludf.DUMMYFUNCTION("GOOGLETRANSLATE(A3676, ""en"", ""mt"")"),"Q jew il-qasam finit b'elementi P")</f>
        <v>Q jew il-qasam finit b'elementi P</v>
      </c>
    </row>
    <row r="3677" ht="15.75" customHeight="1">
      <c r="A3677" s="2" t="s">
        <v>3677</v>
      </c>
      <c r="B3677" s="2" t="str">
        <f>IFERROR(__xludf.DUMMYFUNCTION("GOOGLETRANSLATE(A3677, ""en"", ""mt"")"),"Meta Levi's Stadium ingħata d-dritt li jospita Super Bowl 50?")</f>
        <v>Meta Levi's Stadium ingħata d-dritt li jospita Super Bowl 50?</v>
      </c>
    </row>
    <row r="3678" ht="15.75" customHeight="1">
      <c r="A3678" s="2" t="s">
        <v>3678</v>
      </c>
      <c r="B3678" s="2" t="str">
        <f>IFERROR(__xludf.DUMMYFUNCTION("GOOGLETRANSLATE(A3678, ""en"", ""mt"")"),"X'tip ta 'mewġ iddikjara li josserva?")</f>
        <v>X'tip ta 'mewġ iddikjara li josserva?</v>
      </c>
    </row>
    <row r="3679" ht="15.75" customHeight="1">
      <c r="A3679" s="2" t="s">
        <v>3679</v>
      </c>
      <c r="B3679" s="2" t="str">
        <f>IFERROR(__xludf.DUMMYFUNCTION("GOOGLETRANSLATE(A3679, ""en"", ""mt"")"),"Barra minn hekk, hemm $ 2 miljun f'avvenimenti anċillari oħra, inkluż avveniment ta 'ġimgħa fit-tul taċ-Ċentru tal-Konvenzjonijiet ta' Santa Clara, festival tal-birra, tal-inbid u tal-ikel fil-Bellomy Field fl-Università ta 'Santa Clara, u rally PEP. Ġbir"&amp;" ta 'fondi professjonali se jgħin biex isib sponsors tan-negozju u donaturi individwali, iżda xorta jista' jkollu bżonn il-Kunsill tal-Belt biex jgħin jiffinanzja l-avveniment. Finanzjament addizzjonali se jkun ipprovdut mill-Kunsill tal-Belt, li ħabbar p"&amp;"janijiet biex iwarrab il-finanzjament taż-żerriegħa għall-avveniment.")</f>
        <v>Barra minn hekk, hemm $ 2 miljun f'avvenimenti anċillari oħra, inkluż avveniment ta 'ġimgħa fit-tul taċ-Ċentru tal-Konvenzjonijiet ta' Santa Clara, festival tal-birra, tal-inbid u tal-ikel fil-Bellomy Field fl-Università ta 'Santa Clara, u rally PEP. Ġbir ta 'fondi professjonali se jgħin biex isib sponsors tan-negozju u donaturi individwali, iżda xorta jista' jkollu bżonn il-Kunsill tal-Belt biex jgħin jiffinanzja l-avveniment. Finanzjament addizzjonali se jkun ipprovdut mill-Kunsill tal-Belt, li ħabbar pjanijiet biex iwarrab il-finanzjament taż-żerriegħa għall-avveniment.</v>
      </c>
    </row>
    <row r="3680" ht="15.75" customHeight="1">
      <c r="A3680" s="2" t="s">
        <v>3680</v>
      </c>
      <c r="B3680" s="2" t="str">
        <f>IFERROR(__xludf.DUMMYFUNCTION("GOOGLETRANSLATE(A3680, ""en"", ""mt"")"),"74 fil-mija, jew 260 mill-352 vot")</f>
        <v>74 fil-mija, jew 260 mill-352 vot</v>
      </c>
    </row>
    <row r="3681" ht="15.75" customHeight="1">
      <c r="A3681" s="2" t="s">
        <v>3681</v>
      </c>
      <c r="B3681" s="2" t="str">
        <f>IFERROR(__xludf.DUMMYFUNCTION("GOOGLETRANSLATE(A3681, ""en"", ""mt"")"),"paramagnetiku")</f>
        <v>paramagnetiku</v>
      </c>
    </row>
    <row r="3682" ht="15.75" customHeight="1">
      <c r="A3682" s="2" t="s">
        <v>3682</v>
      </c>
      <c r="B3682" s="2" t="str">
        <f>IFERROR(__xludf.DUMMYFUNCTION("GOOGLETRANSLATE(A3682, ""en"", ""mt"")"),"pur o")</f>
        <v>pur o</v>
      </c>
    </row>
    <row r="3683" ht="15.75" customHeight="1">
      <c r="A3683" s="2" t="s">
        <v>3683</v>
      </c>
      <c r="B3683" s="2" t="str">
        <f>IFERROR(__xludf.DUMMYFUNCTION("GOOGLETRANSLATE(A3683, ""en"", ""mt"")"),"X'tip ta 'mġieba reliġjuża kienet kontra Tesla?")</f>
        <v>X'tip ta 'mġieba reliġjuża kienet kontra Tesla?</v>
      </c>
    </row>
    <row r="3684" ht="15.75" customHeight="1">
      <c r="A3684" s="2" t="s">
        <v>3684</v>
      </c>
      <c r="B3684" s="2" t="str">
        <f>IFERROR(__xludf.DUMMYFUNCTION("GOOGLETRANSLATE(A3684, ""en"", ""mt"")"),"F’liema reġjuni b’mod partikolari għamlu l-armati ċivili tal-massakru ta ’Genghis Khan?")</f>
        <v>F’liema reġjuni b’mod partikolari għamlu l-armati ċivili tal-massakru ta ’Genghis Khan?</v>
      </c>
    </row>
    <row r="3685" ht="15.75" customHeight="1">
      <c r="A3685" s="2" t="s">
        <v>3685</v>
      </c>
      <c r="B3685" s="2" t="str">
        <f>IFERROR(__xludf.DUMMYFUNCTION("GOOGLETRANSLATE(A3685, ""en"", ""mt"")"),"Tesla kompla jsegwi l-ideat tiegħu ta 'dawl bla fili u distribuzzjoni ta' l-elettriku fl-esperimenti ta 'enerġija ta' frekwenza għolja tiegħu fi New York u Colorado Springs, u għamel pronunzji bikrija (1893) dwar il-possibbiltà ta 'komunikazzjoni mingħajr"&amp;" fili mat-tagħmir tiegħu. Huwa pprova jpoġġi dawn l-ideat għal użu prattiku f'tentattiv ħażin ta 'trasmissjoni bla fili interkontinentali, il-proġett tiegħu mhux mitmum Wardenclyffe Tower. Fil-laboratorju tiegħu huwa mexxa wkoll firxa ta 'esperimenti ma' "&amp;"oxxillaturi / ġeneraturi mekkaniċi, tubi ta 'kwittanza elettrika, u immaġini bikrija tar-raġġi X. Huwa bena wkoll dgħajsa kkontrollata mingħajr fili, waħda mill-ewwel li qatt kienet esibita.")</f>
        <v>Tesla kompla jsegwi l-ideat tiegħu ta 'dawl bla fili u distribuzzjoni ta' l-elettriku fl-esperimenti ta 'enerġija ta' frekwenza għolja tiegħu fi New York u Colorado Springs, u għamel pronunzji bikrija (1893) dwar il-possibbiltà ta 'komunikazzjoni mingħajr fili mat-tagħmir tiegħu. Huwa pprova jpoġġi dawn l-ideat għal użu prattiku f'tentattiv ħażin ta 'trasmissjoni bla fili interkontinentali, il-proġett tiegħu mhux mitmum Wardenclyffe Tower. Fil-laboratorju tiegħu huwa mexxa wkoll firxa ta 'esperimenti ma' oxxillaturi / ġeneraturi mekkaniċi, tubi ta 'kwittanza elettrika, u immaġini bikrija tar-raġġi X. Huwa bena wkoll dgħajsa kkontrollata mingħajr fili, waħda mill-ewwel li qatt kienet esibita.</v>
      </c>
    </row>
    <row r="3686" ht="15.75" customHeight="1">
      <c r="A3686" s="2" t="s">
        <v>3686</v>
      </c>
      <c r="B3686" s="2" t="str">
        <f>IFERROR(__xludf.DUMMYFUNCTION("GOOGLETRANSLATE(A3686, ""en"", ""mt"")"),"Kabinett tal-Konferenza Annwali")</f>
        <v>Kabinett tal-Konferenza Annwali</v>
      </c>
    </row>
    <row r="3687" ht="15.75" customHeight="1">
      <c r="A3687" s="2" t="s">
        <v>3687</v>
      </c>
      <c r="B3687" s="2" t="str">
        <f>IFERROR(__xludf.DUMMYFUNCTION("GOOGLETRANSLATE(A3687, ""en"", ""mt"")"),"Liema kotba tal-fantasija għandhom referenzi għal Doctor Who?")</f>
        <v>Liema kotba tal-fantasija għandhom referenzi għal Doctor Who?</v>
      </c>
    </row>
    <row r="3688" ht="15.75" customHeight="1">
      <c r="A3688" s="2" t="s">
        <v>3688</v>
      </c>
      <c r="B3688" s="2" t="str">
        <f>IFERROR(__xludf.DUMMYFUNCTION("GOOGLETRANSLATE(A3688, ""en"", ""mt"")"),"Fejn seħħew dawn ir-rewwixti?")</f>
        <v>Fejn seħħew dawn ir-rewwixti?</v>
      </c>
    </row>
    <row r="3689" ht="15.75" customHeight="1">
      <c r="A3689" s="2" t="s">
        <v>3689</v>
      </c>
      <c r="B3689" s="2" t="str">
        <f>IFERROR(__xludf.DUMMYFUNCTION("GOOGLETRANSLATE(A3689, ""en"", ""mt"")"),"Ġeografija Mediterranja")</f>
        <v>Ġeografija Mediterranja</v>
      </c>
    </row>
    <row r="3690" ht="15.75" customHeight="1">
      <c r="A3690" s="2" t="s">
        <v>3690</v>
      </c>
      <c r="B3690" s="2" t="str">
        <f>IFERROR(__xludf.DUMMYFUNCTION("GOOGLETRANSLATE(A3690, ""en"", ""mt"")"),"X’għandu jonqos il-kolonjaliżmu dak l-imperjalizmu?")</f>
        <v>X’għandu jonqos il-kolonjaliżmu dak l-imperjalizmu?</v>
      </c>
    </row>
    <row r="3691" ht="15.75" customHeight="1">
      <c r="A3691" s="2" t="s">
        <v>3691</v>
      </c>
      <c r="B3691" s="2" t="str">
        <f>IFERROR(__xludf.DUMMYFUNCTION("GOOGLETRANSLATE(A3691, ""en"", ""mt"")"),"simbolikament preżenti.")</f>
        <v>simbolikament preżenti.</v>
      </c>
    </row>
    <row r="3692" ht="15.75" customHeight="1">
      <c r="A3692" s="2" t="s">
        <v>3692</v>
      </c>
      <c r="B3692" s="2" t="str">
        <f>IFERROR(__xludf.DUMMYFUNCTION("GOOGLETRANSLATE(A3692, ""en"", ""mt"")"),"Wara li tiskopri l-istress f'ċellula")</f>
        <v>Wara li tiskopri l-istress f'ċellula</v>
      </c>
    </row>
    <row r="3693" ht="15.75" customHeight="1">
      <c r="A3693" s="2" t="s">
        <v>3693</v>
      </c>
      <c r="B3693" s="2" t="str">
        <f>IFERROR(__xludf.DUMMYFUNCTION("GOOGLETRANSLATE(A3693, ""en"", ""mt"")"),"kmieni fis-snin sebgħin")</f>
        <v>kmieni fis-snin sebgħin</v>
      </c>
    </row>
    <row r="3694" ht="15.75" customHeight="1">
      <c r="A3694" s="2" t="s">
        <v>3694</v>
      </c>
      <c r="B3694" s="2" t="str">
        <f>IFERROR(__xludf.DUMMYFUNCTION("GOOGLETRANSLATE(A3694, ""en"", ""mt"")"),"25 ta 'Diċembru")</f>
        <v>25 ta 'Diċembru</v>
      </c>
    </row>
    <row r="3695" ht="15.75" customHeight="1">
      <c r="A3695" s="2" t="s">
        <v>3695</v>
      </c>
      <c r="B3695" s="2" t="str">
        <f>IFERROR(__xludf.DUMMYFUNCTION("GOOGLETRANSLATE(A3695, ""en"", ""mt"")"),"driegħ miksur")</f>
        <v>driegħ miksur</v>
      </c>
    </row>
    <row r="3696" ht="15.75" customHeight="1">
      <c r="A3696" s="2" t="s">
        <v>3696</v>
      </c>
      <c r="B3696" s="2" t="str">
        <f>IFERROR(__xludf.DUMMYFUNCTION("GOOGLETRANSLATE(A3696, ""en"", ""mt"")"),"Żona amorfa tal-Ewropa Ċentrali.")</f>
        <v>Żona amorfa tal-Ewropa Ċentrali.</v>
      </c>
    </row>
    <row r="3697" ht="15.75" customHeight="1">
      <c r="A3697" s="2" t="s">
        <v>3697</v>
      </c>
      <c r="B3697" s="2" t="str">
        <f>IFERROR(__xludf.DUMMYFUNCTION("GOOGLETRANSLATE(A3697, ""en"", ""mt"")"),"U.S.")</f>
        <v>U.S.</v>
      </c>
    </row>
    <row r="3698" ht="15.75" customHeight="1">
      <c r="A3698" s="2" t="s">
        <v>3698</v>
      </c>
      <c r="B3698" s="2" t="str">
        <f>IFERROR(__xludf.DUMMYFUNCTION("GOOGLETRANSLATE(A3698, ""en"", ""mt"")"),"Fl-1939, c. 1,300,000 persuna għexu f'Varsavja, iżda fl-1945 - 420,000 biss. Matul l-ewwel snin wara l-gwerra, it-tkabbir tal-popolazzjoni kien ċ. 6%, hekk fi żmien qasir il-belt bdiet tbati min-nuqqas ta 'appartamenti u minn żoni għal djar ġodda. L-ewwel"&amp;" miżura ta 'rimedju kienet it-Tkabbir taż-Żona ta' Varsav Biex tikseb ir-reġistrazzjoni, u għalhekk tnaqqas bin-nofs it-tkabbir tal-popolazzjoni fis-snin ta 'wara. Huwa saħħaħ ukoll xi tip ta ’kundanna fost il-Pollakki li Varsovians ħasbu lilhom infushom "&amp;"bħala aħjar biss għax għexu fil-kapitali. Sfortunatament dan it-twemmin għadu jgħix fil-Polonja (għalkemm mhux daqs kemm kien qabel) - minkejja li mill-1990 m'hemmx limitazzjoni għar-reġistrazzjoni tar-residenza.")</f>
        <v>Fl-1939, c. 1,300,000 persuna għexu f'Varsavja, iżda fl-1945 - 420,000 biss. Matul l-ewwel snin wara l-gwerra, it-tkabbir tal-popolazzjoni kien ċ. 6%, hekk fi żmien qasir il-belt bdiet tbati min-nuqqas ta 'appartamenti u minn żoni għal djar ġodda. L-ewwel miżura ta 'rimedju kienet it-Tkabbir taż-Żona ta' Varsav Biex tikseb ir-reġistrazzjoni, u għalhekk tnaqqas bin-nofs it-tkabbir tal-popolazzjoni fis-snin ta 'wara. Huwa saħħaħ ukoll xi tip ta ’kundanna fost il-Pollakki li Varsovians ħasbu lilhom infushom bħala aħjar biss għax għexu fil-kapitali. Sfortunatament dan it-twemmin għadu jgħix fil-Polonja (għalkemm mhux daqs kemm kien qabel) - minkejja li mill-1990 m'hemmx limitazzjoni għar-reġistrazzjoni tar-residenza.</v>
      </c>
    </row>
    <row r="3699" ht="15.75" customHeight="1">
      <c r="A3699" s="2" t="s">
        <v>3699</v>
      </c>
      <c r="B3699" s="2" t="str">
        <f>IFERROR(__xludf.DUMMYFUNCTION("GOOGLETRANSLATE(A3699, ""en"", ""mt"")"),"X'inhu l-Kastell Irjali l-iktar eżempju interessanti ta '?")</f>
        <v>X'inhu l-Kastell Irjali l-iktar eżempju interessanti ta '?</v>
      </c>
    </row>
    <row r="3700" ht="15.75" customHeight="1">
      <c r="A3700" s="2" t="s">
        <v>3700</v>
      </c>
      <c r="B3700" s="2" t="str">
        <f>IFERROR(__xludf.DUMMYFUNCTION("GOOGLETRANSLATE(A3700, ""en"", ""mt"")"),"Ċirku ta 'numru sħiħ ta' oqsma ta 'numri kwadratiċi")</f>
        <v>Ċirku ta 'numru sħiħ ta' oqsma ta 'numri kwadratiċi</v>
      </c>
    </row>
    <row r="3701" ht="15.75" customHeight="1">
      <c r="A3701" s="2" t="s">
        <v>3701</v>
      </c>
      <c r="B3701" s="2" t="str">
        <f>IFERROR(__xludf.DUMMYFUNCTION("GOOGLETRANSLATE(A3701, ""en"", ""mt"")"),"Effettiv")</f>
        <v>Effettiv</v>
      </c>
    </row>
    <row r="3702" ht="15.75" customHeight="1">
      <c r="A3702" s="2" t="s">
        <v>3702</v>
      </c>
      <c r="B3702" s="2" t="str">
        <f>IFERROR(__xludf.DUMMYFUNCTION("GOOGLETRANSLATE(A3702, ""en"", ""mt"")"),"X’kienu l-aħħar ftit mit-tnedijiet tal-Boilerplate CSM magħhom?")</f>
        <v>X’kienu l-aħħar ftit mit-tnedijiet tal-Boilerplate CSM magħhom?</v>
      </c>
    </row>
    <row r="3703" ht="15.75" customHeight="1">
      <c r="A3703" s="2" t="s">
        <v>3703</v>
      </c>
      <c r="B3703" s="2" t="str">
        <f>IFERROR(__xludf.DUMMYFUNCTION("GOOGLETRANSLATE(A3703, ""en"", ""mt"")"),"Essenzjali għall-bidu tat-traduzzjoni fil-biċċa l-kbira tal-kloroplasti u l-prokarioti")</f>
        <v>Essenzjali għall-bidu tat-traduzzjoni fil-biċċa l-kbira tal-kloroplasti u l-prokarioti</v>
      </c>
    </row>
    <row r="3704" ht="15.75" customHeight="1">
      <c r="A3704" s="2" t="s">
        <v>3704</v>
      </c>
      <c r="B3704" s="2" t="str">
        <f>IFERROR(__xludf.DUMMYFUNCTION("GOOGLETRANSLATE(A3704, ""en"", ""mt"")"),"X'forma ż-żona metropolitana El Centro u l-forma taż-żona metropolitana ta 'San Diego-Carslbad-San Marcos?")</f>
        <v>X'forma ż-żona metropolitana El Centro u l-forma taż-żona metropolitana ta 'San Diego-Carslbad-San Marcos?</v>
      </c>
    </row>
    <row r="3705" ht="15.75" customHeight="1">
      <c r="A3705" s="2" t="s">
        <v>3705</v>
      </c>
      <c r="B3705" s="2" t="str">
        <f>IFERROR(__xludf.DUMMYFUNCTION("GOOGLETRANSLATE(A3705, ""en"", ""mt"")"),"Liema persentaġġ ta 'lewkoċiti jirrappreżentaw in-newtrofili?")</f>
        <v>Liema persentaġġ ta 'lewkoċiti jirrappreżentaw in-newtrofili?</v>
      </c>
    </row>
    <row r="3706" ht="15.75" customHeight="1">
      <c r="A3706" s="2" t="s">
        <v>3706</v>
      </c>
      <c r="B3706" s="2" t="str">
        <f>IFERROR(__xludf.DUMMYFUNCTION("GOOGLETRANSLATE(A3706, ""en"", ""mt"")"),"Minħabba l-elettroni mhux imqabbla tagħha")</f>
        <v>Minħabba l-elettroni mhux imqabbla tagħha</v>
      </c>
    </row>
    <row r="3707" ht="15.75" customHeight="1">
      <c r="A3707" s="2" t="s">
        <v>3707</v>
      </c>
      <c r="B3707" s="2" t="str">
        <f>IFERROR(__xludf.DUMMYFUNCTION("GOOGLETRANSLATE(A3707, ""en"", ""mt"")"),"L-Università ta 'Chicago (Uchicago, Chicago, jew U ta' C) hija università ta 'riċerka privata f'Chicago. L-università, stabbilita fl-1890, tikkonsisti fil-Kulleġġ, diversi programmi ta ’gradwati, kumitati interdixxiplinarji organizzati f’erba’ diviżjoniji"&amp;"et ta ’riċerka akkademiċi u seba’ skejjel professjonali. Lil hinn mill-Arti u x-Xjenzi, Chicago hija magħrufa wkoll għall-iskejjel professjonali tagħha, li jinkludu l-Iskola tal-Mediċina Pritzker, l-Iskola tan-Negozju tal-Università ta 'Chicago, l-Iskola "&amp;"tal-Liġi, l-Iskola tas-Servizz Soċjali, l-Iskola Harris tal-Politika Pubblika Studji, l-Iskola Graham ta ’Studji Liberali u Professjonali kontinwi u l-Iskola Divinità. L-università bħalissa tirreġistra madwar 5,000 student fil-kulleġġ u madwar 15,000 stud"&amp;"ent ġenerali.")</f>
        <v>L-Università ta 'Chicago (Uchicago, Chicago, jew U ta' C) hija università ta 'riċerka privata f'Chicago. L-università, stabbilita fl-1890, tikkonsisti fil-Kulleġġ, diversi programmi ta ’gradwati, kumitati interdixxiplinarji organizzati f’erba’ diviżjonijiet ta ’riċerka akkademiċi u seba’ skejjel professjonali. Lil hinn mill-Arti u x-Xjenzi, Chicago hija magħrufa wkoll għall-iskejjel professjonali tagħha, li jinkludu l-Iskola tal-Mediċina Pritzker, l-Iskola tan-Negozju tal-Università ta 'Chicago, l-Iskola tal-Liġi, l-Iskola tas-Servizz Soċjali, l-Iskola Harris tal-Politika Pubblika Studji, l-Iskola Graham ta ’Studji Liberali u Professjonali kontinwi u l-Iskola Divinità. L-università bħalissa tirreġistra madwar 5,000 student fil-kulleġġ u madwar 15,000 student ġenerali.</v>
      </c>
    </row>
    <row r="3708" ht="15.75" customHeight="1">
      <c r="A3708" s="2" t="s">
        <v>3708</v>
      </c>
      <c r="B3708" s="2" t="str">
        <f>IFERROR(__xludf.DUMMYFUNCTION("GOOGLETRANSLATE(A3708, ""en"", ""mt"")"),"9.75 / 10.600 GHz")</f>
        <v>9.75 / 10.600 GHz</v>
      </c>
    </row>
    <row r="3709" ht="15.75" customHeight="1">
      <c r="A3709" s="2" t="s">
        <v>3709</v>
      </c>
      <c r="B3709" s="2" t="str">
        <f>IFERROR(__xludf.DUMMYFUNCTION("GOOGLETRANSLATE(A3709, ""en"", ""mt"")"),"It-tobba tal-Qorti tal-Yuan ġew minn kulturi differenti. Il-fejqan kienu maqsuma fi tobba mhux Mongoljati msejħa Otachi u Shamans tradizzjonali tal-Mongolja. Il-Mongoli kkaratterizzaw tobba Otachi bl-użu tagħhom ta 'rimedji tal-ħxejjex, li kienet distinta"&amp;" mill-kuri spiritwali tax-xamaniżmu Mongoljan. It-tobba rċivew appoġġ uffiċjali mill-gvern tal-Yuan u ngħataw privileġġi legali speċjali. Kublai ħoloq l-Akkademja Imperjali tal-Mediċina biex jimmaniġġja t-trattati mediċi u l-edukazzjoni ta 'tobba ġodda. L"&amp;"-istudjużi Confucian ġew attirati mill-professjoni medika minħabba li żgura dħul għoli u l-etika medika kienet kompatibbli mal-virtujiet Confucian.")</f>
        <v>It-tobba tal-Qorti tal-Yuan ġew minn kulturi differenti. Il-fejqan kienu maqsuma fi tobba mhux Mongoljati msejħa Otachi u Shamans tradizzjonali tal-Mongolja. Il-Mongoli kkaratterizzaw tobba Otachi bl-użu tagħhom ta 'rimedji tal-ħxejjex, li kienet distinta mill-kuri spiritwali tax-xamaniżmu Mongoljan. It-tobba rċivew appoġġ uffiċjali mill-gvern tal-Yuan u ngħataw privileġġi legali speċjali. Kublai ħoloq l-Akkademja Imperjali tal-Mediċina biex jimmaniġġja t-trattati mediċi u l-edukazzjoni ta 'tobba ġodda. L-istudjużi Confucian ġew attirati mill-professjoni medika minħabba li żgura dħul għoli u l-etika medika kienet kompatibbli mal-virtujiet Confucian.</v>
      </c>
    </row>
    <row r="3710" ht="15.75" customHeight="1">
      <c r="A3710" s="2" t="s">
        <v>3710</v>
      </c>
      <c r="B3710" s="2" t="str">
        <f>IFERROR(__xludf.DUMMYFUNCTION("GOOGLETRANSLATE(A3710, ""en"", ""mt"")"),"l-istat u l-liġijiet tiegħu")</f>
        <v>l-istat u l-liġijiet tiegħu</v>
      </c>
    </row>
    <row r="3711" ht="15.75" customHeight="1">
      <c r="A3711" s="2" t="s">
        <v>3711</v>
      </c>
      <c r="B3711" s="2" t="str">
        <f>IFERROR(__xludf.DUMMYFUNCTION("GOOGLETRANSLATE(A3711, ""en"", ""mt"")"),"Il-plateau tal-moraine sempliċi għandu biss ftit għadajjar naturali u artifiċjali u wkoll gruppi ta 'fosos tat-tafal. Ix-xejra tat-terrazzi tal-vistula hija asimmetrika. In-naħa tax-xellug tikkonsisti prinċipalment f'żewġ livelli: l-ogħla wieħed fih terra"&amp;"zzi mgħarrqa ta 'qabel u l-inqas waħda mit-terrazzin tal-pjanura tal-għargħar. It-terrazzin mgħarrqa kontemporanju għad għandu widien viżibbli u depressjonijiet tal-art bis-sistemi tal-ilma li ġejjin mill-Vistula Old - Riverbed. Huma jikkonsistu minn flus"&amp;"si u lagi li għadhom pjuttost naturali kif ukoll ix-xejra tal-fosos tad-drenaġġ. In-naħa tal-lemin ta 'Varsavja għandha xejra differenti ta' forom ġeomorfoloġiċi. Hemm diversi livelli tat-terrazzi tal-vistula sempliċi (mgħarrqa kif ukoll ta 'qabel mgħarrq"&amp;"a) u parti żgħira biss u mhux daqshekk viżibbli tal-moraine. Ramel Eoljan b'numru ta 'duni maqsuma minn swamps tal-pit jew għadajjar żgħar ikopru l-ogħla terrazzin. Dawn huma prinċipalment żoni forestali (foresta tal-arżnu).")</f>
        <v>Il-plateau tal-moraine sempliċi għandu biss ftit għadajjar naturali u artifiċjali u wkoll gruppi ta 'fosos tat-tafal. Ix-xejra tat-terrazzi tal-vistula hija asimmetrika. In-naħa tax-xellug tikkonsisti prinċipalment f'żewġ livelli: l-ogħla wieħed fih terrazzi mgħarrqa ta 'qabel u l-inqas waħda mit-terrazzin tal-pjanura tal-għargħar. It-terrazzin mgħarrqa kontemporanju għad għandu widien viżibbli u depressjonijiet tal-art bis-sistemi tal-ilma li ġejjin mill-Vistula Old - Riverbed. Huma jikkonsistu minn flussi u lagi li għadhom pjuttost naturali kif ukoll ix-xejra tal-fosos tad-drenaġġ. In-naħa tal-lemin ta 'Varsavja għandha xejra differenti ta' forom ġeomorfoloġiċi. Hemm diversi livelli tat-terrazzi tal-vistula sempliċi (mgħarrqa kif ukoll ta 'qabel mgħarrqa) u parti żgħira biss u mhux daqshekk viżibbli tal-moraine. Ramel Eoljan b'numru ta 'duni maqsuma minn swamps tal-pit jew għadajjar żgħar ikopru l-ogħla terrazzin. Dawn huma prinċipalment żoni forestali (foresta tal-arżnu).</v>
      </c>
    </row>
    <row r="3712" ht="15.75" customHeight="1">
      <c r="A3712" s="2" t="s">
        <v>3712</v>
      </c>
      <c r="B3712" s="2" t="str">
        <f>IFERROR(__xludf.DUMMYFUNCTION("GOOGLETRANSLATE(A3712, ""en"", ""mt"")"),"bejn wieħed u ieħor 260 kilometru")</f>
        <v>bejn wieħed u ieħor 260 kilometru</v>
      </c>
    </row>
    <row r="3713" ht="15.75" customHeight="1">
      <c r="A3713" s="2" t="s">
        <v>3713</v>
      </c>
      <c r="B3713" s="2" t="str">
        <f>IFERROR(__xludf.DUMMYFUNCTION("GOOGLETRANSLATE(A3713, ""en"", ""mt"")"),"Biex tikkontrobatti l-għargħar kostanti u s-sedimentazzjoni qawwija fid-delta tar-Renu tal-Punent")</f>
        <v>Biex tikkontrobatti l-għargħar kostanti u s-sedimentazzjoni qawwija fid-delta tar-Renu tal-Punent</v>
      </c>
    </row>
    <row r="3714" ht="15.75" customHeight="1">
      <c r="A3714" s="2" t="s">
        <v>3714</v>
      </c>
      <c r="B3714" s="2" t="str">
        <f>IFERROR(__xludf.DUMMYFUNCTION("GOOGLETRANSLATE(A3714, ""en"", ""mt"")"),"Meta kien l-Oloken?")</f>
        <v>Meta kien l-Oloken?</v>
      </c>
    </row>
    <row r="3715" ht="15.75" customHeight="1">
      <c r="A3715" s="2" t="s">
        <v>3715</v>
      </c>
      <c r="B3715" s="2" t="str">
        <f>IFERROR(__xludf.DUMMYFUNCTION("GOOGLETRANSLATE(A3715, ""en"", ""mt"")"),"tieħu dejn")</f>
        <v>tieħu dejn</v>
      </c>
    </row>
    <row r="3716" ht="15.75" customHeight="1">
      <c r="A3716" s="2" t="s">
        <v>3716</v>
      </c>
      <c r="B3716" s="2" t="str">
        <f>IFERROR(__xludf.DUMMYFUNCTION("GOOGLETRANSLATE(A3716, ""en"", ""mt"")"),"£ 1.3bn")</f>
        <v>£ 1.3bn</v>
      </c>
    </row>
    <row r="3717" ht="15.75" customHeight="1">
      <c r="A3717" s="2" t="s">
        <v>3717</v>
      </c>
      <c r="B3717" s="2" t="str">
        <f>IFERROR(__xludf.DUMMYFUNCTION("GOOGLETRANSLATE(A3717, ""en"", ""mt"")"),"Kemm-il darba Thomas Davis qatta 'l-ACL tiegħu fil-karriera tiegħu?")</f>
        <v>Kemm-il darba Thomas Davis qatta 'l-ACL tiegħu fil-karriera tiegħu?</v>
      </c>
    </row>
    <row r="3718" ht="15.75" customHeight="1">
      <c r="A3718" s="2" t="s">
        <v>3718</v>
      </c>
      <c r="B3718" s="2" t="str">
        <f>IFERROR(__xludf.DUMMYFUNCTION("GOOGLETRANSLATE(A3718, ""en"", ""mt"")"),"Shirley u Johnson")</f>
        <v>Shirley u Johnson</v>
      </c>
    </row>
    <row r="3719" ht="15.75" customHeight="1">
      <c r="A3719" s="2" t="s">
        <v>3719</v>
      </c>
      <c r="B3719" s="2" t="str">
        <f>IFERROR(__xludf.DUMMYFUNCTION("GOOGLETRANSLATE(A3719, ""en"", ""mt"")"),"X'tip ta 'prospetti għandhom uħud mill-Musulmani f'Londra?")</f>
        <v>X'tip ta 'prospetti għandhom uħud mill-Musulmani f'Londra?</v>
      </c>
    </row>
    <row r="3720" ht="15.75" customHeight="1">
      <c r="A3720" s="2" t="s">
        <v>3720</v>
      </c>
      <c r="B3720" s="2" t="str">
        <f>IFERROR(__xludf.DUMMYFUNCTION("GOOGLETRANSLATE(A3720, ""en"", ""mt"")"),"Xogħol tax-xitan")</f>
        <v>Xogħol tax-xitan</v>
      </c>
    </row>
    <row r="3721" ht="15.75" customHeight="1">
      <c r="A3721" s="2" t="s">
        <v>3721</v>
      </c>
      <c r="B3721" s="2" t="str">
        <f>IFERROR(__xludf.DUMMYFUNCTION("GOOGLETRANSLATE(A3721, ""en"", ""mt"")"),"Tank tal-ossiġnu ġie mfassal mill-ġdid")</f>
        <v>Tank tal-ossiġnu ġie mfassal mill-ġdid</v>
      </c>
    </row>
    <row r="3722" ht="15.75" customHeight="1">
      <c r="A3722" s="2" t="s">
        <v>3722</v>
      </c>
      <c r="B3722" s="2" t="str">
        <f>IFERROR(__xludf.DUMMYFUNCTION("GOOGLETRANSLATE(A3722, ""en"", ""mt"")"),"Netwerk Fox")</f>
        <v>Netwerk Fox</v>
      </c>
    </row>
    <row r="3723" ht="15.75" customHeight="1">
      <c r="A3723" s="2" t="s">
        <v>3723</v>
      </c>
      <c r="B3723" s="2" t="str">
        <f>IFERROR(__xludf.DUMMYFUNCTION("GOOGLETRANSLATE(A3723, ""en"", ""mt"")"),"il-moviment tat-tempra")</f>
        <v>il-moviment tat-tempra</v>
      </c>
    </row>
    <row r="3724" ht="15.75" customHeight="1">
      <c r="A3724" s="2" t="s">
        <v>3724</v>
      </c>
      <c r="B3724" s="2" t="str">
        <f>IFERROR(__xludf.DUMMYFUNCTION("GOOGLETRANSLATE(A3724, ""en"", ""mt"")"),"Organizzattiv")</f>
        <v>Organizzattiv</v>
      </c>
    </row>
    <row r="3725" ht="15.75" customHeight="1">
      <c r="A3725" s="2" t="s">
        <v>3725</v>
      </c>
      <c r="B3725" s="2" t="str">
        <f>IFERROR(__xludf.DUMMYFUNCTION("GOOGLETRANSLATE(A3725, ""en"", ""mt"")"),"Fit-8 ta 'Frar 2007")</f>
        <v>Fit-8 ta 'Frar 2007</v>
      </c>
    </row>
    <row r="3726" ht="15.75" customHeight="1">
      <c r="A3726" s="2" t="s">
        <v>3726</v>
      </c>
      <c r="B3726" s="2" t="str">
        <f>IFERROR(__xludf.DUMMYFUNCTION("GOOGLETRANSLATE(A3726, ""en"", ""mt"")"),"kloroplast tat-tip peridinin")</f>
        <v>kloroplast tat-tip peridinin</v>
      </c>
    </row>
    <row r="3727" ht="15.75" customHeight="1">
      <c r="A3727" s="2" t="s">
        <v>3727</v>
      </c>
      <c r="B3727" s="2" t="str">
        <f>IFERROR(__xludf.DUMMYFUNCTION("GOOGLETRANSLATE(A3727, ""en"", ""mt"")"),"Ix-xandiriet standard ta 'definizzjoni standard ta' BSKYB huma f'MPEG-2 konformi mad-DVB, bil-films Sky u l-kanali tal-box office Sky inklużi soundtracks diġitali Dolby mhux obbligatorji għal films riċenti, għalkemm dawn huma aċċessibbli biss b'kaxxa Sky "&amp;"+. SKY + HD Material huwa mxandar bl-użu ta 'MPEG-4 u l-biċċa l-kbira tal-materjal HD juża l-istandard DVB-S2. Servizzi interattivi u EPG ta '7 ijiem jużaw is-sistema proprjetarja OPENTV, b'kaxex set-top inklużi modems għal mogħdija ta' ritorn. Sky News, "&amp;"fost kanali oħra, tipprovdi servizz interattiv psewdo-video fuq talba billi xxandar flussi ta 'vidjow looping.")</f>
        <v>Ix-xandiriet standard ta 'definizzjoni standard ta' BSKYB huma f'MPEG-2 konformi mad-DVB, bil-films Sky u l-kanali tal-box office Sky inklużi soundtracks diġitali Dolby mhux obbligatorji għal films riċenti, għalkemm dawn huma aċċessibbli biss b'kaxxa Sky +. SKY + HD Material huwa mxandar bl-użu ta 'MPEG-4 u l-biċċa l-kbira tal-materjal HD juża l-istandard DVB-S2. Servizzi interattivi u EPG ta '7 ijiem jużaw is-sistema proprjetarja OPENTV, b'kaxex set-top inklużi modems għal mogħdija ta' ritorn. Sky News, fost kanali oħra, tipprovdi servizz interattiv psewdo-video fuq talba billi xxandar flussi ta 'vidjow looping.</v>
      </c>
    </row>
    <row r="3728" ht="15.75" customHeight="1">
      <c r="A3728" s="2" t="s">
        <v>3728</v>
      </c>
      <c r="B3728" s="2" t="str">
        <f>IFERROR(__xludf.DUMMYFUNCTION("GOOGLETRANSLATE(A3728, ""en"", ""mt"")"),"Ċelloli innati jistgħu jaġixxu bħala medjaturi fl-attivazzjoni ta 'liema fergħa tas-sistema immunitarja?")</f>
        <v>Ċelloli innati jistgħu jaġixxu bħala medjaturi fl-attivazzjoni ta 'liema fergħa tas-sistema immunitarja?</v>
      </c>
    </row>
    <row r="3729" ht="15.75" customHeight="1">
      <c r="A3729" s="2" t="s">
        <v>3729</v>
      </c>
      <c r="B3729" s="2" t="str">
        <f>IFERROR(__xludf.DUMMYFUNCTION("GOOGLETRANSLATE(A3729, ""en"", ""mt"")"),"Taxxi inġusti")</f>
        <v>Taxxi inġusti</v>
      </c>
    </row>
    <row r="3730" ht="15.75" customHeight="1">
      <c r="A3730" s="2" t="s">
        <v>3730</v>
      </c>
      <c r="B3730" s="2" t="str">
        <f>IFERROR(__xludf.DUMMYFUNCTION("GOOGLETRANSLATE(A3730, ""en"", ""mt"")"),"Uża analiżi mikroskopika ta 'sezzjonijiet irqaq orjentati ta' kampjuni ġeoloġiċi")</f>
        <v>Uża analiżi mikroskopika ta 'sezzjonijiet irqaq orjentati ta' kampjuni ġeoloġiċi</v>
      </c>
    </row>
    <row r="3731" ht="15.75" customHeight="1">
      <c r="A3731" s="2" t="s">
        <v>3731</v>
      </c>
      <c r="B3731" s="2" t="str">
        <f>IFERROR(__xludf.DUMMYFUNCTION("GOOGLETRANSLATE(A3731, ""en"", ""mt"")"),"Huma jipproduċu sekrezzjonijiet (linka) li luminesce")</f>
        <v>Huma jipproduċu sekrezzjonijiet (linka) li luminesce</v>
      </c>
    </row>
    <row r="3732" ht="15.75" customHeight="1">
      <c r="A3732" s="2" t="s">
        <v>3732</v>
      </c>
      <c r="B3732" s="2" t="str">
        <f>IFERROR(__xludf.DUMMYFUNCTION("GOOGLETRANSLATE(A3732, ""en"", ""mt"")"),"Teatru sterjoskopiku")</f>
        <v>Teatru sterjoskopiku</v>
      </c>
    </row>
    <row r="3733" ht="15.75" customHeight="1">
      <c r="A3733" s="2" t="s">
        <v>3733</v>
      </c>
      <c r="B3733" s="2" t="str">
        <f>IFERROR(__xludf.DUMMYFUNCTION("GOOGLETRANSLATE(A3733, ""en"", ""mt"")"),"Sabiex tifhem aħjar l-orjentazzjonijiet tal-ħsarat u l-jingħalaq, il-ġeoloġi strutturali jagħmlu xiex bil-kejl ta 'strutturi ġeoloġiċi?")</f>
        <v>Sabiex tifhem aħjar l-orjentazzjonijiet tal-ħsarat u l-jingħalaq, il-ġeoloġi strutturali jagħmlu xiex bil-kejl ta 'strutturi ġeoloġiċi?</v>
      </c>
    </row>
    <row r="3734" ht="15.75" customHeight="1">
      <c r="A3734" s="2" t="s">
        <v>3734</v>
      </c>
      <c r="B3734" s="2" t="str">
        <f>IFERROR(__xludf.DUMMYFUNCTION("GOOGLETRANSLATE(A3734, ""en"", ""mt"")"),"Is-Soċjetà ta ’Ġesù")</f>
        <v>Is-Soċjetà ta ’Ġesù</v>
      </c>
    </row>
    <row r="3735" ht="15.75" customHeight="1">
      <c r="A3735" s="2" t="s">
        <v>3735</v>
      </c>
      <c r="B3735" s="2" t="str">
        <f>IFERROR(__xludf.DUMMYFUNCTION("GOOGLETRANSLATE(A3735, ""en"", ""mt"")"),"intuwizzjoni")</f>
        <v>intuwizzjoni</v>
      </c>
    </row>
    <row r="3736" ht="15.75" customHeight="1">
      <c r="A3736" s="2" t="s">
        <v>3736</v>
      </c>
      <c r="B3736" s="2" t="str">
        <f>IFERROR(__xludf.DUMMYFUNCTION("GOOGLETRANSLATE(A3736, ""en"", ""mt"")"),"Netwerk Pubbliku Awstraljan X.25 Mħaddem minn Telstra")</f>
        <v>Netwerk Pubbliku Awstraljan X.25 Mħaddem minn Telstra</v>
      </c>
    </row>
    <row r="3737" ht="15.75" customHeight="1">
      <c r="A3737" s="2" t="s">
        <v>3737</v>
      </c>
      <c r="B3737" s="2" t="str">
        <f>IFERROR(__xludf.DUMMYFUNCTION("GOOGLETRANSLATE(A3737, ""en"", ""mt"")"),"Rappreżentanti maħtura minn gvernijiet u organizzazzjonijiet")</f>
        <v>Rappreżentanti maħtura minn gvernijiet u organizzazzjonijiet</v>
      </c>
    </row>
    <row r="3738" ht="15.75" customHeight="1">
      <c r="A3738" s="2" t="s">
        <v>3738</v>
      </c>
      <c r="B3738" s="2" t="str">
        <f>IFERROR(__xludf.DUMMYFUNCTION("GOOGLETRANSLATE(A3738, ""en"", ""mt"")"),"nisel tal-kloroplast aħdar")</f>
        <v>nisel tal-kloroplast aħdar</v>
      </c>
    </row>
    <row r="3739" ht="15.75" customHeight="1">
      <c r="A3739" s="2" t="s">
        <v>3739</v>
      </c>
      <c r="B3739" s="2" t="str">
        <f>IFERROR(__xludf.DUMMYFUNCTION("GOOGLETRANSLATE(A3739, ""en"", ""mt"")"),"45 minuta")</f>
        <v>45 minuta</v>
      </c>
    </row>
    <row r="3740" ht="15.75" customHeight="1">
      <c r="A3740" s="2" t="s">
        <v>3740</v>
      </c>
      <c r="B3740" s="2" t="str">
        <f>IFERROR(__xludf.DUMMYFUNCTION("GOOGLETRANSLATE(A3740, ""en"", ""mt"")"),"Jekk huma klassijiet distinti jew ugwali")</f>
        <v>Jekk huma klassijiet distinti jew ugwali</v>
      </c>
    </row>
    <row r="3741" ht="15.75" customHeight="1">
      <c r="A3741" s="2" t="s">
        <v>3741</v>
      </c>
      <c r="B3741" s="2" t="str">
        <f>IFERROR(__xludf.DUMMYFUNCTION("GOOGLETRANSLATE(A3741, ""en"", ""mt"")"),"X'inhu l-isem għal problema li tissodisfa l-affermazzjoni ta 'Ladner?")</f>
        <v>X'inhu l-isem għal problema li tissodisfa l-affermazzjoni ta 'Ladner?</v>
      </c>
    </row>
    <row r="3742" ht="15.75" customHeight="1">
      <c r="A3742" s="2" t="s">
        <v>3742</v>
      </c>
      <c r="B3742" s="2" t="str">
        <f>IFERROR(__xludf.DUMMYFUNCTION("GOOGLETRANSLATE(A3742, ""en"", ""mt"")"),"Il-popolazzjonijiet Anglo-Sassoni")</f>
        <v>Il-popolazzjonijiet Anglo-Sassoni</v>
      </c>
    </row>
    <row r="3743" ht="15.75" customHeight="1">
      <c r="A3743" s="2" t="s">
        <v>3743</v>
      </c>
      <c r="B3743" s="2" t="str">
        <f>IFERROR(__xludf.DUMMYFUNCTION("GOOGLETRANSLATE(A3743, ""en"", ""mt"")"),"Immedjatament wara l-ħin tad-deċiżjoni, isir ""dibattitu dwar il-membri"", li jdum 45 minuta. In-negozju tal-Membri huwa dibattitu dwar mozzjoni proposta minn MSP li mhux ministru Skoċċiż. Dawn il-mozzjonijiet huma fuq kwistjonijiet li jistgħu jkunu ta 'i"&amp;"nteress għal qasam partikolari bħal kostitwenza ta' membru stess, avveniment li jmiss jew tal-passat jew kwalunkwe oġġett ieħor li altrimenti ma jingħatax ħin parlamentari uffiċjali. Kif ukoll il-proponent, membri oħra normalment jikkontribwixxu għad-diba"&amp;"ttitu. Il-ministru rilevanti, li d-dipartiment tiegħu d-dibattitu u l-mozzjoni għandhom x'jaqsmu ma '""jispiċċaw"" id-dibattitu billi jitkellem wara l-parteċipanti l-oħra kollha.")</f>
        <v>Immedjatament wara l-ħin tad-deċiżjoni, isir "dibattitu dwar il-membri", li jdum 45 minuta. In-negozju tal-Membri huwa dibattitu dwar mozzjoni proposta minn MSP li mhux ministru Skoċċiż. Dawn il-mozzjonijiet huma fuq kwistjonijiet li jistgħu jkunu ta 'interess għal qasam partikolari bħal kostitwenza ta' membru stess, avveniment li jmiss jew tal-passat jew kwalunkwe oġġett ieħor li altrimenti ma jingħatax ħin parlamentari uffiċjali. Kif ukoll il-proponent, membri oħra normalment jikkontribwixxu għad-dibattitu. Il-ministru rilevanti, li d-dipartiment tiegħu d-dibattitu u l-mozzjoni għandhom x'jaqsmu ma '"jispiċċaw" id-dibattitu billi jitkellem wara l-parteċipanti l-oħra kollha.</v>
      </c>
    </row>
    <row r="3744" ht="15.75" customHeight="1">
      <c r="A3744" s="2" t="s">
        <v>3744</v>
      </c>
      <c r="B3744" s="2" t="str">
        <f>IFERROR(__xludf.DUMMYFUNCTION("GOOGLETRANSLATE(A3744, ""en"", ""mt"")"),"Għaliex il-kont finali jiġi mgħoddi lill-monarka?")</f>
        <v>Għaliex il-kont finali jiġi mgħoddi lill-monarka?</v>
      </c>
    </row>
    <row r="3745" ht="15.75" customHeight="1">
      <c r="A3745" s="2" t="s">
        <v>3745</v>
      </c>
      <c r="B3745" s="2" t="str">
        <f>IFERROR(__xludf.DUMMYFUNCTION("GOOGLETRANSLATE(A3745, ""en"", ""mt"")"),"Fresno huwa servut mir-Rotta tal-Istat 99, l-awtostrada ewlenija tat-tramuntana / nofsinhar li tgħaqqad iċ-ċentri ewlenin tal-popolazzjoni tal-Wied Ċentrali ta 'Kalifornja. Ir-Rotta tal-Istat 168, is-Sierra Freeway, titlaq lejn il-lvant lejn il-belt ta ’C"&amp;"lovis u l-Lag Huntington. Ir-Rotta tal-Istat 41 (Yosemite Freeway / Eisenhower Freeway) tidħol fi Fresno minn Atascadero fin-nofsinhar, u mbagħad titlaq lejn it-tramuntana lejn Yosemite. Ir-Rotta tal-Istat 180 (Kings Canyon Freeway) ġejja mill-Punent perm"&amp;"ezz ta ’Mendota, u mill-Lvant fil-Park Nazzjonali ta’ Kings Canyon sejjer lejn il-belt ta ’Reedley.")</f>
        <v>Fresno huwa servut mir-Rotta tal-Istat 99, l-awtostrada ewlenija tat-tramuntana / nofsinhar li tgħaqqad iċ-ċentri ewlenin tal-popolazzjoni tal-Wied Ċentrali ta 'Kalifornja. Ir-Rotta tal-Istat 168, is-Sierra Freeway, titlaq lejn il-lvant lejn il-belt ta ’Clovis u l-Lag Huntington. Ir-Rotta tal-Istat 41 (Yosemite Freeway / Eisenhower Freeway) tidħol fi Fresno minn Atascadero fin-nofsinhar, u mbagħad titlaq lejn it-tramuntana lejn Yosemite. Ir-Rotta tal-Istat 180 (Kings Canyon Freeway) ġejja mill-Punent permezz ta ’Mendota, u mill-Lvant fil-Park Nazzjonali ta’ Kings Canyon sejjer lejn il-belt ta ’Reedley.</v>
      </c>
    </row>
    <row r="3746" ht="15.75" customHeight="1">
      <c r="A3746" s="2" t="s">
        <v>3746</v>
      </c>
      <c r="B3746" s="2" t="str">
        <f>IFERROR(__xludf.DUMMYFUNCTION("GOOGLETRANSLATE(A3746, ""en"", ""mt"")"),"Kemm kienet twila d-dewmien tax-xandir l-ewwel darba li s-serje ħarġet?")</f>
        <v>Kemm kienet twila d-dewmien tax-xandir l-ewwel darba li s-serje ħarġet?</v>
      </c>
    </row>
    <row r="3747" ht="15.75" customHeight="1">
      <c r="A3747" s="2" t="s">
        <v>3747</v>
      </c>
      <c r="B3747" s="2" t="str">
        <f>IFERROR(__xludf.DUMMYFUNCTION("GOOGLETRANSLATE(A3747, ""en"", ""mt"")"),"identifikatur tal-konnessjoni aktar milli jindirizza l-informazzjoni u jiġu nnegozjati bejn il-punti finali sabiex dawn jiġu kkonsenjati fl-ordni u bl-iżball tal-verifika")</f>
        <v>identifikatur tal-konnessjoni aktar milli jindirizza l-informazzjoni u jiġu nnegozjati bejn il-punti finali sabiex dawn jiġu kkonsenjati fl-ordni u bl-iżball tal-verifika</v>
      </c>
    </row>
    <row r="3748" ht="15.75" customHeight="1">
      <c r="A3748" s="2" t="s">
        <v>3748</v>
      </c>
      <c r="B3748" s="2" t="str">
        <f>IFERROR(__xludf.DUMMYFUNCTION("GOOGLETRANSLATE(A3748, ""en"", ""mt"")"),"Erġa 'kiseb awtorità fuq in-nies tiegħu stess. Huma kienu inklinati li jappoġġjaw lill-Franċiżi, li magħhom kellhom relazzjonijiet ta 'kummerċ fit-tul")</f>
        <v>Erġa 'kiseb awtorità fuq in-nies tiegħu stess. Huma kienu inklinati li jappoġġjaw lill-Franċiżi, li magħhom kellhom relazzjonijiet ta 'kummerċ fit-tul</v>
      </c>
    </row>
    <row r="3749" ht="15.75" customHeight="1">
      <c r="A3749" s="2" t="s">
        <v>3749</v>
      </c>
      <c r="B3749" s="2" t="str">
        <f>IFERROR(__xludf.DUMMYFUNCTION("GOOGLETRANSLATE(A3749, ""en"", ""mt"")"),"tmenin sekonda")</f>
        <v>tmenin sekonda</v>
      </c>
    </row>
    <row r="3750" ht="15.75" customHeight="1">
      <c r="A3750" s="2" t="s">
        <v>3750</v>
      </c>
      <c r="B3750" s="2" t="str">
        <f>IFERROR(__xludf.DUMMYFUNCTION("GOOGLETRANSLATE(A3750, ""en"", ""mt"")"),"Fejn hu sintetizzat il-polypeptide tal-kloroplast?")</f>
        <v>Fejn hu sintetizzat il-polypeptide tal-kloroplast?</v>
      </c>
    </row>
    <row r="3751" ht="15.75" customHeight="1">
      <c r="A3751" s="2" t="s">
        <v>3751</v>
      </c>
      <c r="B3751" s="2" t="str">
        <f>IFERROR(__xludf.DUMMYFUNCTION("GOOGLETRANSLATE(A3751, ""en"", ""mt"")"),"28 ta 'Novembru, 1995")</f>
        <v>28 ta 'Novembru, 1995</v>
      </c>
    </row>
    <row r="3752" ht="15.75" customHeight="1">
      <c r="A3752" s="2" t="s">
        <v>3752</v>
      </c>
      <c r="B3752" s="2" t="str">
        <f>IFERROR(__xludf.DUMMYFUNCTION("GOOGLETRANSLATE(A3752, ""en"", ""mt"")"),"Fl-1066, id-Duka William II tan-Normandija ħakmu l-Ingilterra li qatlet ir-Re Harold II fil-Battalja ta ’Hastings. In-Normanni li jinvadu u d-dixxendenti tagħhom issostitwixxew l-Anglo-Sassoni bħala l-klassi dominanti tal-Ingilterra. In-nobbli ta 'l-Ingil"&amp;"terra kienet parti minn kultura ta' Normans waħda u ħafna kellhom artijiet fuq iż-żewġ naħat tal-kanal. Kings Norman bikrija tal-Ingilterra, bħala Dukes of Normandy, kellhom ġieħ lir-Re ta ’Franza għall-art tagħhom fuq il-kontinent. Huma kkunsidraw l-Ingi"&amp;"lterra bħala l-iktar azjenda importanti tagħhom (ġab miegħu t-titlu ta 'king - simbolu ta' status importanti).")</f>
        <v>Fl-1066, id-Duka William II tan-Normandija ħakmu l-Ingilterra li qatlet ir-Re Harold II fil-Battalja ta ’Hastings. In-Normanni li jinvadu u d-dixxendenti tagħhom issostitwixxew l-Anglo-Sassoni bħala l-klassi dominanti tal-Ingilterra. In-nobbli ta 'l-Ingilterra kienet parti minn kultura ta' Normans waħda u ħafna kellhom artijiet fuq iż-żewġ naħat tal-kanal. Kings Norman bikrija tal-Ingilterra, bħala Dukes of Normandy, kellhom ġieħ lir-Re ta ’Franza għall-art tagħhom fuq il-kontinent. Huma kkunsidraw l-Ingilterra bħala l-iktar azjenda importanti tagħhom (ġab miegħu t-titlu ta 'king - simbolu ta' status importanti).</v>
      </c>
    </row>
    <row r="3753" ht="15.75" customHeight="1">
      <c r="A3753" s="2" t="s">
        <v>3753</v>
      </c>
      <c r="B3753" s="2" t="str">
        <f>IFERROR(__xludf.DUMMYFUNCTION("GOOGLETRANSLATE(A3753, ""en"", ""mt"")"),"mewġ fil-plażma")</f>
        <v>mewġ fil-plażma</v>
      </c>
    </row>
    <row r="3754" ht="15.75" customHeight="1">
      <c r="A3754" s="2" t="s">
        <v>3754</v>
      </c>
      <c r="B3754" s="2" t="str">
        <f>IFERROR(__xludf.DUMMYFUNCTION("GOOGLETRANSLATE(A3754, ""en"", ""mt"")"),"F'liem it-tagħlim fuq gżira jirriżulta?")</f>
        <v>F'liem it-tagħlim fuq gżira jirriżulta?</v>
      </c>
    </row>
    <row r="3755" ht="15.75" customHeight="1">
      <c r="A3755" s="2" t="s">
        <v>3755</v>
      </c>
      <c r="B3755" s="2" t="str">
        <f>IFERROR(__xludf.DUMMYFUNCTION("GOOGLETRANSLATE(A3755, ""en"", ""mt"")"),"Ix-xogħol ġie ppubblikat l-ewwel")</f>
        <v>Ix-xogħol ġie ppubblikat l-ewwel</v>
      </c>
    </row>
    <row r="3756" ht="15.75" customHeight="1">
      <c r="A3756" s="2" t="s">
        <v>3756</v>
      </c>
      <c r="B3756" s="2" t="str">
        <f>IFERROR(__xludf.DUMMYFUNCTION("GOOGLETRANSLATE(A3756, ""en"", ""mt"")"),"Il-kawża kienet forma ta ’antrax")</f>
        <v>Il-kawża kienet forma ta ’antrax</v>
      </c>
    </row>
    <row r="3757" ht="15.75" customHeight="1">
      <c r="A3757" s="2" t="s">
        <v>3757</v>
      </c>
      <c r="B3757" s="2" t="str">
        <f>IFERROR(__xludf.DUMMYFUNCTION("GOOGLETRANSLATE(A3757, ""en"", ""mt"")"),"Il-Qara Khitai, il-Kawkasu, l-Imperu Khwarezmid, il-Punent Xia u Jin Dynasties")</f>
        <v>Il-Qara Khitai, il-Kawkasu, l-Imperu Khwarezmid, il-Punent Xia u Jin Dynasties</v>
      </c>
    </row>
    <row r="3758" ht="15.75" customHeight="1">
      <c r="A3758" s="2" t="s">
        <v>3758</v>
      </c>
      <c r="B3758" s="2" t="str">
        <f>IFERROR(__xludf.DUMMYFUNCTION("GOOGLETRANSLATE(A3758, ""en"", ""mt"")"),"Draftsman")</f>
        <v>Draftsman</v>
      </c>
    </row>
    <row r="3759" ht="15.75" customHeight="1">
      <c r="A3759" s="2" t="s">
        <v>3759</v>
      </c>
      <c r="B3759" s="2" t="str">
        <f>IFERROR(__xludf.DUMMYFUNCTION("GOOGLETRANSLATE(A3759, ""en"", ""mt"")"),"X'inhu s-paragun mal-livell tal-baħar mal-livell ta 'ossiġnu fl-ispazju ilbiesi?")</f>
        <v>X'inhu s-paragun mal-livell tal-baħar mal-livell ta 'ossiġnu fl-ispazju ilbiesi?</v>
      </c>
    </row>
    <row r="3760" ht="15.75" customHeight="1">
      <c r="A3760" s="2" t="s">
        <v>3760</v>
      </c>
      <c r="B3760" s="2" t="str">
        <f>IFERROR(__xludf.DUMMYFUNCTION("GOOGLETRANSLATE(A3760, ""en"", ""mt"")"),"Kompromess tal-1850")</f>
        <v>Kompromess tal-1850</v>
      </c>
    </row>
    <row r="3761" ht="15.75" customHeight="1">
      <c r="A3761" s="2" t="s">
        <v>3761</v>
      </c>
      <c r="B3761" s="2" t="str">
        <f>IFERROR(__xludf.DUMMYFUNCTION("GOOGLETRANSLATE(A3761, ""en"", ""mt"")"),"Fil-Greċja antika, id-djoċli ta 'Carystus (seklu 4 QK) kien wieħed minn bosta rġiel li jistudjaw il-proprjetajiet mediċinali tal-pjanti. Huwa kiteb diversi trattati dwar is-suġġett. It-tabib Grieg Pedanius Dioscorides huwa famuż għall-kitba ta ’ktieb ta’ "&amp;"ħames volum fil-Grieg nattiv tiegħu περί ύλης ιατρικής fis-seklu 1 WK. It-traduzzjoni Latina de Materia medica (li tikkonċerna sustanzi mediċi) intużat bażi għal ħafna testi medjevali, u kienet mibnija minn bosta xjenzati tal-Lvant Nofsani matul l-Età tad"&amp;"-Deheb Iżlamika. It-titlu ħoloq it-terminu Materia Medica.")</f>
        <v>Fil-Greċja antika, id-djoċli ta 'Carystus (seklu 4 QK) kien wieħed minn bosta rġiel li jistudjaw il-proprjetajiet mediċinali tal-pjanti. Huwa kiteb diversi trattati dwar is-suġġett. It-tabib Grieg Pedanius Dioscorides huwa famuż għall-kitba ta ’ktieb ta’ ħames volum fil-Grieg nattiv tiegħu περί ύλης ιατρικής fis-seklu 1 WK. It-traduzzjoni Latina de Materia medica (li tikkonċerna sustanzi mediċi) intużat bażi għal ħafna testi medjevali, u kienet mibnija minn bosta xjenzati tal-Lvant Nofsani matul l-Età tad-Deheb Iżlamika. It-titlu ħoloq it-terminu Materia Medica.</v>
      </c>
    </row>
    <row r="3762" ht="15.75" customHeight="1">
      <c r="A3762" s="2" t="s">
        <v>3762</v>
      </c>
      <c r="B3762" s="2" t="str">
        <f>IFERROR(__xludf.DUMMYFUNCTION("GOOGLETRANSLATE(A3762, ""en"", ""mt"")"),"Minħabba li wieħed jista 'jinkludi b'mod arbitrarju ħafna każijiet ta' 1 fi kwalunkwe fatorizzazzjoni")</f>
        <v>Minħabba li wieħed jista 'jinkludi b'mod arbitrarju ħafna każijiet ta' 1 fi kwalunkwe fatorizzazzjoni</v>
      </c>
    </row>
    <row r="3763" ht="15.75" customHeight="1">
      <c r="A3763" s="2" t="s">
        <v>3763</v>
      </c>
      <c r="B3763" s="2" t="str">
        <f>IFERROR(__xludf.DUMMYFUNCTION("GOOGLETRANSLATE(A3763, ""en"", ""mt"")"),"Miocene Nofsani")</f>
        <v>Miocene Nofsani</v>
      </c>
    </row>
    <row r="3764" ht="15.75" customHeight="1">
      <c r="A3764" s="2" t="s">
        <v>3764</v>
      </c>
      <c r="B3764" s="2" t="str">
        <f>IFERROR(__xludf.DUMMYFUNCTION("GOOGLETRANSLATE(A3764, ""en"", ""mt"")"),"X'tip ta 'impatt għandu l-intraprenditorija bbażata fuq l-opportunità li għandha fuq it-tkabbir ekonomiku?")</f>
        <v>X'tip ta 'impatt għandu l-intraprenditorija bbażata fuq l-opportunità li għandha fuq it-tkabbir ekonomiku?</v>
      </c>
    </row>
    <row r="3765" ht="15.75" customHeight="1">
      <c r="A3765" s="2" t="s">
        <v>3765</v>
      </c>
      <c r="B3765" s="2" t="str">
        <f>IFERROR(__xludf.DUMMYFUNCTION("GOOGLETRANSLATE(A3765, ""en"", ""mt"")"),"Robert Nozick argumenta li l-gvern jerġa 'jqassam il-ġid bil-forza (ġeneralment fil-forma ta' tassazzjoni), u li s-soċjetà morali ideali tkun waħda fejn l-individwi kollha huma ħielsa mill-forza. Madankollu, Nozick irrikonoxxa li xi inugwaljanzi ekonomiċi"&amp;" moderni kienu r-riżultat ta 'teħid qawwi ta' propjetà, u ċertu ammont ta 'tqassim mill-ġdid ikun iġġustifikat li jikkumpensa għal din il-forza iżda mhux minħabba l-inugwaljanzi nfushom. John Rawls argumenta fit-teorija tal-ġustizzja li l-inugwaljanzi fid"&amp;"-distribuzzjoni tal-ġid huma ġustifikati biss meta jtejbu s-soċjetà kollha, inklużi l-ifqar membri. Rawls ma jiddiskutix l-implikazzjonijiet sħaħ tat-teorija tal-ġustizzja tiegħu. Xi wħud jaraw l-argument ta 'Rawls bħala ġustifikazzjoni għall-kapitaliżmu "&amp;"peress li anke l-ifqar membri tas-soċjetà teoretikament jibbenefikaw minn innovazzjonijiet miżjuda taħt il-kapitaliżmu; Oħrajn jemmnu li stat ta 'benesseri qawwi biss jista' jissodisfa t-teorija tal-ġustizzja ta 'Rawls.")</f>
        <v>Robert Nozick argumenta li l-gvern jerġa 'jqassam il-ġid bil-forza (ġeneralment fil-forma ta' tassazzjoni), u li s-soċjetà morali ideali tkun waħda fejn l-individwi kollha huma ħielsa mill-forza. Madankollu, Nozick irrikonoxxa li xi inugwaljanzi ekonomiċi moderni kienu r-riżultat ta 'teħid qawwi ta' propjetà, u ċertu ammont ta 'tqassim mill-ġdid ikun iġġustifikat li jikkumpensa għal din il-forza iżda mhux minħabba l-inugwaljanzi nfushom. John Rawls argumenta fit-teorija tal-ġustizzja li l-inugwaljanzi fid-distribuzzjoni tal-ġid huma ġustifikati biss meta jtejbu s-soċjetà kollha, inklużi l-ifqar membri. Rawls ma jiddiskutix l-implikazzjonijiet sħaħ tat-teorija tal-ġustizzja tiegħu. Xi wħud jaraw l-argument ta 'Rawls bħala ġustifikazzjoni għall-kapitaliżmu peress li anke l-ifqar membri tas-soċjetà teoretikament jibbenefikaw minn innovazzjonijiet miżjuda taħt il-kapitaliżmu; Oħrajn jemmnu li stat ta 'benesseri qawwi biss jista' jissodisfa t-teorija tal-ġustizzja ta 'Rawls.</v>
      </c>
    </row>
    <row r="3766" ht="15.75" customHeight="1">
      <c r="A3766" s="2" t="s">
        <v>3766</v>
      </c>
      <c r="B3766" s="2" t="str">
        <f>IFERROR(__xludf.DUMMYFUNCTION("GOOGLETRANSLATE(A3766, ""en"", ""mt"")"),"X'inhu t-terminu għal mudell matematiku li teoretikament jirrappreżenta magna tal-kompjuters ġenerali?")</f>
        <v>X'inhu t-terminu għal mudell matematiku li teoretikament jirrappreżenta magna tal-kompjuters ġenerali?</v>
      </c>
    </row>
    <row r="3767" ht="15.75" customHeight="1">
      <c r="A3767" s="2" t="s">
        <v>3767</v>
      </c>
      <c r="B3767" s="2" t="str">
        <f>IFERROR(__xludf.DUMMYFUNCTION("GOOGLETRANSLATE(A3767, ""en"", ""mt"")"),"X'tip ta 'festival huwa ċ-ċiklun tal-blat tat-tramuntana?")</f>
        <v>X'tip ta 'festival huwa ċ-ċiklun tal-blat tat-tramuntana?</v>
      </c>
    </row>
    <row r="3768" ht="15.75" customHeight="1">
      <c r="A3768" s="2" t="s">
        <v>3768</v>
      </c>
      <c r="B3768" s="2" t="str">
        <f>IFERROR(__xludf.DUMMYFUNCTION("GOOGLETRANSLATE(A3768, ""en"", ""mt"")"),"ir-Reġina")</f>
        <v>ir-Reġina</v>
      </c>
    </row>
    <row r="3769" ht="15.75" customHeight="1">
      <c r="A3769" s="2" t="s">
        <v>3769</v>
      </c>
      <c r="B3769" s="2" t="str">
        <f>IFERROR(__xludf.DUMMYFUNCTION("GOOGLETRANSLATE(A3769, ""en"", ""mt"")"),"X’għandu jesponi lil Luther biex ikun ikbar mid-dnub?")</f>
        <v>X’għandu jesponi lil Luther biex ikun ikbar mid-dnub?</v>
      </c>
    </row>
    <row r="3770" ht="15.75" customHeight="1">
      <c r="A3770" s="2" t="s">
        <v>3770</v>
      </c>
      <c r="B3770" s="2" t="str">
        <f>IFERROR(__xludf.DUMMYFUNCTION("GOOGLETRANSLATE(A3770, ""en"", ""mt"")"),"Fi ħdan il-passaġġi ġenitourinarji u gastro-intestinali, il-flora commensal isservi bħala ostakli bijoloġiċi billi tikkompeti ma 'batterji patoġeniċi għall-ikel u l-ispazju u, f'xi każijiet, billi tbiddel il-kundizzjonijiet fl-ambjent tagħhom, bħal pH jew"&amp;" ħadid disponibbli. Dan inaqqas il-probabbiltà li l-patoġeni jilħqu numri suffiċjenti biex jikkawżaw mard. Madankollu, peress li l-biċċa l-kbira tal-antibijotiċi mhux speċifikament jimmiraw batterji u ma jaffettwawx il-fungi, l-antibijotiċi orali jistgħu "&amp;"jwasslu għal ""żieda żejda"" ta 'fungi u jikkawżaw kundizzjonijiet bħal kandidjażi vaġinali (infezzjoni tal-ħmira). Hemm evidenza tajba li l-introduzzjoni mill-ġdid ta 'flora probijotika, bħal kulturi puri tal-lactobacilli li normalment jinstabu fil-jogur"&amp;"t mhux pasturizzat, jgħin biex jerġa' jġib bilanċ b'saħħtu ta 'popolazzjonijiet mikrobjali f'infezzjonijiet intestinali fit-tfal u jinkoraġġixxi dejta preliminari fi studji dwar gastroenterite batterika, bowel infjammatorju Mard, infezzjoni fl-apparat uri"&amp;"narju u infezzjonijiet post-kirurġiċi.")</f>
        <v>Fi ħdan il-passaġġi ġenitourinarji u gastro-intestinali, il-flora commensal isservi bħala ostakli bijoloġiċi billi tikkompeti ma 'batterji patoġeniċi għall-ikel u l-ispazju u, f'xi każijiet, billi tbiddel il-kundizzjonijiet fl-ambjent tagħhom, bħal pH jew ħadid disponibbli. Dan inaqqas il-probabbiltà li l-patoġeni jilħqu numri suffiċjenti biex jikkawżaw mard. Madankollu, peress li l-biċċa l-kbira tal-antibijotiċi mhux speċifikament jimmiraw batterji u ma jaffettwawx il-fungi, l-antibijotiċi orali jistgħu jwasslu għal "żieda żejda" ta 'fungi u jikkawżaw kundizzjonijiet bħal kandidjażi vaġinali (infezzjoni tal-ħmira). Hemm evidenza tajba li l-introduzzjoni mill-ġdid ta 'flora probijotika, bħal kulturi puri tal-lactobacilli li normalment jinstabu fil-jogurt mhux pasturizzat, jgħin biex jerġa' jġib bilanċ b'saħħtu ta 'popolazzjonijiet mikrobjali f'infezzjonijiet intestinali fit-tfal u jinkoraġġixxi dejta preliminari fi studji dwar gastroenterite batterika, bowel infjammatorju Mard, infezzjoni fl-apparat urinarju u infezzjonijiet post-kirurġiċi.</v>
      </c>
    </row>
    <row r="3771" ht="15.75" customHeight="1">
      <c r="A3771" s="2" t="s">
        <v>3771</v>
      </c>
      <c r="B3771" s="2" t="str">
        <f>IFERROR(__xludf.DUMMYFUNCTION("GOOGLETRANSLATE(A3771, ""en"", ""mt"")"),"Wilson's")</f>
        <v>Wilson's</v>
      </c>
    </row>
    <row r="3772" ht="15.75" customHeight="1">
      <c r="A3772" s="2" t="s">
        <v>3772</v>
      </c>
      <c r="B3772" s="2" t="str">
        <f>IFERROR(__xludf.DUMMYFUNCTION("GOOGLETRANSLATE(A3772, ""en"", ""mt"")"),"Riċerki u Kitbiet ta 'Nikola Tesla")</f>
        <v>Riċerki u Kitbiet ta 'Nikola Tesla</v>
      </c>
    </row>
    <row r="3773" ht="15.75" customHeight="1">
      <c r="A3773" s="2" t="s">
        <v>3773</v>
      </c>
      <c r="B3773" s="2" t="str">
        <f>IFERROR(__xludf.DUMMYFUNCTION("GOOGLETRANSLATE(A3773, ""en"", ""mt"")"),"Kunsill Privat")</f>
        <v>Kunsill Privat</v>
      </c>
    </row>
    <row r="3774" ht="15.75" customHeight="1">
      <c r="A3774" s="2" t="s">
        <v>3774</v>
      </c>
      <c r="B3774" s="2" t="str">
        <f>IFERROR(__xludf.DUMMYFUNCTION("GOOGLETRANSLATE(A3774, ""en"", ""mt"")"),"Għaliex ir-Rhine ġie rregolat?")</f>
        <v>Għaliex ir-Rhine ġie rregolat?</v>
      </c>
    </row>
    <row r="3775" ht="15.75" customHeight="1">
      <c r="A3775" s="2" t="s">
        <v>3775</v>
      </c>
      <c r="B3775" s="2" t="str">
        <f>IFERROR(__xludf.DUMMYFUNCTION("GOOGLETRANSLATE(A3775, ""en"", ""mt"")"),"Meta jsofru minn ċaħda ta 'l-irqad, tilqim attiv jista' jkollu effett imnaqqas u jista 'jirriżulta fi produzzjoni ta' antikorpi aktar baxxa, u rispons immuni aktar baxx, milli jkun innutat f'individwu ristrett. Barra minn hekk, proteini bħal NFIL3, li ntw"&amp;"erew li huma marbutin mill-qrib kemm mad-differenzjazzjoni taċ-ċelloli T kif ukoll ma 'ritmi ċirkadjani tagħna, jistgħu jiġu affettwati permezz tat-tfixkil tad-dawl naturali u ċikli skuri permezz ta' każijiet ta 'ċaħda ta' rqad, xogħol ta 'bidla, eċċ Riżu"&amp;"ltat, dawn it-tfixkil jistgħu jwasslu għal żieda fil-kundizzjonijiet kroniċi bħal mard tal-qalb, uġigħ kroniku, u ażma.")</f>
        <v>Meta jsofru minn ċaħda ta 'l-irqad, tilqim attiv jista' jkollu effett imnaqqas u jista 'jirriżulta fi produzzjoni ta' antikorpi aktar baxxa, u rispons immuni aktar baxx, milli jkun innutat f'individwu ristrett. Barra minn hekk, proteini bħal NFIL3, li ntwerew li huma marbutin mill-qrib kemm mad-differenzjazzjoni taċ-ċelloli T kif ukoll ma 'ritmi ċirkadjani tagħna, jistgħu jiġu affettwati permezz tat-tfixkil tad-dawl naturali u ċikli skuri permezz ta' każijiet ta 'ċaħda ta' rqad, xogħol ta 'bidla, eċċ Riżultat, dawn it-tfixkil jistgħu jwasslu għal żieda fil-kundizzjonijiet kroniċi bħal mard tal-qalb, uġigħ kroniku, u ażma.</v>
      </c>
    </row>
    <row r="3776" ht="15.75" customHeight="1">
      <c r="A3776" s="2" t="s">
        <v>3776</v>
      </c>
      <c r="B3776" s="2" t="str">
        <f>IFERROR(__xludf.DUMMYFUNCTION("GOOGLETRANSLATE(A3776, ""en"", ""mt"")"),"Kemm hemm bażijiet navali f'Jacksonville?")</f>
        <v>Kemm hemm bażijiet navali f'Jacksonville?</v>
      </c>
    </row>
    <row r="3777" ht="15.75" customHeight="1">
      <c r="A3777" s="2" t="s">
        <v>3777</v>
      </c>
      <c r="B3777" s="2" t="str">
        <f>IFERROR(__xludf.DUMMYFUNCTION("GOOGLETRANSLATE(A3777, ""en"", ""mt"")"),"Verġni u tifel ta 'Carlo Crivelli)")</f>
        <v>Verġni u tifel ta 'Carlo Crivelli)</v>
      </c>
    </row>
    <row r="3778" ht="15.75" customHeight="1">
      <c r="A3778" s="2" t="s">
        <v>3778</v>
      </c>
      <c r="B3778" s="2" t="str">
        <f>IFERROR(__xludf.DUMMYFUNCTION("GOOGLETRANSLATE(A3778, ""en"", ""mt"")"),"Madwar 2.5 biljun sena ilu")</f>
        <v>Madwar 2.5 biljun sena ilu</v>
      </c>
    </row>
    <row r="3779" ht="15.75" customHeight="1">
      <c r="A3779" s="2" t="s">
        <v>3779</v>
      </c>
      <c r="B3779" s="2" t="str">
        <f>IFERROR(__xludf.DUMMYFUNCTION("GOOGLETRANSLATE(A3779, ""en"", ""mt"")"),"66 miljun sena ilu")</f>
        <v>66 miljun sena ilu</v>
      </c>
    </row>
    <row r="3780" ht="15.75" customHeight="1">
      <c r="A3780" s="2" t="s">
        <v>3780</v>
      </c>
      <c r="B3780" s="2" t="str">
        <f>IFERROR(__xludf.DUMMYFUNCTION("GOOGLETRANSLATE(A3780, ""en"", ""mt"")"),"Iktar kmieni huma ċedew lill-Mongoli")</f>
        <v>Iktar kmieni huma ċedew lill-Mongoli</v>
      </c>
    </row>
    <row r="3781" ht="15.75" customHeight="1">
      <c r="A3781" s="2" t="s">
        <v>3781</v>
      </c>
      <c r="B3781" s="2" t="str">
        <f>IFERROR(__xludf.DUMMYFUNCTION("GOOGLETRANSLATE(A3781, ""en"", ""mt"")"),"Il-Gwerra Franċiża u Indjana (1754-1763) kienet it-Teatru tal-Amerika ta ’Fuq tal-Gwerra Dinjija ta’ Seba ’Snin. Il-gwerra ġiet miġġielda bejn il-kolonji ta 'l-Amerika Ingliża u New France, biż-żewġ naħat sostnuti minn unitajiet militari mill-pajjiżi ġeni"&amp;"turi tagħhom tal-Gran Brittanja u Franza, kif ukoll l-alleati Amerikani Nattivi. Fil-bidu tal-gwerra, il-kolonji Franċiżi tal-Amerika ta ’Fuq kellhom popolazzjoni ta’ madwar 60,000 kolonizzatur Ewropew, meta mqabbla ma ’2 miljun fil-kolonji Ingliżi tal-Am"&amp;"erika ta’ Fuq. Il-Franċiż numeruż kien jiddependi partikolarment mill-Indjani. F’kunflitt twil, in-nazzjonijiet tal-metropoli ddikjaraw gwerra fuq xulxin fl-1756, li żdiedet il-gwerra minn affari reġjonali f’kunflitt interkontinentali.")</f>
        <v>Il-Gwerra Franċiża u Indjana (1754-1763) kienet it-Teatru tal-Amerika ta ’Fuq tal-Gwerra Dinjija ta’ Seba ’Snin. Il-gwerra ġiet miġġielda bejn il-kolonji ta 'l-Amerika Ingliża u New France, biż-żewġ naħat sostnuti minn unitajiet militari mill-pajjiżi ġenituri tagħhom tal-Gran Brittanja u Franza, kif ukoll l-alleati Amerikani Nattivi. Fil-bidu tal-gwerra, il-kolonji Franċiżi tal-Amerika ta ’Fuq kellhom popolazzjoni ta’ madwar 60,000 kolonizzatur Ewropew, meta mqabbla ma ’2 miljun fil-kolonji Ingliżi tal-Amerika ta’ Fuq. Il-Franċiż numeruż kien jiddependi partikolarment mill-Indjani. F’kunflitt twil, in-nazzjonijiet tal-metropoli ddikjaraw gwerra fuq xulxin fl-1756, li żdiedet il-gwerra minn affari reġjonali f’kunflitt interkontinentali.</v>
      </c>
    </row>
    <row r="3782" ht="15.75" customHeight="1">
      <c r="A3782" s="2" t="s">
        <v>3782</v>
      </c>
      <c r="B3782" s="2" t="str">
        <f>IFERROR(__xludf.DUMMYFUNCTION("GOOGLETRANSLATE(A3782, ""en"", ""mt"")"),"Tneħħi l-istat ta ’Iżrael")</f>
        <v>Tneħħi l-istat ta ’Iżrael</v>
      </c>
    </row>
    <row r="3783" ht="15.75" customHeight="1">
      <c r="A3783" s="2" t="s">
        <v>3783</v>
      </c>
      <c r="B3783" s="2" t="str">
        <f>IFERROR(__xludf.DUMMYFUNCTION("GOOGLETRANSLATE(A3783, ""en"", ""mt"")"),"Ir-Rhine (Romansh: Rein, Ġermaniż: Rhein, Franċiż: Le Rhin, Olandiż: Rijn) hija xmara Ewropea li tibda fil-canton Żvizzeru ta 'Graubünden fl-Alpi Żvizzeri tax-Xlokk, tifforma parti mill-fruntiera Żvizzera-Awstrija, Żvizzera-Liechtenstein , Svizzeru-Ġerman"&amp;"iż u mbagħad il-fruntiera Franco-Ġermaniża, imbagħad tgħaddi mir-Rhineland u eventwalment tbattal fil-Baħar tat-Tramuntana fl-Olanda. L-akbar belt fuq ix-Xmara Rhine hija Cologne, il-Ġermanja b'popolazzjoni ta 'aktar minn 1,050,000 persuna. Hija t-tieni l"&amp;"-itwal xmara fl-Ewropa Ċentrali u tal-Punent (wara d-Danubju), għal madwar 1,230 km (760 mi), [nota 2] [nota 1] b'kariga medja ta 'madwar 2,900 m3 / s (100,000 cu ft / s).")</f>
        <v>Ir-Rhine (Romansh: Rein, Ġermaniż: Rhein, Franċiż: Le Rhin, Olandiż: Rijn) hija xmara Ewropea li tibda fil-canton Żvizzeru ta 'Graubünden fl-Alpi Żvizzeri tax-Xlokk, tifforma parti mill-fruntiera Żvizzera-Awstrija, Żvizzera-Liechtenstein , Svizzeru-Ġermaniż u mbagħad il-fruntiera Franco-Ġermaniża, imbagħad tgħaddi mir-Rhineland u eventwalment tbattal fil-Baħar tat-Tramuntana fl-Olanda. L-akbar belt fuq ix-Xmara Rhine hija Cologne, il-Ġermanja b'popolazzjoni ta 'aktar minn 1,050,000 persuna. Hija t-tieni l-itwal xmara fl-Ewropa Ċentrali u tal-Punent (wara d-Danubju), għal madwar 1,230 km (760 mi), [nota 2] [nota 1] b'kariga medja ta 'madwar 2,900 m3 / s (100,000 cu ft / s).</v>
      </c>
    </row>
    <row r="3784" ht="15.75" customHeight="1">
      <c r="A3784" s="2" t="s">
        <v>3784</v>
      </c>
      <c r="B3784" s="2" t="str">
        <f>IFERROR(__xludf.DUMMYFUNCTION("GOOGLETRANSLATE(A3784, ""en"", ""mt"")"),"enerġija ħafifa")</f>
        <v>enerġija ħafifa</v>
      </c>
    </row>
    <row r="3785" ht="15.75" customHeight="1">
      <c r="A3785" s="2" t="s">
        <v>3785</v>
      </c>
      <c r="B3785" s="2" t="str">
        <f>IFERROR(__xludf.DUMMYFUNCTION("GOOGLETRANSLATE(A3785, ""en"", ""mt"")"),"Turbina tal-fwar tikkonsisti minn rotor wieħed jew aktar (diski li jduru) immuntati fuq xaft tas-sewqan, li jalternaw ma 'serje ta' stators (diski statiċi) imwaħħlin mal-kisi tat-turbina. Ir-rotors għandhom arranġament ta 'xfafar simili għall-iskrun fit-t"&amp;"arf ta' barra. Steam jaġixxi fuq dawn ix-xfafar, u jipproduċi moviment li jdur. L-istator jikkonsisti f'serje simili, imma fissa, ta 'xfafar li jservu biex jidderieġu l-fluss tal-fwar fuq l-istadju tar-rotor li jmiss. Turbina tal-fwar ħafna drabi teżawrix"&amp;"xi ġo kondensatur tal-wiċċ li jipprovdi vakwu. L-istadji ta 'turbina tal-fwar huma tipikament irranġati biex jiġu estratti l-ħidma potenzjali massima minn veloċità speċifika u pressjoni tal-fwar, li tagħti lok għal serje ta' stadji ta 'pressjoni għolja u "&amp;"baxxa ta' daqs varjabbli. It-turbini huma effiċjenti biss jekk iduru b'veloċità relattivament għolja, għalhekk huma ġeneralment konnessi ma 'l-irkaptu ta' tnaqqis biex isuqu applikazzjonijiet ta 'veloċità baxxa, bħal skrun tal-vapur. Fil-maġġoranza l-kbir"&amp;"a ta 'stazzjonijiet kbar ta' ġenerazzjoni elettrika, it-turbini huma konnessi direttament ma 'ġeneraturi mingħajr l-irkaptu ta' tnaqqis. Veloċitajiet tipiċi huma 3600 rivoluzzjonijiet kull minuta (RPM) fl-Istati Uniti b'60 Hertz Power, 3000 rpm fl-Ewropa "&amp;"u pajjiżi oħra b'50 sistemi ta 'enerġija elettrika Hertz. F'applikazzjonijiet ta 'enerġija nukleari, it-turbini tipikament jimxu b'nofs dawn il-veloċitajiet, 1800 rpm u 1500 rpm. Rotor tat-turbina huwa biss kapaċi jipprovdi l-enerġija meta jdur f'direzzjo"&amp;"ni waħda. Għalhekk, stadju jew gearbox tar-rivers huwa ġeneralment meħtieġ meta l-qawwa tkun meħtieġa fid-direzzjoni opposta. [Ċitazzjoni meħtieġa]")</f>
        <v>Turbina tal-fwar tikkonsisti minn rotor wieħed jew aktar (diski li jduru) immuntati fuq xaft tas-sewqan, li jalternaw ma 'serje ta' stators (diski statiċi) imwaħħlin mal-kisi tat-turbina. Ir-rotors għandhom arranġament ta 'xfafar simili għall-iskrun fit-tarf ta' barra. Steam jaġixxi fuq dawn ix-xfafar, u jipproduċi moviment li jdur. L-istator jikkonsisti f'serje simili, imma fissa, ta 'xfafar li jservu biex jidderieġu l-fluss tal-fwar fuq l-istadju tar-rotor li jmiss. Turbina tal-fwar ħafna drabi teżawrixxi ġo kondensatur tal-wiċċ li jipprovdi vakwu. L-istadji ta 'turbina tal-fwar huma tipikament irranġati biex jiġu estratti l-ħidma potenzjali massima minn veloċità speċifika u pressjoni tal-fwar, li tagħti lok għal serje ta' stadji ta 'pressjoni għolja u baxxa ta' daqs varjabbli. It-turbini huma effiċjenti biss jekk iduru b'veloċità relattivament għolja, għalhekk huma ġeneralment konnessi ma 'l-irkaptu ta' tnaqqis biex isuqu applikazzjonijiet ta 'veloċità baxxa, bħal skrun tal-vapur. Fil-maġġoranza l-kbira ta 'stazzjonijiet kbar ta' ġenerazzjoni elettrika, it-turbini huma konnessi direttament ma 'ġeneraturi mingħajr l-irkaptu ta' tnaqqis. Veloċitajiet tipiċi huma 3600 rivoluzzjonijiet kull minuta (RPM) fl-Istati Uniti b'60 Hertz Power, 3000 rpm fl-Ewropa u pajjiżi oħra b'50 sistemi ta 'enerġija elettrika Hertz. F'applikazzjonijiet ta 'enerġija nukleari, it-turbini tipikament jimxu b'nofs dawn il-veloċitajiet, 1800 rpm u 1500 rpm. Rotor tat-turbina huwa biss kapaċi jipprovdi l-enerġija meta jdur f'direzzjoni waħda. Għalhekk, stadju jew gearbox tar-rivers huwa ġeneralment meħtieġ meta l-qawwa tkun meħtieġa fid-direzzjoni opposta. [Ċitazzjoni meħtieġa]</v>
      </c>
    </row>
    <row r="3786" ht="15.75" customHeight="1">
      <c r="A3786" s="2" t="s">
        <v>3786</v>
      </c>
      <c r="B3786" s="2" t="str">
        <f>IFERROR(__xludf.DUMMYFUNCTION("GOOGLETRANSLATE(A3786, ""en"", ""mt"")"),"Nederrijn fil-Angeren")</f>
        <v>Nederrijn fil-Angeren</v>
      </c>
    </row>
    <row r="3787" ht="15.75" customHeight="1">
      <c r="A3787" s="2" t="s">
        <v>3787</v>
      </c>
      <c r="B3787" s="2" t="str">
        <f>IFERROR(__xludf.DUMMYFUNCTION("GOOGLETRANSLATE(A3787, ""en"", ""mt"")"),"Meta daħlet il-projbizzjoni fuq ir-reklamar tas-sigaretti għan-netwerks tat-televiżjoni?")</f>
        <v>Meta daħlet il-projbizzjoni fuq ir-reklamar tas-sigaretti għan-netwerks tat-televiżjoni?</v>
      </c>
    </row>
    <row r="3788" ht="15.75" customHeight="1">
      <c r="A3788" s="2" t="s">
        <v>3788</v>
      </c>
      <c r="B3788" s="2" t="str">
        <f>IFERROR(__xludf.DUMMYFUNCTION("GOOGLETRANSLATE(A3788, ""en"", ""mt"")"),"Newcastle kienet waħda mill-ewwel bliet fid-dinja li kellha liema innovazzjoni?")</f>
        <v>Newcastle kienet waħda mill-ewwel bliet fid-dinja li kellha liema innovazzjoni?</v>
      </c>
    </row>
    <row r="3789" ht="15.75" customHeight="1">
      <c r="A3789" s="2" t="s">
        <v>3789</v>
      </c>
      <c r="B3789" s="2" t="str">
        <f>IFERROR(__xludf.DUMMYFUNCTION("GOOGLETRANSLATE(A3789, ""en"", ""mt"")"),"Era Mesozoic")</f>
        <v>Era Mesozoic</v>
      </c>
    </row>
    <row r="3790" ht="15.75" customHeight="1">
      <c r="A3790" s="2" t="s">
        <v>3790</v>
      </c>
      <c r="B3790" s="2" t="str">
        <f>IFERROR(__xludf.DUMMYFUNCTION("GOOGLETRANSLATE(A3790, ""en"", ""mt"")"),"Lagos u Quiberon Bay.")</f>
        <v>Lagos u Quiberon Bay.</v>
      </c>
    </row>
    <row r="3791" ht="15.75" customHeight="1">
      <c r="A3791" s="2" t="s">
        <v>3791</v>
      </c>
      <c r="B3791" s="2" t="str">
        <f>IFERROR(__xludf.DUMMYFUNCTION("GOOGLETRANSLATE(A3791, ""en"", ""mt"")"),"Harvard kien ikklassifikat ħafna minn bosta klassifiki universitarji. B'mod partikolari, hija kkonkludiet b'mod konsistenti l-klassifika akkademika ta 'universitajiet dinjija (ARWU) mill-2003, u l-klassifiki ta' reputazzjoni dinjija mill-2011, meta ġew ip"&amp;"pubblikati l-ewwel darba tali tabelli tal-kampjonat. Meta l-QS and Times ġew ippubblikati fi sħubija bħala l-klassifika tal-Università Dinjija tal-QS matul l-2004-2009, Harvard kien ukoll meqjus l-ewwel wieħed kull sena. Il-programm undergraduate tal-univ"&amp;"ersità kien kontinwament fost l-aqwa tnejn fir-Rapport tal-Aħbarijiet u Dinjija tal-Istati Uniti. Fl-2014, Harvard qabeż il-klassifika tal-università permezz ta ’prestazzjoni akkademika (URAP). Ġie kklassifikat it-8 fir-Rapport tas-Salarju tal-Kulleġġ Pay"&amp;"scale 2013-2014 u l-14-il sena fuq il-klassifikazzjonijiet tal-valur tal-Edukazzjoni tal-Kulleġġ Payscale 2013. Minn stħarriġ magħmul mir-Reviżjoni ta 'Princeton, Harvard huwa t-tieni l-iktar komunement imsejjaħ ""Dream College"", kemm għall-istudenti kif"&amp;" ukoll għall-ġenituri fl-2013, u kien l-ewwel nominat mill-ġenituri fl-2009. Fl-2011. Fl-2011, il-Minjieri Paristich: Universitajiet tad-Dinja tal-Klassifikazzjoni Professjonali Ikklassifikat l-1 Università ta 'Harvard fid-Dinja f'termini ta' numru ta 'po"&amp;"żizzjoni ta' CEO ta 'Alumni f'Fortune Global 500 Company.")</f>
        <v>Harvard kien ikklassifikat ħafna minn bosta klassifiki universitarji. B'mod partikolari, hija kkonkludiet b'mod konsistenti l-klassifika akkademika ta 'universitajiet dinjija (ARWU) mill-2003, u l-klassifiki ta' reputazzjoni dinjija mill-2011, meta ġew ippubblikati l-ewwel darba tali tabelli tal-kampjonat. Meta l-QS and Times ġew ippubblikati fi sħubija bħala l-klassifika tal-Università Dinjija tal-QS matul l-2004-2009, Harvard kien ukoll meqjus l-ewwel wieħed kull sena. Il-programm undergraduate tal-università kien kontinwament fost l-aqwa tnejn fir-Rapport tal-Aħbarijiet u Dinjija tal-Istati Uniti. Fl-2014, Harvard qabeż il-klassifika tal-università permezz ta ’prestazzjoni akkademika (URAP). Ġie kklassifikat it-8 fir-Rapport tas-Salarju tal-Kulleġġ Payscale 2013-2014 u l-14-il sena fuq il-klassifikazzjonijiet tal-valur tal-Edukazzjoni tal-Kulleġġ Payscale 2013. Minn stħarriġ magħmul mir-Reviżjoni ta 'Princeton, Harvard huwa t-tieni l-iktar komunement imsejjaħ "Dream College", kemm għall-istudenti kif ukoll għall-ġenituri fl-2013, u kien l-ewwel nominat mill-ġenituri fl-2009. Fl-2011. Fl-2011, il-Minjieri Paristich: Universitajiet tad-Dinja tal-Klassifikazzjoni Professjonali Ikklassifikat l-1 Università ta 'Harvard fid-Dinja f'termini ta' numru ta 'pożizzjoni ta' CEO ta 'Alumni f'Fortune Global 500 Company.</v>
      </c>
    </row>
    <row r="3792" ht="15.75" customHeight="1">
      <c r="A3792" s="2" t="s">
        <v>3792</v>
      </c>
      <c r="B3792" s="2" t="str">
        <f>IFERROR(__xludf.DUMMYFUNCTION("GOOGLETRANSLATE(A3792, ""en"", ""mt"")"),"Newcastle ħa postha f'Jannar 1756 ma 'Lord Loudoun, bil-Ġeneral Maġġur James Abercrombie bħala t-tieni fil-kmand tiegħu. L-ebda waħda minn dawn l-irġiel ma kellha daqshekk esperjenza ta 'kampanja daqs it-trio ta' uffiċjali Franza mibgħuta lejn l-Amerika t"&amp;"a 'Fuq. Ir-rinforzi tal-Armata Regolari Franċiżi waslu fi New Franza f'Mejju 1756, immexxija mill-Ġeneral Maġġur Louis-Joseph de Montcalm u ssekondati mill-Chevalier de Lévis u l-Kurunell François-Charles de Bourlamaque, kollha esperjenzaw veterani mill-g"&amp;"werra tas-suċċessjoni Awstrijaka. Matul dak iż-żmien fl-Ewropa, fit-18 ta 'Mejju, 1756, l-Ingilterra ddikjarat formalment gwerra fuq Franza, li espandiet il-gwerra fl-Ewropa, li aktar tard kellha tkun magħrufa bħala l-gwerra tas-seba' snin.")</f>
        <v>Newcastle ħa postha f'Jannar 1756 ma 'Lord Loudoun, bil-Ġeneral Maġġur James Abercrombie bħala t-tieni fil-kmand tiegħu. L-ebda waħda minn dawn l-irġiel ma kellha daqshekk esperjenza ta 'kampanja daqs it-trio ta' uffiċjali Franza mibgħuta lejn l-Amerika ta 'Fuq. Ir-rinforzi tal-Armata Regolari Franċiżi waslu fi New Franza f'Mejju 1756, immexxija mill-Ġeneral Maġġur Louis-Joseph de Montcalm u ssekondati mill-Chevalier de Lévis u l-Kurunell François-Charles de Bourlamaque, kollha esperjenzaw veterani mill-gwerra tas-suċċessjoni Awstrijaka. Matul dak iż-żmien fl-Ewropa, fit-18 ta 'Mejju, 1756, l-Ingilterra ddikjarat formalment gwerra fuq Franza, li espandiet il-gwerra fl-Ewropa, li aktar tard kellha tkun magħrufa bħala l-gwerra tas-seba' snin.</v>
      </c>
    </row>
    <row r="3793" ht="15.75" customHeight="1">
      <c r="A3793" s="2" t="s">
        <v>3793</v>
      </c>
      <c r="B3793" s="2" t="str">
        <f>IFERROR(__xludf.DUMMYFUNCTION("GOOGLETRANSLATE(A3793, ""en"", ""mt"")"),"Liema sejbiet issuġġerew li r-reġjun kien popolat densament?")</f>
        <v>Liema sejbiet issuġġerew li r-reġjun kien popolat densament?</v>
      </c>
    </row>
    <row r="3794" ht="15.75" customHeight="1">
      <c r="A3794" s="2" t="s">
        <v>3794</v>
      </c>
      <c r="B3794" s="2" t="str">
        <f>IFERROR(__xludf.DUMMYFUNCTION("GOOGLETRANSLATE(A3794, ""en"", ""mt"")"),"Liema kumpens ieħor kisbet Tesla minn Westinghouse?")</f>
        <v>Liema kumpens ieħor kisbet Tesla minn Westinghouse?</v>
      </c>
    </row>
    <row r="3795" ht="15.75" customHeight="1">
      <c r="A3795" s="2" t="s">
        <v>3795</v>
      </c>
      <c r="B3795" s="2" t="str">
        <f>IFERROR(__xludf.DUMMYFUNCTION("GOOGLETRANSLATE(A3795, ""en"", ""mt"")"),"sistema ta 'ħafna strutturi u proċessi bijoloġiċi fi ħdan organiżmu li jipproteġi kontra l-mard")</f>
        <v>sistema ta 'ħafna strutturi u proċessi bijoloġiċi fi ħdan organiżmu li jipproteġi kontra l-mard</v>
      </c>
    </row>
    <row r="3796" ht="15.75" customHeight="1">
      <c r="A3796" s="2" t="s">
        <v>3796</v>
      </c>
      <c r="B3796" s="2" t="str">
        <f>IFERROR(__xludf.DUMMYFUNCTION("GOOGLETRANSLATE(A3796, ""en"", ""mt"")"),"[256KN + 1, 256K (n + 1) - 1].")</f>
        <v>[256KN + 1, 256K (n + 1) - 1].</v>
      </c>
    </row>
    <row r="3797" ht="15.75" customHeight="1">
      <c r="A3797" s="2" t="s">
        <v>3797</v>
      </c>
      <c r="B3797" s="2" t="str">
        <f>IFERROR(__xludf.DUMMYFUNCTION("GOOGLETRANSLATE(A3797, ""en"", ""mt"")"),"X'inhi l-ewwel referenza magħrufa għall-immunità?")</f>
        <v>X'inhi l-ewwel referenza magħrufa għall-immunità?</v>
      </c>
    </row>
    <row r="3798" ht="15.75" customHeight="1">
      <c r="A3798" s="2" t="s">
        <v>3798</v>
      </c>
      <c r="B3798" s="2" t="str">
        <f>IFERROR(__xludf.DUMMYFUNCTION("GOOGLETRANSLATE(A3798, ""en"", ""mt"")"),"Liema trattament mediku jintuża biex iżżid l-assorbiment ta 'ossiġnu f'pazjent?")</f>
        <v>Liema trattament mediku jintuża biex iżżid l-assorbiment ta 'ossiġnu f'pazjent?</v>
      </c>
    </row>
    <row r="3799" ht="15.75" customHeight="1">
      <c r="A3799" s="2" t="s">
        <v>3799</v>
      </c>
      <c r="B3799" s="2" t="str">
        <f>IFERROR(__xludf.DUMMYFUNCTION("GOOGLETRANSLATE(A3799, ""en"", ""mt"")"),"Dak li huwa ekwivalenti għal numru sħiħ kwadru skont it-tnaqqis tal-ħin polinomjali?")</f>
        <v>Dak li huwa ekwivalenti għal numru sħiħ kwadru skont it-tnaqqis tal-ħin polinomjali?</v>
      </c>
    </row>
    <row r="3800" ht="15.75" customHeight="1">
      <c r="A3800" s="2" t="s">
        <v>3800</v>
      </c>
      <c r="B3800" s="2" t="str">
        <f>IFERROR(__xludf.DUMMYFUNCTION("GOOGLETRANSLATE(A3800, ""en"", ""mt"")"),"Robert Maynard Hutchins De-enfasizza l-Varsity Athletics")</f>
        <v>Robert Maynard Hutchins De-enfasizza l-Varsity Athletics</v>
      </c>
    </row>
    <row r="3801" ht="15.75" customHeight="1">
      <c r="A3801" s="2" t="s">
        <v>3801</v>
      </c>
      <c r="B3801" s="2" t="str">
        <f>IFERROR(__xludf.DUMMYFUNCTION("GOOGLETRANSLATE(A3801, ""en"", ""mt"")"),"Fl-1970, ABC iddebutta l-futbol it-Tnejn filgħaxija bħala parti mill-iskeda ta 'ħin ewlieni tat-Tnejn; Il-programm sar suċċess għan-netwerk u serva bħala l-logħba ewlenija tal-ġimgħa tal-Football League (NFL) sal-2006, meta l-Futbol tal-Ħadd filgħaxija, l"&amp;"i mar joqgħod għand NBC dik is-sena bħala parti minn ftehim ta 'xandir li min-naħa tiegħu ra l-MNF Mexxi lejn ESPN, ħa postu bħala l-logħba tal-marka tal-kampjonat. Skond Goldenson, it-Tnejn filgħaxija tal-futbol għen biex jaqla 'ABC jiskorja sehem ta' ud"&amp;"jenza regolarment ta '15% -16%; ABC Sports irnexxielu l-baġit għas-slot tal-ħin tat-Tnejn bil-lejl biex jerġa 'jalloka l-baġit ta' kull ġimgħa għall-iskeda ta 'ħin ewlieni ta' ABC għal sitt ijiem biss, għall-kuntrarju ta 'sebgħa fuq netwerks li jikkompetu"&amp;". L-1970 rat ukoll il-premieres ta 'diversi sapun inklużi t-tfal kollha li ilhom għaddejjin, li damu fuq in-netwerk għal 41 sena.")</f>
        <v>Fl-1970, ABC iddebutta l-futbol it-Tnejn filgħaxija bħala parti mill-iskeda ta 'ħin ewlieni tat-Tnejn; Il-programm sar suċċess għan-netwerk u serva bħala l-logħba ewlenija tal-ġimgħa tal-Football League (NFL) sal-2006, meta l-Futbol tal-Ħadd filgħaxija, li mar joqgħod għand NBC dik is-sena bħala parti minn ftehim ta 'xandir li min-naħa tiegħu ra l-MNF Mexxi lejn ESPN, ħa postu bħala l-logħba tal-marka tal-kampjonat. Skond Goldenson, it-Tnejn filgħaxija tal-futbol għen biex jaqla 'ABC jiskorja sehem ta' udjenza regolarment ta '15% -16%; ABC Sports irnexxielu l-baġit għas-slot tal-ħin tat-Tnejn bil-lejl biex jerġa 'jalloka l-baġit ta' kull ġimgħa għall-iskeda ta 'ħin ewlieni ta' ABC għal sitt ijiem biss, għall-kuntrarju ta 'sebgħa fuq netwerks li jikkompetu. L-1970 rat ukoll il-premieres ta 'diversi sapun inklużi t-tfal kollha li ilhom għaddejjin, li damu fuq in-netwerk għal 41 sena.</v>
      </c>
    </row>
    <row r="3802" ht="15.75" customHeight="1">
      <c r="A3802" s="2" t="s">
        <v>3802</v>
      </c>
      <c r="B3802" s="2" t="str">
        <f>IFERROR(__xludf.DUMMYFUNCTION("GOOGLETRANSLATE(A3802, ""en"", ""mt"")"),"L-UMC huwa wkoll membru tal-Wesleyan Hduriness Consortium, li jfittex li jirrikonċepixxi u jippromwovi l-qdusija Biblika fil-knisja tal-lum. Huwa wkoll attiv fil-Kunsill Metodist Dinji, grupp interdenominazzjonali magħmul minn diversi knejjes fit-tradizzj"&amp;"oni ta 'John Wesley biex jippromwovi l-Evanġelju madwar id-dinja. Fit-18 ta 'Lulju, 2006, id-delegati għall-Kunsill Metodist Dinji vvutaw unanimament biex jadottaw id- ""dikjarazzjoni konġunta dwar id-duttrina tal-ġustifikazzjoni"", li ġiet approvata fl-1"&amp;"999 mill-Vatikan u l-Federazzjoni Dinjija Luterana.")</f>
        <v>L-UMC huwa wkoll membru tal-Wesleyan Hduriness Consortium, li jfittex li jirrikonċepixxi u jippromwovi l-qdusija Biblika fil-knisja tal-lum. Huwa wkoll attiv fil-Kunsill Metodist Dinji, grupp interdenominazzjonali magħmul minn diversi knejjes fit-tradizzjoni ta 'John Wesley biex jippromwovi l-Evanġelju madwar id-dinja. Fit-18 ta 'Lulju, 2006, id-delegati għall-Kunsill Metodist Dinji vvutaw unanimament biex jadottaw id- "dikjarazzjoni konġunta dwar id-duttrina tal-ġustifikazzjoni", li ġiet approvata fl-1999 mill-Vatikan u l-Federazzjoni Dinjija Luterana.</v>
      </c>
    </row>
    <row r="3803" ht="15.75" customHeight="1">
      <c r="A3803" s="2" t="s">
        <v>3803</v>
      </c>
      <c r="B3803" s="2" t="str">
        <f>IFERROR(__xludf.DUMMYFUNCTION("GOOGLETRANSLATE(A3803, ""en"", ""mt"")"),"Qerda ta 'Iżrael")</f>
        <v>Qerda ta 'Iżrael</v>
      </c>
    </row>
    <row r="3804" ht="15.75" customHeight="1">
      <c r="A3804" s="2" t="s">
        <v>3804</v>
      </c>
      <c r="B3804" s="2" t="str">
        <f>IFERROR(__xludf.DUMMYFUNCTION("GOOGLETRANSLATE(A3804, ""en"", ""mt"")"),"L-Arċisqof Albrecht ta ’Mainz u Magdeburg")</f>
        <v>L-Arċisqof Albrecht ta ’Mainz u Magdeburg</v>
      </c>
    </row>
    <row r="3805" ht="15.75" customHeight="1">
      <c r="A3805" s="2" t="s">
        <v>3805</v>
      </c>
      <c r="B3805" s="2" t="str">
        <f>IFERROR(__xludf.DUMMYFUNCTION("GOOGLETRANSLATE(A3805, ""en"", ""mt"")"),"X'inhu t-terminu meta dawk li jaqilgħu d-dħul medju jaspiraw li jiksbu l-istess standards ta 'għajxien bħal nies sinjuri minnhom infushom?")</f>
        <v>X'inhu t-terminu meta dawk li jaqilgħu d-dħul medju jaspiraw li jiksbu l-istess standards ta 'għajxien bħal nies sinjuri minnhom infushom?</v>
      </c>
    </row>
    <row r="3806" ht="15.75" customHeight="1">
      <c r="A3806" s="2" t="s">
        <v>3806</v>
      </c>
      <c r="B3806" s="2" t="str">
        <f>IFERROR(__xludf.DUMMYFUNCTION("GOOGLETRANSLATE(A3806, ""en"", ""mt"")"),"L-iktar stat b'popolazzjoni densa")</f>
        <v>L-iktar stat b'popolazzjoni densa</v>
      </c>
    </row>
    <row r="3807" ht="15.75" customHeight="1">
      <c r="A3807" s="2" t="s">
        <v>3807</v>
      </c>
      <c r="B3807" s="2" t="str">
        <f>IFERROR(__xludf.DUMMYFUNCTION("GOOGLETRANSLATE(A3807, ""en"", ""mt"")"),"Għaliex hija rranġata l-post bil-qiegħda tal-kamra tad-dibattitu kif inhi?")</f>
        <v>Għaliex hija rranġata l-post bil-qiegħda tal-kamra tad-dibattitu kif inhi?</v>
      </c>
    </row>
    <row r="3808" ht="15.75" customHeight="1">
      <c r="A3808" s="2" t="s">
        <v>3808</v>
      </c>
      <c r="B3808" s="2" t="str">
        <f>IFERROR(__xludf.DUMMYFUNCTION("GOOGLETRANSLATE(A3808, ""en"", ""mt"")"),"Battalja ta 'Jumonville Glen")</f>
        <v>Battalja ta 'Jumonville Glen</v>
      </c>
    </row>
    <row r="3809" ht="15.75" customHeight="1">
      <c r="A3809" s="2" t="s">
        <v>3809</v>
      </c>
      <c r="B3809" s="2" t="str">
        <f>IFERROR(__xludf.DUMMYFUNCTION("GOOGLETRANSLATE(A3809, ""en"", ""mt"")"),"Ċelloli T qattiel")</f>
        <v>Ċelloli T qattiel</v>
      </c>
    </row>
    <row r="3810" ht="15.75" customHeight="1">
      <c r="A3810" s="2" t="s">
        <v>3810</v>
      </c>
      <c r="B3810" s="2" t="str">
        <f>IFERROR(__xludf.DUMMYFUNCTION("GOOGLETRANSLATE(A3810, ""en"", ""mt"")"),"NFL Mobile")</f>
        <v>NFL Mobile</v>
      </c>
    </row>
    <row r="3811" ht="15.75" customHeight="1">
      <c r="A3811" s="2" t="s">
        <v>3811</v>
      </c>
      <c r="B3811" s="2" t="str">
        <f>IFERROR(__xludf.DUMMYFUNCTION("GOOGLETRANSLATE(A3811, ""en"", ""mt"")"),"Fresno County Courthouse (imwaqqa), il-Librerija Pubblika Fresno Carnegie")</f>
        <v>Fresno County Courthouse (imwaqqa), il-Librerija Pubblika Fresno Carnegie</v>
      </c>
    </row>
    <row r="3812" ht="15.75" customHeight="1">
      <c r="A3812" s="2" t="s">
        <v>3812</v>
      </c>
      <c r="B3812" s="2" t="str">
        <f>IFERROR(__xludf.DUMMYFUNCTION("GOOGLETRANSLATE(A3812, ""en"", ""mt"")"),"midfun mingħajr marki")</f>
        <v>midfun mingħajr marki</v>
      </c>
    </row>
    <row r="3813" ht="15.75" customHeight="1">
      <c r="A3813" s="2" t="s">
        <v>3813</v>
      </c>
      <c r="B3813" s="2" t="str">
        <f>IFERROR(__xludf.DUMMYFUNCTION("GOOGLETRANSLATE(A3813, ""en"", ""mt"")"),"l-aktar sempliċi")</f>
        <v>l-aktar sempliċi</v>
      </c>
    </row>
    <row r="3814" ht="15.75" customHeight="1">
      <c r="A3814" s="2" t="s">
        <v>3814</v>
      </c>
      <c r="B3814" s="2" t="str">
        <f>IFERROR(__xludf.DUMMYFUNCTION("GOOGLETRANSLATE(A3814, ""en"", ""mt"")"),"limitat")</f>
        <v>limitat</v>
      </c>
    </row>
    <row r="3815" ht="15.75" customHeight="1">
      <c r="A3815" s="2" t="s">
        <v>3815</v>
      </c>
      <c r="B3815" s="2" t="str">
        <f>IFERROR(__xludf.DUMMYFUNCTION("GOOGLETRANSLATE(A3815, ""en"", ""mt"")"),"tard fl-1886")</f>
        <v>tard fl-1886</v>
      </c>
    </row>
    <row r="3816" ht="15.75" customHeight="1">
      <c r="A3816" s="2" t="s">
        <v>3816</v>
      </c>
      <c r="B3816" s="2" t="str">
        <f>IFERROR(__xludf.DUMMYFUNCTION("GOOGLETRANSLATE(A3816, ""en"", ""mt"")"),"X'inhu Floridean?")</f>
        <v>X'inhu Floridean?</v>
      </c>
    </row>
    <row r="3817" ht="15.75" customHeight="1">
      <c r="A3817" s="2" t="s">
        <v>3817</v>
      </c>
      <c r="B3817" s="2" t="str">
        <f>IFERROR(__xludf.DUMMYFUNCTION("GOOGLETRANSLATE(A3817, ""en"", ""mt"")"),"Kif jissejħu l-partiċelli tal-mewġ li jimmedjaw il-fenomeni elettromanjetiċi kollha?")</f>
        <v>Kif jissejħu l-partiċelli tal-mewġ li jimmedjaw il-fenomeni elettromanjetiċi kollha?</v>
      </c>
    </row>
    <row r="3818" ht="15.75" customHeight="1">
      <c r="A3818" s="2" t="s">
        <v>3818</v>
      </c>
      <c r="B3818" s="2" t="str">
        <f>IFERROR(__xludf.DUMMYFUNCTION("GOOGLETRANSLATE(A3818, ""en"", ""mt"")"),"Liema forma huma pyrenoids?")</f>
        <v>Liema forma huma pyrenoids?</v>
      </c>
    </row>
    <row r="3819" ht="15.75" customHeight="1">
      <c r="A3819" s="2" t="s">
        <v>3819</v>
      </c>
      <c r="B3819" s="2" t="str">
        <f>IFERROR(__xludf.DUMMYFUNCTION("GOOGLETRANSLATE(A3819, ""en"", ""mt"")"),"Skond l-Uffiċċju taċ-Ċensiment ta 'l-Istati Uniti, il-belt għandha erja totali ta' 874.3 mil kwadru (2,264 km2), li tagħmel lil Jacksonville l-akbar belt fiż-żona tal-art fl-Istati Uniti kontigwi; Minn dan, 86.66% (757.7 sq mi jew 1,962 km2) huwa art u; 1"&amp;"3.34% (116.7 sq mi jew 302 km2) huwa ilma. Jacksonville jdawwar il-belt ta ’Baldwin. Il-Kontea ta 'Nassau tinsab fit-tramuntana, il-Kontea ta' Baker tinsab fil-punent, u Clay u San Ġwann County jinsabu fin-nofsinhar; L-Oċean Atlantiku jinsab lejn il-lvant"&amp;", flimkien mal-bajjiet ta 'Jacksonville. Ix-Xmara San Ġwann taqsam il-belt. Ix-Xmara Trout, tributarju ewlieni tax-Xmara San Ġwann, tinsab kompletament ġewwa Jacksonville.")</f>
        <v>Skond l-Uffiċċju taċ-Ċensiment ta 'l-Istati Uniti, il-belt għandha erja totali ta' 874.3 mil kwadru (2,264 km2), li tagħmel lil Jacksonville l-akbar belt fiż-żona tal-art fl-Istati Uniti kontigwi; Minn dan, 86.66% (757.7 sq mi jew 1,962 km2) huwa art u; 13.34% (116.7 sq mi jew 302 km2) huwa ilma. Jacksonville jdawwar il-belt ta ’Baldwin. Il-Kontea ta 'Nassau tinsab fit-tramuntana, il-Kontea ta' Baker tinsab fil-punent, u Clay u San Ġwann County jinsabu fin-nofsinhar; L-Oċean Atlantiku jinsab lejn il-lvant, flimkien mal-bajjiet ta 'Jacksonville. Ix-Xmara San Ġwann taqsam il-belt. Ix-Xmara Trout, tributarju ewlieni tax-Xmara San Ġwann, tinsab kompletament ġewwa Jacksonville.</v>
      </c>
    </row>
    <row r="3820" ht="15.75" customHeight="1">
      <c r="A3820" s="2" t="s">
        <v>3820</v>
      </c>
      <c r="B3820" s="2" t="str">
        <f>IFERROR(__xludf.DUMMYFUNCTION("GOOGLETRANSLATE(A3820, ""en"", ""mt"")"),"Min hu adattat biex jinterpreta t-trattati?")</f>
        <v>Min hu adattat biex jinterpreta t-trattati?</v>
      </c>
    </row>
    <row r="3821" ht="15.75" customHeight="1">
      <c r="A3821" s="2" t="s">
        <v>3821</v>
      </c>
      <c r="B3821" s="2" t="str">
        <f>IFERROR(__xludf.DUMMYFUNCTION("GOOGLETRANSLATE(A3821, ""en"", ""mt"")"),"Luther irrifjuta li jerġa 'jġib il-kitbiet tiegħu. Huwa xi kultant huwa kkwotat ukoll li qal: ""Hawnhekk jien qiegħed. Ma nista 'nagħmel l-ebda ieħor"". Studjużi riċenti jqisu l-evidenza biex dawn il-kliem ma jkunux affidabbli, peress li ġew imdaħħla qabe"&amp;"l ""Jalla Alla jgħinni"" biss f'verżjonijiet aktar tard tad-diskors u mhux irreġistrati fil-kontijiet tax-xhieda tal-proċeduri. Madankollu, Mullett jissuġġerixxi li minħabba n-natura tiegħu, ""Aħna liberi li nemmnu li Luther għandu t-tendenza li jagħżel i"&amp;"l-forma aktar drammatika ta 'kliem.""")</f>
        <v>Luther irrifjuta li jerġa 'jġib il-kitbiet tiegħu. Huwa xi kultant huwa kkwotat ukoll li qal: "Hawnhekk jien qiegħed. Ma nista 'nagħmel l-ebda ieħor". Studjużi riċenti jqisu l-evidenza biex dawn il-kliem ma jkunux affidabbli, peress li ġew imdaħħla qabel "Jalla Alla jgħinni" biss f'verżjonijiet aktar tard tad-diskors u mhux irreġistrati fil-kontijiet tax-xhieda tal-proċeduri. Madankollu, Mullett jissuġġerixxi li minħabba n-natura tiegħu, "Aħna liberi li nemmnu li Luther għandu t-tendenza li jagħżel il-forma aktar drammatika ta 'kliem."</v>
      </c>
    </row>
    <row r="3822" ht="15.75" customHeight="1">
      <c r="A3822" s="2" t="s">
        <v>3822</v>
      </c>
      <c r="B3822" s="2" t="str">
        <f>IFERROR(__xludf.DUMMYFUNCTION("GOOGLETRANSLATE(A3822, ""en"", ""mt"")"),"Il-forzi tat-tensjoni jistgħu jiġu mmudellati bl-użu ta 'kordi ideali li huma bla massa, mingħajr frizzjoni, li ma jistgħux jinbdew, u li ma jistgħux jiġu stretti. Jistgħu jiġu kkombinati ma 'taljoli ideali, li jippermettu kordi ideali biex jaqilbu d-dire"&amp;"zzjoni fiżika. Strings ideali jittrasmettu forzi ta 'tensjoni istantanjament f'pari ta' reazzjoni ta 'azzjoni sabiex jekk żewġ oġġetti huma konnessi minn korda ideali, kwalunkwe forza diretta tul is-sekwenza mill-ewwel oġġett hija akkumpanjata minn forza "&amp;"diretta tul il-korda fid-direzzjoni opposta mit-tieni oġġett - Billi tikkonnettja l-istess sekwenza bosta drabi mal-istess oġġett permezz tal-użu ta 'set-up li juża taljoli mobbli, il-forza tat-tensjoni fuq tagħbija tista' tiġi mmultiplikata. Għal kull se"&amp;"kwenza li taġixxi fuq tagħbija, fattur ieħor tal-forza tat-tensjoni fis-sekwenza taġixxi fuq it-tagħbija. Madankollu, minkejja li dawn il-magni jippermettu żieda fis-seħħ, hemm żieda korrispondenti fit-tul tal-korda li trid tiġi spostata sabiex tiċċaqlaq "&amp;"it-tagħbija. Dawn l-effetti tandem jirriżultaw fl-aħħar mill-aħħar fil-konservazzjoni tal-enerġija mekkanika peress li x-xogħol magħmul fuq it-tagħbija huwa l-istess irrispettivament minn kemm tkun ikkumplikata l-magna.")</f>
        <v>Il-forzi tat-tensjoni jistgħu jiġu mmudellati bl-użu ta 'kordi ideali li huma bla massa, mingħajr frizzjoni, li ma jistgħux jinbdew, u li ma jistgħux jiġu stretti. Jistgħu jiġu kkombinati ma 'taljoli ideali, li jippermettu kordi ideali biex jaqilbu d-direzzjoni fiżika. Strings ideali jittrasmettu forzi ta 'tensjoni istantanjament f'pari ta' reazzjoni ta 'azzjoni sabiex jekk żewġ oġġetti huma konnessi minn korda ideali, kwalunkwe forza diretta tul is-sekwenza mill-ewwel oġġett hija akkumpanjata minn forza diretta tul il-korda fid-direzzjoni opposta mit-tieni oġġett - Billi tikkonnettja l-istess sekwenza bosta drabi mal-istess oġġett permezz tal-użu ta 'set-up li juża taljoli mobbli, il-forza tat-tensjoni fuq tagħbija tista' tiġi mmultiplikata. Għal kull sekwenza li taġixxi fuq tagħbija, fattur ieħor tal-forza tat-tensjoni fis-sekwenza taġixxi fuq it-tagħbija. Madankollu, minkejja li dawn il-magni jippermettu żieda fis-seħħ, hemm żieda korrispondenti fit-tul tal-korda li trid tiġi spostata sabiex tiċċaqlaq it-tagħbija. Dawn l-effetti tandem jirriżultaw fl-aħħar mill-aħħar fil-konservazzjoni tal-enerġija mekkanika peress li x-xogħol magħmul fuq it-tagħbija huwa l-istess irrispettivament minn kemm tkun ikkumplikata l-magna.</v>
      </c>
    </row>
    <row r="3823" ht="15.75" customHeight="1">
      <c r="A3823" s="2" t="s">
        <v>3823</v>
      </c>
      <c r="B3823" s="2" t="str">
        <f>IFERROR(__xludf.DUMMYFUNCTION("GOOGLETRANSLATE(A3823, ""en"", ""mt"")"),"astronawt wieħed")</f>
        <v>astronawt wieħed</v>
      </c>
    </row>
    <row r="3824" ht="15.75" customHeight="1">
      <c r="A3824" s="2" t="s">
        <v>3824</v>
      </c>
      <c r="B3824" s="2" t="str">
        <f>IFERROR(__xludf.DUMMYFUNCTION("GOOGLETRANSLATE(A3824, ""en"", ""mt"")"),"X'kien qed jiġri għan-numri tal-abbonati f'oqsma oħra tal-Ewropa?")</f>
        <v>X'kien qed jiġri għan-numri tal-abbonati f'oqsma oħra tal-Ewropa?</v>
      </c>
    </row>
    <row r="3825" ht="15.75" customHeight="1">
      <c r="A3825" s="2" t="s">
        <v>3825</v>
      </c>
      <c r="B3825" s="2" t="str">
        <f>IFERROR(__xludf.DUMMYFUNCTION("GOOGLETRANSLATE(A3825, ""en"", ""mt"")"),"Min stabbilixxa l-ammont ta 'numri ewlenin li jeżistu?")</f>
        <v>Min stabbilixxa l-ammont ta 'numri ewlenin li jeżistu?</v>
      </c>
    </row>
    <row r="3826" ht="15.75" customHeight="1">
      <c r="A3826" s="2" t="s">
        <v>3826</v>
      </c>
      <c r="B3826" s="2" t="str">
        <f>IFERROR(__xludf.DUMMYFUNCTION("GOOGLETRANSLATE(A3826, ""en"", ""mt"")"),"Liema grupp ta 'xandir huwa l-akbar operatur ta' stazzjonijiet ABC?")</f>
        <v>Liema grupp ta 'xandir huwa l-akbar operatur ta' stazzjonijiet ABC?</v>
      </c>
    </row>
    <row r="3827" ht="15.75" customHeight="1">
      <c r="A3827" s="2" t="s">
        <v>3827</v>
      </c>
      <c r="B3827" s="2" t="str">
        <f>IFERROR(__xludf.DUMMYFUNCTION("GOOGLETRANSLATE(A3827, ""en"", ""mt"")"),"tmien ringieli")</f>
        <v>tmien ringieli</v>
      </c>
    </row>
    <row r="3828" ht="15.75" customHeight="1">
      <c r="A3828" s="2" t="s">
        <v>3828</v>
      </c>
      <c r="B3828" s="2" t="str">
        <f>IFERROR(__xludf.DUMMYFUNCTION("GOOGLETRANSLATE(A3828, ""en"", ""mt"")"),"Kull Ġunju")</f>
        <v>Kull Ġunju</v>
      </c>
    </row>
    <row r="3829" ht="15.75" customHeight="1">
      <c r="A3829" s="2" t="s">
        <v>3829</v>
      </c>
      <c r="B3829" s="2" t="str">
        <f>IFERROR(__xludf.DUMMYFUNCTION("GOOGLETRANSLATE(A3829, ""en"", ""mt"")"),"X'tip ta 'emendi jistgħu l-membri jopponu abbozz li jitpoġġa fuq il-mejda?")</f>
        <v>X'tip ta 'emendi jistgħu l-membri jopponu abbozz li jitpoġġa fuq il-mejda?</v>
      </c>
    </row>
    <row r="3830" ht="15.75" customHeight="1">
      <c r="A3830" s="2" t="s">
        <v>3830</v>
      </c>
      <c r="B3830" s="2" t="str">
        <f>IFERROR(__xludf.DUMMYFUNCTION("GOOGLETRANSLATE(A3830, ""en"", ""mt"")"),"opportunistiku")</f>
        <v>opportunistiku</v>
      </c>
    </row>
    <row r="3831" ht="15.75" customHeight="1">
      <c r="A3831" s="2" t="s">
        <v>3831</v>
      </c>
      <c r="B3831" s="2" t="str">
        <f>IFERROR(__xludf.DUMMYFUNCTION("GOOGLETRANSLATE(A3831, ""en"", ""mt"")"),"perit")</f>
        <v>perit</v>
      </c>
    </row>
    <row r="3832" ht="15.75" customHeight="1">
      <c r="A3832" s="2" t="s">
        <v>3832</v>
      </c>
      <c r="B3832" s="2" t="str">
        <f>IFERROR(__xludf.DUMMYFUNCTION("GOOGLETRANSLATE(A3832, ""en"", ""mt"")"),"Nies ta 'liema nazzjonalità vvintaw it-turbina tal-fwar?")</f>
        <v>Nies ta 'liema nazzjonalità vvintaw it-turbina tal-fwar?</v>
      </c>
    </row>
    <row r="3833" ht="15.75" customHeight="1">
      <c r="A3833" s="2" t="s">
        <v>3833</v>
      </c>
      <c r="B3833" s="2" t="str">
        <f>IFERROR(__xludf.DUMMYFUNCTION("GOOGLETRANSLATE(A3833, ""en"", ""mt"")"),"Inħoss li għamilt l-aħjar ħaġa billi kiser din il-liġi partikolari")</f>
        <v>Inħoss li għamilt l-aħjar ħaġa billi kiser din il-liġi partikolari</v>
      </c>
    </row>
    <row r="3834" ht="15.75" customHeight="1">
      <c r="A3834" s="2" t="s">
        <v>3834</v>
      </c>
      <c r="B3834" s="2" t="str">
        <f>IFERROR(__xludf.DUMMYFUNCTION("GOOGLETRANSLATE(A3834, ""en"", ""mt"")"),"munita")</f>
        <v>munita</v>
      </c>
    </row>
    <row r="3835" ht="15.75" customHeight="1">
      <c r="A3835" s="2" t="s">
        <v>3835</v>
      </c>
      <c r="B3835" s="2" t="str">
        <f>IFERROR(__xludf.DUMMYFUNCTION("GOOGLETRANSLATE(A3835, ""en"", ""mt"")"),"$ 50,000")</f>
        <v>$ 50,000</v>
      </c>
    </row>
    <row r="3836" ht="15.75" customHeight="1">
      <c r="A3836" s="2" t="s">
        <v>3836</v>
      </c>
      <c r="B3836" s="2" t="str">
        <f>IFERROR(__xludf.DUMMYFUNCTION("GOOGLETRANSLATE(A3836, ""en"", ""mt"")"),"omologu")</f>
        <v>omologu</v>
      </c>
    </row>
    <row r="3837" ht="15.75" customHeight="1">
      <c r="A3837" s="2" t="s">
        <v>3837</v>
      </c>
      <c r="B3837" s="2" t="str">
        <f>IFERROR(__xludf.DUMMYFUNCTION("GOOGLETRANSLATE(A3837, ""en"", ""mt"")"),"Beerhouse u Whorehouse")</f>
        <v>Beerhouse u Whorehouse</v>
      </c>
    </row>
    <row r="3838" ht="15.75" customHeight="1">
      <c r="A3838" s="2" t="s">
        <v>3838</v>
      </c>
      <c r="B3838" s="2" t="str">
        <f>IFERROR(__xludf.DUMMYFUNCTION("GOOGLETRANSLATE(A3838, ""en"", ""mt"")"),"Meta kienu jeżistu s-sitt ministeri?")</f>
        <v>Meta kienu jeżistu s-sitt ministeri?</v>
      </c>
    </row>
    <row r="3839" ht="15.75" customHeight="1">
      <c r="A3839" s="2" t="s">
        <v>3839</v>
      </c>
      <c r="B3839" s="2" t="str">
        <f>IFERROR(__xludf.DUMMYFUNCTION("GOOGLETRANSLATE(A3839, ""en"", ""mt"")"),"X'inhu l-iktar effett probabbli tan-nifs tal-ossiġnu?")</f>
        <v>X'inhu l-iktar effett probabbli tan-nifs tal-ossiġnu?</v>
      </c>
    </row>
    <row r="3840" ht="15.75" customHeight="1">
      <c r="A3840" s="2" t="s">
        <v>3840</v>
      </c>
      <c r="B3840" s="2" t="str">
        <f>IFERROR(__xludf.DUMMYFUNCTION("GOOGLETRANSLATE(A3840, ""en"", ""mt"")"),"Uliedu u n-neputijiet tiegħu.")</f>
        <v>Uliedu u n-neputijiet tiegħu.</v>
      </c>
    </row>
    <row r="3841" ht="15.75" customHeight="1">
      <c r="A3841" s="2" t="s">
        <v>3841</v>
      </c>
      <c r="B3841" s="2" t="str">
        <f>IFERROR(__xludf.DUMMYFUNCTION("GOOGLETRANSLATE(A3841, ""en"", ""mt"")"),"consoles elettroniċi")</f>
        <v>consoles elettroniċi</v>
      </c>
    </row>
    <row r="3842" ht="15.75" customHeight="1">
      <c r="A3842" s="2" t="s">
        <v>3842</v>
      </c>
      <c r="B3842" s="2" t="str">
        <f>IFERROR(__xludf.DUMMYFUNCTION("GOOGLETRANSLATE(A3842, ""en"", ""mt"")"),"Mill-pajjiżu oriġinali tagħhom fl-Iskandinavja u l-Ewropa tat-Tramuntana, it-tribujiet Ġermaniċi kibru madwar l-Ewropa tat-Tramuntana u tal-Punent fil-perjodu tan-nofs tal-antikità klassika; L-Ewropa tan-Nofsinhar fl-Antikitajiet Tard, li tirbħu Ċeltiku u"&amp;" popli oħra; u sat-800 CE, li jiffurmaw l-Imperu Ruman Qaddis, l-ewwel Imperu Ġermaniż. Madankollu, ma kien hemm l-ebda kontinwità sistemika reali mill-Imperu Ruman tal-Punent għas-suċċessur Ġermaniż tiegħu li ġie deskritt famuż bħala ""mhux qaddis, mhux "&amp;"Ruman, u mhux imperu"", bħala numru kbir ta 'stati żgħar u prinċipati jeżistu fil-Konfederazzjoni Awtonoma - Għalkemm sal-1000 CE, il-konkwista Ġermanika tal-Ewropa Ċentrali, tal-Punent u tan-Nofsinhar (fil-punent ta 'u inkluża l-Italja) kienet kompluta, "&amp;"eskluża biss l-Iberia Musulmana. Madankollu, kien hemm ftit integrazzjoni kulturali jew identità nazzjonali, u ""il-Ġermanja"" baqgħet fil-biċċa l-kbira terminu kunċettwali li jirreferi għal żona amorfa ta 'l-Ewropa Ċentrali.")</f>
        <v>Mill-pajjiżu oriġinali tagħhom fl-Iskandinavja u l-Ewropa tat-Tramuntana, it-tribujiet Ġermaniċi kibru madwar l-Ewropa tat-Tramuntana u tal-Punent fil-perjodu tan-nofs tal-antikità klassika; L-Ewropa tan-Nofsinhar fl-Antikitajiet Tard, li tirbħu Ċeltiku u popli oħra; u sat-800 CE, li jiffurmaw l-Imperu Ruman Qaddis, l-ewwel Imperu Ġermaniż. Madankollu, ma kien hemm l-ebda kontinwità sistemika reali mill-Imperu Ruman tal-Punent għas-suċċessur Ġermaniż tiegħu li ġie deskritt famuż bħala "mhux qaddis, mhux Ruman, u mhux imperu", bħala numru kbir ta 'stati żgħar u prinċipati jeżistu fil-Konfederazzjoni Awtonoma - Għalkemm sal-1000 CE, il-konkwista Ġermanika tal-Ewropa Ċentrali, tal-Punent u tan-Nofsinhar (fil-punent ta 'u inkluża l-Italja) kienet kompluta, eskluża biss l-Iberia Musulmana. Madankollu, kien hemm ftit integrazzjoni kulturali jew identità nazzjonali, u "il-Ġermanja" baqgħet fil-biċċa l-kbira terminu kunċettwali li jirreferi għal żona amorfa ta 'l-Ewropa Ċentrali.</v>
      </c>
    </row>
    <row r="3843" ht="15.75" customHeight="1">
      <c r="A3843" s="2" t="s">
        <v>3843</v>
      </c>
      <c r="B3843" s="2" t="str">
        <f>IFERROR(__xludf.DUMMYFUNCTION("GOOGLETRANSLATE(A3843, ""en"", ""mt"")"),"Għal liema ferrovija Stephenson bena lokomottiva fl-1825?")</f>
        <v>Għal liema ferrovija Stephenson bena lokomottiva fl-1825?</v>
      </c>
    </row>
    <row r="3844" ht="15.75" customHeight="1">
      <c r="A3844" s="2" t="s">
        <v>3844</v>
      </c>
      <c r="B3844" s="2" t="str">
        <f>IFERROR(__xludf.DUMMYFUNCTION("GOOGLETRANSLATE(A3844, ""en"", ""mt"")"),"Meta bdew il-marea u l-kurrenti simili għas-sistema attwali tagħna?")</f>
        <v>Meta bdew il-marea u l-kurrenti simili għas-sistema attwali tagħna?</v>
      </c>
    </row>
    <row r="3845" ht="15.75" customHeight="1">
      <c r="A3845" s="2" t="s">
        <v>3845</v>
      </c>
      <c r="B3845" s="2" t="str">
        <f>IFERROR(__xludf.DUMMYFUNCTION("GOOGLETRANSLATE(A3845, ""en"", ""mt"")"),"reġjuni l-aktar sħan")</f>
        <v>reġjuni l-aktar sħan</v>
      </c>
    </row>
    <row r="3846" ht="15.75" customHeight="1">
      <c r="A3846" s="2" t="s">
        <v>3846</v>
      </c>
      <c r="B3846" s="2" t="str">
        <f>IFERROR(__xludf.DUMMYFUNCTION("GOOGLETRANSLATE(A3846, ""en"", ""mt"")"),"Kemm aktar siti tal-inżul għall-missjonijiet Apollo ppjanaw in-NASA?")</f>
        <v>Kemm aktar siti tal-inżul għall-missjonijiet Apollo ppjanaw in-NASA?</v>
      </c>
    </row>
    <row r="3847" ht="15.75" customHeight="1">
      <c r="A3847" s="2" t="s">
        <v>3847</v>
      </c>
      <c r="B3847" s="2" t="str">
        <f>IFERROR(__xludf.DUMMYFUNCTION("GOOGLETRANSLATE(A3847, ""en"", ""mt"")"),"Min għen lil Temüjin isalva lil martu mill-Merkits?")</f>
        <v>Min għen lil Temüjin isalva lil martu mill-Merkits?</v>
      </c>
    </row>
    <row r="3848" ht="15.75" customHeight="1">
      <c r="A3848" s="2" t="s">
        <v>3848</v>
      </c>
      <c r="B3848" s="2" t="str">
        <f>IFERROR(__xludf.DUMMYFUNCTION("GOOGLETRANSLATE(A3848, ""en"", ""mt"")"),"Flimkien mal-Kanada u r-Renju Unit, liema pajjiż ġeneralment ma jirreferix għall-universitajiet bħala skejjel privati?")</f>
        <v>Flimkien mal-Kanada u r-Renju Unit, liema pajjiż ġeneralment ma jirreferix għall-universitajiet bħala skejjel privati?</v>
      </c>
    </row>
    <row r="3849" ht="15.75" customHeight="1">
      <c r="A3849" s="2" t="s">
        <v>3849</v>
      </c>
      <c r="B3849" s="2" t="str">
        <f>IFERROR(__xludf.DUMMYFUNCTION("GOOGLETRANSLATE(A3849, ""en"", ""mt"")"),"Kemm Prinċpijiet Rival kienu involuti fl-Assassinanti ta 'Gegeen?")</f>
        <v>Kemm Prinċpijiet Rival kienu involuti fl-Assassinanti ta 'Gegeen?</v>
      </c>
    </row>
    <row r="3850" ht="15.75" customHeight="1">
      <c r="A3850" s="2" t="s">
        <v>3850</v>
      </c>
      <c r="B3850" s="2" t="str">
        <f>IFERROR(__xludf.DUMMYFUNCTION("GOOGLETRANSLATE(A3850, ""en"", ""mt"")"),"X'inhu korrelatat b'mod negattiv mat-tul tat-tkabbir ekonomiku?")</f>
        <v>X'inhu korrelatat b'mod negattiv mat-tul tat-tkabbir ekonomiku?</v>
      </c>
    </row>
    <row r="3851" ht="15.75" customHeight="1">
      <c r="A3851" s="2" t="s">
        <v>3851</v>
      </c>
      <c r="B3851" s="2" t="str">
        <f>IFERROR(__xludf.DUMMYFUNCTION("GOOGLETRANSLATE(A3851, ""en"", ""mt"")"),"huma mormija ħażin ħafna lejn il-Franċiżi, u huma kompletament iddedikati għall-Ingliż")</f>
        <v>huma mormija ħażin ħafna lejn il-Franċiżi, u huma kompletament iddedikati għall-Ingliż</v>
      </c>
    </row>
    <row r="3852" ht="15.75" customHeight="1">
      <c r="A3852" s="2" t="s">
        <v>3852</v>
      </c>
      <c r="B3852" s="2" t="str">
        <f>IFERROR(__xludf.DUMMYFUNCTION("GOOGLETRANSLATE(A3852, ""en"", ""mt"")"),"Minbarra r-radikali ma 'Luther ieħor kellu jittratta?")</f>
        <v>Minbarra r-radikali ma 'Luther ieħor kellu jittratta?</v>
      </c>
    </row>
    <row r="3853" ht="15.75" customHeight="1">
      <c r="A3853" s="2" t="s">
        <v>3853</v>
      </c>
      <c r="B3853" s="2" t="str">
        <f>IFERROR(__xludf.DUMMYFUNCTION("GOOGLETRANSLATE(A3853, ""en"", ""mt"")"),"X'jistgħu jservu t-tankijiet tal-ossiġnu, il-krijoġeniċi, u l-komposti kimiċi?")</f>
        <v>X'jistgħu jservu t-tankijiet tal-ossiġnu, il-krijoġeniċi, u l-komposti kimiċi?</v>
      </c>
    </row>
    <row r="3854" ht="15.75" customHeight="1">
      <c r="A3854" s="2" t="s">
        <v>3854</v>
      </c>
      <c r="B3854" s="2" t="str">
        <f>IFERROR(__xludf.DUMMYFUNCTION("GOOGLETRANSLATE(A3854, ""en"", ""mt"")"),"diversi")</f>
        <v>diversi</v>
      </c>
    </row>
    <row r="3855" ht="15.75" customHeight="1">
      <c r="A3855" s="2" t="s">
        <v>3855</v>
      </c>
      <c r="B3855" s="2" t="str">
        <f>IFERROR(__xludf.DUMMYFUNCTION("GOOGLETRANSLATE(A3855, ""en"", ""mt"")"),"fwar")</f>
        <v>fwar</v>
      </c>
    </row>
    <row r="3856" ht="15.75" customHeight="1">
      <c r="A3856" s="2" t="s">
        <v>3856</v>
      </c>
      <c r="B3856" s="2" t="str">
        <f>IFERROR(__xludf.DUMMYFUNCTION("GOOGLETRANSLATE(A3856, ""en"", ""mt"")"),"X'inhu l-iktar mudell komuni użat fit-teorija tal-kumplessità?")</f>
        <v>X'inhu l-iktar mudell komuni użat fit-teorija tal-kumplessità?</v>
      </c>
    </row>
    <row r="3857" ht="15.75" customHeight="1">
      <c r="A3857" s="2" t="s">
        <v>3857</v>
      </c>
      <c r="B3857" s="2" t="str">
        <f>IFERROR(__xludf.DUMMYFUNCTION("GOOGLETRANSLATE(A3857, ""en"", ""mt"")"),"gżejjer")</f>
        <v>gżejjer</v>
      </c>
    </row>
    <row r="3858" ht="15.75" customHeight="1">
      <c r="A3858" s="2" t="s">
        <v>3858</v>
      </c>
      <c r="B3858" s="2" t="str">
        <f>IFERROR(__xludf.DUMMYFUNCTION("GOOGLETRANSLATE(A3858, ""en"", ""mt"")"),"klijent")</f>
        <v>klijent</v>
      </c>
    </row>
    <row r="3859" ht="15.75" customHeight="1">
      <c r="A3859" s="2" t="s">
        <v>3859</v>
      </c>
      <c r="B3859" s="2" t="str">
        <f>IFERROR(__xludf.DUMMYFUNCTION("GOOGLETRANSLATE(A3859, ""en"", ""mt"")"),"unions")</f>
        <v>unions</v>
      </c>
    </row>
    <row r="3860" ht="15.75" customHeight="1">
      <c r="A3860" s="2" t="s">
        <v>3860</v>
      </c>
      <c r="B3860" s="2" t="str">
        <f>IFERROR(__xludf.DUMMYFUNCTION("GOOGLETRANSLATE(A3860, ""en"", ""mt"")"),"Liema forza manjetika u elettrika taġixxi fuq ħlas?")</f>
        <v>Liema forza manjetika u elettrika taġixxi fuq ħlas?</v>
      </c>
    </row>
    <row r="3861" ht="15.75" customHeight="1">
      <c r="A3861" s="2" t="s">
        <v>3861</v>
      </c>
      <c r="B3861" s="2" t="str">
        <f>IFERROR(__xludf.DUMMYFUNCTION("GOOGLETRANSLATE(A3861, ""en"", ""mt"")"),"Dak li jġib l-Ispirtu s-Santu permezz tal-mertu ta ’Kristu")</f>
        <v>Dak li jġib l-Ispirtu s-Santu permezz tal-mertu ta ’Kristu</v>
      </c>
    </row>
    <row r="3862" ht="15.75" customHeight="1">
      <c r="A3862" s="2" t="s">
        <v>3862</v>
      </c>
      <c r="B3862" s="2" t="str">
        <f>IFERROR(__xludf.DUMMYFUNCTION("GOOGLETRANSLATE(A3862, ""en"", ""mt"")"),"tfixkel il-membrana tal-plażma tagħhom")</f>
        <v>tfixkel il-membrana tal-plażma tagħhom</v>
      </c>
    </row>
    <row r="3863" ht="15.75" customHeight="1">
      <c r="A3863" s="2" t="s">
        <v>3863</v>
      </c>
      <c r="B3863" s="2" t="str">
        <f>IFERROR(__xludf.DUMMYFUNCTION("GOOGLETRANSLATE(A3863, ""en"", ""mt"")"),"X.25")</f>
        <v>X.25</v>
      </c>
    </row>
    <row r="3864" ht="15.75" customHeight="1">
      <c r="A3864" s="2" t="s">
        <v>3864</v>
      </c>
      <c r="B3864" s="2" t="str">
        <f>IFERROR(__xludf.DUMMYFUNCTION("GOOGLETRANSLATE(A3864, ""en"", ""mt"")"),"X’qal Roland Bainton dwar il-pożizzjoni ta ’Luther fuq il-Lhud?")</f>
        <v>X’qal Roland Bainton dwar il-pożizzjoni ta ’Luther fuq il-Lhud?</v>
      </c>
    </row>
    <row r="3865" ht="15.75" customHeight="1">
      <c r="A3865" s="2" t="s">
        <v>3865</v>
      </c>
      <c r="B3865" s="2" t="str">
        <f>IFERROR(__xludf.DUMMYFUNCTION("GOOGLETRANSLATE(A3865, ""en"", ""mt"")"),"livelli aktar baxxi ta 'inugwaljanza")</f>
        <v>livelli aktar baxxi ta 'inugwaljanza</v>
      </c>
    </row>
    <row r="3866" ht="15.75" customHeight="1">
      <c r="A3866" s="2" t="s">
        <v>3866</v>
      </c>
      <c r="B3866" s="2" t="str">
        <f>IFERROR(__xludf.DUMMYFUNCTION("GOOGLETRANSLATE(A3866, ""en"", ""mt"")"),"Fl-1965, l-entità korporattiva, teatri Amerikani ta 'xandir-Paramount, ġiet imsemmija mill-ġdid bħala l-kumpaniji tax-xandir Amerikani, filwaqt li d-diviżjoni taċ-ċinema tagħha saret Teatri ABC; [Citation meħtieġa] id-diviżjoni tar-reġistrazzjoni tagħha ġ"&amp;"iet imsejħa mill-ġdid ABC Records fl-1966. F'Diċembru ta' dik is-sena, In-Netwerk tat-Televiżjoni ABC ħareġ il-logħba tal-dating, serje pijuniera fil-ġeneru tagħha, li kienet xogħol mill-ġdid tal-kunċett tad-data għomja li fih suitor għażel wieħed minn tl"&amp;"iet kontestanti li ma jidhrux ibbażati fuq it-tweġibiet għal mistoqsijiet magħżula. Dan ġie segwit f'Lulju tal-1966 mil-logħba li għadha kemm ġiet miżżewġa, li fiha tliet koppji miżżewġa reċentement li qtajna t-tweġibiet għall-mistoqsijiet tas-sieħeb tagħ"&amp;"hom (li wħud minnhom kienu pjuttost risque). Hekk kif ABC beda jegħleb il-faċilitajiet tiegħu fis-7 West 66th Street, Goldenson sab kwartieri ġenerali ġodda għal ABC f'bini ta '44 storja li jinsab fil-1330 Vjal tal-Amerika f'Manhattan, fil-kantuniera ta '"&amp;"54th Street (issa okkupat mill-Financial Times's New York uffiċċju). Din l-operazzjoni ppermettiet il-konverżjoni tal-fond fis-66th Street f'faċilitajiet ta 'produzzjoni għal programmi tat-televiżjoni u tar-radju.")</f>
        <v>Fl-1965, l-entità korporattiva, teatri Amerikani ta 'xandir-Paramount, ġiet imsemmija mill-ġdid bħala l-kumpaniji tax-xandir Amerikani, filwaqt li d-diviżjoni taċ-ċinema tagħha saret Teatri ABC; [Citation meħtieġa] id-diviżjoni tar-reġistrazzjoni tagħha ġiet imsejħa mill-ġdid ABC Records fl-1966. F'Diċembru ta' dik is-sena, In-Netwerk tat-Televiżjoni ABC ħareġ il-logħba tal-dating, serje pijuniera fil-ġeneru tagħha, li kienet xogħol mill-ġdid tal-kunċett tad-data għomja li fih suitor għażel wieħed minn tliet kontestanti li ma jidhrux ibbażati fuq it-tweġibiet għal mistoqsijiet magħżula. Dan ġie segwit f'Lulju tal-1966 mil-logħba li għadha kemm ġiet miżżewġa, li fiha tliet koppji miżżewġa reċentement li qtajna t-tweġibiet għall-mistoqsijiet tas-sieħeb tagħhom (li wħud minnhom kienu pjuttost risque). Hekk kif ABC beda jegħleb il-faċilitajiet tiegħu fis-7 West 66th Street, Goldenson sab kwartieri ġenerali ġodda għal ABC f'bini ta '44 storja li jinsab fil-1330 Vjal tal-Amerika f'Manhattan, fil-kantuniera ta '54th Street (issa okkupat mill-Financial Times's New York uffiċċju). Din l-operazzjoni ppermettiet il-konverżjoni tal-fond fis-66th Street f'faċilitajiet ta 'produzzjoni għal programmi tat-televiżjoni u tar-radju.</v>
      </c>
    </row>
    <row r="3867" ht="15.75" customHeight="1">
      <c r="A3867" s="2" t="s">
        <v>3867</v>
      </c>
      <c r="B3867" s="2" t="str">
        <f>IFERROR(__xludf.DUMMYFUNCTION("GOOGLETRANSLATE(A3867, ""en"", ""mt"")"),"Liema liġi staes li l-forzi huma l-interazzjonijiet bejn il-korpi?")</f>
        <v>Liema liġi staes li l-forzi huma l-interazzjonijiet bejn il-korpi?</v>
      </c>
    </row>
    <row r="3868" ht="15.75" customHeight="1">
      <c r="A3868" s="2" t="s">
        <v>3868</v>
      </c>
      <c r="B3868" s="2" t="str">
        <f>IFERROR(__xludf.DUMMYFUNCTION("GOOGLETRANSLATE(A3868, ""en"", ""mt"")"),"Stadju 2")</f>
        <v>Stadju 2</v>
      </c>
    </row>
    <row r="3869" ht="15.75" customHeight="1">
      <c r="A3869" s="2" t="s">
        <v>3869</v>
      </c>
      <c r="B3869" s="2" t="str">
        <f>IFERROR(__xludf.DUMMYFUNCTION("GOOGLETRANSLATE(A3869, ""en"", ""mt"")"),"assi finanzjarji")</f>
        <v>assi finanzjarji</v>
      </c>
    </row>
    <row r="3870" ht="15.75" customHeight="1">
      <c r="A3870" s="2" t="s">
        <v>3870</v>
      </c>
      <c r="B3870" s="2" t="str">
        <f>IFERROR(__xludf.DUMMYFUNCTION("GOOGLETRANSLATE(A3870, ""en"", ""mt"")"),"L-Ewwel Gwerra Dinjija")</f>
        <v>L-Ewwel Gwerra Dinjija</v>
      </c>
    </row>
    <row r="3871" ht="15.75" customHeight="1">
      <c r="A3871" s="2" t="s">
        <v>3871</v>
      </c>
      <c r="B3871" s="2" t="str">
        <f>IFERROR(__xludf.DUMMYFUNCTION("GOOGLETRANSLATE(A3871, ""en"", ""mt"")"),"Taħriġ speċjali")</f>
        <v>Taħriġ speċjali</v>
      </c>
    </row>
    <row r="3872" ht="15.75" customHeight="1">
      <c r="A3872" s="2" t="s">
        <v>3872</v>
      </c>
      <c r="B3872" s="2" t="str">
        <f>IFERROR(__xludf.DUMMYFUNCTION("GOOGLETRANSLATE(A3872, ""en"", ""mt"")"),"Mill-1999, Big Finish Productions ħarġet diversi serje differenti ta 'Audios Doctor Who fuq CD. L-ewwel minn dawn dehru l-ħames, is-sitt u s-seba 'tobba, bit-tmien tabib ta' Paul McGann jingħaqad mal-linja fl-2001. Ir-raba 'tabib ta' Tom Baker beda jidher"&amp;" għal Big Finish fl-2012. Flimkien mal-firxa ewlenija, avventuri tal-ewwel, it-tieni u t-tielet It-tobba ġew prodotti kemm f'formati limitati ta 'mitfugħa kif ukoll full-cast, kif ukoll f'audiobooks. Is-serje 2013 Destiny of the Doctor, prodotta bħala par"&amp;"ti miċ-ċelebrazzjonijiet tas-serje tal-50 anniversarju, immarkat l-ewwel darba li Big Finish ħoloq stejjer (f'dan il-każ Audiobooks) li jidhru fit-tobba mill-ispettaklu Revived.")</f>
        <v>Mill-1999, Big Finish Productions ħarġet diversi serje differenti ta 'Audios Doctor Who fuq CD. L-ewwel minn dawn dehru l-ħames, is-sitt u s-seba 'tobba, bit-tmien tabib ta' Paul McGann jingħaqad mal-linja fl-2001. Ir-raba 'tabib ta' Tom Baker beda jidher għal Big Finish fl-2012. Flimkien mal-firxa ewlenija, avventuri tal-ewwel, it-tieni u t-tielet It-tobba ġew prodotti kemm f'formati limitati ta 'mitfugħa kif ukoll full-cast, kif ukoll f'audiobooks. Is-serje 2013 Destiny of the Doctor, prodotta bħala parti miċ-ċelebrazzjonijiet tas-serje tal-50 anniversarju, immarkat l-ewwel darba li Big Finish ħoloq stejjer (f'dan il-każ Audiobooks) li jidhru fit-tobba mill-ispettaklu Revived.</v>
      </c>
    </row>
    <row r="3873" ht="15.75" customHeight="1">
      <c r="A3873" s="2" t="s">
        <v>3873</v>
      </c>
      <c r="B3873" s="2" t="str">
        <f>IFERROR(__xludf.DUMMYFUNCTION("GOOGLETRANSLATE(A3873, ""en"", ""mt"")"),"Liema tweġiba tindika li algoritmu aċċetta sekwenza ta 'input?")</f>
        <v>Liema tweġiba tindika li algoritmu aċċetta sekwenza ta 'input?</v>
      </c>
    </row>
    <row r="3874" ht="15.75" customHeight="1">
      <c r="A3874" s="2" t="s">
        <v>3874</v>
      </c>
      <c r="B3874" s="2" t="str">
        <f>IFERROR(__xludf.DUMMYFUNCTION("GOOGLETRANSLATE(A3874, ""en"", ""mt"")"),"L-università topera 12-il istitut ta 'riċerka u 113 ċentri ta' riċerka fuq il-kampus. Fost dawn hemm l-Istitut Orjentali - Mużew u Ċentru ta 'Riċerka għal Studji tal-Lvant Qarib proprjetà u mħaddma mill-Università - u numru ta' ċentri ta 'riżorsi nazzjona"&amp;"li, inkluż iċ-Ċentru għall-Istudji tal-Lvant Nofsani. Chicago topera wkoll jew hija affiljata ma 'numru ta' istituzzjonijiet ta 'riċerka apparti mill-università kif suppost. L-università timmaniġġja parzjalment il-Laboratorju Nazzjonali ta 'Argonne, parti"&amp;" mis-sistema tal-laboratorju nazzjonali tad-Dipartiment tal-Enerġija ta' l-Istati Uniti, u għandha sehem konġunt f'Fermilab, laboratorju tal-fiżika tal-partikuli fil-qrib, kif ukoll sehem fl-Osservatorju tal-Punt Apache f'Sunspot, New Mexico. Fakultà u st"&amp;"udenti fl-Istitut Teknoloġiku ta 'Toyota li jmiss Il-kampus ta 'Chicago.")</f>
        <v>L-università topera 12-il istitut ta 'riċerka u 113 ċentri ta' riċerka fuq il-kampus. Fost dawn hemm l-Istitut Orjentali - Mużew u Ċentru ta 'Riċerka għal Studji tal-Lvant Qarib proprjetà u mħaddma mill-Università - u numru ta' ċentri ta 'riżorsi nazzjonali, inkluż iċ-Ċentru għall-Istudji tal-Lvant Nofsani. Chicago topera wkoll jew hija affiljata ma 'numru ta' istituzzjonijiet ta 'riċerka apparti mill-università kif suppost. L-università timmaniġġja parzjalment il-Laboratorju Nazzjonali ta 'Argonne, parti mis-sistema tal-laboratorju nazzjonali tad-Dipartiment tal-Enerġija ta' l-Istati Uniti, u għandha sehem konġunt f'Fermilab, laboratorju tal-fiżika tal-partikuli fil-qrib, kif ukoll sehem fl-Osservatorju tal-Punt Apache f'Sunspot, New Mexico. Fakultà u studenti fl-Istitut Teknoloġiku ta 'Toyota li jmiss Il-kampus ta 'Chicago.</v>
      </c>
    </row>
    <row r="3875" ht="15.75" customHeight="1">
      <c r="A3875" s="2" t="s">
        <v>3875</v>
      </c>
      <c r="B3875" s="2" t="str">
        <f>IFERROR(__xludf.DUMMYFUNCTION("GOOGLETRANSLATE(A3875, ""en"", ""mt"")"),"F'Diċembru 1878, Tesla telqet minn Graz u qatgħet ir-relazzjonijiet kollha mal-familja tiegħu biex taħbi l-fatt li niżel mill-iskola. Ħbieb tiegħu ħasbu li kien għerqu fix-xmara Mur. Tesla mar għand Maribor (issa fis-Slovenja), fejn ħadem bħala rapporteur"&amp;" għal 60 fjuri fix-xahar. Qatta 'l-ħin liberu tiegħu jilgħab il-karti ma' rġiel lokali fit-toroq. F'Marzu 1879, Milutin Tesla mar għand Maribor biex jittallab lil ibnu biex jirritorna d-dar, iżda Nikola rrifjutat. Nikola sofra tqassim nervuż madwar l-iste"&amp;"ss ħin.")</f>
        <v>F'Diċembru 1878, Tesla telqet minn Graz u qatgħet ir-relazzjonijiet kollha mal-familja tiegħu biex taħbi l-fatt li niżel mill-iskola. Ħbieb tiegħu ħasbu li kien għerqu fix-xmara Mur. Tesla mar għand Maribor (issa fis-Slovenja), fejn ħadem bħala rapporteur għal 60 fjuri fix-xahar. Qatta 'l-ħin liberu tiegħu jilgħab il-karti ma' rġiel lokali fit-toroq. F'Marzu 1879, Milutin Tesla mar għand Maribor biex jittallab lil ibnu biex jirritorna d-dar, iżda Nikola rrifjutat. Nikola sofra tqassim nervuż madwar l-istess ħin.</v>
      </c>
    </row>
    <row r="3876" ht="15.75" customHeight="1">
      <c r="A3876" s="2" t="s">
        <v>3876</v>
      </c>
      <c r="B3876" s="2" t="str">
        <f>IFERROR(__xludf.DUMMYFUNCTION("GOOGLETRANSLATE(A3876, ""en"", ""mt"")"),"X'inhi attribwita l-inugwaljanza tad-dħul?")</f>
        <v>X'inhi attribwita l-inugwaljanza tad-dħul?</v>
      </c>
    </row>
    <row r="3877" ht="15.75" customHeight="1">
      <c r="A3877" s="2" t="s">
        <v>3877</v>
      </c>
      <c r="B3877" s="2" t="str">
        <f>IFERROR(__xludf.DUMMYFUNCTION("GOOGLETRANSLATE(A3877, ""en"", ""mt"")"),"pagi")</f>
        <v>pagi</v>
      </c>
    </row>
    <row r="3878" ht="15.75" customHeight="1">
      <c r="A3878" s="2" t="s">
        <v>3878</v>
      </c>
      <c r="B3878" s="2" t="str">
        <f>IFERROR(__xludf.DUMMYFUNCTION("GOOGLETRANSLATE(A3878, ""en"", ""mt"")"),"Rodin huwa rrappreżentat minn aktar minn 20 xogħol fil-kollezzjoni tal-mużew, li jagħmilha waħda mill-ikbar kollezzjonijiet tax-xogħol tal-iskultur barra Franza; Dawn ingħataw lill-mużew mill-iskultur fl-1914, bħala rikonoxximent tal-appoġġ tal-Gran Britt"&amp;"anja ta ’Franza fl-Ewwel Gwerra Dinjija, għalkemm l-istatwa ta’ San Ġwann il-Battista kienet inxtrat fl-1902 permezz ta ’abbonament pubbliku. Skulturi Franċiżi oħra b’xogħol fil-kollezzjoni huma Hubert Le Sueur, François Girardon, Michel Clodion, Jean-Ant"&amp;"oine Houdon, Jean-Baptiste Carpeaux u Jules Dalou.")</f>
        <v>Rodin huwa rrappreżentat minn aktar minn 20 xogħol fil-kollezzjoni tal-mużew, li jagħmilha waħda mill-ikbar kollezzjonijiet tax-xogħol tal-iskultur barra Franza; Dawn ingħataw lill-mużew mill-iskultur fl-1914, bħala rikonoxximent tal-appoġġ tal-Gran Brittanja ta ’Franza fl-Ewwel Gwerra Dinjija, għalkemm l-istatwa ta’ San Ġwann il-Battista kienet inxtrat fl-1902 permezz ta ’abbonament pubbliku. Skulturi Franċiżi oħra b’xogħol fil-kollezzjoni huma Hubert Le Sueur, François Girardon, Michel Clodion, Jean-Antoine Houdon, Jean-Baptiste Carpeaux u Jules Dalou.</v>
      </c>
    </row>
    <row r="3879" ht="15.75" customHeight="1">
      <c r="A3879" s="2" t="s">
        <v>3879</v>
      </c>
      <c r="B3879" s="2" t="str">
        <f>IFERROR(__xludf.DUMMYFUNCTION("GOOGLETRANSLATE(A3879, ""en"", ""mt"")"),"fil-biċċa l-kbira numru ewlieni")</f>
        <v>fil-biċċa l-kbira numru ewlieni</v>
      </c>
    </row>
    <row r="3880" ht="15.75" customHeight="1">
      <c r="A3880" s="2" t="s">
        <v>3880</v>
      </c>
      <c r="B3880" s="2" t="str">
        <f>IFERROR(__xludf.DUMMYFUNCTION("GOOGLETRANSLATE(A3880, ""en"", ""mt"")"),"Min ġeneralment jgħallem minn xogħol bħall-Quran, Torah jew Bibbja?")</f>
        <v>Min ġeneralment jgħallem minn xogħol bħall-Quran, Torah jew Bibbja?</v>
      </c>
    </row>
    <row r="3881" ht="15.75" customHeight="1">
      <c r="A3881" s="2" t="s">
        <v>3881</v>
      </c>
      <c r="B3881" s="2" t="str">
        <f>IFERROR(__xludf.DUMMYFUNCTION("GOOGLETRANSLATE(A3881, ""en"", ""mt"")"),"Kemm-il darba jinżammu l-elezzjonijiet għall-avukat?")</f>
        <v>Kemm-il darba jinżammu l-elezzjonijiet għall-avukat?</v>
      </c>
    </row>
    <row r="3882" ht="15.75" customHeight="1">
      <c r="A3882" s="2" t="s">
        <v>3882</v>
      </c>
      <c r="B3882" s="2" t="str">
        <f>IFERROR(__xludf.DUMMYFUNCTION("GOOGLETRANSLATE(A3882, ""en"", ""mt"")"),"Il-kostanti tal-gravitazzjoni universali ta 'Newton,")</f>
        <v>Il-kostanti tal-gravitazzjoni universali ta 'Newton,</v>
      </c>
    </row>
    <row r="3883" ht="15.75" customHeight="1">
      <c r="A3883" s="2" t="s">
        <v>3883</v>
      </c>
      <c r="B3883" s="2" t="str">
        <f>IFERROR(__xludf.DUMMYFUNCTION("GOOGLETRANSLATE(A3883, ""en"", ""mt"")"),"X'jistgħu jiddependu t-tekniċi tal-ispiżerija fuq aktar u aktar?")</f>
        <v>X'jistgħu jiddependu t-tekniċi tal-ispiżerija fuq aktar u aktar?</v>
      </c>
    </row>
    <row r="3884" ht="15.75" customHeight="1">
      <c r="A3884" s="2" t="s">
        <v>3884</v>
      </c>
      <c r="B3884" s="2" t="str">
        <f>IFERROR(__xludf.DUMMYFUNCTION("GOOGLETRANSLATE(A3884, ""en"", ""mt"")"),"Musulmani")</f>
        <v>Musulmani</v>
      </c>
    </row>
    <row r="3885" ht="15.75" customHeight="1">
      <c r="A3885" s="2" t="s">
        <v>3885</v>
      </c>
      <c r="B3885" s="2" t="str">
        <f>IFERROR(__xludf.DUMMYFUNCTION("GOOGLETRANSLATE(A3885, ""en"", ""mt"")"),"Ħafna xjenzati tal-Lvant Nofsani")</f>
        <v>Ħafna xjenzati tal-Lvant Nofsani</v>
      </c>
    </row>
    <row r="3886" ht="15.75" customHeight="1">
      <c r="A3886" s="2" t="s">
        <v>3886</v>
      </c>
      <c r="B3886" s="2" t="str">
        <f>IFERROR(__xludf.DUMMYFUNCTION("GOOGLETRANSLATE(A3886, ""en"", ""mt"")"),"X'jista 'jkun il-ħbub tal-lamtu?")</f>
        <v>X'jista 'jkun il-ħbub tal-lamtu?</v>
      </c>
    </row>
    <row r="3887" ht="15.75" customHeight="1">
      <c r="A3887" s="2" t="s">
        <v>3887</v>
      </c>
      <c r="B3887" s="2" t="str">
        <f>IFERROR(__xludf.DUMMYFUNCTION("GOOGLETRANSLATE(A3887, ""en"", ""mt"")"),"Għal xiex tispikka l-VBNS")</f>
        <v>Għal xiex tispikka l-VBNS</v>
      </c>
    </row>
    <row r="3888" ht="15.75" customHeight="1">
      <c r="A3888" s="2" t="s">
        <v>3888</v>
      </c>
      <c r="B3888" s="2" t="str">
        <f>IFERROR(__xludf.DUMMYFUNCTION("GOOGLETRANSLATE(A3888, ""en"", ""mt"")"),"Ossiġenu-16")</f>
        <v>Ossiġenu-16</v>
      </c>
    </row>
    <row r="3889" ht="15.75" customHeight="1">
      <c r="A3889" s="2" t="s">
        <v>3889</v>
      </c>
      <c r="B3889" s="2" t="str">
        <f>IFERROR(__xludf.DUMMYFUNCTION("GOOGLETRANSLATE(A3889, ""en"", ""mt"")"),"Skond l-ekonomisti internazzjonali tal-fond monetarju, l-inugwaljanza fil-ġid u d-dħul hija korrelata b'mod negattiv mat-tul ta 'perjodi ta' tkabbir ekonomiku (mhux ir-rata ta 'tkabbir). Livelli għoljin ta 'inugwaljanza jipprevjenu mhux biss il-prosperità"&amp;" ekonomika, iżda wkoll il-kwalità ta' istituzzjonijiet ta 'pajjiż u livelli għoljin ta' edukazzjoni. Skond l-ekonomisti tal-persunal tal-FMI, ""jekk is-sehem tad-dħul tal-aqwa 20 fil-mija (is-sinjur) jiżdied, allura t-tkabbir tal-PGD fil-fatt jonqos fuq m"&amp;"edda medja ta 'żmien, li jissuġġerixxi li l-benefiċċji ma jinqatgħux. B'kuntrast, żieda fis-sehem tad-dħul tal-qiegħ 20 fil-mija (il-foqra) huwa assoċjat ma 'tkabbir ogħla tal-PGD. Il-foqra u l-klassi tan-nofs huma l-iktar għat-tkabbir permezz ta' numru t"&amp;"a 'kanali ekonomiċi, soċjali u politiċi interrelatati. """)</f>
        <v>Skond l-ekonomisti internazzjonali tal-fond monetarju, l-inugwaljanza fil-ġid u d-dħul hija korrelata b'mod negattiv mat-tul ta 'perjodi ta' tkabbir ekonomiku (mhux ir-rata ta 'tkabbir). Livelli għoljin ta 'inugwaljanza jipprevjenu mhux biss il-prosperità ekonomika, iżda wkoll il-kwalità ta' istituzzjonijiet ta 'pajjiż u livelli għoljin ta' edukazzjoni. Skond l-ekonomisti tal-persunal tal-FMI, "jekk is-sehem tad-dħul tal-aqwa 20 fil-mija (is-sinjur) jiżdied, allura t-tkabbir tal-PGD fil-fatt jonqos fuq medda medja ta 'żmien, li jissuġġerixxi li l-benefiċċji ma jinqatgħux. B'kuntrast, żieda fis-sehem tad-dħul tal-qiegħ 20 fil-mija (il-foqra) huwa assoċjat ma 'tkabbir ogħla tal-PGD. Il-foqra u l-klassi tan-nofs huma l-iktar għat-tkabbir permezz ta' numru ta 'kanali ekonomiċi, soċjali u politiċi interrelatati. "</v>
      </c>
    </row>
    <row r="3890" ht="15.75" customHeight="1">
      <c r="A3890" s="2" t="s">
        <v>3890</v>
      </c>
      <c r="B3890" s="2" t="str">
        <f>IFERROR(__xludf.DUMMYFUNCTION("GOOGLETRANSLATE(A3890, ""en"", ""mt"")"),"Kemm mill-indulġenzi marru Ruma?")</f>
        <v>Kemm mill-indulġenzi marru Ruma?</v>
      </c>
    </row>
    <row r="3891" ht="15.75" customHeight="1">
      <c r="A3891" s="2" t="s">
        <v>3891</v>
      </c>
      <c r="B3891" s="2" t="str">
        <f>IFERROR(__xludf.DUMMYFUNCTION("GOOGLETRANSLATE(A3891, ""en"", ""mt"")"),"Illum, Varsavja għandha wħud mill-aqwa faċilitajiet mediċi fil-Polonja u l-Ewropa tal-Lvant-Ċentrali. Il-belt hija dar għall-Istitut tas-Saħħa tat-Tfal tat-Tfal (CMHI), l-isptar bl-ogħla referenza fil-Polonja kollha, kif ukoll ċentru ta 'riċerka u edukazz"&amp;"joni attiv. Filwaqt li l-Istitut ta 'l-Onkoloġija ta' Maria Skłodowska-Curie hija waħda mill-ikbar u l-aktar istituzzjonijiet onkoloġiċi moderni fl-Ewropa. Is-sezzjoni klinika tinsab f'bini ta '10 sulari b'700 sodda, 10 teatri operattivi, unità ta 'kura i"&amp;"ntensiva, diversi dipartimenti dijanjostiċi kif ukoll klinika outpatients. L-infrastruttura żviluppat ħafna matul l-aħħar snin.")</f>
        <v>Illum, Varsavja għandha wħud mill-aqwa faċilitajiet mediċi fil-Polonja u l-Ewropa tal-Lvant-Ċentrali. Il-belt hija dar għall-Istitut tas-Saħħa tat-Tfal tat-Tfal (CMHI), l-isptar bl-ogħla referenza fil-Polonja kollha, kif ukoll ċentru ta 'riċerka u edukazzjoni attiv. Filwaqt li l-Istitut ta 'l-Onkoloġija ta' Maria Skłodowska-Curie hija waħda mill-ikbar u l-aktar istituzzjonijiet onkoloġiċi moderni fl-Ewropa. Is-sezzjoni klinika tinsab f'bini ta '10 sulari b'700 sodda, 10 teatri operattivi, unità ta 'kura intensiva, diversi dipartimenti dijanjostiċi kif ukoll klinika outpatients. L-infrastruttura żviluppat ħafna matul l-aħħar snin.</v>
      </c>
    </row>
    <row r="3892" ht="15.75" customHeight="1">
      <c r="A3892" s="2" t="s">
        <v>3892</v>
      </c>
      <c r="B3892" s="2" t="str">
        <f>IFERROR(__xludf.DUMMYFUNCTION("GOOGLETRANSLATE(A3892, ""en"", ""mt"")"),"Taħt liema trattat il-Kummissjoni Ewropea tista 'tieħu azzjoni kontra l-Istati Membri?")</f>
        <v>Taħt liema trattat il-Kummissjoni Ewropea tista 'tieħu azzjoni kontra l-Istati Membri?</v>
      </c>
    </row>
    <row r="3893" ht="15.75" customHeight="1">
      <c r="A3893" s="2" t="s">
        <v>3893</v>
      </c>
      <c r="B3893" s="2" t="str">
        <f>IFERROR(__xludf.DUMMYFUNCTION("GOOGLETRANSLATE(A3893, ""en"", ""mt"")"),"Iffinanzjat bis-sħiħ minn partijiet privati")</f>
        <v>Iffinanzjat bis-sħiħ minn partijiet privati</v>
      </c>
    </row>
    <row r="3894" ht="15.75" customHeight="1">
      <c r="A3894" s="2" t="s">
        <v>3894</v>
      </c>
      <c r="B3894" s="2" t="str">
        <f>IFERROR(__xludf.DUMMYFUNCTION("GOOGLETRANSLATE(A3894, ""en"", ""mt"")"),"X'kien qiegħed jitpoġġa fuq il-pilastru għas-Super Bowl 50?")</f>
        <v>X'kien qiegħed jitpoġġa fuq il-pilastru għas-Super Bowl 50?</v>
      </c>
    </row>
    <row r="3895" ht="15.75" customHeight="1">
      <c r="A3895" s="2" t="s">
        <v>3895</v>
      </c>
      <c r="B3895" s="2" t="str">
        <f>IFERROR(__xludf.DUMMYFUNCTION("GOOGLETRANSLATE(A3895, ""en"", ""mt"")"),"Mistoqsijiet kostituzzjonali fundamentali li jaffettwaw id-demokrazija u d-drittijiet tal-bniedem")</f>
        <v>Mistoqsijiet kostituzzjonali fundamentali li jaffettwaw id-demokrazija u d-drittijiet tal-bniedem</v>
      </c>
    </row>
    <row r="3896" ht="15.75" customHeight="1">
      <c r="A3896" s="2" t="s">
        <v>3896</v>
      </c>
      <c r="B3896" s="2" t="str">
        <f>IFERROR(__xludf.DUMMYFUNCTION("GOOGLETRANSLATE(A3896, ""en"", ""mt"")"),"Liema rikostruzzjonijiet appoġġjaw l-informazzjoni tal-karta tal-1999?")</f>
        <v>Liema rikostruzzjonijiet appoġġjaw l-informazzjoni tal-karta tal-1999?</v>
      </c>
    </row>
    <row r="3897" ht="15.75" customHeight="1">
      <c r="A3897" s="2" t="s">
        <v>3897</v>
      </c>
      <c r="B3897" s="2" t="str">
        <f>IFERROR(__xludf.DUMMYFUNCTION("GOOGLETRANSLATE(A3897, ""en"", ""mt"")"),"Il-Kunsill tal-Belt")</f>
        <v>Il-Kunsill tal-Belt</v>
      </c>
    </row>
    <row r="3898" ht="15.75" customHeight="1">
      <c r="A3898" s="2" t="s">
        <v>3898</v>
      </c>
      <c r="B3898" s="2" t="str">
        <f>IFERROR(__xludf.DUMMYFUNCTION("GOOGLETRANSLATE(A3898, ""en"", ""mt"")"),"Kemm midalji tad-deheb rebħu l-Kenja waqt l-Olimpjadi ta 'Beijing?")</f>
        <v>Kemm midalji tad-deheb rebħu l-Kenja waqt l-Olimpjadi ta 'Beijing?</v>
      </c>
    </row>
    <row r="3899" ht="15.75" customHeight="1">
      <c r="A3899" s="2" t="s">
        <v>3899</v>
      </c>
      <c r="B3899" s="2" t="str">
        <f>IFERROR(__xludf.DUMMYFUNCTION("GOOGLETRANSLATE(A3899, ""en"", ""mt"")"),"24 sena")</f>
        <v>24 sena</v>
      </c>
    </row>
    <row r="3900" ht="15.75" customHeight="1">
      <c r="A3900" s="2" t="s">
        <v>3900</v>
      </c>
      <c r="B3900" s="2" t="str">
        <f>IFERROR(__xludf.DUMMYFUNCTION("GOOGLETRANSLATE(A3900, ""en"", ""mt"")"),"kulturi")</f>
        <v>kulturi</v>
      </c>
    </row>
    <row r="3901" ht="15.75" customHeight="1">
      <c r="A3901" s="2" t="s">
        <v>3901</v>
      </c>
      <c r="B3901" s="2" t="str">
        <f>IFERROR(__xludf.DUMMYFUNCTION("GOOGLETRANSLATE(A3901, ""en"", ""mt"")"),"Ħodor Awstraljani")</f>
        <v>Ħodor Awstraljani</v>
      </c>
    </row>
    <row r="3902" ht="15.75" customHeight="1">
      <c r="A3902" s="2" t="s">
        <v>3902</v>
      </c>
      <c r="B3902" s="2" t="str">
        <f>IFERROR(__xludf.DUMMYFUNCTION("GOOGLETRANSLATE(A3902, ""en"", ""mt"")"),"2011–12")</f>
        <v>2011–12</v>
      </c>
    </row>
    <row r="3903" ht="15.75" customHeight="1">
      <c r="A3903" s="2" t="s">
        <v>3903</v>
      </c>
      <c r="B3903" s="2" t="str">
        <f>IFERROR(__xludf.DUMMYFUNCTION("GOOGLETRANSLATE(A3903, ""en"", ""mt"")"),"ftit jew wisq tond")</f>
        <v>ftit jew wisq tond</v>
      </c>
    </row>
    <row r="3904" ht="15.75" customHeight="1">
      <c r="A3904" s="2" t="s">
        <v>3904</v>
      </c>
      <c r="B3904" s="2" t="str">
        <f>IFERROR(__xludf.DUMMYFUNCTION("GOOGLETRANSLATE(A3904, ""en"", ""mt"")"),"Mongoli")</f>
        <v>Mongoli</v>
      </c>
    </row>
    <row r="3905" ht="15.75" customHeight="1">
      <c r="A3905" s="2" t="s">
        <v>3905</v>
      </c>
      <c r="B3905" s="2" t="str">
        <f>IFERROR(__xludf.DUMMYFUNCTION("GOOGLETRANSLATE(A3905, ""en"", ""mt"")"),"Liema forza aġixxiet fuq korpi biex tittardja l-veloċità tagħhom?")</f>
        <v>Liema forza aġixxiet fuq korpi biex tittardja l-veloċità tagħhom?</v>
      </c>
    </row>
    <row r="3906" ht="15.75" customHeight="1">
      <c r="A3906" s="2" t="s">
        <v>3906</v>
      </c>
      <c r="B3906" s="2" t="str">
        <f>IFERROR(__xludf.DUMMYFUNCTION("GOOGLETRANSLATE(A3906, ""en"", ""mt"")"),"KMBC-TV u KQTV")</f>
        <v>KMBC-TV u KQTV</v>
      </c>
    </row>
    <row r="3907" ht="15.75" customHeight="1">
      <c r="A3907" s="2" t="s">
        <v>3907</v>
      </c>
      <c r="B3907" s="2" t="str">
        <f>IFERROR(__xludf.DUMMYFUNCTION("GOOGLETRANSLATE(A3907, ""en"", ""mt"")"),"Tard is-seklu 17")</f>
        <v>Tard is-seklu 17</v>
      </c>
    </row>
    <row r="3908" ht="15.75" customHeight="1">
      <c r="A3908" s="2" t="s">
        <v>3908</v>
      </c>
      <c r="B3908" s="2" t="str">
        <f>IFERROR(__xludf.DUMMYFUNCTION("GOOGLETRANSLATE(A3908, ""en"", ""mt"")"),"Meta Iqbal ippromwova ideat ta 'għaqda politika Iżlamika akbar, x'ħeġġeġ li jispiċċa?")</f>
        <v>Meta Iqbal ippromwova ideat ta 'għaqda politika Iżlamika akbar, x'ħeġġeġ li jispiċċa?</v>
      </c>
    </row>
    <row r="3909" ht="15.75" customHeight="1">
      <c r="A3909" s="2" t="s">
        <v>3909</v>
      </c>
      <c r="B3909" s="2" t="str">
        <f>IFERROR(__xludf.DUMMYFUNCTION("GOOGLETRANSLATE(A3909, ""en"", ""mt"")"),"FCC v. Pacifica Foundation")</f>
        <v>FCC v. Pacifica Foundation</v>
      </c>
    </row>
    <row r="3910" ht="15.75" customHeight="1">
      <c r="A3910" s="2" t="s">
        <v>3910</v>
      </c>
      <c r="B3910" s="2" t="str">
        <f>IFERROR(__xludf.DUMMYFUNCTION("GOOGLETRANSLATE(A3910, ""en"", ""mt"")"),"Lagos u Quiberon Bay")</f>
        <v>Lagos u Quiberon Bay</v>
      </c>
    </row>
    <row r="3911" ht="15.75" customHeight="1">
      <c r="A3911" s="2" t="s">
        <v>3911</v>
      </c>
      <c r="B3911" s="2" t="str">
        <f>IFERROR(__xludf.DUMMYFUNCTION("GOOGLETRANSLATE(A3911, ""en"", ""mt"")"),"il-faċilità ta 'prattika tal-istat ta' San Jose")</f>
        <v>il-faċilità ta 'prattika tal-istat ta' San Jose</v>
      </c>
    </row>
    <row r="3912" ht="15.75" customHeight="1">
      <c r="A3912" s="2" t="s">
        <v>3912</v>
      </c>
      <c r="B3912" s="2" t="str">
        <f>IFERROR(__xludf.DUMMYFUNCTION("GOOGLETRANSLATE(A3912, ""en"", ""mt"")"),"It-teorija tal-kumplessità tal-komputazzjoni hija fergħa tat-teorija tal-komputazzjoni fix-xjenza teoretika tal-kompjuter li tiffoka fuq il-klassifikazzjoni tal-problemi tal-komputazzjoni skont id-diffikultà inerenti tagħhom, u tirrelata dawk il-klassijie"&amp;"t ma 'xulxin. Problema tal-komputazzjoni hija mifhuma bħala kompitu li fil-prinċipju huwa li jista 'jiġi solvut minn kompjuter, li huwa ekwivalenti li jiddikjara li l-problema tista' tissolva bl-applikazzjoni mekkanika ta 'passi matematiċi, bħal algoritmu"&amp;".")</f>
        <v>It-teorija tal-kumplessità tal-komputazzjoni hija fergħa tat-teorija tal-komputazzjoni fix-xjenza teoretika tal-kompjuter li tiffoka fuq il-klassifikazzjoni tal-problemi tal-komputazzjoni skont id-diffikultà inerenti tagħhom, u tirrelata dawk il-klassijiet ma 'xulxin. Problema tal-komputazzjoni hija mifhuma bħala kompitu li fil-prinċipju huwa li jista 'jiġi solvut minn kompjuter, li huwa ekwivalenti li jiddikjara li l-problema tista' tissolva bl-applikazzjoni mekkanika ta 'passi matematiċi, bħal algoritmu.</v>
      </c>
    </row>
    <row r="3913" ht="15.75" customHeight="1">
      <c r="A3913" s="2" t="s">
        <v>3913</v>
      </c>
      <c r="B3913" s="2" t="str">
        <f>IFERROR(__xludf.DUMMYFUNCTION("GOOGLETRANSLATE(A3913, ""en"", ""mt"")"),"Kemm-il darba Luther ippriedka f'Halle fl-1545 u l-1546?")</f>
        <v>Kemm-il darba Luther ippriedka f'Halle fl-1545 u l-1546?</v>
      </c>
    </row>
    <row r="3914" ht="15.75" customHeight="1">
      <c r="A3914" s="2" t="s">
        <v>3914</v>
      </c>
      <c r="B3914" s="2" t="str">
        <f>IFERROR(__xludf.DUMMYFUNCTION("GOOGLETRANSLATE(A3914, ""en"", ""mt"")"),"Bilanċ tal-popolazzjonijiet mikrobjali")</f>
        <v>Bilanċ tal-popolazzjonijiet mikrobjali</v>
      </c>
    </row>
    <row r="3915" ht="15.75" customHeight="1">
      <c r="A3915" s="2" t="s">
        <v>3915</v>
      </c>
      <c r="B3915" s="2" t="str">
        <f>IFERROR(__xludf.DUMMYFUNCTION("GOOGLETRANSLATE(A3915, ""en"", ""mt"")"),"Tissottometti l-inċertezza assoċjata mal-mudelli tal-klima")</f>
        <v>Tissottometti l-inċertezza assoċjata mal-mudelli tal-klima</v>
      </c>
    </row>
    <row r="3916" ht="15.75" customHeight="1">
      <c r="A3916" s="2" t="s">
        <v>3916</v>
      </c>
      <c r="B3916" s="2" t="str">
        <f>IFERROR(__xludf.DUMMYFUNCTION("GOOGLETRANSLATE(A3916, ""en"", ""mt"")"),"Il-Lega Musulmana kollha tal-Indja")</f>
        <v>Il-Lega Musulmana kollha tal-Indja</v>
      </c>
    </row>
    <row r="3917" ht="15.75" customHeight="1">
      <c r="A3917" s="2" t="s">
        <v>3917</v>
      </c>
      <c r="B3917" s="2" t="str">
        <f>IFERROR(__xludf.DUMMYFUNCTION("GOOGLETRANSLATE(A3917, ""en"", ""mt"")"),"imdawwar minn membrana doppja")</f>
        <v>imdawwar minn membrana doppja</v>
      </c>
    </row>
    <row r="3918" ht="15.75" customHeight="1">
      <c r="A3918" s="2" t="s">
        <v>3918</v>
      </c>
      <c r="B3918" s="2" t="str">
        <f>IFERROR(__xludf.DUMMYFUNCTION("GOOGLETRANSLATE(A3918, ""en"", ""mt"")"),"X'jiġri l-Beriods kostali bħala snien?")</f>
        <v>X'jiġri l-Beriods kostali bħala snien?</v>
      </c>
    </row>
    <row r="3919" ht="15.75" customHeight="1">
      <c r="A3919" s="2" t="s">
        <v>3919</v>
      </c>
      <c r="B3919" s="2" t="str">
        <f>IFERROR(__xludf.DUMMYFUNCTION("GOOGLETRANSLATE(A3919, ""en"", ""mt"")"),"Kenneth Swezey")</f>
        <v>Kenneth Swezey</v>
      </c>
    </row>
    <row r="3920" ht="15.75" customHeight="1">
      <c r="A3920" s="2" t="s">
        <v>3920</v>
      </c>
      <c r="B3920" s="2" t="str">
        <f>IFERROR(__xludf.DUMMYFUNCTION("GOOGLETRANSLATE(A3920, ""en"", ""mt"")"),"""kwantitajiet ta 'vettur""")</f>
        <v>"kwantitajiet ta 'vettur"</v>
      </c>
    </row>
    <row r="3921" ht="15.75" customHeight="1">
      <c r="A3921" s="2" t="s">
        <v>3921</v>
      </c>
      <c r="B3921" s="2" t="str">
        <f>IFERROR(__xludf.DUMMYFUNCTION("GOOGLETRANSLATE(A3921, ""en"", ""mt"")"),"TEU Artikoli 4 u 5")</f>
        <v>TEU Artikoli 4 u 5</v>
      </c>
    </row>
    <row r="3922" ht="15.75" customHeight="1">
      <c r="A3922" s="2" t="s">
        <v>3922</v>
      </c>
      <c r="B3922" s="2" t="str">
        <f>IFERROR(__xludf.DUMMYFUNCTION("GOOGLETRANSLATE(A3922, ""en"", ""mt"")"),"Ħafna drabi, il-liġijiet tal-istat individwali jiddeskrivu dak li jiddefinixxi relazzjoni valida tal-pazjent-toctor")</f>
        <v>Ħafna drabi, il-liġijiet tal-istat individwali jiddeskrivu dak li jiddefinixxi relazzjoni valida tal-pazjent-toctor</v>
      </c>
    </row>
    <row r="3923" ht="15.75" customHeight="1">
      <c r="A3923" s="2" t="s">
        <v>3923</v>
      </c>
      <c r="B3923" s="2" t="str">
        <f>IFERROR(__xludf.DUMMYFUNCTION("GOOGLETRANSLATE(A3923, ""en"", ""mt"")"),"Magna tal-Modulu tas-Servizz u l-Modulu tal-Kmand Shield Heat")</f>
        <v>Magna tal-Modulu tas-Servizz u l-Modulu tal-Kmand Shield Heat</v>
      </c>
    </row>
    <row r="3924" ht="15.75" customHeight="1">
      <c r="A3924" s="2" t="s">
        <v>3924</v>
      </c>
      <c r="B3924" s="2" t="str">
        <f>IFERROR(__xludf.DUMMYFUNCTION("GOOGLETRANSLATE(A3924, ""en"", ""mt"")"),"Iż-żieda fit-temperatura kienet qrib it-tarf ta 'fuq tal-firxa mogħtija")</f>
        <v>Iż-żieda fit-temperatura kienet qrib it-tarf ta 'fuq tal-firxa mogħtija</v>
      </c>
    </row>
    <row r="3925" ht="15.75" customHeight="1">
      <c r="A3925" s="2" t="s">
        <v>3925</v>
      </c>
      <c r="B3925" s="2" t="str">
        <f>IFERROR(__xludf.DUMMYFUNCTION("GOOGLETRANSLATE(A3925, ""en"", ""mt"")"),"Liema partit kellu rebħa fl-elezzjoni tar-Renju Unit tal-2015?")</f>
        <v>Liema partit kellu rebħa fl-elezzjoni tar-Renju Unit tal-2015?</v>
      </c>
    </row>
    <row r="3926" ht="15.75" customHeight="1">
      <c r="A3926" s="2" t="s">
        <v>3926</v>
      </c>
      <c r="B3926" s="2" t="str">
        <f>IFERROR(__xludf.DUMMYFUNCTION("GOOGLETRANSLATE(A3926, ""en"", ""mt"")"),"X’kienu użaw dawn il-kjeriċi Luterani bħala fjuwil biex isaħħu l-politiki tan-Nazi?")</f>
        <v>X’kienu użaw dawn il-kjeriċi Luterani bħala fjuwil biex isaħħu l-politiki tan-Nazi?</v>
      </c>
    </row>
    <row r="3927" ht="15.75" customHeight="1">
      <c r="A3927" s="2" t="s">
        <v>3927</v>
      </c>
      <c r="B3927" s="2" t="str">
        <f>IFERROR(__xludf.DUMMYFUNCTION("GOOGLETRANSLATE(A3927, ""en"", ""mt"")"),"pajjiżi ifqar")</f>
        <v>pajjiżi ifqar</v>
      </c>
    </row>
    <row r="3928" ht="15.75" customHeight="1">
      <c r="A3928" s="2" t="s">
        <v>3928</v>
      </c>
      <c r="B3928" s="2" t="str">
        <f>IFERROR(__xludf.DUMMYFUNCTION("GOOGLETRANSLATE(A3928, ""en"", ""mt"")"),"Assoċjazzjoni Medika Amerikana (AMA)")</f>
        <v>Assoċjazzjoni Medika Amerikana (AMA)</v>
      </c>
    </row>
    <row r="3929" ht="15.75" customHeight="1">
      <c r="A3929" s="2" t="s">
        <v>3929</v>
      </c>
      <c r="B3929" s="2" t="str">
        <f>IFERROR(__xludf.DUMMYFUNCTION("GOOGLETRANSLATE(A3929, ""en"", ""mt"")"),"Gwerra Dinjija I,")</f>
        <v>Gwerra Dinjija I,</v>
      </c>
    </row>
    <row r="3930" ht="15.75" customHeight="1">
      <c r="A3930" s="2" t="s">
        <v>3930</v>
      </c>
      <c r="B3930" s="2" t="str">
        <f>IFERROR(__xludf.DUMMYFUNCTION("GOOGLETRANSLATE(A3930, ""en"", ""mt"")"),"Tfal li servew bħala messaġġiera u truppi ta 'quddiem fir-rewwixta ta' Varsavja")</f>
        <v>Tfal li servew bħala messaġġiera u truppi ta 'quddiem fir-rewwixta ta' Varsavja</v>
      </c>
    </row>
    <row r="3931" ht="15.75" customHeight="1">
      <c r="A3931" s="2" t="s">
        <v>3931</v>
      </c>
      <c r="B3931" s="2" t="str">
        <f>IFERROR(__xludf.DUMMYFUNCTION("GOOGLETRANSLATE(A3931, ""en"", ""mt"")"),"In-NASA tat it-32 minn dawn l-astronawti l-ogħla unur tagħha, il-midalja tas-servizz distinta, mogħtija għal ""servizz distint, abilità, jew kuraġġ"", u kontribuzzjoni personali ""li tirrappreżenta progress sostanzjali għall-missjoni tan-NASA"". Il-midalj"&amp;"i ngħataw wara mewt lil Grissom, White, u Chaffee fl-1969, imbagħad għall-ekwipaġġi tal-missjonijiet kollha minn Apollo 8 'il quddiem. L-ekwipaġġ li tellgħu l-ewwel missjoni tat-test orbitali tad-Dinja Apollo 7, Walter M. Schirra, Donn Eisele, u Walter Cu"&amp;"nningham, ingħataw il-midalja tas-servizz eċċezzjonali tan-NASA, minħabba problemi ta 'dixxiplina bl-ordnijiet tad-direttur tat-titjira waqt it-titjira tagħhom. L-amministratur tan-NASA f'Ottubru, 2008, iddeċieda li jagħtihom il-midalji tas-servizz distin"&amp;"ti, sa dan iż-żmien wara mewt lil Schirra u Eisele.")</f>
        <v>In-NASA tat it-32 minn dawn l-astronawti l-ogħla unur tagħha, il-midalja tas-servizz distinta, mogħtija għal "servizz distint, abilità, jew kuraġġ", u kontribuzzjoni personali "li tirrappreżenta progress sostanzjali għall-missjoni tan-NASA". Il-midalji ngħataw wara mewt lil Grissom, White, u Chaffee fl-1969, imbagħad għall-ekwipaġġi tal-missjonijiet kollha minn Apollo 8 'il quddiem. L-ekwipaġġ li tellgħu l-ewwel missjoni tat-test orbitali tad-Dinja Apollo 7, Walter M. Schirra, Donn Eisele, u Walter Cunningham, ingħataw il-midalja tas-servizz eċċezzjonali tan-NASA, minħabba problemi ta 'dixxiplina bl-ordnijiet tad-direttur tat-titjira waqt it-titjira tagħhom. L-amministratur tan-NASA f'Ottubru, 2008, iddeċieda li jagħtihom il-midalji tas-servizz distinti, sa dan iż-żmien wara mewt lil Schirra u Eisele.</v>
      </c>
    </row>
    <row r="3932" ht="15.75" customHeight="1">
      <c r="A3932" s="2" t="s">
        <v>3932</v>
      </c>
      <c r="B3932" s="2" t="str">
        <f>IFERROR(__xludf.DUMMYFUNCTION("GOOGLETRANSLATE(A3932, ""en"", ""mt"")"),"Il-Papat kien l-Antikrist")</f>
        <v>Il-Papat kien l-Antikrist</v>
      </c>
    </row>
    <row r="3933" ht="15.75" customHeight="1">
      <c r="A3933" s="2" t="s">
        <v>3933</v>
      </c>
      <c r="B3933" s="2" t="str">
        <f>IFERROR(__xludf.DUMMYFUNCTION("GOOGLETRANSLATE(A3933, ""en"", ""mt"")"),"leġislazzjoni biex tillimita s-sjieda barranija ta 'proprjetajiet ta' xandir")</f>
        <v>leġislazzjoni biex tillimita s-sjieda barranija ta 'proprjetajiet ta' xandir</v>
      </c>
    </row>
    <row r="3934" ht="15.75" customHeight="1">
      <c r="A3934" s="2" t="s">
        <v>3934</v>
      </c>
      <c r="B3934" s="2" t="str">
        <f>IFERROR(__xludf.DUMMYFUNCTION("GOOGLETRANSLATE(A3934, ""en"", ""mt"")"),"Liema seklu n-Normanni l-ewwel kisbu l-identità separata tagħhom?")</f>
        <v>Liema seklu n-Normanni l-ewwel kisbu l-identità separata tagħhom?</v>
      </c>
    </row>
    <row r="3935" ht="15.75" customHeight="1">
      <c r="A3935" s="2" t="s">
        <v>3935</v>
      </c>
      <c r="B3935" s="2" t="str">
        <f>IFERROR(__xludf.DUMMYFUNCTION("GOOGLETRANSLATE(A3935, ""en"", ""mt"")"),"Il-Watersheds ta ’San Lawrenz u Mississippi")</f>
        <v>Il-Watersheds ta ’San Lawrenz u Mississippi</v>
      </c>
    </row>
    <row r="3936" ht="15.75" customHeight="1">
      <c r="A3936" s="2" t="s">
        <v>3936</v>
      </c>
      <c r="B3936" s="2" t="str">
        <f>IFERROR(__xludf.DUMMYFUNCTION("GOOGLETRANSLATE(A3936, ""en"", ""mt"")"),"3 ta 'Jannar 1521")</f>
        <v>3 ta 'Jannar 1521</v>
      </c>
    </row>
    <row r="3937" ht="15.75" customHeight="1">
      <c r="A3937" s="2" t="s">
        <v>3937</v>
      </c>
      <c r="B3937" s="2" t="str">
        <f>IFERROR(__xludf.DUMMYFUNCTION("GOOGLETRANSLATE(A3937, ""en"", ""mt"")"),"poter politiku ġġenerat mill-ġid")</f>
        <v>poter politiku ġġenerat mill-ġid</v>
      </c>
    </row>
    <row r="3938" ht="15.75" customHeight="1">
      <c r="A3938" s="2" t="s">
        <v>3938</v>
      </c>
      <c r="B3938" s="2" t="str">
        <f>IFERROR(__xludf.DUMMYFUNCTION("GOOGLETRANSLATE(A3938, ""en"", ""mt"")"),"fergħa")</f>
        <v>fergħa</v>
      </c>
    </row>
    <row r="3939" ht="15.75" customHeight="1">
      <c r="A3939" s="2" t="s">
        <v>3939</v>
      </c>
      <c r="B3939" s="2" t="str">
        <f>IFERROR(__xludf.DUMMYFUNCTION("GOOGLETRANSLATE(A3939, ""en"", ""mt"")"),"Jassoċjaw forzi ma 'vettori")</f>
        <v>Jassoċjaw forzi ma 'vettori</v>
      </c>
    </row>
    <row r="3940" ht="15.75" customHeight="1">
      <c r="A3940" s="2" t="s">
        <v>3940</v>
      </c>
      <c r="B3940" s="2" t="str">
        <f>IFERROR(__xludf.DUMMYFUNCTION("GOOGLETRANSLATE(A3940, ""en"", ""mt"")"),"X’kienet ilbies Tesla waqt li kien f’Tominaj?")</f>
        <v>X’kienet ilbies Tesla waqt li kien f’Tominaj?</v>
      </c>
    </row>
    <row r="3941" ht="15.75" customHeight="1">
      <c r="A3941" s="2" t="s">
        <v>3941</v>
      </c>
      <c r="B3941" s="2" t="str">
        <f>IFERROR(__xludf.DUMMYFUNCTION("GOOGLETRANSLATE(A3941, ""en"", ""mt"")"),"X'kienet id-distanza ta 'kuljum minn Tesla?")</f>
        <v>X'kienet id-distanza ta 'kuljum minn Tesla?</v>
      </c>
    </row>
    <row r="3942" ht="15.75" customHeight="1">
      <c r="A3942" s="2" t="s">
        <v>3942</v>
      </c>
      <c r="B3942" s="2" t="str">
        <f>IFERROR(__xludf.DUMMYFUNCTION("GOOGLETRANSLATE(A3942, ""en"", ""mt"")"),"L-ipoteżi ta 'Riemann mhux ippruvata, li tmur mill-1859, tiddikjara li ħlief għal S = −2, −4, ..., iż-żero kollha tal-funzjoni ζ għandhom parti reali daqs 1/2. Il-konnessjoni man-numri ewlenin hija li essenzjalment tgħid li l-primes huma mqassma regolarme"&amp;"nt kemm jista 'jkun. [Kjarifika meħtieġa] mil-lat fiżiku, bejn wieħed u ieħor jiddikjara li l-irregolarità fid-distribuzzjoni tal-primes ġejja biss minn ħoss bl-addoċċ. Mil-lat matematiku, bejn wieħed u ieħor jiddikjara li d-distribuzzjoni bla sintomi ta "&amp;"'primes (madwar x / log X ta' numri inqas minn X huma primes, it-teorema tan-numru ewlieni) iżomm ukoll għal intervalli ferm iqsar ta 'tul madwar l-għerq kwadru ta' X (għal intervalli qrib x). Din l-ipoteżi hija ġeneralment maħsuba li hija korretta. B'mod"&amp;" partikolari, l-iktar suppożizzjoni sempliċi hija li l-primes m'għandhomx ikollhom irregolaritajiet sinifikanti mingħajr raġuni tajba.")</f>
        <v>L-ipoteżi ta 'Riemann mhux ippruvata, li tmur mill-1859, tiddikjara li ħlief għal S = −2, −4, ..., iż-żero kollha tal-funzjoni ζ għandhom parti reali daqs 1/2. Il-konnessjoni man-numri ewlenin hija li essenzjalment tgħid li l-primes huma mqassma regolarment kemm jista 'jkun. [Kjarifika meħtieġa] mil-lat fiżiku, bejn wieħed u ieħor jiddikjara li l-irregolarità fid-distribuzzjoni tal-primes ġejja biss minn ħoss bl-addoċċ. Mil-lat matematiku, bejn wieħed u ieħor jiddikjara li d-distribuzzjoni bla sintomi ta 'primes (madwar x / log X ta' numri inqas minn X huma primes, it-teorema tan-numru ewlieni) iżomm ukoll għal intervalli ferm iqsar ta 'tul madwar l-għerq kwadru ta' X (għal intervalli qrib x). Din l-ipoteżi hija ġeneralment maħsuba li hija korretta. B'mod partikolari, l-iktar suppożizzjoni sempliċi hija li l-primes m'għandhomx ikollhom irregolaritajiet sinifikanti mingħajr raġuni tajba.</v>
      </c>
    </row>
    <row r="3943" ht="15.75" customHeight="1">
      <c r="A3943" s="2" t="s">
        <v>3943</v>
      </c>
      <c r="B3943" s="2" t="str">
        <f>IFERROR(__xludf.DUMMYFUNCTION("GOOGLETRANSLATE(A3943, ""en"", ""mt"")"),"X'għandu juri għalliem lejn il-materjali tal-kors biex iżid it-tagħlim?")</f>
        <v>X'għandu juri għalliem lejn il-materjali tal-kors biex iżid it-tagħlim?</v>
      </c>
    </row>
    <row r="3944" ht="15.75" customHeight="1">
      <c r="A3944" s="2" t="s">
        <v>3944</v>
      </c>
      <c r="B3944" s="2" t="str">
        <f>IFERROR(__xludf.DUMMYFUNCTION("GOOGLETRANSLATE(A3944, ""en"", ""mt"")"),"żdied b'0.3 sa 0.6 ° C")</f>
        <v>żdied b'0.3 sa 0.6 ° C</v>
      </c>
    </row>
    <row r="3945" ht="15.75" customHeight="1">
      <c r="A3945" s="2" t="s">
        <v>3945</v>
      </c>
      <c r="B3945" s="2" t="str">
        <f>IFERROR(__xludf.DUMMYFUNCTION("GOOGLETRANSLATE(A3945, ""en"", ""mt"")"),"Ferra anti-komunista li qed tikber")</f>
        <v>Ferra anti-komunista li qed tikber</v>
      </c>
    </row>
    <row r="3946" ht="15.75" customHeight="1">
      <c r="A3946" s="2" t="s">
        <v>3946</v>
      </c>
      <c r="B3946" s="2" t="str">
        <f>IFERROR(__xludf.DUMMYFUNCTION("GOOGLETRANSLATE(A3946, ""en"", ""mt"")"),"it-tielet post")</f>
        <v>it-tielet post</v>
      </c>
    </row>
    <row r="3947" ht="15.75" customHeight="1">
      <c r="A3947" s="2" t="s">
        <v>3947</v>
      </c>
      <c r="B3947" s="2" t="str">
        <f>IFERROR(__xludf.DUMMYFUNCTION("GOOGLETRANSLATE(A3947, ""en"", ""mt"")"),"Wara li l-operaturi jiġu mwissija bil-ħarba tal-fwar, x'jistgħu jagħmlu?")</f>
        <v>Wara li l-operaturi jiġu mwissija bil-ħarba tal-fwar, x'jistgħu jagħmlu?</v>
      </c>
    </row>
    <row r="3948" ht="15.75" customHeight="1">
      <c r="A3948" s="2" t="s">
        <v>3948</v>
      </c>
      <c r="B3948" s="2" t="str">
        <f>IFERROR(__xludf.DUMMYFUNCTION("GOOGLETRANSLATE(A3948, ""en"", ""mt"")"),"żgħir")</f>
        <v>żgħir</v>
      </c>
    </row>
    <row r="3949" ht="15.75" customHeight="1">
      <c r="A3949" s="2" t="s">
        <v>3949</v>
      </c>
      <c r="B3949" s="2" t="str">
        <f>IFERROR(__xludf.DUMMYFUNCTION("GOOGLETRANSLATE(A3949, ""en"", ""mt"")"),"K-9 u Kumpanija")</f>
        <v>K-9 u Kumpanija</v>
      </c>
    </row>
    <row r="3950" ht="15.75" customHeight="1">
      <c r="A3950" s="2" t="s">
        <v>3950</v>
      </c>
      <c r="B3950" s="2" t="str">
        <f>IFERROR(__xludf.DUMMYFUNCTION("GOOGLETRANSLATE(A3950, ""en"", ""mt"")"),"Forza elettromanjetika unifikata")</f>
        <v>Forza elettromanjetika unifikata</v>
      </c>
    </row>
    <row r="3951" ht="15.75" customHeight="1">
      <c r="A3951" s="2" t="s">
        <v>3951</v>
      </c>
      <c r="B3951" s="2" t="str">
        <f>IFERROR(__xludf.DUMMYFUNCTION("GOOGLETRANSLATE(A3951, ""en"", ""mt"")"),"Armata Ġermaniża")</f>
        <v>Armata Ġermaniża</v>
      </c>
    </row>
    <row r="3952" ht="15.75" customHeight="1">
      <c r="A3952" s="2" t="s">
        <v>3952</v>
      </c>
      <c r="B3952" s="2" t="str">
        <f>IFERROR(__xludf.DUMMYFUNCTION("GOOGLETRANSLATE(A3952, ""en"", ""mt"")"),"Il-Kumpanija Pokémon")</f>
        <v>Il-Kumpanija Pokémon</v>
      </c>
    </row>
    <row r="3953" ht="15.75" customHeight="1">
      <c r="A3953" s="2" t="s">
        <v>3953</v>
      </c>
      <c r="B3953" s="2" t="str">
        <f>IFERROR(__xludf.DUMMYFUNCTION("GOOGLETRANSLATE(A3953, ""en"", ""mt"")"),"X'inhi unità ta 'massa użata rarament ħafna fis-sistema metrika?")</f>
        <v>X'inhi unità ta 'massa użata rarament ħafna fis-sistema metrika?</v>
      </c>
    </row>
    <row r="3954" ht="15.75" customHeight="1">
      <c r="A3954" s="2" t="s">
        <v>3954</v>
      </c>
      <c r="B3954" s="2" t="str">
        <f>IFERROR(__xludf.DUMMYFUNCTION("GOOGLETRANSLATE(A3954, ""en"", ""mt"")"),"il-bilanċ tal-partijiet madwar il-parlament")</f>
        <v>il-bilanċ tal-partijiet madwar il-parlament</v>
      </c>
    </row>
    <row r="3955" ht="15.75" customHeight="1">
      <c r="A3955" s="2" t="s">
        <v>3955</v>
      </c>
      <c r="B3955" s="2" t="str">
        <f>IFERROR(__xludf.DUMMYFUNCTION("GOOGLETRANSLATE(A3955, ""en"", ""mt"")"),"Leonard Goldenson, il-president tal-UPT (li fittex li jiddiversifika ruħu dak iż-żmien), avviċina lil Noble fl-1951 fuq proposta għal UPT biex tixtri ABC. Noble rċieva offerti oħra, inkluż wieħed mill-fundatur tas-CBS William S. Paley; Madankollu, għaqda "&amp;"ma 'CBS kienet ġiegħlet lil dik in-netwerk tbiegħ l-istazzjonijiet tagħha ta' New York City u Los Angeles għall-inqas. Goldenson u Noble laħqu ftehim tentattiv fl-aħħar tar-rebbiegħa tal-1951 li fih il-UPT jakkwistaw ABC u jibdluha f'sussidjarja tal-kumpa"&amp;"nija li żżomm l-awtonomija fil-ġestjoni tagħha. Fis-6 ta 'Ġunju, 1951, il-ftehim tentattiv ġie approvat mill-bord tad-diretturi tal-UPT. Madankollu, it-tranżazzjoni kellha tiġi approvata mill-FCC minħabba l-preżenza ta 'netwerks tat-televiżjoni u s-separa"&amp;"zzjoni reċenti bejn Paramount u UPT. Safejn Paramount Pictures kien diġà azzjonist fin-Netwerk tat-Televiżjoni Dumont, l-FCC mexxiet serje ta 'seduti biex tiżgura jekk Paramount kien tassew separat mit-teatri tal-Paramount United, u jekk kienx qed jikser "&amp;"il-liġijiet antitrust.")</f>
        <v>Leonard Goldenson, il-president tal-UPT (li fittex li jiddiversifika ruħu dak iż-żmien), avviċina lil Noble fl-1951 fuq proposta għal UPT biex tixtri ABC. Noble rċieva offerti oħra, inkluż wieħed mill-fundatur tas-CBS William S. Paley; Madankollu, għaqda ma 'CBS kienet ġiegħlet lil dik in-netwerk tbiegħ l-istazzjonijiet tagħha ta' New York City u Los Angeles għall-inqas. Goldenson u Noble laħqu ftehim tentattiv fl-aħħar tar-rebbiegħa tal-1951 li fih il-UPT jakkwistaw ABC u jibdluha f'sussidjarja tal-kumpanija li żżomm l-awtonomija fil-ġestjoni tagħha. Fis-6 ta 'Ġunju, 1951, il-ftehim tentattiv ġie approvat mill-bord tad-diretturi tal-UPT. Madankollu, it-tranżazzjoni kellha tiġi approvata mill-FCC minħabba l-preżenza ta 'netwerks tat-televiżjoni u s-separazzjoni reċenti bejn Paramount u UPT. Safejn Paramount Pictures kien diġà azzjonist fin-Netwerk tat-Televiżjoni Dumont, l-FCC mexxiet serje ta 'seduti biex tiżgura jekk Paramount kien tassew separat mit-teatri tal-Paramount United, u jekk kienx qed jikser il-liġijiet antitrust.</v>
      </c>
    </row>
    <row r="3956" ht="15.75" customHeight="1">
      <c r="A3956" s="2" t="s">
        <v>3956</v>
      </c>
      <c r="B3956" s="2" t="str">
        <f>IFERROR(__xludf.DUMMYFUNCTION("GOOGLETRANSLATE(A3956, ""en"", ""mt"")"),"Sorsi ppubblikati")</f>
        <v>Sorsi ppubblikati</v>
      </c>
    </row>
    <row r="3957" ht="15.75" customHeight="1">
      <c r="A3957" s="2" t="s">
        <v>3957</v>
      </c>
      <c r="B3957" s="2" t="str">
        <f>IFERROR(__xludf.DUMMYFUNCTION("GOOGLETRANSLATE(A3957, ""en"", ""mt"")"),"Miftuħ ħażin ħafna lejn il-Franċiżi, u huma kompletament iddedikati għall-Ingliż")</f>
        <v>Miftuħ ħażin ħafna lejn il-Franċiżi, u huma kompletament iddedikati għall-Ingliż</v>
      </c>
    </row>
    <row r="3958" ht="15.75" customHeight="1">
      <c r="A3958" s="2" t="s">
        <v>3958</v>
      </c>
      <c r="B3958" s="2" t="str">
        <f>IFERROR(__xludf.DUMMYFUNCTION("GOOGLETRANSLATE(A3958, ""en"", ""mt"")"),"la huwa żero u lanqas unità")</f>
        <v>la huwa żero u lanqas unità</v>
      </c>
    </row>
    <row r="3959" ht="15.75" customHeight="1">
      <c r="A3959" s="2" t="s">
        <v>3959</v>
      </c>
      <c r="B3959" s="2" t="str">
        <f>IFERROR(__xludf.DUMMYFUNCTION("GOOGLETRANSLATE(A3959, ""en"", ""mt"")"),"Tliet ġibjuni ewlenin")</f>
        <v>Tliet ġibjuni ewlenin</v>
      </c>
    </row>
    <row r="3960" ht="15.75" customHeight="1">
      <c r="A3960" s="2" t="s">
        <v>3960</v>
      </c>
      <c r="B3960" s="2" t="str">
        <f>IFERROR(__xludf.DUMMYFUNCTION("GOOGLETRANSLATE(A3960, ""en"", ""mt"")"),"Biex testendi l-benefiċċji tan-netwerking")</f>
        <v>Biex testendi l-benefiċċji tan-netwerking</v>
      </c>
    </row>
    <row r="3961" ht="15.75" customHeight="1">
      <c r="A3961" s="2" t="s">
        <v>3961</v>
      </c>
      <c r="B3961" s="2" t="str">
        <f>IFERROR(__xludf.DUMMYFUNCTION("GOOGLETRANSLATE(A3961, ""en"", ""mt"")"),"Liema protezzjoni tiġi wara r-risposta innata?")</f>
        <v>Liema protezzjoni tiġi wara r-risposta innata?</v>
      </c>
    </row>
    <row r="3962" ht="15.75" customHeight="1">
      <c r="A3962" s="2" t="s">
        <v>3962</v>
      </c>
      <c r="B3962" s="2" t="str">
        <f>IFERROR(__xludf.DUMMYFUNCTION("GOOGLETRANSLATE(A3962, ""en"", ""mt"")"),"Suċċessjoni faunal")</f>
        <v>Suċċessjoni faunal</v>
      </c>
    </row>
    <row r="3963" ht="15.75" customHeight="1">
      <c r="A3963" s="2" t="s">
        <v>3963</v>
      </c>
      <c r="B3963" s="2" t="str">
        <f>IFERROR(__xludf.DUMMYFUNCTION("GOOGLETRANSLATE(A3963, ""en"", ""mt"")"),"X'inhuma l-ispiżjara projbiti li jagħmlu?")</f>
        <v>X'inhuma l-ispiżjara projbiti li jagħmlu?</v>
      </c>
    </row>
    <row r="3964" ht="15.75" customHeight="1">
      <c r="A3964" s="2" t="s">
        <v>3964</v>
      </c>
      <c r="B3964" s="2" t="str">
        <f>IFERROR(__xludf.DUMMYFUNCTION("GOOGLETRANSLATE(A3964, ""en"", ""mt"")"),"Għaliex il-Franċiżi ħassew li kellhom dritt għal Ohio?")</f>
        <v>Għaliex il-Franċiżi ħassew li kellhom dritt għal Ohio?</v>
      </c>
    </row>
    <row r="3965" ht="15.75" customHeight="1">
      <c r="A3965" s="2" t="s">
        <v>3965</v>
      </c>
      <c r="B3965" s="2" t="str">
        <f>IFERROR(__xludf.DUMMYFUNCTION("GOOGLETRANSLATE(A3965, ""en"", ""mt"")"),"ħafif")</f>
        <v>ħafif</v>
      </c>
    </row>
    <row r="3966" ht="15.75" customHeight="1">
      <c r="A3966" s="2" t="s">
        <v>3966</v>
      </c>
      <c r="B3966" s="2" t="str">
        <f>IFERROR(__xludf.DUMMYFUNCTION("GOOGLETRANSLATE(A3966, ""en"", ""mt"")"),"3, 4, &amp; 5")</f>
        <v>3, 4, &amp; 5</v>
      </c>
    </row>
    <row r="3967" ht="15.75" customHeight="1">
      <c r="A3967" s="2" t="s">
        <v>3967</v>
      </c>
      <c r="B3967" s="2" t="str">
        <f>IFERROR(__xludf.DUMMYFUNCTION("GOOGLETRANSLATE(A3967, ""en"", ""mt"")"),"jew għal thylakoid jew ma 'plastoglobulus ieħor imwaħħal ma' thylakoid")</f>
        <v>jew għal thylakoid jew ma 'plastoglobulus ieħor imwaħħal ma' thylakoid</v>
      </c>
    </row>
    <row r="3968" ht="15.75" customHeight="1">
      <c r="A3968" s="2" t="s">
        <v>3968</v>
      </c>
      <c r="B3968" s="2" t="str">
        <f>IFERROR(__xludf.DUMMYFUNCTION("GOOGLETRANSLATE(A3968, ""en"", ""mt"")"),"dipendenti fuq kemm hu qawwi")</f>
        <v>dipendenti fuq kemm hu qawwi</v>
      </c>
    </row>
    <row r="3969" ht="15.75" customHeight="1">
      <c r="A3969" s="2" t="s">
        <v>3969</v>
      </c>
      <c r="B3969" s="2" t="str">
        <f>IFERROR(__xludf.DUMMYFUNCTION("GOOGLETRANSLATE(A3969, ""en"", ""mt"")"),"rari u mixtieq")</f>
        <v>rari u mixtieq</v>
      </c>
    </row>
    <row r="3970" ht="15.75" customHeight="1">
      <c r="A3970" s="2" t="s">
        <v>3970</v>
      </c>
      <c r="B3970" s="2" t="str">
        <f>IFERROR(__xludf.DUMMYFUNCTION("GOOGLETRANSLATE(A3970, ""en"", ""mt"")"),"Wara l-1279")</f>
        <v>Wara l-1279</v>
      </c>
    </row>
    <row r="3971" ht="15.75" customHeight="1">
      <c r="A3971" s="2" t="s">
        <v>3971</v>
      </c>
      <c r="B3971" s="2" t="str">
        <f>IFERROR(__xludf.DUMMYFUNCTION("GOOGLETRANSLATE(A3971, ""en"", ""mt"")"),"Flimkien ma 'avvanzi fil-komunikazzjoni, l-Ewropa kompliet ukoll tavvanza fit-teknoloġija militari. Kimiċi Ewropej għamlu splussivi fatali li jistgħu jintużaw fil-ġlieda kontra, u bl-innovazzjonijiet fil-makkinarju setgħu jimmanifatturaw armi tan-nar imte"&amp;"jba. Fis-snin 1880, il-magna gun kienet saret arma effettiva fil-kamp ta 'battalja. Din it-teknoloġija tat lill-armati Ewropej vantaġġ fuq l-avversarji tagħhom, peress li l-armati f'pajjiżi inqas żviluppati kienu għadhom jiġġieldu bi vleġeġ, xwabel u tark"&amp;"i tal-ġilda (e.g. iż-Żulus fl-Afrika t'Isfel matul il-Gwerra Anglo-Żulu tal-1879).")</f>
        <v>Flimkien ma 'avvanzi fil-komunikazzjoni, l-Ewropa kompliet ukoll tavvanza fit-teknoloġija militari. Kimiċi Ewropej għamlu splussivi fatali li jistgħu jintużaw fil-ġlieda kontra, u bl-innovazzjonijiet fil-makkinarju setgħu jimmanifatturaw armi tan-nar imtejba. Fis-snin 1880, il-magna gun kienet saret arma effettiva fil-kamp ta 'battalja. Din it-teknoloġija tat lill-armati Ewropej vantaġġ fuq l-avversarji tagħhom, peress li l-armati f'pajjiżi inqas żviluppati kienu għadhom jiġġieldu bi vleġeġ, xwabel u tarki tal-ġilda (e.g. iż-Żulus fl-Afrika t'Isfel matul il-Gwerra Anglo-Żulu tal-1879).</v>
      </c>
    </row>
    <row r="3972" ht="15.75" customHeight="1">
      <c r="A3972" s="2" t="s">
        <v>3972</v>
      </c>
      <c r="B3972" s="2" t="str">
        <f>IFERROR(__xludf.DUMMYFUNCTION("GOOGLETRANSLATE(A3972, ""en"", ""mt"")"),"ħabbar rebbieħ")</f>
        <v>ħabbar rebbieħ</v>
      </c>
    </row>
    <row r="3973" ht="15.75" customHeight="1">
      <c r="A3973" s="2" t="s">
        <v>3973</v>
      </c>
      <c r="B3973" s="2" t="str">
        <f>IFERROR(__xludf.DUMMYFUNCTION("GOOGLETRANSLATE(A3973, ""en"", ""mt"")"),"ħtieġa aktar milli opportunità")</f>
        <v>ħtieġa aktar milli opportunità</v>
      </c>
    </row>
    <row r="3974" ht="15.75" customHeight="1">
      <c r="A3974" s="2" t="s">
        <v>3974</v>
      </c>
      <c r="B3974" s="2" t="str">
        <f>IFERROR(__xludf.DUMMYFUNCTION("GOOGLETRANSLATE(A3974, ""en"", ""mt"")"),"Biex iżżid l-erja tal-wiċċ tal-kloroplast")</f>
        <v>Biex iżżid l-erja tal-wiċċ tal-kloroplast</v>
      </c>
    </row>
    <row r="3975" ht="15.75" customHeight="1">
      <c r="A3975" s="2" t="s">
        <v>3975</v>
      </c>
      <c r="B3975" s="2" t="str">
        <f>IFERROR(__xludf.DUMMYFUNCTION("GOOGLETRANSLATE(A3975, ""en"", ""mt"")"),"il-fatt li waqa 'mill-iskola")</f>
        <v>il-fatt li waqa 'mill-iskola</v>
      </c>
    </row>
    <row r="3976" ht="15.75" customHeight="1">
      <c r="A3976" s="2" t="s">
        <v>3976</v>
      </c>
      <c r="B3976" s="2" t="str">
        <f>IFERROR(__xludf.DUMMYFUNCTION("GOOGLETRANSLATE(A3976, ""en"", ""mt"")"),"Awtoritajiet sekulari.")</f>
        <v>Awtoritajiet sekulari.</v>
      </c>
    </row>
    <row r="3977" ht="15.75" customHeight="1">
      <c r="A3977" s="2" t="s">
        <v>3977</v>
      </c>
      <c r="B3977" s="2" t="str">
        <f>IFERROR(__xludf.DUMMYFUNCTION("GOOGLETRANSLATE(A3977, ""en"", ""mt"")"),"It-Tlieta wara nofsinhar qabel il-logħba")</f>
        <v>It-Tlieta wara nofsinhar qabel il-logħba</v>
      </c>
    </row>
    <row r="3978" ht="15.75" customHeight="1">
      <c r="A3978" s="2" t="s">
        <v>3978</v>
      </c>
      <c r="B3978" s="2" t="str">
        <f>IFERROR(__xludf.DUMMYFUNCTION("GOOGLETRANSLATE(A3978, ""en"", ""mt"")"),"Tesla kif attendiet l-università?")</f>
        <v>Tesla kif attendiet l-università?</v>
      </c>
    </row>
    <row r="3979" ht="15.75" customHeight="1">
      <c r="A3979" s="2" t="s">
        <v>3979</v>
      </c>
      <c r="B3979" s="2" t="str">
        <f>IFERROR(__xludf.DUMMYFUNCTION("GOOGLETRANSLATE(A3979, ""en"", ""mt"")"),"Kemm iddum din il-koalizzjoni?")</f>
        <v>Kemm iddum din il-koalizzjoni?</v>
      </c>
    </row>
    <row r="3980" ht="15.75" customHeight="1">
      <c r="A3980" s="2" t="s">
        <v>3980</v>
      </c>
      <c r="B3980" s="2" t="str">
        <f>IFERROR(__xludf.DUMMYFUNCTION("GOOGLETRANSLATE(A3980, ""en"", ""mt"")"),"Il-Qorti Ewropea tal-Ġustizzja Regola l-imputat fil-każ tal-Kummissjoni v. Edith Cresson kiser xi liġijiet?")</f>
        <v>Il-Qorti Ewropea tal-Ġustizzja Regola l-imputat fil-każ tal-Kummissjoni v. Edith Cresson kiser xi liġijiet?</v>
      </c>
    </row>
    <row r="3981" ht="15.75" customHeight="1">
      <c r="A3981" s="2" t="s">
        <v>3981</v>
      </c>
      <c r="B3981" s="2" t="str">
        <f>IFERROR(__xludf.DUMMYFUNCTION("GOOGLETRANSLATE(A3981, ""en"", ""mt"")"),"Dan ukoll")</f>
        <v>Dan ukoll</v>
      </c>
    </row>
    <row r="3982" ht="15.75" customHeight="1">
      <c r="A3982" s="2" t="s">
        <v>3982</v>
      </c>
      <c r="B3982" s="2" t="str">
        <f>IFERROR(__xludf.DUMMYFUNCTION("GOOGLETRANSLATE(A3982, ""en"", ""mt"")"),"Min ħaseb li d-dinja tista 'tinqasam f'żoni klimatiċi?")</f>
        <v>Min ħaseb li d-dinja tista 'tinqasam f'żoni klimatiċi?</v>
      </c>
    </row>
    <row r="3983" ht="15.75" customHeight="1">
      <c r="A3983" s="2" t="s">
        <v>3983</v>
      </c>
      <c r="B3983" s="2" t="str">
        <f>IFERROR(__xludf.DUMMYFUNCTION("GOOGLETRANSLATE(A3983, ""en"", ""mt"")"),"Ara l-kastig korporali tal-iskola.")</f>
        <v>Ara l-kastig korporali tal-iskola.</v>
      </c>
    </row>
    <row r="3984" ht="15.75" customHeight="1">
      <c r="A3984" s="2" t="s">
        <v>3984</v>
      </c>
      <c r="B3984" s="2" t="str">
        <f>IFERROR(__xludf.DUMMYFUNCTION("GOOGLETRANSLATE(A3984, ""en"", ""mt"")"),"L-aħħar dikjarazzjoni")</f>
        <v>L-aħħar dikjarazzjoni</v>
      </c>
    </row>
    <row r="3985" ht="15.75" customHeight="1">
      <c r="A3985" s="2" t="s">
        <v>3985</v>
      </c>
      <c r="B3985" s="2" t="str">
        <f>IFERROR(__xludf.DUMMYFUNCTION("GOOGLETRANSLATE(A3985, ""en"", ""mt"")"),"Biex tkun żgurata s-sigurtà tal-missjonijiet spazjali futuri l-ossiġnu ntuża fi _____ tal-pressjoni normali.")</f>
        <v>Biex tkun żgurata s-sigurtà tal-missjonijiet spazjali futuri l-ossiġnu ntuża fi _____ tal-pressjoni normali.</v>
      </c>
    </row>
    <row r="3986" ht="15.75" customHeight="1">
      <c r="A3986" s="2" t="s">
        <v>3986</v>
      </c>
      <c r="B3986" s="2" t="str">
        <f>IFERROR(__xludf.DUMMYFUNCTION("GOOGLETRANSLATE(A3986, ""en"", ""mt"")"),"Liema kunċett użaw il-filosfi fl-antikità biex jistudjaw magni sempliċi?")</f>
        <v>Liema kunċett użaw il-filosfi fl-antikità biex jistudjaw magni sempliċi?</v>
      </c>
    </row>
    <row r="3987" ht="15.75" customHeight="1">
      <c r="A3987" s="2" t="s">
        <v>3987</v>
      </c>
      <c r="B3987" s="2" t="str">
        <f>IFERROR(__xludf.DUMMYFUNCTION("GOOGLETRANSLATE(A3987, ""en"", ""mt"")"),"Korp tal-prova")</f>
        <v>Korp tal-prova</v>
      </c>
    </row>
    <row r="3988" ht="15.75" customHeight="1">
      <c r="A3988" s="2" t="s">
        <v>3988</v>
      </c>
      <c r="B3988" s="2" t="str">
        <f>IFERROR(__xludf.DUMMYFUNCTION("GOOGLETRANSLATE(A3988, ""en"", ""mt"")"),"Metodu Cascade")</f>
        <v>Metodu Cascade</v>
      </c>
    </row>
    <row r="3989" ht="15.75" customHeight="1">
      <c r="A3989" s="2" t="s">
        <v>3989</v>
      </c>
      <c r="B3989" s="2" t="str">
        <f>IFERROR(__xludf.DUMMYFUNCTION("GOOGLETRANSLATE(A3989, ""en"", ""mt"")"),"X'tip ta 'annimal iddikjara li l-ispettaturi kien qed jiskoraġġixxi d-dgħajsa?")</f>
        <v>X'tip ta 'annimal iddikjara li l-ispettaturi kien qed jiskoraġġixxi d-dgħajsa?</v>
      </c>
    </row>
    <row r="3990" ht="15.75" customHeight="1">
      <c r="A3990" s="2" t="s">
        <v>3990</v>
      </c>
      <c r="B3990" s="2" t="str">
        <f>IFERROR(__xludf.DUMMYFUNCTION("GOOGLETRANSLATE(A3990, ""en"", ""mt"")"),"Diviżjoni Ġdida Kolleġġjata")</f>
        <v>Diviżjoni Ġdida Kolleġġjata</v>
      </c>
    </row>
    <row r="3991" ht="15.75" customHeight="1">
      <c r="A3991" s="2" t="s">
        <v>3991</v>
      </c>
      <c r="B3991" s="2" t="str">
        <f>IFERROR(__xludf.DUMMYFUNCTION("GOOGLETRANSLATE(A3991, ""en"", ""mt"")"),"1886")</f>
        <v>1886</v>
      </c>
    </row>
    <row r="3992" ht="15.75" customHeight="1">
      <c r="A3992" s="2" t="s">
        <v>3992</v>
      </c>
      <c r="B3992" s="2" t="str">
        <f>IFERROR(__xludf.DUMMYFUNCTION("GOOGLETRANSLATE(A3992, ""en"", ""mt"")"),"Il-Mongoli tgħallmu mill-magħluq tal-mergħat ħodor abbundanti lil hinn mit-territorju ta ’Bulgar, li jippermettu l-ippjanar għall-konkwista tal-Ungerija u l-Ewropa. Genghis Khan fakkar lil Subutai lura lejn il-Mongolja ftit wara, u Jebe miet fit-triq lura"&amp;" lejn Samarkand. Il-famuża expedition tal-kavallerija mmexxija minn Subutai u Jebe, li fihom huma ċċirkolaw il-Baħar Kaspju kollu li jisfrattaw l-armati kollha fit-triq tagħhom, jibqa 'mingħajr paragun sal-lum, u l-kelma tat-trijonfi tal-Mongolja bdiet ti"&amp;"nżel għal nazzjonijiet oħra, partikolarment l-Ewropa. Dawn iż-żewġ kampanji huma ġeneralment meqjusa bħala kampanji ta 'għarfien li ppruvaw jiksbu l-elementi politiċi u kulturali tar-reġjuni. Fl-1225 iż-żewġ diviżjonijiet irritornaw fil-Mongolja. Dawn l-i"&amp;"nvażjonijiet żiedu Transoxiana u l-Persja ma 'imperu diġà formidabbli waqt li jeqirdu kwalunkwe reżistenza tul it-triq. Aktar tard taħt in-neputi ta 'Genghis Khan Batu u l-Golden Horde, il-Mongoli rritornaw biex jirbħu Volga Bulgarija u Kievan Rus' fl-123"&amp;"7, u kkonkludew il-kampanja fl-1240.")</f>
        <v>Il-Mongoli tgħallmu mill-magħluq tal-mergħat ħodor abbundanti lil hinn mit-territorju ta ’Bulgar, li jippermettu l-ippjanar għall-konkwista tal-Ungerija u l-Ewropa. Genghis Khan fakkar lil Subutai lura lejn il-Mongolja ftit wara, u Jebe miet fit-triq lura lejn Samarkand. Il-famuża expedition tal-kavallerija mmexxija minn Subutai u Jebe, li fihom huma ċċirkolaw il-Baħar Kaspju kollu li jisfrattaw l-armati kollha fit-triq tagħhom, jibqa 'mingħajr paragun sal-lum, u l-kelma tat-trijonfi tal-Mongolja bdiet tinżel għal nazzjonijiet oħra, partikolarment l-Ewropa. Dawn iż-żewġ kampanji huma ġeneralment meqjusa bħala kampanji ta 'għarfien li ppruvaw jiksbu l-elementi politiċi u kulturali tar-reġjuni. Fl-1225 iż-żewġ diviżjonijiet irritornaw fil-Mongolja. Dawn l-invażjonijiet żiedu Transoxiana u l-Persja ma 'imperu diġà formidabbli waqt li jeqirdu kwalunkwe reżistenza tul it-triq. Aktar tard taħt in-neputi ta 'Genghis Khan Batu u l-Golden Horde, il-Mongoli rritornaw biex jirbħu Volga Bulgarija u Kievan Rus' fl-1237, u kkonkludew il-kampanja fl-1240.</v>
      </c>
    </row>
    <row r="3993" ht="15.75" customHeight="1">
      <c r="A3993" s="2" t="s">
        <v>3993</v>
      </c>
      <c r="B3993" s="2" t="str">
        <f>IFERROR(__xludf.DUMMYFUNCTION("GOOGLETRANSLATE(A3993, ""en"", ""mt"")"),"Fil-mudell b'saffi tad-Dinja, huwa x'inhu s-saff l-iktar imbiegħed?")</f>
        <v>Fil-mudell b'saffi tad-Dinja, huwa x'inhu s-saff l-iktar imbiegħed?</v>
      </c>
    </row>
    <row r="3994" ht="15.75" customHeight="1">
      <c r="A3994" s="2" t="s">
        <v>3994</v>
      </c>
      <c r="B3994" s="2" t="str">
        <f>IFERROR(__xludf.DUMMYFUNCTION("GOOGLETRANSLATE(A3994, ""en"", ""mt"")"),"Kif qabblu l-blat fuq il-qamar ma 'dawk fid-dinja?")</f>
        <v>Kif qabblu l-blat fuq il-qamar ma 'dawk fid-dinja?</v>
      </c>
    </row>
    <row r="3995" ht="15.75" customHeight="1">
      <c r="A3995" s="2" t="s">
        <v>3995</v>
      </c>
      <c r="B3995" s="2" t="str">
        <f>IFERROR(__xludf.DUMMYFUNCTION("GOOGLETRANSLATE(A3995, ""en"", ""mt"")"),"Id-diviżjoni tal-funzjonijiet u l-kompiti bejn l-ospiti fit-tarf tan-netwerk u l-qalba tan-netwerk.")</f>
        <v>Id-diviżjoni tal-funzjonijiet u l-kompiti bejn l-ospiti fit-tarf tan-netwerk u l-qalba tan-netwerk.</v>
      </c>
    </row>
    <row r="3996" ht="15.75" customHeight="1">
      <c r="A3996" s="2" t="s">
        <v>3996</v>
      </c>
      <c r="B3996" s="2" t="str">
        <f>IFERROR(__xludf.DUMMYFUNCTION("GOOGLETRANSLATE(A3996, ""en"", ""mt"")"),"X'inhi l-Liġi tal-Unjoni Ewropea?")</f>
        <v>X'inhi l-Liġi tal-Unjoni Ewropea?</v>
      </c>
    </row>
    <row r="3997" ht="15.75" customHeight="1">
      <c r="A3997" s="2" t="s">
        <v>3997</v>
      </c>
      <c r="B3997" s="2" t="str">
        <f>IFERROR(__xludf.DUMMYFUNCTION("GOOGLETRANSLATE(A3997, ""en"", ""mt"")"),"It-tielet rapport ta 'valutazzjoni (TAR) deher b'mod prominenti graff bit-tikketta ""Millennial Northern Emisphere Reconstruction"" ibbażata fuq karta tal-1999 minn Michael E. Mann, Raymond S. Bradley u Malcolm K. Hughes (MBH99), li ġiet imsejħa bħala l- "&amp;"""Hockey Stick Graph"". Dan il-graff estenda l-graff simili fil-Figura 3.20 mir-Rapport ta 'Valutazzjoni tal-IPCC tal-1995, u kien differenti minn skematiku fl-ewwel rapport ta' valutazzjoni li kien nieqes minn unitajiet ta 'temperatura, iżda deher li jur"&amp;"i varjazzjonijiet ta' temperatura globali akbar matul l-aħħar 1000 sena, u temperaturi ogħla matul il-perjodu sħun medjevali minn nofs is-seklu 20. L-iskematiku ma kienx biċċa ta 'dejta attwali, u kien ibbażat fuq dijagramma ta' temperaturi fl-Ingilterra "&amp;"Ċentrali, b'temperaturi miżjuda fuq il-bażi ta 'evidenza dokumentarja ta' vinji medjevali fl-Ingilterra. Anke b'din iż-żieda, il-massimu li wera għall-perjodu sħun medjevali ma laħaqx temperaturi rreġistrati fl-Ingilterra Ċentrali fl-2007. Is-sejba MBH99 "&amp;"kienet appoġġjata minn rikostruzzjonijiet iċċitati minn Jones et al. 1998, Pollack, Huang &amp; Shen 1998, Crowley &amp; Lowery 2000 u Briffa 2000, bl-użu ta 'dejta u metodi differenti. Il-Jones et al. u r-rikostruzzjonijiet ta 'Briffa ġew sovrapposti mar-rikostr"&amp;"uzzjoni MBH99 fil-Figura 2.21 tar-rapport IPCC.")</f>
        <v>It-tielet rapport ta 'valutazzjoni (TAR) deher b'mod prominenti graff bit-tikketta "Millennial Northern Emisphere Reconstruction" ibbażata fuq karta tal-1999 minn Michael E. Mann, Raymond S. Bradley u Malcolm K. Hughes (MBH99), li ġiet imsejħa bħala l- "Hockey Stick Graph". Dan il-graff estenda l-graff simili fil-Figura 3.20 mir-Rapport ta 'Valutazzjoni tal-IPCC tal-1995, u kien differenti minn skematiku fl-ewwel rapport ta' valutazzjoni li kien nieqes minn unitajiet ta 'temperatura, iżda deher li juri varjazzjonijiet ta' temperatura globali akbar matul l-aħħar 1000 sena, u temperaturi ogħla matul il-perjodu sħun medjevali minn nofs is-seklu 20. L-iskematiku ma kienx biċċa ta 'dejta attwali, u kien ibbażat fuq dijagramma ta' temperaturi fl-Ingilterra Ċentrali, b'temperaturi miżjuda fuq il-bażi ta 'evidenza dokumentarja ta' vinji medjevali fl-Ingilterra. Anke b'din iż-żieda, il-massimu li wera għall-perjodu sħun medjevali ma laħaqx temperaturi rreġistrati fl-Ingilterra Ċentrali fl-2007. Is-sejba MBH99 kienet appoġġjata minn rikostruzzjonijiet iċċitati minn Jones et al. 1998, Pollack, Huang &amp; Shen 1998, Crowley &amp; Lowery 2000 u Briffa 2000, bl-użu ta 'dejta u metodi differenti. Il-Jones et al. u r-rikostruzzjonijiet ta 'Briffa ġew sovrapposti mar-rikostruzzjoni MBH99 fil-Figura 2.21 tar-rapport IPCC.</v>
      </c>
    </row>
    <row r="3998" ht="15.75" customHeight="1">
      <c r="A3998" s="2" t="s">
        <v>3998</v>
      </c>
      <c r="B3998" s="2" t="str">
        <f>IFERROR(__xludf.DUMMYFUNCTION("GOOGLETRANSLATE(A3998, ""en"", ""mt"")"),"Iż-żewġ partiti politiċi jaqsmu l-poter bl-istess mod")</f>
        <v>Iż-żewġ partiti politiċi jaqsmu l-poter bl-istess mod</v>
      </c>
    </row>
    <row r="3999" ht="15.75" customHeight="1">
      <c r="A3999" s="2" t="s">
        <v>3999</v>
      </c>
      <c r="B3999" s="2" t="str">
        <f>IFERROR(__xludf.DUMMYFUNCTION("GOOGLETRANSLATE(A3999, ""en"", ""mt"")"),"Unità ta 'Difensuri Torok")</f>
        <v>Unità ta 'Difensuri Torok</v>
      </c>
    </row>
    <row r="4000" ht="15.75" customHeight="1">
      <c r="A4000" s="2" t="s">
        <v>4000</v>
      </c>
      <c r="B4000" s="2" t="str">
        <f>IFERROR(__xludf.DUMMYFUNCTION("GOOGLETRANSLATE(A4000, ""en"", ""mt"")"),"Nar kbir tal-1901")</f>
        <v>Nar kbir tal-1901</v>
      </c>
    </row>
    <row r="4001" ht="15.75" customHeight="1">
      <c r="A4001" s="2" t="s">
        <v>4001</v>
      </c>
      <c r="B4001" s="2" t="str">
        <f>IFERROR(__xludf.DUMMYFUNCTION("GOOGLETRANSLATE(A4001, ""en"", ""mt"")"),"X'inhi waħda mir-raġunijiet li n-nazzjonijiet sottożviluppati rċevew għajnuna mid-dħul taż-żejt?")</f>
        <v>X'inhi waħda mir-raġunijiet li n-nazzjonijiet sottożviluppati rċevew għajnuna mid-dħul taż-żejt?</v>
      </c>
    </row>
    <row r="4002" ht="15.75" customHeight="1">
      <c r="A4002" s="2" t="s">
        <v>4002</v>
      </c>
      <c r="B4002" s="2" t="str">
        <f>IFERROR(__xludf.DUMMYFUNCTION("GOOGLETRANSLATE(A4002, ""en"", ""mt"")"),"Liġi Primarja, Liġi Sekondarja u Liġi Supplimentari")</f>
        <v>Liġi Primarja, Liġi Sekondarja u Liġi Supplimentari</v>
      </c>
    </row>
    <row r="4003" ht="15.75" customHeight="1">
      <c r="A4003" s="2" t="s">
        <v>4003</v>
      </c>
      <c r="B4003" s="2" t="str">
        <f>IFERROR(__xludf.DUMMYFUNCTION("GOOGLETRANSLATE(A4003, ""en"", ""mt"")"),"Fejn jinsabu r-ringieli tal-pettnijiet?")</f>
        <v>Fejn jinsabu r-ringieli tal-pettnijiet?</v>
      </c>
    </row>
    <row r="4004" ht="15.75" customHeight="1">
      <c r="A4004" s="2" t="s">
        <v>4004</v>
      </c>
      <c r="B4004" s="2" t="str">
        <f>IFERROR(__xludf.DUMMYFUNCTION("GOOGLETRANSLATE(A4004, ""en"", ""mt"")"),"Meta ġiet akkwistata l-kollezzjoni Soulages?")</f>
        <v>Meta ġiet akkwistata l-kollezzjoni Soulages?</v>
      </c>
    </row>
    <row r="4005" ht="15.75" customHeight="1">
      <c r="A4005" s="2" t="s">
        <v>4005</v>
      </c>
      <c r="B4005" s="2" t="str">
        <f>IFERROR(__xludf.DUMMYFUNCTION("GOOGLETRANSLATE(A4005, ""en"", ""mt"")"),"Università tal-Popli")</f>
        <v>Università tal-Popli</v>
      </c>
    </row>
    <row r="4006" ht="15.75" customHeight="1">
      <c r="A4006" s="2" t="s">
        <v>4006</v>
      </c>
      <c r="B4006" s="2" t="str">
        <f>IFERROR(__xludf.DUMMYFUNCTION("GOOGLETRANSLATE(A4006, ""en"", ""mt"")"),"Victoria hija ċ-ċentru tal-biedja tal-ħalib fl-Awstralja. Huwa dar għal 60% tat-3 miljun baqar tal-ħalib tal-Awstralja u jipproduċi kważi żewġ terzi tal-ħalib tan-nazzjon, kważi 6.4 biljun litru. L-istat għandu wkoll 2.4 miljun baqar taċ-ċanga, b'aktar mi"&amp;"nn 2.2 miljun baqar u għoġġiela maqtula kull sena. Fl-2003–04, l-ekwipaġġi tas-sajd kummerċjali Vittorjan u l-industrija tal-akkwakultura pproduċew 11,634 tunnellata ta 'frott tal-baħar b'valur ta' kważi $ 109 miljun. Blacklipped Abalone huwa l-pedament t"&amp;"al-qabda, li jġib $ 46 miljun, segwit minn awwista tal-blat tan-Nofsinhar li tiswa $ 13.7 miljun. Il-biċċa l-kbira tal-awwista abalone u rock hija esportata lejn l-Asja.")</f>
        <v>Victoria hija ċ-ċentru tal-biedja tal-ħalib fl-Awstralja. Huwa dar għal 60% tat-3 miljun baqar tal-ħalib tal-Awstralja u jipproduċi kważi żewġ terzi tal-ħalib tan-nazzjon, kważi 6.4 biljun litru. L-istat għandu wkoll 2.4 miljun baqar taċ-ċanga, b'aktar minn 2.2 miljun baqar u għoġġiela maqtula kull sena. Fl-2003–04, l-ekwipaġġi tas-sajd kummerċjali Vittorjan u l-industrija tal-akkwakultura pproduċew 11,634 tunnellata ta 'frott tal-baħar b'valur ta' kważi $ 109 miljun. Blacklipped Abalone huwa l-pedament tal-qabda, li jġib $ 46 miljun, segwit minn awwista tal-blat tan-Nofsinhar li tiswa $ 13.7 miljun. Il-biċċa l-kbira tal-awwista abalone u rock hija esportata lejn l-Asja.</v>
      </c>
    </row>
    <row r="4007" ht="15.75" customHeight="1">
      <c r="A4007" s="2" t="s">
        <v>4007</v>
      </c>
      <c r="B4007" s="2" t="str">
        <f>IFERROR(__xludf.DUMMYFUNCTION("GOOGLETRANSLATE(A4007, ""en"", ""mt"")"),"Fuq liema lag attakkaw it-truppi Fort Willima Henry fix-xitwa?")</f>
        <v>Fuq liema lag attakkaw it-truppi Fort Willima Henry fix-xitwa?</v>
      </c>
    </row>
    <row r="4008" ht="15.75" customHeight="1">
      <c r="A4008" s="2" t="s">
        <v>4008</v>
      </c>
      <c r="B4008" s="2" t="str">
        <f>IFERROR(__xludf.DUMMYFUNCTION("GOOGLETRANSLATE(A4008, ""en"", ""mt"")"),"Luther kif wessa 'r-Riforma f'termini ta' profezija?")</f>
        <v>Luther kif wessa 'r-Riforma f'termini ta' profezija?</v>
      </c>
    </row>
    <row r="4009" ht="15.75" customHeight="1">
      <c r="A4009" s="2" t="s">
        <v>4009</v>
      </c>
      <c r="B4009" s="2" t="str">
        <f>IFERROR(__xludf.DUMMYFUNCTION("GOOGLETRANSLATE(A4009, ""en"", ""mt"")"),"Żvilupp ta 'programmazzjoni orjentata għaż-żgħażagħ")</f>
        <v>Żvilupp ta 'programmazzjoni orjentata għaż-żgħażagħ</v>
      </c>
    </row>
    <row r="4010" ht="15.75" customHeight="1">
      <c r="A4010" s="2" t="s">
        <v>4010</v>
      </c>
      <c r="B4010" s="2" t="str">
        <f>IFERROR(__xludf.DUMMYFUNCTION("GOOGLETRANSLATE(A4010, ""en"", ""mt"")"),"X'inhu s-seklu 16 magħruf bħala l-bidu ta '?")</f>
        <v>X'inhu s-seklu 16 magħruf bħala l-bidu ta '?</v>
      </c>
    </row>
    <row r="4011" ht="15.75" customHeight="1">
      <c r="A4011" s="2" t="s">
        <v>4011</v>
      </c>
      <c r="B4011" s="2" t="str">
        <f>IFERROR(__xludf.DUMMYFUNCTION("GOOGLETRANSLATE(A4011, ""en"", ""mt"")"),"tnaqqas it-tkabbir")</f>
        <v>tnaqqas it-tkabbir</v>
      </c>
    </row>
    <row r="4012" ht="15.75" customHeight="1">
      <c r="A4012" s="2" t="s">
        <v>4012</v>
      </c>
      <c r="B4012" s="2" t="str">
        <f>IFERROR(__xludf.DUMMYFUNCTION("GOOGLETRANSLATE(A4012, ""en"", ""mt"")"),"Hemm ukoll numru dejjem jikber ta 'forom ġodda ta' akkwist li jinvolvu kuntratti ta 'relazzjoni fejn l-enfasi hija fuq relazzjoni kooperattiva bejn il-prinċipal u l-kuntrattur u partijiet interessati oħra fi proġett ta' kostruzzjoni. Formoli ġodda jinklud"&amp;"u sħubija bħalma huma s-sħubija pubblika-privata (PPPs) magħruf ukoll bħala inizjattivi ta 'finanzi privati ​​(PFIs) u alleanzi bħal alleanzi ""puri"" jew ""proġett"" u alleanzi ""impuri"" jew ""strateġiċi"". L-enfasi fuq il-kooperazzjoni hija li ttejjeb "&amp;"il-ħafna problemi li jinħolqu mill-prattiki ta 'spiss kompetittivi u kontradittorji fl-industrija tal-kostruzzjoni.")</f>
        <v>Hemm ukoll numru dejjem jikber ta 'forom ġodda ta' akkwist li jinvolvu kuntratti ta 'relazzjoni fejn l-enfasi hija fuq relazzjoni kooperattiva bejn il-prinċipal u l-kuntrattur u partijiet interessati oħra fi proġett ta' kostruzzjoni. Formoli ġodda jinkludu sħubija bħalma huma s-sħubija pubblika-privata (PPPs) magħruf ukoll bħala inizjattivi ta 'finanzi privati ​​(PFIs) u alleanzi bħal alleanzi "puri" jew "proġett" u alleanzi "impuri" jew "strateġiċi". L-enfasi fuq il-kooperazzjoni hija li ttejjeb il-ħafna problemi li jinħolqu mill-prattiki ta 'spiss kompetittivi u kontradittorji fl-industrija tal-kostruzzjoni.</v>
      </c>
    </row>
    <row r="4013" ht="15.75" customHeight="1">
      <c r="A4013" s="2" t="s">
        <v>4013</v>
      </c>
      <c r="B4013" s="2" t="str">
        <f>IFERROR(__xludf.DUMMYFUNCTION("GOOGLETRANSLATE(A4013, ""en"", ""mt"")"),"$ 2.50 għal kull ac horsepower royalty")</f>
        <v>$ 2.50 għal kull ac horsepower royalty</v>
      </c>
    </row>
    <row r="4014" ht="15.75" customHeight="1">
      <c r="A4014" s="2" t="s">
        <v>4014</v>
      </c>
      <c r="B4014" s="2" t="str">
        <f>IFERROR(__xludf.DUMMYFUNCTION("GOOGLETRANSLATE(A4014, ""en"", ""mt"")"),"ġid")</f>
        <v>ġid</v>
      </c>
    </row>
    <row r="4015" ht="15.75" customHeight="1">
      <c r="A4015" s="2" t="s">
        <v>4015</v>
      </c>
      <c r="B4015" s="2" t="str">
        <f>IFERROR(__xludf.DUMMYFUNCTION("GOOGLETRANSLATE(A4015, ""en"", ""mt"")"),"X'għandhom Ctenophores li m'għandhom l-ebda annimali oħra?")</f>
        <v>X'għandhom Ctenophores li m'għandhom l-ebda annimali oħra?</v>
      </c>
    </row>
    <row r="4016" ht="15.75" customHeight="1">
      <c r="A4016" s="2" t="s">
        <v>4016</v>
      </c>
      <c r="B4016" s="2" t="str">
        <f>IFERROR(__xludf.DUMMYFUNCTION("GOOGLETRANSLATE(A4016, ""en"", ""mt"")"),"Jekk wieħed jassumi li T tirrappreżenta polinomju f'T (n), x'inhu t-terminu mogħti għall-algoritmu korrispondenti?")</f>
        <v>Jekk wieħed jassumi li T tirrappreżenta polinomju f'T (n), x'inhu t-terminu mogħti għall-algoritmu korrispondenti?</v>
      </c>
    </row>
    <row r="4017" ht="15.75" customHeight="1">
      <c r="A4017" s="2" t="s">
        <v>4017</v>
      </c>
      <c r="B4017" s="2" t="str">
        <f>IFERROR(__xludf.DUMMYFUNCTION("GOOGLETRANSLATE(A4017, ""en"", ""mt"")"),"kwalunkwe distanza terrestri")</f>
        <v>kwalunkwe distanza terrestri</v>
      </c>
    </row>
    <row r="4018" ht="15.75" customHeight="1">
      <c r="A4018" s="2" t="s">
        <v>4018</v>
      </c>
      <c r="B4018" s="2" t="str">
        <f>IFERROR(__xludf.DUMMYFUNCTION("GOOGLETRANSLATE(A4018, ""en"", ""mt"")"),"kiseb il-libertajiet demokratiċi")</f>
        <v>kiseb il-libertajiet demokratiċi</v>
      </c>
    </row>
    <row r="4019" ht="15.75" customHeight="1">
      <c r="A4019" s="2" t="s">
        <v>4019</v>
      </c>
      <c r="B4019" s="2" t="str">
        <f>IFERROR(__xludf.DUMMYFUNCTION("GOOGLETRANSLATE(A4019, ""en"", ""mt"")"),"X'kien l-għan tal-koalizzjoni kbira?")</f>
        <v>X'kien l-għan tal-koalizzjoni kbira?</v>
      </c>
    </row>
    <row r="4020" ht="15.75" customHeight="1">
      <c r="A4020" s="2" t="s">
        <v>4020</v>
      </c>
      <c r="B4020" s="2" t="str">
        <f>IFERROR(__xludf.DUMMYFUNCTION("GOOGLETRANSLATE(A4020, ""en"", ""mt"")"),"Triq il-Knisja Franċiża tinsab f’liema belt Irlandiża?")</f>
        <v>Triq il-Knisja Franċiża tinsab f’liema belt Irlandiża?</v>
      </c>
    </row>
    <row r="4021" ht="15.75" customHeight="1">
      <c r="A4021" s="2" t="s">
        <v>4021</v>
      </c>
      <c r="B4021" s="2" t="str">
        <f>IFERROR(__xludf.DUMMYFUNCTION("GOOGLETRANSLATE(A4021, ""en"", ""mt"")"),"Neil Armstrong, Michael Collins u Buzz Aldrin")</f>
        <v>Neil Armstrong, Michael Collins u Buzz Aldrin</v>
      </c>
    </row>
    <row r="4022" ht="15.75" customHeight="1">
      <c r="A4022" s="2" t="s">
        <v>4022</v>
      </c>
      <c r="B4022" s="2" t="str">
        <f>IFERROR(__xludf.DUMMYFUNCTION("GOOGLETRANSLATE(A4022, ""en"", ""mt"")"),"It- ""tiċrit ta 'differenzi teoloġiċi u konfessjonali fl-interessi ta' l-għaqda.""")</f>
        <v>It- "tiċrit ta 'differenzi teoloġiċi u konfessjonali fl-interessi ta' l-għaqda."</v>
      </c>
    </row>
    <row r="4023" ht="15.75" customHeight="1">
      <c r="A4023" s="2" t="s">
        <v>4023</v>
      </c>
      <c r="B4023" s="2" t="str">
        <f>IFERROR(__xludf.DUMMYFUNCTION("GOOGLETRANSLATE(A4023, ""en"", ""mt"")"),"is-sistema Iżlamika vera")</f>
        <v>is-sistema Iżlamika vera</v>
      </c>
    </row>
    <row r="4024" ht="15.75" customHeight="1">
      <c r="A4024" s="2" t="s">
        <v>4024</v>
      </c>
      <c r="B4024" s="2" t="str">
        <f>IFERROR(__xludf.DUMMYFUNCTION("GOOGLETRANSLATE(A4024, ""en"", ""mt"")"),"Il-kompetenza leġiżlattiva tal-ispeċi tal-parlament liema oqsma?")</f>
        <v>Il-kompetenza leġiżlattiva tal-ispeċi tal-parlament liema oqsma?</v>
      </c>
    </row>
    <row r="4025" ht="15.75" customHeight="1">
      <c r="A4025" s="2" t="s">
        <v>4025</v>
      </c>
      <c r="B4025" s="2" t="str">
        <f>IFERROR(__xludf.DUMMYFUNCTION("GOOGLETRANSLATE(A4025, ""en"", ""mt"")"),"X'inhu t-terminu li jiddeskrivi d-differenza bejn dak li jaqilgħu l-ogħla professjonisti mħallsa u aktar baxxi?")</f>
        <v>X'inhu t-terminu li jiddeskrivi d-differenza bejn dak li jaqilgħu l-ogħla professjonisti mħallsa u aktar baxxi?</v>
      </c>
    </row>
    <row r="4026" ht="15.75" customHeight="1">
      <c r="A4026" s="2" t="s">
        <v>4026</v>
      </c>
      <c r="B4026" s="2" t="str">
        <f>IFERROR(__xludf.DUMMYFUNCTION("GOOGLETRANSLATE(A4026, ""en"", ""mt"")"),"Fil-pjanti tal-art, il-kloroplasti huma ġeneralment forma ta 'lenti, 5-8 μm fid-dijametru u 1-3 μm ħoxnin. Diversità ikbar fil-forom tal-kloroplast teżisti fost l-alka, li ħafna drabi jkun fiha kloroplast wieħed li jista 'jkun iffurmat bħal xibka (e.g., o"&amp;"edogonium), tazza (e.g., Chlamydomonas), spirali bħal żigarella madwar it-truf taċ-ċellula (e.g. , Spirogyra), jew faxex kemmxejn mibrumin fit-truf taċ-ċelloli (per eżempju, sirogonium). Xi alka għandhom żewġ kloroplasti f'kull ċellula; Huma forma ta 'sti"&amp;"lla f'Zygnema, jew jistgħu jsegwu l-forma ta' nofs iċ-ċellula fl-ordni Desmidiales. F’xi alka, il-kloroplast jieħu l-biċċa l-kbira taċ-ċellula, bil-bwiet għan-nukleu u organelli oħra (pereżempju xi speċi ta ’klorella għandhom kloroplast b’forma ta’ tazza "&amp;"li tokkupa ħafna miċ-ċellula).")</f>
        <v>Fil-pjanti tal-art, il-kloroplasti huma ġeneralment forma ta 'lenti, 5-8 μm fid-dijametru u 1-3 μm ħoxnin. Diversità ikbar fil-forom tal-kloroplast teżisti fost l-alka, li ħafna drabi jkun fiha kloroplast wieħed li jista 'jkun iffurmat bħal xibka (e.g., oedogonium), tazza (e.g., Chlamydomonas), spirali bħal żigarella madwar it-truf taċ-ċellula (e.g. , Spirogyra), jew faxex kemmxejn mibrumin fit-truf taċ-ċelloli (per eżempju, sirogonium). Xi alka għandhom żewġ kloroplasti f'kull ċellula; Huma forma ta 'stilla f'Zygnema, jew jistgħu jsegwu l-forma ta' nofs iċ-ċellula fl-ordni Desmidiales. F’xi alka, il-kloroplast jieħu l-biċċa l-kbira taċ-ċellula, bil-bwiet għan-nukleu u organelli oħra (pereżempju xi speċi ta ’klorella għandhom kloroplast b’forma ta’ tazza li tokkupa ħafna miċ-ċellula).</v>
      </c>
    </row>
    <row r="4027" ht="15.75" customHeight="1">
      <c r="A4027" s="2" t="s">
        <v>4027</v>
      </c>
      <c r="B4027" s="2" t="str">
        <f>IFERROR(__xludf.DUMMYFUNCTION("GOOGLETRANSLATE(A4027, ""en"", ""mt"")"),"Liema tweġiba politika kienet tlaqqa 'f'Ġunju / Lulju 1754?")</f>
        <v>Liema tweġiba politika kienet tlaqqa 'f'Ġunju / Lulju 1754?</v>
      </c>
    </row>
    <row r="4028" ht="15.75" customHeight="1">
      <c r="A4028" s="2" t="s">
        <v>4028</v>
      </c>
      <c r="B4028" s="2" t="str">
        <f>IFERROR(__xludf.DUMMYFUNCTION("GOOGLETRANSLATE(A4028, ""en"", ""mt"")"),"Liema srevice addizzjonali offra BSKYB minbarra vidjow fuq talba li huma ddikjaraw offruti ""sostanzjalment aktar valur""?")</f>
        <v>Liema srevice addizzjonali offra BSKYB minbarra vidjow fuq talba li huma ddikjaraw offruti "sostanzjalment aktar valur"?</v>
      </c>
    </row>
    <row r="4029" ht="15.75" customHeight="1">
      <c r="A4029" s="2" t="s">
        <v>4029</v>
      </c>
      <c r="B4029" s="2" t="str">
        <f>IFERROR(__xludf.DUMMYFUNCTION("GOOGLETRANSLATE(A4029, ""en"", ""mt"")"),"L-Imperu Mongoljan")</f>
        <v>L-Imperu Mongoljan</v>
      </c>
    </row>
    <row r="4030" ht="15.75" customHeight="1">
      <c r="A4030" s="2" t="s">
        <v>4030</v>
      </c>
      <c r="B4030" s="2" t="str">
        <f>IFERROR(__xludf.DUMMYFUNCTION("GOOGLETRANSLATE(A4030, ""en"", ""mt"")"),"L-Ewwel Gwerra Dinjija")</f>
        <v>L-Ewwel Gwerra Dinjija</v>
      </c>
    </row>
    <row r="4031" ht="15.75" customHeight="1">
      <c r="A4031" s="2" t="s">
        <v>4031</v>
      </c>
      <c r="B4031" s="2" t="str">
        <f>IFERROR(__xludf.DUMMYFUNCTION("GOOGLETRANSLATE(A4031, ""en"", ""mt"")"),"Min ippresieda l-assemblea?")</f>
        <v>Min ippresieda l-assemblea?</v>
      </c>
    </row>
    <row r="4032" ht="15.75" customHeight="1">
      <c r="A4032" s="2" t="s">
        <v>4032</v>
      </c>
      <c r="B4032" s="2" t="str">
        <f>IFERROR(__xludf.DUMMYFUNCTION("GOOGLETRANSLATE(A4032, ""en"", ""mt"")"),"tliet astronawti")</f>
        <v>tliet astronawti</v>
      </c>
    </row>
    <row r="4033" ht="15.75" customHeight="1">
      <c r="A4033" s="2" t="s">
        <v>4033</v>
      </c>
      <c r="B4033" s="2" t="str">
        <f>IFERROR(__xludf.DUMMYFUNCTION("GOOGLETRANSLATE(A4033, ""en"", ""mt"")"),"Kemm nies mietu fit-tifqigħa tal-1471?")</f>
        <v>Kemm nies mietu fit-tifqigħa tal-1471?</v>
      </c>
    </row>
    <row r="4034" ht="15.75" customHeight="1">
      <c r="A4034" s="2" t="s">
        <v>4034</v>
      </c>
      <c r="B4034" s="2" t="str">
        <f>IFERROR(__xludf.DUMMYFUNCTION("GOOGLETRANSLATE(A4034, ""en"", ""mt"")"),"Fejn hu ż-Z-Ring?")</f>
        <v>Fejn hu ż-Z-Ring?</v>
      </c>
    </row>
    <row r="4035" ht="15.75" customHeight="1">
      <c r="A4035" s="2" t="s">
        <v>4035</v>
      </c>
      <c r="B4035" s="2" t="str">
        <f>IFERROR(__xludf.DUMMYFUNCTION("GOOGLETRANSLATE(A4035, ""en"", ""mt"")"),"Semmi waħda mill-kawżi ta 'l-immunodefiċjenza.")</f>
        <v>Semmi waħda mill-kawżi ta 'l-immunodefiċjenza.</v>
      </c>
    </row>
    <row r="4036" ht="15.75" customHeight="1">
      <c r="A4036" s="2" t="s">
        <v>4036</v>
      </c>
      <c r="B4036" s="2" t="str">
        <f>IFERROR(__xludf.DUMMYFUNCTION("GOOGLETRANSLATE(A4036, ""en"", ""mt"")"),"Artikolu 30 TFEU")</f>
        <v>Artikolu 30 TFEU</v>
      </c>
    </row>
    <row r="4037" ht="15.75" customHeight="1">
      <c r="A4037" s="2" t="s">
        <v>4037</v>
      </c>
      <c r="B4037" s="2" t="str">
        <f>IFERROR(__xludf.DUMMYFUNCTION("GOOGLETRANSLATE(A4037, ""en"", ""mt"")"),"Agħmel diskors sfidanti, jew diskors li jispjega l-azzjonijiet tagħhom,")</f>
        <v>Agħmel diskors sfidanti, jew diskors li jispjega l-azzjonijiet tagħhom,</v>
      </c>
    </row>
    <row r="4038" ht="15.75" customHeight="1">
      <c r="A4038" s="2" t="s">
        <v>4038</v>
      </c>
      <c r="B4038" s="2" t="str">
        <f>IFERROR(__xludf.DUMMYFUNCTION("GOOGLETRANSLATE(A4038, ""en"", ""mt"")"),"F'liema xahar u sena ġie rilaxxat il-Manwal tar-Regolamenti rivedut għall-Iskejjel Privati?")</f>
        <v>F'liema xahar u sena ġie rilaxxat il-Manwal tar-Regolamenti rivedut għall-Iskejjel Privati?</v>
      </c>
    </row>
    <row r="4039" ht="15.75" customHeight="1">
      <c r="A4039" s="2" t="s">
        <v>4039</v>
      </c>
      <c r="B4039" s="2" t="str">
        <f>IFERROR(__xludf.DUMMYFUNCTION("GOOGLETRANSLATE(A4039, ""en"", ""mt"")"),"L-ewwel")</f>
        <v>L-ewwel</v>
      </c>
    </row>
    <row r="4040" ht="15.75" customHeight="1">
      <c r="A4040" s="2" t="s">
        <v>4040</v>
      </c>
      <c r="B4040" s="2" t="str">
        <f>IFERROR(__xludf.DUMMYFUNCTION("GOOGLETRANSLATE(A4040, ""en"", ""mt"")"),"Fl-analiżi Marxjana, id-ditti kapitalisti dejjem aktar jissostitwixxu tagħmir kapitali għall-inputs tax-xogħol (ħaddiema) taħt pressjoni kompetittiva biex inaqqsu l-ispejjeż u jimmassimizzaw il-profitti. Fuq medda twila ta 'żmien, din ix-xejra żżid il-kom"&amp;"pożizzjoni organika tal-kapital, u dan ifisser li inqas ħaddiema huma meħtieġa fi proporzjon għall-inputs tal-kapital, u jżidu l-qgħad (l- ""armata ta' riżerva ta 'xogħol""). Dan il-proċess jeżerċita pressjoni 'l isfel fuq il-pagi. Is-sostituzzjoni ta 'ta"&amp;"għmir kapitali għal xogħol (mekkanizzazzjoni u awtomazzjoni) tqajjem il-produttività ta' kull ħaddiem, li tirriżulta f'sitwazzjoni ta 'pagi relattivament staġnati għall-klassi tal-ħaddiema f'nofs livelli dejjem jiżdiedu ta' dħul mill-proprjetà għall-klass"&amp;"i kapitalista.")</f>
        <v>Fl-analiżi Marxjana, id-ditti kapitalisti dejjem aktar jissostitwixxu tagħmir kapitali għall-inputs tax-xogħol (ħaddiema) taħt pressjoni kompetittiva biex inaqqsu l-ispejjeż u jimmassimizzaw il-profitti. Fuq medda twila ta 'żmien, din ix-xejra żżid il-kompożizzjoni organika tal-kapital, u dan ifisser li inqas ħaddiema huma meħtieġa fi proporzjon għall-inputs tal-kapital, u jżidu l-qgħad (l- "armata ta' riżerva ta 'xogħol"). Dan il-proċess jeżerċita pressjoni 'l isfel fuq il-pagi. Is-sostituzzjoni ta 'tagħmir kapitali għal xogħol (mekkanizzazzjoni u awtomazzjoni) tqajjem il-produttività ta' kull ħaddiem, li tirriżulta f'sitwazzjoni ta 'pagi relattivament staġnati għall-klassi tal-ħaddiema f'nofs livelli dejjem jiżdiedu ta' dħul mill-proprjetà għall-klassi kapitalista.</v>
      </c>
    </row>
    <row r="4041" ht="15.75" customHeight="1">
      <c r="A4041" s="2" t="s">
        <v>4041</v>
      </c>
      <c r="B4041" s="2" t="str">
        <f>IFERROR(__xludf.DUMMYFUNCTION("GOOGLETRANSLATE(A4041, ""en"", ""mt"")"),"Problemi kapaċi għal soluzzjonijiet teoretiċi iżda li jikkunsmaw ħin mhux raġonevoli fl-applikazzjoni prattika huma magħrufa bħala?")</f>
        <v>Problemi kapaċi għal soluzzjonijiet teoretiċi iżda li jikkunsmaw ħin mhux raġonevoli fl-applikazzjoni prattika huma magħrufa bħala?</v>
      </c>
    </row>
    <row r="4042" ht="15.75" customHeight="1">
      <c r="A4042" s="2" t="s">
        <v>4042</v>
      </c>
      <c r="B4042" s="2" t="str">
        <f>IFERROR(__xludf.DUMMYFUNCTION("GOOGLETRANSLATE(A4042, ""en"", ""mt"")"),"Skeda 5")</f>
        <v>Skeda 5</v>
      </c>
    </row>
    <row r="4043" ht="15.75" customHeight="1">
      <c r="A4043" s="2" t="s">
        <v>4043</v>
      </c>
      <c r="B4043" s="2" t="str">
        <f>IFERROR(__xludf.DUMMYFUNCTION("GOOGLETRANSLATE(A4043, ""en"", ""mt"")"),"Is-Saturn V fi tliet stadji kien iddisinjat biex jibgħat CSM u LM kompletament alimentati lill-qamar. Kien ta '33 pied (10.1 m) fid-dijametru u kien 363 pied (110.6 m) tall bl-ammont ta 'tagħbija lunari ta' 96,800 lira (43,900 kg). Il-kapaċità tagħha kibr"&amp;"et għal 103,600 lira (47,000 kg) għall-iżbark Lunar avvanzat aktar tard. L-ewwel stadju S-IC maħruq RP-1 / LOX għal imbottatura nominali ta '7,500,000 lira-forza (33,400 kN), li ġiet aġġornata għal 7,610,000 libbra-forza (33,900 kN). It-tieni u t-tielet s"&amp;"tadji maħruqin idroġenu likwidu, u t-tielet stadju kien verżjoni modifikata tal-S-IVB, bl-imbuttatura żdiedet għal 230,000 LBF (1,020 kN) u l-kapaċità li terġa 'tibda l-magna għall-injezzjoni tat-tradott wara li laħqet orbita ta' parkeġġ.")</f>
        <v>Is-Saturn V fi tliet stadji kien iddisinjat biex jibgħat CSM u LM kompletament alimentati lill-qamar. Kien ta '33 pied (10.1 m) fid-dijametru u kien 363 pied (110.6 m) tall bl-ammont ta 'tagħbija lunari ta' 96,800 lira (43,900 kg). Il-kapaċità tagħha kibret għal 103,600 lira (47,000 kg) għall-iżbark Lunar avvanzat aktar tard. L-ewwel stadju S-IC maħruq RP-1 / LOX għal imbottatura nominali ta '7,500,000 lira-forza (33,400 kN), li ġiet aġġornata għal 7,610,000 libbra-forza (33,900 kN). It-tieni u t-tielet stadji maħruqin idroġenu likwidu, u t-tielet stadju kien verżjoni modifikata tal-S-IVB, bl-imbuttatura żdiedet għal 230,000 LBF (1,020 kN) u l-kapaċità li terġa 'tibda l-magna għall-injezzjoni tat-tradott wara li laħqet orbita ta' parkeġġ.</v>
      </c>
    </row>
    <row r="4044" ht="15.75" customHeight="1">
      <c r="A4044" s="2" t="s">
        <v>4044</v>
      </c>
      <c r="B4044" s="2" t="str">
        <f>IFERROR(__xludf.DUMMYFUNCTION("GOOGLETRANSLATE(A4044, ""en"", ""mt"")"),"Hmong jew Laotian")</f>
        <v>Hmong jew Laotian</v>
      </c>
    </row>
    <row r="4045" ht="15.75" customHeight="1">
      <c r="A4045" s="2" t="s">
        <v>4045</v>
      </c>
      <c r="B4045" s="2" t="str">
        <f>IFERROR(__xludf.DUMMYFUNCTION("GOOGLETRANSLATE(A4045, ""en"", ""mt"")"),"X'inhuma r-riżultati mistennija bil-ġestjoni tat-terapija tal-medikazzjoni?")</f>
        <v>X'inhuma r-riżultati mistennija bil-ġestjoni tat-terapija tal-medikazzjoni?</v>
      </c>
    </row>
    <row r="4046" ht="15.75" customHeight="1">
      <c r="A4046" s="2" t="s">
        <v>4046</v>
      </c>
      <c r="B4046" s="2" t="str">
        <f>IFERROR(__xludf.DUMMYFUNCTION("GOOGLETRANSLATE(A4046, ""en"", ""mt"")"),"Kif huma rranġati l-galleriji li jwarrbu l-ġnien?")</f>
        <v>Kif huma rranġati l-galleriji li jwarrbu l-ġnien?</v>
      </c>
    </row>
    <row r="4047" ht="15.75" customHeight="1">
      <c r="A4047" s="2" t="s">
        <v>4047</v>
      </c>
      <c r="B4047" s="2" t="str">
        <f>IFERROR(__xludf.DUMMYFUNCTION("GOOGLETRANSLATE(A4047, ""en"", ""mt"")"),"Wieħed mit-teżori l-kbar fil-librerija huwa l-Codex Forster, uħud mill-kotba tan-nota ta 'Leonardo da Vinci. Il-Codex jikkonsisti fi tliet manuskritti marbuta mal-parċmina, Forster I, Forster II, u Forster III, daqs pjuttost żgħir, datat bejn l-1490 u l-1"&amp;"505. Il-kontenut tagħhom jinkludi kollezzjoni kbira ta 'skeċċijiet u referenzi għall-iskultura ekwestri kkummissjonata mid-Duka ta' Milan Ludovico Sforza biex ifakkar lil missieru Francesco Sforza. Dawn kienu megħluba b'aktar minn 18,000 kotba għall-mużew"&amp;" fl-1876 minn John Forster. Ir-Reverendju Alexander Dyce kien benefattur ieħor tal-librerija, u ħalla aktar minn 14,000 kotba lill-mużew fl-1869. Fost il-kotba li ġabar hemm edizzjonijiet bikrija bil-Grieg u l-Latin tal-poeti u d-drammaturi Eschylus, Aris"&amp;"totle, Homer, Livy, Ovidju, Pindar, Sophocles u Virgil. Awturi aktar riċenti jinkludu Giovanni Boccaccio, Dante, Racine, Rabelais u Molière.")</f>
        <v>Wieħed mit-teżori l-kbar fil-librerija huwa l-Codex Forster, uħud mill-kotba tan-nota ta 'Leonardo da Vinci. Il-Codex jikkonsisti fi tliet manuskritti marbuta mal-parċmina, Forster I, Forster II, u Forster III, daqs pjuttost żgħir, datat bejn l-1490 u l-1505. Il-kontenut tagħhom jinkludi kollezzjoni kbira ta 'skeċċijiet u referenzi għall-iskultura ekwestri kkummissjonata mid-Duka ta' Milan Ludovico Sforza biex ifakkar lil missieru Francesco Sforza. Dawn kienu megħluba b'aktar minn 18,000 kotba għall-mużew fl-1876 minn John Forster. Ir-Reverendju Alexander Dyce kien benefattur ieħor tal-librerija, u ħalla aktar minn 14,000 kotba lill-mużew fl-1869. Fost il-kotba li ġabar hemm edizzjonijiet bikrija bil-Grieg u l-Latin tal-poeti u d-drammaturi Eschylus, Aristotle, Homer, Livy, Ovidju, Pindar, Sophocles u Virgil. Awturi aktar riċenti jinkludu Giovanni Boccaccio, Dante, Racine, Rabelais u Molière.</v>
      </c>
    </row>
    <row r="4048" ht="15.75" customHeight="1">
      <c r="A4048" s="2" t="s">
        <v>4048</v>
      </c>
      <c r="B4048" s="2" t="str">
        <f>IFERROR(__xludf.DUMMYFUNCTION("GOOGLETRANSLATE(A4048, ""en"", ""mt"")"),"minn dawk li jħossu li t-tobba biss jistgħu jivvalutaw b'mod affidabbli l-kontraindikazzjonijiet, il-proporzjonijiet tar-riskju / benefiċċju, u l-adegwatezza ġenerali ta 'individwu għall-użu ta' medikazzjoni")</f>
        <v>minn dawk li jħossu li t-tobba biss jistgħu jivvalutaw b'mod affidabbli l-kontraindikazzjonijiet, il-proporzjonijiet tar-riskju / benefiċċju, u l-adegwatezza ġenerali ta 'individwu għall-użu ta' medikazzjoni</v>
      </c>
    </row>
    <row r="4049" ht="15.75" customHeight="1">
      <c r="A4049" s="2" t="s">
        <v>4049</v>
      </c>
      <c r="B4049" s="2" t="str">
        <f>IFERROR(__xludf.DUMMYFUNCTION("GOOGLETRANSLATE(A4049, ""en"", ""mt"")"),"Liema partikula subatomika kienet tiċħad Tesla?")</f>
        <v>Liema partikula subatomika kienet tiċħad Tesla?</v>
      </c>
    </row>
    <row r="4050" ht="15.75" customHeight="1">
      <c r="A4050" s="2" t="s">
        <v>4050</v>
      </c>
      <c r="B4050" s="2" t="str">
        <f>IFERROR(__xludf.DUMMYFUNCTION("GOOGLETRANSLATE(A4050, ""en"", ""mt"")"),"X'inhu mhux tas-soltu dwar il-kloroplasti tal-pjanti C4?")</f>
        <v>X'inhu mhux tas-soltu dwar il-kloroplasti tal-pjanti C4?</v>
      </c>
    </row>
    <row r="4051" ht="15.75" customHeight="1">
      <c r="A4051" s="2" t="s">
        <v>4051</v>
      </c>
      <c r="B4051" s="2" t="str">
        <f>IFERROR(__xludf.DUMMYFUNCTION("GOOGLETRANSLATE(A4051, ""en"", ""mt"")"),"tiffaċilita t-tagħlim tal-istudenti")</f>
        <v>tiffaċilita t-tagħlim tal-istudenti</v>
      </c>
    </row>
    <row r="4052" ht="15.75" customHeight="1">
      <c r="A4052" s="2" t="s">
        <v>4052</v>
      </c>
      <c r="B4052" s="2" t="str">
        <f>IFERROR(__xludf.DUMMYFUNCTION("GOOGLETRANSLATE(A4052, ""en"", ""mt"")"),"eidetic")</f>
        <v>eidetic</v>
      </c>
    </row>
    <row r="4053" ht="15.75" customHeight="1">
      <c r="A4053" s="2" t="s">
        <v>4053</v>
      </c>
      <c r="B4053" s="2" t="str">
        <f>IFERROR(__xludf.DUMMYFUNCTION("GOOGLETRANSLATE(A4053, ""en"", ""mt"")"),"Min jistgħu l-membri jidderieġu mistoqsijiet lejn il-ħin ġenerali tal-mistoqsija?")</f>
        <v>Min jistgħu l-membri jidderieġu mistoqsijiet lejn il-ħin ġenerali tal-mistoqsija?</v>
      </c>
    </row>
    <row r="4054" ht="15.75" customHeight="1">
      <c r="A4054" s="2" t="s">
        <v>4054</v>
      </c>
      <c r="B4054" s="2" t="str">
        <f>IFERROR(__xludf.DUMMYFUNCTION("GOOGLETRANSLATE(A4054, ""en"", ""mt"")"),"Jin Dynasty")</f>
        <v>Jin Dynasty</v>
      </c>
    </row>
    <row r="4055" ht="15.75" customHeight="1">
      <c r="A4055" s="2" t="s">
        <v>4055</v>
      </c>
      <c r="B4055" s="2" t="str">
        <f>IFERROR(__xludf.DUMMYFUNCTION("GOOGLETRANSLATE(A4055, ""en"", ""mt"")"),"permezz ta ’konferma u xi kultant il-professjoni tal-fidi.")</f>
        <v>permezz ta ’konferma u xi kultant il-professjoni tal-fidi.</v>
      </c>
    </row>
    <row r="4056" ht="15.75" customHeight="1">
      <c r="A4056" s="2" t="s">
        <v>4056</v>
      </c>
      <c r="B4056" s="2" t="str">
        <f>IFERROR(__xludf.DUMMYFUNCTION("GOOGLETRANSLATE(A4056, ""en"", ""mt"")"),"Il-magni tal-fwar tat-tip tal-pistuni reċiprokanti baqgħu s-sors dominanti ta 'enerġija sal-bidu tas-seklu 20, meta l-avvanzi fid-disinn ta' muturi elettriċi u magni ta 'kombustjoni interna rriżultaw gradwalment fis-sostituzzjoni ta' magni tal-fwar reċipr"&amp;"okanti (pistuni) f'użu kummerċjali, u l-axxendenza tal-fwar Turbini fil-ġenerazzjoni tal-enerġija. Meta wieħed iqis li l-maġġoranza kbira tal-ġenerazzjoni elettrika dinjija hija prodotta minn magni tal-fwar tat-tip turbina, l- ""età tal-fwar"" qed tkompli"&amp;" b'livelli ta 'enerġija lil hinn minn dawk tad-dawra tas-seklu 19.")</f>
        <v>Il-magni tal-fwar tat-tip tal-pistuni reċiprokanti baqgħu s-sors dominanti ta 'enerġija sal-bidu tas-seklu 20, meta l-avvanzi fid-disinn ta' muturi elettriċi u magni ta 'kombustjoni interna rriżultaw gradwalment fis-sostituzzjoni ta' magni tal-fwar reċiprokanti (pistuni) f'użu kummerċjali, u l-axxendenza tal-fwar Turbini fil-ġenerazzjoni tal-enerġija. Meta wieħed iqis li l-maġġoranza kbira tal-ġenerazzjoni elettrika dinjija hija prodotta minn magni tal-fwar tat-tip turbina, l- "età tal-fwar" qed tkompli b'livelli ta 'enerġija lil hinn minn dawk tad-dawra tas-seklu 19.</v>
      </c>
    </row>
    <row r="4057" ht="15.75" customHeight="1">
      <c r="A4057" s="2" t="s">
        <v>4057</v>
      </c>
      <c r="B4057" s="2" t="str">
        <f>IFERROR(__xludf.DUMMYFUNCTION("GOOGLETRANSLATE(A4057, ""en"", ""mt"")"),"azzjoni militari")</f>
        <v>azzjoni militari</v>
      </c>
    </row>
    <row r="4058" ht="15.75" customHeight="1">
      <c r="A4058" s="2" t="s">
        <v>4058</v>
      </c>
      <c r="B4058" s="2" t="str">
        <f>IFERROR(__xludf.DUMMYFUNCTION("GOOGLETRANSLATE(A4058, ""en"", ""mt"")"),"hija denominazzjoni Metodista Protestanti Mainline")</f>
        <v>hija denominazzjoni Metodista Protestanti Mainline</v>
      </c>
    </row>
    <row r="4059" ht="15.75" customHeight="1">
      <c r="A4059" s="2" t="s">
        <v>4059</v>
      </c>
      <c r="B4059" s="2" t="str">
        <f>IFERROR(__xludf.DUMMYFUNCTION("GOOGLETRANSLATE(A4059, ""en"", ""mt"")"),"L-UMC stabbilixxa u huwa affiljat ma 'bejn wieħed u ieħor kemm hemm kulleġġi u universitajiet fl-Istati Uniti?")</f>
        <v>L-UMC stabbilixxa u huwa affiljat ma 'bejn wieħed u ieħor kemm hemm kulleġġi u universitajiet fl-Istati Uniti?</v>
      </c>
    </row>
    <row r="4060" ht="15.75" customHeight="1">
      <c r="A4060" s="2" t="s">
        <v>4060</v>
      </c>
      <c r="B4060" s="2" t="str">
        <f>IFERROR(__xludf.DUMMYFUNCTION("GOOGLETRANSLATE(A4060, ""en"", ""mt"")"),"Gwerra tar-Re Ġorġ")</f>
        <v>Gwerra tar-Re Ġorġ</v>
      </c>
    </row>
    <row r="4061" ht="15.75" customHeight="1">
      <c r="A4061" s="2" t="s">
        <v>4061</v>
      </c>
      <c r="B4061" s="2" t="str">
        <f>IFERROR(__xludf.DUMMYFUNCTION("GOOGLETRANSLATE(A4061, ""en"", ""mt"")"),"Fil-viċin, f'Ogród Saski (il-Ġnien Sassonu), it-Teatru tas-Sajf kien qed jopera mill-1870 sal-1939, u fil-perjodu ta 'bejn il-gwerra, il-kumpless tat-teatru inkluda wkoll Momus, l-ewwel kabaret letterarju ta' Varsavja, u l-melodram tat-teatru mużikali ta "&amp;"'Leon Schiller. It-Teatru Wojciech Bogusławski (1922-26), kien l-aħjar eżempju ta '""Teatru Monumentali Pollakk"". Minn nofs is-snin 1930, il-bini tat-teatru l-kbir kien fih l-Istitut tal-Arti Drammatiċi tal-Upati - l-ewwel Akkademja tal-Arti Dramatiċi mm"&amp;"exxija mill-istat, b'dipartiment tal-aġir u dipartiment li jidderieġi l-palk.")</f>
        <v>Fil-viċin, f'Ogród Saski (il-Ġnien Sassonu), it-Teatru tas-Sajf kien qed jopera mill-1870 sal-1939, u fil-perjodu ta 'bejn il-gwerra, il-kumpless tat-teatru inkluda wkoll Momus, l-ewwel kabaret letterarju ta' Varsavja, u l-melodram tat-teatru mużikali ta 'Leon Schiller. It-Teatru Wojciech Bogusławski (1922-26), kien l-aħjar eżempju ta '"Teatru Monumentali Pollakk". Minn nofs is-snin 1930, il-bini tat-teatru l-kbir kien fih l-Istitut tal-Arti Drammatiċi tal-Upati - l-ewwel Akkademja tal-Arti Dramatiċi mmexxija mill-istat, b'dipartiment tal-aġir u dipartiment li jidderieġi l-palk.</v>
      </c>
    </row>
    <row r="4062" ht="15.75" customHeight="1">
      <c r="A4062" s="2" t="s">
        <v>4062</v>
      </c>
      <c r="B4062" s="2" t="str">
        <f>IFERROR(__xludf.DUMMYFUNCTION("GOOGLETRANSLATE(A4062, ""en"", ""mt"")"),"id-19")</f>
        <v>id-19</v>
      </c>
    </row>
    <row r="4063" ht="15.75" customHeight="1">
      <c r="A4063" s="2" t="s">
        <v>4063</v>
      </c>
      <c r="B4063" s="2" t="str">
        <f>IFERROR(__xludf.DUMMYFUNCTION("GOOGLETRANSLATE(A4063, ""en"", ""mt"")"),"muri li għandu soluzzjonijiet aktar effiċjenti")</f>
        <v>muri li għandu soluzzjonijiet aktar effiċjenti</v>
      </c>
    </row>
    <row r="4064" ht="15.75" customHeight="1">
      <c r="A4064" s="2" t="s">
        <v>4064</v>
      </c>
      <c r="B4064" s="2" t="str">
        <f>IFERROR(__xludf.DUMMYFUNCTION("GOOGLETRANSLATE(A4064, ""en"", ""mt"")"),"X'tip ta 'motiv kultant jittieħed bħala att ta' diżubbidjenza?")</f>
        <v>X'tip ta 'motiv kultant jittieħed bħala att ta' diżubbidjenza?</v>
      </c>
    </row>
    <row r="4065" ht="15.75" customHeight="1">
      <c r="A4065" s="2" t="s">
        <v>4065</v>
      </c>
      <c r="B4065" s="2" t="str">
        <f>IFERROR(__xludf.DUMMYFUNCTION("GOOGLETRANSLATE(A4065, ""en"", ""mt"")"),"ħsara")</f>
        <v>ħsara</v>
      </c>
    </row>
    <row r="4066" ht="15.75" customHeight="1">
      <c r="A4066" s="2" t="s">
        <v>4066</v>
      </c>
      <c r="B4066" s="2" t="str">
        <f>IFERROR(__xludf.DUMMYFUNCTION("GOOGLETRANSLATE(A4066, ""en"", ""mt"")"),"respirazzjoni")</f>
        <v>respirazzjoni</v>
      </c>
    </row>
    <row r="4067" ht="15.75" customHeight="1">
      <c r="A4067" s="2" t="s">
        <v>4067</v>
      </c>
      <c r="B4067" s="2" t="str">
        <f>IFERROR(__xludf.DUMMYFUNCTION("GOOGLETRANSLATE(A4067, ""en"", ""mt"")"),"[Data]")</f>
        <v>[Data]</v>
      </c>
    </row>
    <row r="4068" ht="15.75" customHeight="1">
      <c r="A4068" s="2" t="s">
        <v>4068</v>
      </c>
      <c r="B4068" s="2" t="str">
        <f>IFERROR(__xludf.DUMMYFUNCTION("GOOGLETRANSLATE(A4068, ""en"", ""mt"")"),"Pjanti planktoniċi")</f>
        <v>Pjanti planktoniċi</v>
      </c>
    </row>
    <row r="4069" ht="15.75" customHeight="1">
      <c r="A4069" s="2" t="s">
        <v>4069</v>
      </c>
      <c r="B4069" s="2" t="str">
        <f>IFERROR(__xludf.DUMMYFUNCTION("GOOGLETRANSLATE(A4069, ""en"", ""mt"")"),"Meta l-poplu Yuan sofra serje ta 'diżastri naturali?")</f>
        <v>Meta l-poplu Yuan sofra serje ta 'diżastri naturali?</v>
      </c>
    </row>
    <row r="4070" ht="15.75" customHeight="1">
      <c r="A4070" s="2" t="s">
        <v>4070</v>
      </c>
      <c r="B4070" s="2" t="str">
        <f>IFERROR(__xludf.DUMMYFUNCTION("GOOGLETRANSLATE(A4070, ""en"", ""mt"")"),"Mickey Smith (Noel Clarke) u Jack Harkness (John Barrowman)")</f>
        <v>Mickey Smith (Noel Clarke) u Jack Harkness (John Barrowman)</v>
      </c>
    </row>
    <row r="4071" ht="15.75" customHeight="1">
      <c r="A4071" s="2" t="s">
        <v>4071</v>
      </c>
      <c r="B4071" s="2" t="str">
        <f>IFERROR(__xludf.DUMMYFUNCTION("GOOGLETRANSLATE(A4071, ""en"", ""mt"")"),"tilwima dwar il-kontroll tal-konfluwenza tax-xmajjar Allegheny u Monongahela")</f>
        <v>tilwima dwar il-kontroll tal-konfluwenza tax-xmajjar Allegheny u Monongahela</v>
      </c>
    </row>
    <row r="4072" ht="15.75" customHeight="1">
      <c r="A4072" s="2" t="s">
        <v>4072</v>
      </c>
      <c r="B4072" s="2" t="str">
        <f>IFERROR(__xludf.DUMMYFUNCTION("GOOGLETRANSLATE(A4072, ""en"", ""mt"")"),"Ħaddiema fil-pajjiżi foqra")</f>
        <v>Ħaddiema fil-pajjiżi foqra</v>
      </c>
    </row>
    <row r="4073" ht="15.75" customHeight="1">
      <c r="A4073" s="2" t="s">
        <v>4073</v>
      </c>
      <c r="B4073" s="2" t="str">
        <f>IFERROR(__xludf.DUMMYFUNCTION("GOOGLETRANSLATE(A4073, ""en"", ""mt"")"),"Liema l-ewwel ġiegħel il-kunċett ta 'riġenerazzjoni?")</f>
        <v>Liema l-ewwel ġiegħel il-kunċett ta 'riġenerazzjoni?</v>
      </c>
    </row>
    <row r="4074" ht="15.75" customHeight="1">
      <c r="A4074" s="2" t="s">
        <v>4074</v>
      </c>
      <c r="B4074" s="2" t="str">
        <f>IFERROR(__xludf.DUMMYFUNCTION("GOOGLETRANSLATE(A4074, ""en"", ""mt"")"),"madwar 45 miljun")</f>
        <v>madwar 45 miljun</v>
      </c>
    </row>
    <row r="4075" ht="15.75" customHeight="1">
      <c r="A4075" s="2" t="s">
        <v>4075</v>
      </c>
      <c r="B4075" s="2" t="str">
        <f>IFERROR(__xludf.DUMMYFUNCTION("GOOGLETRANSLATE(A4075, ""en"", ""mt"")"),"Ċirkulari ċċattjat")</f>
        <v>Ċirkulari ċċattjat</v>
      </c>
    </row>
    <row r="4076" ht="15.75" customHeight="1">
      <c r="A4076" s="2" t="s">
        <v>4076</v>
      </c>
      <c r="B4076" s="2" t="str">
        <f>IFERROR(__xludf.DUMMYFUNCTION("GOOGLETRANSLATE(A4076, ""en"", ""mt"")"),"Graze baqar fuqu.")</f>
        <v>Graze baqar fuqu.</v>
      </c>
    </row>
    <row r="4077" ht="15.75" customHeight="1">
      <c r="A4077" s="2" t="s">
        <v>4077</v>
      </c>
      <c r="B4077" s="2" t="str">
        <f>IFERROR(__xludf.DUMMYFUNCTION("GOOGLETRANSLATE(A4077, ""en"", ""mt"")"),"oqsma mimlija (jew lokali)")</f>
        <v>oqsma mimlija (jew lokali)</v>
      </c>
    </row>
    <row r="4078" ht="15.75" customHeight="1">
      <c r="A4078" s="2" t="s">
        <v>4078</v>
      </c>
      <c r="B4078" s="2" t="str">
        <f>IFERROR(__xludf.DUMMYFUNCTION("GOOGLETRANSLATE(A4078, ""en"", ""mt"")"),"30% -50%")</f>
        <v>30% -50%</v>
      </c>
    </row>
    <row r="4079" ht="15.75" customHeight="1">
      <c r="A4079" s="2" t="s">
        <v>4079</v>
      </c>
      <c r="B4079" s="2" t="str">
        <f>IFERROR(__xludf.DUMMYFUNCTION("GOOGLETRANSLATE(A4079, ""en"", ""mt"")"),"Għal xiex jixtieq il-Kunsill Lokali ta 'Newcastle jixtieq jgħaqqad in-netwerks lokali tar-rota tagħhom?")</f>
        <v>Għal xiex jixtieq il-Kunsill Lokali ta 'Newcastle jixtieq jgħaqqad in-netwerks lokali tar-rota tagħhom?</v>
      </c>
    </row>
    <row r="4080" ht="15.75" customHeight="1">
      <c r="A4080" s="2" t="s">
        <v>4080</v>
      </c>
      <c r="B4080" s="2" t="str">
        <f>IFERROR(__xludf.DUMMYFUNCTION("GOOGLETRANSLATE(A4080, ""en"", ""mt"")"),"libertà")</f>
        <v>libertà</v>
      </c>
    </row>
    <row r="4081" ht="15.75" customHeight="1">
      <c r="A4081" s="2" t="s">
        <v>4081</v>
      </c>
      <c r="B4081" s="2" t="str">
        <f>IFERROR(__xludf.DUMMYFUNCTION("GOOGLETRANSLATE(A4081, ""en"", ""mt"")"),"lejn il-lvant")</f>
        <v>lejn il-lvant</v>
      </c>
    </row>
    <row r="4082" ht="15.75" customHeight="1">
      <c r="A4082" s="2" t="s">
        <v>4082</v>
      </c>
      <c r="B4082" s="2" t="str">
        <f>IFERROR(__xludf.DUMMYFUNCTION("GOOGLETRANSLATE(A4082, ""en"", ""mt"")"),"(stampi, tpinġijiet, pitturi u ritratti)")</f>
        <v>(stampi, tpinġijiet, pitturi u ritratti)</v>
      </c>
    </row>
    <row r="4083" ht="15.75" customHeight="1">
      <c r="A4083" s="2" t="s">
        <v>4083</v>
      </c>
      <c r="B4083" s="2" t="str">
        <f>IFERROR(__xludf.DUMMYFUNCTION("GOOGLETRANSLATE(A4083, ""en"", ""mt"")"),"evidenza xjentifika")</f>
        <v>evidenza xjentifika</v>
      </c>
    </row>
    <row r="4084" ht="15.75" customHeight="1">
      <c r="A4084" s="2" t="s">
        <v>4084</v>
      </c>
      <c r="B4084" s="2" t="str">
        <f>IFERROR(__xludf.DUMMYFUNCTION("GOOGLETRANSLATE(A4084, ""en"", ""mt"")"),"Il-laboratorju tiegħu Street Houston")</f>
        <v>Il-laboratorju tiegħu Street Houston</v>
      </c>
    </row>
    <row r="4085" ht="15.75" customHeight="1">
      <c r="A4085" s="2" t="s">
        <v>4085</v>
      </c>
      <c r="B4085" s="2" t="str">
        <f>IFERROR(__xludf.DUMMYFUNCTION("GOOGLETRANSLATE(A4085, ""en"", ""mt"")"),"Fil-mudell b'saffi tad-dinja, il-mantell għandu żewġ saffi taħtha. X'inhuma?")</f>
        <v>Fil-mudell b'saffi tad-dinja, il-mantell għandu żewġ saffi taħtha. X'inhuma?</v>
      </c>
    </row>
    <row r="4086" ht="15.75" customHeight="1">
      <c r="A4086" s="2" t="s">
        <v>4086</v>
      </c>
      <c r="B4086" s="2" t="str">
        <f>IFERROR(__xludf.DUMMYFUNCTION("GOOGLETRANSLATE(A4086, ""en"", ""mt"")"),"L-aħjar, l-agħar u l-medja")</f>
        <v>L-aħjar, l-agħar u l-medja</v>
      </c>
    </row>
    <row r="4087" ht="15.75" customHeight="1">
      <c r="A4087" s="2" t="s">
        <v>4087</v>
      </c>
      <c r="B4087" s="2" t="str">
        <f>IFERROR(__xludf.DUMMYFUNCTION("GOOGLETRANSLATE(A4087, ""en"", ""mt"")"),"depopolazzjoni u bidla permanenti kemm fl-istrutturi ekonomiċi kif ukoll soċjali")</f>
        <v>depopolazzjoni u bidla permanenti kemm fl-istrutturi ekonomiċi kif ukoll soċjali</v>
      </c>
    </row>
    <row r="4088" ht="15.75" customHeight="1">
      <c r="A4088" s="2" t="s">
        <v>4088</v>
      </c>
      <c r="B4088" s="2" t="str">
        <f>IFERROR(__xludf.DUMMYFUNCTION("GOOGLETRANSLATE(A4088, ""en"", ""mt"")"),"Qawwa AC")</f>
        <v>Qawwa AC</v>
      </c>
    </row>
    <row r="4089" ht="15.75" customHeight="1">
      <c r="A4089" s="2" t="s">
        <v>4089</v>
      </c>
      <c r="B4089" s="2" t="str">
        <f>IFERROR(__xludf.DUMMYFUNCTION("GOOGLETRANSLATE(A4089, ""en"", ""mt"")"),"BPP, ZPP u RP")</f>
        <v>BPP, ZPP u RP</v>
      </c>
    </row>
    <row r="4090" ht="15.75" customHeight="1">
      <c r="A4090" s="2" t="s">
        <v>4090</v>
      </c>
      <c r="B4090" s="2" t="str">
        <f>IFERROR(__xludf.DUMMYFUNCTION("GOOGLETRANSLATE(A4090, ""en"", ""mt"")"),"żewġ klassijiet ewlenin")</f>
        <v>żewġ klassijiet ewlenin</v>
      </c>
    </row>
    <row r="4091" ht="15.75" customHeight="1">
      <c r="A4091" s="2" t="s">
        <v>4091</v>
      </c>
      <c r="B4091" s="2" t="str">
        <f>IFERROR(__xludf.DUMMYFUNCTION("GOOGLETRANSLATE(A4091, ""en"", ""mt"")"),"negattiv")</f>
        <v>negattiv</v>
      </c>
    </row>
    <row r="4092" ht="15.75" customHeight="1">
      <c r="A4092" s="2" t="s">
        <v>4092</v>
      </c>
      <c r="B4092" s="2" t="str">
        <f>IFERROR(__xludf.DUMMYFUNCTION("GOOGLETRANSLATE(A4092, ""en"", ""mt"")"),"Liema forma huma plastoglobuli?")</f>
        <v>Liema forma huma plastoglobuli?</v>
      </c>
    </row>
    <row r="4093" ht="15.75" customHeight="1">
      <c r="A4093" s="2" t="s">
        <v>4093</v>
      </c>
      <c r="B4093" s="2" t="str">
        <f>IFERROR(__xludf.DUMMYFUNCTION("GOOGLETRANSLATE(A4093, ""en"", ""mt"")"),"Fatturizzazzjoni sħiħa")</f>
        <v>Fatturizzazzjoni sħiħa</v>
      </c>
    </row>
    <row r="4094" ht="15.75" customHeight="1">
      <c r="A4094" s="2" t="s">
        <v>4094</v>
      </c>
      <c r="B4094" s="2" t="str">
        <f>IFERROR(__xludf.DUMMYFUNCTION("GOOGLETRANSLATE(A4094, ""en"", ""mt"")"),"assertiv")</f>
        <v>assertiv</v>
      </c>
    </row>
    <row r="4095" ht="15.75" customHeight="1">
      <c r="A4095" s="2" t="s">
        <v>4095</v>
      </c>
      <c r="B4095" s="2" t="str">
        <f>IFERROR(__xludf.DUMMYFUNCTION("GOOGLETRANSLATE(A4095, ""en"", ""mt"")"),"Minbarra l-Gran Brittanja u l-Amerika ta 'Fuq, fejn inkella r-refuġjati Huguenot stabbilixxew?")</f>
        <v>Minbarra l-Gran Brittanja u l-Amerika ta 'Fuq, fejn inkella r-refuġjati Huguenot stabbilixxew?</v>
      </c>
    </row>
    <row r="4096" ht="15.75" customHeight="1">
      <c r="A4096" s="2" t="s">
        <v>4096</v>
      </c>
      <c r="B4096" s="2" t="str">
        <f>IFERROR(__xludf.DUMMYFUNCTION("GOOGLETRANSLATE(A4096, ""en"", ""mt"")"),"is-savana semi-arida fit-tramuntana u l-lvant")</f>
        <v>is-savana semi-arida fit-tramuntana u l-lvant</v>
      </c>
    </row>
    <row r="4097" ht="15.75" customHeight="1">
      <c r="A4097" s="2" t="s">
        <v>4097</v>
      </c>
      <c r="B4097" s="2" t="str">
        <f>IFERROR(__xludf.DUMMYFUNCTION("GOOGLETRANSLATE(A4097, ""en"", ""mt"")"),"Ma 'min iffirma Rollo t-Trattat ta' Saint-Clair-sur-Epte?")</f>
        <v>Ma 'min iffirma Rollo t-Trattat ta' Saint-Clair-sur-Epte?</v>
      </c>
    </row>
    <row r="4098" ht="15.75" customHeight="1">
      <c r="A4098" s="2" t="s">
        <v>4098</v>
      </c>
      <c r="B4098" s="2" t="str">
        <f>IFERROR(__xludf.DUMMYFUNCTION("GOOGLETRANSLATE(A4098, ""en"", ""mt"")"),"ukoll zkuk")</f>
        <v>ukoll zkuk</v>
      </c>
    </row>
    <row r="4099" ht="15.75" customHeight="1">
      <c r="A4099" s="2" t="s">
        <v>4099</v>
      </c>
      <c r="B4099" s="2" t="str">
        <f>IFERROR(__xludf.DUMMYFUNCTION("GOOGLETRANSLATE(A4099, ""en"", ""mt"")"),"Proġett tal-fabbrika")</f>
        <v>Proġett tal-fabbrika</v>
      </c>
    </row>
    <row r="4100" ht="15.75" customHeight="1">
      <c r="A4100" s="2" t="s">
        <v>4100</v>
      </c>
      <c r="B4100" s="2" t="str">
        <f>IFERROR(__xludf.DUMMYFUNCTION("GOOGLETRANSLATE(A4100, ""en"", ""mt"")"),"E It-tielet grupp ta 'pigmenti misjuba fiċ-ċjanobatterji")</f>
        <v>E It-tielet grupp ta 'pigmenti misjuba fiċ-ċjanobatterji</v>
      </c>
    </row>
    <row r="4101" ht="15.75" customHeight="1">
      <c r="A4101" s="2" t="s">
        <v>4101</v>
      </c>
      <c r="B4101" s="2" t="str">
        <f>IFERROR(__xludf.DUMMYFUNCTION("GOOGLETRANSLATE(A4101, ""en"", ""mt"")"),"X'tip ta 'sistema tirrilaxxa l-fwar tal-egżost fl-atmosfera?")</f>
        <v>X'tip ta 'sistema tirrilaxxa l-fwar tal-egżost fl-atmosfera?</v>
      </c>
    </row>
    <row r="4102" ht="15.75" customHeight="1">
      <c r="A4102" s="2" t="s">
        <v>4102</v>
      </c>
      <c r="B4102" s="2" t="str">
        <f>IFERROR(__xludf.DUMMYFUNCTION("GOOGLETRANSLATE(A4102, ""en"", ""mt"")"),"George Westinghouse")</f>
        <v>George Westinghouse</v>
      </c>
    </row>
    <row r="4103" ht="15.75" customHeight="1">
      <c r="A4103" s="2" t="s">
        <v>4103</v>
      </c>
      <c r="B4103" s="2" t="str">
        <f>IFERROR(__xludf.DUMMYFUNCTION("GOOGLETRANSLATE(A4103, ""en"", ""mt"")"),"Dak li jikkorrelata direttament mal-prestazzjoni ekonomika u d-distribuzzjoni tal-ġid tal-pajjiż?")</f>
        <v>Dak li jikkorrelata direttament mal-prestazzjoni ekonomika u d-distribuzzjoni tal-ġid tal-pajjiż?</v>
      </c>
    </row>
    <row r="4104" ht="15.75" customHeight="1">
      <c r="A4104" s="2" t="s">
        <v>4104</v>
      </c>
      <c r="B4104" s="2" t="str">
        <f>IFERROR(__xludf.DUMMYFUNCTION("GOOGLETRANSLATE(A4104, ""en"", ""mt"")"),"kontrogrammazzjoni kontra l-kompetituri tagħha")</f>
        <v>kontrogrammazzjoni kontra l-kompetituri tagħha</v>
      </c>
    </row>
    <row r="4105" ht="15.75" customHeight="1">
      <c r="A4105" s="2" t="s">
        <v>4105</v>
      </c>
      <c r="B4105" s="2" t="str">
        <f>IFERROR(__xludf.DUMMYFUNCTION("GOOGLETRANSLATE(A4105, ""en"", ""mt"")"),"F'impjant ta 'l-enerġija nukleari, ma' xiex tkun konnessa t-turbina tal-fwar?")</f>
        <v>F'impjant ta 'l-enerġija nukleari, ma' xiex tkun konnessa t-turbina tal-fwar?</v>
      </c>
    </row>
    <row r="4106" ht="15.75" customHeight="1">
      <c r="A4106" s="2" t="s">
        <v>4106</v>
      </c>
      <c r="B4106" s="2" t="str">
        <f>IFERROR(__xludf.DUMMYFUNCTION("GOOGLETRANSLATE(A4106, ""en"", ""mt"")"),"X'kien il-katalist li ħoloq interess akbar fir-riżorsi rinnovabbli?")</f>
        <v>X'kien il-katalist li ħoloq interess akbar fir-riżorsi rinnovabbli?</v>
      </c>
    </row>
    <row r="4107" ht="15.75" customHeight="1">
      <c r="A4107" s="2" t="s">
        <v>4107</v>
      </c>
      <c r="B4107" s="2" t="str">
        <f>IFERROR(__xludf.DUMMYFUNCTION("GOOGLETRANSLATE(A4107, ""en"", ""mt"")"),"Gateshead Music and Arts Centre")</f>
        <v>Gateshead Music and Arts Centre</v>
      </c>
    </row>
    <row r="4108" ht="15.75" customHeight="1">
      <c r="A4108" s="2" t="s">
        <v>4108</v>
      </c>
      <c r="B4108" s="2" t="str">
        <f>IFERROR(__xludf.DUMMYFUNCTION("GOOGLETRANSLATE(A4108, ""en"", ""mt"")"),"Kif jissejħu l-istadji fil-magna kompost?")</f>
        <v>Kif jissejħu l-istadji fil-magna kompost?</v>
      </c>
    </row>
    <row r="4109" ht="15.75" customHeight="1">
      <c r="A4109" s="2" t="s">
        <v>4109</v>
      </c>
      <c r="B4109" s="2" t="str">
        <f>IFERROR(__xludf.DUMMYFUNCTION("GOOGLETRANSLATE(A4109, ""en"", ""mt"")"),"X'inhu l-proċess li bih is-sistema immuni adatta hija evadata mill-qbid ta 'epitopi mhux essenzjali msejħa?")</f>
        <v>X'inhu l-proċess li bih is-sistema immuni adatta hija evadata mill-qbid ta 'epitopi mhux essenzjali msejħa?</v>
      </c>
    </row>
    <row r="4110" ht="15.75" customHeight="1">
      <c r="A4110" s="2" t="s">
        <v>4110</v>
      </c>
      <c r="B4110" s="2" t="str">
        <f>IFERROR(__xludf.DUMMYFUNCTION("GOOGLETRANSLATE(A4110, ""en"", ""mt"")"),"Liema żewġ fatturi ġeneralment jistgħu jżidu s-salarju ta 'għalliem?")</f>
        <v>Liema żewġ fatturi ġeneralment jistgħu jżidu s-salarju ta 'għalliem?</v>
      </c>
    </row>
    <row r="4111" ht="15.75" customHeight="1">
      <c r="A4111" s="2" t="s">
        <v>4111</v>
      </c>
      <c r="B4111" s="2" t="str">
        <f>IFERROR(__xludf.DUMMYFUNCTION("GOOGLETRANSLATE(A4111, ""en"", ""mt"")"),"Il-Kunsill tal-Missjoni")</f>
        <v>Il-Kunsill tal-Missjoni</v>
      </c>
    </row>
    <row r="4112" ht="15.75" customHeight="1">
      <c r="A4112" s="2" t="s">
        <v>4112</v>
      </c>
      <c r="B4112" s="2" t="str">
        <f>IFERROR(__xludf.DUMMYFUNCTION("GOOGLETRANSLATE(A4112, ""en"", ""mt"")"),"Is-snin 1960 u 1970")</f>
        <v>Is-snin 1960 u 1970</v>
      </c>
    </row>
    <row r="4113" ht="15.75" customHeight="1">
      <c r="A4113" s="2" t="s">
        <v>4113</v>
      </c>
      <c r="B4113" s="2" t="str">
        <f>IFERROR(__xludf.DUMMYFUNCTION("GOOGLETRANSLATE(A4113, ""en"", ""mt"")"),"Peress li Thoreau ma kienx kittieb magħruf x’ġara meta ġie arrestat?")</f>
        <v>Peress li Thoreau ma kienx kittieb magħruf x’ġara meta ġie arrestat?</v>
      </c>
    </row>
    <row r="4114" ht="15.75" customHeight="1">
      <c r="A4114" s="2" t="s">
        <v>4114</v>
      </c>
      <c r="B4114" s="2" t="str">
        <f>IFERROR(__xludf.DUMMYFUNCTION("GOOGLETRANSLATE(A4114, ""en"", ""mt"")"),"Kuntratti abbozzati ħażin")</f>
        <v>Kuntratti abbozzati ħażin</v>
      </c>
    </row>
    <row r="4115" ht="15.75" customHeight="1">
      <c r="A4115" s="2" t="s">
        <v>4115</v>
      </c>
      <c r="B4115" s="2" t="str">
        <f>IFERROR(__xludf.DUMMYFUNCTION("GOOGLETRANSLATE(A4115, ""en"", ""mt"")"),"Is-suġġetti akkademiċi tas-soltu")</f>
        <v>Is-suġġetti akkademiċi tas-soltu</v>
      </c>
    </row>
    <row r="4116" ht="15.75" customHeight="1">
      <c r="A4116" s="2" t="s">
        <v>4116</v>
      </c>
      <c r="B4116" s="2" t="str">
        <f>IFERROR(__xludf.DUMMYFUNCTION("GOOGLETRANSLATE(A4116, ""en"", ""mt"")"),"L-Orjentaliżmu, kif teorizzat minn Edward, jirreferi għal kif il-Punent żviluppa ġeografija immaġinattiva tal-Lvant. Din il-ġeografija immaġinattiva tiddependi fuq diskors essenzjali li jirrappreżenta la d-diversità u lanqas ir-realtà soċjali tal-Lvant. A"&amp;"nzi, billi essenzjalizza l-Lvant, dan id-diskors juża l-idea ta 'identitajiet ibbażati fuq il-post biex joħolqu differenza u distanza bejn ""aħna"" il-punent u ""minnhom"" il-lvant, jew ""hawn"" fil-punent u ""hemm"" fil-lvant. Din id-differenza kienet pa"&amp;"rtikolarment apparenti fix-xogħlijiet testwali u viżwali ta 'studji Ewropej bikrija ta' l-Orjent li pożizzjonaw il-Lvant bħala irrazzjonali u b'lura fl-oppożizzjoni għall-Punent razzjonali u progressiv. Id-definizzjoni tal-Lvant bħala viżjoni negattiva ta"&amp;"għha nnifisha, bħala inferjuri tagħha, mhux biss żiedet is-sens ta 'l-awto tal-Punent, iżda wkoll kienet mod kif tordna l-Lvant u tagħmilha magħrufa mill-Punent sabiex tkun tista' tkun iddominata u kkontrollata. Id-diskors ta 'l-Orjentaliżmu għalhekk serv"&amp;"a bħala ġustifikazzjoni ideoloġika ta' l-imperjalizmu bikri tal-Punent, peress li ffurma korp ta 'għarfien u ideat li jirrazzjonalizzaw il-kontroll soċjali, kulturali, politiku u ekonomiku ta' territorji oħra.")</f>
        <v>L-Orjentaliżmu, kif teorizzat minn Edward, jirreferi għal kif il-Punent żviluppa ġeografija immaġinattiva tal-Lvant. Din il-ġeografija immaġinattiva tiddependi fuq diskors essenzjali li jirrappreżenta la d-diversità u lanqas ir-realtà soċjali tal-Lvant. Anzi, billi essenzjalizza l-Lvant, dan id-diskors juża l-idea ta 'identitajiet ibbażati fuq il-post biex joħolqu differenza u distanza bejn "aħna" il-punent u "minnhom" il-lvant, jew "hawn" fil-punent u "hemm" fil-lvant. Din id-differenza kienet partikolarment apparenti fix-xogħlijiet testwali u viżwali ta 'studji Ewropej bikrija ta' l-Orjent li pożizzjonaw il-Lvant bħala irrazzjonali u b'lura fl-oppożizzjoni għall-Punent razzjonali u progressiv. Id-definizzjoni tal-Lvant bħala viżjoni negattiva tagħha nnifisha, bħala inferjuri tagħha, mhux biss żiedet is-sens ta 'l-awto tal-Punent, iżda wkoll kienet mod kif tordna l-Lvant u tagħmilha magħrufa mill-Punent sabiex tkun tista' tkun iddominata u kkontrollata. Id-diskors ta 'l-Orjentaliżmu għalhekk serva bħala ġustifikazzjoni ideoloġika ta' l-imperjalizmu bikri tal-Punent, peress li ffurma korp ta 'għarfien u ideat li jirrazzjonalizzaw il-kontroll soċjali, kulturali, politiku u ekonomiku ta' territorji oħra.</v>
      </c>
    </row>
    <row r="4117" ht="15.75" customHeight="1">
      <c r="A4117" s="2" t="s">
        <v>4117</v>
      </c>
      <c r="B4117" s="2" t="str">
        <f>IFERROR(__xludf.DUMMYFUNCTION("GOOGLETRANSLATE(A4117, ""en"", ""mt"")"),"Liema armata Varsavja ddefendiet b'suċċess lilha nnifisha?")</f>
        <v>Liema armata Varsavja ddefendiet b'suċċess lilha nnifisha?</v>
      </c>
    </row>
    <row r="4118" ht="15.75" customHeight="1">
      <c r="A4118" s="2" t="s">
        <v>4118</v>
      </c>
      <c r="B4118" s="2" t="str">
        <f>IFERROR(__xludf.DUMMYFUNCTION("GOOGLETRANSLATE(A4118, ""en"", ""mt"")"),"Imneħħi f'Kondensatur")</f>
        <v>Imneħħi f'Kondensatur</v>
      </c>
    </row>
    <row r="4119" ht="15.75" customHeight="1">
      <c r="A4119" s="2" t="s">
        <v>4119</v>
      </c>
      <c r="B4119" s="2" t="str">
        <f>IFERROR(__xludf.DUMMYFUNCTION("GOOGLETRANSLATE(A4119, ""en"", ""mt"")"),"Kemm hemm nies li Apollo jistgħu jkunu pproġettati li jżommu?")</f>
        <v>Kemm hemm nies li Apollo jistgħu jkunu pproġettati li jżommu?</v>
      </c>
    </row>
    <row r="4120" ht="15.75" customHeight="1">
      <c r="A4120" s="2" t="s">
        <v>4120</v>
      </c>
      <c r="B4120" s="2" t="str">
        <f>IFERROR(__xludf.DUMMYFUNCTION("GOOGLETRANSLATE(A4120, ""en"", ""mt"")"),"Cypiddids mhumiex xiex?")</f>
        <v>Cypiddids mhumiex xiex?</v>
      </c>
    </row>
    <row r="4121" ht="15.75" customHeight="1">
      <c r="A4121" s="2" t="s">
        <v>4121</v>
      </c>
      <c r="B4121" s="2" t="str">
        <f>IFERROR(__xludf.DUMMYFUNCTION("GOOGLETRANSLATE(A4121, ""en"", ""mt"")"),"X'tip ta 'rivoluzzjoni favur Maududi?")</f>
        <v>X'tip ta 'rivoluzzjoni favur Maududi?</v>
      </c>
    </row>
    <row r="4122" ht="15.75" customHeight="1">
      <c r="A4122" s="2" t="s">
        <v>4122</v>
      </c>
      <c r="B4122" s="2" t="str">
        <f>IFERROR(__xludf.DUMMYFUNCTION("GOOGLETRANSLATE(A4122, ""en"", ""mt"")"),"tevita l-attribuzzjoni")</f>
        <v>tevita l-attribuzzjoni</v>
      </c>
    </row>
    <row r="4123" ht="15.75" customHeight="1">
      <c r="A4123" s="2" t="s">
        <v>4123</v>
      </c>
      <c r="B4123" s="2" t="str">
        <f>IFERROR(__xludf.DUMMYFUNCTION("GOOGLETRANSLATE(A4123, ""en"", ""mt"")"),"Dak li tipikament jinvolvi produzzjoni tal-massa ta 'oġġetti simili mingħajr xerrej magħżul?")</f>
        <v>Dak li tipikament jinvolvi produzzjoni tal-massa ta 'oġġetti simili mingħajr xerrej magħżul?</v>
      </c>
    </row>
    <row r="4124" ht="15.75" customHeight="1">
      <c r="A4124" s="2" t="s">
        <v>4124</v>
      </c>
      <c r="B4124" s="2" t="str">
        <f>IFERROR(__xludf.DUMMYFUNCTION("GOOGLETRANSLATE(A4124, ""en"", ""mt"")"),"pajjiżi jew powiats")</f>
        <v>pajjiżi jew powiats</v>
      </c>
    </row>
    <row r="4125" ht="15.75" customHeight="1">
      <c r="A4125" s="2" t="s">
        <v>4125</v>
      </c>
      <c r="B4125" s="2" t="str">
        <f>IFERROR(__xludf.DUMMYFUNCTION("GOOGLETRANSLATE(A4125, ""en"", ""mt"")"),"Kampanji fuq il-Lag Ontario, u pperikolat il-Garrison Oswego")</f>
        <v>Kampanji fuq il-Lag Ontario, u pperikolat il-Garrison Oswego</v>
      </c>
    </row>
    <row r="4126" ht="15.75" customHeight="1">
      <c r="A4126" s="2" t="s">
        <v>4126</v>
      </c>
      <c r="B4126" s="2" t="str">
        <f>IFERROR(__xludf.DUMMYFUNCTION("GOOGLETRANSLATE(A4126, ""en"", ""mt"")"),"Ipprovdi operazzjonijiet orjentati lejn il-konnessjoni")</f>
        <v>Ipprovdi operazzjonijiet orjentati lejn il-konnessjoni</v>
      </c>
    </row>
    <row r="4127" ht="15.75" customHeight="1">
      <c r="A4127" s="2" t="s">
        <v>4127</v>
      </c>
      <c r="B4127" s="2" t="str">
        <f>IFERROR(__xludf.DUMMYFUNCTION("GOOGLETRANSLATE(A4127, ""en"", ""mt"")"),"12 ta 'Jannar")</f>
        <v>12 ta 'Jannar</v>
      </c>
    </row>
    <row r="4128" ht="15.75" customHeight="1">
      <c r="A4128" s="2" t="s">
        <v>4128</v>
      </c>
      <c r="B4128" s="2" t="str">
        <f>IFERROR(__xludf.DUMMYFUNCTION("GOOGLETRANSLATE(A4128, ""en"", ""mt"")"),"tistabbilixxi, tgħammar, tmexxi u żżomm libreriji nazzjonali u pubbliċi")</f>
        <v>tistabbilixxi, tgħammar, tmexxi u żżomm libreriji nazzjonali u pubbliċi</v>
      </c>
    </row>
    <row r="4129" ht="15.75" customHeight="1">
      <c r="A4129" s="2" t="s">
        <v>4129</v>
      </c>
      <c r="B4129" s="2" t="str">
        <f>IFERROR(__xludf.DUMMYFUNCTION("GOOGLETRANSLATE(A4129, ""en"", ""mt"")"),"nobbli")</f>
        <v>nobbli</v>
      </c>
    </row>
    <row r="4130" ht="15.75" customHeight="1">
      <c r="A4130" s="2" t="s">
        <v>4130</v>
      </c>
      <c r="B4130" s="2" t="str">
        <f>IFERROR(__xludf.DUMMYFUNCTION("GOOGLETRANSLATE(A4130, ""en"", ""mt"")"),"Għaliex Temüjin qatel dawk tas-segwaċi ta 'Jamukha li kienu ingannaw lill-mexxej tagħhom?")</f>
        <v>Għaliex Temüjin qatel dawk tas-segwaċi ta 'Jamukha li kienu ingannaw lill-mexxej tagħhom?</v>
      </c>
    </row>
    <row r="4131" ht="15.75" customHeight="1">
      <c r="A4131" s="2" t="s">
        <v>4131</v>
      </c>
      <c r="B4131" s="2" t="str">
        <f>IFERROR(__xludf.DUMMYFUNCTION("GOOGLETRANSLATE(A4131, ""en"", ""mt"")"),"Materjali disponibbli faċilment fiż-żona")</f>
        <v>Materjali disponibbli faċilment fiż-żona</v>
      </c>
    </row>
    <row r="4132" ht="15.75" customHeight="1">
      <c r="A4132" s="2" t="s">
        <v>4132</v>
      </c>
      <c r="B4132" s="2" t="str">
        <f>IFERROR(__xludf.DUMMYFUNCTION("GOOGLETRANSLATE(A4132, ""en"", ""mt"")"),"żieda fl-art disponibbli għall-kultivazzjoni")</f>
        <v>żieda fl-art disponibbli għall-kultivazzjoni</v>
      </c>
    </row>
    <row r="4133" ht="15.75" customHeight="1">
      <c r="A4133" s="2" t="s">
        <v>4133</v>
      </c>
      <c r="B4133" s="2" t="str">
        <f>IFERROR(__xludf.DUMMYFUNCTION("GOOGLETRANSLATE(A4133, ""en"", ""mt"")"),"Kemm kienet ogħla l-figura tal-istress ta '42% fl-okkupazzjoni, meta mqabbla ma' impjiegi oħra?")</f>
        <v>Kemm kienet ogħla l-figura tal-istress ta '42% fl-okkupazzjoni, meta mqabbla ma' impjiegi oħra?</v>
      </c>
    </row>
    <row r="4134" ht="15.75" customHeight="1">
      <c r="A4134" s="2" t="s">
        <v>4134</v>
      </c>
      <c r="B4134" s="2" t="str">
        <f>IFERROR(__xludf.DUMMYFUNCTION("GOOGLETRANSLATE(A4134, ""en"", ""mt"")"),"Interazzjonijiet potenzjali tal-mediċina")</f>
        <v>Interazzjonijiet potenzjali tal-mediċina</v>
      </c>
    </row>
    <row r="4135" ht="15.75" customHeight="1">
      <c r="A4135" s="2" t="s">
        <v>4135</v>
      </c>
      <c r="B4135" s="2" t="str">
        <f>IFERROR(__xludf.DUMMYFUNCTION("GOOGLETRANSLATE(A4135, ""en"", ""mt"")"),"kurrent alternattiv")</f>
        <v>kurrent alternattiv</v>
      </c>
    </row>
    <row r="4136" ht="15.75" customHeight="1">
      <c r="A4136" s="2" t="s">
        <v>4136</v>
      </c>
      <c r="B4136" s="2" t="str">
        <f>IFERROR(__xludf.DUMMYFUNCTION("GOOGLETRANSLATE(A4136, ""en"", ""mt"")"),"Liema partijiet tal-pjanti għandhom kloroplasti?")</f>
        <v>Liema partijiet tal-pjanti għandhom kloroplasti?</v>
      </c>
    </row>
    <row r="4137" ht="15.75" customHeight="1">
      <c r="A4137" s="2" t="s">
        <v>4137</v>
      </c>
      <c r="B4137" s="2" t="str">
        <f>IFERROR(__xludf.DUMMYFUNCTION("GOOGLETRANSLATE(A4137, ""en"", ""mt"")"),"Kundizzjonijiet ta 'ħażna, testi obbligatorji, tagħmir, eċċ.")</f>
        <v>Kundizzjonijiet ta 'ħażna, testi obbligatorji, tagħmir, eċċ.</v>
      </c>
    </row>
    <row r="4138" ht="15.75" customHeight="1">
      <c r="A4138" s="2" t="s">
        <v>4138</v>
      </c>
      <c r="B4138" s="2" t="str">
        <f>IFERROR(__xludf.DUMMYFUNCTION("GOOGLETRANSLATE(A4138, ""en"", ""mt"")"),"Ir-reġjun ta 'fuq tar-Renu nbidel b'mod sinifikanti minn programm ta' rilaxx tar-Renu fis-seklu 19. Ir-rata tal-fluss żdiedet u l-livell tal-ilma ta ’taħt l-art naqas b’mod sinifikanti. Fergħat mejta nixfu u l-ammont ta 'foresti fuq il-pjanuri ta' l-għarg"&amp;"ħar naqas sew. Min-naħa Franċiża, il-Grand Canal D'Alsace kien imħaffer, li jġorr parti sinifikanti mill-ilma tax-xmara, u t-traffiku kollu. F’xi postijiet, hemm pixxini kbar ta ’kumpens, pereżempju l-Bassin de Compensation de Plobsheim enormi fl-Alsace.")</f>
        <v>Ir-reġjun ta 'fuq tar-Renu nbidel b'mod sinifikanti minn programm ta' rilaxx tar-Renu fis-seklu 19. Ir-rata tal-fluss żdiedet u l-livell tal-ilma ta ’taħt l-art naqas b’mod sinifikanti. Fergħat mejta nixfu u l-ammont ta 'foresti fuq il-pjanuri ta' l-għargħar naqas sew. Min-naħa Franċiża, il-Grand Canal D'Alsace kien imħaffer, li jġorr parti sinifikanti mill-ilma tax-xmara, u t-traffiku kollu. F’xi postijiet, hemm pixxini kbar ta ’kumpens, pereżempju l-Bassin de Compensation de Plobsheim enormi fl-Alsace.</v>
      </c>
    </row>
    <row r="4139" ht="15.75" customHeight="1">
      <c r="A4139" s="2" t="s">
        <v>4139</v>
      </c>
      <c r="B4139" s="2" t="str">
        <f>IFERROR(__xludf.DUMMYFUNCTION("GOOGLETRANSLATE(A4139, ""en"", ""mt"")"),"Kamera tat-televiżjoni bil-kulur")</f>
        <v>Kamera tat-televiżjoni bil-kulur</v>
      </c>
    </row>
    <row r="4140" ht="15.75" customHeight="1">
      <c r="A4140" s="2" t="s">
        <v>4140</v>
      </c>
      <c r="B4140" s="2" t="str">
        <f>IFERROR(__xludf.DUMMYFUNCTION("GOOGLETRANSLATE(A4140, ""en"", ""mt"")"),"Problemi Tekniċi")</f>
        <v>Problemi Tekniċi</v>
      </c>
    </row>
    <row r="4141" ht="15.75" customHeight="1">
      <c r="A4141" s="2" t="s">
        <v>4141</v>
      </c>
      <c r="B4141" s="2" t="str">
        <f>IFERROR(__xludf.DUMMYFUNCTION("GOOGLETRANSLATE(A4141, ""en"", ""mt"")"),"Il-Pesta s-Sewda ħarbtu l-Ewropa għal tliet snin segwit minn liema pajjiż?")</f>
        <v>Il-Pesta s-Sewda ħarbtu l-Ewropa għal tliet snin segwit minn liema pajjiż?</v>
      </c>
    </row>
    <row r="4142" ht="15.75" customHeight="1">
      <c r="A4142" s="2" t="s">
        <v>4142</v>
      </c>
      <c r="B4142" s="2" t="str">
        <f>IFERROR(__xludf.DUMMYFUNCTION("GOOGLETRANSLATE(A4142, ""en"", ""mt"")"),"Magni ta 'aċċess każwali")</f>
        <v>Magni ta 'aċċess każwali</v>
      </c>
    </row>
    <row r="4143" ht="15.75" customHeight="1">
      <c r="A4143" s="2" t="s">
        <v>4143</v>
      </c>
      <c r="B4143" s="2" t="str">
        <f>IFERROR(__xludf.DUMMYFUNCTION("GOOGLETRANSLATE(A4143, ""en"", ""mt"")"),"Il-fatt li mhux il-fossili kollha jistgħu jinstabu globalment fl-istess ħin jikkawża li l-prinċipju jsir?")</f>
        <v>Il-fatt li mhux il-fossili kollha jistgħu jinstabu globalment fl-istess ħin jikkawża li l-prinċipju jsir?</v>
      </c>
    </row>
    <row r="4144" ht="15.75" customHeight="1">
      <c r="A4144" s="2" t="s">
        <v>4144</v>
      </c>
      <c r="B4144" s="2" t="str">
        <f>IFERROR(__xludf.DUMMYFUNCTION("GOOGLETRANSLATE(A4144, ""en"", ""mt"")"),"trammijiet")</f>
        <v>trammijiet</v>
      </c>
    </row>
    <row r="4145" ht="15.75" customHeight="1">
      <c r="A4145" s="2" t="s">
        <v>4145</v>
      </c>
      <c r="B4145" s="2" t="str">
        <f>IFERROR(__xludf.DUMMYFUNCTION("GOOGLETRANSLATE(A4145, ""en"", ""mt"")"),"inkompetenti, ineffiċjenti, jew negliku")</f>
        <v>inkompetenti, ineffiċjenti, jew negliku</v>
      </c>
    </row>
    <row r="4146" ht="15.75" customHeight="1">
      <c r="A4146" s="2" t="s">
        <v>4146</v>
      </c>
      <c r="B4146" s="2" t="str">
        <f>IFERROR(__xludf.DUMMYFUNCTION("GOOGLETRANSLATE(A4146, ""en"", ""mt"")"),"issuġġerixxaha għall-użu fl-arpanet")</f>
        <v>issuġġerixxaha għall-użu fl-arpanet</v>
      </c>
    </row>
    <row r="4147" ht="15.75" customHeight="1">
      <c r="A4147" s="2" t="s">
        <v>4147</v>
      </c>
      <c r="B4147" s="2" t="str">
        <f>IFERROR(__xludf.DUMMYFUNCTION("GOOGLETRANSLATE(A4147, ""en"", ""mt"")"),"X'inhu t-terminu għall-għeluq tax-xmajjar li m'għadhomx konnessi?")</f>
        <v>X'inhu t-terminu għall-għeluq tax-xmajjar li m'għadhomx konnessi?</v>
      </c>
    </row>
    <row r="4148" ht="15.75" customHeight="1">
      <c r="A4148" s="2" t="s">
        <v>4148</v>
      </c>
      <c r="B4148" s="2" t="str">
        <f>IFERROR(__xludf.DUMMYFUNCTION("GOOGLETRANSLATE(A4148, ""en"", ""mt"")"),"Messikan")</f>
        <v>Messikan</v>
      </c>
    </row>
    <row r="4149" ht="15.75" customHeight="1">
      <c r="A4149" s="2" t="s">
        <v>4149</v>
      </c>
      <c r="B4149" s="2" t="str">
        <f>IFERROR(__xludf.DUMMYFUNCTION("GOOGLETRANSLATE(A4149, ""en"", ""mt"")"),"Is-Sala tal-Assemblea Ġenerali tal-Knisja tal-Iskozja")</f>
        <v>Is-Sala tal-Assemblea Ġenerali tal-Knisja tal-Iskozja</v>
      </c>
    </row>
    <row r="4150" ht="15.75" customHeight="1">
      <c r="A4150" s="2" t="s">
        <v>4150</v>
      </c>
      <c r="B4150" s="2" t="str">
        <f>IFERROR(__xludf.DUMMYFUNCTION("GOOGLETRANSLATE(A4150, ""en"", ""mt"")"),"Wara liema battalja rritornaw u jokkupaw lil Jacksonville għall-bqija tal-gwerra?")</f>
        <v>Wara liema battalja rritornaw u jokkupaw lil Jacksonville għall-bqija tal-gwerra?</v>
      </c>
    </row>
    <row r="4151" ht="15.75" customHeight="1">
      <c r="A4151" s="2" t="s">
        <v>4151</v>
      </c>
      <c r="B4151" s="2" t="str">
        <f>IFERROR(__xludf.DUMMYFUNCTION("GOOGLETRANSLATE(A4151, ""en"", ""mt"")"),"nitroġenu / ossiġnu")</f>
        <v>nitroġenu / ossiġnu</v>
      </c>
    </row>
    <row r="4152" ht="15.75" customHeight="1">
      <c r="A4152" s="2" t="s">
        <v>4152</v>
      </c>
      <c r="B4152" s="2" t="str">
        <f>IFERROR(__xludf.DUMMYFUNCTION("GOOGLETRANSLATE(A4152, ""en"", ""mt"")"),"Immunizzazzjoni")</f>
        <v>Immunizzazzjoni</v>
      </c>
    </row>
    <row r="4153" ht="15.75" customHeight="1">
      <c r="A4153" s="2" t="s">
        <v>4153</v>
      </c>
      <c r="B4153" s="2" t="str">
        <f>IFERROR(__xludf.DUMMYFUNCTION("GOOGLETRANSLATE(A4153, ""en"", ""mt"")"),"mutur ta 'induzzjoni")</f>
        <v>mutur ta 'induzzjoni</v>
      </c>
    </row>
    <row r="4154" ht="15.75" customHeight="1">
      <c r="A4154" s="2" t="s">
        <v>4154</v>
      </c>
      <c r="B4154" s="2" t="str">
        <f>IFERROR(__xludf.DUMMYFUNCTION("GOOGLETRANSLATE(A4154, ""en"", ""mt"")"),"Matul liema perjodu Jacksonville sar destinazzjoni popolari għas-sinjuri?")</f>
        <v>Matul liema perjodu Jacksonville sar destinazzjoni popolari għas-sinjuri?</v>
      </c>
    </row>
    <row r="4155" ht="15.75" customHeight="1">
      <c r="A4155" s="2" t="s">
        <v>4155</v>
      </c>
      <c r="B4155" s="2" t="str">
        <f>IFERROR(__xludf.DUMMYFUNCTION("GOOGLETRANSLATE(A4155, ""en"", ""mt"")"),"18–49")</f>
        <v>18–49</v>
      </c>
    </row>
    <row r="4156" ht="15.75" customHeight="1">
      <c r="A4156" s="2" t="s">
        <v>4156</v>
      </c>
      <c r="B4156" s="2" t="str">
        <f>IFERROR(__xludf.DUMMYFUNCTION("GOOGLETRANSLATE(A4156, ""en"", ""mt"")"),"Ottubru 2010")</f>
        <v>Ottubru 2010</v>
      </c>
    </row>
    <row r="4157" ht="15.75" customHeight="1">
      <c r="A4157" s="2" t="s">
        <v>4157</v>
      </c>
      <c r="B4157" s="2" t="str">
        <f>IFERROR(__xludf.DUMMYFUNCTION("GOOGLETRANSLATE(A4157, ""en"", ""mt"")"),"id-disgħinijiet")</f>
        <v>id-disgħinijiet</v>
      </c>
    </row>
    <row r="4158" ht="15.75" customHeight="1">
      <c r="A4158" s="2" t="s">
        <v>4158</v>
      </c>
      <c r="B4158" s="2" t="str">
        <f>IFERROR(__xludf.DUMMYFUNCTION("GOOGLETRANSLATE(A4158, ""en"", ""mt"")"),"Skond il-Fondazzjoni Nobel x'għandu jiġri qabel ma xi ħadd jista 'jirrifjuta premju?")</f>
        <v>Skond il-Fondazzjoni Nobel x'għandu jiġri qabel ma xi ħadd jista 'jirrifjuta premju?</v>
      </c>
    </row>
    <row r="4159" ht="15.75" customHeight="1">
      <c r="A4159" s="2" t="s">
        <v>4159</v>
      </c>
      <c r="B4159" s="2" t="str">
        <f>IFERROR(__xludf.DUMMYFUNCTION("GOOGLETRANSLATE(A4159, ""en"", ""mt"")"),"Serje tad-Drama")</f>
        <v>Serje tad-Drama</v>
      </c>
    </row>
    <row r="4160" ht="15.75" customHeight="1">
      <c r="A4160" s="2" t="s">
        <v>4160</v>
      </c>
      <c r="B4160" s="2" t="str">
        <f>IFERROR(__xludf.DUMMYFUNCTION("GOOGLETRANSLATE(A4160, ""en"", ""mt"")"),"Żewġ partiti politiċi jaqsmu l-poter bl-istess mod")</f>
        <v>Żewġ partiti politiċi jaqsmu l-poter bl-istess mod</v>
      </c>
    </row>
    <row r="4161" ht="15.75" customHeight="1">
      <c r="A4161" s="2" t="s">
        <v>4161</v>
      </c>
      <c r="B4161" s="2" t="str">
        <f>IFERROR(__xludf.DUMMYFUNCTION("GOOGLETRANSLATE(A4161, ""en"", ""mt"")"),"Monopolju")</f>
        <v>Monopolju</v>
      </c>
    </row>
    <row r="4162" ht="15.75" customHeight="1">
      <c r="A4162" s="2" t="s">
        <v>4162</v>
      </c>
      <c r="B4162" s="2" t="str">
        <f>IFERROR(__xludf.DUMMYFUNCTION("GOOGLETRANSLATE(A4162, ""en"", ""mt"")"),"1919–20")</f>
        <v>1919–20</v>
      </c>
    </row>
    <row r="4163" ht="15.75" customHeight="1">
      <c r="A4163" s="2" t="s">
        <v>4163</v>
      </c>
      <c r="B4163" s="2" t="str">
        <f>IFERROR(__xludf.DUMMYFUNCTION("GOOGLETRANSLATE(A4163, ""en"", ""mt"")"),"Il-Kummissjoni u l-Kunsill")</f>
        <v>Il-Kummissjoni u l-Kunsill</v>
      </c>
    </row>
    <row r="4164" ht="15.75" customHeight="1">
      <c r="A4164" s="2" t="s">
        <v>4164</v>
      </c>
      <c r="B4164" s="2" t="str">
        <f>IFERROR(__xludf.DUMMYFUNCTION("GOOGLETRANSLATE(A4164, ""en"", ""mt"")"),"Impetu")</f>
        <v>Impetu</v>
      </c>
    </row>
    <row r="4165" ht="15.75" customHeight="1">
      <c r="A4165" s="2" t="s">
        <v>4165</v>
      </c>
      <c r="B4165" s="2" t="str">
        <f>IFERROR(__xludf.DUMMYFUNCTION("GOOGLETRANSLATE(A4165, ""en"", ""mt"")")," Liema formazzjonijiet moderni jistudjaw il-ġeoloġi?")</f>
        <v> Liema formazzjonijiet moderni jistudjaw il-ġeoloġi?</v>
      </c>
    </row>
    <row r="4166" ht="15.75" customHeight="1">
      <c r="A4166" s="2" t="s">
        <v>4166</v>
      </c>
      <c r="B4166" s="2" t="str">
        <f>IFERROR(__xludf.DUMMYFUNCTION("GOOGLETRANSLATE(A4166, ""en"", ""mt"")"),"il-metodoloġija użata")</f>
        <v>il-metodoloġija użata</v>
      </c>
    </row>
    <row r="4167" ht="15.75" customHeight="1">
      <c r="A4167" s="2" t="s">
        <v>4167</v>
      </c>
      <c r="B4167" s="2" t="str">
        <f>IFERROR(__xludf.DUMMYFUNCTION("GOOGLETRANSLATE(A4167, ""en"", ""mt"")"),"Identifika, tirrekluta")</f>
        <v>Identifika, tirrekluta</v>
      </c>
    </row>
    <row r="4168" ht="15.75" customHeight="1">
      <c r="A4168" s="2" t="s">
        <v>4168</v>
      </c>
      <c r="B4168" s="2" t="str">
        <f>IFERROR(__xludf.DUMMYFUNCTION("GOOGLETRANSLATE(A4168, ""en"", ""mt"")"),"Xi konvenuti tad-diżubbidjenza ċivili jagħżlu li jagħmlu diskors sfidanti, jew diskors li jispjega l-azzjonijiet tagħhom, fl-allokazzjoni. Fl-Istati Uniti v. Burgos-Andujar, konvenut li kien involut f'moviment biex iwaqqaf eżerċizzji militari billi jaqbeż"&amp;" fuq il-propjetà tan-Navy tal-Istati Uniti argumentat lill-qorti fl-allokazzjoni li ""dawk li qed jiksru l-liġi akbar huma l-membri tan-Navy"". Bħala riżultat, l-imħallef żied is-sentenza tagħha minn 40 għal 60 jum. Din l-azzjoni ġiet ikkonfermata għaliex"&amp;", skont il-Qorti tal-Appelli tal-Istati Uniti għall-Ewwel Ċirkwit, id-dikjarazzjoni tagħha ssuġġeriet nuqqas ta ’dispjaċir, tentattiv biex tevita r-responsabbiltà għall-azzjonijiet tagħha, u anke probabbiltà li tirrepeti l-azzjonijiet illegali tagħha. Uħu"&amp;"d mid-diskorsi l-oħra ta ’allokazzjoni mogħtija mill-protestanti ilmentaw dwar trattament ħażin minn uffiċjali tal-gvern.")</f>
        <v>Xi konvenuti tad-diżubbidjenza ċivili jagħżlu li jagħmlu diskors sfidanti, jew diskors li jispjega l-azzjonijiet tagħhom, fl-allokazzjoni. Fl-Istati Uniti v. Burgos-Andujar, konvenut li kien involut f'moviment biex iwaqqaf eżerċizzji militari billi jaqbeż fuq il-propjetà tan-Navy tal-Istati Uniti argumentat lill-qorti fl-allokazzjoni li "dawk li qed jiksru l-liġi akbar huma l-membri tan-Navy". Bħala riżultat, l-imħallef żied is-sentenza tagħha minn 40 għal 60 jum. Din l-azzjoni ġiet ikkonfermata għaliex, skont il-Qorti tal-Appelli tal-Istati Uniti għall-Ewwel Ċirkwit, id-dikjarazzjoni tagħha ssuġġeriet nuqqas ta ’dispjaċir, tentattiv biex tevita r-responsabbiltà għall-azzjonijiet tagħha, u anke probabbiltà li tirrepeti l-azzjonijiet illegali tagħha. Uħud mid-diskorsi l-oħra ta ’allokazzjoni mogħtija mill-protestanti ilmentaw dwar trattament ħażin minn uffiċjali tal-gvern.</v>
      </c>
    </row>
    <row r="4169" ht="15.75" customHeight="1">
      <c r="A4169" s="2" t="s">
        <v>4169</v>
      </c>
      <c r="B4169" s="2" t="str">
        <f>IFERROR(__xludf.DUMMYFUNCTION("GOOGLETRANSLATE(A4169, ""en"", ""mt"")"),"1 ta 'Ġunju, 1953")</f>
        <v>1 ta 'Ġunju, 1953</v>
      </c>
    </row>
    <row r="4170" ht="15.75" customHeight="1">
      <c r="A4170" s="2" t="s">
        <v>4170</v>
      </c>
      <c r="B4170" s="2" t="str">
        <f>IFERROR(__xludf.DUMMYFUNCTION("GOOGLETRANSLATE(A4170, ""en"", ""mt"")"),"Minn dawn il-bażijiet, in-Normanni eventwalment qabdu lil Sqallija u Malta mis-Saraċens, taħt it-tmexxija tal-famuż Robert Guiscard, Hauteville, u ħuh iżgħar Roger The Great Count. It-tifel ta 'Roger, Roger II ta' Sqallija, ġie inkurunat Re fl-1130 (eżatt"&amp;"ament seklu wara li Rainulf kien ""inkurunat"" għadd) minn Antipope Anacletus II. Ir-renju ta ’Sqallija dam sal-1194, meta ġie trasferit fid-dar ta’ Hohenstaufen permezz taż-żwieġ. In-Normanni ħallew il-wirt tagħhom f'ħafna kastelli, bħalma huma ċ-Ċittade"&amp;"lla ta 'William Iron Arm fi Squillace, u l-katidrali, bħall-kappella Cappella Palatina ta' Roger II f'Palermo, li dot il-pajsaġġ u tagħti togħma arkitettonika kompletament distinta biex takkumpanja l-istorja unika tagħha.")</f>
        <v>Minn dawn il-bażijiet, in-Normanni eventwalment qabdu lil Sqallija u Malta mis-Saraċens, taħt it-tmexxija tal-famuż Robert Guiscard, Hauteville, u ħuh iżgħar Roger The Great Count. It-tifel ta 'Roger, Roger II ta' Sqallija, ġie inkurunat Re fl-1130 (eżattament seklu wara li Rainulf kien "inkurunat" għadd) minn Antipope Anacletus II. Ir-renju ta ’Sqallija dam sal-1194, meta ġie trasferit fid-dar ta’ Hohenstaufen permezz taż-żwieġ. In-Normanni ħallew il-wirt tagħhom f'ħafna kastelli, bħalma huma ċ-Ċittadella ta 'William Iron Arm fi Squillace, u l-katidrali, bħall-kappella Cappella Palatina ta' Roger II f'Palermo, li dot il-pajsaġġ u tagħti togħma arkitettonika kompletament distinta biex takkumpanja l-istorja unika tagħha.</v>
      </c>
    </row>
    <row r="4171" ht="15.75" customHeight="1">
      <c r="A4171" s="2" t="s">
        <v>4171</v>
      </c>
      <c r="B4171" s="2" t="str">
        <f>IFERROR(__xludf.DUMMYFUNCTION("GOOGLETRANSLATE(A4171, ""en"", ""mt"")"),"Liema rapport kellu d-data t-tajba?")</f>
        <v>Liema rapport kellu d-data t-tajba?</v>
      </c>
    </row>
    <row r="4172" ht="15.75" customHeight="1">
      <c r="A4172" s="2" t="s">
        <v>4172</v>
      </c>
      <c r="B4172" s="2" t="str">
        <f>IFERROR(__xludf.DUMMYFUNCTION("GOOGLETRANSLATE(A4172, ""en"", ""mt"")"),"X'għandu jipprovdi l-iżvilupp ta 'din il-ħamrija fertili f'ambjent ostili?")</f>
        <v>X'għandu jipprovdi l-iżvilupp ta 'din il-ħamrija fertili f'ambjent ostili?</v>
      </c>
    </row>
    <row r="4173" ht="15.75" customHeight="1">
      <c r="A4173" s="2" t="s">
        <v>4173</v>
      </c>
      <c r="B4173" s="2" t="str">
        <f>IFERROR(__xludf.DUMMYFUNCTION("GOOGLETRANSLATE(A4173, ""en"", ""mt"")"),"marea")</f>
        <v>marea</v>
      </c>
    </row>
    <row r="4174" ht="15.75" customHeight="1">
      <c r="A4174" s="2" t="s">
        <v>4174</v>
      </c>
      <c r="B4174" s="2" t="str">
        <f>IFERROR(__xludf.DUMMYFUNCTION("GOOGLETRANSLATE(A4174, ""en"", ""mt"")"),"Kumpanija postali")</f>
        <v>Kumpanija postali</v>
      </c>
    </row>
    <row r="4175" ht="15.75" customHeight="1">
      <c r="A4175" s="2" t="s">
        <v>4175</v>
      </c>
      <c r="B4175" s="2" t="str">
        <f>IFERROR(__xludf.DUMMYFUNCTION("GOOGLETRANSLATE(A4175, ""en"", ""mt"")"),"Min-naħa l-oħra, inugwaljanza ekonomika ogħla għandha tendenza li żżid ir-rati ta 'intraprenditorija fil-livell individwali (impjieg indipendenti). Madankollu, ħafna minnu ħafna drabi huma bbażati fuq il-ħtieġa aktar milli l-opportunità. L-intraprenditori"&amp;"ja bbażata fuq il-ħtieġa hija motivata mill-bżonnijiet ta 'sopravivenza bħal dħul għall-ikel u kenn (motivazzjonijiet ""push""), filwaqt li l-intraprenditorija bbażata fuq l-opportunità hija mmexxija minn motivazzjonijiet orjentati lejn il-kisba (""pull"""&amp;") bħal vokazzjoni u aktar probabbli li tinvolvi l-insegwiment ta 'prodotti ġodda, servizzi, jew bżonnijiet tas-suq li mhumiex sottovalutati. L-impatt ekonomiku tal-ewwel tip ta 'intraprenditorjaliżmu għandu tendenza li jerġa' jqassam filwaqt li dan tal-aħ"&amp;"ħar huwa mistenni li jrawwem il-progress teknoloġiku u b'hekk għandu impatt aktar pożittiv fuq it-tkabbir ekonomiku.")</f>
        <v>Min-naħa l-oħra, inugwaljanza ekonomika ogħla għandha tendenza li żżid ir-rati ta 'intraprenditorija fil-livell individwali (impjieg indipendenti). Madankollu, ħafna minnu ħafna drabi huma bbażati fuq il-ħtieġa aktar milli l-opportunità. L-intraprenditorija bbażata fuq il-ħtieġa hija motivata mill-bżonnijiet ta 'sopravivenza bħal dħul għall-ikel u kenn (motivazzjonijiet "push"), filwaqt li l-intraprenditorija bbażata fuq l-opportunità hija mmexxija minn motivazzjonijiet orjentati lejn il-kisba ("pull") bħal vokazzjoni u aktar probabbli li tinvolvi l-insegwiment ta 'prodotti ġodda, servizzi, jew bżonnijiet tas-suq li mhumiex sottovalutati. L-impatt ekonomiku tal-ewwel tip ta 'intraprenditorjaliżmu għandu tendenza li jerġa' jqassam filwaqt li dan tal-aħħar huwa mistenni li jrawwem il-progress teknoloġiku u b'hekk għandu impatt aktar pożittiv fuq it-tkabbir ekonomiku.</v>
      </c>
    </row>
    <row r="4176" ht="15.75" customHeight="1">
      <c r="A4176" s="2" t="s">
        <v>4176</v>
      </c>
      <c r="B4176" s="2" t="str">
        <f>IFERROR(__xludf.DUMMYFUNCTION("GOOGLETRANSLATE(A4176, ""en"", ""mt"")"),"Ordni mill-ġdid tal-gvern u tas-soċjetà skont ix-Shari'a")</f>
        <v>Ordni mill-ġdid tal-gvern u tas-soċjetà skont ix-Shari'a</v>
      </c>
    </row>
    <row r="4177" ht="15.75" customHeight="1">
      <c r="A4177" s="2" t="s">
        <v>4177</v>
      </c>
      <c r="B4177" s="2" t="str">
        <f>IFERROR(__xludf.DUMMYFUNCTION("GOOGLETRANSLATE(A4177, ""en"", ""mt"")"),"Hu li jagħmel affarijiet kbar")</f>
        <v>Hu li jagħmel affarijiet kbar</v>
      </c>
    </row>
    <row r="4178" ht="15.75" customHeight="1">
      <c r="A4178" s="2" t="s">
        <v>4178</v>
      </c>
      <c r="B4178" s="2" t="str">
        <f>IFERROR(__xludf.DUMMYFUNCTION("GOOGLETRANSLATE(A4178, ""en"", ""mt"")"),"Xi jfisser żieda fil-konċentrazzjonijiet ta 'ossiġnu fil-pulmuni tal-pazjent?")</f>
        <v>Xi jfisser żieda fil-konċentrazzjonijiet ta 'ossiġnu fil-pulmuni tal-pazjent?</v>
      </c>
    </row>
    <row r="4179" ht="15.75" customHeight="1">
      <c r="A4179" s="2" t="s">
        <v>4179</v>
      </c>
      <c r="B4179" s="2" t="str">
        <f>IFERROR(__xludf.DUMMYFUNCTION("GOOGLETRANSLATE(A4179, ""en"", ""mt"")"),"Bħala membru tal-korp korporattiv Parlamentari Skoċċiż, l-uffiċjal li jippresiedi huwa responsabbli biex jiżgura li l-Parlament jiffunzjona b'mod effettiv u jkollu l-persunal, il-propjetà u r-riżorsi li jeħtieġ biex jopera. Li tlaqqa 'l-Uffiċċju Parlament"&amp;"ari, li jalloka l-ħin u jistabbilixxi l-aġenda tax-xogħol fil-kamra, huwa ieħor mir-rwoli tal-uffiċjal li jippresiedi. Taħt l-ordnijiet permanenti tal-Parlament il-Bureau jikkonsisti fl-uffiċjal li jippresiedi u rappreżentant wieħed minn kull partiti poli"&amp;"tiċi b'ħames siġġijiet jew aktar fil-Parlament. Fost id-dmirijiet tal-Bureau għandhom jaqblu l-iskeda tan-negozju fil-kamra, jistabbilixxu n-numru, il-mandat u s-sħubija fil-kumitati parlamentari u jirregolaw il-passaġġ tal-leġiżlazzjoni (kontijiet) perme"&amp;"zz tal-Parlament. L-uffiċjal li jippresiedi jirrappreżenta wkoll il-Parlament Skoċċiż f’darhom u barra mill-pajjiż f’kapaċità uffiċjali.")</f>
        <v>Bħala membru tal-korp korporattiv Parlamentari Skoċċiż, l-uffiċjal li jippresiedi huwa responsabbli biex jiżgura li l-Parlament jiffunzjona b'mod effettiv u jkollu l-persunal, il-propjetà u r-riżorsi li jeħtieġ biex jopera. Li tlaqqa 'l-Uffiċċju Parlamentari, li jalloka l-ħin u jistabbilixxi l-aġenda tax-xogħol fil-kamra, huwa ieħor mir-rwoli tal-uffiċjal li jippresiedi. Taħt l-ordnijiet permanenti tal-Parlament il-Bureau jikkonsisti fl-uffiċjal li jippresiedi u rappreżentant wieħed minn kull partiti politiċi b'ħames siġġijiet jew aktar fil-Parlament. Fost id-dmirijiet tal-Bureau għandhom jaqblu l-iskeda tan-negozju fil-kamra, jistabbilixxu n-numru, il-mandat u s-sħubija fil-kumitati parlamentari u jirregolaw il-passaġġ tal-leġiżlazzjoni (kontijiet) permezz tal-Parlament. L-uffiċjal li jippresiedi jirrappreżenta wkoll il-Parlament Skoċċiż f’darhom u barra mill-pajjiż f’kapaċità uffiċjali.</v>
      </c>
    </row>
    <row r="4180" ht="15.75" customHeight="1">
      <c r="A4180" s="2" t="s">
        <v>4180</v>
      </c>
      <c r="B4180" s="2" t="str">
        <f>IFERROR(__xludf.DUMMYFUNCTION("GOOGLETRANSLATE(A4180, ""en"", ""mt"")"),"Kemm kienu jafu l-imperaturi Mongoljani?")</f>
        <v>Kemm kienu jafu l-imperaturi Mongoljani?</v>
      </c>
    </row>
    <row r="4181" ht="15.75" customHeight="1">
      <c r="A4181" s="2" t="s">
        <v>4181</v>
      </c>
      <c r="B4181" s="2" t="str">
        <f>IFERROR(__xludf.DUMMYFUNCTION("GOOGLETRANSLATE(A4181, ""en"", ""mt"")"),"Ġestjoni fqira, diviżjonijiet interni, u scouts Kanadiżi effettivi, forzi regolari Franċiżi, u alleati tal-gwerriera Indjani")</f>
        <v>Ġestjoni fqira, diviżjonijiet interni, u scouts Kanadiżi effettivi, forzi regolari Franċiżi, u alleati tal-gwerriera Indjani</v>
      </c>
    </row>
    <row r="4182" ht="15.75" customHeight="1">
      <c r="A4182" s="2" t="s">
        <v>4182</v>
      </c>
      <c r="B4182" s="2" t="str">
        <f>IFERROR(__xludf.DUMMYFUNCTION("GOOGLETRANSLATE(A4182, ""en"", ""mt"")"),"Liema kanali tneħħew min-netwerk f'Marzu tal-2007?")</f>
        <v>Liema kanali tneħħew min-netwerk f'Marzu tal-2007?</v>
      </c>
    </row>
    <row r="4183" ht="15.75" customHeight="1">
      <c r="A4183" s="2" t="s">
        <v>4183</v>
      </c>
      <c r="B4183" s="2" t="str">
        <f>IFERROR(__xludf.DUMMYFUNCTION("GOOGLETRANSLATE(A4183, ""en"", ""mt"")"),"Ostaklu naturali formidabbli")</f>
        <v>Ostaklu naturali formidabbli</v>
      </c>
    </row>
    <row r="4184" ht="15.75" customHeight="1">
      <c r="A4184" s="2" t="s">
        <v>4184</v>
      </c>
      <c r="B4184" s="2" t="str">
        <f>IFERROR(__xludf.DUMMYFUNCTION("GOOGLETRANSLATE(A4184, ""en"", ""mt"")"),"maħtura għal diversi ministeri.")</f>
        <v>maħtura għal diversi ministeri.</v>
      </c>
    </row>
    <row r="4185" ht="15.75" customHeight="1">
      <c r="A4185" s="2" t="s">
        <v>4185</v>
      </c>
      <c r="B4185" s="2" t="str">
        <f>IFERROR(__xludf.DUMMYFUNCTION("GOOGLETRANSLATE(A4185, ""en"", ""mt"")"),"aktar minn 4.5 miljun")</f>
        <v>aktar minn 4.5 miljun</v>
      </c>
    </row>
    <row r="4186" ht="15.75" customHeight="1">
      <c r="A4186" s="2" t="s">
        <v>4186</v>
      </c>
      <c r="B4186" s="2" t="str">
        <f>IFERROR(__xludf.DUMMYFUNCTION("GOOGLETRANSLATE(A4186, ""en"", ""mt"")"),"Proporzjonalment man-numru ta 'voti riċevuti fit-tieni vot tal-votazzjoni bl-użu tal-metodu D'Hondt")</f>
        <v>Proporzjonalment man-numru ta 'voti riċevuti fit-tieni vot tal-votazzjoni bl-użu tal-metodu D'Hondt</v>
      </c>
    </row>
    <row r="4187" ht="15.75" customHeight="1">
      <c r="A4187" s="2" t="s">
        <v>4187</v>
      </c>
      <c r="B4187" s="2" t="str">
        <f>IFERROR(__xludf.DUMMYFUNCTION("GOOGLETRANSLATE(A4187, ""en"", ""mt"")"),"X'tip ta 'kumpanija huwa van gend en loos?")</f>
        <v>X'tip ta 'kumpanija huwa van gend en loos?</v>
      </c>
    </row>
    <row r="4188" ht="15.75" customHeight="1">
      <c r="A4188" s="2" t="s">
        <v>4188</v>
      </c>
      <c r="B4188" s="2" t="str">
        <f>IFERROR(__xludf.DUMMYFUNCTION("GOOGLETRANSLATE(A4188, ""en"", ""mt"")"),"Meta l-produtturi Għarbi taż-żejt neħħew l-embargo?")</f>
        <v>Meta l-produtturi Għarbi taż-żejt neħħew l-embargo?</v>
      </c>
    </row>
    <row r="4189" ht="15.75" customHeight="1">
      <c r="A4189" s="2" t="s">
        <v>4189</v>
      </c>
      <c r="B4189" s="2" t="str">
        <f>IFERROR(__xludf.DUMMYFUNCTION("GOOGLETRANSLATE(A4189, ""en"", ""mt"")"),"Kemm għamlet Von Miller f'Sup Miller fis-Super Bowl 50?")</f>
        <v>Kemm għamlet Von Miller f'Sup Miller fis-Super Bowl 50?</v>
      </c>
    </row>
    <row r="4190" ht="15.75" customHeight="1">
      <c r="A4190" s="2" t="s">
        <v>4190</v>
      </c>
      <c r="B4190" s="2" t="str">
        <f>IFERROR(__xludf.DUMMYFUNCTION("GOOGLETRANSLATE(A4190, ""en"", ""mt"")"),"F’liema kundizzjonijiet il-forzi ġew imkejla l-ewwel storikament?")</f>
        <v>F’liema kundizzjonijiet il-forzi ġew imkejla l-ewwel storikament?</v>
      </c>
    </row>
    <row r="4191" ht="15.75" customHeight="1">
      <c r="A4191" s="2" t="s">
        <v>4191</v>
      </c>
      <c r="B4191" s="2" t="str">
        <f>IFERROR(__xludf.DUMMYFUNCTION("GOOGLETRANSLATE(A4191, ""en"", ""mt"")"),"Liema perċentili ta 'prodott domestiku gross huwa magħmul minn kostruzzjoni?")</f>
        <v>Liema perċentili ta 'prodott domestiku gross huwa magħmul minn kostruzzjoni?</v>
      </c>
    </row>
    <row r="4192" ht="15.75" customHeight="1">
      <c r="A4192" s="2" t="s">
        <v>4192</v>
      </c>
      <c r="B4192" s="2" t="str">
        <f>IFERROR(__xludf.DUMMYFUNCTION("GOOGLETRANSLATE(A4192, ""en"", ""mt"")"),"Territorju fil-Lvant tal-Mississippi sal-Gran Brittanja")</f>
        <v>Territorju fil-Lvant tal-Mississippi sal-Gran Brittanja</v>
      </c>
    </row>
    <row r="4193" ht="15.75" customHeight="1">
      <c r="A4193" s="2" t="s">
        <v>4193</v>
      </c>
      <c r="B4193" s="2" t="str">
        <f>IFERROR(__xludf.DUMMYFUNCTION("GOOGLETRANSLATE(A4193, ""en"", ""mt"")"),"Minħabba li huwa ħela ta 'riżorsi")</f>
        <v>Minħabba li huwa ħela ta 'riżorsi</v>
      </c>
    </row>
    <row r="4194" ht="15.75" customHeight="1">
      <c r="A4194" s="2" t="s">
        <v>4194</v>
      </c>
      <c r="B4194" s="2" t="str">
        <f>IFERROR(__xludf.DUMMYFUNCTION("GOOGLETRANSLATE(A4194, ""en"", ""mt"")"),"Ir-reġjun ċentrali")</f>
        <v>Ir-reġjun ċentrali</v>
      </c>
    </row>
    <row r="4195" ht="15.75" customHeight="1">
      <c r="A4195" s="2" t="s">
        <v>4195</v>
      </c>
      <c r="B4195" s="2" t="str">
        <f>IFERROR(__xludf.DUMMYFUNCTION("GOOGLETRANSLATE(A4195, ""en"", ""mt"")"),"Kemm hemm tipi ta 'għalliema reliġjużi jew spiritwali fil-Kristjaneżmu?")</f>
        <v>Kemm hemm tipi ta 'għalliema reliġjużi jew spiritwali fil-Kristjaneżmu?</v>
      </c>
    </row>
    <row r="4196" ht="15.75" customHeight="1">
      <c r="A4196" s="2" t="s">
        <v>4196</v>
      </c>
      <c r="B4196" s="2" t="str">
        <f>IFERROR(__xludf.DUMMYFUNCTION("GOOGLETRANSLATE(A4196, ""en"", ""mt"")"),"X'inhu l-isem tal-ktieb miktub mill-arkeologu Betty Meggers?")</f>
        <v>X'inhu l-isem tal-ktieb miktub mill-arkeologu Betty Meggers?</v>
      </c>
    </row>
    <row r="4197" ht="15.75" customHeight="1">
      <c r="A4197" s="2" t="s">
        <v>4197</v>
      </c>
      <c r="B4197" s="2" t="str">
        <f>IFERROR(__xludf.DUMMYFUNCTION("GOOGLETRANSLATE(A4197, ""en"", ""mt"")"),"Min poġġa esibizzjoni ta 'Doctor Who fl-1991?")</f>
        <v>Min poġġa esibizzjoni ta 'Doctor Who fl-1991?</v>
      </c>
    </row>
    <row r="4198" ht="15.75" customHeight="1">
      <c r="A4198" s="2" t="s">
        <v>4198</v>
      </c>
      <c r="B4198" s="2" t="str">
        <f>IFERROR(__xludf.DUMMYFUNCTION("GOOGLETRANSLATE(A4198, ""en"", ""mt"")"),"Grazzja prevenjenti")</f>
        <v>Grazzja prevenjenti</v>
      </c>
    </row>
    <row r="4199" ht="15.75" customHeight="1">
      <c r="A4199" s="2" t="s">
        <v>4199</v>
      </c>
      <c r="B4199" s="2" t="str">
        <f>IFERROR(__xludf.DUMMYFUNCTION("GOOGLETRANSLATE(A4199, ""en"", ""mt"")"),"L-10 u l-11-il seklu")</f>
        <v>L-10 u l-11-il seklu</v>
      </c>
    </row>
    <row r="4200" ht="15.75" customHeight="1">
      <c r="A4200" s="2" t="s">
        <v>4200</v>
      </c>
      <c r="B4200" s="2" t="str">
        <f>IFERROR(__xludf.DUMMYFUNCTION("GOOGLETRANSLATE(A4200, ""en"", ""mt"")"),"L-epoka tal-Pleistocene sseħħ matul liema perjodu?")</f>
        <v>L-epoka tal-Pleistocene sseħħ matul liema perjodu?</v>
      </c>
    </row>
    <row r="4201" ht="15.75" customHeight="1">
      <c r="A4201" s="2" t="s">
        <v>4201</v>
      </c>
      <c r="B4201" s="2" t="str">
        <f>IFERROR(__xludf.DUMMYFUNCTION("GOOGLETRANSLATE(A4201, ""en"", ""mt"")"),"l-ogħla")</f>
        <v>l-ogħla</v>
      </c>
    </row>
    <row r="4202" ht="15.75" customHeight="1">
      <c r="A4202" s="2" t="s">
        <v>4202</v>
      </c>
      <c r="B4202" s="2" t="str">
        <f>IFERROR(__xludf.DUMMYFUNCTION("GOOGLETRANSLATE(A4202, ""en"", ""mt"")"),"L-ekonomista Simon Kuznets argumenta li l-livelli ta 'inugwaljanza ekonomika huma fil-parti l-kbira r-riżultat ta' stadji ta 'żvilupp. Skond Kuznets, pajjiżi b'livelli baxxi ta 'żvilupp għandhom distribuzzjonijiet relattivament ugwali ta' ġid. Hekk kif ji"&amp;"żviluppa pajjiż, huwa jakkwista aktar kapital, li jwassal biex is-sidien ta 'dan il-kapital ikollhom aktar ġid u dħul u jintroduċu inugwaljanza. Eventwalment, permezz ta 'diversi mekkaniżmi ta' tqassim mill-ġdid possibbli bħal programmi ta 'benesseri soċj"&amp;"ali, pajjiżi aktar żviluppati jmorru lura għal livelli aktar baxxi ta' inugwaljanza.")</f>
        <v>L-ekonomista Simon Kuznets argumenta li l-livelli ta 'inugwaljanza ekonomika huma fil-parti l-kbira r-riżultat ta' stadji ta 'żvilupp. Skond Kuznets, pajjiżi b'livelli baxxi ta 'żvilupp għandhom distribuzzjonijiet relattivament ugwali ta' ġid. Hekk kif jiżviluppa pajjiż, huwa jakkwista aktar kapital, li jwassal biex is-sidien ta 'dan il-kapital ikollhom aktar ġid u dħul u jintroduċu inugwaljanza. Eventwalment, permezz ta 'diversi mekkaniżmi ta' tqassim mill-ġdid possibbli bħal programmi ta 'benesseri soċjali, pajjiżi aktar żviluppati jmorru lura għal livelli aktar baxxi ta' inugwaljanza.</v>
      </c>
    </row>
    <row r="4203" ht="15.75" customHeight="1">
      <c r="A4203" s="2" t="s">
        <v>4203</v>
      </c>
      <c r="B4203" s="2" t="str">
        <f>IFERROR(__xludf.DUMMYFUNCTION("GOOGLETRANSLATE(A4203, ""en"", ""mt"")"),"Liema komposti fl-istonku jipproteġu kontra patoġeni inġeriti?")</f>
        <v>Liema komposti fl-istonku jipproteġu kontra patoġeni inġeriti?</v>
      </c>
    </row>
    <row r="4204" ht="15.75" customHeight="1">
      <c r="A4204" s="2" t="s">
        <v>4204</v>
      </c>
      <c r="B4204" s="2" t="str">
        <f>IFERROR(__xludf.DUMMYFUNCTION("GOOGLETRANSLATE(A4204, ""en"", ""mt"")"),"X'kien qed jistudja Iqbal fl-Ingilterra u l-Ġermanja?")</f>
        <v>X'kien qed jistudja Iqbal fl-Ingilterra u l-Ġermanja?</v>
      </c>
    </row>
    <row r="4205" ht="15.75" customHeight="1">
      <c r="A4205" s="2" t="s">
        <v>4205</v>
      </c>
      <c r="B4205" s="2" t="str">
        <f>IFERROR(__xludf.DUMMYFUNCTION("GOOGLETRANSLATE(A4205, ""en"", ""mt"")"),"X'suġġerit baxx li juża Apollo 8 minflok sempliċement orbita l-wiċċ tad-Dinja?")</f>
        <v>X'suġġerit baxx li juża Apollo 8 minflok sempliċement orbita l-wiċċ tad-Dinja?</v>
      </c>
    </row>
    <row r="4206" ht="15.75" customHeight="1">
      <c r="A4206" s="2" t="s">
        <v>4206</v>
      </c>
      <c r="B4206" s="2" t="str">
        <f>IFERROR(__xludf.DUMMYFUNCTION("GOOGLETRANSLATE(A4206, ""en"", ""mt"")"),"kwozjent")</f>
        <v>kwozjent</v>
      </c>
    </row>
    <row r="4207" ht="15.75" customHeight="1">
      <c r="A4207" s="2" t="s">
        <v>4207</v>
      </c>
      <c r="B4207" s="2" t="str">
        <f>IFERROR(__xludf.DUMMYFUNCTION("GOOGLETRANSLATE(A4207, ""en"", ""mt"")"),"tevita l-użu bla bżonn ta 'medikazzjoni li jista' jkollha effetti sekondarji")</f>
        <v>tevita l-użu bla bżonn ta 'medikazzjoni li jista' jkollha effetti sekondarji</v>
      </c>
    </row>
    <row r="4208" ht="15.75" customHeight="1">
      <c r="A4208" s="2" t="s">
        <v>4208</v>
      </c>
      <c r="B4208" s="2" t="str">
        <f>IFERROR(__xludf.DUMMYFUNCTION("GOOGLETRANSLATE(A4208, ""en"", ""mt"")"),"Istitut Nazzjonali Brażiljan tar-Riċerka tal-Amażonja")</f>
        <v>Istitut Nazzjonali Brażiljan tar-Riċerka tal-Amażonja</v>
      </c>
    </row>
    <row r="4209" ht="15.75" customHeight="1">
      <c r="A4209" s="2" t="s">
        <v>4209</v>
      </c>
      <c r="B4209" s="2" t="str">
        <f>IFERROR(__xludf.DUMMYFUNCTION("GOOGLETRANSLATE(A4209, ""en"", ""mt"")"),"xemx")</f>
        <v>xemx</v>
      </c>
    </row>
    <row r="4210" ht="15.75" customHeight="1">
      <c r="A4210" s="2" t="s">
        <v>4210</v>
      </c>
      <c r="B4210" s="2" t="str">
        <f>IFERROR(__xludf.DUMMYFUNCTION("GOOGLETRANSLATE(A4210, ""en"", ""mt"")"),"kwiet")</f>
        <v>kwiet</v>
      </c>
    </row>
    <row r="4211" ht="15.75" customHeight="1">
      <c r="A4211" s="2" t="s">
        <v>4211</v>
      </c>
      <c r="B4211" s="2" t="str">
        <f>IFERROR(__xludf.DUMMYFUNCTION("GOOGLETRANSLATE(A4211, ""en"", ""mt"")"),"Kontra liema pajjiż kien is-superjorità promettenti Kennedy?")</f>
        <v>Kontra liema pajjiż kien is-superjorità promettenti Kennedy?</v>
      </c>
    </row>
    <row r="4212" ht="15.75" customHeight="1">
      <c r="A4212" s="2" t="s">
        <v>4212</v>
      </c>
      <c r="B4212" s="2" t="str">
        <f>IFERROR(__xludf.DUMMYFUNCTION("GOOGLETRANSLATE(A4212, ""en"", ""mt"")"),"Il-Ġermanja")</f>
        <v>Il-Ġermanja</v>
      </c>
    </row>
    <row r="4213" ht="15.75" customHeight="1">
      <c r="A4213" s="2" t="s">
        <v>4213</v>
      </c>
      <c r="B4213" s="2" t="str">
        <f>IFERROR(__xludf.DUMMYFUNCTION("GOOGLETRANSLATE(A4213, ""en"", ""mt"")"),"Inerzja rotazzjonali")</f>
        <v>Inerzja rotazzjonali</v>
      </c>
    </row>
    <row r="4214" ht="15.75" customHeight="1">
      <c r="A4214" s="2" t="s">
        <v>4214</v>
      </c>
      <c r="B4214" s="2" t="str">
        <f>IFERROR(__xludf.DUMMYFUNCTION("GOOGLETRANSLATE(A4214, ""en"", ""mt"")"),"Bit-tema, skultura tal-qabar, ritratt, skultura tal-ġnien u mitoloġija")</f>
        <v>Bit-tema, skultura tal-qabar, ritratt, skultura tal-ġnien u mitoloġija</v>
      </c>
    </row>
    <row r="4215" ht="15.75" customHeight="1">
      <c r="A4215" s="2" t="s">
        <v>4215</v>
      </c>
      <c r="B4215" s="2" t="str">
        <f>IFERROR(__xludf.DUMMYFUNCTION("GOOGLETRANSLATE(A4215, ""en"", ""mt"")"),"Trasport, Drenaġġ, Skart Perikoluż u Ilma")</f>
        <v>Trasport, Drenaġġ, Skart Perikoluż u Ilma</v>
      </c>
    </row>
    <row r="4216" ht="15.75" customHeight="1">
      <c r="A4216" s="2" t="s">
        <v>4216</v>
      </c>
      <c r="B4216" s="2" t="str">
        <f>IFERROR(__xludf.DUMMYFUNCTION("GOOGLETRANSLATE(A4216, ""en"", ""mt"")"),"kant")</f>
        <v>kant</v>
      </c>
    </row>
    <row r="4217" ht="15.75" customHeight="1">
      <c r="A4217" s="2" t="s">
        <v>4217</v>
      </c>
      <c r="B4217" s="2" t="str">
        <f>IFERROR(__xludf.DUMMYFUNCTION("GOOGLETRANSLATE(A4217, ""en"", ""mt"")"),"X'kien is-suġġett tal-iżball?")</f>
        <v>X'kien is-suġġett tal-iżball?</v>
      </c>
    </row>
    <row r="4218" ht="15.75" customHeight="1">
      <c r="A4218" s="2" t="s">
        <v>4218</v>
      </c>
      <c r="B4218" s="2" t="str">
        <f>IFERROR(__xludf.DUMMYFUNCTION("GOOGLETRANSLATE(A4218, ""en"", ""mt"")"),"Super Bowl 50 Kumitat Ospitanti")</f>
        <v>Super Bowl 50 Kumitat Ospitanti</v>
      </c>
    </row>
    <row r="4219" ht="15.75" customHeight="1">
      <c r="A4219" s="2" t="s">
        <v>4219</v>
      </c>
      <c r="B4219" s="2" t="str">
        <f>IFERROR(__xludf.DUMMYFUNCTION("GOOGLETRANSLATE(A4219, ""en"", ""mt"")"),"fantaxjenza")</f>
        <v>fantaxjenza</v>
      </c>
    </row>
    <row r="4220" ht="15.75" customHeight="1">
      <c r="A4220" s="2" t="s">
        <v>4220</v>
      </c>
      <c r="B4220" s="2" t="str">
        <f>IFERROR(__xludf.DUMMYFUNCTION("GOOGLETRANSLATE(A4220, ""en"", ""mt"")"),"Missjoni Impossibli,")</f>
        <v>Missjoni Impossibli,</v>
      </c>
    </row>
    <row r="4221" ht="15.75" customHeight="1">
      <c r="A4221" s="2" t="s">
        <v>4221</v>
      </c>
      <c r="B4221" s="2" t="str">
        <f>IFERROR(__xludf.DUMMYFUNCTION("GOOGLETRANSLATE(A4221, ""en"", ""mt"")"),"Spazji tal-Blokk II")</f>
        <v>Spazji tal-Blokk II</v>
      </c>
    </row>
    <row r="4222" ht="15.75" customHeight="1">
      <c r="A4222" s="2" t="s">
        <v>4222</v>
      </c>
      <c r="B4222" s="2" t="str">
        <f>IFERROR(__xludf.DUMMYFUNCTION("GOOGLETRANSLATE(A4222, ""en"", ""mt"")"),"Orbiter ta 'għarfien robotiku lunar")</f>
        <v>Orbiter ta 'għarfien robotiku lunar</v>
      </c>
    </row>
    <row r="4223" ht="15.75" customHeight="1">
      <c r="A4223" s="2" t="s">
        <v>4223</v>
      </c>
      <c r="B4223" s="2" t="str">
        <f>IFERROR(__xludf.DUMMYFUNCTION("GOOGLETRANSLATE(A4223, ""en"", ""mt"")"),"kontra l-mard")</f>
        <v>kontra l-mard</v>
      </c>
    </row>
    <row r="4224" ht="15.75" customHeight="1">
      <c r="A4224" s="2" t="s">
        <v>4224</v>
      </c>
      <c r="B4224" s="2" t="str">
        <f>IFERROR(__xludf.DUMMYFUNCTION("GOOGLETRANSLATE(A4224, ""en"", ""mt"")"),"Huguenots Franċiżi għamlu żewġ tentattivi biex jistabbilixxu kenn fl-Amerika ta 'Fuq. Fl-1562, l-Uffiċjal Navali Jean Ribault mexxa spedizzjoni li esplorat Florida u l-ġurnata tax-xlokk tal-Istati Uniti, u waqqfet l-imbiegħed ta 'Charlesfort fuq il-Gżira "&amp;"Parris, South Carolina. Il-gwerer tar-reliġjon ma ppreklurawx vjaġġ bir-ritorn, u l-imbiegħed ġie abbandunat. Fl-1564, l-ex-logutenent ta 'Ribault René Goulaine de Laudonnière nediet it-tieni vjaġġ biex tibni kolonja; Huwa stabbilixxa Fort Caroline f'dak "&amp;"li issa huwa Jacksonville, Florida. Gwerra fid-dar reġgħet prekludiet missjoni ta 'provvista mill-ġdid, u l-kolonja tħabat. Fl-1565 l-Ispanjol iddeċieda li jinforza t-talba tagħhom lil La Florida, u bagħat lil Pedro Menéndez de Avilés, li stabbilixxa s-so"&amp;"luzzjoni ta ’Santu Wistin qrib Fort Caroline. Il-forzi ta 'Menéndez rotta l-Franċiżi u eżegwew ħafna mill-magħluqin Protestanti.")</f>
        <v>Huguenots Franċiżi għamlu żewġ tentattivi biex jistabbilixxu kenn fl-Amerika ta 'Fuq. Fl-1562, l-Uffiċjal Navali Jean Ribault mexxa spedizzjoni li esplorat Florida u l-ġurnata tax-xlokk tal-Istati Uniti, u waqqfet l-imbiegħed ta 'Charlesfort fuq il-Gżira Parris, South Carolina. Il-gwerer tar-reliġjon ma ppreklurawx vjaġġ bir-ritorn, u l-imbiegħed ġie abbandunat. Fl-1564, l-ex-logutenent ta 'Ribault René Goulaine de Laudonnière nediet it-tieni vjaġġ biex tibni kolonja; Huwa stabbilixxa Fort Caroline f'dak li issa huwa Jacksonville, Florida. Gwerra fid-dar reġgħet prekludiet missjoni ta 'provvista mill-ġdid, u l-kolonja tħabat. Fl-1565 l-Ispanjol iddeċieda li jinforza t-talba tagħhom lil La Florida, u bagħat lil Pedro Menéndez de Avilés, li stabbilixxa s-soluzzjoni ta ’Santu Wistin qrib Fort Caroline. Il-forzi ta 'Menéndez rotta l-Franċiżi u eżegwew ħafna mill-magħluqin Protestanti.</v>
      </c>
    </row>
    <row r="4225" ht="15.75" customHeight="1">
      <c r="A4225" s="2" t="s">
        <v>4225</v>
      </c>
      <c r="B4225" s="2" t="str">
        <f>IFERROR(__xludf.DUMMYFUNCTION("GOOGLETRANSLATE(A4225, ""en"", ""mt"")"),"il-weraq")</f>
        <v>il-weraq</v>
      </c>
    </row>
    <row r="4226" ht="15.75" customHeight="1">
      <c r="A4226" s="2" t="s">
        <v>4226</v>
      </c>
      <c r="B4226" s="2" t="str">
        <f>IFERROR(__xludf.DUMMYFUNCTION("GOOGLETRANSLATE(A4226, ""en"", ""mt"")"),"Kemm iddum Tesla din il-pożizzjoni?")</f>
        <v>Kemm iddum Tesla din il-pożizzjoni?</v>
      </c>
    </row>
    <row r="4227" ht="15.75" customHeight="1">
      <c r="A4227" s="2" t="s">
        <v>4227</v>
      </c>
      <c r="B4227" s="2" t="str">
        <f>IFERROR(__xludf.DUMMYFUNCTION("GOOGLETRANSLATE(A4227, ""en"", ""mt"")"),"L-istaġun 2013–14 kien titjib żgħir għal ABC bi tliet hits ġodda fil-Goldbergs, aġenti ta ’S.H.I.E.L.D. u l-irxoxt, li kollha ġew imġedda; Madankollu, dak l-istaġun ra l-kanċellazzjonijiet ta 'holdovers tal-ġirien (li nħalqu fl-islott il-ġdid tal-Ġimgħa l"&amp;"-Ġimgħa minkejja li ġew imfissra mill-Last Man wieqaf u l-klieb il-baħar) u suburgatorji. L-NBC, li baqa 'lura wara ABC għal tmien snin, temm l-istaġun fl-ewwel post fid-demografija 18-49 għall-ewwel darba mill-2004, u fit-tieni post fit-telespettazzjoni "&amp;"totali wara CBS dominanti fit-tul. ABC innifsu kien se jispiċċa l-istaġun fit-tielet post hekk kif Fox ġġarraf għar-raba 'fiż-żewġ demografiji.")</f>
        <v>L-istaġun 2013–14 kien titjib żgħir għal ABC bi tliet hits ġodda fil-Goldbergs, aġenti ta ’S.H.I.E.L.D. u l-irxoxt, li kollha ġew imġedda; Madankollu, dak l-istaġun ra l-kanċellazzjonijiet ta 'holdovers tal-ġirien (li nħalqu fl-islott il-ġdid tal-Ġimgħa l-Ġimgħa minkejja li ġew imfissra mill-Last Man wieqaf u l-klieb il-baħar) u suburgatorji. L-NBC, li baqa 'lura wara ABC għal tmien snin, temm l-istaġun fl-ewwel post fid-demografija 18-49 għall-ewwel darba mill-2004, u fit-tieni post fit-telespettazzjoni totali wara CBS dominanti fit-tul. ABC innifsu kien se jispiċċa l-istaġun fit-tielet post hekk kif Fox ġġarraf għar-raba 'fiż-żewġ demografiji.</v>
      </c>
    </row>
    <row r="4228" ht="15.75" customHeight="1">
      <c r="A4228" s="2" t="s">
        <v>4228</v>
      </c>
      <c r="B4228" s="2" t="str">
        <f>IFERROR(__xludf.DUMMYFUNCTION("GOOGLETRANSLATE(A4228, ""en"", ""mt"")"),"Qabel ma beda l-programm Apollo, Wernher von Braun u t-tim tiegħu ta 'inġiniera tar-rokits kienu bdew jaħdmu fuq pjanijiet għal vetturi ta' tnedija kbar ħafna, is-serje Saturn, u s-serje Nova saħansitra akbar. F'nofs dawn il-pjanijiet, von Braun ġie trasf"&amp;"erit mill-armata għan-NASA, u għamel direttur taċ-Ċentru tat-Titjira Spazjali Marshall. Il-pjan inizjali ta 'tlugħ dirett biex jibgħat il-modulu ta' kmand / servizz Apollo ta 'tliet persuni direttament fuq il-wiċċ Lunar, fuq il-parti ta' rokit ta 'dixxend"&amp;"enza kbira, ikun jeħtieġ lanċjatur ta' klassi Nova, b'kapaċità ta 'tagħbija ta' tagħbija lunari ta 'aktar minn 180,000 lira (82,000 kg). Il-11 ta 'Ġunju, 1962, id-deċiżjoni li tuża Lunar Orbit Rendezvous ippermettiet lis-Saturnu V biex jissostitwixxi n-No"&amp;"va, u l-MSFC ipproċeda biex jiżviluppa l-familja tar-rokit Saturn għal Apollo.")</f>
        <v>Qabel ma beda l-programm Apollo, Wernher von Braun u t-tim tiegħu ta 'inġiniera tar-rokits kienu bdew jaħdmu fuq pjanijiet għal vetturi ta' tnedija kbar ħafna, is-serje Saturn, u s-serje Nova saħansitra akbar. F'nofs dawn il-pjanijiet, von Braun ġie trasferit mill-armata għan-NASA, u għamel direttur taċ-Ċentru tat-Titjira Spazjali Marshall. Il-pjan inizjali ta 'tlugħ dirett biex jibgħat il-modulu ta' kmand / servizz Apollo ta 'tliet persuni direttament fuq il-wiċċ Lunar, fuq il-parti ta' rokit ta 'dixxendenza kbira, ikun jeħtieġ lanċjatur ta' klassi Nova, b'kapaċità ta 'tagħbija ta' tagħbija lunari ta 'aktar minn 180,000 lira (82,000 kg). Il-11 ta 'Ġunju, 1962, id-deċiżjoni li tuża Lunar Orbit Rendezvous ippermettiet lis-Saturnu V biex jissostitwixxi n-Nova, u l-MSFC ipproċeda biex jiżviluppa l-familja tar-rokit Saturn għal Apollo.</v>
      </c>
    </row>
    <row r="4229" ht="15.75" customHeight="1">
      <c r="A4229" s="2" t="s">
        <v>4229</v>
      </c>
      <c r="B4229" s="2" t="str">
        <f>IFERROR(__xludf.DUMMYFUNCTION("GOOGLETRANSLATE(A4229, ""en"", ""mt"")"),"ippermettew studenti żgħar ħafna biex jattendu l-kulleġġ")</f>
        <v>ippermettew studenti żgħar ħafna biex jattendu l-kulleġġ</v>
      </c>
    </row>
    <row r="4230" ht="15.75" customHeight="1">
      <c r="A4230" s="2" t="s">
        <v>4230</v>
      </c>
      <c r="B4230" s="2" t="str">
        <f>IFERROR(__xludf.DUMMYFUNCTION("GOOGLETRANSLATE(A4230, ""en"", ""mt"")"),"Seminarju Teoloġiku ta ’Chicago")</f>
        <v>Seminarju Teoloġiku ta ’Chicago</v>
      </c>
    </row>
    <row r="4231" ht="15.75" customHeight="1">
      <c r="A4231" s="2" t="s">
        <v>4231</v>
      </c>
      <c r="B4231" s="2" t="str">
        <f>IFERROR(__xludf.DUMMYFUNCTION("GOOGLETRANSLATE(A4231, ""en"", ""mt"")"),"Il-Parlament Skoċċiż")</f>
        <v>Il-Parlament Skoċċiż</v>
      </c>
    </row>
    <row r="4232" ht="15.75" customHeight="1">
      <c r="A4232" s="2" t="s">
        <v>4232</v>
      </c>
      <c r="B4232" s="2" t="str">
        <f>IFERROR(__xludf.DUMMYFUNCTION("GOOGLETRANSLATE(A4232, ""en"", ""mt"")"),"Wahhabi / Salafi Jihadist Extremist Militant")</f>
        <v>Wahhabi / Salafi Jihadist Extremist Militant</v>
      </c>
    </row>
    <row r="4233" ht="15.75" customHeight="1">
      <c r="A4233" s="2" t="s">
        <v>4233</v>
      </c>
      <c r="B4233" s="2" t="str">
        <f>IFERROR(__xludf.DUMMYFUNCTION("GOOGLETRANSLATE(A4233, ""en"", ""mt"")"),"Fil-Ġermanja, l-għalliema huma prinċipalment impjegati taċ-ċivil ingaġġati fi klassijiet speċjali universitarji, imsejħa Lehramtstudien (Studji dwar l-Edukazzjoni tat-Tagħlim). Hemm ħafna differenzi bejn l-għalliema għall-iskejjel elementari (Grundschule)"&amp;", skejjel sekondarji aktar baxxi (Hauptschule), skejjel sekondarji ta 'livell medju (Realschule) u skejjel sekondarji ta' livell ogħla (Gymnasium). Is-salarji għall-għalliema jiddependu mill-iskala tas-salarji tal-impjegati taċ-ċivil (BundesBesoldungsordn"&amp;"ung).")</f>
        <v>Fil-Ġermanja, l-għalliema huma prinċipalment impjegati taċ-ċivil ingaġġati fi klassijiet speċjali universitarji, imsejħa Lehramtstudien (Studji dwar l-Edukazzjoni tat-Tagħlim). Hemm ħafna differenzi bejn l-għalliema għall-iskejjel elementari (Grundschule), skejjel sekondarji aktar baxxi (Hauptschule), skejjel sekondarji ta 'livell medju (Realschule) u skejjel sekondarji ta' livell ogħla (Gymnasium). Is-salarji għall-għalliema jiddependu mill-iskala tas-salarji tal-impjegati taċ-ċivil (BundesBesoldungsordnung).</v>
      </c>
    </row>
    <row r="4234" ht="15.75" customHeight="1">
      <c r="A4234" s="2" t="s">
        <v>4234</v>
      </c>
      <c r="B4234" s="2" t="str">
        <f>IFERROR(__xludf.DUMMYFUNCTION("GOOGLETRANSLATE(A4234, ""en"", ""mt"")"),"Seklu 10")</f>
        <v>Seklu 10</v>
      </c>
    </row>
    <row r="4235" ht="15.75" customHeight="1">
      <c r="A4235" s="2" t="s">
        <v>4235</v>
      </c>
      <c r="B4235" s="2" t="str">
        <f>IFERROR(__xludf.DUMMYFUNCTION("GOOGLETRANSLATE(A4235, ""en"", ""mt"")"),"Għaliex il-lagi żgħar fil-parks huma mbattla qabel ix-xitwa?")</f>
        <v>Għaliex il-lagi żgħar fil-parks huma mbattla qabel ix-xitwa?</v>
      </c>
    </row>
    <row r="4236" ht="15.75" customHeight="1">
      <c r="A4236" s="2" t="s">
        <v>4236</v>
      </c>
      <c r="B4236" s="2" t="str">
        <f>IFERROR(__xludf.DUMMYFUNCTION("GOOGLETRANSLATE(A4236, ""en"", ""mt"")"),"11.4 miljun")</f>
        <v>11.4 miljun</v>
      </c>
    </row>
    <row r="4237" ht="15.75" customHeight="1">
      <c r="A4237" s="2" t="s">
        <v>4237</v>
      </c>
      <c r="B4237" s="2" t="str">
        <f>IFERROR(__xludf.DUMMYFUNCTION("GOOGLETRANSLATE(A4237, ""en"", ""mt"")"),"Liema rivista Tesla tkellmet dwar is-sinjali strambi?")</f>
        <v>Liema rivista Tesla tkellmet dwar is-sinjali strambi?</v>
      </c>
    </row>
    <row r="4238" ht="15.75" customHeight="1">
      <c r="A4238" s="2" t="s">
        <v>4238</v>
      </c>
      <c r="B4238" s="2" t="str">
        <f>IFERROR(__xludf.DUMMYFUNCTION("GOOGLETRANSLATE(A4238, ""en"", ""mt"")"),"Il-flora tal-belt tista 'titqies rikka ħafna fl-ispeċi. Ir-rikkezza tal-ispeċi hija dovuta l-aktar għall-lok ta 'Varsavja fir-reġjun tal-fruntiera ta' bosta reġjuni kbar tal-fjuri li jinkludu proporzjonijiet sostanzjali ta 'żoni mill-qrib għall-għaqda (fo"&amp;"resti naturali, artijiet mistagħdra tul il-vistula) kif ukoll art li tinħadem, mergħat u foresti. Bielany Forest, li tinsab fil-fruntieri ta 'Varsavja, hija l-bqija tal-foresta primordjali Masovjana. Ir-Riżerva Naturali tal-Foresti Bielany hija konnessa m"&amp;"al-Forest Kampinos. Huwa d-dar ta 'Fawna Rich u Flora. Fil-foresta hemm tliet traċċi taċ-ċikliżmu u tal-mixi. Żona kbira oħra tal-foresta hija l-foresta Kabaty mill-fruntiera tan-Nofsinhar tal-Belt. Varsavja għandha wkoll żewġ ġonna botaniċi: mill-Park ła"&amp;"zienki (unità ta ’riċerka didattika tal-Università ta’ Varsavja) kif ukoll mill-Park tal-Kultura u l-mistrieħ fil-Powsin (unità tal-Akkademja tax-Xjenza Pollakka).")</f>
        <v>Il-flora tal-belt tista 'titqies rikka ħafna fl-ispeċi. Ir-rikkezza tal-ispeċi hija dovuta l-aktar għall-lok ta 'Varsavja fir-reġjun tal-fruntiera ta' bosta reġjuni kbar tal-fjuri li jinkludu proporzjonijiet sostanzjali ta 'żoni mill-qrib għall-għaqda (foresti naturali, artijiet mistagħdra tul il-vistula) kif ukoll art li tinħadem, mergħat u foresti. Bielany Forest, li tinsab fil-fruntieri ta 'Varsavja, hija l-bqija tal-foresta primordjali Masovjana. Ir-Riżerva Naturali tal-Foresti Bielany hija konnessa mal-Forest Kampinos. Huwa d-dar ta 'Fawna Rich u Flora. Fil-foresta hemm tliet traċċi taċ-ċikliżmu u tal-mixi. Żona kbira oħra tal-foresta hija l-foresta Kabaty mill-fruntiera tan-Nofsinhar tal-Belt. Varsavja għandha wkoll żewġ ġonna botaniċi: mill-Park łazienki (unità ta ’riċerka didattika tal-Università ta’ Varsavja) kif ukoll mill-Park tal-Kultura u l-mistrieħ fil-Powsin (unità tal-Akkademja tax-Xjenza Pollakka).</v>
      </c>
    </row>
    <row r="4239" ht="15.75" customHeight="1">
      <c r="A4239" s="2" t="s">
        <v>4239</v>
      </c>
      <c r="B4239" s="2" t="str">
        <f>IFERROR(__xludf.DUMMYFUNCTION("GOOGLETRANSLATE(A4239, ""en"", ""mt"")"),"Matul l-Imperu Ruman")</f>
        <v>Matul l-Imperu Ruman</v>
      </c>
    </row>
    <row r="4240" ht="15.75" customHeight="1">
      <c r="A4240" s="2" t="s">
        <v>4240</v>
      </c>
      <c r="B4240" s="2" t="str">
        <f>IFERROR(__xludf.DUMMYFUNCTION("GOOGLETRANSLATE(A4240, ""en"", ""mt"")"),"Il-konġettura ta 'Giuga tgħid li din l-ekwazzjoni hija wkoll kundizzjoni suffiċjenti biex P tkun primarja. Konsegwenza oħra tat-teorema żgħira ta 'Fermat hija dan li ġej: Jekk P huwa numru ewlieni minbarra 2 u 5, 1 / p huwa dejjem deċimali rikurrenti, li "&amp;"l-perjodu tiegħu huwa p - 1 jew divisor ta' p - 1. il-frazzjoni 1 / p espress bl-istess mod fil-bażi Q (minflok il-bażi 10) għandu effett simili, sakemm P ma jkunx fattur ewlieni ta 'q. It-teorema ta 'Wilson tgħid li p&gt; 1 numru sħiħ huwa prim jekk u biss "&amp;"jekk il-fatt (p - 1)! + 1 huwa diviżibbli minn p. Barra minn hekk, numru sħiħ n&gt; 4 huwa kompost jekk u biss jekk (n - 1)! huwa diviżibbli minn n.")</f>
        <v>Il-konġettura ta 'Giuga tgħid li din l-ekwazzjoni hija wkoll kundizzjoni suffiċjenti biex P tkun primarja. Konsegwenza oħra tat-teorema żgħira ta 'Fermat hija dan li ġej: Jekk P huwa numru ewlieni minbarra 2 u 5, 1 / p huwa dejjem deċimali rikurrenti, li l-perjodu tiegħu huwa p - 1 jew divisor ta' p - 1. il-frazzjoni 1 / p espress bl-istess mod fil-bażi Q (minflok il-bażi 10) għandu effett simili, sakemm P ma jkunx fattur ewlieni ta 'q. It-teorema ta 'Wilson tgħid li p&gt; 1 numru sħiħ huwa prim jekk u biss jekk il-fatt (p - 1)! + 1 huwa diviżibbli minn p. Barra minn hekk, numru sħiħ n&gt; 4 huwa kompost jekk u biss jekk (n - 1)! huwa diviżibbli minn n.</v>
      </c>
    </row>
    <row r="4241" ht="15.75" customHeight="1">
      <c r="A4241" s="2" t="s">
        <v>4241</v>
      </c>
      <c r="B4241" s="2" t="str">
        <f>IFERROR(__xludf.DUMMYFUNCTION("GOOGLETRANSLATE(A4241, ""en"", ""mt"")"),"Id-dilemma ffaċċjata minn ċittadini Ġermaniżi meta l-pulizija sigrieta ta ’Hitler talbet biex tkun taf jekk kinux qed jaħbu Lhudi fid-dar tagħhom")</f>
        <v>Id-dilemma ffaċċjata minn ċittadini Ġermaniżi meta l-pulizija sigrieta ta ’Hitler talbet biex tkun taf jekk kinux qed jaħbu Lhudi fid-dar tagħhom</v>
      </c>
    </row>
    <row r="4242" ht="15.75" customHeight="1">
      <c r="A4242" s="2" t="s">
        <v>4242</v>
      </c>
      <c r="B4242" s="2" t="str">
        <f>IFERROR(__xludf.DUMMYFUNCTION("GOOGLETRANSLATE(A4242, ""en"", ""mt"")"),"Fil-laboratorju, il-bijostratigrafiċi janalizzaw kampjuni tal-blat mill-qlub u t-tħaffir għall-fossili misjuba fihom. Dawn il-fossili jgħinu lix-xjenzati biex jagħmlu l-qalba u jifhmu l-ambjent ta 'depożitu li fih iffurmaw l-unitajiet tal-blat. Il-ġeokron"&amp;"ologi jmorru b'mod preċiż il-blat fit-taqsima stratigrafika sabiex jipprovdu limiti assoluti aħjar fuq iż-żmien u r-rati ta 'deposizzjoni. Stratigraphers manjetiċi jfittxu sinjali ta 'treġġigħ lura manjetiku f'unitajiet ta' blat igneous fil-qlub tat-tħaff"&amp;"ir. Xjentisti oħra jwettqu studji ta ’iżotopi stabbli fuq il-blat biex jiksbu informazzjoni dwar il-klima tal-passat.")</f>
        <v>Fil-laboratorju, il-bijostratigrafiċi janalizzaw kampjuni tal-blat mill-qlub u t-tħaffir għall-fossili misjuba fihom. Dawn il-fossili jgħinu lix-xjenzati biex jagħmlu l-qalba u jifhmu l-ambjent ta 'depożitu li fih iffurmaw l-unitajiet tal-blat. Il-ġeokronologi jmorru b'mod preċiż il-blat fit-taqsima stratigrafika sabiex jipprovdu limiti assoluti aħjar fuq iż-żmien u r-rati ta 'deposizzjoni. Stratigraphers manjetiċi jfittxu sinjali ta 'treġġigħ lura manjetiku f'unitajiet ta' blat igneous fil-qlub tat-tħaffir. Xjentisti oħra jwettqu studji ta ’iżotopi stabbli fuq il-blat biex jiksbu informazzjoni dwar il-klima tal-passat.</v>
      </c>
    </row>
    <row r="4243" ht="15.75" customHeight="1">
      <c r="A4243" s="2" t="s">
        <v>4243</v>
      </c>
      <c r="B4243" s="2" t="str">
        <f>IFERROR(__xludf.DUMMYFUNCTION("GOOGLETRANSLATE(A4243, ""en"", ""mt"")"),"Filwaqt li l-kloroplasti primarji għandhom membrana doppja mill-antenat cyanobacterial tagħhom, il-kloroplasti sekondarji għandhom membrani addizzjonali barra mit-tnejn oriġinali, bħala riżultat tal-avveniment endosimbijotiku sekondarju, meta eukaryote mh"&amp;"ux fotosintetiku ħakem l-alga li fihom Iċ-Cyanobacterium fil-bidu ta 'din l-istorja. L-alka maħduma kienet maqsuma, u ħalliet biss il-kloroplast tagħha, u xi kultant il-membrana u n-nukleu taċ-ċellula tagħha, li jiffurmaw kloroplast bi tliet jew erba 'mem"&amp;"brani - iż-żewġ membrani ċjanobatteriċi, xi kultant il-membrana taċ-ċellula tal-alga li tittiekel, u l-vacuole phagogożomali miċ-ċellula tal-membrana taċ-ċellula ospitanti -")</f>
        <v>Filwaqt li l-kloroplasti primarji għandhom membrana doppja mill-antenat cyanobacterial tagħhom, il-kloroplasti sekondarji għandhom membrani addizzjonali barra mit-tnejn oriġinali, bħala riżultat tal-avveniment endosimbijotiku sekondarju, meta eukaryote mhux fotosintetiku ħakem l-alga li fihom Iċ-Cyanobacterium fil-bidu ta 'din l-istorja. L-alka maħduma kienet maqsuma, u ħalliet biss il-kloroplast tagħha, u xi kultant il-membrana u n-nukleu taċ-ċellula tagħha, li jiffurmaw kloroplast bi tliet jew erba 'membrani - iż-żewġ membrani ċjanobatteriċi, xi kultant il-membrana taċ-ċellula tal-alga li tittiekel, u l-vacuole phagogożomali miċ-ċellula tal-membrana taċ-ċellula ospitanti -</v>
      </c>
    </row>
    <row r="4244" ht="15.75" customHeight="1">
      <c r="A4244" s="2" t="s">
        <v>4244</v>
      </c>
      <c r="B4244" s="2" t="str">
        <f>IFERROR(__xludf.DUMMYFUNCTION("GOOGLETRANSLATE(A4244, ""en"", ""mt"")"),"Dawn l-istrutturi tal-proġett jippermettu lis-sid jintegra s-servizzi ta 'min matul id-disinn u l-kostruzzjoni?")</f>
        <v>Dawn l-istrutturi tal-proġett jippermettu lis-sid jintegra s-servizzi ta 'min matul id-disinn u l-kostruzzjoni?</v>
      </c>
    </row>
    <row r="4245" ht="15.75" customHeight="1">
      <c r="A4245" s="2" t="s">
        <v>4245</v>
      </c>
      <c r="B4245" s="2" t="str">
        <f>IFERROR(__xludf.DUMMYFUNCTION("GOOGLETRANSLATE(A4245, ""en"", ""mt"")"),"għedewwa maqbudin")</f>
        <v>għedewwa maqbudin</v>
      </c>
    </row>
    <row r="4246" ht="15.75" customHeight="1">
      <c r="A4246" s="2" t="s">
        <v>4246</v>
      </c>
      <c r="B4246" s="2" t="str">
        <f>IFERROR(__xludf.DUMMYFUNCTION("GOOGLETRANSLATE(A4246, ""en"", ""mt"")"),"$ 474 miljun")</f>
        <v>$ 474 miljun</v>
      </c>
    </row>
    <row r="4247" ht="15.75" customHeight="1">
      <c r="A4247" s="2" t="s">
        <v>4247</v>
      </c>
      <c r="B4247" s="2" t="str">
        <f>IFERROR(__xludf.DUMMYFUNCTION("GOOGLETRANSLATE(A4247, ""en"", ""mt"")"),"Problema hija meqjusa bħala inerenti diffiċli jekk is-soluzzjoni tagħha teħtieġ riżorsi sinifikanti, ikun xi jkun l-algoritmu użat. It-teorija tifformalizza din l-intwizzjoni, billi tintroduċi mudelli matematiċi ta 'komputazzjoni biex tistudja dawn il-pro"&amp;"blemi u tikkwantifika l-ammont ta' riżorsi meħtieġa biex issolvihom, bħal ħin u ħażna. Miżuri oħra ta 'kumplessità jintużaw ukoll, bħall-ammont ta' komunikazzjoni (użat fil-kumplessità tal-komunikazzjoni), in-numru ta 'xtiebi f'ċirkwit (użat fil-kumplessi"&amp;"tà taċ-ċirkwit) u n-numru ta' proċessuri (użati fil-kompjuters paralleli). Wieħed mir-rwoli tat-teorija tal-kumplessità tal-komputazzjoni huwa li jiddetermina l-limiti prattiċi fuq dak li l-kompjuters jistgħu u ma jistgħux jagħmlu.")</f>
        <v>Problema hija meqjusa bħala inerenti diffiċli jekk is-soluzzjoni tagħha teħtieġ riżorsi sinifikanti, ikun xi jkun l-algoritmu użat. It-teorija tifformalizza din l-intwizzjoni, billi tintroduċi mudelli matematiċi ta 'komputazzjoni biex tistudja dawn il-problemi u tikkwantifika l-ammont ta' riżorsi meħtieġa biex issolvihom, bħal ħin u ħażna. Miżuri oħra ta 'kumplessità jintużaw ukoll, bħall-ammont ta' komunikazzjoni (użat fil-kumplessità tal-komunikazzjoni), in-numru ta 'xtiebi f'ċirkwit (użat fil-kumplessità taċ-ċirkwit) u n-numru ta' proċessuri (użati fil-kompjuters paralleli). Wieħed mir-rwoli tat-teorija tal-kumplessità tal-komputazzjoni huwa li jiddetermina l-limiti prattiċi fuq dak li l-kompjuters jistgħu u ma jistgħux jagħmlu.</v>
      </c>
    </row>
    <row r="4248" ht="15.75" customHeight="1">
      <c r="A4248" s="2" t="s">
        <v>4248</v>
      </c>
      <c r="B4248" s="2" t="str">
        <f>IFERROR(__xludf.DUMMYFUNCTION("GOOGLETRANSLATE(A4248, ""en"", ""mt"")"),"0.3 sa 0.6 ° C")</f>
        <v>0.3 sa 0.6 ° C</v>
      </c>
    </row>
    <row r="4249" ht="15.75" customHeight="1">
      <c r="A4249" s="2" t="s">
        <v>4249</v>
      </c>
      <c r="B4249" s="2" t="str">
        <f>IFERROR(__xludf.DUMMYFUNCTION("GOOGLETRANSLATE(A4249, ""en"", ""mt"")"),"L-ewwel episodju ta 'Doctor Who ħareġ il-jum ta' wara liema avveniment famuż fl-istorja?")</f>
        <v>L-ewwel episodju ta 'Doctor Who ħareġ il-jum ta' wara liema avveniment famuż fl-istorja?</v>
      </c>
    </row>
    <row r="4250" ht="15.75" customHeight="1">
      <c r="A4250" s="2" t="s">
        <v>4250</v>
      </c>
      <c r="B4250" s="2" t="str">
        <f>IFERROR(__xludf.DUMMYFUNCTION("GOOGLETRANSLATE(A4250, ""en"", ""mt"")"),"X'jista 'jikkawża interess ta' student ogħla fit-tagħlim tas-suġġett ippreżentat?")</f>
        <v>X'jista 'jikkawża interess ta' student ogħla fit-tagħlim tas-suġġett ippreżentat?</v>
      </c>
    </row>
    <row r="4251" ht="15.75" customHeight="1">
      <c r="A4251" s="2" t="s">
        <v>4251</v>
      </c>
      <c r="B4251" s="2" t="str">
        <f>IFERROR(__xludf.DUMMYFUNCTION("GOOGLETRANSLATE(A4251, ""en"", ""mt"")"),"Seaborne")</f>
        <v>Seaborne</v>
      </c>
    </row>
    <row r="4252" ht="15.75" customHeight="1">
      <c r="A4252" s="2" t="s">
        <v>4252</v>
      </c>
      <c r="B4252" s="2" t="str">
        <f>IFERROR(__xludf.DUMMYFUNCTION("GOOGLETRANSLATE(A4252, ""en"", ""mt"")"),"Prinċipju ta 'protesta mhux vjolenti")</f>
        <v>Prinċipju ta 'protesta mhux vjolenti</v>
      </c>
    </row>
    <row r="4253" ht="15.75" customHeight="1">
      <c r="A4253" s="2" t="s">
        <v>4253</v>
      </c>
      <c r="B4253" s="2" t="str">
        <f>IFERROR(__xludf.DUMMYFUNCTION("GOOGLETRANSLATE(A4253, ""en"", ""mt"")"),"Bħala ""sieq"" muskolari")</f>
        <v>Bħala "sieq" muskolari</v>
      </c>
    </row>
    <row r="4254" ht="15.75" customHeight="1">
      <c r="A4254" s="2" t="s">
        <v>4254</v>
      </c>
      <c r="B4254" s="2" t="str">
        <f>IFERROR(__xludf.DUMMYFUNCTION("GOOGLETRANSLATE(A4254, ""en"", ""mt"")"),"Persja")</f>
        <v>Persja</v>
      </c>
    </row>
    <row r="4255" ht="15.75" customHeight="1">
      <c r="A4255" s="2" t="s">
        <v>4255</v>
      </c>
      <c r="B4255" s="2" t="str">
        <f>IFERROR(__xludf.DUMMYFUNCTION("GOOGLETRANSLATE(A4255, ""en"", ""mt"")"),"Fid-difiża tiegħu ta 'Doctor Who, x'għamel Philip Howard mas-Suq tal-Propjetà ta' Londra?")</f>
        <v>Fid-difiża tiegħu ta 'Doctor Who, x'għamel Philip Howard mas-Suq tal-Propjetà ta' Londra?</v>
      </c>
    </row>
    <row r="4256" ht="15.75" customHeight="1">
      <c r="A4256" s="2" t="s">
        <v>4256</v>
      </c>
      <c r="B4256" s="2" t="str">
        <f>IFERROR(__xludf.DUMMYFUNCTION("GOOGLETRANSLATE(A4256, ""en"", ""mt"")"),"Ekwipaġġ ta 'backup Apollo 1")</f>
        <v>Ekwipaġġ ta 'backup Apollo 1</v>
      </c>
    </row>
    <row r="4257" ht="15.75" customHeight="1">
      <c r="A4257" s="2" t="s">
        <v>4257</v>
      </c>
      <c r="B4257" s="2" t="str">
        <f>IFERROR(__xludf.DUMMYFUNCTION("GOOGLETRANSLATE(A4257, ""en"", ""mt"")"),"18 ta 'Mejju, 1756")</f>
        <v>18 ta 'Mejju, 1756</v>
      </c>
    </row>
    <row r="4258" ht="15.75" customHeight="1">
      <c r="A4258" s="2" t="s">
        <v>4258</v>
      </c>
      <c r="B4258" s="2" t="str">
        <f>IFERROR(__xludf.DUMMYFUNCTION("GOOGLETRANSLATE(A4258, ""en"", ""mt"")"),"Sit tal-Wirt Dinji tal-UNESCO.")</f>
        <v>Sit tal-Wirt Dinji tal-UNESCO.</v>
      </c>
    </row>
    <row r="4259" ht="15.75" customHeight="1">
      <c r="A4259" s="2" t="s">
        <v>4259</v>
      </c>
      <c r="B4259" s="2" t="str">
        <f>IFERROR(__xludf.DUMMYFUNCTION("GOOGLETRANSLATE(A4259, ""en"", ""mt"")"),"radikalizza l-moviment Iżlamista")</f>
        <v>radikalizza l-moviment Iżlamista</v>
      </c>
    </row>
    <row r="4260" ht="15.75" customHeight="1">
      <c r="A4260" s="2" t="s">
        <v>4260</v>
      </c>
      <c r="B4260" s="2" t="str">
        <f>IFERROR(__xludf.DUMMYFUNCTION("GOOGLETRANSLATE(A4260, ""en"", ""mt"")"),"Xi teħtieġ l-ewwel Artikolu 11 tal-Liġi tal-Kumpanija?")</f>
        <v>Xi teħtieġ l-ewwel Artikolu 11 tal-Liġi tal-Kumpanija?</v>
      </c>
    </row>
    <row r="4261" ht="15.75" customHeight="1">
      <c r="A4261" s="2" t="s">
        <v>4261</v>
      </c>
      <c r="B4261" s="2" t="str">
        <f>IFERROR(__xludf.DUMMYFUNCTION("GOOGLETRANSLATE(A4261, ""en"", ""mt"")"),"Workshop Radjofoniku tal-BBC")</f>
        <v>Workshop Radjofoniku tal-BBC</v>
      </c>
    </row>
    <row r="4262" ht="15.75" customHeight="1">
      <c r="A4262" s="2" t="s">
        <v>4262</v>
      </c>
      <c r="B4262" s="2" t="str">
        <f>IFERROR(__xludf.DUMMYFUNCTION("GOOGLETRANSLATE(A4262, ""en"", ""mt"")"),"il-movimenti tan-natura")</f>
        <v>il-movimenti tan-natura</v>
      </c>
    </row>
    <row r="4263" ht="15.75" customHeight="1">
      <c r="A4263" s="2" t="s">
        <v>4263</v>
      </c>
      <c r="B4263" s="2" t="str">
        <f>IFERROR(__xludf.DUMMYFUNCTION("GOOGLETRANSLATE(A4263, ""en"", ""mt"")"),"Kif tista 'tiġi indirizzata l-inugwaljanza umana mingħajr ma tirriżulta f'żieda ta' ħsara ambjentali?")</f>
        <v>Kif tista 'tiġi indirizzata l-inugwaljanza umana mingħajr ma tirriżulta f'żieda ta' ħsara ambjentali?</v>
      </c>
    </row>
    <row r="4264" ht="15.75" customHeight="1">
      <c r="A4264" s="2" t="s">
        <v>4264</v>
      </c>
      <c r="B4264" s="2" t="str">
        <f>IFERROR(__xludf.DUMMYFUNCTION("GOOGLETRANSLATE(A4264, ""en"", ""mt"")"),"X'se jiżgura u joħloq il-qafas għall-pjan ta 'azzjoni biex jaħdem?")</f>
        <v>X'se jiżgura u joħloq il-qafas għall-pjan ta 'azzjoni biex jaħdem?</v>
      </c>
    </row>
    <row r="4265" ht="15.75" customHeight="1">
      <c r="A4265" s="2" t="s">
        <v>4265</v>
      </c>
      <c r="B4265" s="2" t="str">
        <f>IFERROR(__xludf.DUMMYFUNCTION("GOOGLETRANSLATE(A4265, ""en"", ""mt"")"),"Il-bieb fuq id-disinn tal-blokka II eventwalment ġie sostitwit b'liema tip ta 'mudell?")</f>
        <v>Il-bieb fuq id-disinn tal-blokka II eventwalment ġie sostitwit b'liema tip ta 'mudell?</v>
      </c>
    </row>
    <row r="4266" ht="15.75" customHeight="1">
      <c r="A4266" s="2" t="s">
        <v>4266</v>
      </c>
      <c r="B4266" s="2" t="str">
        <f>IFERROR(__xludf.DUMMYFUNCTION("GOOGLETRANSLATE(A4266, ""en"", ""mt"")"),"Produttività mnaqqsa")</f>
        <v>Produttività mnaqqsa</v>
      </c>
    </row>
    <row r="4267" ht="15.75" customHeight="1">
      <c r="A4267" s="2" t="s">
        <v>4267</v>
      </c>
      <c r="B4267" s="2" t="str">
        <f>IFERROR(__xludf.DUMMYFUNCTION("GOOGLETRANSLATE(A4267, ""en"", ""mt"")"),"Fiċ-Ċina tal-Yuan, jew l-era tal-Mongolja, diversi żviluppi importanti fl-arti seħħew jew komplew fl-iżvilupp tagħhom, inklużi l-oqsma tal-pittura, il-matematika, il-kaligrafija, il-poeżija, u t-teatru, b’ħafna artisti u kittieba kbar huma famużi llum. Mi"&amp;"nħabba l-għaqda flimkien ta 'pittura, poeżija, u kaligrafija f'dan il-ħin ħafna mill-artisti li jipprattikaw dawn l-insegwiment differenti kienu l-istess individwi, għalkemm forsi aktar famużi għal qasam wieħed tal-kisbiet tagħhom minn oħrajn. Ħafna drabi"&amp;" f'termini tal-iżvilupp ulterjuri tal-pittura tal-pajsaġġ kif ukoll tal-għaqda klassika flimkien tal-arti tal-pittura, tal-poeżija, u tal-kaligrafija, id-dinastija tal-kanzunetta u d-dinastija Yuan huma marbuta flimkien. Fil-qasam tal-pittura Ċiniża matul"&amp;" id-dinastija Yuan kien hemm ħafna pitturi famużi. Fil-qasam tal-kaligrafija ħafna mill-kaligrafi l-kbar kienu mill-era tad-dinastija Yuan. Fil-poeżija tal-wan, l-iżvilupp ewlieni kien il-QU, li ntuża fost forom poetiċi oħra mill-biċċa l-kbira tal-poeti t"&amp;"al-Yuan famużi. Ħafna mill-poeti kienu involuti wkoll fl-iżviluppi ewlenin fit-teatru matul dan iż-żmien, u bil-maqlub, b'nies importanti fit-teatru jsiru famużi permezz tal-iżvilupp tat-tip Sanqu ta 'Qu. Wieħed mill-fatturi ewlenin fit-taħlita ta 'The Za"&amp;"ju Variety Show kien l-inkorporazzjoni tal-poeżija kemm klassika kif ukoll tal-forma Qu l-aktar ġdida. Wieħed mill-iżviluppi kulturali importanti matul l-era tal-wan kien il-konsolidazzjoni tal-poeżija, il-pittura, u l-kaligrafija f'biċċa unifikata tat-ti"&amp;"p li għandha t-tendenza li tiġi f'moħħna meta n-nies jaħsbu dwar l-arti Ċiniża klassika. Aspett importanti ieħor taż-żminijiet tal-wan huwa l-inkorporazzjoni dejjem tiżdied taċ-Ċiniż kurrenti u vernakolari kemm fil-forma Qu tal-poeżija kif ukoll fil-varji"&amp;" Zaju. Konsiderazzjoni importanti oħra rigward l-arti u l-kultura tad-dinastija Yuan hija li tant minnha baqgħet ħajja fiċ-Ċina, relattivament għal xogħlijiet mid-dinastija Tang u d-dinastija tal-kanzunetti, li ħafna drabi ġew ippreservati aħjar f'postiji"&amp;"et bħal Shōsōin, fil-Ġappun.")</f>
        <v>Fiċ-Ċina tal-Yuan, jew l-era tal-Mongolja, diversi żviluppi importanti fl-arti seħħew jew komplew fl-iżvilupp tagħhom, inklużi l-oqsma tal-pittura, il-matematika, il-kaligrafija, il-poeżija, u t-teatru, b’ħafna artisti u kittieba kbar huma famużi llum. Minħabba l-għaqda flimkien ta 'pittura, poeżija, u kaligrafija f'dan il-ħin ħafna mill-artisti li jipprattikaw dawn l-insegwiment differenti kienu l-istess individwi, għalkemm forsi aktar famużi għal qasam wieħed tal-kisbiet tagħhom minn oħrajn. Ħafna drabi f'termini tal-iżvilupp ulterjuri tal-pittura tal-pajsaġġ kif ukoll tal-għaqda klassika flimkien tal-arti tal-pittura, tal-poeżija, u tal-kaligrafija, id-dinastija tal-kanzunetta u d-dinastija Yuan huma marbuta flimkien. Fil-qasam tal-pittura Ċiniża matul id-dinastija Yuan kien hemm ħafna pitturi famużi. Fil-qasam tal-kaligrafija ħafna mill-kaligrafi l-kbar kienu mill-era tad-dinastija Yuan. Fil-poeżija tal-wan, l-iżvilupp ewlieni kien il-QU, li ntuża fost forom poetiċi oħra mill-biċċa l-kbira tal-poeti tal-Yuan famużi. Ħafna mill-poeti kienu involuti wkoll fl-iżviluppi ewlenin fit-teatru matul dan iż-żmien, u bil-maqlub, b'nies importanti fit-teatru jsiru famużi permezz tal-iżvilupp tat-tip Sanqu ta 'Qu. Wieħed mill-fatturi ewlenin fit-taħlita ta 'The Zaju Variety Show kien l-inkorporazzjoni tal-poeżija kemm klassika kif ukoll tal-forma Qu l-aktar ġdida. Wieħed mill-iżviluppi kulturali importanti matul l-era tal-wan kien il-konsolidazzjoni tal-poeżija, il-pittura, u l-kaligrafija f'biċċa unifikata tat-tip li għandha t-tendenza li tiġi f'moħħna meta n-nies jaħsbu dwar l-arti Ċiniża klassika. Aspett importanti ieħor taż-żminijiet tal-wan huwa l-inkorporazzjoni dejjem tiżdied taċ-Ċiniż kurrenti u vernakolari kemm fil-forma Qu tal-poeżija kif ukoll fil-varji Zaju. Konsiderazzjoni importanti oħra rigward l-arti u l-kultura tad-dinastija Yuan hija li tant minnha baqgħet ħajja fiċ-Ċina, relattivament għal xogħlijiet mid-dinastija Tang u d-dinastija tal-kanzunetti, li ħafna drabi ġew ippreservati aħjar f'postijiet bħal Shōsōin, fil-Ġappun.</v>
      </c>
    </row>
    <row r="4268" ht="15.75" customHeight="1">
      <c r="A4268" s="2" t="s">
        <v>4268</v>
      </c>
      <c r="B4268" s="2" t="str">
        <f>IFERROR(__xludf.DUMMYFUNCTION("GOOGLETRANSLATE(A4268, ""en"", ""mt"")"),"Effett ta 'serra msaħħa")</f>
        <v>Effett ta 'serra msaħħa</v>
      </c>
    </row>
    <row r="4269" ht="15.75" customHeight="1">
      <c r="A4269" s="2" t="s">
        <v>4269</v>
      </c>
      <c r="B4269" s="2" t="str">
        <f>IFERROR(__xludf.DUMMYFUNCTION("GOOGLETRANSLATE(A4269, ""en"", ""mt"")"),"Glaċieri tal-Ħimalaja")</f>
        <v>Glaċieri tal-Ħimalaja</v>
      </c>
    </row>
    <row r="4270" ht="15.75" customHeight="1">
      <c r="A4270" s="2" t="s">
        <v>4270</v>
      </c>
      <c r="B4270" s="2" t="str">
        <f>IFERROR(__xludf.DUMMYFUNCTION("GOOGLETRANSLATE(A4270, ""en"", ""mt"")"),"Partiti Politiċi")</f>
        <v>Partiti Politiċi</v>
      </c>
    </row>
    <row r="4271" ht="15.75" customHeight="1">
      <c r="A4271" s="2" t="s">
        <v>4271</v>
      </c>
      <c r="B4271" s="2" t="str">
        <f>IFERROR(__xludf.DUMMYFUNCTION("GOOGLETRANSLATE(A4271, ""en"", ""mt"")"),"Liema avveniment ikun jeħtieġ li l-passiġġieri tal-ajru jkollhom bżonn provvista supplimentari ta 'ossiġnu?")</f>
        <v>Liema avveniment ikun jeħtieġ li l-passiġġieri tal-ajru jkollhom bżonn provvista supplimentari ta 'ossiġnu?</v>
      </c>
    </row>
    <row r="4272" ht="15.75" customHeight="1">
      <c r="A4272" s="2" t="s">
        <v>4272</v>
      </c>
      <c r="B4272" s="2" t="str">
        <f>IFERROR(__xludf.DUMMYFUNCTION("GOOGLETRANSLATE(A4272, ""en"", ""mt"")"),"Liema element jintuża bħala likwidu li jkessaħ fil-proċess li jagħmel ossiġnu likwidu?")</f>
        <v>Liema element jintuża bħala likwidu li jkessaħ fil-proċess li jagħmel ossiġnu likwidu?</v>
      </c>
    </row>
    <row r="4273" ht="15.75" customHeight="1">
      <c r="A4273" s="2" t="s">
        <v>4273</v>
      </c>
      <c r="B4273" s="2" t="str">
        <f>IFERROR(__xludf.DUMMYFUNCTION("GOOGLETRANSLATE(A4273, ""en"", ""mt"")"),"Knisja Kattolika.")</f>
        <v>Knisja Kattolika.</v>
      </c>
    </row>
    <row r="4274" ht="15.75" customHeight="1">
      <c r="A4274" s="2" t="s">
        <v>4274</v>
      </c>
      <c r="B4274" s="2" t="str">
        <f>IFERROR(__xludf.DUMMYFUNCTION("GOOGLETRANSLATE(A4274, ""en"", ""mt"")"),"Negozji Żgħar Logħba Kbira")</f>
        <v>Negozji Żgħar Logħba Kbira</v>
      </c>
    </row>
    <row r="4275" ht="15.75" customHeight="1">
      <c r="A4275" s="2" t="s">
        <v>4275</v>
      </c>
      <c r="B4275" s="2" t="str">
        <f>IFERROR(__xludf.DUMMYFUNCTION("GOOGLETRANSLATE(A4275, ""en"", ""mt"")"),"Il-pesta kif infiltrat Lixandra?")</f>
        <v>Il-pesta kif infiltrat Lixandra?</v>
      </c>
    </row>
    <row r="4276" ht="15.75" customHeight="1">
      <c r="A4276" s="2" t="s">
        <v>4276</v>
      </c>
      <c r="B4276" s="2" t="str">
        <f>IFERROR(__xludf.DUMMYFUNCTION("GOOGLETRANSLATE(A4276, ""en"", ""mt"")"),"Fejn kien hemm dgħjufija fil-katina tal-provvista Ingliża?")</f>
        <v>Fejn kien hemm dgħjufija fil-katina tal-provvista Ingliża?</v>
      </c>
    </row>
    <row r="4277" ht="15.75" customHeight="1">
      <c r="A4277" s="2" t="s">
        <v>4277</v>
      </c>
      <c r="B4277" s="2" t="str">
        <f>IFERROR(__xludf.DUMMYFUNCTION("GOOGLETRANSLATE(A4277, ""en"", ""mt"")"),"5–8 μm")</f>
        <v>5–8 μm</v>
      </c>
    </row>
    <row r="4278" ht="15.75" customHeight="1">
      <c r="A4278" s="2" t="s">
        <v>4278</v>
      </c>
      <c r="B4278" s="2" t="str">
        <f>IFERROR(__xludf.DUMMYFUNCTION("GOOGLETRANSLATE(A4278, ""en"", ""mt"")"),"X'jagħmel il-klorofilla biex tagħmel l-enerġija ħafifa biex tagħmel?")</f>
        <v>X'jagħmel il-klorofilla biex tagħmel l-enerġija ħafifa biex tagħmel?</v>
      </c>
    </row>
    <row r="4279" ht="15.75" customHeight="1">
      <c r="A4279" s="2" t="s">
        <v>4279</v>
      </c>
      <c r="B4279" s="2" t="str">
        <f>IFERROR(__xludf.DUMMYFUNCTION("GOOGLETRANSLATE(A4279, ""en"", ""mt"")"),"X’għandu isimha għall-programm tat-televiżjoni tal-mużika tas-snin 1980 ""The Tube""?")</f>
        <v>X’għandu isimha għall-programm tat-televiżjoni tal-mużika tas-snin 1980 "The Tube"?</v>
      </c>
    </row>
    <row r="4280" ht="15.75" customHeight="1">
      <c r="A4280" s="2" t="s">
        <v>4280</v>
      </c>
      <c r="B4280" s="2" t="str">
        <f>IFERROR(__xludf.DUMMYFUNCTION("GOOGLETRANSLATE(A4280, ""en"", ""mt"")"),"L-infurzar tal-projbizzjoni fuq il-95 teżijiet waqa 'għall-awtoritajiet sekulari. Fit-18 ta 'April 1521, Luther deher kif ordnat qabel id-dieta tad-dud. Din kienet Assemblea Ġenerali tal-Estates tal-Imperu Ruman Imqaddes li seħħ f’Worms, belt fuq ir-Renu."&amp;" Tmexxi mit-28 ta 'Jannar sal-25 ta' Mejju 1521, bl-Imperatur Charles V jippresiedi. Il-Prinċep Frederick III, l-Elettur tas-Sassonja, kiseb kondotta sikura għal Luther lejn u mil-laqgħa.")</f>
        <v>L-infurzar tal-projbizzjoni fuq il-95 teżijiet waqa 'għall-awtoritajiet sekulari. Fit-18 ta 'April 1521, Luther deher kif ordnat qabel id-dieta tad-dud. Din kienet Assemblea Ġenerali tal-Estates tal-Imperu Ruman Imqaddes li seħħ f’Worms, belt fuq ir-Renu. Tmexxi mit-28 ta 'Jannar sal-25 ta' Mejju 1521, bl-Imperatur Charles V jippresiedi. Il-Prinċep Frederick III, l-Elettur tas-Sassonja, kiseb kondotta sikura għal Luther lejn u mil-laqgħa.</v>
      </c>
    </row>
    <row r="4281" ht="15.75" customHeight="1">
      <c r="A4281" s="2" t="s">
        <v>4281</v>
      </c>
      <c r="B4281" s="2" t="str">
        <f>IFERROR(__xludf.DUMMYFUNCTION("GOOGLETRANSLATE(A4281, ""en"", ""mt"")"),"Jirregola l-prattika tal-ispiżjara u t-tekniċi tal-ispiżerija")</f>
        <v>Jirregola l-prattika tal-ispiżjara u t-tekniċi tal-ispiżerija</v>
      </c>
    </row>
    <row r="4282" ht="15.75" customHeight="1">
      <c r="A4282" s="2" t="s">
        <v>4282</v>
      </c>
      <c r="B4282" s="2" t="str">
        <f>IFERROR(__xludf.DUMMYFUNCTION("GOOGLETRANSLATE(A4282, ""en"", ""mt"")"),"L-attività tal-bini seħħet f'ħafna palazzi nobbli u knejjes matul id-deċennji aktar tard tas-seklu 17. Wieħed mill-aħjar eżempji ta 'din l-arkitettura huma l-Palazz Krasiński (1677-1683), il-Palazz Wiranów (1677-1696) u l-Knisja ta' San Kazimierz (1688-16"&amp;"92). L-iktar eżempji impressjonanti ta 'arkitettura ta' Rococo huma l-Palazz Czapski (1712-1721), Palazz ta 'l-Erba' Irjieħ (1730s) u Knisja Viżitantista (Faċċata 1728-1761). L-arkitettura neoklassika f'Varsavja tista 'tiġi deskritta mis-sempliċità tal-fo"&amp;"rom ġeometriċi magħquda b'ispirazzjoni kbira mill-perjodu Ruman. Uħud mill-aħjar eżempji ta 'l-istil neoklasiku huma l-palazz fuq l-ilma (mibnija mill-ġdid 1775-1795), Królikarnia (1782-1786), Knisja Karmelitana (Faċċata 1761-1783) u Knisja Evanġelika Mqa"&amp;"ddsa tat-Trinità (1777-1782). It-tkabbir ekonomiku matul l-ewwel snin tal-Kungress il-Polonja kkawża arkitettura ta 'żieda mgħaġġla. Il-qawmien mill-ġdid neoklassiku affettwa l-aspetti kollha tal-arkitettura, l-iktar notevoli huma t-Teatru l-Kbir (1825-18"&amp;"33) u bini li jinsab fil-Pjazza Bank (1825-1828).")</f>
        <v>L-attività tal-bini seħħet f'ħafna palazzi nobbli u knejjes matul id-deċennji aktar tard tas-seklu 17. Wieħed mill-aħjar eżempji ta 'din l-arkitettura huma l-Palazz Krasiński (1677-1683), il-Palazz Wiranów (1677-1696) u l-Knisja ta' San Kazimierz (1688-1692). L-iktar eżempji impressjonanti ta 'arkitettura ta' Rococo huma l-Palazz Czapski (1712-1721), Palazz ta 'l-Erba' Irjieħ (1730s) u Knisja Viżitantista (Faċċata 1728-1761). L-arkitettura neoklassika f'Varsavja tista 'tiġi deskritta mis-sempliċità tal-forom ġeometriċi magħquda b'ispirazzjoni kbira mill-perjodu Ruman. Uħud mill-aħjar eżempji ta 'l-istil neoklasiku huma l-palazz fuq l-ilma (mibnija mill-ġdid 1775-1795), Królikarnia (1782-1786), Knisja Karmelitana (Faċċata 1761-1783) u Knisja Evanġelika Mqaddsa tat-Trinità (1777-1782). It-tkabbir ekonomiku matul l-ewwel snin tal-Kungress il-Polonja kkawża arkitettura ta 'żieda mgħaġġla. Il-qawmien mill-ġdid neoklassiku affettwa l-aspetti kollha tal-arkitettura, l-iktar notevoli huma t-Teatru l-Kbir (1825-1833) u bini li jinsab fil-Pjazza Bank (1825-1828).</v>
      </c>
    </row>
    <row r="4283" ht="15.75" customHeight="1">
      <c r="A4283" s="2" t="s">
        <v>4283</v>
      </c>
      <c r="B4283" s="2" t="str">
        <f>IFERROR(__xludf.DUMMYFUNCTION("GOOGLETRANSLATE(A4283, ""en"", ""mt"")"),"Ħalli l-awtrija ta 'l-Istati Uniti ta' 'New World' li kellha tkun ikkaratterizzata minn ordni ġeografika")</f>
        <v>Ħalli l-awtrija ta 'l-Istati Uniti ta' 'New World' li kellha tkun ikkaratterizzata minn ordni ġeografika</v>
      </c>
    </row>
    <row r="4284" ht="15.75" customHeight="1">
      <c r="A4284" s="2" t="s">
        <v>4284</v>
      </c>
      <c r="B4284" s="2" t="str">
        <f>IFERROR(__xludf.DUMMYFUNCTION("GOOGLETRANSLATE(A4284, ""en"", ""mt"")"),"3:00 a.m.")</f>
        <v>3:00 a.m.</v>
      </c>
    </row>
    <row r="4285" ht="15.75" customHeight="1">
      <c r="A4285" s="2" t="s">
        <v>4285</v>
      </c>
      <c r="B4285" s="2" t="str">
        <f>IFERROR(__xludf.DUMMYFUNCTION("GOOGLETRANSLATE(A4285, ""en"", ""mt"")"),"X'tip ta 'servizz huwa s-servizz SkyDrive?")</f>
        <v>X'tip ta 'servizz huwa s-servizz SkyDrive?</v>
      </c>
    </row>
    <row r="4286" ht="15.75" customHeight="1">
      <c r="A4286" s="2" t="s">
        <v>4286</v>
      </c>
      <c r="B4286" s="2" t="str">
        <f>IFERROR(__xludf.DUMMYFUNCTION("GOOGLETRANSLATE(A4286, ""en"", ""mt"")"),"Fejn jinstabu ctenophores f'numri kbar?")</f>
        <v>Fejn jinstabu ctenophores f'numri kbar?</v>
      </c>
    </row>
    <row r="4287" ht="15.75" customHeight="1">
      <c r="A4287" s="2" t="s">
        <v>4287</v>
      </c>
      <c r="B4287" s="2" t="str">
        <f>IFERROR(__xludf.DUMMYFUNCTION("GOOGLETRANSLATE(A4287, ""en"", ""mt"")"),"Kurrikulu sħiħ")</f>
        <v>Kurrikulu sħiħ</v>
      </c>
    </row>
    <row r="4288" ht="15.75" customHeight="1">
      <c r="A4288" s="2" t="s">
        <v>4288</v>
      </c>
      <c r="B4288" s="2" t="str">
        <f>IFERROR(__xludf.DUMMYFUNCTION("GOOGLETRANSLATE(A4288, ""en"", ""mt"")"),"stivat fi gruppi ta 'tlieta")</f>
        <v>stivat fi gruppi ta 'tlieta</v>
      </c>
    </row>
    <row r="4289" ht="15.75" customHeight="1">
      <c r="A4289" s="2" t="s">
        <v>4289</v>
      </c>
      <c r="B4289" s="2" t="str">
        <f>IFERROR(__xludf.DUMMYFUNCTION("GOOGLETRANSLATE(A4289, ""en"", ""mt"")"),"Bosta ostakli jipproteġu l-organiżmi minn infezzjoni, inklużi ostakli mekkaniċi, kimiċi u bijoloġiċi. Ir-rita tax-xama 'ta' ħafna weraq, l-eżoskeletru ta 'l-insetti, il-qxur u l-membrani ta' bajd depożitat esternament, u l-ġilda huma eżempji ta 'ostakli m"&amp;"ekkaniċi li huma l-ewwel linja ta' difiża kontra l-infezzjoni. Madankollu, billi l-organiżmi ma jistgħux jiġu ssiġillati kompletament mill-ambjenti tagħhom, sistemi oħra jaġixxu biex jipproteġu l-fetħiet tal-ġisem bħall-pulmuni, l-imsaren u l-passaġġ ġeni"&amp;"tourinarju. Fil-pulmuni, is-sogħla u l-għatis tal-għatis jkeċċu mekkanikament patoġeni u irritanti oħra mill-passaġġ respiratorju. L-azzjoni tat-tlaħliħ tad-dmugħ u l-awrina tkeċċi wkoll mekkanikament il-patoġeni, filwaqt li l-mukus sekretat mill-passaġġ "&amp;"respiratorju u gastro-intestinali jservi biex jaqbad u jqabbad mikro-organiżmi.")</f>
        <v>Bosta ostakli jipproteġu l-organiżmi minn infezzjoni, inklużi ostakli mekkaniċi, kimiċi u bijoloġiċi. Ir-rita tax-xama 'ta' ħafna weraq, l-eżoskeletru ta 'l-insetti, il-qxur u l-membrani ta' bajd depożitat esternament, u l-ġilda huma eżempji ta 'ostakli mekkaniċi li huma l-ewwel linja ta' difiża kontra l-infezzjoni. Madankollu, billi l-organiżmi ma jistgħux jiġu ssiġillati kompletament mill-ambjenti tagħhom, sistemi oħra jaġixxu biex jipproteġu l-fetħiet tal-ġisem bħall-pulmuni, l-imsaren u l-passaġġ ġenitourinarju. Fil-pulmuni, is-sogħla u l-għatis tal-għatis jkeċċu mekkanikament patoġeni u irritanti oħra mill-passaġġ respiratorju. L-azzjoni tat-tlaħliħ tad-dmugħ u l-awrina tkeċċi wkoll mekkanikament il-patoġeni, filwaqt li l-mukus sekretat mill-passaġġ respiratorju u gastro-intestinali jservi biex jaqbad u jqabbad mikro-organiżmi.</v>
      </c>
    </row>
    <row r="4290" ht="15.75" customHeight="1">
      <c r="A4290" s="2" t="s">
        <v>4290</v>
      </c>
      <c r="B4290" s="2" t="str">
        <f>IFERROR(__xludf.DUMMYFUNCTION("GOOGLETRANSLATE(A4290, ""en"", ""mt"")"),"Minn liema reġjun taċ-Ċina huwa parti minn Hebei?")</f>
        <v>Minn liema reġjun taċ-Ċina huwa parti minn Hebei?</v>
      </c>
    </row>
    <row r="4291" ht="15.75" customHeight="1">
      <c r="A4291" s="2" t="s">
        <v>4291</v>
      </c>
      <c r="B4291" s="2" t="str">
        <f>IFERROR(__xludf.DUMMYFUNCTION("GOOGLETRANSLATE(A4291, ""en"", ""mt"")"),"L-Amministrazzjoni tal-Arkivji Nazzjonali u r-Rekords")</f>
        <v>L-Amministrazzjoni tal-Arkivji Nazzjonali u r-Rekords</v>
      </c>
    </row>
    <row r="4292" ht="15.75" customHeight="1">
      <c r="A4292" s="2" t="s">
        <v>4292</v>
      </c>
      <c r="B4292" s="2" t="str">
        <f>IFERROR(__xludf.DUMMYFUNCTION("GOOGLETRANSLATE(A4292, ""en"", ""mt"")"),"Wara dibattitu ġenerali dwar il-forma finali tal-abbozz")</f>
        <v>Wara dibattitu ġenerali dwar il-forma finali tal-abbozz</v>
      </c>
    </row>
    <row r="4293" ht="15.75" customHeight="1">
      <c r="A4293" s="2" t="s">
        <v>4293</v>
      </c>
      <c r="B4293" s="2" t="str">
        <f>IFERROR(__xludf.DUMMYFUNCTION("GOOGLETRANSLATE(A4293, ""en"", ""mt"")"),"Ġenetika ta 'ommu")</f>
        <v>Ġenetika ta 'ommu</v>
      </c>
    </row>
    <row r="4294" ht="15.75" customHeight="1">
      <c r="A4294" s="2" t="s">
        <v>4294</v>
      </c>
      <c r="B4294" s="2" t="str">
        <f>IFERROR(__xludf.DUMMYFUNCTION("GOOGLETRANSLATE(A4294, ""en"", ""mt"")"),"F'Jannar 2010")</f>
        <v>F'Jannar 2010</v>
      </c>
    </row>
    <row r="4295" ht="15.75" customHeight="1">
      <c r="A4295" s="2" t="s">
        <v>4295</v>
      </c>
      <c r="B4295" s="2" t="str">
        <f>IFERROR(__xludf.DUMMYFUNCTION("GOOGLETRANSLATE(A4295, ""en"", ""mt"")"),"L-iktar offerent effiċjenti fl-infiq")</f>
        <v>L-iktar offerent effiċjenti fl-infiq</v>
      </c>
    </row>
    <row r="4296" ht="15.75" customHeight="1">
      <c r="A4296" s="2" t="s">
        <v>4296</v>
      </c>
      <c r="B4296" s="2" t="str">
        <f>IFERROR(__xludf.DUMMYFUNCTION("GOOGLETRANSLATE(A4296, ""en"", ""mt"")"),"L-iskoperta mill-ġdid ta 'Luther ta' ""Kristu u s-Salvazzjoni Tiegħu"" kienet l-ewwel waħda minn żewġ punti li saret il-pedament għar-Riforma. Il-puġġaman tiegħu kontra l-bejgħ ta 'indulġenzi kien ibbażat fuqha.")</f>
        <v>L-iskoperta mill-ġdid ta 'Luther ta' "Kristu u s-Salvazzjoni Tiegħu" kienet l-ewwel waħda minn żewġ punti li saret il-pedament għar-Riforma. Il-puġġaman tiegħu kontra l-bejgħ ta 'indulġenzi kien ibbażat fuqha.</v>
      </c>
    </row>
    <row r="4297" ht="15.75" customHeight="1">
      <c r="A4297" s="2" t="s">
        <v>4297</v>
      </c>
      <c r="B4297" s="2" t="str">
        <f>IFERROR(__xludf.DUMMYFUNCTION("GOOGLETRANSLATE(A4297, ""en"", ""mt"")"),"Ma 'xiex tirrelata d-diżubbidjenza ċivili?")</f>
        <v>Ma 'xiex tirrelata d-diżubbidjenza ċivili?</v>
      </c>
    </row>
    <row r="4298" ht="15.75" customHeight="1">
      <c r="A4298" s="2" t="s">
        <v>4298</v>
      </c>
      <c r="B4298" s="2" t="str">
        <f>IFERROR(__xludf.DUMMYFUNCTION("GOOGLETRANSLATE(A4298, ""en"", ""mt"")"),"Liema ġeneru mużikali l-banda progressiva folk-rock Gryphon ippreżentat waqt kunċert / taħdita fil-V &amp; A?")</f>
        <v>Liema ġeneru mużikali l-banda progressiva folk-rock Gryphon ippreżentat waqt kunċert / taħdita fil-V &amp; A?</v>
      </c>
    </row>
    <row r="4299" ht="15.75" customHeight="1">
      <c r="A4299" s="2" t="s">
        <v>4299</v>
      </c>
      <c r="B4299" s="2" t="str">
        <f>IFERROR(__xludf.DUMMYFUNCTION("GOOGLETRANSLATE(A4299, ""en"", ""mt"")"),"inkonklussivament, biż-żewġ naħat jirtiraw mill-grawnd")</f>
        <v>inkonklussivament, biż-żewġ naħat jirtiraw mill-grawnd</v>
      </c>
    </row>
    <row r="4300" ht="15.75" customHeight="1">
      <c r="A4300" s="2" t="s">
        <v>4300</v>
      </c>
      <c r="B4300" s="2" t="str">
        <f>IFERROR(__xludf.DUMMYFUNCTION("GOOGLETRANSLATE(A4300, ""en"", ""mt"")"),"L-ewwel Huguenots li jitilqu minn Franza fittxew il-ħelsien mill-persekuzzjoni fl-Isvizzera u l-Olanda. [Ċitazzjoni meħtieġa] Grupp ta 'Huguenots kien parti mill-kolonizzaturi Franċiżi li waslu fil-Brażil fl-1555 biex sabu Franza l-Antartiku. Koppja ta 'v"&amp;"apuri b'madwar 500 persuna waslu fil-bajja ta' Guanabara, Rio de Janeiro preżenti, u stabbilixxew fi gżira żgħira. Fort, bl-isem ta 'Fort Coligny, inbena biex jipproteġihom mill-attakk mit-truppi Portugiżi u l-Amerikani Nattivi Brażiljani. Kien attentat b"&amp;"iex tistabbilixxi kolonja Franċiża fl-Amerika t'Isfel. Il-forti nqered fl-1560 mill-Portugiż, li qabad parti mill-Huguenots. Il-Portugiż hedded lill-priġunieri bil-mewt jekk ma kkonvertux għall-Kattoliċiżmu. Il-Huguenots ta 'Guanabara, kif inhuma magħrufa"&amp;" issa, ipproduċew dikjarazzjoni ta' fidi biex jesprimu t-twemmin tagħhom lill-Portugiż. Din kienet is-sentenza tal-mewt tagħhom. Dan id-dokument, il-Qrar tal-Fidi Guanabara, sar l-ewwel konfessjoni Protestanti tal-Fidi fl-Amerika kollha. [Ċitazzjoni meħti"&amp;"eġa]")</f>
        <v>L-ewwel Huguenots li jitilqu minn Franza fittxew il-ħelsien mill-persekuzzjoni fl-Isvizzera u l-Olanda. [Ċitazzjoni meħtieġa] Grupp ta 'Huguenots kien parti mill-kolonizzaturi Franċiżi li waslu fil-Brażil fl-1555 biex sabu Franza l-Antartiku. Koppja ta 'vapuri b'madwar 500 persuna waslu fil-bajja ta' Guanabara, Rio de Janeiro preżenti, u stabbilixxew fi gżira żgħira. Fort, bl-isem ta 'Fort Coligny, inbena biex jipproteġihom mill-attakk mit-truppi Portugiżi u l-Amerikani Nattivi Brażiljani. Kien attentat biex tistabbilixxi kolonja Franċiża fl-Amerika t'Isfel. Il-forti nqered fl-1560 mill-Portugiż, li qabad parti mill-Huguenots. Il-Portugiż hedded lill-priġunieri bil-mewt jekk ma kkonvertux għall-Kattoliċiżmu. Il-Huguenots ta 'Guanabara, kif inhuma magħrufa issa, ipproduċew dikjarazzjoni ta' fidi biex jesprimu t-twemmin tagħhom lill-Portugiż. Din kienet is-sentenza tal-mewt tagħhom. Dan id-dokument, il-Qrar tal-Fidi Guanabara, sar l-ewwel konfessjoni Protestanti tal-Fidi fl-Amerika kollha. [Ċitazzjoni meħtieġa]</v>
      </c>
    </row>
    <row r="4301" ht="15.75" customHeight="1">
      <c r="A4301" s="2" t="s">
        <v>4301</v>
      </c>
      <c r="B4301" s="2" t="str">
        <f>IFERROR(__xludf.DUMMYFUNCTION("GOOGLETRANSLATE(A4301, ""en"", ""mt"")"),"X'kien l-interess ċentrali tal-Ġermanja?")</f>
        <v>X'kien l-interess ċentrali tal-Ġermanja?</v>
      </c>
    </row>
    <row r="4302" ht="15.75" customHeight="1">
      <c r="A4302" s="2" t="s">
        <v>4302</v>
      </c>
      <c r="B4302" s="2" t="str">
        <f>IFERROR(__xludf.DUMMYFUNCTION("GOOGLETRANSLATE(A4302, ""en"", ""mt"")"),"L-ordni ta 'l-ordinazzjoni ta' djaknu tranżitorju ġiet abolita")</f>
        <v>L-ordni ta 'l-ordinazzjoni ta' djaknu tranżitorju ġiet abolita</v>
      </c>
    </row>
    <row r="4303" ht="15.75" customHeight="1">
      <c r="A4303" s="2" t="s">
        <v>4303</v>
      </c>
      <c r="B4303" s="2" t="str">
        <f>IFERROR(__xludf.DUMMYFUNCTION("GOOGLETRANSLATE(A4303, ""en"", ""mt"")"),"Liema pajjiż huwa l-iktar pajjiż żviluppat b'mod industrijali fir-reġjun tal-Lagi l-Kbar Afrikani?")</f>
        <v>Liema pajjiż huwa l-iktar pajjiż żviluppat b'mod industrijali fir-reġjun tal-Lagi l-Kbar Afrikani?</v>
      </c>
    </row>
    <row r="4304" ht="15.75" customHeight="1">
      <c r="A4304" s="2" t="s">
        <v>4304</v>
      </c>
      <c r="B4304" s="2" t="str">
        <f>IFERROR(__xludf.DUMMYFUNCTION("GOOGLETRANSLATE(A4304, ""en"", ""mt"")"),"Kemm tunnellata ta 'pjanti ħajjin instabu li jgħixu f'kilometru kwadru tal-foresta tropikali tal-Amażonja fl-1999?")</f>
        <v>Kemm tunnellata ta 'pjanti ħajjin instabu li jgħixu f'kilometru kwadru tal-foresta tropikali tal-Amażonja fl-1999?</v>
      </c>
    </row>
    <row r="4305" ht="15.75" customHeight="1">
      <c r="A4305" s="2" t="s">
        <v>4305</v>
      </c>
      <c r="B4305" s="2" t="str">
        <f>IFERROR(__xludf.DUMMYFUNCTION("GOOGLETRANSLATE(A4305, ""en"", ""mt"")"),"Gwerra mhux reliġjuża")</f>
        <v>Gwerra mhux reliġjuża</v>
      </c>
    </row>
    <row r="4306" ht="15.75" customHeight="1">
      <c r="A4306" s="2" t="s">
        <v>4306</v>
      </c>
      <c r="B4306" s="2" t="str">
        <f>IFERROR(__xludf.DUMMYFUNCTION("GOOGLETRANSLATE(A4306, ""en"", ""mt"")"),"Pubbliċità ħażina potenzjali li tdawwar il-kundizzjonijiet fqar li l-inventur stilla preċedenti tagħhom kien qed jgħix taħt")</f>
        <v>Pubbliċità ħażina potenzjali li tdawwar il-kundizzjonijiet fqar li l-inventur stilla preċedenti tagħhom kien qed jgħix taħt</v>
      </c>
    </row>
    <row r="4307" ht="15.75" customHeight="1">
      <c r="A4307" s="2" t="s">
        <v>4307</v>
      </c>
      <c r="B4307" s="2" t="str">
        <f>IFERROR(__xludf.DUMMYFUNCTION("GOOGLETRANSLATE(A4307, ""en"", ""mt"")"),"Taħt 0 ° C")</f>
        <v>Taħt 0 ° C</v>
      </c>
    </row>
    <row r="4308" ht="15.75" customHeight="1">
      <c r="A4308" s="2" t="s">
        <v>4308</v>
      </c>
      <c r="B4308" s="2" t="str">
        <f>IFERROR(__xludf.DUMMYFUNCTION("GOOGLETRANSLATE(A4308, ""en"", ""mt"")"),"X'kienet is-sinifikat tar-rebħa Ingliża?")</f>
        <v>X'kienet is-sinifikat tar-rebħa Ingliża?</v>
      </c>
    </row>
    <row r="4309" ht="15.75" customHeight="1">
      <c r="A4309" s="2" t="s">
        <v>4309</v>
      </c>
      <c r="B4309" s="2" t="str">
        <f>IFERROR(__xludf.DUMMYFUNCTION("GOOGLETRANSLATE(A4309, ""en"", ""mt"")"),"Kemm aktar art l-iskola għandha f'Allston minn Cambridge?")</f>
        <v>Kemm aktar art l-iskola għandha f'Allston minn Cambridge?</v>
      </c>
    </row>
    <row r="4310" ht="15.75" customHeight="1">
      <c r="A4310" s="2" t="s">
        <v>4310</v>
      </c>
      <c r="B4310" s="2" t="str">
        <f>IFERROR(__xludf.DUMMYFUNCTION("GOOGLETRANSLATE(A4310, ""en"", ""mt"")"),"Tliet korpi ta 'ilma")</f>
        <v>Tliet korpi ta 'ilma</v>
      </c>
    </row>
    <row r="4311" ht="15.75" customHeight="1">
      <c r="A4311" s="2" t="s">
        <v>4311</v>
      </c>
      <c r="B4311" s="2" t="str">
        <f>IFERROR(__xludf.DUMMYFUNCTION("GOOGLETRANSLATE(A4311, ""en"", ""mt"")"),"antiġen minn patoġen")</f>
        <v>antiġen minn patoġen</v>
      </c>
    </row>
    <row r="4312" ht="15.75" customHeight="1">
      <c r="A4312" s="2" t="s">
        <v>4312</v>
      </c>
      <c r="B4312" s="2" t="str">
        <f>IFERROR(__xludf.DUMMYFUNCTION("GOOGLETRANSLATE(A4312, ""en"", ""mt"")"),"X'inhu użat biex tikkwantifika l-underanding intuwittiv tal-forzi?")</f>
        <v>X'inhu użat biex tikkwantifika l-underanding intuwittiv tal-forzi?</v>
      </c>
    </row>
    <row r="4313" ht="15.75" customHeight="1">
      <c r="A4313" s="2" t="s">
        <v>4313</v>
      </c>
      <c r="B4313" s="2" t="str">
        <f>IFERROR(__xludf.DUMMYFUNCTION("GOOGLETRANSLATE(A4313, ""en"", ""mt"")"),"X'inhu l-isem tal-istadium fejn intlagħab Super Bowl 50?")</f>
        <v>X'inhu l-isem tal-istadium fejn intlagħab Super Bowl 50?</v>
      </c>
    </row>
    <row r="4314" ht="15.75" customHeight="1">
      <c r="A4314" s="2" t="s">
        <v>4314</v>
      </c>
      <c r="B4314" s="2" t="str">
        <f>IFERROR(__xludf.DUMMYFUNCTION("GOOGLETRANSLATE(A4314, ""en"", ""mt"")"),"Riġenerazzjoni fuq skala kbira")</f>
        <v>Riġenerazzjoni fuq skala kbira</v>
      </c>
    </row>
    <row r="4315" ht="15.75" customHeight="1">
      <c r="A4315" s="2" t="s">
        <v>4315</v>
      </c>
      <c r="B4315" s="2" t="str">
        <f>IFERROR(__xludf.DUMMYFUNCTION("GOOGLETRANSLATE(A4315, ""en"", ""mt"")"),"L-umoriżmu huwa parti mill-klassi għal liema tip ta 'għalliem?")</f>
        <v>L-umoriżmu huwa parti mill-klassi għal liema tip ta 'għalliem?</v>
      </c>
    </row>
    <row r="4316" ht="15.75" customHeight="1">
      <c r="A4316" s="2" t="s">
        <v>4316</v>
      </c>
      <c r="B4316" s="2" t="str">
        <f>IFERROR(__xludf.DUMMYFUNCTION("GOOGLETRANSLATE(A4316, ""en"", ""mt"")"),"Vjaġġ tad-Damned")</f>
        <v>Vjaġġ tad-Damned</v>
      </c>
    </row>
    <row r="4317" ht="15.75" customHeight="1">
      <c r="A4317" s="2" t="s">
        <v>4317</v>
      </c>
      <c r="B4317" s="2" t="str">
        <f>IFERROR(__xludf.DUMMYFUNCTION("GOOGLETRANSLATE(A4317, ""en"", ""mt"")"),"Seljuk Turks")</f>
        <v>Seljuk Turks</v>
      </c>
    </row>
    <row r="4318" ht="15.75" customHeight="1">
      <c r="A4318" s="2" t="s">
        <v>4318</v>
      </c>
      <c r="B4318" s="2" t="str">
        <f>IFERROR(__xludf.DUMMYFUNCTION("GOOGLETRANSLATE(A4318, ""en"", ""mt"")"),"ħtieġa")</f>
        <v>ħtieġa</v>
      </c>
    </row>
    <row r="4319" ht="15.75" customHeight="1">
      <c r="A4319" s="2" t="s">
        <v>4319</v>
      </c>
      <c r="B4319" s="2" t="str">
        <f>IFERROR(__xludf.DUMMYFUNCTION("GOOGLETRANSLATE(A4319, ""en"", ""mt"")"),"sustanzi mhux kombustibbli li jissaddad")</f>
        <v>sustanzi mhux kombustibbli li jissaddad</v>
      </c>
    </row>
    <row r="4320" ht="15.75" customHeight="1">
      <c r="A4320" s="2" t="s">
        <v>4320</v>
      </c>
      <c r="B4320" s="2" t="str">
        <f>IFERROR(__xludf.DUMMYFUNCTION("GOOGLETRANSLATE(A4320, ""en"", ""mt"")"),"tqajjem il-produttività ta 'kull ħaddiem")</f>
        <v>tqajjem il-produttività ta 'kull ħaddiem</v>
      </c>
    </row>
    <row r="4321" ht="15.75" customHeight="1">
      <c r="A4321" s="2" t="s">
        <v>4321</v>
      </c>
      <c r="B4321" s="2" t="str">
        <f>IFERROR(__xludf.DUMMYFUNCTION("GOOGLETRANSLATE(A4321, ""en"", ""mt"")"),"Kemm id-dikjarazzjoni bassret li t-temperatura globali tal-wiċċ tiżdied sal-2100?")</f>
        <v>Kemm id-dikjarazzjoni bassret li t-temperatura globali tal-wiċċ tiżdied sal-2100?</v>
      </c>
    </row>
    <row r="4322" ht="15.75" customHeight="1">
      <c r="A4322" s="2" t="s">
        <v>4322</v>
      </c>
      <c r="B4322" s="2" t="str">
        <f>IFERROR(__xludf.DUMMYFUNCTION("GOOGLETRANSLATE(A4322, ""en"", ""mt"")"),"It-tielet invażjoni twaqqfet bir-rebħa Franċiża improbabbli fil-Battalja ta ’Carillon, li fiha 3,600 Franċiż famuż u b’mod deċiżiv għelbu l-forza ta’ Abercrombie ta ’18,000 regolari, milizja u alleati Amerikani Nattivi barra l-forti li l-Franċiżi jissejħu"&amp;" Carillon u l-Ingliżi msejħa Ticonderoga. Abercrombie salva xi ħaġa mid-diżastru meta bagħat lil John Bradstreet fuq spedizzjoni li qered b'suċċess Fort Frontenac, inklużi cache ta 'provvisti destinati għall-fortizzi tal-Punent u l-pil tal-Punent ta' Fran"&amp;"za ġodda destinati għall-Ewropa. Abercrombie ġie mfakkar u mibdul minn Jeffery Amherst, Victor fi Louisbourg.")</f>
        <v>It-tielet invażjoni twaqqfet bir-rebħa Franċiża improbabbli fil-Battalja ta ’Carillon, li fiha 3,600 Franċiż famuż u b’mod deċiżiv għelbu l-forza ta’ Abercrombie ta ’18,000 regolari, milizja u alleati Amerikani Nattivi barra l-forti li l-Franċiżi jissejħu Carillon u l-Ingliżi msejħa Ticonderoga. Abercrombie salva xi ħaġa mid-diżastru meta bagħat lil John Bradstreet fuq spedizzjoni li qered b'suċċess Fort Frontenac, inklużi cache ta 'provvisti destinati għall-fortizzi tal-Punent u l-pil tal-Punent ta' Franza ġodda destinati għall-Ewropa. Abercrombie ġie mfakkar u mibdul minn Jeffery Amherst, Victor fi Louisbourg.</v>
      </c>
    </row>
    <row r="4323" ht="15.75" customHeight="1">
      <c r="A4323" s="2" t="s">
        <v>4323</v>
      </c>
      <c r="B4323" s="2" t="str">
        <f>IFERROR(__xludf.DUMMYFUNCTION("GOOGLETRANSLATE(A4323, ""en"", ""mt"")"),"Liema forma huma wħud mill-bini fil-kumpless tal-Parlament?")</f>
        <v>Liema forma huma wħud mill-bini fil-kumpless tal-Parlament?</v>
      </c>
    </row>
    <row r="4324" ht="15.75" customHeight="1">
      <c r="A4324" s="2" t="s">
        <v>4324</v>
      </c>
      <c r="B4324" s="2" t="str">
        <f>IFERROR(__xludf.DUMMYFUNCTION("GOOGLETRANSLATE(A4324, ""en"", ""mt"")"),"X'inhi funzjoni oħra li l-primes għandhom dak in-numru 1 ma għandux?")</f>
        <v>X'inhi funzjoni oħra li l-primes għandhom dak in-numru 1 ma għandux?</v>
      </c>
    </row>
    <row r="4325" ht="15.75" customHeight="1">
      <c r="A4325" s="2" t="s">
        <v>4325</v>
      </c>
      <c r="B4325" s="2" t="str">
        <f>IFERROR(__xludf.DUMMYFUNCTION("GOOGLETRANSLATE(A4325, ""en"", ""mt"")"),"F'liema pajjiż xi kleru fl-UMC kultant jipprattika l-eżorċiżmu?")</f>
        <v>F'liema pajjiż xi kleru fl-UMC kultant jipprattika l-eżorċiżmu?</v>
      </c>
    </row>
    <row r="4326" ht="15.75" customHeight="1">
      <c r="A4326" s="2" t="s">
        <v>4326</v>
      </c>
      <c r="B4326" s="2" t="str">
        <f>IFERROR(__xludf.DUMMYFUNCTION("GOOGLETRANSLATE(A4326, ""en"", ""mt"")"),"Eventwalment, in-Normanni ingħaqdu man-nies tan-nies, u jgħaqqdu l-lingwi u t-tradizzjonijiet. Matul il-gwerra tal-mitt sena, l-aristokrazija Norman spiss identifikat ruħha bħala l-Ingliż. Il-lingwa Anglo-Norman saret distinta mil-lingwa Latina, xi ħaġa l"&amp;"i kienet is-suġġett ta 'xi umoriżmu minn Geoffrey Chaucer. Il-lingwa Anglo-Norman eventwalment ġiet assorbita fil-lingwa Anglo-Sassona tas-suġġetti tagħhom (ara l-Ingliż il-Qadim) u influwenzatha, tgħin (flimkien mal-lingwa Norveġja tal-kolonizzaturi Angl"&amp;"o-Norse preċedenti u l-Latin użati mill-Knisja) fil - Żvilupp tal-Ingliż Nofsani. Min-naħa tiegħu evolva fl-Ingliż modern.")</f>
        <v>Eventwalment, in-Normanni ingħaqdu man-nies tan-nies, u jgħaqqdu l-lingwi u t-tradizzjonijiet. Matul il-gwerra tal-mitt sena, l-aristokrazija Norman spiss identifikat ruħha bħala l-Ingliż. Il-lingwa Anglo-Norman saret distinta mil-lingwa Latina, xi ħaġa li kienet is-suġġett ta 'xi umoriżmu minn Geoffrey Chaucer. Il-lingwa Anglo-Norman eventwalment ġiet assorbita fil-lingwa Anglo-Sassona tas-suġġetti tagħhom (ara l-Ingliż il-Qadim) u influwenzatha, tgħin (flimkien mal-lingwa Norveġja tal-kolonizzaturi Anglo-Norse preċedenti u l-Latin użati mill-Knisja) fil - Żvilupp tal-Ingliż Nofsani. Min-naħa tiegħu evolva fl-Ingliż modern.</v>
      </c>
    </row>
    <row r="4327" ht="15.75" customHeight="1">
      <c r="A4327" s="2" t="s">
        <v>4327</v>
      </c>
      <c r="B4327" s="2" t="str">
        <f>IFERROR(__xludf.DUMMYFUNCTION("GOOGLETRANSLATE(A4327, ""en"", ""mt"")"),"Bħala riżultat, sal-1206 Temüjin kien irnexxielu jingħaqad jew jissottometti l-Merkits, Naimans, Mongoli, Keraites, Tatari, Uyghurs, u tribujiet iżgħar oħra differenti taħt il-ħakma tiegħu. Kienet proeza monumentali għall- ""Mongoli"" (kif saru magħrufa b"&amp;"'mod kollettiv). Fi Khuldai, kunsill tal-kapijiet tal-Mongolja, Temüjin ġie rikonoxxut bħala ""Khan"" tat-tribujiet konsolidati u ħa t-titlu l-ġdid ""Genghis Khan"". It-titlu Khagan ma ngħatax lil Genghis sa wara mewtu, meta ibnu u s-suċċessur, Ögedei, ħa"&amp;"du t-titlu għalih innifsu u estendew wara mewt lil missieru (kif kien ukoll ġie ddikjarat wara l-mewt il-fundatur tad-dinastija Yuan). Din l-unifikazzjoni tal-konfederazzjonijiet kollha minn Genghis Khan stabbilixxiet il-paċi bejn tribujiet li qabel kienu"&amp;" qed jiġġieldu u forza politika u militari waħda taħt Genghis Khan.")</f>
        <v>Bħala riżultat, sal-1206 Temüjin kien irnexxielu jingħaqad jew jissottometti l-Merkits, Naimans, Mongoli, Keraites, Tatari, Uyghurs, u tribujiet iżgħar oħra differenti taħt il-ħakma tiegħu. Kienet proeza monumentali għall- "Mongoli" (kif saru magħrufa b'mod kollettiv). Fi Khuldai, kunsill tal-kapijiet tal-Mongolja, Temüjin ġie rikonoxxut bħala "Khan" tat-tribujiet konsolidati u ħa t-titlu l-ġdid "Genghis Khan". It-titlu Khagan ma ngħatax lil Genghis sa wara mewtu, meta ibnu u s-suċċessur, Ögedei, ħadu t-titlu għalih innifsu u estendew wara mewt lil missieru (kif kien ukoll ġie ddikjarat wara l-mewt il-fundatur tad-dinastija Yuan). Din l-unifikazzjoni tal-konfederazzjonijiet kollha minn Genghis Khan stabbilixxiet il-paċi bejn tribujiet li qabel kienu qed jiġġieldu u forza politika u militari waħda taħt Genghis Khan.</v>
      </c>
    </row>
    <row r="4328" ht="15.75" customHeight="1">
      <c r="A4328" s="2" t="s">
        <v>4328</v>
      </c>
      <c r="B4328" s="2" t="str">
        <f>IFERROR(__xludf.DUMMYFUNCTION("GOOGLETRANSLATE(A4328, ""en"", ""mt"")"),"Kloroplast aħdar")</f>
        <v>Kloroplast aħdar</v>
      </c>
    </row>
    <row r="4329" ht="15.75" customHeight="1">
      <c r="A4329" s="2" t="s">
        <v>4329</v>
      </c>
      <c r="B4329" s="2" t="str">
        <f>IFERROR(__xludf.DUMMYFUNCTION("GOOGLETRANSLATE(A4329, ""en"", ""mt"")"),"X'kienu ż-żewġ kwartieri Huguenot maħluqa f'Berlin?")</f>
        <v>X'kienu ż-żewġ kwartieri Huguenot maħluqa f'Berlin?</v>
      </c>
    </row>
    <row r="4330" ht="15.75" customHeight="1">
      <c r="A4330" s="2" t="s">
        <v>4330</v>
      </c>
      <c r="B4330" s="2" t="str">
        <f>IFERROR(__xludf.DUMMYFUNCTION("GOOGLETRANSLATE(A4330, ""en"", ""mt"")"),"perspettivi differenti")</f>
        <v>perspettivi differenti</v>
      </c>
    </row>
    <row r="4331" ht="15.75" customHeight="1">
      <c r="A4331" s="2" t="s">
        <v>4331</v>
      </c>
      <c r="B4331" s="2" t="str">
        <f>IFERROR(__xludf.DUMMYFUNCTION("GOOGLETRANSLATE(A4331, ""en"", ""mt"")"),"Kif kienet tipikament l-effiċjenza ta 'magna tal-fwar?")</f>
        <v>Kif kienet tipikament l-effiċjenza ta 'magna tal-fwar?</v>
      </c>
    </row>
    <row r="4332" ht="15.75" customHeight="1">
      <c r="A4332" s="2" t="s">
        <v>4332</v>
      </c>
      <c r="B4332" s="2" t="str">
        <f>IFERROR(__xludf.DUMMYFUNCTION("GOOGLETRANSLATE(A4332, ""en"", ""mt"")"),"Meta n-negozjati spiċċaw f'Mansfeld?")</f>
        <v>Meta n-negozjati spiċċaw f'Mansfeld?</v>
      </c>
    </row>
    <row r="4333" ht="15.75" customHeight="1">
      <c r="A4333" s="2" t="s">
        <v>4333</v>
      </c>
      <c r="B4333" s="2" t="str">
        <f>IFERROR(__xludf.DUMMYFUNCTION("GOOGLETRANSLATE(A4333, ""en"", ""mt"")"),"bijomassa")</f>
        <v>bijomassa</v>
      </c>
    </row>
    <row r="4334" ht="15.75" customHeight="1">
      <c r="A4334" s="2" t="s">
        <v>4334</v>
      </c>
      <c r="B4334" s="2" t="str">
        <f>IFERROR(__xludf.DUMMYFUNCTION("GOOGLETRANSLATE(A4334, ""en"", ""mt"")"),"Fatturi kostanti u termini iżgħar")</f>
        <v>Fatturi kostanti u termini iżgħar</v>
      </c>
    </row>
    <row r="4335" ht="15.75" customHeight="1">
      <c r="A4335" s="2" t="s">
        <v>4335</v>
      </c>
      <c r="B4335" s="2" t="str">
        <f>IFERROR(__xludf.DUMMYFUNCTION("GOOGLETRANSLATE(A4335, ""en"", ""mt"")"),"forma intermedjarja theta")</f>
        <v>forma intermedjarja theta</v>
      </c>
    </row>
    <row r="4336" ht="15.75" customHeight="1">
      <c r="A4336" s="2" t="s">
        <v>4336</v>
      </c>
      <c r="B4336" s="2" t="str">
        <f>IFERROR(__xludf.DUMMYFUNCTION("GOOGLETRANSLATE(A4336, ""en"", ""mt"")"),"Fejn sar l-avveniment il-ġdid tal-Midja għal Super Bowl 50?")</f>
        <v>Fejn sar l-avveniment il-ġdid tal-Midja għal Super Bowl 50?</v>
      </c>
    </row>
    <row r="4337" ht="15.75" customHeight="1">
      <c r="A4337" s="2" t="s">
        <v>4337</v>
      </c>
      <c r="B4337" s="2" t="str">
        <f>IFERROR(__xludf.DUMMYFUNCTION("GOOGLETRANSLATE(A4337, ""en"", ""mt"")"),"Is-sistema tal-librerija tal-Università ta ’Chicago tiġbor fiha sitt libreriji li fihom total ta’ 9.8 miljun volum, il-11 l-iktar fost is-sistemi tal-librerija fl-Istati Uniti. Il-librerija ewlenija tal-università hija l-Librerija Regenstein, li fiha waħd"&amp;"a mill-ikbar kollezzjonijiet ta 'volumi stampati fl-Istati Uniti. Il-librerija Joe u Rika Mansueto, mibnija fl-2011, tospita spazju kbir ta 'studju u sistema awtomatika ta' ħażna u rkupru ta 'kotba. Il-librerija John Crerar fiha aktar minn 1.3 miljun volu"&amp;"m fix-xjenzi bijoloġiċi, mediċi u fiżiċi u kollezzjonijiet fix-xjenza ġenerali u l-filosofija u l-istorja tax-xjenza, il-mediċina, u t-teknoloġija. L-università topera wkoll numru ta 'libreriji speċjali, inklużi l-Librerija tal-Liġi D'Angelo, il-Librerija"&amp;" tal-Amministrazzjoni tas-Servizz Soċjali, u l-Librerija Eckhart għall-Matematika u x-Xjenza tal-Kompjuter, li għalqet temporanjament għar-rinnovazzjoni fit-8 ta' Lulju, 2013. Harper Memorial Library m'għadhiex fih xi volumi; Madankollu huwa, minbarra l-l"&amp;"ibrerija Regenstein, spazju ta 'studju ta' 24 siegħa fuq il-kampus.")</f>
        <v>Is-sistema tal-librerija tal-Università ta ’Chicago tiġbor fiha sitt libreriji li fihom total ta’ 9.8 miljun volum, il-11 l-iktar fost is-sistemi tal-librerija fl-Istati Uniti. Il-librerija ewlenija tal-università hija l-Librerija Regenstein, li fiha waħda mill-ikbar kollezzjonijiet ta 'volumi stampati fl-Istati Uniti. Il-librerija Joe u Rika Mansueto, mibnija fl-2011, tospita spazju kbir ta 'studju u sistema awtomatika ta' ħażna u rkupru ta 'kotba. Il-librerija John Crerar fiha aktar minn 1.3 miljun volum fix-xjenzi bijoloġiċi, mediċi u fiżiċi u kollezzjonijiet fix-xjenza ġenerali u l-filosofija u l-istorja tax-xjenza, il-mediċina, u t-teknoloġija. L-università topera wkoll numru ta 'libreriji speċjali, inklużi l-Librerija tal-Liġi D'Angelo, il-Librerija tal-Amministrazzjoni tas-Servizz Soċjali, u l-Librerija Eckhart għall-Matematika u x-Xjenza tal-Kompjuter, li għalqet temporanjament għar-rinnovazzjoni fit-8 ta' Lulju, 2013. Harper Memorial Library m'għadhiex fih xi volumi; Madankollu huwa, minbarra l-librerija Regenstein, spazju ta 'studju ta' 24 siegħa fuq il-kampus.</v>
      </c>
    </row>
    <row r="4338" ht="15.75" customHeight="1">
      <c r="A4338" s="2" t="s">
        <v>4338</v>
      </c>
      <c r="B4338" s="2" t="str">
        <f>IFERROR(__xludf.DUMMYFUNCTION("GOOGLETRANSLATE(A4338, ""en"", ""mt"")"),"Żvilupp AC")</f>
        <v>Żvilupp AC</v>
      </c>
    </row>
    <row r="4339" ht="15.75" customHeight="1">
      <c r="A4339" s="2" t="s">
        <v>4339</v>
      </c>
      <c r="B4339" s="2" t="str">
        <f>IFERROR(__xludf.DUMMYFUNCTION("GOOGLETRANSLATE(A4339, ""en"", ""mt"")"),"X'tip ta 'gvern għandu l-Kenja?")</f>
        <v>X'tip ta 'gvern għandu l-Kenja?</v>
      </c>
    </row>
    <row r="4340" ht="15.75" customHeight="1">
      <c r="A4340" s="2" t="s">
        <v>4340</v>
      </c>
      <c r="B4340" s="2" t="str">
        <f>IFERROR(__xludf.DUMMYFUNCTION("GOOGLETRANSLATE(A4340, ""en"", ""mt"")"),"X'inhi l-istratigrafija?")</f>
        <v>X'inhi l-istratigrafija?</v>
      </c>
    </row>
    <row r="4341" ht="15.75" customHeight="1">
      <c r="A4341" s="2" t="s">
        <v>4341</v>
      </c>
      <c r="B4341" s="2" t="str">
        <f>IFERROR(__xludf.DUMMYFUNCTION("GOOGLETRANSLATE(A4341, ""en"", ""mt"")"),"Tribunal tas-Servizz Ċivili")</f>
        <v>Tribunal tas-Servizz Ċivili</v>
      </c>
    </row>
    <row r="4342" ht="15.75" customHeight="1">
      <c r="A4342" s="2" t="s">
        <v>4342</v>
      </c>
      <c r="B4342" s="2" t="str">
        <f>IFERROR(__xludf.DUMMYFUNCTION("GOOGLETRANSLATE(A4342, ""en"", ""mt"")"),"ditti tas-servizzi tal-kostruzzjoni (per eżempju, inġinerija, arkitettura) u maniġers tal-kostruzzjoni")</f>
        <v>ditti tas-servizzi tal-kostruzzjoni (per eżempju, inġinerija, arkitettura) u maniġers tal-kostruzzjoni</v>
      </c>
    </row>
    <row r="4343" ht="15.75" customHeight="1">
      <c r="A4343" s="2" t="s">
        <v>4343</v>
      </c>
      <c r="B4343" s="2" t="str">
        <f>IFERROR(__xludf.DUMMYFUNCTION("GOOGLETRANSLATE(A4343, ""en"", ""mt"")"),"X'inhu l-isem għal għalliem ta 'persuna waħda biss?")</f>
        <v>X'inhu l-isem għal għalliem ta 'persuna waħda biss?</v>
      </c>
    </row>
    <row r="4344" ht="15.75" customHeight="1">
      <c r="A4344" s="2" t="s">
        <v>4344</v>
      </c>
      <c r="B4344" s="2" t="str">
        <f>IFERROR(__xludf.DUMMYFUNCTION("GOOGLETRANSLATE(A4344, ""en"", ""mt"")"),"Liema kwistjoni finanzjarja hija notorjament prevalenti fil-qasam tal-kostruzzjoni?")</f>
        <v>Liema kwistjoni finanzjarja hija notorjament prevalenti fil-qasam tal-kostruzzjoni?</v>
      </c>
    </row>
    <row r="4345" ht="15.75" customHeight="1">
      <c r="A4345" s="2" t="s">
        <v>4345</v>
      </c>
      <c r="B4345" s="2" t="str">
        <f>IFERROR(__xludf.DUMMYFUNCTION("GOOGLETRANSLATE(A4345, ""en"", ""mt"")"),"Reċiproku")</f>
        <v>Reċiproku</v>
      </c>
    </row>
    <row r="4346" ht="15.75" customHeight="1">
      <c r="A4346" s="2" t="s">
        <v>4346</v>
      </c>
      <c r="B4346" s="2" t="str">
        <f>IFERROR(__xludf.DUMMYFUNCTION("GOOGLETRANSLATE(A4346, ""en"", ""mt"")"),"Xejn għal uliedhom jattendu, inklużi kamra u bord")</f>
        <v>Xejn għal uliedhom jattendu, inklużi kamra u bord</v>
      </c>
    </row>
    <row r="4347" ht="15.75" customHeight="1">
      <c r="A4347" s="2" t="s">
        <v>4347</v>
      </c>
      <c r="B4347" s="2" t="str">
        <f>IFERROR(__xludf.DUMMYFUNCTION("GOOGLETRANSLATE(A4347, ""en"", ""mt"")"),"xita")</f>
        <v>xita</v>
      </c>
    </row>
    <row r="4348" ht="15.75" customHeight="1">
      <c r="A4348" s="2" t="s">
        <v>4348</v>
      </c>
      <c r="B4348" s="2" t="str">
        <f>IFERROR(__xludf.DUMMYFUNCTION("GOOGLETRANSLATE(A4348, ""en"", ""mt"")"),"X'inhi l-liġi tat-termodinamiċità assoċjata ma 'skambju ta' sħana tas-sistema magħluqa?")</f>
        <v>X'inhi l-liġi tat-termodinamiċità assoċjata ma 'skambju ta' sħana tas-sistema magħluqa?</v>
      </c>
    </row>
    <row r="4349" ht="15.75" customHeight="1">
      <c r="A4349" s="2" t="s">
        <v>4349</v>
      </c>
      <c r="B4349" s="2" t="str">
        <f>IFERROR(__xludf.DUMMYFUNCTION("GOOGLETRANSLATE(A4349, ""en"", ""mt"")"),"Miftuħ għal dawk kollha irrispettivament mill-età, livell ta 'litteriżmu")</f>
        <v>Miftuħ għal dawk kollha irrispettivament mill-età, livell ta 'litteriżmu</v>
      </c>
    </row>
    <row r="4350" ht="15.75" customHeight="1">
      <c r="A4350" s="2" t="s">
        <v>4350</v>
      </c>
      <c r="B4350" s="2" t="str">
        <f>IFERROR(__xludf.DUMMYFUNCTION("GOOGLETRANSLATE(A4350, ""en"", ""mt"")"),"Il-ħinijiet")</f>
        <v>Il-ħinijiet</v>
      </c>
    </row>
    <row r="4351" ht="15.75" customHeight="1">
      <c r="A4351" s="2" t="s">
        <v>4351</v>
      </c>
      <c r="B4351" s="2" t="str">
        <f>IFERROR(__xludf.DUMMYFUNCTION("GOOGLETRANSLATE(A4351, ""en"", ""mt"")"),"Rinaxximent Taljan u Franċiż")</f>
        <v>Rinaxximent Taljan u Franċiż</v>
      </c>
    </row>
    <row r="4352" ht="15.75" customHeight="1">
      <c r="A4352" s="2" t="s">
        <v>4352</v>
      </c>
      <c r="B4352" s="2" t="str">
        <f>IFERROR(__xludf.DUMMYFUNCTION("GOOGLETRANSLATE(A4352, ""en"", ""mt"")"),"Kważi $ 41 triljun")</f>
        <v>Kważi $ 41 triljun</v>
      </c>
    </row>
    <row r="4353" ht="15.75" customHeight="1">
      <c r="A4353" s="2" t="s">
        <v>4353</v>
      </c>
      <c r="B4353" s="2" t="str">
        <f>IFERROR(__xludf.DUMMYFUNCTION("GOOGLETRANSLATE(A4353, ""en"", ""mt"")"),"Bejn wieħed u ieħor kemm huwa l-baġit tal-gvern tal-istudent?")</f>
        <v>Bejn wieħed u ieħor kemm huwa l-baġit tal-gvern tal-istudent?</v>
      </c>
    </row>
    <row r="4354" ht="15.75" customHeight="1">
      <c r="A4354" s="2" t="s">
        <v>4354</v>
      </c>
      <c r="B4354" s="2" t="str">
        <f>IFERROR(__xludf.DUMMYFUNCTION("GOOGLETRANSLATE(A4354, ""en"", ""mt"")"),"Knisja tal-qedem")</f>
        <v>Knisja tal-qedem</v>
      </c>
    </row>
    <row r="4355" ht="15.75" customHeight="1">
      <c r="A4355" s="2" t="s">
        <v>4355</v>
      </c>
      <c r="B4355" s="2" t="str">
        <f>IFERROR(__xludf.DUMMYFUNCTION("GOOGLETRANSLATE(A4355, ""en"", ""mt"")"),"Dubbidjenza Ċivili Rivoluzzjonarja")</f>
        <v>Dubbidjenza Ċivili Rivoluzzjonarja</v>
      </c>
    </row>
    <row r="4356" ht="15.75" customHeight="1">
      <c r="A4356" s="2" t="s">
        <v>4356</v>
      </c>
      <c r="B4356" s="2" t="str">
        <f>IFERROR(__xludf.DUMMYFUNCTION("GOOGLETRANSLATE(A4356, ""en"", ""mt"")"),"Att dwar l-Iskejjel tal-Afrika t'Isfel")</f>
        <v>Att dwar l-Iskejjel tal-Afrika t'Isfel</v>
      </c>
    </row>
    <row r="4357" ht="15.75" customHeight="1">
      <c r="A4357" s="2" t="s">
        <v>4357</v>
      </c>
      <c r="B4357" s="2" t="str">
        <f>IFERROR(__xludf.DUMMYFUNCTION("GOOGLETRANSLATE(A4357, ""en"", ""mt"")"),"Il-programm Apollo, magħruf ukoll bħala Project Apollo, kien it-tielet programm ta ’spazjali tal-bniedem tal-Istati Uniti mwettaq mill-Amministrazzjoni Nazzjonali tal-Ajrunawtika u l-Ispazju (NASA), li wettaq inżul l-ewwel bnedmin fuq il-qamar mill-1969 s"&amp;"al-1972. . L-amministrazzjoni ta 'Eisenhower bħala vettura spazjali ta' tliet persuni biex issegwi l-proġett ta 'raġel wieħed li poġġa lill-ewwel Amerikani fl-ispazju, Apollo ġie ddedikat aktar tard għall-għan nazzjonali tal-President John F. Kennedy li "&amp;"""ħatt raġel fuq il-qamar u jirritornah mingħajr periklu lejn Id-Dinja ""sa l-aħħar tas-snin 1960, li huwa ppropona fil-25 ta 'Mejju, 1961, jindirizza lill-Kungress. Il-Proġett Mercury kien segwit mill-proġett ta ’żewġ persuni Gemini (1962–66). L-ewwel ti"&amp;"tjira mgħammra ta ’Apollo kienet fl-1968.")</f>
        <v>Il-programm Apollo, magħruf ukoll bħala Project Apollo, kien it-tielet programm ta ’spazjali tal-bniedem tal-Istati Uniti mwettaq mill-Amministrazzjoni Nazzjonali tal-Ajrunawtika u l-Ispazju (NASA), li wettaq inżul l-ewwel bnedmin fuq il-qamar mill-1969 sal-1972. . L-amministrazzjoni ta 'Eisenhower bħala vettura spazjali ta' tliet persuni biex issegwi l-proġett ta 'raġel wieħed li poġġa lill-ewwel Amerikani fl-ispazju, Apollo ġie ddedikat aktar tard għall-għan nazzjonali tal-President John F. Kennedy li "ħatt raġel fuq il-qamar u jirritornah mingħajr periklu lejn Id-Dinja "sa l-aħħar tas-snin 1960, li huwa ppropona fil-25 ta 'Mejju, 1961, jindirizza lill-Kungress. Il-Proġett Mercury kien segwit mill-proġett ta ’żewġ persuni Gemini (1962–66). L-ewwel titjira mgħammra ta ’Apollo kienet fl-1968.</v>
      </c>
    </row>
    <row r="4358" ht="15.75" customHeight="1">
      <c r="A4358" s="2" t="s">
        <v>4358</v>
      </c>
      <c r="B4358" s="2" t="str">
        <f>IFERROR(__xludf.DUMMYFUNCTION("GOOGLETRANSLATE(A4358, ""en"", ""mt"")"),"Kemm idumu d-dibattitu tal-membri?")</f>
        <v>Kemm idumu d-dibattitu tal-membri?</v>
      </c>
    </row>
    <row r="4359" ht="15.75" customHeight="1">
      <c r="A4359" s="2" t="s">
        <v>4359</v>
      </c>
      <c r="B4359" s="2" t="str">
        <f>IFERROR(__xludf.DUMMYFUNCTION("GOOGLETRANSLATE(A4359, ""en"", ""mt"")"),"Minkejja li rrinunzja għal żmien twil lura DeAngelo Williams u jitlef ir-riċevitur tal-aqwa wiesa 'Kelvin Benjamin għal ACL imqatta' fil-preseason, il-Panthers Carolina kellhom l-aħjar staġun regolari tagħhom fl-istorja tal-franchise, u saru s-seba 'tim l"&amp;"i jirbħu mill-inqas 15-il logħba tal-istaġun regolari mill-kampjonat espandiet għal skeda ta '16 -il logħba fl-1978. Carolina bdiet l-istaġun 14-0, mhux biss stabbilixxiet rekords ta 'franchise għall-aħjar bidu u l-itwal sensiela ta' rebħ ta 'staġun wieħe"&amp;"d, iżda wkoll ippubblikat l-aħjar bidu għal staġun minn tim tal-NFC fl-NFL L-istorja, li tkisser ir-rekord 13-0 qabel maqsum man-New Orleans Saints tal-2009 u l-Green Bay Packers tal-2011. Bl-aqwa rekord tal-istaġun regolari NFC 15-1 tagħhom, il-Panthers "&amp;"ikklassifikaw vantaġġ fuq il-post tad-dar matul il-playoffs tal-NFC għall-ewwel darba fl-istorja tal-franchise. Għaxar plejers intgħażlu għall-Pro Bowl (l-iktar fl-istorja tal-franchise) flimkien ma 'tmien selezzjonijiet kollha tal-Pro.")</f>
        <v>Minkejja li rrinunzja għal żmien twil lura DeAngelo Williams u jitlef ir-riċevitur tal-aqwa wiesa 'Kelvin Benjamin għal ACL imqatta' fil-preseason, il-Panthers Carolina kellhom l-aħjar staġun regolari tagħhom fl-istorja tal-franchise, u saru s-seba 'tim li jirbħu mill-inqas 15-il logħba tal-istaġun regolari mill-kampjonat espandiet għal skeda ta '16 -il logħba fl-1978. Carolina bdiet l-istaġun 14-0, mhux biss stabbilixxiet rekords ta 'franchise għall-aħjar bidu u l-itwal sensiela ta' rebħ ta 'staġun wieħed, iżda wkoll ippubblikat l-aħjar bidu għal staġun minn tim tal-NFC fl-NFL L-istorja, li tkisser ir-rekord 13-0 qabel maqsum man-New Orleans Saints tal-2009 u l-Green Bay Packers tal-2011. Bl-aqwa rekord tal-istaġun regolari NFC 15-1 tagħhom, il-Panthers ikklassifikaw vantaġġ fuq il-post tad-dar matul il-playoffs tal-NFC għall-ewwel darba fl-istorja tal-franchise. Għaxar plejers intgħażlu għall-Pro Bowl (l-iktar fl-istorja tal-franchise) flimkien ma 'tmien selezzjonijiet kollha tal-Pro.</v>
      </c>
    </row>
    <row r="4360" ht="15.75" customHeight="1">
      <c r="A4360" s="2" t="s">
        <v>4360</v>
      </c>
      <c r="B4360" s="2" t="str">
        <f>IFERROR(__xludf.DUMMYFUNCTION("GOOGLETRANSLATE(A4360, ""en"", ""mt"")"),"Kemm hemm klassijiet ta 'sensittività immuni?")</f>
        <v>Kemm hemm klassijiet ta 'sensittività immuni?</v>
      </c>
    </row>
    <row r="4361" ht="15.75" customHeight="1">
      <c r="A4361" s="2" t="s">
        <v>4361</v>
      </c>
      <c r="B4361" s="2" t="str">
        <f>IFERROR(__xludf.DUMMYFUNCTION("GOOGLETRANSLATE(A4361, ""en"", ""mt"")"),"X'għamel Josel lill-Belt ta 'Strasburgu biex tipprojbixxi l-bejgħ ta'?")</f>
        <v>X'għamel Josel lill-Belt ta 'Strasburgu biex tipprojbixxi l-bejgħ ta'?</v>
      </c>
    </row>
    <row r="4362" ht="15.75" customHeight="1">
      <c r="A4362" s="2" t="s">
        <v>4362</v>
      </c>
      <c r="B4362" s="2" t="str">
        <f>IFERROR(__xludf.DUMMYFUNCTION("GOOGLETRANSLATE(A4362, ""en"", ""mt"")"),"Immunoglobulina taċ-ċelloli qattiel")</f>
        <v>Immunoglobulina taċ-ċelloli qattiel</v>
      </c>
    </row>
    <row r="4363" ht="15.75" customHeight="1">
      <c r="A4363" s="2" t="s">
        <v>4363</v>
      </c>
      <c r="B4363" s="2" t="str">
        <f>IFERROR(__xludf.DUMMYFUNCTION("GOOGLETRANSLATE(A4363, ""en"", ""mt"")"),"Kemm astronawti kienet l-LM maħsuba biex tieħu mill-orbita tal-qamar sal-wiċċ tal-qamar?")</f>
        <v>Kemm astronawti kienet l-LM maħsuba biex tieħu mill-orbita tal-qamar sal-wiċċ tal-qamar?</v>
      </c>
    </row>
    <row r="4364" ht="15.75" customHeight="1">
      <c r="A4364" s="2" t="s">
        <v>4364</v>
      </c>
      <c r="B4364" s="2" t="str">
        <f>IFERROR(__xludf.DUMMYFUNCTION("GOOGLETRANSLATE(A4364, ""en"", ""mt"")"),"Sħubija fl-Unjoni")</f>
        <v>Sħubija fl-Unjoni</v>
      </c>
    </row>
    <row r="4365" ht="15.75" customHeight="1">
      <c r="A4365" s="2" t="s">
        <v>4365</v>
      </c>
      <c r="B4365" s="2" t="str">
        <f>IFERROR(__xludf.DUMMYFUNCTION("GOOGLETRANSLATE(A4365, ""en"", ""mt"")"),"Vultaġġ għoli")</f>
        <v>Vultaġġ għoli</v>
      </c>
    </row>
    <row r="4366" ht="15.75" customHeight="1">
      <c r="A4366" s="2" t="s">
        <v>4366</v>
      </c>
      <c r="B4366" s="2" t="str">
        <f>IFERROR(__xludf.DUMMYFUNCTION("GOOGLETRANSLATE(A4366, ""en"", ""mt"")"),"L-aħħar priedka tiegħu twasslet f'Eisleben, il-post tat-twelid tiegħu, fil-15 ta 'Frar 1546, tlett ijiem qabel il-mewt tiegħu. Kien ""iddedikat għal kollox għall-Lhud obdurate, li kienet kwistjoni ta 'urġenza kbira li tkeċċi mit-territorju Ġermaniż kollu,"&amp;""" skond Léon Poliakov. James MacKinnon jikteb li kkonkluda b '""taħrika ħerqana biex issuq il-borża tal-Lhud u l-bagalji minn nofshom, sakemm ma jintilfux mill-kalumnija tagħhom u mill-użura tagħhom u saru Kristjani."" Luther qal, ""Aħna rridu nipprattik"&amp;"aw l-imħabba Nisranija lejhom u nitolbu li dawn jikkonvertu,"" imma wkoll li huma ""l-għedewwa pubbliċi tagħna ... u jekk setgħu joqtlu lilna lkoll, huma bil-ferħ jagħmlu hekk. U hekk ħafna drabi jagħmlu hekk . """)</f>
        <v>L-aħħar priedka tiegħu twasslet f'Eisleben, il-post tat-twelid tiegħu, fil-15 ta 'Frar 1546, tlett ijiem qabel il-mewt tiegħu. Kien "iddedikat għal kollox għall-Lhud obdurate, li kienet kwistjoni ta 'urġenza kbira li tkeċċi mit-territorju Ġermaniż kollu," skond Léon Poliakov. James MacKinnon jikteb li kkonkluda b '"taħrika ħerqana biex issuq il-borża tal-Lhud u l-bagalji minn nofshom, sakemm ma jintilfux mill-kalumnija tagħhom u mill-użura tagħhom u saru Kristjani." Luther qal, "Aħna rridu nipprattikaw l-imħabba Nisranija lejhom u nitolbu li dawn jikkonvertu," imma wkoll li huma "l-għedewwa pubbliċi tagħna ... u jekk setgħu joqtlu lilna lkoll, huma bil-ferħ jagħmlu hekk. U hekk ħafna drabi jagħmlu hekk . "</v>
      </c>
    </row>
    <row r="4367" ht="15.75" customHeight="1">
      <c r="A4367" s="2" t="s">
        <v>4367</v>
      </c>
      <c r="B4367" s="2" t="str">
        <f>IFERROR(__xludf.DUMMYFUNCTION("GOOGLETRANSLATE(A4367, ""en"", ""mt"")"),"Meta kien il-massakru tal-Jum San Bartolomew?")</f>
        <v>Meta kien il-massakru tal-Jum San Bartolomew?</v>
      </c>
    </row>
    <row r="4368" ht="15.75" customHeight="1">
      <c r="A4368" s="2" t="s">
        <v>4368</v>
      </c>
      <c r="B4368" s="2" t="str">
        <f>IFERROR(__xludf.DUMMYFUNCTION("GOOGLETRANSLATE(A4368, ""en"", ""mt"")"),"L-Arkivju tal-Mużew Nikola Tesla")</f>
        <v>L-Arkivju tal-Mużew Nikola Tesla</v>
      </c>
    </row>
    <row r="4369" ht="15.75" customHeight="1">
      <c r="A4369" s="2" t="s">
        <v>4369</v>
      </c>
      <c r="B4369" s="2" t="str">
        <f>IFERROR(__xludf.DUMMYFUNCTION("GOOGLETRANSLATE(A4369, ""en"", ""mt"")"),"Għaliex mikrija s-36 acres?")</f>
        <v>Għaliex mikrija s-36 acres?</v>
      </c>
    </row>
    <row r="4370" ht="15.75" customHeight="1">
      <c r="A4370" s="2" t="s">
        <v>4370</v>
      </c>
      <c r="B4370" s="2" t="str">
        <f>IFERROR(__xludf.DUMMYFUNCTION("GOOGLETRANSLATE(A4370, ""en"", ""mt"")"),"Il-moħħ ta 'Morbius")</f>
        <v>Il-moħħ ta 'Morbius</v>
      </c>
    </row>
    <row r="4371" ht="15.75" customHeight="1">
      <c r="A4371" s="2" t="s">
        <v>4371</v>
      </c>
      <c r="B4371" s="2" t="str">
        <f>IFERROR(__xludf.DUMMYFUNCTION("GOOGLETRANSLATE(A4371, ""en"", ""mt"")"),"X'jagħmel Ctenophores differenti mill-annimali l-oħra kollha?")</f>
        <v>X'jagħmel Ctenophores differenti mill-annimali l-oħra kollha?</v>
      </c>
    </row>
    <row r="4372" ht="15.75" customHeight="1">
      <c r="A4372" s="2" t="s">
        <v>4372</v>
      </c>
      <c r="B4372" s="2" t="str">
        <f>IFERROR(__xludf.DUMMYFUNCTION("GOOGLETRANSLATE(A4372, ""en"", ""mt"")"),"X'inhu l-użu tal-liġi mill-Ispirtu s-Santu?")</f>
        <v>X'inhu l-użu tal-liġi mill-Ispirtu s-Santu?</v>
      </c>
    </row>
    <row r="4373" ht="15.75" customHeight="1">
      <c r="A4373" s="2" t="s">
        <v>4373</v>
      </c>
      <c r="B4373" s="2" t="str">
        <f>IFERROR(__xludf.DUMMYFUNCTION("GOOGLETRANSLATE(A4373, ""en"", ""mt"")"),"L-iżvilupp ta 'Terra Preta ppermetta għal dak li jiġri fil-foresta tal-Amażonja?")</f>
        <v>L-iżvilupp ta 'Terra Preta ppermetta għal dak li jiġri fil-foresta tal-Amażonja?</v>
      </c>
    </row>
    <row r="4374" ht="15.75" customHeight="1">
      <c r="A4374" s="2" t="s">
        <v>4374</v>
      </c>
      <c r="B4374" s="2" t="str">
        <f>IFERROR(__xludf.DUMMYFUNCTION("GOOGLETRANSLATE(A4374, ""en"", ""mt"")"),"Ċivilizza l-inferjuri")</f>
        <v>Ċivilizza l-inferjuri</v>
      </c>
    </row>
    <row r="4375" ht="15.75" customHeight="1">
      <c r="A4375" s="2" t="s">
        <v>4375</v>
      </c>
      <c r="B4375" s="2" t="str">
        <f>IFERROR(__xludf.DUMMYFUNCTION("GOOGLETRANSLATE(A4375, ""en"", ""mt"")"),"In-netwerk għandu d-distinzjoni mhux tas-soltu li jkollu affiljati separatament u operati li jservu l-istess suq f'Tampa, Florida (WFTS-TV u WWSB) u Grand Rapids, Michigan (WZZM u WOTV), b'sitwazzjoni analoga li tinqala 'fi Kansas City, Missouri, Missouri"&amp;" (KMBC-TV u KQTV). KQTV huwa liċenzjat lil San Ġużepp, Missouri, li huwa magħżul minn Nielsen bħala suq separat minn Kansas City minkejja li jinsab fi 55 mil (89 km) ta 'xulxin, filwaqt li WWSB u WOTV iservu żoni li ma jirċievu sinjal adegwat minn L-affil"&amp;"jat primarju tal-ABC tas-suq tagħhom (fil-każ tal-WWSB, dan imur lura meta WTSP kien l-affiljat primarju tal-ABC ta 'Tampa qabel l-1994, bl-ewwel wieħed ikun meħtieġ biex iservi l-parti tan-nofsinhar tas-suq ta' Tampa inkluż il-belt tal-istazzjon tal-liċe"&amp;"nzja, Sarasota, Minħabba li t-trasmettitur ta 'WTSP huwa spazjat qasir biex jevita li jinterferixxi mas-sinjal analogu ta' Miami affiljat WPLG - li bħal WTSP, imxandar fuq VHF Channel 10).")</f>
        <v>In-netwerk għandu d-distinzjoni mhux tas-soltu li jkollu affiljati separatament u operati li jservu l-istess suq f'Tampa, Florida (WFTS-TV u WWSB) u Grand Rapids, Michigan (WZZM u WOTV), b'sitwazzjoni analoga li tinqala 'fi Kansas City, Missouri, Missouri (KMBC-TV u KQTV). KQTV huwa liċenzjat lil San Ġużepp, Missouri, li huwa magħżul minn Nielsen bħala suq separat minn Kansas City minkejja li jinsab fi 55 mil (89 km) ta 'xulxin, filwaqt li WWSB u WOTV iservu żoni li ma jirċievu sinjal adegwat minn L-affiljat primarju tal-ABC tas-suq tagħhom (fil-każ tal-WWSB, dan imur lura meta WTSP kien l-affiljat primarju tal-ABC ta 'Tampa qabel l-1994, bl-ewwel wieħed ikun meħtieġ biex iservi l-parti tan-nofsinhar tas-suq ta' Tampa inkluż il-belt tal-istazzjon tal-liċenzja, Sarasota, Minħabba li t-trasmettitur ta 'WTSP huwa spazjat qasir biex jevita li jinterferixxi mas-sinjal analogu ta' Miami affiljat WPLG - li bħal WTSP, imxandar fuq VHF Channel 10).</v>
      </c>
    </row>
    <row r="4376" ht="15.75" customHeight="1">
      <c r="A4376" s="2" t="s">
        <v>4376</v>
      </c>
      <c r="B4376" s="2" t="str">
        <f>IFERROR(__xludf.DUMMYFUNCTION("GOOGLETRANSLATE(A4376, ""en"", ""mt"")"),"Zokkor u Ossiġenu (O2)")</f>
        <v>Zokkor u Ossiġenu (O2)</v>
      </c>
    </row>
    <row r="4377" ht="15.75" customHeight="1">
      <c r="A4377" s="2" t="s">
        <v>4377</v>
      </c>
      <c r="B4377" s="2" t="str">
        <f>IFERROR(__xludf.DUMMYFUNCTION("GOOGLETRANSLATE(A4377, ""en"", ""mt"")"),"in-netwerk tat-tilkoid")</f>
        <v>in-netwerk tat-tilkoid</v>
      </c>
    </row>
    <row r="4378" ht="15.75" customHeight="1">
      <c r="A4378" s="2" t="s">
        <v>4378</v>
      </c>
      <c r="B4378" s="2" t="str">
        <f>IFERROR(__xludf.DUMMYFUNCTION("GOOGLETRANSLATE(A4378, ""en"", ""mt"")"),"Meta Richard Grainger kien qed jibni u jiżviluppa attivament?")</f>
        <v>Meta Richard Grainger kien qed jibni u jiżviluppa attivament?</v>
      </c>
    </row>
    <row r="4379" ht="15.75" customHeight="1">
      <c r="A4379" s="2" t="s">
        <v>4379</v>
      </c>
      <c r="B4379" s="2" t="str">
        <f>IFERROR(__xludf.DUMMYFUNCTION("GOOGLETRANSLATE(A4379, ""en"", ""mt"")"),"25 miljun")</f>
        <v>25 miljun</v>
      </c>
    </row>
    <row r="4380" ht="15.75" customHeight="1">
      <c r="A4380" s="2" t="s">
        <v>4380</v>
      </c>
      <c r="B4380" s="2" t="str">
        <f>IFERROR(__xludf.DUMMYFUNCTION("GOOGLETRANSLATE(A4380, ""en"", ""mt"")"),"Liema problema tas-saħħa kellha Tesla fl-1879?")</f>
        <v>Liema problema tas-saħħa kellha Tesla fl-1879?</v>
      </c>
    </row>
    <row r="4381" ht="15.75" customHeight="1">
      <c r="A4381" s="2" t="s">
        <v>4381</v>
      </c>
      <c r="B4381" s="2" t="str">
        <f>IFERROR(__xludf.DUMMYFUNCTION("GOOGLETRANSLATE(A4381, ""en"", ""mt"")"),"Xi jkun fih il-kavità interna?")</f>
        <v>Xi jkun fih il-kavità interna?</v>
      </c>
    </row>
    <row r="4382" ht="15.75" customHeight="1">
      <c r="A4382" s="2" t="s">
        <v>4382</v>
      </c>
      <c r="B4382" s="2" t="str">
        <f>IFERROR(__xludf.DUMMYFUNCTION("GOOGLETRANSLATE(A4382, ""en"", ""mt"")"),"Numru ta 'kotba u artikli")</f>
        <v>Numru ta 'kotba u artikli</v>
      </c>
    </row>
    <row r="4383" ht="15.75" customHeight="1">
      <c r="A4383" s="2" t="s">
        <v>4383</v>
      </c>
      <c r="B4383" s="2" t="str">
        <f>IFERROR(__xludf.DUMMYFUNCTION("GOOGLETRANSLATE(A4383, ""en"", ""mt"")"),"90 sa 95 fil-mija")</f>
        <v>90 sa 95 fil-mija</v>
      </c>
    </row>
    <row r="4384" ht="15.75" customHeight="1">
      <c r="A4384" s="2" t="s">
        <v>4384</v>
      </c>
      <c r="B4384" s="2" t="str">
        <f>IFERROR(__xludf.DUMMYFUNCTION("GOOGLETRANSLATE(A4384, ""en"", ""mt"")"),"L-ossiġenu, bħala suppost ewforiku ħafif, għandu storja ta 'użu rikreattiv fil-bars tal-ossiġnu u fl-isport. Il-vireg tal-ossiġnu huma stabbilimenti, misjuba fil-Ġappun, California, u f'Las Vegas, Nevada mill-aħħar tad-disgħinijiet li joffru ogħla min-nor"&amp;"mal O
2 Esponiment għal ħlas. Atleti professjonali, speċjalment fil-futbol Amerikan, kultant ukoll imorru barra mill-grawnd biex jilbsu maskri ta 'ossiġnu sabiex jiksbu ""spinta"" fil-prestazzjoni. L-effett farmakoloġiku huwa dubjuż; Effett tal-plaċebo hu"&amp;"wa spjegazzjoni aktar probabbli. Studji disponibbli jappoġġjaw spinta tal-prestazzjoni minn O arrikkita
2 taħlitiet biss jekk ikunu nifs waqt eżerċizzju aerobiku.")</f>
        <v>L-ossiġenu, bħala suppost ewforiku ħafif, għandu storja ta 'użu rikreattiv fil-bars tal-ossiġnu u fl-isport. Il-vireg tal-ossiġnu huma stabbilimenti, misjuba fil-Ġappun, California, u f'Las Vegas, Nevada mill-aħħar tad-disgħinijiet li joffru ogħla min-normal O
2 Esponiment għal ħlas. Atleti professjonali, speċjalment fil-futbol Amerikan, kultant ukoll imorru barra mill-grawnd biex jilbsu maskri ta 'ossiġnu sabiex jiksbu "spinta" fil-prestazzjoni. L-effett farmakoloġiku huwa dubjuż; Effett tal-plaċebo huwa spjegazzjoni aktar probabbli. Studji disponibbli jappoġġjaw spinta tal-prestazzjoni minn O arrikkita
2 taħlitiet biss jekk ikunu nifs waqt eżerċizzju aerobiku.</v>
      </c>
    </row>
    <row r="4385" ht="15.75" customHeight="1">
      <c r="A4385" s="2" t="s">
        <v>4385</v>
      </c>
      <c r="B4385" s="2" t="str">
        <f>IFERROR(__xludf.DUMMYFUNCTION("GOOGLETRANSLATE(A4385, ""en"", ""mt"")"),"L-isferi kollha")</f>
        <v>L-isferi kollha</v>
      </c>
    </row>
    <row r="4386" ht="15.75" customHeight="1">
      <c r="A4386" s="2" t="s">
        <v>4386</v>
      </c>
      <c r="B4386" s="2" t="str">
        <f>IFERROR(__xludf.DUMMYFUNCTION("GOOGLETRANSLATE(A4386, ""en"", ""mt"")"),"għanijiet personali")</f>
        <v>għanijiet personali</v>
      </c>
    </row>
    <row r="4387" ht="15.75" customHeight="1">
      <c r="A4387" s="2" t="s">
        <v>4387</v>
      </c>
      <c r="B4387" s="2" t="str">
        <f>IFERROR(__xludf.DUMMYFUNCTION("GOOGLETRANSLATE(A4387, ""en"", ""mt"")"),"Minbarra t-Trofew ta 'Vince Lombardi li jirċievu ċ-ċampjins tas-Super Bowl, ir-rebbieħ tas-Super Bowl 50 se jirċievi wkoll ""50"" kbir ""50"". Kull ċifra tiżen 33 lb (15 kg) għal total ta '66 lb (30 kg). Bħall-trofew Lombardi, il- ""50"" se jkun iddisinja"&amp;"t minn Tiffany &amp; Co.")</f>
        <v>Minbarra t-Trofew ta 'Vince Lombardi li jirċievu ċ-ċampjins tas-Super Bowl, ir-rebbieħ tas-Super Bowl 50 se jirċievi wkoll "50" kbir "50". Kull ċifra tiżen 33 lb (15 kg) għal total ta '66 lb (30 kg). Bħall-trofew Lombardi, il- "50" se jkun iddisinjat minn Tiffany &amp; Co.</v>
      </c>
    </row>
    <row r="4388" ht="15.75" customHeight="1">
      <c r="A4388" s="2" t="s">
        <v>4388</v>
      </c>
      <c r="B4388" s="2" t="str">
        <f>IFERROR(__xludf.DUMMYFUNCTION("GOOGLETRANSLATE(A4388, ""en"", ""mt"")"),"Kif ġie ppremjat Sadat mill-Iżlamisti għat-tentattivi tiegħu biex iġib l-Eġittu fi żminijiet moderni u ċiviltà?")</f>
        <v>Kif ġie ppremjat Sadat mill-Iżlamisti għat-tentattivi tiegħu biex iġib l-Eġittu fi żminijiet moderni u ċiviltà?</v>
      </c>
    </row>
    <row r="4389" ht="15.75" customHeight="1">
      <c r="A4389" s="2" t="s">
        <v>4389</v>
      </c>
      <c r="B4389" s="2" t="str">
        <f>IFERROR(__xludf.DUMMYFUNCTION("GOOGLETRANSLATE(A4389, ""en"", ""mt"")"),"Fis-snin 1840 u 50, kien hemm tentattivi biex tingħeleb din il-problema permezz ta 'diversi gerijiet tal-valv tal-privattivi b'valv ta' espansjoni separat u varjabbli ta 'rkib fuq wara tal-valv tal-pjastra prinċipali; Dawn tal-aħħar ġeneralment kellhom qt"&amp;"ugħ fiss jew limitat. Is-setup ikkombinat ta approssimazzjoni ġusta tal-avvenimenti ideali, bi spejjeż ta 'żieda fil-frizzjoni u l-ilbies, u l-mekkaniżmu kellu tendenza li jkun ikkumplikat. Is-soluzzjoni ta 'kompromess tas-soltu kienet li tipprovdi dawra "&amp;"billi tittawwal l-uċuħ tal-valv b'tali mod li jirkbu fuq il-port fuq in-naħa tad-dħul, bl-effett li n-naħa tal-egżost tibqa' miftuħa għal perjodu itwal wara li tinqata 'fuq l-ammissjoni il-ġenb seħħ. Dan l-ispedjent minn dakinhar ġeneralment kien ikkunsid"&amp;"rat sodisfaċenti għal ħafna skopijiet u jagħmilha possibbli l-użu tal-mozzjonijiet aktar sempliċi ta 'Stephenson, Joy u Walschaerts. Corliss, u aktar tard, il-gerijiet tal-valv tal-poppet kellhom ammissjoni separati u valvi ta 'l-egżost misjuqa minn mekka"&amp;"niżmi ta' vjaġġ jew cams profilati sabiex jagħtu avvenimenti ideali; Ħafna minn dawn l-irkaptu qatt ma rnexxielhom barra mis-suq wieqaf minħabba diversi kwistjonijiet oħra inkluż tnixxija u mekkaniżmi aktar delikati.")</f>
        <v>Fis-snin 1840 u 50, kien hemm tentattivi biex tingħeleb din il-problema permezz ta 'diversi gerijiet tal-valv tal-privattivi b'valv ta' espansjoni separat u varjabbli ta 'rkib fuq wara tal-valv tal-pjastra prinċipali; Dawn tal-aħħar ġeneralment kellhom qtugħ fiss jew limitat. Is-setup ikkombinat ta approssimazzjoni ġusta tal-avvenimenti ideali, bi spejjeż ta 'żieda fil-frizzjoni u l-ilbies, u l-mekkaniżmu kellu tendenza li jkun ikkumplikat. Is-soluzzjoni ta 'kompromess tas-soltu kienet li tipprovdi dawra billi tittawwal l-uċuħ tal-valv b'tali mod li jirkbu fuq il-port fuq in-naħa tad-dħul, bl-effett li n-naħa tal-egżost tibqa' miftuħa għal perjodu itwal wara li tinqata 'fuq l-ammissjoni il-ġenb seħħ. Dan l-ispedjent minn dakinhar ġeneralment kien ikkunsidrat sodisfaċenti għal ħafna skopijiet u jagħmilha possibbli l-użu tal-mozzjonijiet aktar sempliċi ta 'Stephenson, Joy u Walschaerts. Corliss, u aktar tard, il-gerijiet tal-valv tal-poppet kellhom ammissjoni separati u valvi ta 'l-egżost misjuqa minn mekkaniżmi ta' vjaġġ jew cams profilati sabiex jagħtu avvenimenti ideali; Ħafna minn dawn l-irkaptu qatt ma rnexxielhom barra mis-suq wieqaf minħabba diversi kwistjonijiet oħra inkluż tnixxija u mekkaniżmi aktar delikati.</v>
      </c>
    </row>
    <row r="4390" ht="15.75" customHeight="1">
      <c r="A4390" s="2" t="s">
        <v>4390</v>
      </c>
      <c r="B4390" s="2" t="str">
        <f>IFERROR(__xludf.DUMMYFUNCTION("GOOGLETRANSLATE(A4390, ""en"", ""mt"")"),"Huwa peżat inversament għad-daqs tal-istat membru")</f>
        <v>Huwa peżat inversament għad-daqs tal-istat membru</v>
      </c>
    </row>
    <row r="4391" ht="15.75" customHeight="1">
      <c r="A4391" s="2" t="s">
        <v>4391</v>
      </c>
      <c r="B4391" s="2" t="str">
        <f>IFERROR(__xludf.DUMMYFUNCTION("GOOGLETRANSLATE(A4391, ""en"", ""mt"")"),"Liema knisja ta 'Huguenot bikrija ġiet stabbilita fl-Ingilterra?")</f>
        <v>Liema knisja ta 'Huguenot bikrija ġiet stabbilita fl-Ingilterra?</v>
      </c>
    </row>
    <row r="4392" ht="15.75" customHeight="1">
      <c r="A4392" s="2" t="s">
        <v>4392</v>
      </c>
      <c r="B4392" s="2" t="str">
        <f>IFERROR(__xludf.DUMMYFUNCTION("GOOGLETRANSLATE(A4392, ""en"", ""mt"")"),"Jingħaqad mal-fluss tal-Lvant lejn l-Atlantiku.")</f>
        <v>Jingħaqad mal-fluss tal-Lvant lejn l-Atlantiku.</v>
      </c>
    </row>
    <row r="4393" ht="15.75" customHeight="1">
      <c r="A4393" s="2" t="s">
        <v>4393</v>
      </c>
      <c r="B4393" s="2" t="str">
        <f>IFERROR(__xludf.DUMMYFUNCTION("GOOGLETRANSLATE(A4393, ""en"", ""mt"")"),"eżerċizzju")</f>
        <v>eżerċizzju</v>
      </c>
    </row>
    <row r="4394" ht="15.75" customHeight="1">
      <c r="A4394" s="2" t="s">
        <v>4394</v>
      </c>
      <c r="B4394" s="2" t="str">
        <f>IFERROR(__xludf.DUMMYFUNCTION("GOOGLETRANSLATE(A4394, ""en"", ""mt"")"),"X'inventa Charles Parsons?")</f>
        <v>X'inventa Charles Parsons?</v>
      </c>
    </row>
    <row r="4395" ht="15.75" customHeight="1">
      <c r="A4395" s="2" t="s">
        <v>4395</v>
      </c>
      <c r="B4395" s="2" t="str">
        <f>IFERROR(__xludf.DUMMYFUNCTION("GOOGLETRANSLATE(A4395, ""en"", ""mt"")"),"Fil-bidu tas-snin sebgħin, Michael Eisner, li ngħaqad ma 'ABC fl-1966, sar il-maniġer tal-iżvilupp tal-programm tan-netwerk. Huwa għen biex iġġib ideat għal ħafna serje fosthom Happy Days (li oriġinaw bħala segment fuq is-serje tal-antoloġija Love, l-isti"&amp;"l Amerikan), kif ukoll diversi sapun; Madankollu, il-kreditu ewlieni ta 'Eisner f'ABC kien għall-iżvilupp ta' programmazzjoni orjentata għaż-żgħażagħ. Huwa kien responsabbli biex jerġa 'jaqa' d-drittijiet għal-librerija Looney Tunes-Merrie Melodies, u ġab"&amp;" ix-xorts lura lil ABC wara li qatta 'bosta snin fuq CBS, kif ukoll għall-iżvilupp tas-serje animata Jackson 5ive u serje dwar l-Osmonds, u Super Friends Greenlighting, Ibbażat fuq is-serje DC Comics Justice League of America. Eisner ħalla l-ABC fl-1976 b"&amp;"iex isir president ta 'Paramount Pictures (u aktar tard sar il-president tal-kumpanija ewlenija eventwali ta' ABC, Disney).")</f>
        <v>Fil-bidu tas-snin sebgħin, Michael Eisner, li ngħaqad ma 'ABC fl-1966, sar il-maniġer tal-iżvilupp tal-programm tan-netwerk. Huwa għen biex iġġib ideat għal ħafna serje fosthom Happy Days (li oriġinaw bħala segment fuq is-serje tal-antoloġija Love, l-istil Amerikan), kif ukoll diversi sapun; Madankollu, il-kreditu ewlieni ta 'Eisner f'ABC kien għall-iżvilupp ta' programmazzjoni orjentata għaż-żgħażagħ. Huwa kien responsabbli biex jerġa 'jaqa' d-drittijiet għal-librerija Looney Tunes-Merrie Melodies, u ġab ix-xorts lura lil ABC wara li qatta 'bosta snin fuq CBS, kif ukoll għall-iżvilupp tas-serje animata Jackson 5ive u serje dwar l-Osmonds, u Super Friends Greenlighting, Ibbażat fuq is-serje DC Comics Justice League of America. Eisner ħalla l-ABC fl-1976 biex isir president ta 'Paramount Pictures (u aktar tard sar il-president tal-kumpanija ewlenija eventwali ta' ABC, Disney).</v>
      </c>
    </row>
    <row r="4396" ht="15.75" customHeight="1">
      <c r="A4396" s="2" t="s">
        <v>4396</v>
      </c>
      <c r="B4396" s="2" t="str">
        <f>IFERROR(__xludf.DUMMYFUNCTION("GOOGLETRANSLATE(A4396, ""en"", ""mt"")"),"Maġġoranza ta 'żewġ terzi")</f>
        <v>Maġġoranza ta 'żewġ terzi</v>
      </c>
    </row>
    <row r="4397" ht="15.75" customHeight="1">
      <c r="A4397" s="2" t="s">
        <v>4397</v>
      </c>
      <c r="B4397" s="2" t="str">
        <f>IFERROR(__xludf.DUMMYFUNCTION("GOOGLETRANSLATE(A4397, ""en"", ""mt"")"),"Prim fard")</f>
        <v>Prim fard</v>
      </c>
    </row>
    <row r="4398" ht="15.75" customHeight="1">
      <c r="A4398" s="2" t="s">
        <v>4398</v>
      </c>
      <c r="B4398" s="2" t="str">
        <f>IFERROR(__xludf.DUMMYFUNCTION("GOOGLETRANSLATE(A4398, ""en"", ""mt"")"),"Biex tnaqqas l-ispejjeż tal-konsumatur")</f>
        <v>Biex tnaqqas l-ispejjeż tal-konsumatur</v>
      </c>
    </row>
    <row r="4399" ht="15.75" customHeight="1">
      <c r="A4399" s="2" t="s">
        <v>4399</v>
      </c>
      <c r="B4399" s="2" t="str">
        <f>IFERROR(__xludf.DUMMYFUNCTION("GOOGLETRANSLATE(A4399, ""en"", ""mt"")"),"B'liema mezzi jintbagħtu bl-ossiġnu bl-ingrossa?")</f>
        <v>B'liema mezzi jintbagħtu bl-ossiġnu bl-ingrossa?</v>
      </c>
    </row>
    <row r="4400" ht="15.75" customHeight="1">
      <c r="A4400" s="2" t="s">
        <v>4400</v>
      </c>
      <c r="B4400" s="2" t="str">
        <f>IFERROR(__xludf.DUMMYFUNCTION("GOOGLETRANSLATE(A4400, ""en"", ""mt"")"),"Ir-Repubblika tal-Poplu taċ-Ċina")</f>
        <v>Ir-Repubblika tal-Poplu taċ-Ċina</v>
      </c>
    </row>
    <row r="4401" ht="15.75" customHeight="1">
      <c r="A4401" s="2" t="s">
        <v>4401</v>
      </c>
      <c r="B4401" s="2" t="str">
        <f>IFERROR(__xludf.DUMMYFUNCTION("GOOGLETRANSLATE(A4401, ""en"", ""mt"")"),"Kmieni fl-1537, Johannes Agricola (1494-1566) - li jservi dak iż-żmien bħala ragħaj fil-post fejn twieled Luther, Eisleben - ippriedka priedka li fiha huwa ddikjara li l-Evanġelju ta ’Alla, mhux il-liġi morali ta’ Alla (l-Għaxar Kmandamenti), żvela l-irbi"&amp;"t ta ’Alla lill-Kristjani - Ibbażat fuq dan il-priedka u oħrajn minn Agricola, Luther suspettat li Agricola kien wara ċerti teżijiet anonimi ta 'antinomjani li jiċċirkolaw f'Wittenberg. Dawn it-teżijiet affermaw li l-liġi m'għadhiex tiġi mgħallma lill-ins"&amp;"ara imma kienet tappartjeni biss lill-Belt. Luther irrisponda għal dawn it-teżijiet b'sitt serje ta 'teżijiet kontra Agricola u l-Antinomjani, li erbgħa minnhom saru l-bażi għal tilwim bejn l-1538 u l-1540. Huwa wieġeb ukoll għal dawn l-affermazzjonijiet "&amp;"fi kitbiet oħra, bħalma huma l-ittra miftuħa tiegħu 1539 lil C. Güttel kontra L-Antinomjani, u l-ktieb tiegħu dwar il-Kunsilli u l-Knisja mill-istess sena.")</f>
        <v>Kmieni fl-1537, Johannes Agricola (1494-1566) - li jservi dak iż-żmien bħala ragħaj fil-post fejn twieled Luther, Eisleben - ippriedka priedka li fiha huwa ddikjara li l-Evanġelju ta ’Alla, mhux il-liġi morali ta’ Alla (l-Għaxar Kmandamenti), żvela l-irbit ta ’Alla lill-Kristjani - Ibbażat fuq dan il-priedka u oħrajn minn Agricola, Luther suspettat li Agricola kien wara ċerti teżijiet anonimi ta 'antinomjani li jiċċirkolaw f'Wittenberg. Dawn it-teżijiet affermaw li l-liġi m'għadhiex tiġi mgħallma lill-insara imma kienet tappartjeni biss lill-Belt. Luther irrisponda għal dawn it-teżijiet b'sitt serje ta 'teżijiet kontra Agricola u l-Antinomjani, li erbgħa minnhom saru l-bażi għal tilwim bejn l-1538 u l-1540. Huwa wieġeb ukoll għal dawn l-affermazzjonijiet fi kitbiet oħra, bħalma huma l-ittra miftuħa tiegħu 1539 lil C. Güttel kontra L-Antinomjani, u l-ktieb tiegħu dwar il-Kunsilli u l-Knisja mill-istess sena.</v>
      </c>
    </row>
    <row r="4402" ht="15.75" customHeight="1">
      <c r="A4402" s="2" t="s">
        <v>4402</v>
      </c>
      <c r="B4402" s="2" t="str">
        <f>IFERROR(__xludf.DUMMYFUNCTION("GOOGLETRANSLATE(A4402, ""en"", ""mt"")"),"L-Ispettur tal-Bini Muniċipali")</f>
        <v>L-Ispettur tal-Bini Muniċipali</v>
      </c>
    </row>
    <row r="4403" ht="15.75" customHeight="1">
      <c r="A4403" s="2" t="s">
        <v>4403</v>
      </c>
      <c r="B4403" s="2" t="str">
        <f>IFERROR(__xludf.DUMMYFUNCTION("GOOGLETRANSLATE(A4403, ""en"", ""mt"")"),"Bażi tal-metodoloġija użata")</f>
        <v>Bażi tal-metodoloġija użata</v>
      </c>
    </row>
    <row r="4404" ht="15.75" customHeight="1">
      <c r="A4404" s="2" t="s">
        <v>4404</v>
      </c>
      <c r="B4404" s="2" t="str">
        <f>IFERROR(__xludf.DUMMYFUNCTION("GOOGLETRANSLATE(A4404, ""en"", ""mt"")"),"Fejn għandhom il-kakti kloroplasti?")</f>
        <v>Fejn għandhom il-kakti kloroplasti?</v>
      </c>
    </row>
    <row r="4405" ht="15.75" customHeight="1">
      <c r="A4405" s="2" t="s">
        <v>4405</v>
      </c>
      <c r="B4405" s="2" t="str">
        <f>IFERROR(__xludf.DUMMYFUNCTION("GOOGLETRANSLATE(A4405, ""en"", ""mt"")"),"Qatt ma kien affiljat ma 'xi denominazzjoni partikolari")</f>
        <v>Qatt ma kien affiljat ma 'xi denominazzjoni partikolari</v>
      </c>
    </row>
    <row r="4406" ht="15.75" customHeight="1">
      <c r="A4406" s="2" t="s">
        <v>4406</v>
      </c>
      <c r="B4406" s="2" t="str">
        <f>IFERROR(__xludf.DUMMYFUNCTION("GOOGLETRANSLATE(A4406, ""en"", ""mt"")"),"Ingliż u Swaħili,")</f>
        <v>Ingliż u Swaħili,</v>
      </c>
    </row>
    <row r="4407" ht="15.75" customHeight="1">
      <c r="A4407" s="2" t="s">
        <v>4407</v>
      </c>
      <c r="B4407" s="2" t="str">
        <f>IFERROR(__xludf.DUMMYFUNCTION("GOOGLETRANSLATE(A4407, ""en"", ""mt"")"),"X'inhu stromule?")</f>
        <v>X'inhu stromule?</v>
      </c>
    </row>
    <row r="4408" ht="15.75" customHeight="1">
      <c r="A4408" s="2" t="s">
        <v>4408</v>
      </c>
      <c r="B4408" s="2" t="str">
        <f>IFERROR(__xludf.DUMMYFUNCTION("GOOGLETRANSLATE(A4408, ""en"", ""mt"")"),"Iffinanzja vjaġġaturi li jerġgħu lura bir-rakkonti tal-iskoperti tagħhom")</f>
        <v>Iffinanzja vjaġġaturi li jerġgħu lura bir-rakkonti tal-iskoperti tagħhom</v>
      </c>
    </row>
    <row r="4409" ht="15.75" customHeight="1">
      <c r="A4409" s="2" t="s">
        <v>4409</v>
      </c>
      <c r="B4409" s="2" t="str">
        <f>IFERROR(__xludf.DUMMYFUNCTION("GOOGLETRANSLATE(A4409, ""en"", ""mt"")"),"żewġ katekiżmi")</f>
        <v>żewġ katekiżmi</v>
      </c>
    </row>
    <row r="4410" ht="15.75" customHeight="1">
      <c r="A4410" s="2" t="s">
        <v>4410</v>
      </c>
      <c r="B4410" s="2" t="str">
        <f>IFERROR(__xludf.DUMMYFUNCTION("GOOGLETRANSLATE(A4410, ""en"", ""mt"")"),"Qalba Komuni")</f>
        <v>Qalba Komuni</v>
      </c>
    </row>
    <row r="4411" ht="15.75" customHeight="1">
      <c r="A4411" s="2" t="s">
        <v>4411</v>
      </c>
      <c r="B4411" s="2" t="str">
        <f>IFERROR(__xludf.DUMMYFUNCTION("GOOGLETRANSLATE(A4411, ""en"", ""mt"")"),"fluwidu tax-xogħol")</f>
        <v>fluwidu tax-xogħol</v>
      </c>
    </row>
    <row r="4412" ht="15.75" customHeight="1">
      <c r="A4412" s="2" t="s">
        <v>4412</v>
      </c>
      <c r="B4412" s="2" t="str">
        <f>IFERROR(__xludf.DUMMYFUNCTION("GOOGLETRANSLATE(A4412, ""en"", ""mt"")"),"żero")</f>
        <v>żero</v>
      </c>
    </row>
    <row r="4413" ht="15.75" customHeight="1">
      <c r="A4413" s="2" t="s">
        <v>4413</v>
      </c>
      <c r="B4413" s="2" t="str">
        <f>IFERROR(__xludf.DUMMYFUNCTION("GOOGLETRANSLATE(A4413, ""en"", ""mt"")"),"Fuq liema kien ibbażat l-ewwel imperu Ingliż?")</f>
        <v>Fuq liema kien ibbażat l-ewwel imperu Ingliż?</v>
      </c>
    </row>
    <row r="4414" ht="15.75" customHeight="1">
      <c r="A4414" s="2" t="s">
        <v>4414</v>
      </c>
      <c r="B4414" s="2" t="str">
        <f>IFERROR(__xludf.DUMMYFUNCTION("GOOGLETRANSLATE(A4414, ""en"", ""mt"")"),"Moviment tad-Drittijiet Ċivili")</f>
        <v>Moviment tad-Drittijiet Ċivili</v>
      </c>
    </row>
    <row r="4415" ht="15.75" customHeight="1">
      <c r="A4415" s="2" t="s">
        <v>4415</v>
      </c>
      <c r="B4415" s="2" t="str">
        <f>IFERROR(__xludf.DUMMYFUNCTION("GOOGLETRANSLATE(A4415, ""en"", ""mt"")"),"Sa nofs il-karbonju ffissat miċ-ċiklu ta ’Calvin")</f>
        <v>Sa nofs il-karbonju ffissat miċ-ċiklu ta ’Calvin</v>
      </c>
    </row>
    <row r="4416" ht="15.75" customHeight="1">
      <c r="A4416" s="2" t="s">
        <v>4416</v>
      </c>
      <c r="B4416" s="2" t="str">
        <f>IFERROR(__xludf.DUMMYFUNCTION("GOOGLETRANSLATE(A4416, ""en"", ""mt"")"),"ġlieda kontra l-kavallieri")</f>
        <v>ġlieda kontra l-kavallieri</v>
      </c>
    </row>
    <row r="4417" ht="15.75" customHeight="1">
      <c r="A4417" s="2" t="s">
        <v>4417</v>
      </c>
      <c r="B4417" s="2" t="str">
        <f>IFERROR(__xludf.DUMMYFUNCTION("GOOGLETRANSLATE(A4417, ""en"", ""mt"")"),"Liema kundizzjoni akkwistata tirriżulta f'immunodefiċjenza fil-bnedmin?")</f>
        <v>Liema kundizzjoni akkwistata tirriżulta f'immunodefiċjenza fil-bnedmin?</v>
      </c>
    </row>
    <row r="4418" ht="15.75" customHeight="1">
      <c r="A4418" s="2" t="s">
        <v>4418</v>
      </c>
      <c r="B4418" s="2" t="str">
        <f>IFERROR(__xludf.DUMMYFUNCTION("GOOGLETRANSLATE(A4418, ""en"", ""mt"")"),"Fejn il-kloroplasti jagħmlu l-aċidi amminiċi?")</f>
        <v>Fejn il-kloroplasti jagħmlu l-aċidi amminiċi?</v>
      </c>
    </row>
    <row r="4419" ht="15.75" customHeight="1">
      <c r="A4419" s="2" t="s">
        <v>4419</v>
      </c>
      <c r="B4419" s="2" t="str">
        <f>IFERROR(__xludf.DUMMYFUNCTION("GOOGLETRANSLATE(A4419, ""en"", ""mt"")"),"300 m3 / s")</f>
        <v>300 m3 / s</v>
      </c>
    </row>
    <row r="4420" ht="15.75" customHeight="1">
      <c r="A4420" s="2" t="s">
        <v>4420</v>
      </c>
      <c r="B4420" s="2" t="str">
        <f>IFERROR(__xludf.DUMMYFUNCTION("GOOGLETRANSLATE(A4420, ""en"", ""mt"")"),"X'kien it-tul irreġistrat ta 'l-ewwel xrar?")</f>
        <v>X'kien it-tul irreġistrat ta 'l-ewwel xrar?</v>
      </c>
    </row>
    <row r="4421" ht="15.75" customHeight="1">
      <c r="A4421" s="2" t="s">
        <v>4421</v>
      </c>
      <c r="B4421" s="2" t="str">
        <f>IFERROR(__xludf.DUMMYFUNCTION("GOOGLETRANSLATE(A4421, ""en"", ""mt"")"),"aktar minn 17.5 miljun")</f>
        <v>aktar minn 17.5 miljun</v>
      </c>
    </row>
    <row r="4422" ht="15.75" customHeight="1">
      <c r="A4422" s="2" t="s">
        <v>4422</v>
      </c>
      <c r="B4422" s="2" t="str">
        <f>IFERROR(__xludf.DUMMYFUNCTION("GOOGLETRANSLATE(A4422, ""en"", ""mt"")"),"kumitati")</f>
        <v>kumitati</v>
      </c>
    </row>
    <row r="4423" ht="15.75" customHeight="1">
      <c r="A4423" s="2" t="s">
        <v>4423</v>
      </c>
      <c r="B4423" s="2" t="str">
        <f>IFERROR(__xludf.DUMMYFUNCTION("GOOGLETRANSLATE(A4423, ""en"", ""mt"")"),"L-investituri wrew ftit interess fl-ideat ta 'Tesla għal tipi ġodda ta' muturi u tagħmir ta 'trasmissjoni elettrika u dehru wkoll jaħsbu li kien aħjar li tiżviluppa utilità elettrika milli tivvinta sistemi ġodda. Huma eventwalment ġiegħlu lil Tesla joħroġ"&amp;" minnu bla penniless. Huwa saħansitra tilef il-kontroll tal-privattivi li kien iġġenera minn meta kien assenjathom lill-kumpanija minflok l-istokk. Huwa kellu jaħdem f'diversi impjiegi ta 'tiswija elettrika u anke bħala tħaffir tal-foss għal $ 2 kuljum. T"&amp;"esla qieset ix-xitwa tal-1886/1887 bħala żmien ta '""uġigħ ta' ras terribbli u dmugħ morr."" Matul dan iż-żmien, huwa ddubita l-valur tal-edukazzjoni tiegħu.")</f>
        <v>L-investituri wrew ftit interess fl-ideat ta 'Tesla għal tipi ġodda ta' muturi u tagħmir ta 'trasmissjoni elettrika u dehru wkoll jaħsbu li kien aħjar li tiżviluppa utilità elettrika milli tivvinta sistemi ġodda. Huma eventwalment ġiegħlu lil Tesla joħroġ minnu bla penniless. Huwa saħansitra tilef il-kontroll tal-privattivi li kien iġġenera minn meta kien assenjathom lill-kumpanija minflok l-istokk. Huwa kellu jaħdem f'diversi impjiegi ta 'tiswija elettrika u anke bħala tħaffir tal-foss għal $ 2 kuljum. Tesla qieset ix-xitwa tal-1886/1887 bħala żmien ta '"uġigħ ta' ras terribbli u dmugħ morr." Matul dan iż-żmien, huwa ddubita l-valur tal-edukazzjoni tiegħu.</v>
      </c>
    </row>
    <row r="4424" ht="15.75" customHeight="1">
      <c r="A4424" s="2" t="s">
        <v>4424</v>
      </c>
      <c r="B4424" s="2" t="str">
        <f>IFERROR(__xludf.DUMMYFUNCTION("GOOGLETRANSLATE(A4424, ""en"", ""mt"")"),"Liema raġuni oħra kkawżat provvista ħażina ta 'Franza ġdida minn xitwa diffiċli?")</f>
        <v>Liema raġuni oħra kkawżat provvista ħażina ta 'Franza ġdida minn xitwa diffiċli?</v>
      </c>
    </row>
    <row r="4425" ht="15.75" customHeight="1">
      <c r="A4425" s="2" t="s">
        <v>4425</v>
      </c>
      <c r="B4425" s="2" t="str">
        <f>IFERROR(__xludf.DUMMYFUNCTION("GOOGLETRANSLATE(A4425, ""en"", ""mt"")"),"spiritwali")</f>
        <v>spiritwali</v>
      </c>
    </row>
    <row r="4426" ht="15.75" customHeight="1">
      <c r="A4426" s="2" t="s">
        <v>4426</v>
      </c>
      <c r="B4426" s="2" t="str">
        <f>IFERROR(__xludf.DUMMYFUNCTION("GOOGLETRANSLATE(A4426, ""en"", ""mt"")"),"Skond l-informazzjoni dwar iċ-ċensiment tal-gvern tar-Renju Unit, il-Belt ta 'Newcastle kellha popolazzjoni ta' 189.863, filwaqt li l-Metropolitan Borough ta 'Newcastle kellu popolazzjoni ta' madwar 259,000. Newcastle għandha popolazzjoni ta '282,442 skon"&amp;"d l-Uffiċċju għall-Istatistika Nazzjonali. Il-boroughs metropolitani ta 'North Tyneside (popolazzjoni madwar 201,000), Tyneside t'Isfel (popolazzjoni madwar 148,000) u Gateshead (popolazzjoni madwar 201,000) huma, flimkien ma' Newcastle, il-parti kollha t"&amp;"al-konurbazzjoni ta 'Tyneside (popolazzjoni madwar 880,000). Il-Kontea Metropolitana ta 'Tyne u Wear, li tikkonsisti fl-erba' distretti msemmija hawn fuq kif ukoll mill-belt ta 'Sunderland (popolazzjoni madwar 275,000), kellha popolazzjoni ta' madwar 1,07"&amp;"6,000 u r-reġjun ta 'Tyne u Wear City li jinkludi wkoll North Durham, South East Northumberland U l-Wied ta 'Tyne għandu popolazzjoni ta' 1,650,000. Newcastle hija wkoll dar għal popolazzjoni ta 'studenti kbar ma' Newcastle u Northumbria universitajiet fi"&amp;"ż-żona lokali. Żoni b'popolazzjonijiet ta 'studenti predominanti jinkludu Jesmond u Heaton.")</f>
        <v>Skond l-informazzjoni dwar iċ-ċensiment tal-gvern tar-Renju Unit, il-Belt ta 'Newcastle kellha popolazzjoni ta' 189.863, filwaqt li l-Metropolitan Borough ta 'Newcastle kellu popolazzjoni ta' madwar 259,000. Newcastle għandha popolazzjoni ta '282,442 skond l-Uffiċċju għall-Istatistika Nazzjonali. Il-boroughs metropolitani ta 'North Tyneside (popolazzjoni madwar 201,000), Tyneside t'Isfel (popolazzjoni madwar 148,000) u Gateshead (popolazzjoni madwar 201,000) huma, flimkien ma' Newcastle, il-parti kollha tal-konurbazzjoni ta 'Tyneside (popolazzjoni madwar 880,000). Il-Kontea Metropolitana ta 'Tyne u Wear, li tikkonsisti fl-erba' distretti msemmija hawn fuq kif ukoll mill-belt ta 'Sunderland (popolazzjoni madwar 275,000), kellha popolazzjoni ta' madwar 1,076,000 u r-reġjun ta 'Tyne u Wear City li jinkludi wkoll North Durham, South East Northumberland U l-Wied ta 'Tyne għandu popolazzjoni ta' 1,650,000. Newcastle hija wkoll dar għal popolazzjoni ta 'studenti kbar ma' Newcastle u Northumbria universitajiet fiż-żona lokali. Żoni b'popolazzjonijiet ta 'studenti predominanti jinkludu Jesmond u Heaton.</v>
      </c>
    </row>
    <row r="4427" ht="15.75" customHeight="1">
      <c r="A4427" s="2" t="s">
        <v>4427</v>
      </c>
      <c r="B4427" s="2" t="str">
        <f>IFERROR(__xludf.DUMMYFUNCTION("GOOGLETRANSLATE(A4427, ""en"", ""mt"")"),"Konċentrazzjonijiet għoljin ta 'CO2 atmosferiċi")</f>
        <v>Konċentrazzjonijiet għoljin ta 'CO2 atmosferiċi</v>
      </c>
    </row>
    <row r="4428" ht="15.75" customHeight="1">
      <c r="A4428" s="2" t="s">
        <v>4428</v>
      </c>
      <c r="B4428" s="2" t="str">
        <f>IFERROR(__xludf.DUMMYFUNCTION("GOOGLETRANSLATE(A4428, ""en"", ""mt"")"),"Aktar esperjenza u edukazzjoni għolja")</f>
        <v>Aktar esperjenza u edukazzjoni għolja</v>
      </c>
    </row>
    <row r="4429" ht="15.75" customHeight="1">
      <c r="A4429" s="2" t="s">
        <v>4429</v>
      </c>
      <c r="B4429" s="2" t="str">
        <f>IFERROR(__xludf.DUMMYFUNCTION("GOOGLETRANSLATE(A4429, ""en"", ""mt"")"),"Żieda fil-kriminalità u l-faqar fil-viċinat tal-Hyde Park")</f>
        <v>Żieda fil-kriminalità u l-faqar fil-viċinat tal-Hyde Park</v>
      </c>
    </row>
    <row r="4430" ht="15.75" customHeight="1">
      <c r="A4430" s="2" t="s">
        <v>4430</v>
      </c>
      <c r="B4430" s="2" t="str">
        <f>IFERROR(__xludf.DUMMYFUNCTION("GOOGLETRANSLATE(A4430, ""en"", ""mt"")"),"Is-sistema immunitarja tipproteġi l-organiżmi minn infezzjoni b'differenza b'saffi ta 'speċifiċità dejjem tiżdied. F'termini sempliċi, l-ostakli fiżiċi jipprevjenu patoġeni bħal batterji u viruses milli jidħlu fl-organiżmu. Jekk patoġen jikser dawn l-osta"&amp;"kli, is-sistema immuni innata tipprovdi rispons immedjat, iżda mhux speċifiku. Sistemi immuni innati jinstabu fil-pjanti u l-annimali kollha. Jekk il-patoġeni jevadu b'suċċess ir-rispons intrinsiku, il-vertebrati għandhom it-tieni saff ta 'protezzjoni, is"&amp;"-sistema immunitarja adattiva, li hija attivata mir-rispons intrinsiku. Hawnhekk, is-sistema immunitarja tadatta r-rispons tagħha waqt infezzjoni biex ittejjeb ir-rikonoxximent tagħha tal-patoġen. Dan ir-rispons imtejjeb imbagħad jinżamm wara li l-patoġen"&amp;" ikun ġie eliminat, fil-forma ta 'memorja immunoloġika, u jippermetti li s-sistema immuni adatta hija immuntar aktar malajr u aktar b'saħħithom kull darba li jiltaqa' ma 'dan il-patoġen.")</f>
        <v>Is-sistema immunitarja tipproteġi l-organiżmi minn infezzjoni b'differenza b'saffi ta 'speċifiċità dejjem tiżdied. F'termini sempliċi, l-ostakli fiżiċi jipprevjenu patoġeni bħal batterji u viruses milli jidħlu fl-organiżmu. Jekk patoġen jikser dawn l-ostakli, is-sistema immuni innata tipprovdi rispons immedjat, iżda mhux speċifiku. Sistemi immuni innati jinstabu fil-pjanti u l-annimali kollha. Jekk il-patoġeni jevadu b'suċċess ir-rispons intrinsiku, il-vertebrati għandhom it-tieni saff ta 'protezzjoni, is-sistema immunitarja adattiva, li hija attivata mir-rispons intrinsiku. Hawnhekk, is-sistema immunitarja tadatta r-rispons tagħha waqt infezzjoni biex ittejjeb ir-rikonoxximent tagħha tal-patoġen. Dan ir-rispons imtejjeb imbagħad jinżamm wara li l-patoġen ikun ġie eliminat, fil-forma ta 'memorja immunoloġika, u jippermetti li s-sistema immuni adatta hija immuntar aktar malajr u aktar b'saħħithom kull darba li jiltaqa' ma 'dan il-patoġen.</v>
      </c>
    </row>
    <row r="4431" ht="15.75" customHeight="1">
      <c r="A4431" s="2" t="s">
        <v>4431</v>
      </c>
      <c r="B4431" s="2" t="str">
        <f>IFERROR(__xludf.DUMMYFUNCTION("GOOGLETRANSLATE(A4431, ""en"", ""mt"")"),"X'se jkollu l-poter tal-Prim Ministru?")</f>
        <v>X'se jkollu l-poter tal-Prim Ministru?</v>
      </c>
    </row>
    <row r="4432" ht="15.75" customHeight="1">
      <c r="A4432" s="2" t="s">
        <v>4432</v>
      </c>
      <c r="B4432" s="2" t="str">
        <f>IFERROR(__xludf.DUMMYFUNCTION("GOOGLETRANSLATE(A4432, ""en"", ""mt"")"),"X'kienet id-dment tad-dfin tat-tribujiet ta 'Genghis Khan?")</f>
        <v>X'kienet id-dment tad-dfin tat-tribujiet ta 'Genghis Khan?</v>
      </c>
    </row>
    <row r="4433" ht="15.75" customHeight="1">
      <c r="A4433" s="2" t="s">
        <v>4433</v>
      </c>
      <c r="B4433" s="2" t="str">
        <f>IFERROR(__xludf.DUMMYFUNCTION("GOOGLETRANSLATE(A4433, ""en"", ""mt"")"),"$ 400,000 - $ 450,000")</f>
        <v>$ 400,000 - $ 450,000</v>
      </c>
    </row>
    <row r="4434" ht="15.75" customHeight="1">
      <c r="A4434" s="2" t="s">
        <v>4434</v>
      </c>
      <c r="B4434" s="2" t="str">
        <f>IFERROR(__xludf.DUMMYFUNCTION("GOOGLETRANSLATE(A4434, ""en"", ""mt"")"),"X'tip ta 'skulturi kontinentali huma rappreżentati fil-galleriji Ingliżi tal-V &amp; A?")</f>
        <v>X'tip ta 'skulturi kontinentali huma rappreżentati fil-galleriji Ingliżi tal-V &amp; A?</v>
      </c>
    </row>
    <row r="4435" ht="15.75" customHeight="1">
      <c r="A4435" s="2" t="s">
        <v>4435</v>
      </c>
      <c r="B4435" s="2" t="str">
        <f>IFERROR(__xludf.DUMMYFUNCTION("GOOGLETRANSLATE(A4435, ""en"", ""mt"")"),"1,230 kilometru")</f>
        <v>1,230 kilometru</v>
      </c>
    </row>
    <row r="4436" ht="15.75" customHeight="1">
      <c r="A4436" s="2" t="s">
        <v>4436</v>
      </c>
      <c r="B4436" s="2" t="str">
        <f>IFERROR(__xludf.DUMMYFUNCTION("GOOGLETRANSLATE(A4436, ""en"", ""mt"")"),"X'għamel l-Artikolu 65 tal-Projbizzjoni tal-ECSC?")</f>
        <v>X'għamel l-Artikolu 65 tal-Projbizzjoni tal-ECSC?</v>
      </c>
    </row>
    <row r="4437" ht="15.75" customHeight="1">
      <c r="A4437" s="2" t="s">
        <v>4437</v>
      </c>
      <c r="B4437" s="2" t="str">
        <f>IFERROR(__xludf.DUMMYFUNCTION("GOOGLETRANSLATE(A4437, ""en"", ""mt"")"),"Steven Barkan jikteb li jekk l-imputati jinvokaw mhux ħatja, ""iridu jiddeċiedu jekk l-għan ewlieni tagħhom hux li jirbħu l-ħelsien u jevitaw ħabs jew multa, jew li jużaw il-proċeduri bħala forum biex jinfurmaw lill-ġurija u lill-pubbliku taċ-ċirkostanzi "&amp;"politiċi Madwar il-każ u r-raġunijiet tagħhom biex tinkiser il-liġi permezz ta 'diżubbidjenza ċivili. "" Difiża teknika tista 'ttejjeb iċ-ċansijiet ta' ħelsien iżda tagħmel aktar proċeduri ta 'dwejjaq u kopertura tal-istampa mnaqqsa. Matul l-era tal-Gwerr"&amp;"a tal-Vjetnam, it-Tmienja ta ’Chicago użaw difiża politika, filwaqt li Benjamin Spock uża difiża teknika. F'pajjiżi bħall-Istati Uniti li l-liġijiet tagħhom jiggarantixxu d-dritt għal proċess ta 'ġurija iżda ma jiskużawx il-liġi għal skopijiet politiċi, x"&amp;"i diżubbidjenti ċivili jfittxu n-nullifikazzjoni tal-ġurija. Matul is-snin, dan sar iktar diffiċli minn deċiżjonijiet tal-qorti bħal Sparf v. L-Istati Uniti, li ddeċidiet li l-imħallef m'għandux għalfejn jinforma lill-ġurati dwar il-prerogattiva tan-nulli"&amp;"fikazzjoni tagħhom, u l-Istati Uniti v. Dougherty, li ddeċidiet li l-imħallef m'għandux għalfejn jippermetti imputati biex ifittxu bil-miftuħ in-nullifikazzjoni tal-ġurija.")</f>
        <v>Steven Barkan jikteb li jekk l-imputati jinvokaw mhux ħatja, "iridu jiddeċiedu jekk l-għan ewlieni tagħhom hux li jirbħu l-ħelsien u jevitaw ħabs jew multa, jew li jużaw il-proċeduri bħala forum biex jinfurmaw lill-ġurija u lill-pubbliku taċ-ċirkostanzi politiċi Madwar il-każ u r-raġunijiet tagħhom biex tinkiser il-liġi permezz ta 'diżubbidjenza ċivili. " Difiża teknika tista 'ttejjeb iċ-ċansijiet ta' ħelsien iżda tagħmel aktar proċeduri ta 'dwejjaq u kopertura tal-istampa mnaqqsa. Matul l-era tal-Gwerra tal-Vjetnam, it-Tmienja ta ’Chicago użaw difiża politika, filwaqt li Benjamin Spock uża difiża teknika. F'pajjiżi bħall-Istati Uniti li l-liġijiet tagħhom jiggarantixxu d-dritt għal proċess ta 'ġurija iżda ma jiskużawx il-liġi għal skopijiet politiċi, xi diżubbidjenti ċivili jfittxu n-nullifikazzjoni tal-ġurija. Matul is-snin, dan sar iktar diffiċli minn deċiżjonijiet tal-qorti bħal Sparf v. L-Istati Uniti, li ddeċidiet li l-imħallef m'għandux għalfejn jinforma lill-ġurati dwar il-prerogattiva tan-nullifikazzjoni tagħhom, u l-Istati Uniti v. Dougherty, li ddeċidiet li l-imħallef m'għandux għalfejn jippermetti imputati biex ifittxu bil-miftuħ in-nullifikazzjoni tal-ġurija.</v>
      </c>
    </row>
    <row r="4438" ht="15.75" customHeight="1">
      <c r="A4438" s="2" t="s">
        <v>4438</v>
      </c>
      <c r="B4438" s="2" t="str">
        <f>IFERROR(__xludf.DUMMYFUNCTION("GOOGLETRANSLATE(A4438, ""en"", ""mt"")"),"Kif tissejjaħ il-karatteristika tat-tfittxija fuq il-websajt V &amp; A?")</f>
        <v>Kif tissejjaħ il-karatteristika tat-tfittxija fuq il-websajt V &amp; A?</v>
      </c>
    </row>
    <row r="4439" ht="15.75" customHeight="1">
      <c r="A4439" s="2" t="s">
        <v>4439</v>
      </c>
      <c r="B4439" s="2" t="str">
        <f>IFERROR(__xludf.DUMMYFUNCTION("GOOGLETRANSLATE(A4439, ""en"", ""mt"")"),"Xi jfisser l-ATP synthase fl-ATP?")</f>
        <v>Xi jfisser l-ATP synthase fl-ATP?</v>
      </c>
    </row>
    <row r="4440" ht="15.75" customHeight="1">
      <c r="A4440" s="2" t="s">
        <v>4440</v>
      </c>
      <c r="B4440" s="2" t="str">
        <f>IFERROR(__xludf.DUMMYFUNCTION("GOOGLETRANSLATE(A4440, ""en"", ""mt"")"),"X'impatt kellu l-moviment tal-edukazzjoni tal-iskola għolja fuq il-preżenza ta 'ħaddiema tas-sengħa?")</f>
        <v>X'impatt kellu l-moviment tal-edukazzjoni tal-iskola għolja fuq il-preżenza ta 'ħaddiema tas-sengħa?</v>
      </c>
    </row>
    <row r="4441" ht="15.75" customHeight="1">
      <c r="A4441" s="2" t="s">
        <v>4441</v>
      </c>
      <c r="B4441" s="2" t="str">
        <f>IFERROR(__xludf.DUMMYFUNCTION("GOOGLETRANSLATE(A4441, ""en"", ""mt"")"),"Il-pieni kollha")</f>
        <v>Il-pieni kollha</v>
      </c>
    </row>
    <row r="4442" ht="15.75" customHeight="1">
      <c r="A4442" s="2" t="s">
        <v>4442</v>
      </c>
      <c r="B4442" s="2" t="str">
        <f>IFERROR(__xludf.DUMMYFUNCTION("GOOGLETRANSLATE(A4442, ""en"", ""mt"")"),"il-Parlament Ewropew u l-Kunsill tal-Unjoni Ewropea")</f>
        <v>il-Parlament Ewropew u l-Kunsill tal-Unjoni Ewropea</v>
      </c>
    </row>
    <row r="4443" ht="15.75" customHeight="1">
      <c r="A4443" s="2" t="s">
        <v>4443</v>
      </c>
      <c r="B4443" s="2" t="str">
        <f>IFERROR(__xludf.DUMMYFUNCTION("GOOGLETRANSLATE(A4443, ""en"", ""mt"")"),"X’jimbjent il-Knisja ta ’Sant’Andrija?")</f>
        <v>X’jimbjent il-Knisja ta ’Sant’Andrija?</v>
      </c>
    </row>
    <row r="4444" ht="15.75" customHeight="1">
      <c r="A4444" s="2" t="s">
        <v>4444</v>
      </c>
      <c r="B4444" s="2" t="str">
        <f>IFERROR(__xludf.DUMMYFUNCTION("GOOGLETRANSLATE(A4444, ""en"", ""mt"")"),"Liema arma rrappurtat Marco Pol bħala l-kawża tal-mewt ta 'Genghis Khan?")</f>
        <v>Liema arma rrappurtat Marco Pol bħala l-kawża tal-mewt ta 'Genghis Khan?</v>
      </c>
    </row>
    <row r="4445" ht="15.75" customHeight="1">
      <c r="A4445" s="2" t="s">
        <v>4445</v>
      </c>
      <c r="B4445" s="2" t="str">
        <f>IFERROR(__xludf.DUMMYFUNCTION("GOOGLETRANSLATE(A4445, ""en"", ""mt"")"),"invaginazzjonijiet")</f>
        <v>invaginazzjonijiet</v>
      </c>
    </row>
    <row r="4446" ht="15.75" customHeight="1">
      <c r="A4446" s="2" t="s">
        <v>4446</v>
      </c>
      <c r="B4446" s="2" t="str">
        <f>IFERROR(__xludf.DUMMYFUNCTION("GOOGLETRANSLATE(A4446, ""en"", ""mt"")"),"kolonizzazzjoni, użu ta 'forza militari, jew oħrajn")</f>
        <v>kolonizzazzjoni, użu ta 'forza militari, jew oħrajn</v>
      </c>
    </row>
    <row r="4447" ht="15.75" customHeight="1">
      <c r="A4447" s="2" t="s">
        <v>4447</v>
      </c>
      <c r="B4447" s="2" t="str">
        <f>IFERROR(__xludf.DUMMYFUNCTION("GOOGLETRANSLATE(A4447, ""en"", ""mt"")"),"fuq ix-xatt tal-lemin tal-Vistula")</f>
        <v>fuq ix-xatt tal-lemin tal-Vistula</v>
      </c>
    </row>
    <row r="4448" ht="15.75" customHeight="1">
      <c r="A4448" s="2" t="s">
        <v>4448</v>
      </c>
      <c r="B4448" s="2" t="str">
        <f>IFERROR(__xludf.DUMMYFUNCTION("GOOGLETRANSLATE(A4448, ""en"", ""mt"")"),"William Ellery Channing u Ralph Waldo Emerson")</f>
        <v>William Ellery Channing u Ralph Waldo Emerson</v>
      </c>
    </row>
    <row r="4449" ht="15.75" customHeight="1">
      <c r="A4449" s="2" t="s">
        <v>4449</v>
      </c>
      <c r="B4449" s="2" t="str">
        <f>IFERROR(__xludf.DUMMYFUNCTION("GOOGLETRANSLATE(A4449, ""en"", ""mt"")"),"Liema perk il-mexxejja reliġjużi, l-għalliema, u t-tobba daħlu fl-imperu Mongoljan?")</f>
        <v>Liema perk il-mexxejja reliġjużi, l-għalliema, u t-tobba daħlu fl-imperu Mongoljan?</v>
      </c>
    </row>
    <row r="4450" ht="15.75" customHeight="1">
      <c r="A4450" s="2" t="s">
        <v>4450</v>
      </c>
      <c r="B4450" s="2" t="str">
        <f>IFERROR(__xludf.DUMMYFUNCTION("GOOGLETRANSLATE(A4450, ""en"", ""mt"")"),"Ir-Renju Unit, l-Awstralja, il-Kanada u l-Istati Uniti")</f>
        <v>Ir-Renju Unit, l-Awstralja, il-Kanada u l-Istati Uniti</v>
      </c>
    </row>
    <row r="4451" ht="15.75" customHeight="1">
      <c r="A4451" s="2" t="s">
        <v>4451</v>
      </c>
      <c r="B4451" s="2" t="str">
        <f>IFERROR(__xludf.DUMMYFUNCTION("GOOGLETRANSLATE(A4451, ""en"", ""mt"")"),"Billi tistimula t-tkabbir tal-produzzjoni taż-żerriegħa lokali u n-netwerks agro-negozjanti għad-distribuzzjoni u l-kummerċjalizzazzjoni")</f>
        <v>Billi tistimula t-tkabbir tal-produzzjoni taż-żerriegħa lokali u n-netwerks agro-negozjanti għad-distribuzzjoni u l-kummerċjalizzazzjoni</v>
      </c>
    </row>
    <row r="4452" ht="15.75" customHeight="1">
      <c r="A4452" s="2" t="s">
        <v>4452</v>
      </c>
      <c r="B4452" s="2" t="str">
        <f>IFERROR(__xludf.DUMMYFUNCTION("GOOGLETRANSLATE(A4452, ""en"", ""mt"")"),"X'inhi l-forza bejn żewġ postijiet relatati?")</f>
        <v>X'inhi l-forza bejn żewġ postijiet relatati?</v>
      </c>
    </row>
    <row r="4453" ht="15.75" customHeight="1">
      <c r="A4453" s="2" t="s">
        <v>4453</v>
      </c>
      <c r="B4453" s="2" t="str">
        <f>IFERROR(__xludf.DUMMYFUNCTION("GOOGLETRANSLATE(A4453, ""en"", ""mt"")"),"Kemm-il darba jinżamm il-festival tal-AV?")</f>
        <v>Kemm-il darba jinżamm il-festival tal-AV?</v>
      </c>
    </row>
    <row r="4454" ht="15.75" customHeight="1">
      <c r="A4454" s="2" t="s">
        <v>4454</v>
      </c>
      <c r="B4454" s="2" t="str">
        <f>IFERROR(__xludf.DUMMYFUNCTION("GOOGLETRANSLATE(A4454, ""en"", ""mt"")"),"Possedimenti Kontinentali tal-Amerika ta ’Fuq fil-lvant tal-Mississippi jew il-Gżejjer tal-Karibew ta’ Guadeloupe u Martinique")</f>
        <v>Possedimenti Kontinentali tal-Amerika ta ’Fuq fil-lvant tal-Mississippi jew il-Gżejjer tal-Karibew ta’ Guadeloupe u Martinique</v>
      </c>
    </row>
    <row r="4455" ht="15.75" customHeight="1">
      <c r="A4455" s="2" t="s">
        <v>4455</v>
      </c>
      <c r="B4455" s="2" t="str">
        <f>IFERROR(__xludf.DUMMYFUNCTION("GOOGLETRANSLATE(A4455, ""en"", ""mt"")"),"L-anzjani huma msejħa minn Alla, affermati mill-Knisja, u ordnati minn isqof lil ministeru tal-kelma, sagrament, ordni u servizz fi ħdan il-knisja. Jistgħu jinħatru fil-knisja lokali, jew għal ministeri ta 'estensjoni validi oħra tal-knisja. L-anzjani jin"&amp;"għataw l-awtorità biex jippridkaw il-Kelma ta ’Alla, jamministraw is-sagramenti tal-Knisja, biex jipprovdu kura u pariri, u jordnaw il-ħajja tal-Knisja għall-ministeru u l-missjoni. L-anzjani jistgħu wkoll jiġu assenjati bħala superintendenti distrettwali"&amp;", u huma eliġibbli għall-elezzjoni għall-episkopat. L-anzjani jservu terminu ta '2-3 snin bħala anzjani proviżorji qabel l-ordinazzjoni tagħhom.")</f>
        <v>L-anzjani huma msejħa minn Alla, affermati mill-Knisja, u ordnati minn isqof lil ministeru tal-kelma, sagrament, ordni u servizz fi ħdan il-knisja. Jistgħu jinħatru fil-knisja lokali, jew għal ministeri ta 'estensjoni validi oħra tal-knisja. L-anzjani jingħataw l-awtorità biex jippridkaw il-Kelma ta ’Alla, jamministraw is-sagramenti tal-Knisja, biex jipprovdu kura u pariri, u jordnaw il-ħajja tal-Knisja għall-ministeru u l-missjoni. L-anzjani jistgħu wkoll jiġu assenjati bħala superintendenti distrettwali, u huma eliġibbli għall-elezzjoni għall-episkopat. L-anzjani jservu terminu ta '2-3 snin bħala anzjani proviżorji qabel l-ordinazzjoni tagħhom.</v>
      </c>
    </row>
    <row r="4456" ht="15.75" customHeight="1">
      <c r="A4456" s="2" t="s">
        <v>4456</v>
      </c>
      <c r="B4456" s="2" t="str">
        <f>IFERROR(__xludf.DUMMYFUNCTION("GOOGLETRANSLATE(A4456, ""en"", ""mt"")"),"X'inhi xrar jew sħana għall-progress ta 'nar?")</f>
        <v>X'inhi xrar jew sħana għall-progress ta 'nar?</v>
      </c>
    </row>
    <row r="4457" ht="15.75" customHeight="1">
      <c r="A4457" s="2" t="s">
        <v>4457</v>
      </c>
      <c r="B4457" s="2" t="str">
        <f>IFERROR(__xludf.DUMMYFUNCTION("GOOGLETRANSLATE(A4457, ""en"", ""mt"")"),"Enerġija elettrika trasmessa")</f>
        <v>Enerġija elettrika trasmessa</v>
      </c>
    </row>
    <row r="4458" ht="15.75" customHeight="1">
      <c r="A4458" s="2" t="s">
        <v>4458</v>
      </c>
      <c r="B4458" s="2" t="str">
        <f>IFERROR(__xludf.DUMMYFUNCTION("GOOGLETRANSLATE(A4458, ""en"", ""mt"")"),"Xogħol")</f>
        <v>Xogħol</v>
      </c>
    </row>
    <row r="4459" ht="15.75" customHeight="1">
      <c r="A4459" s="2" t="s">
        <v>4459</v>
      </c>
      <c r="B4459" s="2" t="str">
        <f>IFERROR(__xludf.DUMMYFUNCTION("GOOGLETRANSLATE(A4459, ""en"", ""mt"")"),"L-Isvizzera")</f>
        <v>L-Isvizzera</v>
      </c>
    </row>
    <row r="4460" ht="15.75" customHeight="1">
      <c r="A4460" s="2" t="s">
        <v>4460</v>
      </c>
      <c r="B4460" s="2" t="str">
        <f>IFERROR(__xludf.DUMMYFUNCTION("GOOGLETRANSLATE(A4460, ""en"", ""mt"")"),"biex tħeġġeġ l-investiment")</f>
        <v>biex tħeġġeġ l-investiment</v>
      </c>
    </row>
    <row r="4461" ht="15.75" customHeight="1">
      <c r="A4461" s="2" t="s">
        <v>4461</v>
      </c>
      <c r="B4461" s="2" t="str">
        <f>IFERROR(__xludf.DUMMYFUNCTION("GOOGLETRANSLATE(A4461, ""en"", ""mt"")"),"Liema parti mill-istruttura ġeoloġika tad-Dinja hija akbar mill-qoxra?")</f>
        <v>Liema parti mill-istruttura ġeoloġika tad-Dinja hija akbar mill-qoxra?</v>
      </c>
    </row>
    <row r="4462" ht="15.75" customHeight="1">
      <c r="A4462" s="2" t="s">
        <v>4462</v>
      </c>
      <c r="B4462" s="2" t="str">
        <f>IFERROR(__xludf.DUMMYFUNCTION("GOOGLETRANSLATE(A4462, ""en"", ""mt"")"),"il-konġettura Twin Prime")</f>
        <v>il-konġettura Twin Prime</v>
      </c>
    </row>
    <row r="4463" ht="15.75" customHeight="1">
      <c r="A4463" s="2" t="s">
        <v>4463</v>
      </c>
      <c r="B4463" s="2" t="str">
        <f>IFERROR(__xludf.DUMMYFUNCTION("GOOGLETRANSLATE(A4463, ""en"", ""mt"")"),"kwalifiki")</f>
        <v>kwalifiki</v>
      </c>
    </row>
    <row r="4464" ht="15.75" customHeight="1">
      <c r="A4464" s="2" t="s">
        <v>4464</v>
      </c>
      <c r="B4464" s="2" t="str">
        <f>IFERROR(__xludf.DUMMYFUNCTION("GOOGLETRANSLATE(A4464, ""en"", ""mt"")"),"Protokoll ta 'datagramma ta' l-utent")</f>
        <v>Protokoll ta 'datagramma ta' l-utent</v>
      </c>
    </row>
    <row r="4465" ht="15.75" customHeight="1">
      <c r="A4465" s="2" t="s">
        <v>4465</v>
      </c>
      <c r="B4465" s="2" t="str">
        <f>IFERROR(__xludf.DUMMYFUNCTION("GOOGLETRANSLATE(A4465, ""en"", ""mt"")"),"Taħriġ speċjali biex jiżgura li s-sorsi tat-tqabbid jiġu mminimizzati")</f>
        <v>Taħriġ speċjali biex jiżgura li s-sorsi tat-tqabbid jiġu mminimizzati</v>
      </c>
    </row>
    <row r="4466" ht="15.75" customHeight="1">
      <c r="A4466" s="2" t="s">
        <v>4466</v>
      </c>
      <c r="B4466" s="2" t="str">
        <f>IFERROR(__xludf.DUMMYFUNCTION("GOOGLETRANSLATE(A4466, ""en"", ""mt"")"),"Interazzjoni Fundamentali tal-Elettroweak.")</f>
        <v>Interazzjoni Fundamentali tal-Elettroweak.</v>
      </c>
    </row>
    <row r="4467" ht="15.75" customHeight="1">
      <c r="A4467" s="2" t="s">
        <v>4467</v>
      </c>
      <c r="B4467" s="2" t="str">
        <f>IFERROR(__xludf.DUMMYFUNCTION("GOOGLETRANSLATE(A4467, ""en"", ""mt"")"),"8 miljun")</f>
        <v>8 miljun</v>
      </c>
    </row>
    <row r="4468" ht="15.75" customHeight="1">
      <c r="A4468" s="2" t="s">
        <v>4468</v>
      </c>
      <c r="B4468" s="2" t="str">
        <f>IFERROR(__xludf.DUMMYFUNCTION("GOOGLETRANSLATE(A4468, ""en"", ""mt"")"),"Ir-Reġina Eliżabetta II")</f>
        <v>Ir-Reġina Eliżabetta II</v>
      </c>
    </row>
    <row r="4469" ht="15.75" customHeight="1">
      <c r="A4469" s="2" t="s">
        <v>4469</v>
      </c>
      <c r="B4469" s="2" t="str">
        <f>IFERROR(__xludf.DUMMYFUNCTION("GOOGLETRANSLATE(A4469, ""en"", ""mt"")"),"X'jistgħu jassorbu l-karotenojdi?")</f>
        <v>X'jistgħu jassorbu l-karotenojdi?</v>
      </c>
    </row>
    <row r="4470" ht="15.75" customHeight="1">
      <c r="A4470" s="2" t="s">
        <v>4470</v>
      </c>
      <c r="B4470" s="2" t="str">
        <f>IFERROR(__xludf.DUMMYFUNCTION("GOOGLETRANSLATE(A4470, ""en"", ""mt"")"),"1-3 μm")</f>
        <v>1-3 μm</v>
      </c>
    </row>
    <row r="4471" ht="15.75" customHeight="1">
      <c r="A4471" s="2" t="s">
        <v>4471</v>
      </c>
      <c r="B4471" s="2" t="str">
        <f>IFERROR(__xludf.DUMMYFUNCTION("GOOGLETRANSLATE(A4471, ""en"", ""mt"")"),"Il-Gwerra Franċiża u Indjana kienet l-aspett tad-dinja l-ġdida ta 'liema kunflitt Ewropew?")</f>
        <v>Il-Gwerra Franċiża u Indjana kienet l-aspett tad-dinja l-ġdida ta 'liema kunflitt Ewropew?</v>
      </c>
    </row>
    <row r="4472" ht="15.75" customHeight="1">
      <c r="A4472" s="2" t="s">
        <v>4472</v>
      </c>
      <c r="B4472" s="2" t="str">
        <f>IFERROR(__xludf.DUMMYFUNCTION("GOOGLETRANSLATE(A4472, ""en"", ""mt"")"),"X'kien l-isem tal-lokomottiva li ddebutta fl-1808?")</f>
        <v>X'kien l-isem tal-lokomottiva li ddebutta fl-1808?</v>
      </c>
    </row>
    <row r="4473" ht="15.75" customHeight="1">
      <c r="A4473" s="2" t="s">
        <v>4473</v>
      </c>
      <c r="B4473" s="2" t="str">
        <f>IFERROR(__xludf.DUMMYFUNCTION("GOOGLETRANSLATE(A4473, ""en"", ""mt"")"),"Dwar x'inhi bbażata l-Kostituzzjoni ta 'Victoria?")</f>
        <v>Dwar x'inhi bbażata l-Kostituzzjoni ta 'Victoria?</v>
      </c>
    </row>
    <row r="4474" ht="15.75" customHeight="1">
      <c r="A4474" s="2" t="s">
        <v>4474</v>
      </c>
      <c r="B4474" s="2" t="str">
        <f>IFERROR(__xludf.DUMMYFUNCTION("GOOGLETRANSLATE(A4474, ""en"", ""mt"")"),"X’tama li jsib taħt l-art?")</f>
        <v>X’tama li jsib taħt l-art?</v>
      </c>
    </row>
    <row r="4475" ht="15.75" customHeight="1">
      <c r="A4475" s="2" t="s">
        <v>4475</v>
      </c>
      <c r="B4475" s="2" t="str">
        <f>IFERROR(__xludf.DUMMYFUNCTION("GOOGLETRANSLATE(A4475, ""en"", ""mt"")"),"Mill-2009 'il quddiem")</f>
        <v>Mill-2009 'il quddiem</v>
      </c>
    </row>
    <row r="4476" ht="15.75" customHeight="1">
      <c r="A4476" s="2" t="s">
        <v>4476</v>
      </c>
      <c r="B4476" s="2" t="str">
        <f>IFERROR(__xludf.DUMMYFUNCTION("GOOGLETRANSLATE(A4476, ""en"", ""mt"")"),"Dak li jiddistingwi t-Tylakoids Stromali?")</f>
        <v>Dak li jiddistingwi t-Tylakoids Stromali?</v>
      </c>
    </row>
    <row r="4477" ht="15.75" customHeight="1">
      <c r="A4477" s="2" t="s">
        <v>4477</v>
      </c>
      <c r="B4477" s="2" t="str">
        <f>IFERROR(__xludf.DUMMYFUNCTION("GOOGLETRANSLATE(A4477, ""en"", ""mt"")"),"sallur elettriku")</f>
        <v>sallur elettriku</v>
      </c>
    </row>
    <row r="4478" ht="15.75" customHeight="1">
      <c r="A4478" s="2" t="s">
        <v>4478</v>
      </c>
      <c r="B4478" s="2" t="str">
        <f>IFERROR(__xludf.DUMMYFUNCTION("GOOGLETRANSLATE(A4478, ""en"", ""mt"")"),"ta 'l-ogħla' effiċjenza soċjali")</f>
        <v>ta 'l-ogħla' effiċjenza soċjali</v>
      </c>
    </row>
    <row r="4479" ht="15.75" customHeight="1">
      <c r="A4479" s="2" t="s">
        <v>4479</v>
      </c>
      <c r="B4479" s="2" t="str">
        <f>IFERROR(__xludf.DUMMYFUNCTION("GOOGLETRANSLATE(A4479, ""en"", ""mt"")"),"Ideali ewlenin")</f>
        <v>Ideali ewlenin</v>
      </c>
    </row>
    <row r="4480" ht="15.75" customHeight="1">
      <c r="A4480" s="2" t="s">
        <v>4480</v>
      </c>
      <c r="B4480" s="2" t="str">
        <f>IFERROR(__xludf.DUMMYFUNCTION("GOOGLETRANSLATE(A4480, ""en"", ""mt"")"),"Kemm viżitaturi l-Gran Brittanja tista 'tagħmilha wirja?")</f>
        <v>Kemm viżitaturi l-Gran Brittanja tista 'tagħmilha wirja?</v>
      </c>
    </row>
    <row r="4481" ht="15.75" customHeight="1">
      <c r="A4481" s="2" t="s">
        <v>4481</v>
      </c>
      <c r="B4481" s="2" t="str">
        <f>IFERROR(__xludf.DUMMYFUNCTION("GOOGLETRANSLATE(A4481, ""en"", ""mt"")"),"Inkarnazzjoni mhux magħrufa minnu nnifsu")</f>
        <v>Inkarnazzjoni mhux magħrufa minnu nnifsu</v>
      </c>
    </row>
    <row r="4482" ht="15.75" customHeight="1">
      <c r="A4482" s="2" t="s">
        <v>4482</v>
      </c>
      <c r="B4482" s="2" t="str">
        <f>IFERROR(__xludf.DUMMYFUNCTION("GOOGLETRANSLATE(A4482, ""en"", ""mt"")"),"forma ta 'lamtu")</f>
        <v>forma ta 'lamtu</v>
      </c>
    </row>
    <row r="4483" ht="15.75" customHeight="1">
      <c r="A4483" s="2" t="s">
        <v>4483</v>
      </c>
      <c r="B4483" s="2" t="str">
        <f>IFERROR(__xludf.DUMMYFUNCTION("GOOGLETRANSLATE(A4483, ""en"", ""mt"")"),"Sal-ftuħ tal-Konferenza Ġenerali tal-2008, x'kienet it-total tas-sħubija UMC barra?")</f>
        <v>Sal-ftuħ tal-Konferenza Ġenerali tal-2008, x'kienet it-total tas-sħubija UMC barra?</v>
      </c>
    </row>
    <row r="4484" ht="15.75" customHeight="1">
      <c r="A4484" s="2" t="s">
        <v>4484</v>
      </c>
      <c r="B4484" s="2" t="str">
        <f>IFERROR(__xludf.DUMMYFUNCTION("GOOGLETRANSLATE(A4484, ""en"", ""mt"")"),"Nisa li ma jieħdu xogħol minħabba żwieġ jew tqala")</f>
        <v>Nisa li ma jieħdu xogħol minħabba żwieġ jew tqala</v>
      </c>
    </row>
    <row r="4485" ht="15.75" customHeight="1">
      <c r="A4485" s="2" t="s">
        <v>4485</v>
      </c>
      <c r="B4485" s="2" t="str">
        <f>IFERROR(__xludf.DUMMYFUNCTION("GOOGLETRANSLATE(A4485, ""en"", ""mt"")"),"kloroplasti u plastidi oħra")</f>
        <v>kloroplasti u plastidi oħra</v>
      </c>
    </row>
    <row r="4486" ht="15.75" customHeight="1">
      <c r="A4486" s="2" t="s">
        <v>4486</v>
      </c>
      <c r="B4486" s="2" t="str">
        <f>IFERROR(__xludf.DUMMYFUNCTION("GOOGLETRANSLATE(A4486, ""en"", ""mt"")"),"Ċittadinanza tal-UE")</f>
        <v>Ċittadinanza tal-UE</v>
      </c>
    </row>
    <row r="4487" ht="15.75" customHeight="1">
      <c r="A4487" s="2" t="s">
        <v>4487</v>
      </c>
      <c r="B4487" s="2" t="str">
        <f>IFERROR(__xludf.DUMMYFUNCTION("GOOGLETRANSLATE(A4487, ""en"", ""mt"")"),"L-euglenofiti huma grupp ta 'protisti flagellati komuni li fihom kloroplasti derivati ​​minn alka ħadra. Il-kloroplasti tal-euglenofiti għandhom tliet membrani - huwa maħsub li l-membrana tal-endosymbiont primarju kienet mitlufa, u tħalli l-membrani ċjano"&amp;"batteriċi, u l-membrana fagożomali tal-ospitanti sekondarji. Il-kloroplasti euglenofiti għandhom pirenojdi u thylakoids f'munzelli fi gruppi ta 'tlieta. Il-lamtu huwa maħżun fil-forma ta 'paramylon, li jinsab fil-granuli marbuta mal-membrana fiċ-ċitoplasm"&amp;"a ta' l-euglenofita.")</f>
        <v>L-euglenofiti huma grupp ta 'protisti flagellati komuni li fihom kloroplasti derivati ​​minn alka ħadra. Il-kloroplasti tal-euglenofiti għandhom tliet membrani - huwa maħsub li l-membrana tal-endosymbiont primarju kienet mitlufa, u tħalli l-membrani ċjanobatteriċi, u l-membrana fagożomali tal-ospitanti sekondarji. Il-kloroplasti euglenofiti għandhom pirenojdi u thylakoids f'munzelli fi gruppi ta 'tlieta. Il-lamtu huwa maħżun fil-forma ta 'paramylon, li jinsab fil-granuli marbuta mal-membrana fiċ-ċitoplasma ta' l-euglenofita.</v>
      </c>
    </row>
    <row r="4488" ht="15.75" customHeight="1">
      <c r="A4488" s="2" t="s">
        <v>4488</v>
      </c>
      <c r="B4488" s="2" t="str">
        <f>IFERROR(__xludf.DUMMYFUNCTION("GOOGLETRANSLATE(A4488, ""en"", ""mt"")"),"Orjentaliżmu u tropiċità.")</f>
        <v>Orjentaliżmu u tropiċità.</v>
      </c>
    </row>
    <row r="4489" ht="15.75" customHeight="1">
      <c r="A4489" s="2" t="s">
        <v>4489</v>
      </c>
      <c r="B4489" s="2" t="str">
        <f>IFERROR(__xludf.DUMMYFUNCTION("GOOGLETRANSLATE(A4489, ""en"", ""mt"")"),"Ħares lejn kemm il-possibbiltajiet li twaqqaf it-tieni università fil-Kenja kif ukoll ir-riforma tas-sistema edukattiva kollha")</f>
        <v>Ħares lejn kemm il-possibbiltajiet li twaqqaf it-tieni università fil-Kenja kif ukoll ir-riforma tas-sistema edukattiva kollha</v>
      </c>
    </row>
    <row r="4490" ht="15.75" customHeight="1">
      <c r="A4490" s="2" t="s">
        <v>4490</v>
      </c>
      <c r="B4490" s="2" t="str">
        <f>IFERROR(__xludf.DUMMYFUNCTION("GOOGLETRANSLATE(A4490, ""en"", ""mt"")"),"Il-bankini u l-faċilitajiet tas-sanità ta 'Varsavja huma xi eżempji ta' affarijiet li għandhom xiex?")</f>
        <v>Il-bankini u l-faċilitajiet tas-sanità ta 'Varsavja huma xi eżempji ta' affarijiet li għandhom xiex?</v>
      </c>
    </row>
    <row r="4491" ht="15.75" customHeight="1">
      <c r="A4491" s="2" t="s">
        <v>4491</v>
      </c>
      <c r="B4491" s="2" t="str">
        <f>IFERROR(__xludf.DUMMYFUNCTION("GOOGLETRANSLATE(A4491, ""en"", ""mt"")"),"is-sid tal-proprjetà")</f>
        <v>is-sid tal-proprjetà</v>
      </c>
    </row>
    <row r="4492" ht="15.75" customHeight="1">
      <c r="A4492" s="2" t="s">
        <v>4492</v>
      </c>
      <c r="B4492" s="2" t="str">
        <f>IFERROR(__xludf.DUMMYFUNCTION("GOOGLETRANSLATE(A4492, ""en"", ""mt"")"),"tirbaħ l-artijiet tal-istat l-oħra u għalhekk iżżid id-dominanza tiegħu stess")</f>
        <v>tirbaħ l-artijiet tal-istat l-oħra u għalhekk iżżid id-dominanza tiegħu stess</v>
      </c>
    </row>
    <row r="4493" ht="15.75" customHeight="1">
      <c r="A4493" s="2" t="s">
        <v>4493</v>
      </c>
      <c r="B4493" s="2" t="str">
        <f>IFERROR(__xludf.DUMMYFUNCTION("GOOGLETRANSLATE(A4493, ""en"", ""mt"")"),"Fl-1900, Tesla ngħatat privattivi għal ""sistema ta 'trasmissjoni ta' enerġija elettrika"" u ""trasmettitur elettriku."" Meta Guglielmo Marconi għamel l-ewwel trasmissjoni tar-radju transatlantiku famuż tiegħu fl-1901, Tesla qabdet li kien sar bi 17-il br"&amp;"evett ta 'Tesla, għalkemm ftit hemm biex tappoġġja din it-talba. Dan kien il-bidu ta 'snin ta' battalji ta 'privattivi fuq ir-radju bil-privattivi ta' Tesla qed jintlaqgħu fl-1903, segwita minn deċiżjoni inversa favur Marconi fl-1904. Fl-1943, Qorti Supre"&amp;"ma ta 'l-Istati Uniti d-deċiżjoni rrestawrat il-privattivi preċedenti ta' Tesla, Oliver, Oliver Logħba, u John Stone. Il-qorti ddikjarat li d-deċiżjoni tagħhom ma kellha l-ebda effett fuq it-talba ta 'Marconi bħala l-ewwel li tinkiseb trasmissjoni tar-rad"&amp;"ju, biss li peress li t-talba ta' Marconi għal ċerti privattivi kienet dubjuża, huwa ma setax jitlob ksur fuq dawk l-istess privattivi (hemm talbiet li l-Qorti Għolja kienet qed tipprova Nullify Gwerra Dinjija I Talba kontra l-Gvern ta 'l-Istati Uniti mil"&amp;"l-Kumpanija Marconi permezz ta' sempliċement restawr tal-privattiva preċedenti ta 'Tesla).")</f>
        <v>Fl-1900, Tesla ngħatat privattivi għal "sistema ta 'trasmissjoni ta' enerġija elettrika" u "trasmettitur elettriku." Meta Guglielmo Marconi għamel l-ewwel trasmissjoni tar-radju transatlantiku famuż tiegħu fl-1901, Tesla qabdet li kien sar bi 17-il brevett ta 'Tesla, għalkemm ftit hemm biex tappoġġja din it-talba. Dan kien il-bidu ta 'snin ta' battalji ta 'privattivi fuq ir-radju bil-privattivi ta' Tesla qed jintlaqgħu fl-1903, segwita minn deċiżjoni inversa favur Marconi fl-1904. Fl-1943, Qorti Suprema ta 'l-Istati Uniti d-deċiżjoni rrestawrat il-privattivi preċedenti ta' Tesla, Oliver, Oliver Logħba, u John Stone. Il-qorti ddikjarat li d-deċiżjoni tagħhom ma kellha l-ebda effett fuq it-talba ta 'Marconi bħala l-ewwel li tinkiseb trasmissjoni tar-radju, biss li peress li t-talba ta' Marconi għal ċerti privattivi kienet dubjuża, huwa ma setax jitlob ksur fuq dawk l-istess privattivi (hemm talbiet li l-Qorti Għolja kienet qed tipprova Nullify Gwerra Dinjija I Talba kontra l-Gvern ta 'l-Istati Uniti mill-Kumpanija Marconi permezz ta' sempliċement restawr tal-privattiva preċedenti ta 'Tesla).</v>
      </c>
    </row>
    <row r="4494" ht="15.75" customHeight="1">
      <c r="A4494" s="2" t="s">
        <v>4494</v>
      </c>
      <c r="B4494" s="2" t="str">
        <f>IFERROR(__xludf.DUMMYFUNCTION("GOOGLETRANSLATE(A4494, ""en"", ""mt"")"),"Liema proġett Harvard waqaf minħabba l-kriżi finanzjarja?")</f>
        <v>Liema proġett Harvard waqaf minħabba l-kriżi finanzjarja?</v>
      </c>
    </row>
    <row r="4495" ht="15.75" customHeight="1">
      <c r="A4495" s="2" t="s">
        <v>4495</v>
      </c>
      <c r="B4495" s="2" t="str">
        <f>IFERROR(__xludf.DUMMYFUNCTION("GOOGLETRANSLATE(A4495, ""en"", ""mt"")"),"X'inhuma l-ispiżjara fir-Renju Unit li qed jitħallsu dejjem aktar?")</f>
        <v>X'inhuma l-ispiżjara fir-Renju Unit li qed jitħallsu dejjem aktar?</v>
      </c>
    </row>
    <row r="4496" ht="15.75" customHeight="1">
      <c r="A4496" s="2" t="s">
        <v>4496</v>
      </c>
      <c r="B4496" s="2" t="str">
        <f>IFERROR(__xludf.DUMMYFUNCTION("GOOGLETRANSLATE(A4496, ""en"", ""mt"")"),"mhux kombustibbli")</f>
        <v>mhux kombustibbli</v>
      </c>
    </row>
    <row r="4497" ht="15.75" customHeight="1">
      <c r="A4497" s="2" t="s">
        <v>4497</v>
      </c>
      <c r="B4497" s="2" t="str">
        <f>IFERROR(__xludf.DUMMYFUNCTION("GOOGLETRANSLATE(A4497, ""en"", ""mt"")"),"sponża tas-sapun")</f>
        <v>sponża tas-sapun</v>
      </c>
    </row>
    <row r="4498" ht="15.75" customHeight="1">
      <c r="A4498" s="2" t="s">
        <v>4498</v>
      </c>
      <c r="B4498" s="2" t="str">
        <f>IFERROR(__xludf.DUMMYFUNCTION("GOOGLETRANSLATE(A4498, ""en"", ""mt"")"),"ittawwal uċuħ li jħakkru")</f>
        <v>ittawwal uċuħ li jħakkru</v>
      </c>
    </row>
    <row r="4499" ht="15.75" customHeight="1">
      <c r="A4499" s="2" t="s">
        <v>4499</v>
      </c>
      <c r="B4499" s="2" t="str">
        <f>IFERROR(__xludf.DUMMYFUNCTION("GOOGLETRANSLATE(A4499, ""en"", ""mt"")"),"in-nukleomorf tiegħu u l-iktar żewġ membrani")</f>
        <v>in-nukleomorf tiegħu u l-iktar żewġ membrani</v>
      </c>
    </row>
    <row r="4500" ht="15.75" customHeight="1">
      <c r="A4500" s="2" t="s">
        <v>4500</v>
      </c>
      <c r="B4500" s="2" t="str">
        <f>IFERROR(__xludf.DUMMYFUNCTION("GOOGLETRANSLATE(A4500, ""en"", ""mt"")"),"għomor tal-ħajja")</f>
        <v>għomor tal-ħajja</v>
      </c>
    </row>
    <row r="4501" ht="15.75" customHeight="1">
      <c r="A4501" s="2" t="s">
        <v>4501</v>
      </c>
      <c r="B4501" s="2" t="str">
        <f>IFERROR(__xludf.DUMMYFUNCTION("GOOGLETRANSLATE(A4501, ""en"", ""mt"")"),"It-teorija tal-kumplessità tfittex li tiddefinixxi r-relazzjoni bejn l-iskala ta 'algoritmi fir-rigward ta' liema varjabbli oħra?")</f>
        <v>It-teorija tal-kumplessità tfittex li tiddefinixxi r-relazzjoni bejn l-iskala ta 'algoritmi fir-rigward ta' liema varjabbli oħra?</v>
      </c>
    </row>
    <row r="4502" ht="15.75" customHeight="1">
      <c r="A4502" s="2" t="s">
        <v>4502</v>
      </c>
      <c r="B4502" s="2" t="str">
        <f>IFERROR(__xludf.DUMMYFUNCTION("GOOGLETRANSLATE(A4502, ""en"", ""mt"")"),"tensjonijiet fuq l-iskjavitù u l-qawwa tal-isqfijiet fid-denominazzjoni")</f>
        <v>tensjonijiet fuq l-iskjavitù u l-qawwa tal-isqfijiet fid-denominazzjoni</v>
      </c>
    </row>
    <row r="4503" ht="15.75" customHeight="1">
      <c r="A4503" s="2" t="s">
        <v>4503</v>
      </c>
      <c r="B4503" s="2" t="str">
        <f>IFERROR(__xludf.DUMMYFUNCTION("GOOGLETRANSLATE(A4503, ""en"", ""mt"")"),"Xi tfisser isobaric?")</f>
        <v>Xi tfisser isobaric?</v>
      </c>
    </row>
    <row r="4504" ht="15.75" customHeight="1">
      <c r="A4504" s="2" t="s">
        <v>4504</v>
      </c>
      <c r="B4504" s="2" t="str">
        <f>IFERROR(__xludf.DUMMYFUNCTION("GOOGLETRANSLATE(A4504, ""en"", ""mt"")"),"tard wara nofsinhar")</f>
        <v>tard wara nofsinhar</v>
      </c>
    </row>
    <row r="4505" ht="15.75" customHeight="1">
      <c r="A4505" s="2" t="s">
        <v>4505</v>
      </c>
      <c r="B4505" s="2" t="str">
        <f>IFERROR(__xludf.DUMMYFUNCTION("GOOGLETRANSLATE(A4505, ""en"", ""mt"")"),"Fi stil ta 'platoon tagħlim, dak li jagħti lit-tfal is-sigurtà?")</f>
        <v>Fi stil ta 'platoon tagħlim, dak li jagħti lit-tfal is-sigurtà?</v>
      </c>
    </row>
    <row r="4506" ht="15.75" customHeight="1">
      <c r="A4506" s="2" t="s">
        <v>4506</v>
      </c>
      <c r="B4506" s="2" t="str">
        <f>IFERROR(__xludf.DUMMYFUNCTION("GOOGLETRANSLATE(A4506, ""en"", ""mt"")"),"Fil-ħarifa tal-1991, saru taħdidiet għad-drittijiet tax-xandir għall-Premier League għal perjodu ta 'ħames snin, mill-istaġun tal-1992. L-ITV kienu d-detenturi tad-drittijiet attwali, u ġġieldu ħafna biex iżommu d-drittijiet il-ġodda. L-ITV żiedet l-offer"&amp;"ta tagħha minn £ 18m għal £ 34m fis-sena biex iżżomm il-kontroll tad-drittijiet. BSKYB ingħaqad mal-BBC biex jagħmel offerta ta 'kontro. Il-BBC ingħata l-punti ewlenin tal-biċċa l-kbira tal-logħbiet, filwaqt li BSKYB li tħallas £ 304m għad-drittijiet tal-"&amp;"Premier League, kienet tagħtihom monopolju tal-logħbiet kollha ħajjin, sa 60 fis-sena mill-istaġun tal-1992. Murdoch iddeskriva l-isport bħala ""muntun li jbattal"" għat-televiżjoni bi ħlas, li jipprovdi bażi ta 'klijenti b'saħħitha. Ftit ġimgħat wara l-f"&amp;"tehim, ITV mar il-Qorti Għolja biex jikseb mandat ta ’inibizzjoni peress li kien jemmen li d-dettalji tal-offerta tagħhom kienu nixxew qabel ma ttieħdet id-deċiżjoni. ITV talab ukoll lill-Uffiċċju tal-Kummerċ Ġust biex jinvestiga peress li kien jemmen li "&amp;"l-imperu tal-midja ta 'Rupert Murdoch permezz tal-gazzetti tiegħu influwenza l-ftehim. Ftit jiem wara l-ebda azzjoni ma daħlet fis-seħħ, ITV jemmen li BSKYB ġie ċempel u infurmat bl-offerta ta '£ 262m tiegħu, u l-Premier League tat parir lil BSKYB biex iż"&amp;"id l-offerta tal-kontro.")</f>
        <v>Fil-ħarifa tal-1991, saru taħdidiet għad-drittijiet tax-xandir għall-Premier League għal perjodu ta 'ħames snin, mill-istaġun tal-1992. L-ITV kienu d-detenturi tad-drittijiet attwali, u ġġieldu ħafna biex iżommu d-drittijiet il-ġodda. L-ITV żiedet l-offerta tagħha minn £ 18m għal £ 34m fis-sena biex iżżomm il-kontroll tad-drittijiet. BSKYB ingħaqad mal-BBC biex jagħmel offerta ta 'kontro. Il-BBC ingħata l-punti ewlenin tal-biċċa l-kbira tal-logħbiet, filwaqt li BSKYB li tħallas £ 304m għad-drittijiet tal-Premier League, kienet tagħtihom monopolju tal-logħbiet kollha ħajjin, sa 60 fis-sena mill-istaġun tal-1992. Murdoch iddeskriva l-isport bħala "muntun li jbattal" għat-televiżjoni bi ħlas, li jipprovdi bażi ta 'klijenti b'saħħitha. Ftit ġimgħat wara l-ftehim, ITV mar il-Qorti Għolja biex jikseb mandat ta ’inibizzjoni peress li kien jemmen li d-dettalji tal-offerta tagħhom kienu nixxew qabel ma ttieħdet id-deċiżjoni. ITV talab ukoll lill-Uffiċċju tal-Kummerċ Ġust biex jinvestiga peress li kien jemmen li l-imperu tal-midja ta 'Rupert Murdoch permezz tal-gazzetti tiegħu influwenza l-ftehim. Ftit jiem wara l-ebda azzjoni ma daħlet fis-seħħ, ITV jemmen li BSKYB ġie ċempel u infurmat bl-offerta ta '£ 262m tiegħu, u l-Premier League tat parir lil BSKYB biex iżid l-offerta tal-kontro.</v>
      </c>
    </row>
    <row r="4507" ht="15.75" customHeight="1">
      <c r="A4507" s="2" t="s">
        <v>4507</v>
      </c>
      <c r="B4507" s="2" t="str">
        <f>IFERROR(__xludf.DUMMYFUNCTION("GOOGLETRANSLATE(A4507, ""en"", ""mt"")"),"animożità lejn xulxin")</f>
        <v>animożità lejn xulxin</v>
      </c>
    </row>
    <row r="4508" ht="15.75" customHeight="1">
      <c r="A4508" s="2" t="s">
        <v>4508</v>
      </c>
      <c r="B4508" s="2" t="str">
        <f>IFERROR(__xludf.DUMMYFUNCTION("GOOGLETRANSLATE(A4508, ""en"", ""mt"")"),"Liema pajjiż kien Abhisit Vejjajiva Prim Ministru, minkejja li twieled fi Newcastle?")</f>
        <v>Liema pajjiż kien Abhisit Vejjajiva Prim Ministru, minkejja li twieled fi Newcastle?</v>
      </c>
    </row>
    <row r="4509" ht="15.75" customHeight="1">
      <c r="A4509" s="2" t="s">
        <v>4509</v>
      </c>
      <c r="B4509" s="2" t="str">
        <f>IFERROR(__xludf.DUMMYFUNCTION("GOOGLETRANSLATE(A4509, ""en"", ""mt"")"),"Fl-1981, il-Partit tax-Xogħol Presidenzjali fit-Tieni Università ġie kkummissjonat biex iħares kemm il-possibbiltajiet li twaqqaf it-tieni università fil-Kenja kif ukoll ir-riforma tas-sistema edukattiva kollha. Il-kumitat irrakkomanda li s-sistema 7–4–2–"&amp;"3 tinbidel għal sistema 8-4-4 (tmien snin fil-primarja, erba ’snin fis-sekondarja, u erba’ snin fl-edukazzjoni universitarja). It-tabella taħt l-edukazzjoni preżenti fil-Kenja hawn taħt turi l-istruttura tas-sistema 8-4-4. Għalkemm is-sistema 7–4–2-3 inte"&amp;"mmet teoretikament bl-introduzzjoni tas-sistema l-ġdida 8-4-4 fl-1985, l-aħħar lott ta 'studenti mis-sistema ta' qabel iggradwa mill-universitajiet Kenjani fl-1992.")</f>
        <v>Fl-1981, il-Partit tax-Xogħol Presidenzjali fit-Tieni Università ġie kkummissjonat biex iħares kemm il-possibbiltajiet li twaqqaf it-tieni università fil-Kenja kif ukoll ir-riforma tas-sistema edukattiva kollha. Il-kumitat irrakkomanda li s-sistema 7–4–2–3 tinbidel għal sistema 8-4-4 (tmien snin fil-primarja, erba ’snin fis-sekondarja, u erba’ snin fl-edukazzjoni universitarja). It-tabella taħt l-edukazzjoni preżenti fil-Kenja hawn taħt turi l-istruttura tas-sistema 8-4-4. Għalkemm is-sistema 7–4–2-3 intemmet teoretikament bl-introduzzjoni tas-sistema l-ġdida 8-4-4 fl-1985, l-aħħar lott ta 'studenti mis-sistema ta' qabel iggradwa mill-universitajiet Kenjani fl-1992.</v>
      </c>
    </row>
    <row r="4510" ht="15.75" customHeight="1">
      <c r="A4510" s="2" t="s">
        <v>4510</v>
      </c>
      <c r="B4510" s="2" t="str">
        <f>IFERROR(__xludf.DUMMYFUNCTION("GOOGLETRANSLATE(A4510, ""en"", ""mt"")"),"Liema truppi attakkaw lil Fort William Henry fil-bidu tal-1757?")</f>
        <v>Liema truppi attakkaw lil Fort William Henry fil-bidu tal-1757?</v>
      </c>
    </row>
    <row r="4511" ht="15.75" customHeight="1">
      <c r="A4511" s="2" t="s">
        <v>4511</v>
      </c>
      <c r="B4511" s="2" t="str">
        <f>IFERROR(__xludf.DUMMYFUNCTION("GOOGLETRANSLATE(A4511, ""en"", ""mt"")"),"Konsum ta 'aspirazzjoni")</f>
        <v>Konsum ta 'aspirazzjoni</v>
      </c>
    </row>
    <row r="4512" ht="15.75" customHeight="1">
      <c r="A4512" s="2" t="s">
        <v>4512</v>
      </c>
      <c r="B4512" s="2" t="str">
        <f>IFERROR(__xludf.DUMMYFUNCTION("GOOGLETRANSLATE(A4512, ""en"", ""mt"")"),"X'inhi l-professjoni ta 'Jake Rosenfield?")</f>
        <v>X'inhi l-professjoni ta 'Jake Rosenfield?</v>
      </c>
    </row>
    <row r="4513" ht="15.75" customHeight="1">
      <c r="A4513" s="2" t="s">
        <v>4513</v>
      </c>
      <c r="B4513" s="2" t="str">
        <f>IFERROR(__xludf.DUMMYFUNCTION("GOOGLETRANSLATE(A4513, ""en"", ""mt"")"),"Katekiżmu")</f>
        <v>Katekiżmu</v>
      </c>
    </row>
    <row r="4514" ht="15.75" customHeight="1">
      <c r="A4514" s="2" t="s">
        <v>4514</v>
      </c>
      <c r="B4514" s="2" t="str">
        <f>IFERROR(__xludf.DUMMYFUNCTION("GOOGLETRANSLATE(A4514, ""en"", ""mt"")"),"naqsu milli jwaqqfu fond ta 'assigurazzjoni għall-impjegati biex jitolbu pagi mhux imħallsa jekk min iħaddem kien jinżel")</f>
        <v>naqsu milli jwaqqfu fond ta 'assigurazzjoni għall-impjegati biex jitolbu pagi mhux imħallsa jekk min iħaddem kien jinżel</v>
      </c>
    </row>
    <row r="4515" ht="15.75" customHeight="1">
      <c r="A4515" s="2" t="s">
        <v>4515</v>
      </c>
      <c r="B4515" s="2" t="str">
        <f>IFERROR(__xludf.DUMMYFUNCTION("GOOGLETRANSLATE(A4515, ""en"", ""mt"")"),"Memorja immunoloġika tista 'tieħu liema żewġ forom?")</f>
        <v>Memorja immunoloġika tista 'tieħu liema żewġ forom?</v>
      </c>
    </row>
    <row r="4516" ht="15.75" customHeight="1">
      <c r="A4516" s="2" t="s">
        <v>4516</v>
      </c>
      <c r="B4516" s="2" t="str">
        <f>IFERROR(__xludf.DUMMYFUNCTION("GOOGLETRANSLATE(A4516, ""en"", ""mt"")"),"Diviżjoni tal-kloroplast")</f>
        <v>Diviżjoni tal-kloroplast</v>
      </c>
    </row>
    <row r="4517" ht="15.75" customHeight="1">
      <c r="A4517" s="2" t="s">
        <v>4517</v>
      </c>
      <c r="B4517" s="2" t="str">
        <f>IFERROR(__xludf.DUMMYFUNCTION("GOOGLETRANSLATE(A4517, ""en"", ""mt"")"),"X'jifhem il-Kunsill tal-Belt?")</f>
        <v>X'jifhem il-Kunsill tal-Belt?</v>
      </c>
    </row>
    <row r="4518" ht="15.75" customHeight="1">
      <c r="A4518" s="2" t="s">
        <v>4518</v>
      </c>
      <c r="B4518" s="2" t="str">
        <f>IFERROR(__xludf.DUMMYFUNCTION("GOOGLETRANSLATE(A4518, ""en"", ""mt"")"),"Profeta Zwickau")</f>
        <v>Profeta Zwickau</v>
      </c>
    </row>
    <row r="4519" ht="15.75" customHeight="1">
      <c r="A4519" s="2" t="s">
        <v>4519</v>
      </c>
      <c r="B4519" s="2" t="str">
        <f>IFERROR(__xludf.DUMMYFUNCTION("GOOGLETRANSLATE(A4519, ""en"", ""mt"")"),"X'tip ta 'tekniki ntużaw biex tinħoloq it-tema?")</f>
        <v>X'tip ta 'tekniki ntużaw biex tinħoloq it-tema?</v>
      </c>
    </row>
    <row r="4520" ht="15.75" customHeight="1">
      <c r="A4520" s="2" t="s">
        <v>4520</v>
      </c>
      <c r="B4520" s="2" t="str">
        <f>IFERROR(__xludf.DUMMYFUNCTION("GOOGLETRANSLATE(A4520, ""en"", ""mt"")"),"Il-ġudikatura")</f>
        <v>Il-ġudikatura</v>
      </c>
    </row>
    <row r="4521" ht="15.75" customHeight="1">
      <c r="A4521" s="2" t="s">
        <v>4521</v>
      </c>
      <c r="B4521" s="2" t="str">
        <f>IFERROR(__xludf.DUMMYFUNCTION("GOOGLETRANSLATE(A4521, ""en"", ""mt"")"),"Fejn Tesla fittxet investituri qabel id-WWI?")</f>
        <v>Fejn Tesla fittxet investituri qabel id-WWI?</v>
      </c>
    </row>
    <row r="4522" ht="15.75" customHeight="1">
      <c r="A4522" s="2" t="s">
        <v>4522</v>
      </c>
      <c r="B4522" s="2" t="str">
        <f>IFERROR(__xludf.DUMMYFUNCTION("GOOGLETRANSLATE(A4522, ""en"", ""mt"")"),"Taħt liema liġi huwa determinat il-valur ta 'ħaddiem?")</f>
        <v>Taħt liema liġi huwa determinat il-valur ta 'ħaddiem?</v>
      </c>
    </row>
    <row r="4523" ht="15.75" customHeight="1">
      <c r="A4523" s="2" t="s">
        <v>4523</v>
      </c>
      <c r="B4523" s="2" t="str">
        <f>IFERROR(__xludf.DUMMYFUNCTION("GOOGLETRANSLATE(A4523, ""en"", ""mt"")"),"Liema funzjoni jagħmlu komposti bħall-fenol u l-aċetun iservu fil-manifattura ta 'ħafna sustanzi oħra?")</f>
        <v>Liema funzjoni jagħmlu komposti bħall-fenol u l-aċetun iservu fil-manifattura ta 'ħafna sustanzi oħra?</v>
      </c>
    </row>
    <row r="4524" ht="15.75" customHeight="1">
      <c r="A4524" s="2" t="s">
        <v>4524</v>
      </c>
      <c r="B4524" s="2" t="str">
        <f>IFERROR(__xludf.DUMMYFUNCTION("GOOGLETRANSLATE(A4524, ""en"", ""mt"")"),"Varjabbli tal-pożizzjoni klassika")</f>
        <v>Varjabbli tal-pożizzjoni klassika</v>
      </c>
    </row>
    <row r="4525" ht="15.75" customHeight="1">
      <c r="A4525" s="2" t="s">
        <v>4525</v>
      </c>
      <c r="B4525" s="2" t="str">
        <f>IFERROR(__xludf.DUMMYFUNCTION("GOOGLETRANSLATE(A4525, ""en"", ""mt"")"),"madwar wieħed minn tmienja")</f>
        <v>madwar wieħed minn tmienja</v>
      </c>
    </row>
    <row r="4526" ht="15.75" customHeight="1">
      <c r="A4526" s="2" t="s">
        <v>4526</v>
      </c>
      <c r="B4526" s="2" t="str">
        <f>IFERROR(__xludf.DUMMYFUNCTION("GOOGLETRANSLATE(A4526, ""en"", ""mt"")"),"23 ta ’Novembru")</f>
        <v>23 ta ’Novembru</v>
      </c>
    </row>
    <row r="4527" ht="15.75" customHeight="1">
      <c r="A4527" s="2" t="s">
        <v>4527</v>
      </c>
      <c r="B4527" s="2" t="str">
        <f>IFERROR(__xludf.DUMMYFUNCTION("GOOGLETRANSLATE(A4527, ""en"", ""mt"")"),"kant ta 'innijiet Ġermaniżi")</f>
        <v>kant ta 'innijiet Ġermaniżi</v>
      </c>
    </row>
    <row r="4528" ht="15.75" customHeight="1">
      <c r="A4528" s="2" t="s">
        <v>4528</v>
      </c>
      <c r="B4528" s="2" t="str">
        <f>IFERROR(__xludf.DUMMYFUNCTION("GOOGLETRANSLATE(A4528, ""en"", ""mt"")"),"ċellola tal-pjanti li fiha kloroplasti")</f>
        <v>ċellola tal-pjanti li fiha kloroplasti</v>
      </c>
    </row>
    <row r="4529" ht="15.75" customHeight="1">
      <c r="A4529" s="2" t="s">
        <v>4529</v>
      </c>
      <c r="B4529" s="2" t="str">
        <f>IFERROR(__xludf.DUMMYFUNCTION("GOOGLETRANSLATE(A4529, ""en"", ""mt"")"),"Kif kien jissejjaħ meta Tesla xegħlet lampa bla fili tal-gass bl-użu ta 'kurrent alternattiv ta' frekwenza għolja u ta 'vultaġġ għoli?")</f>
        <v>Kif kien jissejjaħ meta Tesla xegħlet lampa bla fili tal-gass bl-użu ta 'kurrent alternattiv ta' frekwenza għolja u ta 'vultaġġ għoli?</v>
      </c>
    </row>
    <row r="4530" ht="15.75" customHeight="1">
      <c r="A4530" s="2" t="s">
        <v>4530</v>
      </c>
      <c r="B4530" s="2" t="str">
        <f>IFERROR(__xludf.DUMMYFUNCTION("GOOGLETRANSLATE(A4530, ""en"", ""mt"")"),"Forzi qawwija u dgħajfa")</f>
        <v>Forzi qawwija u dgħajfa</v>
      </c>
    </row>
    <row r="4531" ht="15.75" customHeight="1">
      <c r="A4531" s="2" t="s">
        <v>4531</v>
      </c>
      <c r="B4531" s="2" t="str">
        <f>IFERROR(__xludf.DUMMYFUNCTION("GOOGLETRANSLATE(A4531, ""en"", ""mt"")"),"Min japplika l-liġi tal-Unjoni Ewropea?")</f>
        <v>Min japplika l-liġi tal-Unjoni Ewropea?</v>
      </c>
    </row>
    <row r="4532" ht="15.75" customHeight="1">
      <c r="A4532" s="2" t="s">
        <v>4532</v>
      </c>
      <c r="B4532" s="2" t="str">
        <f>IFERROR(__xludf.DUMMYFUNCTION("GOOGLETRANSLATE(A4532, ""en"", ""mt"")"),"X'inbena bejn l-1978 u l-1982 biex jgħaqqad il-ġwienaħ ta 'Henry Cole mal-bqija tal-mużew?")</f>
        <v>X'inbena bejn l-1978 u l-1982 biex jgħaqqad il-ġwienaħ ta 'Henry Cole mal-bqija tal-mużew?</v>
      </c>
    </row>
    <row r="4533" ht="15.75" customHeight="1">
      <c r="A4533" s="2" t="s">
        <v>4533</v>
      </c>
      <c r="B4533" s="2" t="str">
        <f>IFERROR(__xludf.DUMMYFUNCTION("GOOGLETRANSLATE(A4533, ""en"", ""mt"")"),"Ekonomikament")</f>
        <v>Ekonomikament</v>
      </c>
    </row>
    <row r="4534" ht="15.75" customHeight="1">
      <c r="A4534" s="2" t="s">
        <v>4534</v>
      </c>
      <c r="B4534" s="2" t="str">
        <f>IFERROR(__xludf.DUMMYFUNCTION("GOOGLETRANSLATE(A4534, ""en"", ""mt"")"),"L-UMC jifhem lilu nnifsu bħala parti minn liema knisja?")</f>
        <v>L-UMC jifhem lilu nnifsu bħala parti minn liema knisja?</v>
      </c>
    </row>
    <row r="4535" ht="15.75" customHeight="1">
      <c r="A4535" s="2" t="s">
        <v>4535</v>
      </c>
      <c r="B4535" s="2" t="str">
        <f>IFERROR(__xludf.DUMMYFUNCTION("GOOGLETRANSLATE(A4535, ""en"", ""mt"")"),"età ta '16")</f>
        <v>età ta '16</v>
      </c>
    </row>
    <row r="4536" ht="15.75" customHeight="1">
      <c r="A4536" s="2" t="s">
        <v>4536</v>
      </c>
      <c r="B4536" s="2" t="str">
        <f>IFERROR(__xludf.DUMMYFUNCTION("GOOGLETRANSLATE(A4536, ""en"", ""mt"")"),"Soċjetà ta ’San Piju X")</f>
        <v>Soċjetà ta ’San Piju X</v>
      </c>
    </row>
    <row r="4537" ht="15.75" customHeight="1">
      <c r="A4537" s="2" t="s">
        <v>4537</v>
      </c>
      <c r="B4537" s="2" t="str">
        <f>IFERROR(__xludf.DUMMYFUNCTION("GOOGLETRANSLATE(A4537, ""en"", ""mt"")"),"indulġenzi għall-mejtin,")</f>
        <v>indulġenzi għall-mejtin,</v>
      </c>
    </row>
    <row r="4538" ht="15.75" customHeight="1">
      <c r="A4538" s="2" t="s">
        <v>4538</v>
      </c>
      <c r="B4538" s="2" t="str">
        <f>IFERROR(__xludf.DUMMYFUNCTION("GOOGLETRANSLATE(A4538, ""en"", ""mt"")"),"L-immaġni tat-Tardis saret marbuta sew mal-ispettaklu fil-kuxjenza tal-pubbliku; Il-kittieb tal-BBC Anthony Coburn, li kien jgħix fil-lokalità ta ’Herne Bay, Kent, kien wieħed mill-persuni li ħasbu l-idea ta’ kaxxa tal-pulizija bħala magna tal-ħin. Fl-199"&amp;"6, il-BBC applikat għal trade mark biex tuża d-disinn tal-kaxxa tal-pulizija blu Tardis fil-merchandising assoċjata ma 'Doctor Who. Fl-1998, l-Awtorità tal-Pulizija Metropolitana ressqet oġġezzjoni għat-talba tat-trade mark; Iżda fl-2002, l-Uffiċċju tal-P"&amp;"rivattivi ddeċieda favur il-BBC.")</f>
        <v>L-immaġni tat-Tardis saret marbuta sew mal-ispettaklu fil-kuxjenza tal-pubbliku; Il-kittieb tal-BBC Anthony Coburn, li kien jgħix fil-lokalità ta ’Herne Bay, Kent, kien wieħed mill-persuni li ħasbu l-idea ta’ kaxxa tal-pulizija bħala magna tal-ħin. Fl-1996, il-BBC applikat għal trade mark biex tuża d-disinn tal-kaxxa tal-pulizija blu Tardis fil-merchandising assoċjata ma 'Doctor Who. Fl-1998, l-Awtorità tal-Pulizija Metropolitana ressqet oġġezzjoni għat-talba tat-trade mark; Iżda fl-2002, l-Uffiċċju tal-Privattivi ddeċieda favur il-BBC.</v>
      </c>
    </row>
    <row r="4539" ht="15.75" customHeight="1">
      <c r="A4539" s="2" t="s">
        <v>4539</v>
      </c>
      <c r="B4539" s="2" t="str">
        <f>IFERROR(__xludf.DUMMYFUNCTION("GOOGLETRANSLATE(A4539, ""en"", ""mt"")"),"il-prosperità tal-belt;")</f>
        <v>il-prosperità tal-belt;</v>
      </c>
    </row>
    <row r="4540" ht="15.75" customHeight="1">
      <c r="A4540" s="2" t="s">
        <v>4540</v>
      </c>
      <c r="B4540" s="2" t="str">
        <f>IFERROR(__xludf.DUMMYFUNCTION("GOOGLETRANSLATE(A4540, ""en"", ""mt"")"),"Għaliex il-Knisja Protestanta Metodista qasmet mill-Knisja Episkopali Metodista?")</f>
        <v>Għaliex il-Knisja Protestanta Metodista qasmet mill-Knisja Episkopali Metodista?</v>
      </c>
    </row>
    <row r="4541" ht="15.75" customHeight="1">
      <c r="A4541" s="2" t="s">
        <v>4541</v>
      </c>
      <c r="B4541" s="2" t="str">
        <f>IFERROR(__xludf.DUMMYFUNCTION("GOOGLETRANSLATE(A4541, ""en"", ""mt"")"),"Editt ta 'Nantes")</f>
        <v>Editt ta 'Nantes</v>
      </c>
    </row>
    <row r="4542" ht="15.75" customHeight="1">
      <c r="A4542" s="2" t="s">
        <v>4542</v>
      </c>
      <c r="B4542" s="2" t="str">
        <f>IFERROR(__xludf.DUMMYFUNCTION("GOOGLETRANSLATE(A4542, ""en"", ""mt"")"),"X'jista 'jirriżulta minn disturbi tas-sistema immuni?")</f>
        <v>X'jista 'jirriżulta minn disturbi tas-sistema immuni?</v>
      </c>
    </row>
    <row r="4543" ht="15.75" customHeight="1">
      <c r="A4543" s="2" t="s">
        <v>4543</v>
      </c>
      <c r="B4543" s="2" t="str">
        <f>IFERROR(__xludf.DUMMYFUNCTION("GOOGLETRANSLATE(A4543, ""en"", ""mt"")"),"Arpanet u Sita HLN saru operattivi fl-1969. Qabel l-introduzzjoni ta 'X.25 fl-1973, ġew żviluppati madwar għoxrin teknoloġiji differenti tan-netwerk. Żewġ differenzi fundamentali kienu jinvolvu d-diviżjoni tal-funzjonijiet u l-kompiti bejn l-ospiti fit-ta"&amp;"rf tan-netwerk u l-qalba tan-netwerk. Fis-sistema tad-datagramma, l-ospiti għandhom ir-responsabbiltà li jiżguraw twassil ordnat ta 'pakketti. Il-Protokoll tad-Datagramma tal-Utent (UDP) huwa eżempju ta 'protokoll ta' datagramma. Fis-sistema ta 'telefonat"&amp;"i virtwali, in-netwerk jiggarantixxi l-konsenja sekwenzjata ta' dejta lill-host. Dan jirriżulta f'interface ospitanti aktar sempliċi b'inqas funzjonalità milli fil-mudell Datagram. Is-suite tal-protokoll X.25 tuża dan it-tip ta 'netwerk.")</f>
        <v>Arpanet u Sita HLN saru operattivi fl-1969. Qabel l-introduzzjoni ta 'X.25 fl-1973, ġew żviluppati madwar għoxrin teknoloġiji differenti tan-netwerk. Żewġ differenzi fundamentali kienu jinvolvu d-diviżjoni tal-funzjonijiet u l-kompiti bejn l-ospiti fit-tarf tan-netwerk u l-qalba tan-netwerk. Fis-sistema tad-datagramma, l-ospiti għandhom ir-responsabbiltà li jiżguraw twassil ordnat ta 'pakketti. Il-Protokoll tad-Datagramma tal-Utent (UDP) huwa eżempju ta 'protokoll ta' datagramma. Fis-sistema ta 'telefonati virtwali, in-netwerk jiggarantixxi l-konsenja sekwenzjata ta' dejta lill-host. Dan jirriżulta f'interface ospitanti aktar sempliċi b'inqas funzjonalità milli fil-mudell Datagram. Is-suite tal-protokoll X.25 tuża dan it-tip ta 'netwerk.</v>
      </c>
    </row>
    <row r="4544" ht="15.75" customHeight="1">
      <c r="A4544" s="2" t="s">
        <v>4544</v>
      </c>
      <c r="B4544" s="2" t="str">
        <f>IFERROR(__xludf.DUMMYFUNCTION("GOOGLETRANSLATE(A4544, ""en"", ""mt"")"),"li tikkonferma l-pożizzjoni tal-Gran Brittanja bħala l-poter kolonjali dominanti fil-Lvant ta ’l-Amerika")</f>
        <v>li tikkonferma l-pożizzjoni tal-Gran Brittanja bħala l-poter kolonjali dominanti fil-Lvant ta ’l-Amerika</v>
      </c>
    </row>
    <row r="4545" ht="15.75" customHeight="1">
      <c r="A4545" s="2" t="s">
        <v>4545</v>
      </c>
      <c r="B4545" s="2" t="str">
        <f>IFERROR(__xludf.DUMMYFUNCTION("GOOGLETRANSLATE(A4545, ""en"", ""mt"")"),"X’qal Luther li n-nies komuni ma kienu jafu xejn dwarhom?")</f>
        <v>X’qal Luther li n-nies komuni ma kienu jafu xejn dwarhom?</v>
      </c>
    </row>
    <row r="4546" ht="15.75" customHeight="1">
      <c r="A4546" s="2" t="s">
        <v>4546</v>
      </c>
      <c r="B4546" s="2" t="str">
        <f>IFERROR(__xludf.DUMMYFUNCTION("GOOGLETRANSLATE(A4546, ""en"", ""mt"")"),"20 sa 1")</f>
        <v>20 sa 1</v>
      </c>
    </row>
    <row r="4547" ht="15.75" customHeight="1">
      <c r="A4547" s="2" t="s">
        <v>4547</v>
      </c>
      <c r="B4547" s="2" t="str">
        <f>IFERROR(__xludf.DUMMYFUNCTION("GOOGLETRANSLATE(A4547, ""en"", ""mt"")"),"maġġoranza sempliċi")</f>
        <v>maġġoranza sempliċi</v>
      </c>
    </row>
    <row r="4548" ht="15.75" customHeight="1">
      <c r="A4548" s="2" t="s">
        <v>4548</v>
      </c>
      <c r="B4548" s="2" t="str">
        <f>IFERROR(__xludf.DUMMYFUNCTION("GOOGLETRANSLATE(A4548, ""en"", ""mt"")"),"Belt tal-Ubii")</f>
        <v>Belt tal-Ubii</v>
      </c>
    </row>
    <row r="4549" ht="15.75" customHeight="1">
      <c r="A4549" s="2" t="s">
        <v>4549</v>
      </c>
      <c r="B4549" s="2" t="str">
        <f>IFERROR(__xludf.DUMMYFUNCTION("GOOGLETRANSLATE(A4549, ""en"", ""mt"")"),"Mill-bidu tagħha, ABC kellha ħafna stazzjonijiet affiljati, li jinkludu WABC-TV u WPVI-TV, l-ewwel żewġ stazzjonijiet li jġorru l-ipprogrammar tan-netwerk. Minn Marzu 2015 [aġġornament], ABC għandha tmien stazzjonijiet ta 'proprjetà u mħaddma, u ftehimiet"&amp;" ta' affiljazzjoni attwali u pendenti ma '235 stazzjon tat-televiżjoni addizzjonali li jinkludu 49 stat, id-Distrett ta' Columbia, erba 'possedimenti ta' l-Istati Uniti, il-Bermuda u SABA; Dan jagħmel lil ABC l-akbar netwerk tat-televiżjoni tax-xandir tal"&amp;"-Istati Uniti skont in-numru totali ta 'affiljati. In-netwerk għandu firxa nazzjonali stmata ta '96 .26% tad-djar kollha fl-Istati Uniti (jew 300,794,157 Amerikani b'mill-inqas sett televiżiv wieħed).")</f>
        <v>Mill-bidu tagħha, ABC kellha ħafna stazzjonijiet affiljati, li jinkludu WABC-TV u WPVI-TV, l-ewwel żewġ stazzjonijiet li jġorru l-ipprogrammar tan-netwerk. Minn Marzu 2015 [aġġornament], ABC għandha tmien stazzjonijiet ta 'proprjetà u mħaddma, u ftehimiet ta' affiljazzjoni attwali u pendenti ma '235 stazzjon tat-televiżjoni addizzjonali li jinkludu 49 stat, id-Distrett ta' Columbia, erba 'possedimenti ta' l-Istati Uniti, il-Bermuda u SABA; Dan jagħmel lil ABC l-akbar netwerk tat-televiżjoni tax-xandir tal-Istati Uniti skont in-numru totali ta 'affiljati. In-netwerk għandu firxa nazzjonali stmata ta '96 .26% tad-djar kollha fl-Istati Uniti (jew 300,794,157 Amerikani b'mill-inqas sett televiżiv wieħed).</v>
      </c>
    </row>
    <row r="4550" ht="15.75" customHeight="1">
      <c r="A4550" s="2" t="s">
        <v>4550</v>
      </c>
      <c r="B4550" s="2" t="str">
        <f>IFERROR(__xludf.DUMMYFUNCTION("GOOGLETRANSLATE(A4550, ""en"", ""mt"")"),"kienu mewġ lonġitudinali")</f>
        <v>kienu mewġ lonġitudinali</v>
      </c>
    </row>
    <row r="4551" ht="15.75" customHeight="1">
      <c r="A4551" s="2" t="s">
        <v>4551</v>
      </c>
      <c r="B4551" s="2" t="str">
        <f>IFERROR(__xludf.DUMMYFUNCTION("GOOGLETRANSLATE(A4551, ""en"", ""mt"")"),"Kontinentali Ewropew")</f>
        <v>Kontinentali Ewropew</v>
      </c>
    </row>
    <row r="4552" ht="15.75" customHeight="1">
      <c r="A4552" s="2" t="s">
        <v>4552</v>
      </c>
      <c r="B4552" s="2" t="str">
        <f>IFERROR(__xludf.DUMMYFUNCTION("GOOGLETRANSLATE(A4552, ""en"", ""mt"")"),"Il-knisja tappoġġja lil dawk il-persuni li jopponu l-kuxjenza?")</f>
        <v>Il-knisja tappoġġja lil dawk il-persuni li jopponu l-kuxjenza?</v>
      </c>
    </row>
    <row r="4553" ht="15.75" customHeight="1">
      <c r="A4553" s="2" t="s">
        <v>4553</v>
      </c>
      <c r="B4553" s="2" t="str">
        <f>IFERROR(__xludf.DUMMYFUNCTION("GOOGLETRANSLATE(A4553, ""en"", ""mt"")"),"Meta Kublai attakka lil Xiangyang?")</f>
        <v>Meta Kublai attakka lil Xiangyang?</v>
      </c>
    </row>
    <row r="4554" ht="15.75" customHeight="1">
      <c r="A4554" s="2" t="s">
        <v>4554</v>
      </c>
      <c r="B4554" s="2" t="str">
        <f>IFERROR(__xludf.DUMMYFUNCTION("GOOGLETRANSLATE(A4554, ""en"", ""mt"")"),"Battalja ta 'Marzu ta' Fort Bull")</f>
        <v>Battalja ta 'Marzu ta' Fort Bull</v>
      </c>
    </row>
    <row r="4555" ht="15.75" customHeight="1">
      <c r="A4555" s="2" t="s">
        <v>4555</v>
      </c>
      <c r="B4555" s="2" t="str">
        <f>IFERROR(__xludf.DUMMYFUNCTION("GOOGLETRANSLATE(A4555, ""en"", ""mt"")"),"X'għamel il-protokoll ta 'Kyoto?")</f>
        <v>X'għamel il-protokoll ta 'Kyoto?</v>
      </c>
    </row>
    <row r="4556" ht="15.75" customHeight="1">
      <c r="A4556" s="2" t="s">
        <v>4556</v>
      </c>
      <c r="B4556" s="2" t="str">
        <f>IFERROR(__xludf.DUMMYFUNCTION("GOOGLETRANSLATE(A4556, ""en"", ""mt"")"),"11–13 seklu")</f>
        <v>11–13 seklu</v>
      </c>
    </row>
    <row r="4557" ht="15.75" customHeight="1">
      <c r="A4557" s="2" t="s">
        <v>4557</v>
      </c>
      <c r="B4557" s="2" t="str">
        <f>IFERROR(__xludf.DUMMYFUNCTION("GOOGLETRANSLATE(A4557, ""en"", ""mt"")"),"sferiku")</f>
        <v>sferiku</v>
      </c>
    </row>
    <row r="4558" ht="15.75" customHeight="1">
      <c r="A4558" s="2" t="s">
        <v>4558</v>
      </c>
      <c r="B4558" s="2" t="str">
        <f>IFERROR(__xludf.DUMMYFUNCTION("GOOGLETRANSLATE(A4558, ""en"", ""mt"")"),"F’Ottubru 2010")</f>
        <v>F’Ottubru 2010</v>
      </c>
    </row>
    <row r="4559" ht="15.75" customHeight="1">
      <c r="A4559" s="2" t="s">
        <v>4559</v>
      </c>
      <c r="B4559" s="2" t="str">
        <f>IFERROR(__xludf.DUMMYFUNCTION("GOOGLETRANSLATE(A4559, ""en"", ""mt"")"),"Ġeorġja")</f>
        <v>Ġeorġja</v>
      </c>
    </row>
    <row r="4560" ht="15.75" customHeight="1">
      <c r="A4560" s="2" t="s">
        <v>4560</v>
      </c>
      <c r="B4560" s="2" t="str">
        <f>IFERROR(__xludf.DUMMYFUNCTION("GOOGLETRANSLATE(A4560, ""en"", ""mt"")"),"Liema kulur kienu l-uniformijiet tal-Bronco fis-Super Bowl 50?")</f>
        <v>Liema kulur kienu l-uniformijiet tal-Bronco fis-Super Bowl 50?</v>
      </c>
    </row>
    <row r="4561" ht="15.75" customHeight="1">
      <c r="A4561" s="2" t="s">
        <v>4561</v>
      </c>
      <c r="B4561" s="2" t="str">
        <f>IFERROR(__xludf.DUMMYFUNCTION("GOOGLETRANSLATE(A4561, ""en"", ""mt"")"),"elettriku")</f>
        <v>elettriku</v>
      </c>
    </row>
    <row r="4562" ht="15.75" customHeight="1">
      <c r="A4562" s="2" t="s">
        <v>4562</v>
      </c>
      <c r="B4562" s="2" t="str">
        <f>IFERROR(__xludf.DUMMYFUNCTION("GOOGLETRANSLATE(A4562, ""en"", ""mt"")"),"X'iktar intuża mill-Pharmas?")</f>
        <v>X'iktar intuża mill-Pharmas?</v>
      </c>
    </row>
    <row r="4563" ht="15.75" customHeight="1">
      <c r="A4563" s="2" t="s">
        <v>4563</v>
      </c>
      <c r="B4563" s="2" t="str">
        <f>IFERROR(__xludf.DUMMYFUNCTION("GOOGLETRANSLATE(A4563, ""en"", ""mt"")"),"Luther x’sejjaħ dawn id-donazzjonijiet?")</f>
        <v>Luther x’sejjaħ dawn id-donazzjonijiet?</v>
      </c>
    </row>
    <row r="4564" ht="15.75" customHeight="1">
      <c r="A4564" s="2" t="s">
        <v>4564</v>
      </c>
      <c r="B4564" s="2" t="str">
        <f>IFERROR(__xludf.DUMMYFUNCTION("GOOGLETRANSLATE(A4564, ""en"", ""mt"")"),"L-isptar ġenerali meta ddebutta l-ewwel darba fuq ABC?")</f>
        <v>L-isptar ġenerali meta ddebutta l-ewwel darba fuq ABC?</v>
      </c>
    </row>
    <row r="4565" ht="15.75" customHeight="1">
      <c r="A4565" s="2" t="s">
        <v>4565</v>
      </c>
      <c r="B4565" s="2" t="str">
        <f>IFERROR(__xludf.DUMMYFUNCTION("GOOGLETRANSLATE(A4565, ""en"", ""mt"")"),"2.5 biljun sena ilu")</f>
        <v>2.5 biljun sena ilu</v>
      </c>
    </row>
    <row r="4566" ht="15.75" customHeight="1">
      <c r="A4566" s="2" t="s">
        <v>4566</v>
      </c>
      <c r="B4566" s="2" t="str">
        <f>IFERROR(__xludf.DUMMYFUNCTION("GOOGLETRANSLATE(A4566, ""en"", ""mt"")"),"puplesija")</f>
        <v>puplesija</v>
      </c>
    </row>
    <row r="4567" ht="15.75" customHeight="1">
      <c r="A4567" s="2" t="s">
        <v>4567</v>
      </c>
      <c r="B4567" s="2" t="str">
        <f>IFERROR(__xludf.DUMMYFUNCTION("GOOGLETRANSLATE(A4567, ""en"", ""mt"")"),"Għaliex naqset id-domanda għall-kiri?")</f>
        <v>Għaliex naqset id-domanda għall-kiri?</v>
      </c>
    </row>
    <row r="4568" ht="15.75" customHeight="1">
      <c r="A4568" s="2" t="s">
        <v>4568</v>
      </c>
      <c r="B4568" s="2" t="str">
        <f>IFERROR(__xludf.DUMMYFUNCTION("GOOGLETRANSLATE(A4568, ""en"", ""mt"")"),"Super Bowl 50 deher bosta rekords minn individwi u timijiet. Denver rebaħ minkejja li kien immexxi bil-kbir fil-btieħi totali (315 sa 194) u l-ewwel downs (21 sa 11). L-194 tarzni tagħhom u l-ewwel 11-il downs kienu t-tnejn l-inqas totali li qatt kien hem"&amp;"m minn tim rebbieħ tas-Super Bowl. Ir-rekord preċedenti kien 244 tarzni mill-Baltimore Ravens fis-Super Bowl XXXV. Seba 'timijiet oħra biss qatt kisbu inqas minn 200 jarda fis-Super Bowl, u kollha tilfu. Is-seba 'xkejjer ta' Broncos ġabu rekord ta 'Super "&amp;"Bowl stabbilit mill-Bears ta' Chicago fis-Super Bowl XX. Kony Ealy ġab rekord tas-Super Bowl bi tliet xkejjer. Ir-ritorn tal-punt 61-tarzna ta 'Jordan Norwood waqqaf rekord ġdid, li qabeż ir-rekord il-qadim ta '45 tarzni stabbiliti minn John Taylor fis-Su"&amp;"per Bowl XXIII. Denver kien biss 1-of-14 fit-tielet l-isfel, filwaqt li Carolina bilkemm kienet aħjar fi 3-of-15. Il-persentaġġ ta 'konverżjoni tat-tielet timijiet ikkombinati fit-tielet ta' 13.8 kien Super Bowl baxx. Manning u Newton kellhom klassifikazz"&amp;"jonijiet tal-passer tal-quarterback ta '56 .6 u 55.4, rispettivament, u t-total miżjud tagħhom ta '112 huwa rekord ta' klassifikazzjoni tal-passer aggregat l-iktar baxx għal Super Bowl. Manning sar l-eqdem quarterback li qatt rebaħ Super Bowl fl-età ta '3"&amp;"9, u l-ewwel quarterback li qatt rebaħ Super Bowl b'żewġ timijiet differenti, filwaqt li Gary Kubiak sar l-ewwel kowċ ewlieni li rebaħ Super Bowl bl-istess franchise huwa mar għalih Is-Super Bowl ma 'bħala plejer.")</f>
        <v>Super Bowl 50 deher bosta rekords minn individwi u timijiet. Denver rebaħ minkejja li kien immexxi bil-kbir fil-btieħi totali (315 sa 194) u l-ewwel downs (21 sa 11). L-194 tarzni tagħhom u l-ewwel 11-il downs kienu t-tnejn l-inqas totali li qatt kien hemm minn tim rebbieħ tas-Super Bowl. Ir-rekord preċedenti kien 244 tarzni mill-Baltimore Ravens fis-Super Bowl XXXV. Seba 'timijiet oħra biss qatt kisbu inqas minn 200 jarda fis-Super Bowl, u kollha tilfu. Is-seba 'xkejjer ta' Broncos ġabu rekord ta 'Super Bowl stabbilit mill-Bears ta' Chicago fis-Super Bowl XX. Kony Ealy ġab rekord tas-Super Bowl bi tliet xkejjer. Ir-ritorn tal-punt 61-tarzna ta 'Jordan Norwood waqqaf rekord ġdid, li qabeż ir-rekord il-qadim ta '45 tarzni stabbiliti minn John Taylor fis-Super Bowl XXIII. Denver kien biss 1-of-14 fit-tielet l-isfel, filwaqt li Carolina bilkemm kienet aħjar fi 3-of-15. Il-persentaġġ ta 'konverżjoni tat-tielet timijiet ikkombinati fit-tielet ta' 13.8 kien Super Bowl baxx. Manning u Newton kellhom klassifikazzjonijiet tal-passer tal-quarterback ta '56 .6 u 55.4, rispettivament, u t-total miżjud tagħhom ta '112 huwa rekord ta' klassifikazzjoni tal-passer aggregat l-iktar baxx għal Super Bowl. Manning sar l-eqdem quarterback li qatt rebaħ Super Bowl fl-età ta '39, u l-ewwel quarterback li qatt rebaħ Super Bowl b'żewġ timijiet differenti, filwaqt li Gary Kubiak sar l-ewwel kowċ ewlieni li rebaħ Super Bowl bl-istess franchise huwa mar għalih Is-Super Bowl ma 'bħala plejer.</v>
      </c>
    </row>
    <row r="4569" ht="15.75" customHeight="1">
      <c r="A4569" s="2" t="s">
        <v>4569</v>
      </c>
      <c r="B4569" s="2" t="str">
        <f>IFERROR(__xludf.DUMMYFUNCTION("GOOGLETRANSLATE(A4569, ""en"", ""mt"")"),"Liema isem jingħata lil xi numru ewlieni akbar minn 2?")</f>
        <v>Liema isem jingħata lil xi numru ewlieni akbar minn 2?</v>
      </c>
    </row>
    <row r="4570" ht="15.75" customHeight="1">
      <c r="A4570" s="2" t="s">
        <v>4570</v>
      </c>
      <c r="B4570" s="2" t="str">
        <f>IFERROR(__xludf.DUMMYFUNCTION("GOOGLETRANSLATE(A4570, ""en"", ""mt"")"),"X'inhuma ż-żewġ eżempji ta 'entitajiet mhux ta' entitajiet skond it-teorija ta 'Frank Burnet?")</f>
        <v>X'inhuma ż-żewġ eżempji ta 'entitajiet mhux ta' entitajiet skond it-teorija ta 'Frank Burnet?</v>
      </c>
    </row>
    <row r="4571" ht="15.75" customHeight="1">
      <c r="A4571" s="2" t="s">
        <v>4571</v>
      </c>
      <c r="B4571" s="2" t="str">
        <f>IFERROR(__xludf.DUMMYFUNCTION("GOOGLETRANSLATE(A4571, ""en"", ""mt"")"),"Għaliex il-klijenti jistgħu jordnaw mill-ispiżeriji tal-internet?")</f>
        <v>Għaliex il-klijenti jistgħu jordnaw mill-ispiżeriji tal-internet?</v>
      </c>
    </row>
    <row r="4572" ht="15.75" customHeight="1">
      <c r="A4572" s="2" t="s">
        <v>4572</v>
      </c>
      <c r="B4572" s="2" t="str">
        <f>IFERROR(__xludf.DUMMYFUNCTION("GOOGLETRANSLATE(A4572, ""en"", ""mt"")"),"Huma ġew aċċettati u tħallew jaduraw liberament")</f>
        <v>Huma ġew aċċettati u tħallew jaduraw liberament</v>
      </c>
    </row>
    <row r="4573" ht="15.75" customHeight="1">
      <c r="A4573" s="2" t="s">
        <v>4573</v>
      </c>
      <c r="B4573" s="2" t="str">
        <f>IFERROR(__xludf.DUMMYFUNCTION("GOOGLETRANSLATE(A4573, ""en"", ""mt"")"),"X'tip ta 'ekonomija għandha Victoria?")</f>
        <v>X'tip ta 'ekonomija għandha Victoria?</v>
      </c>
    </row>
    <row r="4574" ht="15.75" customHeight="1">
      <c r="A4574" s="2" t="s">
        <v>4574</v>
      </c>
      <c r="B4574" s="2" t="str">
        <f>IFERROR(__xludf.DUMMYFUNCTION("GOOGLETRANSLATE(A4574, ""en"", ""mt"")"),"Kemm jagħti kont tal-pitrolju tal-kont tal-importazzjoni nazzjonali?")</f>
        <v>Kemm jagħti kont tal-pitrolju tal-kont tal-importazzjoni nazzjonali?</v>
      </c>
    </row>
    <row r="4575" ht="15.75" customHeight="1">
      <c r="A4575" s="2" t="s">
        <v>4575</v>
      </c>
      <c r="B4575" s="2" t="str">
        <f>IFERROR(__xludf.DUMMYFUNCTION("GOOGLETRANSLATE(A4575, ""en"", ""mt"")"),"Biex tenfasizza l-akkademiċi fuq l-atletika,")</f>
        <v>Biex tenfasizza l-akkademiċi fuq l-atletika,</v>
      </c>
    </row>
    <row r="4576" ht="15.75" customHeight="1">
      <c r="A4576" s="2" t="s">
        <v>4576</v>
      </c>
      <c r="B4576" s="2" t="str">
        <f>IFERROR(__xludf.DUMMYFUNCTION("GOOGLETRANSLATE(A4576, ""en"", ""mt"")"),"X'jista 'jikkonċentra l-ġid, jgħaddi l-ispejjeż ambjentali fuq is-soċjetà u jabbuża kemm lill-ħaddiema kif ukoll lill-konsumaturi?")</f>
        <v>X'jista 'jikkonċentra l-ġid, jgħaddi l-ispejjeż ambjentali fuq is-soċjetà u jabbuża kemm lill-ħaddiema kif ukoll lill-konsumaturi?</v>
      </c>
    </row>
    <row r="4577" ht="15.75" customHeight="1">
      <c r="A4577" s="2" t="s">
        <v>4577</v>
      </c>
      <c r="B4577" s="2" t="str">
        <f>IFERROR(__xludf.DUMMYFUNCTION("GOOGLETRANSLATE(A4577, ""en"", ""mt"")"),"sitt kloroplast membrani")</f>
        <v>sitt kloroplast membrani</v>
      </c>
    </row>
    <row r="4578" ht="15.75" customHeight="1">
      <c r="A4578" s="2" t="s">
        <v>4578</v>
      </c>
      <c r="B4578" s="2" t="str">
        <f>IFERROR(__xludf.DUMMYFUNCTION("GOOGLETRANSLATE(A4578, ""en"", ""mt"")"),"Mewt taċ-ċellula programmata")</f>
        <v>Mewt taċ-ċellula programmata</v>
      </c>
    </row>
    <row r="4579" ht="15.75" customHeight="1">
      <c r="A4579" s="2" t="s">
        <v>4579</v>
      </c>
      <c r="B4579" s="2" t="str">
        <f>IFERROR(__xludf.DUMMYFUNCTION("GOOGLETRANSLATE(A4579, ""en"", ""mt"")"),"Permezz ta 'kemm il-maniġment ta' Harvard naqqas l-azjendi tal-Afrika t'Isfel tagħha b'reazzjoni għall-pressjoni?")</f>
        <v>Permezz ta 'kemm il-maniġment ta' Harvard naqqas l-azjendi tal-Afrika t'Isfel tagħha b'reazzjoni għall-pressjoni?</v>
      </c>
    </row>
    <row r="4580" ht="15.75" customHeight="1">
      <c r="A4580" s="2" t="s">
        <v>4580</v>
      </c>
      <c r="B4580" s="2" t="str">
        <f>IFERROR(__xludf.DUMMYFUNCTION("GOOGLETRANSLATE(A4580, ""en"", ""mt"")"),"(ditti involuti fil-ġestjoni ta 'proġetti ta' kostruzzjoni mingħajr ma jassumu responsabbiltà finanzjarja diretta għat-tlestija tal-proġett ta 'kostruzzjoni)")</f>
        <v>(ditti involuti fil-ġestjoni ta 'proġetti ta' kostruzzjoni mingħajr ma jassumu responsabbiltà finanzjarja diretta għat-tlestija tal-proġett ta 'kostruzzjoni)</v>
      </c>
    </row>
    <row r="4581" ht="15.75" customHeight="1">
      <c r="A4581" s="2" t="s">
        <v>4581</v>
      </c>
      <c r="B4581" s="2" t="str">
        <f>IFERROR(__xludf.DUMMYFUNCTION("GOOGLETRANSLATE(A4581, ""en"", ""mt"")"),"X'kienet it-tieni tifsira ta 'kelma Ċiniża għal ""kwartieri""?")</f>
        <v>X'kienet it-tieni tifsira ta 'kelma Ċiniża għal "kwartieri"?</v>
      </c>
    </row>
    <row r="4582" ht="15.75" customHeight="1">
      <c r="A4582" s="2" t="s">
        <v>4582</v>
      </c>
      <c r="B4582" s="2" t="str">
        <f>IFERROR(__xludf.DUMMYFUNCTION("GOOGLETRANSLATE(A4582, ""en"", ""mt"")"),"Xi teħtieġ l-orjentazzjoni tal-konnessjoni")</f>
        <v>Xi teħtieġ l-orjentazzjoni tal-konnessjoni</v>
      </c>
    </row>
    <row r="4583" ht="15.75" customHeight="1">
      <c r="A4583" s="2" t="s">
        <v>4583</v>
      </c>
      <c r="B4583" s="2" t="str">
        <f>IFERROR(__xludf.DUMMYFUNCTION("GOOGLETRANSLATE(A4583, ""en"", ""mt"")"),"Is-sistema immunitarja adattiva evolviet fil-vertebrati bikrija u tippermetti rispons immuni aktar b'saħħtu kif ukoll memorja immunoloġika, fejn kull patoġen huwa ""mfakkar"" minn antiġen tal-firma. Ir-rispons immunitarju adattiv huwa speċifiku għall-anti"&amp;"ġen u jirrikjedi r-rikonoxximent ta 'antiġeni speċifiċi ""mhux self"" waqt proċess imsejjaħ preżentazzjoni ta' antiġen. L-ispeċifiċità tal-antiġen tippermetti l-ġenerazzjoni ta 'tweġibiet li huma mfassla għal patoġeni speċifiċi jew ċelloli infettati bil-p"&amp;"atoġeni. Il-kapaċità li jintramaw dawn ir-risponsi mfassla tinżamm fil-ġisem permezz ta '""ċelloli tal-memorja"". Jekk patoġen jinfetta l-ġisem aktar minn darba, dawn iċ-ċelloli tal-memorja speċifiċi jintużaw biex jeliminawh malajr.")</f>
        <v>Is-sistema immunitarja adattiva evolviet fil-vertebrati bikrija u tippermetti rispons immuni aktar b'saħħtu kif ukoll memorja immunoloġika, fejn kull patoġen huwa "mfakkar" minn antiġen tal-firma. Ir-rispons immunitarju adattiv huwa speċifiku għall-antiġen u jirrikjedi r-rikonoxximent ta 'antiġeni speċifiċi "mhux self" waqt proċess imsejjaħ preżentazzjoni ta' antiġen. L-ispeċifiċità tal-antiġen tippermetti l-ġenerazzjoni ta 'tweġibiet li huma mfassla għal patoġeni speċifiċi jew ċelloli infettati bil-patoġeni. Il-kapaċità li jintramaw dawn ir-risponsi mfassla tinżamm fil-ġisem permezz ta '"ċelloli tal-memorja". Jekk patoġen jinfetta l-ġisem aktar minn darba, dawn iċ-ċelloli tal-memorja speċifiċi jintużaw biex jeliminawh malajr.</v>
      </c>
    </row>
    <row r="4584" ht="15.75" customHeight="1">
      <c r="A4584" s="2" t="s">
        <v>4584</v>
      </c>
      <c r="B4584" s="2" t="str">
        <f>IFERROR(__xludf.DUMMYFUNCTION("GOOGLETRANSLATE(A4584, ""en"", ""mt"")"),"Tesla twieldet fl-10 ta ’Lulju [O.S. 28 ta 'Ġunju] 1856 Ġol-familja Serba fil-villaġġ ta' Smiljan, Imperu Awstrijak (il-Kroazja ta 'ġurnata moderna). Missieru, Milutin Tesla, kien saċerdot Ortodoss Serb. Omm Tesla, đuka Tesla (née Mandić), li missierha ki"&amp;"en ukoll saċerdot ortodoss,: 10 kellha talent biex tagħmel għodod tad-dar, apparat mekkaniku, u l-abbiltà li timmemorizza poeżiji epiċi Serbi. Đuka qatt ma rċieva edukazzjoni formali. Nikola kkredita l-memorja eidetika u l-abbiltajiet kreattivi tiegħu lil"&amp;"l-ġenetika u l-influwenza ta 'ommu. Il-proġenituri ta 'Tesla kienu mis-Serbja tal-Punent, ħdejn il-Montenegro.")</f>
        <v>Tesla twieldet fl-10 ta ’Lulju [O.S. 28 ta 'Ġunju] 1856 Ġol-familja Serba fil-villaġġ ta' Smiljan, Imperu Awstrijak (il-Kroazja ta 'ġurnata moderna). Missieru, Milutin Tesla, kien saċerdot Ortodoss Serb. Omm Tesla, đuka Tesla (née Mandić), li missierha kien ukoll saċerdot ortodoss,: 10 kellha talent biex tagħmel għodod tad-dar, apparat mekkaniku, u l-abbiltà li timmemorizza poeżiji epiċi Serbi. Đuka qatt ma rċieva edukazzjoni formali. Nikola kkredita l-memorja eidetika u l-abbiltajiet kreattivi tiegħu lill-ġenetika u l-influwenza ta 'ommu. Il-proġenituri ta 'Tesla kienu mis-Serbja tal-Punent, ħdejn il-Montenegro.</v>
      </c>
    </row>
    <row r="4585" ht="15.75" customHeight="1">
      <c r="A4585" s="2" t="s">
        <v>4585</v>
      </c>
      <c r="B4585" s="2" t="str">
        <f>IFERROR(__xludf.DUMMYFUNCTION("GOOGLETRANSLATE(A4585, ""en"", ""mt"")"),"Issottometti l-kastig")</f>
        <v>Issottometti l-kastig</v>
      </c>
    </row>
    <row r="4586" ht="15.75" customHeight="1">
      <c r="A4586" s="2" t="s">
        <v>4586</v>
      </c>
      <c r="B4586" s="2" t="str">
        <f>IFERROR(__xludf.DUMMYFUNCTION("GOOGLETRANSLATE(A4586, ""en"", ""mt"")"),"Kemm passiġġieri fis-sena jimmaniġġa l-ajruport ta 'Newcastle?")</f>
        <v>Kemm passiġġieri fis-sena jimmaniġġa l-ajruport ta 'Newcastle?</v>
      </c>
    </row>
    <row r="4587" ht="15.75" customHeight="1">
      <c r="A4587" s="2" t="s">
        <v>4587</v>
      </c>
      <c r="B4587" s="2" t="str">
        <f>IFERROR(__xludf.DUMMYFUNCTION("GOOGLETRANSLATE(A4587, ""en"", ""mt"")"),"Tiddefinixxi l-Lvant bħala viżjoni negattiva minnha nnifisha")</f>
        <v>Tiddefinixxi l-Lvant bħala viżjoni negattiva minnha nnifisha</v>
      </c>
    </row>
    <row r="4588" ht="15.75" customHeight="1">
      <c r="A4588" s="2" t="s">
        <v>4588</v>
      </c>
      <c r="B4588" s="2" t="str">
        <f>IFERROR(__xludf.DUMMYFUNCTION("GOOGLETRANSLATE(A4588, ""en"", ""mt"")"),"Ma 'Ma' Tesla sieħeb fl-1886?")</f>
        <v>Ma 'Ma' Tesla sieħeb fl-1886?</v>
      </c>
    </row>
    <row r="4589" ht="15.75" customHeight="1">
      <c r="A4589" s="2" t="s">
        <v>4589</v>
      </c>
      <c r="B4589" s="2" t="str">
        <f>IFERROR(__xludf.DUMMYFUNCTION("GOOGLETRANSLATE(A4589, ""en"", ""mt"")"),"L-imbuttatura kontra oġġett fuq wiċċ frizzjonali tista 'tirriżulta f'sitwazzjoni fejn l-oġġett ma jiċċaqlaqx minħabba li l-forza applikata hija opposta minn frizzjoni statika, iġġenerata bejn l-oġġett u l-wiċċ tal-mejda. Għal sitwazzjoni mingħajr moviment"&amp;", il-forza tal-frizzjoni statika tibbilanċja eżattament il-forza applikata li tirriżulta fl-ebda aċċelerazzjoni. Il-frizzjoni statika tiżdied jew tonqos b'reazzjoni għall-forza applikata sa limitu massimu determinat mill-karatteristiċi tal-kuntatt bejn il"&amp;"-wiċċ u l-oġġett.")</f>
        <v>L-imbuttatura kontra oġġett fuq wiċċ frizzjonali tista 'tirriżulta f'sitwazzjoni fejn l-oġġett ma jiċċaqlaqx minħabba li l-forza applikata hija opposta minn frizzjoni statika, iġġenerata bejn l-oġġett u l-wiċċ tal-mejda. Għal sitwazzjoni mingħajr moviment, il-forza tal-frizzjoni statika tibbilanċja eżattament il-forza applikata li tirriżulta fl-ebda aċċelerazzjoni. Il-frizzjoni statika tiżdied jew tonqos b'reazzjoni għall-forza applikata sa limitu massimu determinat mill-karatteristiċi tal-kuntatt bejn il-wiċċ u l-oġġett.</v>
      </c>
    </row>
    <row r="4590" ht="15.75" customHeight="1">
      <c r="A4590" s="2" t="s">
        <v>4590</v>
      </c>
      <c r="B4590" s="2" t="str">
        <f>IFERROR(__xludf.DUMMYFUNCTION("GOOGLETRANSLATE(A4590, ""en"", ""mt"")"),"illustrazzjoni tal-għaxar kmandamenti")</f>
        <v>illustrazzjoni tal-għaxar kmandamenti</v>
      </c>
    </row>
    <row r="4591" ht="15.75" customHeight="1">
      <c r="A4591" s="2" t="s">
        <v>4591</v>
      </c>
      <c r="B4591" s="2" t="str">
        <f>IFERROR(__xludf.DUMMYFUNCTION("GOOGLETRANSLATE(A4591, ""en"", ""mt"")"),"xmara")</f>
        <v>xmara</v>
      </c>
    </row>
    <row r="4592" ht="15.75" customHeight="1">
      <c r="A4592" s="2" t="s">
        <v>4592</v>
      </c>
      <c r="B4592" s="2" t="str">
        <f>IFERROR(__xludf.DUMMYFUNCTION("GOOGLETRANSLATE(A4592, ""en"", ""mt"")"),"kaskata katalitika")</f>
        <v>kaskata katalitika</v>
      </c>
    </row>
    <row r="4593" ht="15.75" customHeight="1">
      <c r="A4593" s="2" t="s">
        <v>4593</v>
      </c>
      <c r="B4593" s="2" t="str">
        <f>IFERROR(__xludf.DUMMYFUNCTION("GOOGLETRANSLATE(A4593, ""en"", ""mt"")"),"Palazz tal-Kultura u x-Xjenza")</f>
        <v>Palazz tal-Kultura u x-Xjenza</v>
      </c>
    </row>
    <row r="4594" ht="15.75" customHeight="1">
      <c r="A4594" s="2" t="s">
        <v>4594</v>
      </c>
      <c r="B4594" s="2" t="str">
        <f>IFERROR(__xludf.DUMMYFUNCTION("GOOGLETRANSLATE(A4594, ""en"", ""mt"")"),"L-Ajruport Internazzjonali ta ’Newcastle jinsab madwar 6 mili (9.7 km) miċ-ċentru tal-belt fil-periferija tat-tramuntana tal-belt qrib Ponteland u huwa l-akbar miż-żewġ ajruporti ewlenin li jservu l-Grigal. Huwa konness mal-belt permezz tas-sistema tal-fe"&amp;"rrovija ħafifa tal-metro u vjaġġ fiċ-ċentru tal-belt ta 'Newcastle jieħu madwar 20 minuta. L-ajruport jimmaniġġa aktar minn ħames miljun passiġġier fis-sena, u huwa l-għaxar l-akbar, u l-ajruport reġjonali li qed jikber bl-iktar mgħaġġel fir-Renju Unit, j"&amp;"istenna li jilħaq 10 miljun passiġġier sal-2016, u 15-il miljun sal-2030. Mill-2007 [aġġornament], aktar minn 90 Id-destinazzjonijiet huma disponibbli mad-dinja kollha.")</f>
        <v>L-Ajruport Internazzjonali ta ’Newcastle jinsab madwar 6 mili (9.7 km) miċ-ċentru tal-belt fil-periferija tat-tramuntana tal-belt qrib Ponteland u huwa l-akbar miż-żewġ ajruporti ewlenin li jservu l-Grigal. Huwa konness mal-belt permezz tas-sistema tal-ferrovija ħafifa tal-metro u vjaġġ fiċ-ċentru tal-belt ta 'Newcastle jieħu madwar 20 minuta. L-ajruport jimmaniġġa aktar minn ħames miljun passiġġier fis-sena, u huwa l-għaxar l-akbar, u l-ajruport reġjonali li qed jikber bl-iktar mgħaġġel fir-Renju Unit, jistenna li jilħaq 10 miljun passiġġier sal-2016, u 15-il miljun sal-2030. Mill-2007 [aġġornament], aktar minn 90 Id-destinazzjonijiet huma disponibbli mad-dinja kollha.</v>
      </c>
    </row>
    <row r="4595" ht="15.75" customHeight="1">
      <c r="A4595" s="2" t="s">
        <v>4595</v>
      </c>
      <c r="B4595" s="2" t="str">
        <f>IFERROR(__xludf.DUMMYFUNCTION("GOOGLETRANSLATE(A4595, ""en"", ""mt"")"),"il-magna atmosferika")</f>
        <v>il-magna atmosferika</v>
      </c>
    </row>
    <row r="4596" ht="15.75" customHeight="1">
      <c r="A4596" s="2" t="s">
        <v>4596</v>
      </c>
      <c r="B4596" s="2" t="str">
        <f>IFERROR(__xludf.DUMMYFUNCTION("GOOGLETRANSLATE(A4596, ""en"", ""mt"")"),"fotografiku")</f>
        <v>fotografiku</v>
      </c>
    </row>
    <row r="4597" ht="15.75" customHeight="1">
      <c r="A4597" s="2" t="s">
        <v>4597</v>
      </c>
      <c r="B4597" s="2" t="str">
        <f>IFERROR(__xludf.DUMMYFUNCTION("GOOGLETRANSLATE(A4597, ""en"", ""mt"")"),"ROTIFERS U MOLLUSC U LARVA CRUSTACEAN")</f>
        <v>ROTIFERS U MOLLUSC U LARVA CRUSTACEAN</v>
      </c>
    </row>
    <row r="4598" ht="15.75" customHeight="1">
      <c r="A4598" s="2" t="s">
        <v>4598</v>
      </c>
      <c r="B4598" s="2" t="str">
        <f>IFERROR(__xludf.DUMMYFUNCTION("GOOGLETRANSLATE(A4598, ""en"", ""mt"")"),"Minkejja n-nuqqas ta ’qbil fuq l-Ewkaristija, il-Colloquy ta’ Marburg witta t-triq għall-iffirmar fl-1530 tal-Qrar ta ’Augsburg, u għall-formazzjoni tal-Lega Schmalkaldika s-sena ta’ wara billi twassal lil Nobles Protestanti bħal John of Sassony, Philip o"&amp;"f Hesse, u George , Margrave ta 'Brandenburg-Ansbach. Il-bliet Żvizzeri, madankollu, ma ffirmawx dawn il-ftehimiet.")</f>
        <v>Minkejja n-nuqqas ta ’qbil fuq l-Ewkaristija, il-Colloquy ta’ Marburg witta t-triq għall-iffirmar fl-1530 tal-Qrar ta ’Augsburg, u għall-formazzjoni tal-Lega Schmalkaldika s-sena ta’ wara billi twassal lil Nobles Protestanti bħal John of Sassony, Philip of Hesse, u George , Margrave ta 'Brandenburg-Ansbach. Il-bliet Żvizzeri, madankollu, ma ffirmawx dawn il-ftehimiet.</v>
      </c>
    </row>
    <row r="4599" ht="15.75" customHeight="1">
      <c r="A4599" s="2" t="s">
        <v>4599</v>
      </c>
      <c r="B4599" s="2" t="str">
        <f>IFERROR(__xludf.DUMMYFUNCTION("GOOGLETRANSLATE(A4599, ""en"", ""mt"")"),"Fejn tinsab l-ewwel reazzjoni nukleari magħmula minnha nnifisha magħmula mill-bniedem?")</f>
        <v>Fejn tinsab l-ewwel reazzjoni nukleari magħmula minnha nnifisha magħmula mill-bniedem?</v>
      </c>
    </row>
    <row r="4600" ht="15.75" customHeight="1">
      <c r="A4600" s="2" t="s">
        <v>4600</v>
      </c>
      <c r="B4600" s="2" t="str">
        <f>IFERROR(__xludf.DUMMYFUNCTION("GOOGLETRANSLATE(A4600, ""en"", ""mt"")"),"Ħalib tas-sider jew kolostru")</f>
        <v>Ħalib tas-sider jew kolostru</v>
      </c>
    </row>
    <row r="4601" ht="15.75" customHeight="1">
      <c r="A4601" s="2" t="s">
        <v>4601</v>
      </c>
      <c r="B4601" s="2" t="str">
        <f>IFERROR(__xludf.DUMMYFUNCTION("GOOGLETRANSLATE(A4601, ""en"", ""mt"")"),"Liema molekuli huma partijiet tal-ġisem ta 'organiżmu fl-immunoloġija?")</f>
        <v>Liema molekuli huma partijiet tal-ġisem ta 'organiżmu fl-immunoloġija?</v>
      </c>
    </row>
    <row r="4602" ht="15.75" customHeight="1">
      <c r="A4602" s="2" t="s">
        <v>4602</v>
      </c>
      <c r="B4602" s="2" t="str">
        <f>IFERROR(__xludf.DUMMYFUNCTION("GOOGLETRANSLATE(A4602, ""en"", ""mt"")"),"Id-Diviżjoni tad-Divertiment")</f>
        <v>Id-Diviżjoni tad-Divertiment</v>
      </c>
    </row>
    <row r="4603" ht="15.75" customHeight="1">
      <c r="A4603" s="2" t="s">
        <v>4603</v>
      </c>
      <c r="B4603" s="2" t="str">
        <f>IFERROR(__xludf.DUMMYFUNCTION("GOOGLETRANSLATE(A4603, ""en"", ""mt"")"),"Liema żewġ plejers ta 'Denver ikklassifikaw b'5 fil-mija għal xkejjer?")</f>
        <v>Liema żewġ plejers ta 'Denver ikklassifikaw b'5 fil-mija għal xkejjer?</v>
      </c>
    </row>
    <row r="4604" ht="15.75" customHeight="1">
      <c r="A4604" s="2" t="s">
        <v>4604</v>
      </c>
      <c r="B4604" s="2" t="str">
        <f>IFERROR(__xludf.DUMMYFUNCTION("GOOGLETRANSLATE(A4604, ""en"", ""mt"")"),"Kemm hemm nies l-akbar żona ta 'Los Angeles?")</f>
        <v>Kemm hemm nies l-akbar żona ta 'Los Angeles?</v>
      </c>
    </row>
    <row r="4605" ht="15.75" customHeight="1">
      <c r="A4605" s="2" t="s">
        <v>4605</v>
      </c>
      <c r="B4605" s="2" t="str">
        <f>IFERROR(__xludf.DUMMYFUNCTION("GOOGLETRANSLATE(A4605, ""en"", ""mt"")"),"1970")</f>
        <v>1970</v>
      </c>
    </row>
    <row r="4606" ht="15.75" customHeight="1">
      <c r="A4606" s="2" t="s">
        <v>4606</v>
      </c>
      <c r="B4606" s="2" t="str">
        <f>IFERROR(__xludf.DUMMYFUNCTION("GOOGLETRANSLATE(A4606, ""en"", ""mt"")"),"23 ta ’Novembru 1963")</f>
        <v>23 ta ’Novembru 1963</v>
      </c>
    </row>
    <row r="4607" ht="15.75" customHeight="1">
      <c r="A4607" s="2" t="s">
        <v>4607</v>
      </c>
      <c r="B4607" s="2" t="str">
        <f>IFERROR(__xludf.DUMMYFUNCTION("GOOGLETRANSLATE(A4607, ""en"", ""mt"")"),"Immunità adattiva (jew akkwistata)")</f>
        <v>Immunità adattiva (jew akkwistata)</v>
      </c>
    </row>
    <row r="4608" ht="15.75" customHeight="1">
      <c r="A4608" s="2" t="s">
        <v>4608</v>
      </c>
      <c r="B4608" s="2" t="str">
        <f>IFERROR(__xludf.DUMMYFUNCTION("GOOGLETRANSLATE(A4608, ""en"", ""mt"")"),"Deskrizzjoni tal-arkivju kkodifikata")</f>
        <v>Deskrizzjoni tal-arkivju kkodifikata</v>
      </c>
    </row>
    <row r="4609" ht="15.75" customHeight="1">
      <c r="A4609" s="2" t="s">
        <v>4609</v>
      </c>
      <c r="B4609" s="2" t="str">
        <f>IFERROR(__xludf.DUMMYFUNCTION("GOOGLETRANSLATE(A4609, ""en"", ""mt"")"),"Mhux biss il-periti Brittaniċi ewlenin kollha tal-aħħar erba 'mitt sena huma rappreżentati, iżda ħafna tpinġijiet Ewropej (speċjalment Taljani) u tal-periti Amerikani huma miżmuma fil-kollezzjoni. L-azjendi ta 'RIBA ta' aktar minn 330 tpinġija minn Andrea"&amp;" Palladio huma l-ikbar fid-dinja, Ewropej oħra rappreżentati sew huma Jacques Gentilhatre u Antonio Visentini. Periti Brittaniċi li t-tpinġijiet tagħhom, u f'xi każijiet mudelli tal-bini tagħhom, fil-kollezzjoni, jinkludu: Inigo Jones, Sir Christopher Wre"&amp;"n, Sir John Vanbrugh, Nicholas Hawksmoor, William Kent, James Gibbs, Robert Adam, Sir William Chambers, James Wyatt, Henry Holland, John Nash, Sir John Soane, Sir Charles Barry, Charles Robert Cockerell, Augustus Welby Northmore Pugin, Sir George Gilbert "&amp;"Scott, John Loughborough Pearson, Triq George Edmund, Richard Norman Shaw, Alfred Waterhouse, Sir Edwin Lutyens, Charles Rennie Mackintosh , Charles Holden, Frank Hoar, Lord Richard Rogers, Lord Norman Foster, Sir Nicholas Grimshaw, Zaha Hadid u Alick Hor"&amp;"snell.")</f>
        <v>Mhux biss il-periti Brittaniċi ewlenin kollha tal-aħħar erba 'mitt sena huma rappreżentati, iżda ħafna tpinġijiet Ewropej (speċjalment Taljani) u tal-periti Amerikani huma miżmuma fil-kollezzjoni. L-azjendi ta 'RIBA ta' aktar minn 330 tpinġija minn Andrea Palladio huma l-ikbar fid-dinja, Ewropej oħra rappreżentati sew huma Jacques Gentilhatre u Antonio Visentini. Periti Brittaniċi li t-tpinġijiet tagħhom, u f'xi każijiet mudelli tal-bini tagħhom, fil-kollezzjoni, jinkludu: Inigo Jones, Sir Christopher Wren, Sir John Vanbrugh, Nicholas Hawksmoor, William Kent, James Gibbs, Robert Adam, Sir William Chambers, James Wyatt, Henry Holland, John Nash, Sir John Soane, Sir Charles Barry, Charles Robert Cockerell, Augustus Welby Northmore Pugin, Sir George Gilbert Scott, John Loughborough Pearson, Triq George Edmund, Richard Norman Shaw, Alfred Waterhouse, Sir Edwin Lutyens, Charles Rennie Mackintosh , Charles Holden, Frank Hoar, Lord Richard Rogers, Lord Norman Foster, Sir Nicholas Grimshaw, Zaha Hadid u Alick Horsnell.</v>
      </c>
    </row>
    <row r="4610" ht="15.75" customHeight="1">
      <c r="A4610" s="2" t="s">
        <v>4610</v>
      </c>
      <c r="B4610" s="2" t="str">
        <f>IFERROR(__xludf.DUMMYFUNCTION("GOOGLETRANSLATE(A4610, ""en"", ""mt"")"),"karozzi")</f>
        <v>karozzi</v>
      </c>
    </row>
    <row r="4611" ht="15.75" customHeight="1">
      <c r="A4611" s="2" t="s">
        <v>4611</v>
      </c>
      <c r="B4611" s="2" t="str">
        <f>IFERROR(__xludf.DUMMYFUNCTION("GOOGLETRANSLATE(A4611, ""en"", ""mt"")"),"Kartelli tal-Art")</f>
        <v>Kartelli tal-Art</v>
      </c>
    </row>
    <row r="4612" ht="15.75" customHeight="1">
      <c r="A4612" s="2" t="s">
        <v>4612</v>
      </c>
      <c r="B4612" s="2" t="str">
        <f>IFERROR(__xludf.DUMMYFUNCTION("GOOGLETRANSLATE(A4612, ""en"", ""mt"")"),"Għal dak li Martin Luther iddedika l-attenzjoni kollha tiegħu?")</f>
        <v>Għal dak li Martin Luther iddedika l-attenzjoni kollha tiegħu?</v>
      </c>
    </row>
    <row r="4613" ht="15.75" customHeight="1">
      <c r="A4613" s="2" t="s">
        <v>4613</v>
      </c>
      <c r="B4613" s="2" t="str">
        <f>IFERROR(__xludf.DUMMYFUNCTION("GOOGLETRANSLATE(A4613, ""en"", ""mt"")"),"Lvant Nofsani.")</f>
        <v>Lvant Nofsani.</v>
      </c>
    </row>
    <row r="4614" ht="15.75" customHeight="1">
      <c r="A4614" s="2" t="s">
        <v>4614</v>
      </c>
      <c r="B4614" s="2" t="str">
        <f>IFERROR(__xludf.DUMMYFUNCTION("GOOGLETRANSLATE(A4614, ""en"", ""mt"")"),"Probabilistiku (jew ""Monte Carlo"")")</f>
        <v>Probabilistiku (jew "Monte Carlo")</v>
      </c>
    </row>
    <row r="4615" ht="15.75" customHeight="1">
      <c r="A4615" s="2" t="s">
        <v>4615</v>
      </c>
      <c r="B4615" s="2" t="str">
        <f>IFERROR(__xludf.DUMMYFUNCTION("GOOGLETRANSLATE(A4615, ""en"", ""mt"")"),"L-Iskola tan-Negozju ta 'Harvard u ħafna mill-faċilitajiet tal-atletika tal-università, inkluż Harvard Stadium, jinsabu fuq kampus ta' 358-acre (145 ha) faċċata tal-kampus ta 'Cambridge f'Allston. Il-Pont John W. Weeks huwa pont pedonali fuq ix-Xmara Char"&amp;"les li jgħaqqad iż-żewġ kampus. L-Iskola Medika ta 'Harvard, l-Iskola ta' Harvard tal-Mediċina Dentali, u l-Iskola tas-Saħħa Pubblika ta 'Harvard jinsabu fuq kampus ta' 21-acre (8.5 ha) fiż-żona medika u akkademika ta 'Longwood madwar 3.3 mili (5.3 km) fi"&amp;"l-Lbiċ ta' Downtown Boston u 3.3 Miles (5.3 km) fin-nofsinhar tal-kampus ta ’Cambridge.")</f>
        <v>L-Iskola tan-Negozju ta 'Harvard u ħafna mill-faċilitajiet tal-atletika tal-università, inkluż Harvard Stadium, jinsabu fuq kampus ta' 358-acre (145 ha) faċċata tal-kampus ta 'Cambridge f'Allston. Il-Pont John W. Weeks huwa pont pedonali fuq ix-Xmara Charles li jgħaqqad iż-żewġ kampus. L-Iskola Medika ta 'Harvard, l-Iskola ta' Harvard tal-Mediċina Dentali, u l-Iskola tas-Saħħa Pubblika ta 'Harvard jinsabu fuq kampus ta' 21-acre (8.5 ha) fiż-żona medika u akkademika ta 'Longwood madwar 3.3 mili (5.3 km) fil-Lbiċ ta' Downtown Boston u 3.3 Miles (5.3 km) fin-nofsinhar tal-kampus ta ’Cambridge.</v>
      </c>
    </row>
    <row r="4616" ht="15.75" customHeight="1">
      <c r="A4616" s="2" t="s">
        <v>4616</v>
      </c>
      <c r="B4616" s="2" t="str">
        <f>IFERROR(__xludf.DUMMYFUNCTION("GOOGLETRANSLATE(A4616, ""en"", ""mt"")"),"rinnovazzjonijiet żgħar")</f>
        <v>rinnovazzjonijiet żgħar</v>
      </c>
    </row>
    <row r="4617" ht="15.75" customHeight="1">
      <c r="A4617" s="2" t="s">
        <v>4617</v>
      </c>
      <c r="B4617" s="2" t="str">
        <f>IFERROR(__xludf.DUMMYFUNCTION("GOOGLETRANSLATE(A4617, ""en"", ""mt"")"),"F'każijiet fejn l-imġieba kriminalizzata hija diskors pur, id-diżubbidjenza ċivili tista 'tikkonsisti sempliċement f'involvi fid-diskors projbit. Eżempju jkun li l-WBAI qed ixandar il-korsa ""Kliem filthy"" minn album tal-kummiedja ta 'George Carlin, li e"&amp;"ventwalment wassal għall-każ tal-Qorti Suprema tal-1978 tal-Fondazzjoni FCC v. Pacifica. L-uffiċjali tal-gvern li jheddu huwa mod klassiku ieħor kif jesprimi sfida lejn il-gvern u n-nuqqas ta 'rieda li joqgħod għall-politiki tiegħu. Pereżempju, Joseph Haa"&amp;"s ġie arrestat talli allegatament bagħat imejl lill-Libanu, il-kunsilliera tal-belt ta 'New Hampshire li jiddikjaraw, ""Wise Up jew Die.""")</f>
        <v>F'każijiet fejn l-imġieba kriminalizzata hija diskors pur, id-diżubbidjenza ċivili tista 'tikkonsisti sempliċement f'involvi fid-diskors projbit. Eżempju jkun li l-WBAI qed ixandar il-korsa "Kliem filthy" minn album tal-kummiedja ta 'George Carlin, li eventwalment wassal għall-każ tal-Qorti Suprema tal-1978 tal-Fondazzjoni FCC v. Pacifica. L-uffiċjali tal-gvern li jheddu huwa mod klassiku ieħor kif jesprimi sfida lejn il-gvern u n-nuqqas ta 'rieda li joqgħod għall-politiki tiegħu. Pereżempju, Joseph Haas ġie arrestat talli allegatament bagħat imejl lill-Libanu, il-kunsilliera tal-belt ta 'New Hampshire li jiddikjaraw, "Wise Up jew Die."</v>
      </c>
    </row>
    <row r="4618" ht="15.75" customHeight="1">
      <c r="A4618" s="2" t="s">
        <v>4618</v>
      </c>
      <c r="B4618" s="2" t="str">
        <f>IFERROR(__xludf.DUMMYFUNCTION("GOOGLETRANSLATE(A4618, ""en"", ""mt"")"),"American_broadcasting_company")</f>
        <v>American_broadcasting_company</v>
      </c>
    </row>
    <row r="4619" ht="15.75" customHeight="1">
      <c r="A4619" s="2" t="s">
        <v>4619</v>
      </c>
      <c r="B4619" s="2" t="str">
        <f>IFERROR(__xludf.DUMMYFUNCTION("GOOGLETRANSLATE(A4619, ""en"", ""mt"")"),"In-newtrofili u l-makrofaġi huma fagoċiti li jivvjaġġaw mal-ġisem kollu fit-tfittxija ta 'patoġeni li jinvadu. In-newtrofili normalment jinstabu fin-nixxiegħa tad-demm u huma l-iktar tip abbundanti ta 'fagoċiti, li normalment jirrappreżentaw 50% sa 60% ta"&amp;"l-lewkoċiti totali li jiċċirkolaw. Matul il-fażi akuta ta 'infjammazzjoni, partikolarment bħala riżultat ta' infezzjoni batterika, in-newtrofili jemigraw lejn is-sit ta 'infjammazzjoni fi proċess imsejjaħ chemotaxis, u ġeneralment huma l-ewwel ċelloli li "&amp;"jaslu fix-xena ta' infezzjoni. Il-makrofaġi huma ċelloli versatili li joqogħdu fit-tessuti u jipproduċu firxa wiesgħa ta 'kimiċi inklużi enzimi, proteini li jikkumplimentaw, u fatturi regolatorji bħal interleukin 1. Il-makrofaġi jaġixxu wkoll bħala kennie"&amp;"sa, jeħilsu l-ġisem ta' ċelloli li jintlibsu u debris ieħor, u bħala antigen, u bħala antigen Iċ-ċelloli li jippreżentaw li jattivaw is-sistema immuni adatta.")</f>
        <v>In-newtrofili u l-makrofaġi huma fagoċiti li jivvjaġġaw mal-ġisem kollu fit-tfittxija ta 'patoġeni li jinvadu. In-newtrofili normalment jinstabu fin-nixxiegħa tad-demm u huma l-iktar tip abbundanti ta 'fagoċiti, li normalment jirrappreżentaw 50% sa 60% tal-lewkoċiti totali li jiċċirkolaw. Matul il-fażi akuta ta 'infjammazzjoni, partikolarment bħala riżultat ta' infezzjoni batterika, in-newtrofili jemigraw lejn is-sit ta 'infjammazzjoni fi proċess imsejjaħ chemotaxis, u ġeneralment huma l-ewwel ċelloli li jaslu fix-xena ta' infezzjoni. Il-makrofaġi huma ċelloli versatili li joqogħdu fit-tessuti u jipproduċu firxa wiesgħa ta 'kimiċi inklużi enzimi, proteini li jikkumplimentaw, u fatturi regolatorji bħal interleukin 1. Il-makrofaġi jaġixxu wkoll bħala kenniesa, jeħilsu l-ġisem ta' ċelloli li jintlibsu u debris ieħor, u bħala antigen, u bħala antigen Iċ-ċelloli li jippreżentaw li jattivaw is-sistema immuni adatta.</v>
      </c>
    </row>
    <row r="4620" ht="15.75" customHeight="1">
      <c r="A4620" s="2" t="s">
        <v>4620</v>
      </c>
      <c r="B4620" s="2" t="str">
        <f>IFERROR(__xludf.DUMMYFUNCTION("GOOGLETRANSLATE(A4620, ""en"", ""mt"")"),"Min jieħu deċiżjonijiet bejn il-laqgħat ta 'erba' snin?")</f>
        <v>Min jieħu deċiżjonijiet bejn il-laqgħat ta 'erba' snin?</v>
      </c>
    </row>
    <row r="4621" ht="15.75" customHeight="1">
      <c r="A4621" s="2" t="s">
        <v>4621</v>
      </c>
      <c r="B4621" s="2" t="str">
        <f>IFERROR(__xludf.DUMMYFUNCTION("GOOGLETRANSLATE(A4621, ""en"", ""mt"")"),"Ċentru tal-Assemblea")</f>
        <v>Ċentru tal-Assemblea</v>
      </c>
    </row>
    <row r="4622" ht="15.75" customHeight="1">
      <c r="A4622" s="2" t="s">
        <v>4622</v>
      </c>
      <c r="B4622" s="2" t="str">
        <f>IFERROR(__xludf.DUMMYFUNCTION("GOOGLETRANSLATE(A4622, ""en"", ""mt"")"),"ftit hafna")</f>
        <v>ftit hafna</v>
      </c>
    </row>
    <row r="4623" ht="15.75" customHeight="1">
      <c r="A4623" s="2" t="s">
        <v>4623</v>
      </c>
      <c r="B4623" s="2" t="str">
        <f>IFERROR(__xludf.DUMMYFUNCTION("GOOGLETRANSLATE(A4623, ""en"", ""mt"")"),"l-ispirall")</f>
        <v>l-ispirall</v>
      </c>
    </row>
    <row r="4624" ht="15.75" customHeight="1">
      <c r="A4624" s="2" t="s">
        <v>4624</v>
      </c>
      <c r="B4624" s="2" t="str">
        <f>IFERROR(__xludf.DUMMYFUNCTION("GOOGLETRANSLATE(A4624, ""en"", ""mt"")"),"Wirt Ingliż.")</f>
        <v>Wirt Ingliż.</v>
      </c>
    </row>
    <row r="4625" ht="15.75" customHeight="1">
      <c r="A4625" s="2" t="s">
        <v>4625</v>
      </c>
      <c r="B4625" s="2" t="str">
        <f>IFERROR(__xludf.DUMMYFUNCTION("GOOGLETRANSLATE(A4625, ""en"", ""mt"")"),"Toroq Fresno u B")</f>
        <v>Toroq Fresno u B</v>
      </c>
    </row>
    <row r="4626" ht="15.75" customHeight="1">
      <c r="A4626" s="2" t="s">
        <v>4626</v>
      </c>
      <c r="B4626" s="2" t="str">
        <f>IFERROR(__xludf.DUMMYFUNCTION("GOOGLETRANSLATE(A4626, ""en"", ""mt"")"),"Meta xi speċi, inklużi Bathyctena chuni, Euplokamis Stations u Eurhamphaea vexilligera, huma mfixkla, huma jipproduċu sekrezzjonijiet (linka) li luminesce bl-istess tulijiet ta 'mewġ bħall-korpi tagħhom. Il-minorenni se jegħleb aktar jgħajjat ​​fir-rigwar"&amp;"d tad-daqs tal-ġisem tagħhom mill-adulti, li l-luminixxenza tagħhom hija mxerrda fuq ġisimhom. Investigazzjoni statistika dettaljata ma ssuġġerietx il-funzjoni tal-bijoluminesċenza ta 'Ctenophores u lanqas ipproduċiet korrelazzjoni bejn il-kulur eżatt tag"&amp;"ħha u kwalunkwe aspett tal-ambjenti tal-annimali, bħal fond jew jekk jgħixux fl-ilmijiet kostali jew f'nofs l-oċean.")</f>
        <v>Meta xi speċi, inklużi Bathyctena chuni, Euplokamis Stations u Eurhamphaea vexilligera, huma mfixkla, huma jipproduċu sekrezzjonijiet (linka) li luminesce bl-istess tulijiet ta 'mewġ bħall-korpi tagħhom. Il-minorenni se jegħleb aktar jgħajjat ​​fir-rigward tad-daqs tal-ġisem tagħhom mill-adulti, li l-luminixxenza tagħhom hija mxerrda fuq ġisimhom. Investigazzjoni statistika dettaljata ma ssuġġerietx il-funzjoni tal-bijoluminesċenza ta 'Ctenophores u lanqas ipproduċiet korrelazzjoni bejn il-kulur eżatt tagħha u kwalunkwe aspett tal-ambjenti tal-annimali, bħal fond jew jekk jgħixux fl-ilmijiet kostali jew f'nofs l-oċean.</v>
      </c>
    </row>
    <row r="4627" ht="15.75" customHeight="1">
      <c r="A4627" s="2" t="s">
        <v>4627</v>
      </c>
      <c r="B4627" s="2" t="str">
        <f>IFERROR(__xludf.DUMMYFUNCTION("GOOGLETRANSLATE(A4627, ""en"", ""mt"")"),"Sistema 8–4–4")</f>
        <v>Sistema 8–4–4</v>
      </c>
    </row>
    <row r="4628" ht="15.75" customHeight="1">
      <c r="A4628" s="2" t="s">
        <v>4628</v>
      </c>
      <c r="B4628" s="2" t="str">
        <f>IFERROR(__xludf.DUMMYFUNCTION("GOOGLETRANSLATE(A4628, ""en"", ""mt"")"),"Liema tim rebaħ Super Bowl 50.")</f>
        <v>Liema tim rebaħ Super Bowl 50.</v>
      </c>
    </row>
    <row r="4629" ht="15.75" customHeight="1">
      <c r="A4629" s="2" t="s">
        <v>4629</v>
      </c>
      <c r="B4629" s="2" t="str">
        <f>IFERROR(__xludf.DUMMYFUNCTION("GOOGLETRANSLATE(A4629, ""en"", ""mt"")"),"Perjodu Paleolitiku aktar baxx")</f>
        <v>Perjodu Paleolitiku aktar baxx</v>
      </c>
    </row>
    <row r="4630" ht="15.75" customHeight="1">
      <c r="A4630" s="2" t="s">
        <v>4630</v>
      </c>
      <c r="B4630" s="2" t="str">
        <f>IFERROR(__xludf.DUMMYFUNCTION("GOOGLETRANSLATE(A4630, ""en"", ""mt"")"),"madwar terz.")</f>
        <v>madwar terz.</v>
      </c>
    </row>
    <row r="4631" ht="15.75" customHeight="1">
      <c r="A4631" s="2" t="s">
        <v>4631</v>
      </c>
      <c r="B4631" s="2" t="str">
        <f>IFERROR(__xludf.DUMMYFUNCTION("GOOGLETRANSLATE(A4631, ""en"", ""mt"")"),"semantika")</f>
        <v>semantika</v>
      </c>
    </row>
    <row r="4632" ht="15.75" customHeight="1">
      <c r="A4632" s="2" t="s">
        <v>4632</v>
      </c>
      <c r="B4632" s="2" t="str">
        <f>IFERROR(__xludf.DUMMYFUNCTION("GOOGLETRANSLATE(A4632, ""en"", ""mt"")"),"Disperazzjoni spiritwali profonda")</f>
        <v>Disperazzjoni spiritwali profonda</v>
      </c>
    </row>
    <row r="4633" ht="15.75" customHeight="1">
      <c r="A4633" s="2" t="s">
        <v>4633</v>
      </c>
      <c r="B4633" s="2" t="str">
        <f>IFERROR(__xludf.DUMMYFUNCTION("GOOGLETRANSLATE(A4633, ""en"", ""mt"")"),"Mapep tas-seklu dsatax")</f>
        <v>Mapep tas-seklu dsatax</v>
      </c>
    </row>
    <row r="4634" ht="15.75" customHeight="1">
      <c r="A4634" s="2" t="s">
        <v>4634</v>
      </c>
      <c r="B4634" s="2" t="str">
        <f>IFERROR(__xludf.DUMMYFUNCTION("GOOGLETRANSLATE(A4634, ""en"", ""mt"")"),"Fl-1517 min kien l-isqof ta 'Luther?")</f>
        <v>Fl-1517 min kien l-isqof ta 'Luther?</v>
      </c>
    </row>
    <row r="4635" ht="15.75" customHeight="1">
      <c r="A4635" s="2" t="s">
        <v>4635</v>
      </c>
      <c r="B4635" s="2" t="str">
        <f>IFERROR(__xludf.DUMMYFUNCTION("GOOGLETRANSLATE(A4635, ""en"", ""mt"")"),"id-daqs tal-istanza")</f>
        <v>id-daqs tal-istanza</v>
      </c>
    </row>
    <row r="4636" ht="15.75" customHeight="1">
      <c r="A4636" s="2" t="s">
        <v>4636</v>
      </c>
      <c r="B4636" s="2" t="str">
        <f>IFERROR(__xludf.DUMMYFUNCTION("GOOGLETRANSLATE(A4636, ""en"", ""mt"")"),"Liema pożizzjoni kellha Tesla fl-Uffiċċju Ċentrali tat-Telegrafu?")</f>
        <v>Liema pożizzjoni kellha Tesla fl-Uffiċċju Ċentrali tat-Telegrafu?</v>
      </c>
    </row>
    <row r="4637" ht="15.75" customHeight="1">
      <c r="A4637" s="2" t="s">
        <v>4637</v>
      </c>
      <c r="B4637" s="2" t="str">
        <f>IFERROR(__xludf.DUMMYFUNCTION("GOOGLETRANSLATE(A4637, ""en"", ""mt"")"),"Rankine Cycle")</f>
        <v>Rankine Cycle</v>
      </c>
    </row>
    <row r="4638" ht="15.75" customHeight="1">
      <c r="A4638" s="2" t="s">
        <v>4638</v>
      </c>
      <c r="B4638" s="2" t="str">
        <f>IFERROR(__xludf.DUMMYFUNCTION("GOOGLETRANSLATE(A4638, ""en"", ""mt"")"),"X’kien jidher iż-żwieġ ta ’Luther bħala minn oħrajn?")</f>
        <v>X’kien jidher iż-żwieġ ta ’Luther bħala minn oħrajn?</v>
      </c>
    </row>
    <row r="4639" ht="15.75" customHeight="1">
      <c r="A4639" s="2" t="s">
        <v>4639</v>
      </c>
      <c r="B4639" s="2" t="str">
        <f>IFERROR(__xludf.DUMMYFUNCTION("GOOGLETRANSLATE(A4639, ""en"", ""mt"")"),"riċerka")</f>
        <v>riċerka</v>
      </c>
    </row>
    <row r="4640" ht="15.75" customHeight="1">
      <c r="A4640" s="2" t="s">
        <v>4640</v>
      </c>
      <c r="B4640" s="2" t="str">
        <f>IFERROR(__xludf.DUMMYFUNCTION("GOOGLETRANSLATE(A4640, ""en"", ""mt"")"),"X’għamel negozjant greedy lill-sirena?")</f>
        <v>X’għamel negozjant greedy lill-sirena?</v>
      </c>
    </row>
    <row r="4641" ht="15.75" customHeight="1">
      <c r="A4641" s="2" t="s">
        <v>4641</v>
      </c>
      <c r="B4641" s="2" t="str">
        <f>IFERROR(__xludf.DUMMYFUNCTION("GOOGLETRANSLATE(A4641, ""en"", ""mt"")"),"Jacksonville beda jsofri u jonqos wara liema avveniment dinji ewlieni?")</f>
        <v>Jacksonville beda jsofri u jonqos wara liema avveniment dinji ewlieni?</v>
      </c>
    </row>
    <row r="4642" ht="15.75" customHeight="1">
      <c r="A4642" s="2" t="s">
        <v>4642</v>
      </c>
      <c r="B4642" s="2" t="str">
        <f>IFERROR(__xludf.DUMMYFUNCTION("GOOGLETRANSLATE(A4642, ""en"", ""mt"")"),"il-ħdax")</f>
        <v>il-ħdax</v>
      </c>
    </row>
    <row r="4643" ht="15.75" customHeight="1">
      <c r="A4643" s="2" t="s">
        <v>4643</v>
      </c>
      <c r="B4643" s="2" t="str">
        <f>IFERROR(__xludf.DUMMYFUNCTION("GOOGLETRANSLATE(A4643, ""en"", ""mt"")"),"Min ikkritika l-ordni minn spiżeriji onlajn li ma jeħtiġux preskrizzjonijiet?")</f>
        <v>Min ikkritika l-ordni minn spiżeriji onlajn li ma jeħtiġux preskrizzjonijiet?</v>
      </c>
    </row>
    <row r="4644" ht="15.75" customHeight="1">
      <c r="A4644" s="2" t="s">
        <v>4644</v>
      </c>
      <c r="B4644" s="2" t="str">
        <f>IFERROR(__xludf.DUMMYFUNCTION("GOOGLETRANSLATE(A4644, ""en"", ""mt"")"),"Gvernaturi tal-Afrika tal-Lvant Brittanika (kif kien ġeneralment magħruf il-protettorat) u l-Afrika tal-Lvant Ġermaniża")</f>
        <v>Gvernaturi tal-Afrika tal-Lvant Brittanika (kif kien ġeneralment magħruf il-protettorat) u l-Afrika tal-Lvant Ġermaniża</v>
      </c>
    </row>
    <row r="4645" ht="15.75" customHeight="1">
      <c r="A4645" s="2" t="s">
        <v>4645</v>
      </c>
      <c r="B4645" s="2" t="str">
        <f>IFERROR(__xludf.DUMMYFUNCTION("GOOGLETRANSLATE(A4645, ""en"", ""mt"")"),"Il-kleru ġeneralment iservi bħala dak fil-kongregazzjonijiet lokali?")</f>
        <v>Il-kleru ġeneralment iservi bħala dak fil-kongregazzjonijiet lokali?</v>
      </c>
    </row>
    <row r="4646" ht="15.75" customHeight="1">
      <c r="A4646" s="2" t="s">
        <v>4646</v>
      </c>
      <c r="B4646" s="2" t="str">
        <f>IFERROR(__xludf.DUMMYFUNCTION("GOOGLETRANSLATE(A4646, ""en"", ""mt"")"),"X’inbidel id-Delta tar-Rhine?")</f>
        <v>X’inbidel id-Delta tar-Rhine?</v>
      </c>
    </row>
    <row r="4647" ht="15.75" customHeight="1">
      <c r="A4647" s="2" t="s">
        <v>4647</v>
      </c>
      <c r="B4647" s="2" t="str">
        <f>IFERROR(__xludf.DUMMYFUNCTION("GOOGLETRANSLATE(A4647, ""en"", ""mt"")"),"bżieżaq sferiċi")</f>
        <v>bżieżaq sferiċi</v>
      </c>
    </row>
    <row r="4648" ht="15.75" customHeight="1">
      <c r="A4648" s="2" t="s">
        <v>4648</v>
      </c>
      <c r="B4648" s="2" t="str">
        <f>IFERROR(__xludf.DUMMYFUNCTION("GOOGLETRANSLATE(A4648, ""en"", ""mt"")"),"Il-korrelazzjoni bejn il-kapitaliżmu, l-aristokrazija u l-imperjalizmu ilha diskussa fost l-istoriċi u t-teoriċi politiċi. Ħafna mid-dibattitu kien pijunier minn teoriċi bħal J. A. Hobson (1858–1940), Joseph Schumpeter (1883–1950), Thorstein Veblen (1857–"&amp;"1929), u Norman Angell (1872–1967). Filwaqt li dawn il-kittieba mhux Marxisti kienu l-iktar prolifiċi tagħhom qabel l-Ewwel Gwerra Dinjija, huma baqgħu attivi fis-snin interwar. Ix-xogħol ikkombinat tagħhom informa l-istudju dwar l-imperjalizmu u l-impatt"&amp;" tiegħu fuq l-Ewropa, kif ukoll ikkontribwixxa għal riflessjonijiet dwar iż-żieda tal-kumpless politiku militari fl-Istati Uniti mill-ħamsinijiet. Hobson argumenta li r-riformi soċjali domestiċi jistgħu jfejqu l-marda internazzjonali tal-imperjalizmu bill"&amp;"i jneħħu l-fondazzjoni ekonomika tiegħu. Hobson teorizza li l-intervent tal-istat permezz tat-tassazzjoni jista 'jagħti spinta lill-konsum usa', joħloq il-ġid, u jinkoraġġixxi ordni dinjija paċifika, tolleranti u multipolari.")</f>
        <v>Il-korrelazzjoni bejn il-kapitaliżmu, l-aristokrazija u l-imperjalizmu ilha diskussa fost l-istoriċi u t-teoriċi politiċi. Ħafna mid-dibattitu kien pijunier minn teoriċi bħal J. A. Hobson (1858–1940), Joseph Schumpeter (1883–1950), Thorstein Veblen (1857–1929), u Norman Angell (1872–1967). Filwaqt li dawn il-kittieba mhux Marxisti kienu l-iktar prolifiċi tagħhom qabel l-Ewwel Gwerra Dinjija, huma baqgħu attivi fis-snin interwar. Ix-xogħol ikkombinat tagħhom informa l-istudju dwar l-imperjalizmu u l-impatt tiegħu fuq l-Ewropa, kif ukoll ikkontribwixxa għal riflessjonijiet dwar iż-żieda tal-kumpless politiku militari fl-Istati Uniti mill-ħamsinijiet. Hobson argumenta li r-riformi soċjali domestiċi jistgħu jfejqu l-marda internazzjonali tal-imperjalizmu billi jneħħu l-fondazzjoni ekonomika tiegħu. Hobson teorizza li l-intervent tal-istat permezz tat-tassazzjoni jista 'jagħti spinta lill-konsum usa', joħloq il-ġid, u jinkoraġġixxi ordni dinjija paċifika, tolleranti u multipolari.</v>
      </c>
    </row>
    <row r="4649" ht="15.75" customHeight="1">
      <c r="A4649" s="2" t="s">
        <v>4649</v>
      </c>
      <c r="B4649" s="2" t="str">
        <f>IFERROR(__xludf.DUMMYFUNCTION("GOOGLETRANSLATE(A4649, ""en"", ""mt"")"),"Sostitwit mill-Protokoll tal-Internet (IP) fis-saff tan-netwerk, u l-mod ta 'trasferiment mhux sinkroniku (ATM) u jew jew verżjonijiet ta' swiċċjar tat-tikketta multi-protokol")</f>
        <v>Sostitwit mill-Protokoll tal-Internet (IP) fis-saff tan-netwerk, u l-mod ta 'trasferiment mhux sinkroniku (ATM) u jew jew verżjonijiet ta' swiċċjar tat-tikketta multi-protokol</v>
      </c>
    </row>
    <row r="4650" ht="15.75" customHeight="1">
      <c r="A4650" s="2" t="s">
        <v>4650</v>
      </c>
      <c r="B4650" s="2" t="str">
        <f>IFERROR(__xludf.DUMMYFUNCTION("GOOGLETRANSLATE(A4650, ""en"", ""mt"")"),"£ 250,000")</f>
        <v>£ 250,000</v>
      </c>
    </row>
    <row r="4651" ht="15.75" customHeight="1">
      <c r="A4651" s="2" t="s">
        <v>4651</v>
      </c>
      <c r="B4651" s="2" t="str">
        <f>IFERROR(__xludf.DUMMYFUNCTION("GOOGLETRANSLATE(A4651, ""en"", ""mt"")"),"L-Assoċjazzjoni Internazzjonali ta 'Skejjel, Kulleġġi u Universitajiet relatati mal-Metodisti")</f>
        <v>L-Assoċjazzjoni Internazzjonali ta 'Skejjel, Kulleġġi u Universitajiet relatati mal-Metodisti</v>
      </c>
    </row>
    <row r="4652" ht="15.75" customHeight="1">
      <c r="A4652" s="2" t="s">
        <v>4652</v>
      </c>
      <c r="B4652" s="2" t="str">
        <f>IFERROR(__xludf.DUMMYFUNCTION("GOOGLETRANSLATE(A4652, ""en"", ""mt"")"),"L-Università ta ’Aberdeen")</f>
        <v>L-Università ta ’Aberdeen</v>
      </c>
    </row>
    <row r="4653" ht="15.75" customHeight="1">
      <c r="A4653" s="2" t="s">
        <v>4653</v>
      </c>
      <c r="B4653" s="2" t="str">
        <f>IFERROR(__xludf.DUMMYFUNCTION("GOOGLETRANSLATE(A4653, ""en"", ""mt"")"),"Fuq xiex kien maħsub l-innu biex jeżamina l-istudenti?")</f>
        <v>Fuq xiex kien maħsub l-innu biex jeżamina l-istudenti?</v>
      </c>
    </row>
    <row r="4654" ht="15.75" customHeight="1">
      <c r="A4654" s="2" t="s">
        <v>4654</v>
      </c>
      <c r="B4654" s="2" t="str">
        <f>IFERROR(__xludf.DUMMYFUNCTION("GOOGLETRANSLATE(A4654, ""en"", ""mt"")"),"Meta nqabad l-istadium ta 'Levi għal Super Bowl 50?")</f>
        <v>Meta nqabad l-istadium ta 'Levi għal Super Bowl 50?</v>
      </c>
    </row>
    <row r="4655" ht="15.75" customHeight="1">
      <c r="A4655" s="2" t="s">
        <v>4655</v>
      </c>
      <c r="B4655" s="2" t="str">
        <f>IFERROR(__xludf.DUMMYFUNCTION("GOOGLETRANSLATE(A4655, ""en"", ""mt"")"),"Minn Newcastle International Ferry Terminal, fi North Shields, DFDS Seaways Daniż imexxi servizz lejn Ijmuiden (qrib Amsterdam). Is-Servizz tal-Ferry DFDS lil Gothenburg, l-Isvezja, waqaf fl-aħħar ta 'Ottubru 2006 - il-kumpanija kkwotat prezzijiet għoljin"&amp;" tal-fjuwil u kompetizzjoni ġdida minn servizzi ta' l-ajru bi prezz baxx bħala l-kawża - u s-servizz tagħhom għal Bergen u Stavanger, in-Norveġja ntemmet tard fl-2008. Mis-sajf tal-2007, Thomson Cruise Lines inkludew Newcastle bħala port tat-tluq fuq il-k"&amp;"ruċiera Norveġiżi u Fjords tagħha.")</f>
        <v>Minn Newcastle International Ferry Terminal, fi North Shields, DFDS Seaways Daniż imexxi servizz lejn Ijmuiden (qrib Amsterdam). Is-Servizz tal-Ferry DFDS lil Gothenburg, l-Isvezja, waqaf fl-aħħar ta 'Ottubru 2006 - il-kumpanija kkwotat prezzijiet għoljin tal-fjuwil u kompetizzjoni ġdida minn servizzi ta' l-ajru bi prezz baxx bħala l-kawża - u s-servizz tagħhom għal Bergen u Stavanger, in-Norveġja ntemmet tard fl-2008. Mis-sajf tal-2007, Thomson Cruise Lines inkludew Newcastle bħala port tat-tluq fuq il-kruċiera Norveġiżi u Fjords tagħha.</v>
      </c>
    </row>
    <row r="4656" ht="15.75" customHeight="1">
      <c r="A4656" s="2" t="s">
        <v>4656</v>
      </c>
      <c r="B4656" s="2" t="str">
        <f>IFERROR(__xludf.DUMMYFUNCTION("GOOGLETRANSLATE(A4656, ""en"", ""mt"")"),"Billi jaħbtu l-lobi tagħhom")</f>
        <v>Billi jaħbtu l-lobi tagħhom</v>
      </c>
    </row>
    <row r="4657" ht="15.75" customHeight="1">
      <c r="A4657" s="2" t="s">
        <v>4657</v>
      </c>
      <c r="B4657" s="2" t="str">
        <f>IFERROR(__xludf.DUMMYFUNCTION("GOOGLETRANSLATE(A4657, ""en"", ""mt"")"),"Il-Kunsill tal-Missjoni ġeneralment jikkonsisti minn min?")</f>
        <v>Il-Kunsill tal-Missjoni ġeneralment jikkonsisti minn min?</v>
      </c>
    </row>
    <row r="4658" ht="15.75" customHeight="1">
      <c r="A4658" s="2" t="s">
        <v>4658</v>
      </c>
      <c r="B4658" s="2" t="str">
        <f>IFERROR(__xludf.DUMMYFUNCTION("GOOGLETRANSLATE(A4658, ""en"", ""mt"")"),"Il-granit huwa magħmul fil-biċċa l-kbira minn liema kompost kimiku?")</f>
        <v>Il-granit huwa magħmul fil-biċċa l-kbira minn liema kompost kimiku?</v>
      </c>
    </row>
    <row r="4659" ht="15.75" customHeight="1">
      <c r="A4659" s="2" t="s">
        <v>4659</v>
      </c>
      <c r="B4659" s="2" t="str">
        <f>IFERROR(__xludf.DUMMYFUNCTION("GOOGLETRANSLATE(A4659, ""en"", ""mt"")"),"Università Metodista tan-Nofsinhar")</f>
        <v>Università Metodista tan-Nofsinhar</v>
      </c>
    </row>
    <row r="4660" ht="15.75" customHeight="1">
      <c r="A4660" s="2" t="s">
        <v>4660</v>
      </c>
      <c r="B4660" s="2" t="str">
        <f>IFERROR(__xludf.DUMMYFUNCTION("GOOGLETRANSLATE(A4660, ""en"", ""mt"")"),"neputi")</f>
        <v>neputi</v>
      </c>
    </row>
    <row r="4661" ht="15.75" customHeight="1">
      <c r="A4661" s="2" t="s">
        <v>4661</v>
      </c>
      <c r="B4661" s="2" t="str">
        <f>IFERROR(__xludf.DUMMYFUNCTION("GOOGLETRANSLATE(A4661, ""en"", ""mt"")"),"Residenza ta 'Prattika ta' l-Ispiżerija")</f>
        <v>Residenza ta 'Prattika ta' l-Ispiżerija</v>
      </c>
    </row>
    <row r="4662" ht="15.75" customHeight="1">
      <c r="A4662" s="2" t="s">
        <v>4662</v>
      </c>
      <c r="B4662" s="2" t="str">
        <f>IFERROR(__xludf.DUMMYFUNCTION("GOOGLETRANSLATE(A4662, ""en"", ""mt"")"),"popolazzjoni mxerrda u distanza")</f>
        <v>popolazzjoni mxerrda u distanza</v>
      </c>
    </row>
    <row r="4663" ht="15.75" customHeight="1">
      <c r="A4663" s="2" t="s">
        <v>4663</v>
      </c>
      <c r="B4663" s="2" t="str">
        <f>IFERROR(__xludf.DUMMYFUNCTION("GOOGLETRANSLATE(A4663, ""en"", ""mt"")"),"Normans")</f>
        <v>Normans</v>
      </c>
    </row>
    <row r="4664" ht="15.75" customHeight="1">
      <c r="A4664" s="2" t="s">
        <v>4664</v>
      </c>
      <c r="B4664" s="2" t="str">
        <f>IFERROR(__xludf.DUMMYFUNCTION("GOOGLETRANSLATE(A4664, ""en"", ""mt"")"),"Kemm damet is-Sinjura Kucukdeveci għall-Swedex GmbH &amp; Co KG qabel ma ġiet miċħuda?")</f>
        <v>Kemm damet is-Sinjura Kucukdeveci għall-Swedex GmbH &amp; Co KG qabel ma ġiet miċħuda?</v>
      </c>
    </row>
    <row r="4665" ht="15.75" customHeight="1">
      <c r="A4665" s="2" t="s">
        <v>4665</v>
      </c>
      <c r="B4665" s="2" t="str">
        <f>IFERROR(__xludf.DUMMYFUNCTION("GOOGLETRANSLATE(A4665, ""en"", ""mt"")"),"Is-Sultan Muhammad kien diġà mejjet fl-1223,")</f>
        <v>Is-Sultan Muhammad kien diġà mejjet fl-1223,</v>
      </c>
    </row>
    <row r="4666" ht="15.75" customHeight="1">
      <c r="A4666" s="2" t="s">
        <v>4666</v>
      </c>
      <c r="B4666" s="2" t="str">
        <f>IFERROR(__xludf.DUMMYFUNCTION("GOOGLETRANSLATE(A4666, ""en"", ""mt"")"),"Bil-ftuħ tal-galleriji ta 'skultura ta' Dorothy u Michael Hintze fl-2006 ġie deċiż li tiġi estiża l-kronoloġija tax-xogħlijiet li juru sal-1950; Dan kien jinvolvi self minn mużewijiet oħra, inkluż Tate Britain, u għalhekk jaħdem minn Henry Moore u Jacob E"&amp;"pstein flimkien ma 'kontemporanji oħra tagħhom issa qegħdin jidhru. Dawn il-galleriji jikkonċentraw fuq xogħlijiet datati mill-1600 sal-1950 minn skulturi Ingliżi, xogħlijiet minn skulturi kontinentali li ħadmu fil-Gran Brittanja, u xogħlijiet mixtrija mi"&amp;"nn patruni Brittaniċi mill-iskulturi kontinentali, bħalma huma t-Tesovja Canova u l-Minotawru. Il-galleriji li jħarsu l-ġnien huma rranġati bit-tema, skultura tal-qabar, ritratt, skultura tal-ġnien u mitoloġija. Imbagħad hemm sezzjoni li tkopri skultura t"&amp;"ard tas-seklu 19 u skultura tal-bidu tas-seklu 20, dan jinkludi xogħol minn Rodin u skulturi oħra Franċiżi bħal Dalou li qatta 'bosta snin fil-Gran Brittanja fejn għallem skultura.")</f>
        <v>Bil-ftuħ tal-galleriji ta 'skultura ta' Dorothy u Michael Hintze fl-2006 ġie deċiż li tiġi estiża l-kronoloġija tax-xogħlijiet li juru sal-1950; Dan kien jinvolvi self minn mużewijiet oħra, inkluż Tate Britain, u għalhekk jaħdem minn Henry Moore u Jacob Epstein flimkien ma 'kontemporanji oħra tagħhom issa qegħdin jidhru. Dawn il-galleriji jikkonċentraw fuq xogħlijiet datati mill-1600 sal-1950 minn skulturi Ingliżi, xogħlijiet minn skulturi kontinentali li ħadmu fil-Gran Brittanja, u xogħlijiet mixtrija minn patruni Brittaniċi mill-iskulturi kontinentali, bħalma huma t-Tesovja Canova u l-Minotawru. Il-galleriji li jħarsu l-ġnien huma rranġati bit-tema, skultura tal-qabar, ritratt, skultura tal-ġnien u mitoloġija. Imbagħad hemm sezzjoni li tkopri skultura tard tas-seklu 19 u skultura tal-bidu tas-seklu 20, dan jinkludi xogħol minn Rodin u skulturi oħra Franċiżi bħal Dalou li qatta 'bosta snin fil-Gran Brittanja fejn għallem skultura.</v>
      </c>
    </row>
    <row r="4667" ht="15.75" customHeight="1">
      <c r="A4667" s="2" t="s">
        <v>4667</v>
      </c>
      <c r="B4667" s="2" t="str">
        <f>IFERROR(__xludf.DUMMYFUNCTION("GOOGLETRANSLATE(A4667, ""en"", ""mt"")"),"Speċi reattivi ta 'ossiġnu")</f>
        <v>Speċi reattivi ta 'ossiġnu</v>
      </c>
    </row>
    <row r="4668" ht="15.75" customHeight="1">
      <c r="A4668" s="2" t="s">
        <v>4668</v>
      </c>
      <c r="B4668" s="2" t="str">
        <f>IFERROR(__xludf.DUMMYFUNCTION("GOOGLETRANSLATE(A4668, ""en"", ""mt"")"),"Tliet mija sittin")</f>
        <v>Tliet mija sittin</v>
      </c>
    </row>
    <row r="4669" ht="15.75" customHeight="1">
      <c r="A4669" s="2" t="s">
        <v>4669</v>
      </c>
      <c r="B4669" s="2" t="str">
        <f>IFERROR(__xludf.DUMMYFUNCTION("GOOGLETRANSLATE(A4669, ""en"", ""mt"")"),"Xi jfisser il-fwar iġġenerat minn pjanta tal-enerġija nukleari?")</f>
        <v>Xi jfisser il-fwar iġġenerat minn pjanta tal-enerġija nukleari?</v>
      </c>
    </row>
    <row r="4670" ht="15.75" customHeight="1">
      <c r="A4670" s="2" t="s">
        <v>4670</v>
      </c>
      <c r="B4670" s="2" t="str">
        <f>IFERROR(__xludf.DUMMYFUNCTION("GOOGLETRANSLATE(A4670, ""en"", ""mt"")"),"Għaliex Franza għażlet li tagħti l-artijiet kontinentali?")</f>
        <v>Għaliex Franza għażlet li tagħti l-artijiet kontinentali?</v>
      </c>
    </row>
    <row r="4671" ht="15.75" customHeight="1">
      <c r="A4671" s="2" t="s">
        <v>4671</v>
      </c>
      <c r="B4671" s="2" t="str">
        <f>IFERROR(__xludf.DUMMYFUNCTION("GOOGLETRANSLATE(A4671, ""en"", ""mt"")"),"X'inhuma xi sorsi supplimentari tal-liġi tal-Unjoni Ewropea?")</f>
        <v>X'inhuma xi sorsi supplimentari tal-liġi tal-Unjoni Ewropea?</v>
      </c>
    </row>
    <row r="4672" ht="15.75" customHeight="1">
      <c r="A4672" s="2" t="s">
        <v>4672</v>
      </c>
      <c r="B4672" s="2" t="str">
        <f>IFERROR(__xludf.DUMMYFUNCTION("GOOGLETRANSLATE(A4672, ""en"", ""mt"")"),"ifakkru lil pajjiżu ta 'inġustizzja")</f>
        <v>ifakkru lil pajjiżu ta 'inġustizzja</v>
      </c>
    </row>
    <row r="4673" ht="15.75" customHeight="1">
      <c r="A4673" s="2" t="s">
        <v>4673</v>
      </c>
      <c r="B4673" s="2" t="str">
        <f>IFERROR(__xludf.DUMMYFUNCTION("GOOGLETRANSLATE(A4673, ""en"", ""mt"")"),"Wara l-liberazzjoni")</f>
        <v>Wara l-liberazzjoni</v>
      </c>
    </row>
    <row r="4674" ht="15.75" customHeight="1">
      <c r="A4674" s="2" t="s">
        <v>4674</v>
      </c>
      <c r="B4674" s="2" t="str">
        <f>IFERROR(__xludf.DUMMYFUNCTION("GOOGLETRANSLATE(A4674, ""en"", ""mt"")"),"X'inhu terminu ieħor għall-abilità ta 'viżwalizzazzjoni ta' Tesla?")</f>
        <v>X'inhu terminu ieħor għall-abilità ta 'viżwalizzazzjoni ta' Tesla?</v>
      </c>
    </row>
    <row r="4675" ht="15.75" customHeight="1">
      <c r="A4675" s="2" t="s">
        <v>4675</v>
      </c>
      <c r="B4675" s="2" t="str">
        <f>IFERROR(__xludf.DUMMYFUNCTION("GOOGLETRANSLATE(A4675, ""en"", ""mt"")"),"Revoluzzjoni industrijali")</f>
        <v>Revoluzzjoni industrijali</v>
      </c>
    </row>
    <row r="4676" ht="15.75" customHeight="1">
      <c r="A4676" s="2" t="s">
        <v>4676</v>
      </c>
      <c r="B4676" s="2" t="str">
        <f>IFERROR(__xludf.DUMMYFUNCTION("GOOGLETRANSLATE(A4676, ""en"", ""mt"")"),"Il-Karta tad-Drittijiet Fundamentali tal-Unjoni Ewropea tas-7")</f>
        <v>Il-Karta tad-Drittijiet Fundamentali tal-Unjoni Ewropea tas-7</v>
      </c>
    </row>
    <row r="4677" ht="15.75" customHeight="1">
      <c r="A4677" s="2" t="s">
        <v>4677</v>
      </c>
      <c r="B4677" s="2" t="str">
        <f>IFERROR(__xludf.DUMMYFUNCTION("GOOGLETRANSLATE(A4677, ""en"", ""mt"")"),"fuljetti")</f>
        <v>fuljetti</v>
      </c>
    </row>
    <row r="4678" ht="15.75" customHeight="1">
      <c r="A4678" s="2" t="s">
        <v>4678</v>
      </c>
      <c r="B4678" s="2" t="str">
        <f>IFERROR(__xludf.DUMMYFUNCTION("GOOGLETRANSLATE(A4678, ""en"", ""mt"")"),"Telnet inbiegħ lil")</f>
        <v>Telnet inbiegħ lil</v>
      </c>
    </row>
    <row r="4679" ht="15.75" customHeight="1">
      <c r="A4679" s="2" t="s">
        <v>4679</v>
      </c>
      <c r="B4679" s="2" t="str">
        <f>IFERROR(__xludf.DUMMYFUNCTION("GOOGLETRANSLATE(A4679, ""en"", ""mt"")"),"Min jista 'jassenja anzjani?")</f>
        <v>Min jista 'jassenja anzjani?</v>
      </c>
    </row>
    <row r="4680" ht="15.75" customHeight="1">
      <c r="A4680" s="2" t="s">
        <v>4680</v>
      </c>
      <c r="B4680" s="2" t="str">
        <f>IFERROR(__xludf.DUMMYFUNCTION("GOOGLETRANSLATE(A4680, ""en"", ""mt"")"),"Preżenza reali tal-ġisem u d-demm ta 'Kristu fil-ħobż u l-inbid ikkonsagrati")</f>
        <v>Preżenza reali tal-ġisem u d-demm ta 'Kristu fil-ħobż u l-inbid ikkonsagrati</v>
      </c>
    </row>
    <row r="4681" ht="15.75" customHeight="1">
      <c r="A4681" s="2" t="s">
        <v>4681</v>
      </c>
      <c r="B4681" s="2" t="str">
        <f>IFERROR(__xludf.DUMMYFUNCTION("GOOGLETRANSLATE(A4681, ""en"", ""mt"")"),"Liema partijiet tad-dinja huma inklużi fil-litosfera?")</f>
        <v>Liema partijiet tad-dinja huma inklużi fil-litosfera?</v>
      </c>
    </row>
    <row r="4682" ht="15.75" customHeight="1">
      <c r="A4682" s="2" t="s">
        <v>4682</v>
      </c>
      <c r="B4682" s="2" t="str">
        <f>IFERROR(__xludf.DUMMYFUNCTION("GOOGLETRANSLATE(A4682, ""en"", ""mt"")"),"Kemm huma 'l bogħod minn xulxin uħud mill-karatteristiċi tal-viċinat?")</f>
        <v>Kemm huma 'l bogħod minn xulxin uħud mill-karatteristiċi tal-viċinat?</v>
      </c>
    </row>
    <row r="4683" ht="15.75" customHeight="1">
      <c r="A4683" s="2" t="s">
        <v>4683</v>
      </c>
      <c r="B4683" s="2" t="str">
        <f>IFERROR(__xludf.DUMMYFUNCTION("GOOGLETRANSLATE(A4683, ""en"", ""mt"")"),"Fuq liema kalendarju Ingliż huwa kkommemorat Luther?")</f>
        <v>Fuq liema kalendarju Ingliż huwa kkommemorat Luther?</v>
      </c>
    </row>
    <row r="4684" ht="15.75" customHeight="1">
      <c r="A4684" s="2" t="s">
        <v>4684</v>
      </c>
      <c r="B4684" s="2" t="str">
        <f>IFERROR(__xludf.DUMMYFUNCTION("GOOGLETRANSLATE(A4684, ""en"", ""mt"")"),"fuljetti kritiċi fuq l-Islam")</f>
        <v>fuljetti kritiċi fuq l-Islam</v>
      </c>
    </row>
    <row r="4685" ht="15.75" customHeight="1">
      <c r="A4685" s="2" t="s">
        <v>4685</v>
      </c>
      <c r="B4685" s="2" t="str">
        <f>IFERROR(__xludf.DUMMYFUNCTION("GOOGLETRANSLATE(A4685, ""en"", ""mt"")"),"Kriżi Finanzjarja tal-2007–08")</f>
        <v>Kriżi Finanzjarja tal-2007–08</v>
      </c>
    </row>
    <row r="4686" ht="15.75" customHeight="1">
      <c r="A4686" s="2" t="s">
        <v>4686</v>
      </c>
      <c r="B4686" s="2" t="str">
        <f>IFERROR(__xludf.DUMMYFUNCTION("GOOGLETRANSLATE(A4686, ""en"", ""mt"")"),"Fis-seklu 16")</f>
        <v>Fis-seklu 16</v>
      </c>
    </row>
    <row r="4687" ht="15.75" customHeight="1">
      <c r="A4687" s="2" t="s">
        <v>4687</v>
      </c>
      <c r="B4687" s="2" t="str">
        <f>IFERROR(__xludf.DUMMYFUNCTION("GOOGLETRANSLATE(A4687, ""en"", ""mt"")"),"Il-programm ta 'erba' snin full-time li għadu ma sarx jinkludi minoranza ta 'reġistrazzjonijiet fl-università u jenfasizza l-istruzzjoni ma' ""fokus tal-arti u x-xjenzi"". Bejn l-1978 u l-2008, l-istudenti jidħlu kienu meħtieġa jlestu kurrikulu ewlieni ta"&amp;" 'seba' klassijiet barra mill-konċentrazzjoni tagħhom. Mill-2008, studenti li għadhom ma ggradwawx kienu meħtieġa jlestu korsijiet fi tmien kategoriji ta 'edukazzjoni ġenerali: fehim estetiku u interpretattiv, kultura u twemmin, raġunament empiriku u mate"&amp;"matiku, raġunament etiku, xjenza tas-sistemi ħajjin, xjenza tal-univers fiżiku, soċjetajiet tad-dinja, u l-Istati Uniti fid-dinja. Harvard joffri programm komprensiv ta 'gradwati ta' dottorat u hemm livell għoli ta 'koeżistenza bejn il-gradi gradwati u da"&amp;"wk li għadhom ma ggradwawx. Il-Fondazzjoni Carnegie għall-Avvanzament tat-Tagħlim, in-New York Times, u xi studenti kkritikaw lil Harvard għad-dipendenza tagħha fuq it-tagħlim ta ’dawk li jwaqqfu għal xi aspetti tal-edukazzjoni li għadhom ma ggradwawx; Hu"&amp;"ma jqisu dan biex jaffettwa ħażin il-kwalità tal-edukazzjoni.")</f>
        <v>Il-programm ta 'erba' snin full-time li għadu ma sarx jinkludi minoranza ta 'reġistrazzjonijiet fl-università u jenfasizza l-istruzzjoni ma' "fokus tal-arti u x-xjenzi". Bejn l-1978 u l-2008, l-istudenti jidħlu kienu meħtieġa jlestu kurrikulu ewlieni ta 'seba' klassijiet barra mill-konċentrazzjoni tagħhom. Mill-2008, studenti li għadhom ma ggradwawx kienu meħtieġa jlestu korsijiet fi tmien kategoriji ta 'edukazzjoni ġenerali: fehim estetiku u interpretattiv, kultura u twemmin, raġunament empiriku u matematiku, raġunament etiku, xjenza tas-sistemi ħajjin, xjenza tal-univers fiżiku, soċjetajiet tad-dinja, u l-Istati Uniti fid-dinja. Harvard joffri programm komprensiv ta 'gradwati ta' dottorat u hemm livell għoli ta 'koeżistenza bejn il-gradi gradwati u dawk li għadhom ma ggradwawx. Il-Fondazzjoni Carnegie għall-Avvanzament tat-Tagħlim, in-New York Times, u xi studenti kkritikaw lil Harvard għad-dipendenza tagħha fuq it-tagħlim ta ’dawk li jwaqqfu għal xi aspetti tal-edukazzjoni li għadhom ma ggradwawx; Huma jqisu dan biex jaffettwa ħażin il-kwalità tal-edukazzjoni.</v>
      </c>
    </row>
    <row r="4688" ht="15.75" customHeight="1">
      <c r="A4688" s="2" t="s">
        <v>4688</v>
      </c>
      <c r="B4688" s="2" t="str">
        <f>IFERROR(__xludf.DUMMYFUNCTION("GOOGLETRANSLATE(A4688, ""en"", ""mt"")"),"biddel b'mod sinifikanti t-trattati eżistenti")</f>
        <v>biddel b'mod sinifikanti t-trattati eżistenti</v>
      </c>
    </row>
    <row r="4689" ht="15.75" customHeight="1">
      <c r="A4689" s="2" t="s">
        <v>4689</v>
      </c>
      <c r="B4689" s="2" t="str">
        <f>IFERROR(__xludf.DUMMYFUNCTION("GOOGLETRANSLATE(A4689, ""en"", ""mt"")"),"X'inhu l-isem tas-suppożizzjoni li hemm pari infiniti ta 'primes li d-differenza tagħhom hija 2?")</f>
        <v>X'inhu l-isem tas-suppożizzjoni li hemm pari infiniti ta 'primes li d-differenza tagħhom hija 2?</v>
      </c>
    </row>
    <row r="4690" ht="15.75" customHeight="1">
      <c r="A4690" s="2" t="s">
        <v>4690</v>
      </c>
      <c r="B4690" s="2" t="str">
        <f>IFERROR(__xludf.DUMMYFUNCTION("GOOGLETRANSLATE(A4690, ""en"", ""mt"")"),"Johannes Bugenhagen u Philipp Melanchthon")</f>
        <v>Johannes Bugenhagen u Philipp Melanchthon</v>
      </c>
    </row>
    <row r="4691" ht="15.75" customHeight="1">
      <c r="A4691" s="2" t="s">
        <v>4691</v>
      </c>
      <c r="B4691" s="2" t="str">
        <f>IFERROR(__xludf.DUMMYFUNCTION("GOOGLETRANSLATE(A4691, ""en"", ""mt"")"),"Qarn żgħir")</f>
        <v>Qarn żgħir</v>
      </c>
    </row>
    <row r="4692" ht="15.75" customHeight="1">
      <c r="A4692" s="2" t="s">
        <v>4692</v>
      </c>
      <c r="B4692" s="2" t="str">
        <f>IFERROR(__xludf.DUMMYFUNCTION("GOOGLETRANSLATE(A4692, ""en"", ""mt"")"),"It-tnaqqis essenzjalment jieħu problema waħda u jikkonverti f'liema?")</f>
        <v>It-tnaqqis essenzjalment jieħu problema waħda u jikkonverti f'liema?</v>
      </c>
    </row>
    <row r="4693" ht="15.75" customHeight="1">
      <c r="A4693" s="2" t="s">
        <v>4693</v>
      </c>
      <c r="B4693" s="2" t="str">
        <f>IFERROR(__xludf.DUMMYFUNCTION("GOOGLETRANSLATE(A4693, ""en"", ""mt"")"),"negozjati għal soluzzjoni")</f>
        <v>negozjati għal soluzzjoni</v>
      </c>
    </row>
    <row r="4694" ht="15.75" customHeight="1">
      <c r="A4694" s="2" t="s">
        <v>4694</v>
      </c>
      <c r="B4694" s="2" t="str">
        <f>IFERROR(__xludf.DUMMYFUNCTION("GOOGLETRANSLATE(A4694, ""en"", ""mt"")"),"Genghis Khan Mausoleum")</f>
        <v>Genghis Khan Mausoleum</v>
      </c>
    </row>
    <row r="4695" ht="15.75" customHeight="1">
      <c r="A4695" s="2" t="s">
        <v>4695</v>
      </c>
      <c r="B4695" s="2" t="str">
        <f>IFERROR(__xludf.DUMMYFUNCTION("GOOGLETRANSLATE(A4695, ""en"", ""mt"")"),"Jirrifjuta b'mod kollettiv li jiffirma l-ħelsien mill-arrest sakemm jintlaħqu ċerti talbiet")</f>
        <v>Jirrifjuta b'mod kollettiv li jiffirma l-ħelsien mill-arrest sakemm jintlaħqu ċerti talbiet</v>
      </c>
    </row>
    <row r="4696" ht="15.75" customHeight="1">
      <c r="A4696" s="2" t="s">
        <v>4696</v>
      </c>
      <c r="B4696" s="2" t="str">
        <f>IFERROR(__xludf.DUMMYFUNCTION("GOOGLETRANSLATE(A4696, ""en"", ""mt"")"),"X'kien in-netwerk tar-radju ewlieni fl-1940s fl-Amerika?")</f>
        <v>X'kien in-netwerk tar-radju ewlieni fl-1940s fl-Amerika?</v>
      </c>
    </row>
    <row r="4697" ht="15.75" customHeight="1">
      <c r="A4697" s="2" t="s">
        <v>4697</v>
      </c>
      <c r="B4697" s="2" t="str">
        <f>IFERROR(__xludf.DUMMYFUNCTION("GOOGLETRANSLATE(A4697, ""en"", ""mt"")"),"X'inhuma tliet tipi ta 'fagoċiti?")</f>
        <v>X'inhuma tliet tipi ta 'fagoċiti?</v>
      </c>
    </row>
    <row r="4698" ht="15.75" customHeight="1">
      <c r="A4698" s="2" t="s">
        <v>4698</v>
      </c>
      <c r="B4698" s="2" t="str">
        <f>IFERROR(__xludf.DUMMYFUNCTION("GOOGLETRANSLATE(A4698, ""en"", ""mt"")"),"William the Lion")</f>
        <v>William the Lion</v>
      </c>
    </row>
    <row r="4699" ht="15.75" customHeight="1">
      <c r="A4699" s="2" t="s">
        <v>4699</v>
      </c>
      <c r="B4699" s="2" t="str">
        <f>IFERROR(__xludf.DUMMYFUNCTION("GOOGLETRANSLATE(A4699, ""en"", ""mt"")"),"X'inhuma l-apicomplexans simili għal?")</f>
        <v>X'inhuma l-apicomplexans simili għal?</v>
      </c>
    </row>
    <row r="4700" ht="15.75" customHeight="1">
      <c r="A4700" s="2" t="s">
        <v>4700</v>
      </c>
      <c r="B4700" s="2" t="str">
        <f>IFERROR(__xludf.DUMMYFUNCTION("GOOGLETRANSLATE(A4700, ""en"", ""mt"")"),"Sal-1544 x'għandu jittratta Luther f 'saħħtu?")</f>
        <v>Sal-1544 x'għandu jittratta Luther f 'saħħtu?</v>
      </c>
    </row>
    <row r="4701" ht="15.75" customHeight="1">
      <c r="A4701" s="2" t="s">
        <v>4701</v>
      </c>
      <c r="B4701" s="2" t="str">
        <f>IFERROR(__xludf.DUMMYFUNCTION("GOOGLETRANSLATE(A4701, ""en"", ""mt"")"),"Persja wara l-konkwisti Musulmani waslu fi tmiemhom")</f>
        <v>Persja wara l-konkwisti Musulmani waslu fi tmiemhom</v>
      </c>
    </row>
    <row r="4702" ht="15.75" customHeight="1">
      <c r="A4702" s="2" t="s">
        <v>4702</v>
      </c>
      <c r="B4702" s="2" t="str">
        <f>IFERROR(__xludf.DUMMYFUNCTION("GOOGLETRANSLATE(A4702, ""en"", ""mt"")"),"Il-partijiet ħodor kollha")</f>
        <v>Il-partijiet ħodor kollha</v>
      </c>
    </row>
    <row r="4703" ht="15.75" customHeight="1">
      <c r="A4703" s="2" t="s">
        <v>4703</v>
      </c>
      <c r="B4703" s="2" t="str">
        <f>IFERROR(__xludf.DUMMYFUNCTION("GOOGLETRANSLATE(A4703, ""en"", ""mt"")"),"Liema teorija tispjega l-aħjar il-gravità?")</f>
        <v>Liema teorija tispjega l-aħjar il-gravità?</v>
      </c>
    </row>
    <row r="4704" ht="15.75" customHeight="1">
      <c r="A4704" s="2" t="s">
        <v>4704</v>
      </c>
      <c r="B4704" s="2" t="str">
        <f>IFERROR(__xludf.DUMMYFUNCTION("GOOGLETRANSLATE(A4704, ""en"", ""mt"")"),"Esperiment elettriku")</f>
        <v>Esperiment elettriku</v>
      </c>
    </row>
    <row r="4705" ht="15.75" customHeight="1">
      <c r="A4705" s="2" t="s">
        <v>4705</v>
      </c>
      <c r="B4705" s="2" t="str">
        <f>IFERROR(__xludf.DUMMYFUNCTION("GOOGLETRANSLATE(A4705, ""en"", ""mt"")"),"X'inhu uniku dwar hermaphrodite?")</f>
        <v>X'inhu uniku dwar hermaphrodite?</v>
      </c>
    </row>
    <row r="4706" ht="15.75" customHeight="1">
      <c r="A4706" s="2" t="s">
        <v>4706</v>
      </c>
      <c r="B4706" s="2" t="str">
        <f>IFERROR(__xludf.DUMMYFUNCTION("GOOGLETRANSLATE(A4706, ""en"", ""mt"")"),"X'inhu l-Kanal f'Wesel?")</f>
        <v>X'inhu l-Kanal f'Wesel?</v>
      </c>
    </row>
    <row r="4707" ht="15.75" customHeight="1">
      <c r="A4707" s="2" t="s">
        <v>4707</v>
      </c>
      <c r="B4707" s="2" t="str">
        <f>IFERROR(__xludf.DUMMYFUNCTION("GOOGLETRANSLATE(A4707, ""en"", ""mt"")"),"Kemm ġabru flus il-kumitat?")</f>
        <v>Kemm ġabru flus il-kumitat?</v>
      </c>
    </row>
    <row r="4708" ht="15.75" customHeight="1">
      <c r="A4708" s="2" t="s">
        <v>4708</v>
      </c>
      <c r="B4708" s="2" t="str">
        <f>IFERROR(__xludf.DUMMYFUNCTION("GOOGLETRANSLATE(A4708, ""en"", ""mt"")"),"Meta kienet l-aħħar ekwipaġġ ta 'Skylab fuq l-istazzjon qabel ma reġgħet daħlet l-atmosfera tad-Dinja?")</f>
        <v>Meta kienet l-aħħar ekwipaġġ ta 'Skylab fuq l-istazzjon qabel ma reġgħet daħlet l-atmosfera tad-Dinja?</v>
      </c>
    </row>
    <row r="4709" ht="15.75" customHeight="1">
      <c r="A4709" s="2" t="s">
        <v>4709</v>
      </c>
      <c r="B4709" s="2" t="str">
        <f>IFERROR(__xludf.DUMMYFUNCTION("GOOGLETRANSLATE(A4709, ""en"", ""mt"")"),"X'inhu Nexus?")</f>
        <v>X'inhu Nexus?</v>
      </c>
    </row>
    <row r="4710" ht="15.75" customHeight="1">
      <c r="A4710" s="2" t="s">
        <v>4710</v>
      </c>
      <c r="B4710" s="2" t="str">
        <f>IFERROR(__xludf.DUMMYFUNCTION("GOOGLETRANSLATE(A4710, ""en"", ""mt"")"),"F'liema pajjiż modern twieled Tesla?")</f>
        <v>F'liema pajjiż modern twieled Tesla?</v>
      </c>
    </row>
    <row r="4711" ht="15.75" customHeight="1">
      <c r="A4711" s="2" t="s">
        <v>4711</v>
      </c>
      <c r="B4711" s="2" t="str">
        <f>IFERROR(__xludf.DUMMYFUNCTION("GOOGLETRANSLATE(A4711, ""en"", ""mt"")"),"X'ġara lill-bozoz tad-dawl fil-qrib?")</f>
        <v>X'ġara lill-bozoz tad-dawl fil-qrib?</v>
      </c>
    </row>
    <row r="4712" ht="15.75" customHeight="1">
      <c r="A4712" s="2" t="s">
        <v>4712</v>
      </c>
      <c r="B4712" s="2" t="str">
        <f>IFERROR(__xludf.DUMMYFUNCTION("GOOGLETRANSLATE(A4712, ""en"", ""mt"")"),"Pubblikazzjonijiet ostili ta 'Luther")</f>
        <v>Pubblikazzjonijiet ostili ta 'Luther</v>
      </c>
    </row>
    <row r="4713" ht="15.75" customHeight="1">
      <c r="A4713" s="2" t="s">
        <v>4713</v>
      </c>
      <c r="B4713" s="2" t="str">
        <f>IFERROR(__xludf.DUMMYFUNCTION("GOOGLETRANSLATE(A4713, ""en"", ""mt"")"),"parti bikrija")</f>
        <v>parti bikrija</v>
      </c>
    </row>
    <row r="4714" ht="15.75" customHeight="1">
      <c r="A4714" s="2" t="s">
        <v>4714</v>
      </c>
      <c r="B4714" s="2" t="str">
        <f>IFERROR(__xludf.DUMMYFUNCTION("GOOGLETRANSLATE(A4714, ""en"", ""mt"")"),"Introduzzjoni")</f>
        <v>Introduzzjoni</v>
      </c>
    </row>
    <row r="4715" ht="15.75" customHeight="1">
      <c r="A4715" s="2" t="s">
        <v>4715</v>
      </c>
      <c r="B4715" s="2" t="str">
        <f>IFERROR(__xludf.DUMMYFUNCTION("GOOGLETRANSLATE(A4715, ""en"", ""mt"")"),"Aktar minn nofs")</f>
        <v>Aktar minn nofs</v>
      </c>
    </row>
    <row r="4716" ht="15.75" customHeight="1">
      <c r="A4716" s="2" t="s">
        <v>4716</v>
      </c>
      <c r="B4716" s="2" t="str">
        <f>IFERROR(__xludf.DUMMYFUNCTION("GOOGLETRANSLATE(A4716, ""en"", ""mt"")"),"X’qal Luther lill-legat dwar il-papat?")</f>
        <v>X’qal Luther lill-legat dwar il-papat?</v>
      </c>
    </row>
    <row r="4717" ht="15.75" customHeight="1">
      <c r="A4717" s="2" t="s">
        <v>4717</v>
      </c>
      <c r="B4717" s="2" t="str">
        <f>IFERROR(__xludf.DUMMYFUNCTION("GOOGLETRANSLATE(A4717, ""en"", ""mt"")"),"S-band")</f>
        <v>S-band</v>
      </c>
    </row>
    <row r="4718" ht="15.75" customHeight="1">
      <c r="A4718" s="2" t="s">
        <v>4718</v>
      </c>
      <c r="B4718" s="2" t="str">
        <f>IFERROR(__xludf.DUMMYFUNCTION("GOOGLETRANSLATE(A4718, ""en"", ""mt"")"),"Bejn wieħed u ieħor kemm hemm oġġetti fil-ġabra tal-ħġieġ tal-V &amp; A?")</f>
        <v>Bejn wieħed u ieħor kemm hemm oġġetti fil-ġabra tal-ħġieġ tal-V &amp; A?</v>
      </c>
    </row>
    <row r="4719" ht="15.75" customHeight="1">
      <c r="A4719" s="2" t="s">
        <v>4719</v>
      </c>
      <c r="B4719" s="2" t="str">
        <f>IFERROR(__xludf.DUMMYFUNCTION("GOOGLETRANSLATE(A4719, ""en"", ""mt"")"),"Barra mit-Tramuntana ta 'San Diego, liema reġjun ieħor fih distretti ta' negozju?")</f>
        <v>Barra mit-Tramuntana ta 'San Diego, liema reġjun ieħor fih distretti ta' negozju?</v>
      </c>
    </row>
    <row r="4720" ht="15.75" customHeight="1">
      <c r="A4720" s="2" t="s">
        <v>4720</v>
      </c>
      <c r="B4720" s="2" t="str">
        <f>IFERROR(__xludf.DUMMYFUNCTION("GOOGLETRANSLATE(A4720, ""en"", ""mt"")"),"Ma 'liema pajjiżi jikkompetu l-Kenja għal ġiri fuq distanza twila?")</f>
        <v>Ma 'liema pajjiżi jikkompetu l-Kenja għal ġiri fuq distanza twila?</v>
      </c>
    </row>
    <row r="4721" ht="15.75" customHeight="1">
      <c r="A4721" s="2" t="s">
        <v>4721</v>
      </c>
      <c r="B4721" s="2" t="str">
        <f>IFERROR(__xludf.DUMMYFUNCTION("GOOGLETRANSLATE(A4721, ""en"", ""mt"")"),"P mhuwiex fattur ewlieni ta 'Q")</f>
        <v>P mhuwiex fattur ewlieni ta 'Q</v>
      </c>
    </row>
    <row r="4722" ht="15.75" customHeight="1">
      <c r="A4722" s="2" t="s">
        <v>4722</v>
      </c>
      <c r="B4722" s="2" t="str">
        <f>IFERROR(__xludf.DUMMYFUNCTION("GOOGLETRANSLATE(A4722, ""en"", ""mt"")"),"Fil-passat, l-għalliema tħallsu salarji relattivament baxxi. Madankollu, is-salarji medji tal-għalliema tjiebu malajr f'dawn l-aħħar snin. L-għalliema tal-Istati Uniti ġeneralment jitħallsu fuq skali gradwati, bi dħul skont l-esperjenza. Għalliema b'aktar"&amp;" esperjenza u edukazzjoni għolja jaqilgħu aktar minn dawk li għandhom grad u ċertifikat standard ta 'baċellerat. Is-salarji jvarjaw ħafna skont l-istat, l-għoli tal-ħajja relattiva, u l-grad mgħallem. Is-salarji jvarjaw ukoll fi stati fejn id-distretti ta"&amp;"l-iskejjel suburbani għonja ġeneralment għandhom skedi ta 'salarji ogħla minn distretti oħra. Is-salarju medjan għall-għalliema primarji u sekondarji kollha kien ta '$ 46,000 fl-2004, bis-salarju tad-dħul medju għal għalliem bi grad ta' baċellerat huwa st"&amp;"mat $ 32,000. Is-salarji medjani għall-għalliema ta 'qabel l-iskola, madankollu, kienu inqas minn nofs il-medjan nazzjonali għall-għalliema sekondarji, arloġġ ta' $ 21,000 fl-2004. Għall-għalliema tal-iskola għolja, is-salarji medjani fl-2007 kienu jvarja"&amp;"w minn $ 35,000 f'Dakota t'Isfel għal $ 71,000 fi New York, ma ' medjan nazzjonali ta '$ 52,000. Xi kuntratti jistgħu jinkludu assigurazzjoni ta 'diżabilità fit-tul, assigurazzjoni tal-ħajja, leave ta' emerġenza / leave personali u għażliet ta 'investimen"&amp;"t. L-istħarriġ tas-salarju tal-għalliema tal-Federazzjoni Amerikana tal-Għalliema għas-sena skolastika 2006-07 sab li s-salarju medju tal-għalliema kien ta '$ 51,009. F’rapport ta ’stħarriġ dwar is-salarji għall-għalliema tal-K-12, l-għalliema tal-iskola "&amp;"elementari kellhom l-inqas salarju medjan li jaqla’ $ 39,259. L-għalliema tal-iskola għolja kellhom l-ogħla salarju medjan li jaqilgħu $ 41,855. Ħafna għalliema jieħdu vantaġġ mill-opportunità li jżidu d-dħul tagħhom billi jissorveljaw programmi ta 'wara "&amp;"l-iskola u attivitajiet oħra extra-kurrikulari. Minbarra l-kumpens monetarju, l-għalliema tal-iskejjel pubbliċi jistgħu wkoll igawdu benefiċċji akbar (bħal assigurazzjoni tas-saħħa) meta mqabbla ma 'okkupazzjonijiet oħra. Is-sistemi tal-paga tal-mertu qeg"&amp;"ħdin jiżdiedu għall-għalliema, iħallsu l-għalliema flus żejda bbażati fuq evalwazzjonijiet tal-klassi eċċellenti, punteġġi għoljin tat-test u għal suċċess għoli fl-iskola ġenerali tagħhom. Ukoll, bil-miġja ta 'l-Internet, ħafna għalliema issa qed ibigħu l"&amp;"-pjanijiet tal-lezzjoni tagħhom lil għalliema oħra permezz tal-web sabiex jaqilgħu dħul supplimentari, l-aktar fuq TeacherSpayteachers.com.")</f>
        <v>Fil-passat, l-għalliema tħallsu salarji relattivament baxxi. Madankollu, is-salarji medji tal-għalliema tjiebu malajr f'dawn l-aħħar snin. L-għalliema tal-Istati Uniti ġeneralment jitħallsu fuq skali gradwati, bi dħul skont l-esperjenza. Għalliema b'aktar esperjenza u edukazzjoni għolja jaqilgħu aktar minn dawk li għandhom grad u ċertifikat standard ta 'baċellerat. Is-salarji jvarjaw ħafna skont l-istat, l-għoli tal-ħajja relattiva, u l-grad mgħallem. Is-salarji jvarjaw ukoll fi stati fejn id-distretti tal-iskejjel suburbani għonja ġeneralment għandhom skedi ta 'salarji ogħla minn distretti oħra. Is-salarju medjan għall-għalliema primarji u sekondarji kollha kien ta '$ 46,000 fl-2004, bis-salarju tad-dħul medju għal għalliem bi grad ta' baċellerat huwa stmat $ 32,000. Is-salarji medjani għall-għalliema ta 'qabel l-iskola, madankollu, kienu inqas minn nofs il-medjan nazzjonali għall-għalliema sekondarji, arloġġ ta' $ 21,000 fl-2004. Għall-għalliema tal-iskola għolja, is-salarji medjani fl-2007 kienu jvarjaw minn $ 35,000 f'Dakota t'Isfel għal $ 71,000 fi New York, ma ' medjan nazzjonali ta '$ 52,000. Xi kuntratti jistgħu jinkludu assigurazzjoni ta 'diżabilità fit-tul, assigurazzjoni tal-ħajja, leave ta' emerġenza / leave personali u għażliet ta 'investiment. L-istħarriġ tas-salarju tal-għalliema tal-Federazzjoni Amerikana tal-Għalliema għas-sena skolastika 2006-07 sab li s-salarju medju tal-għalliema kien ta '$ 51,009. F’rapport ta ’stħarriġ dwar is-salarji għall-għalliema tal-K-12, l-għalliema tal-iskola elementari kellhom l-inqas salarju medjan li jaqla’ $ 39,259. L-għalliema tal-iskola għolja kellhom l-ogħla salarju medjan li jaqilgħu $ 41,855. Ħafna għalliema jieħdu vantaġġ mill-opportunità li jżidu d-dħul tagħhom billi jissorveljaw programmi ta 'wara l-iskola u attivitajiet oħra extra-kurrikulari. Minbarra l-kumpens monetarju, l-għalliema tal-iskejjel pubbliċi jistgħu wkoll igawdu benefiċċji akbar (bħal assigurazzjoni tas-saħħa) meta mqabbla ma 'okkupazzjonijiet oħra. Is-sistemi tal-paga tal-mertu qegħdin jiżdiedu għall-għalliema, iħallsu l-għalliema flus żejda bbażati fuq evalwazzjonijiet tal-klassi eċċellenti, punteġġi għoljin tat-test u għal suċċess għoli fl-iskola ġenerali tagħhom. Ukoll, bil-miġja ta 'l-Internet, ħafna għalliema issa qed ibigħu l-pjanijiet tal-lezzjoni tagħhom lil għalliema oħra permezz tal-web sabiex jaqilgħu dħul supplimentari, l-aktar fuq TeacherSpayteachers.com.</v>
      </c>
    </row>
    <row r="4723" ht="15.75" customHeight="1">
      <c r="A4723" s="2" t="s">
        <v>4723</v>
      </c>
      <c r="B4723" s="2" t="str">
        <f>IFERROR(__xludf.DUMMYFUNCTION("GOOGLETRANSLATE(A4723, ""en"", ""mt"")"),"It-tossiċità tal-ossiġnu għall-pulmuni u s-sistema nervuża ċentrali tista 'sseħħ ukoll fl-għadis fil-fond u fl-għadis tal-wiċċ fornut. Nifs fit-tul ta 'taħlita ta' l-arja b'o
2 pressjoni parzjali aktar minn 60 kPa jistgħu eventwalment iwasslu għal fibrożi"&amp;" pulmonari permanenti. Espożizzjoni għal o
2 pressjonijiet parzjali akbar minn 160 kPa (madwar 1.6 atm) jistgħu jwasslu għal konvulżjonijiet (normalment fatali għall-għaddasa). Tossiċità akuta ta 'ossiġnu (li tikkawża aċċessjonijiet, l-iktar effett tal-bi"&amp;"ża' tagħha għall-għaddasa) jista 'jseħħ billi tieħu n-nifs ta' taħlita ta 'l-arja b'21% o
2 f'66 m jew aktar ta 'fond; L-istess ħaġa tista 'sseħħ billi tieħu n-nifs 100% o
2 f'6 m.")</f>
        <v>It-tossiċità tal-ossiġnu għall-pulmuni u s-sistema nervuża ċentrali tista 'sseħħ ukoll fl-għadis fil-fond u fl-għadis tal-wiċċ fornut. Nifs fit-tul ta 'taħlita ta' l-arja b'o
2 pressjoni parzjali aktar minn 60 kPa jistgħu eventwalment iwasslu għal fibrożi pulmonari permanenti. Espożizzjoni għal o
2 pressjonijiet parzjali akbar minn 160 kPa (madwar 1.6 atm) jistgħu jwasslu għal konvulżjonijiet (normalment fatali għall-għaddasa). Tossiċità akuta ta 'ossiġnu (li tikkawża aċċessjonijiet, l-iktar effett tal-biża' tagħha għall-għaddasa) jista 'jseħħ billi tieħu n-nifs ta' taħlita ta 'l-arja b'21% o
2 f'66 m jew aktar ta 'fond; L-istess ħaġa tista 'sseħħ billi tieħu n-nifs 100% o
2 f'6 m.</v>
      </c>
    </row>
    <row r="4724" ht="15.75" customHeight="1">
      <c r="A4724" s="2" t="s">
        <v>4724</v>
      </c>
      <c r="B4724" s="2" t="str">
        <f>IFERROR(__xludf.DUMMYFUNCTION("GOOGLETRANSLATE(A4724, ""en"", ""mt"")"),"sekulari")</f>
        <v>sekulari</v>
      </c>
    </row>
    <row r="4725" ht="15.75" customHeight="1">
      <c r="A4725" s="2" t="s">
        <v>4725</v>
      </c>
      <c r="B4725" s="2" t="str">
        <f>IFERROR(__xludf.DUMMYFUNCTION("GOOGLETRANSLATE(A4725, ""en"", ""mt"")"),"Liema karatteristika ta 'ossiġnu tagħmilha neċessarja għall-ħajja?")</f>
        <v>Liema karatteristika ta 'ossiġnu tagħmilha neċessarja għall-ħajja?</v>
      </c>
    </row>
    <row r="4726" ht="15.75" customHeight="1">
      <c r="A4726" s="2" t="s">
        <v>4726</v>
      </c>
      <c r="B4726" s="2" t="str">
        <f>IFERROR(__xludf.DUMMYFUNCTION("GOOGLETRANSLATE(A4726, ""en"", ""mt"")"),"Il-President tal-Kunsill jista 'jivvota dwar kwistjonijiet importanti relatati mal-Bank Ċentrali Ewropew?")</f>
        <v>Il-President tal-Kunsill jista 'jivvota dwar kwistjonijiet importanti relatati mal-Bank Ċentrali Ewropew?</v>
      </c>
    </row>
    <row r="4727" ht="15.75" customHeight="1">
      <c r="A4727" s="2" t="s">
        <v>4727</v>
      </c>
      <c r="B4727" s="2" t="str">
        <f>IFERROR(__xludf.DUMMYFUNCTION("GOOGLETRANSLATE(A4727, ""en"", ""mt"")"),"X'kienet l-idea ewlenija tal-karta ta 'James Hutton?")</f>
        <v>X'kienet l-idea ewlenija tal-karta ta 'James Hutton?</v>
      </c>
    </row>
    <row r="4728" ht="15.75" customHeight="1">
      <c r="A4728" s="2" t="s">
        <v>4728</v>
      </c>
      <c r="B4728" s="2" t="str">
        <f>IFERROR(__xludf.DUMMYFUNCTION("GOOGLETRANSLATE(A4728, ""en"", ""mt"")"),"Min jiddefinixxi dak li jikkostitwixxi relazzjoni ta 'marki għall-pazjent?")</f>
        <v>Min jiddefinixxi dak li jikkostitwixxi relazzjoni ta 'marki għall-pazjent?</v>
      </c>
    </row>
    <row r="4729" ht="15.75" customHeight="1">
      <c r="A4729" s="2" t="s">
        <v>4729</v>
      </c>
      <c r="B4729" s="2" t="str">
        <f>IFERROR(__xludf.DUMMYFUNCTION("GOOGLETRANSLATE(A4729, ""en"", ""mt"")"),"L-interjuri tat-tliet kmamar ta 'refreshment ġew assenjati lil disinjaturi differenti. Il-Green Dining Room 1866–68 kienet ix-xogħol ta ’Philip Webb u William Morris, u turi influwenzi ta’ Elizabethan. Il-parti t'isfel tal-ħitan huma pannelli fl-injam b'f"&amp;"axxa ta 'pitturi li juru l-frott u l-figura okkażjonali, bil-weraq tal-ġibs iffurmat fuq il-parti ewlenija tal-ħajt u frieze tal-ġibs madwar il-limitu mżejjen u twieqi tal-ħġieġ imtebba' minn Edward Burne- Jones. Il-Kamra ta 'Refreshment taċ-Ċentru 1865–7"&amp;"7 kienet iddisinjata fi stil ta' rinaxximent minn James Gamble, il-ħitan u anke l-kolonni joniċi huma koperti bil-madum taċ-ċeramika dekorattivi u ffurmati, il-limitu jikkonsisti minn disinji elaborati fuq folji tal-metall enameled u twieqi tal-ħġieġ imte"&amp;"bba ', li jaqblu ma' l-ħġieġ, In-nar tal-irħam ġie ddisinjat u skolpita minn Alfred Stevens u tneħħa mid-Dar Dorchester qabel it-twaqqigħ ta 'dik il-bini fl-1929. Il-kamra tal-grill 1876–81 kienet iddisinjata minn Sir Edward Poynter, il-parti ta' isfel ta"&amp;"l-ħitan tikkonsisti minn madum blu u abjad ma ' Diversi figuri u weraq magħluqin mill-pannelli tal-injam, hawn fuq hemm xeni kbar bil-madum b'ċifri li juru l-erba 'staġuni u t-tnax-il xahar dawn kienu miżbugħa minn onorevoli mill-iskola tal-arti imbagħad "&amp;"ibbażati fil-mużew, it-twieqi huma wkoll imtebba' tal-ħġieġ, hemm Grill tal-ħadid fondut elaborat għadu fis-seħħ.")</f>
        <v>L-interjuri tat-tliet kmamar ta 'refreshment ġew assenjati lil disinjaturi differenti. Il-Green Dining Room 1866–68 kienet ix-xogħol ta ’Philip Webb u William Morris, u turi influwenzi ta’ Elizabethan. Il-parti t'isfel tal-ħitan huma pannelli fl-injam b'faxxa ta 'pitturi li juru l-frott u l-figura okkażjonali, bil-weraq tal-ġibs iffurmat fuq il-parti ewlenija tal-ħajt u frieze tal-ġibs madwar il-limitu mżejjen u twieqi tal-ħġieġ imtebba' minn Edward Burne- Jones. Il-Kamra ta 'Refreshment taċ-Ċentru 1865–77 kienet iddisinjata fi stil ta' rinaxximent minn James Gamble, il-ħitan u anke l-kolonni joniċi huma koperti bil-madum taċ-ċeramika dekorattivi u ffurmati, il-limitu jikkonsisti minn disinji elaborati fuq folji tal-metall enameled u twieqi tal-ħġieġ imtebba ', li jaqblu ma' l-ħġieġ, In-nar tal-irħam ġie ddisinjat u skolpita minn Alfred Stevens u tneħħa mid-Dar Dorchester qabel it-twaqqigħ ta 'dik il-bini fl-1929. Il-kamra tal-grill 1876–81 kienet iddisinjata minn Sir Edward Poynter, il-parti ta' isfel tal-ħitan tikkonsisti minn madum blu u abjad ma ' Diversi figuri u weraq magħluqin mill-pannelli tal-injam, hawn fuq hemm xeni kbar bil-madum b'ċifri li juru l-erba 'staġuni u t-tnax-il xahar dawn kienu miżbugħa minn onorevoli mill-iskola tal-arti imbagħad ibbażati fil-mużew, it-twieqi huma wkoll imtebba' tal-ħġieġ, hemm Grill tal-ħadid fondut elaborat għadu fis-seħħ.</v>
      </c>
    </row>
    <row r="4730" ht="15.75" customHeight="1">
      <c r="A4730" s="2" t="s">
        <v>4730</v>
      </c>
      <c r="B4730" s="2" t="str">
        <f>IFERROR(__xludf.DUMMYFUNCTION("GOOGLETRANSLATE(A4730, ""en"", ""mt"")"),"Evita trivjalizzazzjoni.")</f>
        <v>Evita trivjalizzazzjoni.</v>
      </c>
    </row>
    <row r="4731" ht="15.75" customHeight="1">
      <c r="A4731" s="2" t="s">
        <v>4731</v>
      </c>
      <c r="B4731" s="2" t="str">
        <f>IFERROR(__xludf.DUMMYFUNCTION("GOOGLETRANSLATE(A4731, ""en"", ""mt"")"),"Qwest")</f>
        <v>Qwest</v>
      </c>
    </row>
    <row r="4732" ht="15.75" customHeight="1">
      <c r="A4732" s="2" t="s">
        <v>4732</v>
      </c>
      <c r="B4732" s="2" t="str">
        <f>IFERROR(__xludf.DUMMYFUNCTION("GOOGLETRANSLATE(A4732, ""en"", ""mt"")"),"L-iskejjel privati, magħrufa wkoll bħala skejjel indipendenti, skejjel mhux governattivi, jew mhux statali, mhumiex amministrati minn gvernijiet lokali, statali jew nazzjonali; Għalhekk, huma jżommu d-dritt li jagħżlu l-istudenti tagħhom u huma ffinanzjat"&amp;"i kollha jew parzjalment billi jiċċarġjaw l-istudenti tagħhom, aktar milli jiddependu fuq tassazzjoni obbligatorja permezz ta 'finanzjament pubbliku (gvern); F’xi skejjel privati ​​l-istudenti jistgħu jkunu jistgħu jiksbu borża ta ’studju, li tagħmel l-is"&amp;"piża irħas, skont it-talent li l-istudent jista’ jkollu (per eżempju borża sportiva, borża ta ’studju tal-arti, borża ta’ studju akkademiku), ħtieġa finanzjarja, jew boroż ta ’kreditu tat-taxxa li jistgħu jkunu disponibbli -")</f>
        <v>L-iskejjel privati, magħrufa wkoll bħala skejjel indipendenti, skejjel mhux governattivi, jew mhux statali, mhumiex amministrati minn gvernijiet lokali, statali jew nazzjonali; Għalhekk, huma jżommu d-dritt li jagħżlu l-istudenti tagħhom u huma ffinanzjati kollha jew parzjalment billi jiċċarġjaw l-istudenti tagħhom, aktar milli jiddependu fuq tassazzjoni obbligatorja permezz ta 'finanzjament pubbliku (gvern); F’xi skejjel privati ​​l-istudenti jistgħu jkunu jistgħu jiksbu borża ta ’studju, li tagħmel l-ispiża irħas, skont it-talent li l-istudent jista’ jkollu (per eżempju borża sportiva, borża ta ’studju tal-arti, borża ta’ studju akkademiku), ħtieġa finanzjarja, jew boroż ta ’kreditu tat-taxxa li jistgħu jkunu disponibbli -</v>
      </c>
    </row>
    <row r="4733" ht="15.75" customHeight="1">
      <c r="A4733" s="2" t="s">
        <v>4733</v>
      </c>
      <c r="B4733" s="2" t="str">
        <f>IFERROR(__xludf.DUMMYFUNCTION("GOOGLETRANSLATE(A4733, ""en"", ""mt"")"),"L-aħħar 5-10 miljun sena")</f>
        <v>L-aħħar 5-10 miljun sena</v>
      </c>
    </row>
    <row r="4734" ht="15.75" customHeight="1">
      <c r="A4734" s="2" t="s">
        <v>4734</v>
      </c>
      <c r="B4734" s="2" t="str">
        <f>IFERROR(__xludf.DUMMYFUNCTION("GOOGLETRANSLATE(A4734, ""en"", ""mt"")"),"Aħżen u Qalb Quddiem")</f>
        <v>Aħżen u Qalb Quddiem</v>
      </c>
    </row>
    <row r="4735" ht="15.75" customHeight="1">
      <c r="A4735" s="2" t="s">
        <v>4735</v>
      </c>
      <c r="B4735" s="2" t="str">
        <f>IFERROR(__xludf.DUMMYFUNCTION("GOOGLETRANSLATE(A4735, ""en"", ""mt"")"),"Kif jissejħu l-abitanti indiġeni tal-Awstralja?")</f>
        <v>Kif jissejħu l-abitanti indiġeni tal-Awstralja?</v>
      </c>
    </row>
    <row r="4736" ht="15.75" customHeight="1">
      <c r="A4736" s="2" t="s">
        <v>4736</v>
      </c>
      <c r="B4736" s="2" t="str">
        <f>IFERROR(__xludf.DUMMYFUNCTION("GOOGLETRANSLATE(A4736, ""en"", ""mt"")"),"renji")</f>
        <v>renji</v>
      </c>
    </row>
    <row r="4737" ht="15.75" customHeight="1">
      <c r="A4737" s="2" t="s">
        <v>4737</v>
      </c>
      <c r="B4737" s="2" t="str">
        <f>IFERROR(__xludf.DUMMYFUNCTION("GOOGLETRANSLATE(A4737, ""en"", ""mt"")"),"3.5 biljun sena ilu")</f>
        <v>3.5 biljun sena ilu</v>
      </c>
    </row>
    <row r="4738" ht="15.75" customHeight="1">
      <c r="A4738" s="2" t="s">
        <v>4738</v>
      </c>
      <c r="B4738" s="2" t="str">
        <f>IFERROR(__xludf.DUMMYFUNCTION("GOOGLETRANSLATE(A4738, ""en"", ""mt"")"),"Programm ta 'Ambjent tan-Nazzjonijiet Uniti (UNEP) u l-Organizzazzjoni Meteoroloġika Dinjija (WMO)")</f>
        <v>Programm ta 'Ambjent tan-Nazzjonijiet Uniti (UNEP) u l-Organizzazzjoni Meteoroloġika Dinjija (WMO)</v>
      </c>
    </row>
    <row r="4739" ht="15.75" customHeight="1">
      <c r="A4739" s="2" t="s">
        <v>4739</v>
      </c>
      <c r="B4739" s="2" t="str">
        <f>IFERROR(__xludf.DUMMYFUNCTION("GOOGLETRANSLATE(A4739, ""en"", ""mt"")"),"Il-kloroplasti huma dinamiċi ħafna - jiċċirkolaw u jiġu mċaqalqa fiċ-ċelloli tal-pjanti, u kultant għafsu fi tnejn biex jirriproduċu. L-imġieba tagħhom hija influwenzata sew minn fatturi ambjentali bħall-kulur ħafif u l-intensità. Il-kloroplasti, bħall-mi"&amp;"tokondrija, fihom id-DNA tagħhom stess, li huwa maħsub li jintiret mill-antenat tagħhom - cyanobacterium fotosintetiku li kien maħkum minn ċellula ewkarjotika bikrija. Il-kloroplasti ma jistgħux isiru miċ-ċellula tal-pjanti u għandhom jintirtu minn kull t"&amp;"ifla taċ-ċellula waqt id-diviżjoni taċ-ċellula.")</f>
        <v>Il-kloroplasti huma dinamiċi ħafna - jiċċirkolaw u jiġu mċaqalqa fiċ-ċelloli tal-pjanti, u kultant għafsu fi tnejn biex jirriproduċu. L-imġieba tagħhom hija influwenzata sew minn fatturi ambjentali bħall-kulur ħafif u l-intensità. Il-kloroplasti, bħall-mitokondrija, fihom id-DNA tagħhom stess, li huwa maħsub li jintiret mill-antenat tagħhom - cyanobacterium fotosintetiku li kien maħkum minn ċellula ewkarjotika bikrija. Il-kloroplasti ma jistgħux isiru miċ-ċellula tal-pjanti u għandhom jintirtu minn kull tifla taċ-ċellula waqt id-diviżjoni taċ-ċellula.</v>
      </c>
    </row>
    <row r="4740" ht="15.75" customHeight="1">
      <c r="A4740" s="2" t="s">
        <v>4740</v>
      </c>
      <c r="B4740" s="2" t="str">
        <f>IFERROR(__xludf.DUMMYFUNCTION("GOOGLETRANSLATE(A4740, ""en"", ""mt"")"),"Miċ-ċensiment tal-2000, kien hemm 427,652 persuna, 140,079 djar, u 97,915 familja li joqogħdu fil-belt. Id-densità tal-popolazzjoni kienet ta ’4,097.9 persuna kull mil kwadru (1,582.2 / km²). Kien hemm 149,025 unità tad-djar b'densità medja ta '1,427.9 mi"&amp;"l kwadru (3,698 km2). L-għamla razzjali tal-belt kienet 50.2% bajda, 8.4% iswed jew Afrikan Amerikan, 1.6% Native American, 11.2% Asjatiċi (madwar terz minnhom huwa hmong), 0.1% Pacific Islander, 23.4% minn razez oħra, u 5.2% minn żewġ tiġrijiet jew aktar"&amp;". Hispanic jew Latino ta 'kwalunkwe razza kienu 39.9% tal-popolazzjoni.")</f>
        <v>Miċ-ċensiment tal-2000, kien hemm 427,652 persuna, 140,079 djar, u 97,915 familja li joqogħdu fil-belt. Id-densità tal-popolazzjoni kienet ta ’4,097.9 persuna kull mil kwadru (1,582.2 / km²). Kien hemm 149,025 unità tad-djar b'densità medja ta '1,427.9 mil kwadru (3,698 km2). L-għamla razzjali tal-belt kienet 50.2% bajda, 8.4% iswed jew Afrikan Amerikan, 1.6% Native American, 11.2% Asjatiċi (madwar terz minnhom huwa hmong), 0.1% Pacific Islander, 23.4% minn razez oħra, u 5.2% minn żewġ tiġrijiet jew aktar. Hispanic jew Latino ta 'kwalunkwe razza kienu 39.9% tal-popolazzjoni.</v>
      </c>
    </row>
    <row r="4741" ht="15.75" customHeight="1">
      <c r="A4741" s="2" t="s">
        <v>4741</v>
      </c>
      <c r="B4741" s="2" t="str">
        <f>IFERROR(__xludf.DUMMYFUNCTION("GOOGLETRANSLATE(A4741, ""en"", ""mt"")"),"Għaliex il-qgħad jagħmel ħsara lit-tkabbir?")</f>
        <v>Għaliex il-qgħad jagħmel ħsara lit-tkabbir?</v>
      </c>
    </row>
    <row r="4742" ht="15.75" customHeight="1">
      <c r="A4742" s="2" t="s">
        <v>4742</v>
      </c>
      <c r="B4742" s="2" t="str">
        <f>IFERROR(__xludf.DUMMYFUNCTION("GOOGLETRANSLATE(A4742, ""en"", ""mt"")"),"Northern San Diego")</f>
        <v>Northern San Diego</v>
      </c>
    </row>
    <row r="4743" ht="15.75" customHeight="1">
      <c r="A4743" s="2" t="s">
        <v>4743</v>
      </c>
      <c r="B4743" s="2" t="str">
        <f>IFERROR(__xludf.DUMMYFUNCTION("GOOGLETRANSLATE(A4743, ""en"", ""mt"")"),"Kemm kien twil l-għoli aħħari tat-torri?")</f>
        <v>Kemm kien twil l-għoli aħħari tat-torri?</v>
      </c>
    </row>
    <row r="4744" ht="15.75" customHeight="1">
      <c r="A4744" s="2" t="s">
        <v>4744</v>
      </c>
      <c r="B4744" s="2" t="str">
        <f>IFERROR(__xludf.DUMMYFUNCTION("GOOGLETRANSLATE(A4744, ""en"", ""mt"")"),"Liema artijiet ġew riservati għan-nies tan-nies?")</f>
        <v>Liema artijiet ġew riservati għan-nies tan-nies?</v>
      </c>
    </row>
    <row r="4745" ht="15.75" customHeight="1">
      <c r="A4745" s="2" t="s">
        <v>4745</v>
      </c>
      <c r="B4745" s="2" t="str">
        <f>IFERROR(__xludf.DUMMYFUNCTION("GOOGLETRANSLATE(A4745, ""en"", ""mt"")"),"Rapport Annwali tal-Istatus tal-Edukazzjoni")</f>
        <v>Rapport Annwali tal-Istatus tal-Edukazzjoni</v>
      </c>
    </row>
    <row r="4746" ht="15.75" customHeight="1">
      <c r="A4746" s="2" t="s">
        <v>4746</v>
      </c>
      <c r="B4746" s="2" t="str">
        <f>IFERROR(__xludf.DUMMYFUNCTION("GOOGLETRANSLATE(A4746, ""en"", ""mt"")"),"Mill-2005, x'inhu s-sess ta 'Doctor Who's Primary Traveling Companion?")</f>
        <v>Mill-2005, x'inhu s-sess ta 'Doctor Who's Primary Traveling Companion?</v>
      </c>
    </row>
    <row r="4747" ht="15.75" customHeight="1">
      <c r="A4747" s="2" t="s">
        <v>4747</v>
      </c>
      <c r="B4747" s="2" t="str">
        <f>IFERROR(__xludf.DUMMYFUNCTION("GOOGLETRANSLATE(A4747, ""en"", ""mt"")"),"Satelliti Pegasus")</f>
        <v>Satelliti Pegasus</v>
      </c>
    </row>
    <row r="4748" ht="15.75" customHeight="1">
      <c r="A4748" s="2" t="s">
        <v>4748</v>
      </c>
      <c r="B4748" s="2" t="str">
        <f>IFERROR(__xludf.DUMMYFUNCTION("GOOGLETRANSLATE(A4748, ""en"", ""mt"")"),"Newcastle upon Tyne (rp: I / ˌNjuːkɑːsəl əˌpɒn ˈtaɪn /; lokalment: i / njuːˌkæsəl əˌpən ˈtaɪn /), komunement magħrufa bħala Newcastle, hija belt fi Tyne u Wear, North England, 103 mili (166 km) fin-Nofsinhar ta 'Edinburgh u 277 mil (446 km) fit-tramuntana"&amp;" ta ’Londra fuq il-bank tat-tramuntana tax-xmara Tyne, 8.5 mi (13.7 km) mill-Baħar tat-Tramuntana. Newcastle hija l-iktar belt popolata fil-Lvant tal-Grigal u Tyneside t-tmien l-iktar conurbazzjoni popolata fir-Renju Unit. Newcastle huwa membru tal-Grupp "&amp;"tal-Bliet tal-Qalba Ingliża u huwa membru tan-Netwerk tal-Eurocities tal-Bliet Ewropej. Newcastle kien parti mill-Kontea ta 'Northumberland sal-1400, meta sar kontea nnifisha, status li żamm sakemm sar parti minn Tyne u Wear fl-1974. [Mhux fiċ-ċitazzjoni "&amp;"mogħtija] il-laqam reġjonali u d-djalett għal nies minn Newcastle u l-madwar Iż-żona hija Geordie.")</f>
        <v>Newcastle upon Tyne (rp: I / ˌNjuːkɑːsəl əˌpɒn ˈtaɪn /; lokalment: i / njuːˌkæsəl əˌpən ˈtaɪn /), komunement magħrufa bħala Newcastle, hija belt fi Tyne u Wear, North England, 103 mili (166 km) fin-Nofsinhar ta 'Edinburgh u 277 mil (446 km) fit-tramuntana ta ’Londra fuq il-bank tat-tramuntana tax-xmara Tyne, 8.5 mi (13.7 km) mill-Baħar tat-Tramuntana. Newcastle hija l-iktar belt popolata fil-Lvant tal-Grigal u Tyneside t-tmien l-iktar conurbazzjoni popolata fir-Renju Unit. Newcastle huwa membru tal-Grupp tal-Bliet tal-Qalba Ingliża u huwa membru tan-Netwerk tal-Eurocities tal-Bliet Ewropej. Newcastle kien parti mill-Kontea ta 'Northumberland sal-1400, meta sar kontea nnifisha, status li żamm sakemm sar parti minn Tyne u Wear fl-1974. [Mhux fiċ-ċitazzjoni mogħtija] il-laqam reġjonali u d-djalett għal nies minn Newcastle u l-madwar Iż-żona hija Geordie.</v>
      </c>
    </row>
    <row r="4749" ht="15.75" customHeight="1">
      <c r="A4749" s="2" t="s">
        <v>4749</v>
      </c>
      <c r="B4749" s="2" t="str">
        <f>IFERROR(__xludf.DUMMYFUNCTION("GOOGLETRANSLATE(A4749, ""en"", ""mt"")"),"Spiżeriji Speċjalizzati")</f>
        <v>Spiżeriji Speċjalizzati</v>
      </c>
    </row>
    <row r="4750" ht="15.75" customHeight="1">
      <c r="A4750" s="2" t="s">
        <v>4750</v>
      </c>
      <c r="B4750" s="2" t="str">
        <f>IFERROR(__xludf.DUMMYFUNCTION("GOOGLETRANSLATE(A4750, ""en"", ""mt"")"),"Atleti Kenjani")</f>
        <v>Atleti Kenjani</v>
      </c>
    </row>
    <row r="4751" ht="15.75" customHeight="1">
      <c r="A4751" s="2" t="s">
        <v>4751</v>
      </c>
      <c r="B4751" s="2" t="str">
        <f>IFERROR(__xludf.DUMMYFUNCTION("GOOGLETRANSLATE(A4751, ""en"", ""mt"")"),"Min jibni l-belt tal-port maġġuri fil-Kenja?")</f>
        <v>Min jibni l-belt tal-port maġġuri fil-Kenja?</v>
      </c>
    </row>
    <row r="4752" ht="15.75" customHeight="1">
      <c r="A4752" s="2" t="s">
        <v>4752</v>
      </c>
      <c r="B4752" s="2" t="str">
        <f>IFERROR(__xludf.DUMMYFUNCTION("GOOGLETRANSLATE(A4752, ""en"", ""mt"")"),"Fir-rebbiegħa tal-1753, Paul Marin de la Malgue ingħata kmand ta ’forza ta’ 2,000 raġel ta ’truppi de la Marine u Indjani. L-ordnijiet tiegħu kienu li jipproteġu l-art tar-re fil-Wied ta 'Ohio mill-Ingliżi. Marin segwa r-rotta li Céloron kien fassal erba "&amp;"'snin qabel, iżda fejn Céloron kien illimita r-rekord tat-talbiet Franċiżi għad-difna ta' pjanċi taċ-ċomb, Marin mibni u forts garrisoned. Huwa l-ewwel bena Fort Presque Isle (ħdejn Erie tal-lum, Pennsylvania) fuq ix-Xatt tan-Nofsinhar tal-Lag Erie. Kellu"&amp;" triq mibnija lejn il-headwaters ta ’Leboeuf Creek. Marin bena t-tieni Fort fil-Fort Le Boeuf (preżenti Waterford, Pennsylvania), iddisinjat biex jgħasses il-headwaters ta 'Leboeuf Creek. Hekk kif mexa lejn in-nofsinhar, huwa saq jew qabad negozjanti Ingl"&amp;"iżi, allarmanti kemm lill-Ingliżi kif ukoll lill-Iroquois. Tanaghrisson, kap tal-Mingo, li kienu fdalijiet ta 'Iroquois u tribujiet oħra li kienu mmexxija lejn il-punent minn espansjoni kolonjali. Huwa ma qagħadx b'mod intensiv lill-Franċiżi (li huwa akku"&amp;"żat li qatel u jiekol lil missieru). Jivvjaġġa lejn Fort Le Boeuf, huwa hedded lill-Franċiżi b'azzjoni militari, li Marin ċaħad b'mod dispreġġjattiv.")</f>
        <v>Fir-rebbiegħa tal-1753, Paul Marin de la Malgue ingħata kmand ta ’forza ta’ 2,000 raġel ta ’truppi de la Marine u Indjani. L-ordnijiet tiegħu kienu li jipproteġu l-art tar-re fil-Wied ta 'Ohio mill-Ingliżi. Marin segwa r-rotta li Céloron kien fassal erba 'snin qabel, iżda fejn Céloron kien illimita r-rekord tat-talbiet Franċiżi għad-difna ta' pjanċi taċ-ċomb, Marin mibni u forts garrisoned. Huwa l-ewwel bena Fort Presque Isle (ħdejn Erie tal-lum, Pennsylvania) fuq ix-Xatt tan-Nofsinhar tal-Lag Erie. Kellu triq mibnija lejn il-headwaters ta ’Leboeuf Creek. Marin bena t-tieni Fort fil-Fort Le Boeuf (preżenti Waterford, Pennsylvania), iddisinjat biex jgħasses il-headwaters ta 'Leboeuf Creek. Hekk kif mexa lejn in-nofsinhar, huwa saq jew qabad negozjanti Ingliżi, allarmanti kemm lill-Ingliżi kif ukoll lill-Iroquois. Tanaghrisson, kap tal-Mingo, li kienu fdalijiet ta 'Iroquois u tribujiet oħra li kienu mmexxija lejn il-punent minn espansjoni kolonjali. Huwa ma qagħadx b'mod intensiv lill-Franċiżi (li huwa akkużat li qatel u jiekol lil missieru). Jivvjaġġa lejn Fort Le Boeuf, huwa hedded lill-Franċiżi b'azzjoni militari, li Marin ċaħad b'mod dispreġġjattiv.</v>
      </c>
    </row>
    <row r="4753" ht="15.75" customHeight="1">
      <c r="A4753" s="2" t="s">
        <v>4753</v>
      </c>
      <c r="B4753" s="2" t="str">
        <f>IFERROR(__xludf.DUMMYFUNCTION("GOOGLETRANSLATE(A4753, ""en"", ""mt"")"),"Liema ikoni ġew introdotti mill-ġdid fis-Serje 2 tal-Revival Show?")</f>
        <v>Liema ikoni ġew introdotti mill-ġdid fis-Serje 2 tal-Revival Show?</v>
      </c>
    </row>
    <row r="4754" ht="15.75" customHeight="1">
      <c r="A4754" s="2" t="s">
        <v>4754</v>
      </c>
      <c r="B4754" s="2" t="str">
        <f>IFERROR(__xludf.DUMMYFUNCTION("GOOGLETRANSLATE(A4754, ""en"", ""mt"")"),"X'tagħmel id-disparità tal-ġid tagħmel l-ekonomija aktar suxxettibbli għal?")</f>
        <v>X'tagħmel id-disparità tal-ġid tagħmel l-ekonomija aktar suxxettibbli għal?</v>
      </c>
    </row>
    <row r="4755" ht="15.75" customHeight="1">
      <c r="A4755" s="2" t="s">
        <v>4755</v>
      </c>
      <c r="B4755" s="2" t="str">
        <f>IFERROR(__xludf.DUMMYFUNCTION("GOOGLETRANSLATE(A4755, ""en"", ""mt"")"),"studenti motivati")</f>
        <v>studenti motivati</v>
      </c>
    </row>
    <row r="4756" ht="15.75" customHeight="1">
      <c r="A4756" s="2" t="s">
        <v>4756</v>
      </c>
      <c r="B4756" s="2" t="str">
        <f>IFERROR(__xludf.DUMMYFUNCTION("GOOGLETRANSLATE(A4756, ""en"", ""mt"")"),"mingħajr ma teqred leġittimità storika")</f>
        <v>mingħajr ma teqred leġittimità storika</v>
      </c>
    </row>
    <row r="4757" ht="15.75" customHeight="1">
      <c r="A4757" s="2" t="s">
        <v>4757</v>
      </c>
      <c r="B4757" s="2" t="str">
        <f>IFERROR(__xludf.DUMMYFUNCTION("GOOGLETRANSLATE(A4757, ""en"", ""mt"")"),"Università Medika ta 'Varsavja")</f>
        <v>Università Medika ta 'Varsavja</v>
      </c>
    </row>
    <row r="4758" ht="15.75" customHeight="1">
      <c r="A4758" s="2" t="s">
        <v>4758</v>
      </c>
      <c r="B4758" s="2" t="str">
        <f>IFERROR(__xludf.DUMMYFUNCTION("GOOGLETRANSLATE(A4758, ""en"", ""mt"")"),"Il-prinċipju ta 'relazzjonijiet transkonfinali")</f>
        <v>Il-prinċipju ta 'relazzjonijiet transkonfinali</v>
      </c>
    </row>
    <row r="4759" ht="15.75" customHeight="1">
      <c r="A4759" s="2" t="s">
        <v>4759</v>
      </c>
      <c r="B4759" s="2" t="str">
        <f>IFERROR(__xludf.DUMMYFUNCTION("GOOGLETRANSLATE(A4759, ""en"", ""mt"")"),"Għal xiex id-ditti kapitalisti jissostitwixxu tagħmir għal analiżi Marxjana?")</f>
        <v>Għal xiex id-ditti kapitalisti jissostitwixxu tagħmir għal analiżi Marxjana?</v>
      </c>
    </row>
    <row r="4760" ht="15.75" customHeight="1">
      <c r="A4760" s="2" t="s">
        <v>4760</v>
      </c>
      <c r="B4760" s="2" t="str">
        <f>IFERROR(__xludf.DUMMYFUNCTION("GOOGLETRANSLATE(A4760, ""en"", ""mt"")"),"It-teorema fundamentali tal-aritmetika")</f>
        <v>It-teorema fundamentali tal-aritmetika</v>
      </c>
    </row>
    <row r="4761" ht="15.75" customHeight="1">
      <c r="A4761" s="2" t="s">
        <v>4761</v>
      </c>
      <c r="B4761" s="2" t="str">
        <f>IFERROR(__xludf.DUMMYFUNCTION("GOOGLETRANSLATE(A4761, ""en"", ""mt"")"),"Fejn twieled Halford Mackinder?")</f>
        <v>Fejn twieled Halford Mackinder?</v>
      </c>
    </row>
    <row r="4762" ht="15.75" customHeight="1">
      <c r="A4762" s="2" t="s">
        <v>4762</v>
      </c>
      <c r="B4762" s="2" t="str">
        <f>IFERROR(__xludf.DUMMYFUNCTION("GOOGLETRANSLATE(A4762, ""en"", ""mt"")"),"Il-pesta kienet preżenti x'imkien fl-Ewropa kull sena bejn l-1346 u l-1671")</f>
        <v>Il-pesta kienet preżenti x'imkien fl-Ewropa kull sena bejn l-1346 u l-1671</v>
      </c>
    </row>
    <row r="4763" ht="15.75" customHeight="1">
      <c r="A4763" s="2" t="s">
        <v>4763</v>
      </c>
      <c r="B4763" s="2" t="str">
        <f>IFERROR(__xludf.DUMMYFUNCTION("GOOGLETRANSLATE(A4763, ""en"", ""mt"")"),"Wara l-elezzjoni tal-Partit Laburista tar-Renju Unit għall-gvern fl-1997, ir-Renju Unit issottoskrivi formalment għall-ftehim dwar il-politika soċjali, li ppermetta li jkun inkluż ma 'emendi minuri bħala l-kapitolu soċjali tat-Trattat ta' Amsterdam tal-19"&amp;"97. Ir-Renju Unit sussegwentement adotta l-leġiżlazzjoni ewlenija miftiehma qabel skont il-Ftehim dwar il-Politika Soċjali, id-Direttiva tal-Kunsill tax-Xogħlijiet tal-1994, li kienet teħtieġ konsultazzjoni tal-ħaddiema fin-negozji, u d-Direttiva tal-Leav"&amp;"e tal-Ġenituri tal-1996. Fl-għaxar snin ta 'wara t-Trattat ta' Amsterdam tal-1997 u l-adozzjoni tal-Kapitolu Soċjali li l-Unjoni Ewropea wettqet inizjattivi ta 'politika f'diversi oqsma ta' politika soċjali, inklużi relazzjonijiet tax-xogħol u tal-industr"&amp;"ija, opportunità ugwali, saħħa u sigurtà, saħħa pubblika, protezzjoni tat-tfal, il-PROTEZZJONI. B'diżabilità u anzjani, faqar, ħaddiema migranti, edukazzjoni, taħriġ u żgħażagħ.")</f>
        <v>Wara l-elezzjoni tal-Partit Laburista tar-Renju Unit għall-gvern fl-1997, ir-Renju Unit issottoskrivi formalment għall-ftehim dwar il-politika soċjali, li ppermetta li jkun inkluż ma 'emendi minuri bħala l-kapitolu soċjali tat-Trattat ta' Amsterdam tal-1997. Ir-Renju Unit sussegwentement adotta l-leġiżlazzjoni ewlenija miftiehma qabel skont il-Ftehim dwar il-Politika Soċjali, id-Direttiva tal-Kunsill tax-Xogħlijiet tal-1994, li kienet teħtieġ konsultazzjoni tal-ħaddiema fin-negozji, u d-Direttiva tal-Leave tal-Ġenituri tal-1996. Fl-għaxar snin ta 'wara t-Trattat ta' Amsterdam tal-1997 u l-adozzjoni tal-Kapitolu Soċjali li l-Unjoni Ewropea wettqet inizjattivi ta 'politika f'diversi oqsma ta' politika soċjali, inklużi relazzjonijiet tax-xogħol u tal-industrija, opportunità ugwali, saħħa u sigurtà, saħħa pubblika, protezzjoni tat-tfal, il-PROTEZZJONI. B'diżabilità u anzjani, faqar, ħaddiema migranti, edukazzjoni, taħriġ u żgħażagħ.</v>
      </c>
    </row>
    <row r="4764" ht="15.75" customHeight="1">
      <c r="A4764" s="2" t="s">
        <v>4764</v>
      </c>
      <c r="B4764" s="2" t="str">
        <f>IFERROR(__xludf.DUMMYFUNCTION("GOOGLETRANSLATE(A4764, ""en"", ""mt"")"),"18-il miljun volum")</f>
        <v>18-il miljun volum</v>
      </c>
    </row>
    <row r="4765" ht="15.75" customHeight="1">
      <c r="A4765" s="2" t="s">
        <v>4765</v>
      </c>
      <c r="B4765" s="2" t="str">
        <f>IFERROR(__xludf.DUMMYFUNCTION("GOOGLETRANSLATE(A4765, ""en"", ""mt"")"),"Bosta familji tal-Greċja Biżantina kienu ta ’oriġini merċenarja Norman matul il-perjodu tar-restawr tal-Komneni, meta l-imperaturi Biżantini kienu qed ifittxu ġellieda tal-Ewropa tal-Punent. Ir-Raoulii kienu dixxendenti minn Italo-Norman jismu Raoul, il-P"&amp;"etraliphae kienu dixxendenti minn Pierre d'Aulps, u dak il-grupp ta 'gruppi Albaniżi magħrufa bħala l-Maniakates kienu dixxendenti minn Normanni li servew taħt George Maniaces fl-expedition Sqalli ta' l-1038.")</f>
        <v>Bosta familji tal-Greċja Biżantina kienu ta ’oriġini merċenarja Norman matul il-perjodu tar-restawr tal-Komneni, meta l-imperaturi Biżantini kienu qed ifittxu ġellieda tal-Ewropa tal-Punent. Ir-Raoulii kienu dixxendenti minn Italo-Norman jismu Raoul, il-Petraliphae kienu dixxendenti minn Pierre d'Aulps, u dak il-grupp ta 'gruppi Albaniżi magħrufa bħala l-Maniakates kienu dixxendenti minn Normanni li servew taħt George Maniaces fl-expedition Sqalli ta' l-1038.</v>
      </c>
    </row>
    <row r="4766" ht="15.75" customHeight="1">
      <c r="A4766" s="2" t="s">
        <v>4766</v>
      </c>
      <c r="B4766" s="2" t="str">
        <f>IFERROR(__xludf.DUMMYFUNCTION("GOOGLETRANSLATE(A4766, ""en"", ""mt"")"),"doppju")</f>
        <v>doppju</v>
      </c>
    </row>
    <row r="4767" ht="15.75" customHeight="1">
      <c r="A4767" s="2" t="s">
        <v>4767</v>
      </c>
      <c r="B4767" s="2" t="str">
        <f>IFERROR(__xludf.DUMMYFUNCTION("GOOGLETRANSLATE(A4767, ""en"", ""mt"")"),"X'inhuma ż-żewġ gruppi ewlenin ta 'l-Ażja-Amerikani li jgħixu fil-viċinat ta' Fresno West Side?")</f>
        <v>X'inhuma ż-żewġ gruppi ewlenin ta 'l-Ażja-Amerikani li jgħixu fil-viċinat ta' Fresno West Side?</v>
      </c>
    </row>
    <row r="4768" ht="15.75" customHeight="1">
      <c r="A4768" s="2" t="s">
        <v>4768</v>
      </c>
      <c r="B4768" s="2" t="str">
        <f>IFERROR(__xludf.DUMMYFUNCTION("GOOGLETRANSLATE(A4768, ""en"", ""mt"")"),"Espansjoni Tripla tal-Baħar")</f>
        <v>Espansjoni Tripla tal-Baħar</v>
      </c>
    </row>
    <row r="4769" ht="15.75" customHeight="1">
      <c r="A4769" s="2" t="s">
        <v>4769</v>
      </c>
      <c r="B4769" s="2" t="str">
        <f>IFERROR(__xludf.DUMMYFUNCTION("GOOGLETRANSLATE(A4769, ""en"", ""mt"")"),"konċentrazzjonijiet ta 'gass serra fl-atmosfera")</f>
        <v>konċentrazzjonijiet ta 'gass serra fl-atmosfera</v>
      </c>
    </row>
    <row r="4770" ht="15.75" customHeight="1">
      <c r="A4770" s="2" t="s">
        <v>4770</v>
      </c>
      <c r="B4770" s="2" t="str">
        <f>IFERROR(__xludf.DUMMYFUNCTION("GOOGLETRANSLATE(A4770, ""en"", ""mt"")"),"X'inhu l-iskop primarju tal-kloroplasti?")</f>
        <v>X'inhu l-iskop primarju tal-kloroplasti?</v>
      </c>
    </row>
    <row r="4771" ht="15.75" customHeight="1">
      <c r="A4771" s="2" t="s">
        <v>4771</v>
      </c>
      <c r="B4771" s="2" t="str">
        <f>IFERROR(__xludf.DUMMYFUNCTION("GOOGLETRANSLATE(A4771, ""en"", ""mt"")"),"il-proporzjon baxx tagħhom ta 'materja organika għal melħ u ilma")</f>
        <v>il-proporzjon baxx tagħhom ta 'materja organika għal melħ u ilma</v>
      </c>
    </row>
    <row r="4772" ht="15.75" customHeight="1">
      <c r="A4772" s="2" t="s">
        <v>4772</v>
      </c>
      <c r="B4772" s="2" t="str">
        <f>IFERROR(__xludf.DUMMYFUNCTION("GOOGLETRANSLATE(A4772, ""en"", ""mt"")"),"Prattiki ta 'kostruzzjoni residenzjali, teknoloġiji, u riżorsi għandhom jikkonformaw ma' xiex?")</f>
        <v>Prattiki ta 'kostruzzjoni residenzjali, teknoloġiji, u riżorsi għandhom jikkonformaw ma' xiex?</v>
      </c>
    </row>
    <row r="4773" ht="15.75" customHeight="1">
      <c r="A4773" s="2" t="s">
        <v>4773</v>
      </c>
      <c r="B4773" s="2" t="str">
        <f>IFERROR(__xludf.DUMMYFUNCTION("GOOGLETRANSLATE(A4773, ""en"", ""mt"")"),"Liema kundizzjoni x'għandu jkun sodisfatt sabiex 1 / p jiġi espress fil-bażi Q minflok il-bażi 10 u xorta jkollok perjodu ta 'p - 1?")</f>
        <v>Liema kundizzjoni x'għandu jkun sodisfatt sabiex 1 / p jiġi espress fil-bażi Q minflok il-bażi 10 u xorta jkollok perjodu ta 'p - 1?</v>
      </c>
    </row>
    <row r="4774" ht="15.75" customHeight="1">
      <c r="A4774" s="2" t="s">
        <v>4774</v>
      </c>
      <c r="B4774" s="2" t="str">
        <f>IFERROR(__xludf.DUMMYFUNCTION("GOOGLETRANSLATE(A4774, ""en"", ""mt"")"),"Griegi tal-qedem")</f>
        <v>Griegi tal-qedem</v>
      </c>
    </row>
    <row r="4775" ht="15.75" customHeight="1">
      <c r="A4775" s="2" t="s">
        <v>4775</v>
      </c>
      <c r="B4775" s="2" t="str">
        <f>IFERROR(__xludf.DUMMYFUNCTION("GOOGLETRANSLATE(A4775, ""en"", ""mt"")"),"Wara sena")</f>
        <v>Wara sena</v>
      </c>
    </row>
    <row r="4776" ht="15.75" customHeight="1">
      <c r="A4776" s="2" t="s">
        <v>4776</v>
      </c>
      <c r="B4776" s="2" t="str">
        <f>IFERROR(__xludf.DUMMYFUNCTION("GOOGLETRANSLATE(A4776, ""en"", ""mt"")"),"X'inhu l-benefiċċju li l-alka ħamra tkun ħamra?")</f>
        <v>X'inhu l-benefiċċju li l-alka ħamra tkun ħamra?</v>
      </c>
    </row>
    <row r="4777" ht="15.75" customHeight="1">
      <c r="A4777" s="2" t="s">
        <v>4777</v>
      </c>
      <c r="B4777" s="2" t="str">
        <f>IFERROR(__xludf.DUMMYFUNCTION("GOOGLETRANSLATE(A4777, ""en"", ""mt"")"),"riżultat taż-żieda tal-kriminalità u tal-faqar")</f>
        <v>riżultat taż-żieda tal-kriminalità u tal-faqar</v>
      </c>
    </row>
    <row r="4778" ht="15.75" customHeight="1">
      <c r="A4778" s="2" t="s">
        <v>4778</v>
      </c>
      <c r="B4778" s="2" t="str">
        <f>IFERROR(__xludf.DUMMYFUNCTION("GOOGLETRANSLATE(A4778, ""en"", ""mt"")"),"atmosferiku")</f>
        <v>atmosferiku</v>
      </c>
    </row>
    <row r="4779" ht="15.75" customHeight="1">
      <c r="A4779" s="2" t="s">
        <v>4779</v>
      </c>
      <c r="B4779" s="2" t="str">
        <f>IFERROR(__xludf.DUMMYFUNCTION("GOOGLETRANSLATE(A4779, ""en"", ""mt"")"),"Biex tnaqqas iċ-ċansijiet ta 'kombustjoni ___ hija meħtieġa biex timmaniġġja b'mod sikur O.")</f>
        <v>Biex tnaqqas iċ-ċansijiet ta 'kombustjoni ___ hija meħtieġa biex timmaniġġja b'mod sikur O.</v>
      </c>
    </row>
    <row r="4780" ht="15.75" customHeight="1">
      <c r="A4780" s="2" t="s">
        <v>4780</v>
      </c>
      <c r="B4780" s="2" t="str">
        <f>IFERROR(__xludf.DUMMYFUNCTION("GOOGLETRANSLATE(A4780, ""en"", ""mt"")"),"Bħal ħafna denominazzjonijiet Protestanti Mainline oħra fl-Istati Uniti, il-Knisja Metodista Magħquda esperjenzat telf ta 'sħubija sinifikanti f'dawn l-aħħar għexieren ta' snin. Fil-ħin tal-formazzjoni tagħha, l-UMC kellha madwar 11-il miljun membru fi kw"&amp;"ażi 42,000 kongregazzjoni. Fl-1975, is-sħubija naqset taħt l-10 miljun għall-ewwel darba. Fl-2005, kien hemm madwar 8 miljun membru f'aktar minn 34,000 kongregazzjoni. Is-sħubija hija kkonċentrata primarjament fil-Midwest u fin-Nofsinhar. Texas għandu l-a"&amp;"kbar numru ta ’membri, b’madwar miljun. L-istati bl-ogħla rati ta 'sħubija huma Oklahoma, Iowa, Mississippi, West Virginia, u North Carolina.")</f>
        <v>Bħal ħafna denominazzjonijiet Protestanti Mainline oħra fl-Istati Uniti, il-Knisja Metodista Magħquda esperjenzat telf ta 'sħubija sinifikanti f'dawn l-aħħar għexieren ta' snin. Fil-ħin tal-formazzjoni tagħha, l-UMC kellha madwar 11-il miljun membru fi kważi 42,000 kongregazzjoni. Fl-1975, is-sħubija naqset taħt l-10 miljun għall-ewwel darba. Fl-2005, kien hemm madwar 8 miljun membru f'aktar minn 34,000 kongregazzjoni. Is-sħubija hija kkonċentrata primarjament fil-Midwest u fin-Nofsinhar. Texas għandu l-akbar numru ta ’membri, b’madwar miljun. L-istati bl-ogħla rati ta 'sħubija huma Oklahoma, Iowa, Mississippi, West Virginia, u North Carolina.</v>
      </c>
    </row>
    <row r="4781" ht="15.75" customHeight="1">
      <c r="A4781" s="2" t="s">
        <v>4781</v>
      </c>
      <c r="B4781" s="2" t="str">
        <f>IFERROR(__xludf.DUMMYFUNCTION("GOOGLETRANSLATE(A4781, ""en"", ""mt"")"),"Liema bini kien rigal mill-Unjoni Sovjetika?")</f>
        <v>Liema bini kien rigal mill-Unjoni Sovjetika?</v>
      </c>
    </row>
    <row r="4782" ht="15.75" customHeight="1">
      <c r="A4782" s="2" t="s">
        <v>4782</v>
      </c>
      <c r="B4782" s="2" t="str">
        <f>IFERROR(__xludf.DUMMYFUNCTION("GOOGLETRANSLATE(A4782, ""en"", ""mt"")"),"Il-forza qawwija taġixxi biss direttament fuq partiċelli elementari. Madankollu, residwu tal-forza huwa osservat bejn hadrons (l-iktar eżempju magħruf huwa l-forza li taġixxi bejn in-nukleoni fin-nuklei atomiċi) bħala l-forza nukleari. Hawnhekk il-forza q"&amp;"awwija taġixxi indirettament, trasmessa bħala gluons, li jiffurmaw parti mill-Mesons Virtwali PI u Rho, li klassikament jittrasmettu l-forza nukleari (ara dan is-suġġett għal aktar). Il-falliment ta 'ħafna tfittxijiet għal quarks ħielsa wera li l-partiċel"&amp;"li elementari affettwati mhumiex osservabbli direttament. Dan il-fenomenu jissejjaħ il-magħluq tal-kulur.")</f>
        <v>Il-forza qawwija taġixxi biss direttament fuq partiċelli elementari. Madankollu, residwu tal-forza huwa osservat bejn hadrons (l-iktar eżempju magħruf huwa l-forza li taġixxi bejn in-nukleoni fin-nuklei atomiċi) bħala l-forza nukleari. Hawnhekk il-forza qawwija taġixxi indirettament, trasmessa bħala gluons, li jiffurmaw parti mill-Mesons Virtwali PI u Rho, li klassikament jittrasmettu l-forza nukleari (ara dan is-suġġett għal aktar). Il-falliment ta 'ħafna tfittxijiet għal quarks ħielsa wera li l-partiċelli elementari affettwati mhumiex osservabbli direttament. Dan il-fenomenu jissejjaħ il-magħluq tal-kulur.</v>
      </c>
    </row>
    <row r="4783" ht="15.75" customHeight="1">
      <c r="A4783" s="2" t="s">
        <v>4783</v>
      </c>
      <c r="B4783" s="2" t="str">
        <f>IFERROR(__xludf.DUMMYFUNCTION("GOOGLETRANSLATE(A4783, ""en"", ""mt"")"),"Enerġija mekkanika netta")</f>
        <v>Enerġija mekkanika netta</v>
      </c>
    </row>
    <row r="4784" ht="15.75" customHeight="1">
      <c r="A4784" s="2" t="s">
        <v>4784</v>
      </c>
      <c r="B4784" s="2" t="str">
        <f>IFERROR(__xludf.DUMMYFUNCTION("GOOGLETRANSLATE(A4784, ""en"", ""mt"")"),"għandu problemi biex jaqsam il-membrani")</f>
        <v>għandu problemi biex jaqsam il-membrani</v>
      </c>
    </row>
    <row r="4785" ht="15.75" customHeight="1">
      <c r="A4785" s="2" t="s">
        <v>4785</v>
      </c>
      <c r="B4785" s="2" t="str">
        <f>IFERROR(__xludf.DUMMYFUNCTION("GOOGLETRANSLATE(A4785, ""en"", ""mt"")"),"L-UMC jemmen li Ġesù rrifjuta l-Les Talionis f’liema versi tal-Bibbja?")</f>
        <v>L-UMC jemmen li Ġesù rrifjuta l-Les Talionis f’liema versi tal-Bibbja?</v>
      </c>
    </row>
    <row r="4786" ht="15.75" customHeight="1">
      <c r="A4786" s="2" t="s">
        <v>4786</v>
      </c>
      <c r="B4786" s="2" t="str">
        <f>IFERROR(__xludf.DUMMYFUNCTION("GOOGLETRANSLATE(A4786, ""en"", ""mt"")"),"L-artijiet ċentrali kienu diġà dar għal aktar minn miljun membru tal-poplu Kikuyu, li ħafna minnhom ma kellhom l-ebda talbiet fuq l-art f'termini Ewropej u għexu bħala bdiewa itineranti. Biex jipproteġu l-interessi tagħhom, il-kolonizzaturi pprojbixxew it"&amp;"-tkabbir tal-kafè, introduċew taxxa għarix, u l-art mingħajr art ingħataw inqas u inqas art bi skambju għal xogħolhom. Eżodu massiv għall-ibliet irriżulta bħala l-abbiltà tagħhom li jipprovdu għajxien mill-art imnaqqsa. Kien hemm 80,000 kolonizzaturi bojo"&amp;"d li jgħixu fil-Kenja fil-ħamsinijiet.")</f>
        <v>L-artijiet ċentrali kienu diġà dar għal aktar minn miljun membru tal-poplu Kikuyu, li ħafna minnhom ma kellhom l-ebda talbiet fuq l-art f'termini Ewropej u għexu bħala bdiewa itineranti. Biex jipproteġu l-interessi tagħhom, il-kolonizzaturi pprojbixxew it-tkabbir tal-kafè, introduċew taxxa għarix, u l-art mingħajr art ingħataw inqas u inqas art bi skambju għal xogħolhom. Eżodu massiv għall-ibliet irriżulta bħala l-abbiltà tagħhom li jipprovdu għajxien mill-art imnaqqsa. Kien hemm 80,000 kolonizzaturi bojod li jgħixu fil-Kenja fil-ħamsinijiet.</v>
      </c>
    </row>
    <row r="4787" ht="15.75" customHeight="1">
      <c r="A4787" s="2" t="s">
        <v>4787</v>
      </c>
      <c r="B4787" s="2" t="str">
        <f>IFERROR(__xludf.DUMMYFUNCTION("GOOGLETRANSLATE(A4787, ""en"", ""mt"")"),"Bjankerija Irlandiża")</f>
        <v>Bjankerija Irlandiża</v>
      </c>
    </row>
    <row r="4788" ht="15.75" customHeight="1">
      <c r="A4788" s="2" t="s">
        <v>4788</v>
      </c>
      <c r="B4788" s="2" t="str">
        <f>IFERROR(__xludf.DUMMYFUNCTION("GOOGLETRANSLATE(A4788, ""en"", ""mt"")"),"il-konvenjenza tal-ferrovija u mħassba dwar l-għargħar")</f>
        <v>il-konvenjenza tal-ferrovija u mħassba dwar l-għargħar</v>
      </c>
    </row>
    <row r="4789" ht="15.75" customHeight="1">
      <c r="A4789" s="2" t="s">
        <v>4789</v>
      </c>
      <c r="B4789" s="2" t="str">
        <f>IFERROR(__xludf.DUMMYFUNCTION("GOOGLETRANSLATE(A4789, ""en"", ""mt"")"),"Luther kif iddeskriviet il-massa li kienet meqjusa bħala sagrifiċċju?")</f>
        <v>Luther kif iddeskriviet il-massa li kienet meqjusa bħala sagrifiċċju?</v>
      </c>
    </row>
    <row r="4790" ht="15.75" customHeight="1">
      <c r="A4790" s="2" t="s">
        <v>4790</v>
      </c>
      <c r="B4790" s="2" t="str">
        <f>IFERROR(__xludf.DUMMYFUNCTION("GOOGLETRANSLATE(A4790, ""en"", ""mt"")"),"Termokimiku")</f>
        <v>Termokimiku</v>
      </c>
    </row>
    <row r="4791" ht="15.75" customHeight="1">
      <c r="A4791" s="2" t="s">
        <v>4791</v>
      </c>
      <c r="B4791" s="2" t="str">
        <f>IFERROR(__xludf.DUMMYFUNCTION("GOOGLETRANSLATE(A4791, ""en"", ""mt"")"),"April sa Ottubru, 6am sal-10pm u minn Novembru sa Marzu, 6am sas-7pm")</f>
        <v>April sa Ottubru, 6am sal-10pm u minn Novembru sa Marzu, 6am sas-7pm</v>
      </c>
    </row>
    <row r="4792" ht="15.75" customHeight="1">
      <c r="A4792" s="2" t="s">
        <v>4792</v>
      </c>
      <c r="B4792" s="2" t="str">
        <f>IFERROR(__xludf.DUMMYFUNCTION("GOOGLETRANSLATE(A4792, ""en"", ""mt"")"),"Is-seklu tmintax")</f>
        <v>Is-seklu tmintax</v>
      </c>
    </row>
    <row r="4793" ht="15.75" customHeight="1">
      <c r="A4793" s="2" t="s">
        <v>4793</v>
      </c>
      <c r="B4793" s="2" t="str">
        <f>IFERROR(__xludf.DUMMYFUNCTION("GOOGLETRANSLATE(A4793, ""en"", ""mt"")"),"X'kienet is-Serje ta 'Antoloġija ta' Disneyland li reġgħet inbdiet fl-1958?")</f>
        <v>X'kienet is-Serje ta 'Antoloġija ta' Disneyland li reġgħet inbdiet fl-1958?</v>
      </c>
    </row>
    <row r="4794" ht="15.75" customHeight="1">
      <c r="A4794" s="2" t="s">
        <v>4794</v>
      </c>
      <c r="B4794" s="2" t="str">
        <f>IFERROR(__xludf.DUMMYFUNCTION("GOOGLETRANSLATE(A4794, ""en"", ""mt"")"),"50")</f>
        <v>50</v>
      </c>
    </row>
    <row r="4795" ht="15.75" customHeight="1">
      <c r="A4795" s="2" t="s">
        <v>4795</v>
      </c>
      <c r="B4795" s="2" t="str">
        <f>IFERROR(__xludf.DUMMYFUNCTION("GOOGLETRANSLATE(A4795, ""en"", ""mt"")"),"punti")</f>
        <v>punti</v>
      </c>
    </row>
    <row r="4796" ht="15.75" customHeight="1">
      <c r="A4796" s="2" t="s">
        <v>4796</v>
      </c>
      <c r="B4796" s="2" t="str">
        <f>IFERROR(__xludf.DUMMYFUNCTION("GOOGLETRANSLATE(A4796, ""en"", ""mt"")"),"etere")</f>
        <v>etere</v>
      </c>
    </row>
    <row r="4797" ht="15.75" customHeight="1">
      <c r="A4797" s="2" t="s">
        <v>4797</v>
      </c>
      <c r="B4797" s="2" t="str">
        <f>IFERROR(__xludf.DUMMYFUNCTION("GOOGLETRANSLATE(A4797, ""en"", ""mt"")"),"tlieta")</f>
        <v>tlieta</v>
      </c>
    </row>
    <row r="4798" ht="15.75" customHeight="1">
      <c r="A4798" s="2" t="s">
        <v>4798</v>
      </c>
      <c r="B4798" s="2" t="str">
        <f>IFERROR(__xludf.DUMMYFUNCTION("GOOGLETRANSLATE(A4798, ""en"", ""mt"")"),"staġnat")</f>
        <v>staġnat</v>
      </c>
    </row>
    <row r="4799" ht="15.75" customHeight="1">
      <c r="A4799" s="2" t="s">
        <v>4799</v>
      </c>
      <c r="B4799" s="2" t="str">
        <f>IFERROR(__xludf.DUMMYFUNCTION("GOOGLETRANSLATE(A4799, ""en"", ""mt"")"),"Industrijali")</f>
        <v>Industrijali</v>
      </c>
    </row>
    <row r="4800" ht="15.75" customHeight="1">
      <c r="A4800" s="2" t="s">
        <v>4800</v>
      </c>
      <c r="B4800" s="2" t="str">
        <f>IFERROR(__xludf.DUMMYFUNCTION("GOOGLETRANSLATE(A4800, ""en"", ""mt"")"),"Villes de sûreté")</f>
        <v>Villes de sûreté</v>
      </c>
    </row>
    <row r="4801" ht="15.75" customHeight="1">
      <c r="A4801" s="2" t="s">
        <v>4801</v>
      </c>
      <c r="B4801" s="2" t="str">
        <f>IFERROR(__xludf.DUMMYFUNCTION("GOOGLETRANSLATE(A4801, ""en"", ""mt"")"),"Korpi tqal li jaqgħu")</f>
        <v>Korpi tqal li jaqgħu</v>
      </c>
    </row>
    <row r="4802" ht="15.75" customHeight="1">
      <c r="A4802" s="2" t="s">
        <v>4802</v>
      </c>
      <c r="B4802" s="2" t="str">
        <f>IFERROR(__xludf.DUMMYFUNCTION("GOOGLETRANSLATE(A4802, ""en"", ""mt"")"),"Mistoqsijiet speċifiċi tal-Katekiżmu")</f>
        <v>Mistoqsijiet speċifiċi tal-Katekiżmu</v>
      </c>
    </row>
    <row r="4803" ht="15.75" customHeight="1">
      <c r="A4803" s="2" t="s">
        <v>4803</v>
      </c>
      <c r="B4803" s="2" t="str">
        <f>IFERROR(__xludf.DUMMYFUNCTION("GOOGLETRANSLATE(A4803, ""en"", ""mt"")"),"Liema par ta 'wlied Genghis Khan kienu l-iktar rivali?")</f>
        <v>Liema par ta 'wlied Genghis Khan kienu l-iktar rivali?</v>
      </c>
    </row>
    <row r="4804" ht="15.75" customHeight="1">
      <c r="A4804" s="2" t="s">
        <v>4804</v>
      </c>
      <c r="B4804" s="2" t="str">
        <f>IFERROR(__xludf.DUMMYFUNCTION("GOOGLETRANSLATE(A4804, ""en"", ""mt"")"),"Kemm għalliema huma ġeneralment involuti meta jkunu ko-tagħlim?")</f>
        <v>Kemm għalliema huma ġeneralment involuti meta jkunu ko-tagħlim?</v>
      </c>
    </row>
    <row r="4805" ht="15.75" customHeight="1">
      <c r="A4805" s="2" t="s">
        <v>4805</v>
      </c>
      <c r="B4805" s="2" t="str">
        <f>IFERROR(__xludf.DUMMYFUNCTION("GOOGLETRANSLATE(A4805, ""en"", ""mt"")"),"studenti li jfittxu l-attenzjoni u li jfixklu")</f>
        <v>studenti li jfittxu l-attenzjoni u li jfixklu</v>
      </c>
    </row>
    <row r="4806" ht="15.75" customHeight="1">
      <c r="A4806" s="2" t="s">
        <v>4806</v>
      </c>
      <c r="B4806" s="2" t="str">
        <f>IFERROR(__xludf.DUMMYFUNCTION("GOOGLETRANSLATE(A4806, ""en"", ""mt"")"),"Notazzjoni Big O tipprovdi awtonomija għal-limiti ta 'fuq u t'isfel b'relazzjoni ma' xiex?")</f>
        <v>Notazzjoni Big O tipprovdi awtonomija għal-limiti ta 'fuq u t'isfel b'relazzjoni ma' xiex?</v>
      </c>
    </row>
    <row r="4807" ht="15.75" customHeight="1">
      <c r="A4807" s="2" t="s">
        <v>4807</v>
      </c>
      <c r="B4807" s="2" t="str">
        <f>IFERROR(__xludf.DUMMYFUNCTION("GOOGLETRANSLATE(A4807, ""en"", ""mt"")"),"Mill-1920, il-manifattura taċ-ċinema, il-pitrolju u l-inġenji tal-ajru kienu industriji ewlenin. F’wieħed mir-reġjuni agrikoli l-aktar sinjuri fl-Istati Uniti, il-baqar u ċ-ċitru kienu industriji ewlenin sakemm l-art agrikola nbidlet f’subborgi. Għalkemm "&amp;"it-tnaqqis fl-infiq militari kellu impatt, l-Aerospace jibqa 'fattur ewlieni.")</f>
        <v>Mill-1920, il-manifattura taċ-ċinema, il-pitrolju u l-inġenji tal-ajru kienu industriji ewlenin. F’wieħed mir-reġjuni agrikoli l-aktar sinjuri fl-Istati Uniti, il-baqar u ċ-ċitru kienu industriji ewlenin sakemm l-art agrikola nbidlet f’subborgi. Għalkemm it-tnaqqis fl-infiq militari kellu impatt, l-Aerospace jibqa 'fattur ewlieni.</v>
      </c>
    </row>
    <row r="4808" ht="15.75" customHeight="1">
      <c r="A4808" s="2" t="s">
        <v>4808</v>
      </c>
      <c r="B4808" s="2" t="str">
        <f>IFERROR(__xludf.DUMMYFUNCTION("GOOGLETRANSLATE(A4808, ""en"", ""mt"")"),"X’għamel ma ’saqajh bil-lejl?")</f>
        <v>X’għamel ma ’saqajh bil-lejl?</v>
      </c>
    </row>
    <row r="4809" ht="15.75" customHeight="1">
      <c r="A4809" s="2" t="s">
        <v>4809</v>
      </c>
      <c r="B4809" s="2" t="str">
        <f>IFERROR(__xludf.DUMMYFUNCTION("GOOGLETRANSLATE(A4809, ""en"", ""mt"")"),"L-awturi ewlenin li jikkoordinaw")</f>
        <v>L-awturi ewlenin li jikkoordinaw</v>
      </c>
    </row>
    <row r="4810" ht="15.75" customHeight="1">
      <c r="A4810" s="2" t="s">
        <v>4810</v>
      </c>
      <c r="B4810" s="2" t="str">
        <f>IFERROR(__xludf.DUMMYFUNCTION("GOOGLETRANSLATE(A4810, ""en"", ""mt"")"),"X’għamel ma ’Wardenclyffe?")</f>
        <v>X’għamel ma ’Wardenclyffe?</v>
      </c>
    </row>
    <row r="4811" ht="15.75" customHeight="1">
      <c r="A4811" s="2" t="s">
        <v>4811</v>
      </c>
      <c r="B4811" s="2" t="str">
        <f>IFERROR(__xludf.DUMMYFUNCTION("GOOGLETRANSLATE(A4811, ""en"", ""mt"")"),"Il-ħolqien ta 'stati moderni tal-Balkani u tal-Lvant Nofsani")</f>
        <v>Il-ħolqien ta 'stati moderni tal-Balkani u tal-Lvant Nofsani</v>
      </c>
    </row>
    <row r="4812" ht="15.75" customHeight="1">
      <c r="A4812" s="2" t="s">
        <v>4812</v>
      </c>
      <c r="B4812" s="2" t="str">
        <f>IFERROR(__xludf.DUMMYFUNCTION("GOOGLETRANSLATE(A4812, ""en"", ""mt"")"),"X'inhuma ż-żewġ sorsi kostituzzjonali primarji ta 'l-Unjoni Ewropea?")</f>
        <v>X'inhuma ż-żewġ sorsi kostituzzjonali primarji ta 'l-Unjoni Ewropea?</v>
      </c>
    </row>
    <row r="4813" ht="15.75" customHeight="1">
      <c r="A4813" s="2" t="s">
        <v>4813</v>
      </c>
      <c r="B4813" s="2" t="str">
        <f>IFERROR(__xludf.DUMMYFUNCTION("GOOGLETRANSLATE(A4813, ""en"", ""mt"")"),"F'numru ta 'stadji")</f>
        <v>F'numru ta 'stadji</v>
      </c>
    </row>
    <row r="4814" ht="15.75" customHeight="1">
      <c r="A4814" s="2" t="s">
        <v>4814</v>
      </c>
      <c r="B4814" s="2" t="str">
        <f>IFERROR(__xludf.DUMMYFUNCTION("GOOGLETRANSLATE(A4814, ""en"", ""mt"")"),"X’tesplika l-għerq Grieg Pharmakos?")</f>
        <v>X’tesplika l-għerq Grieg Pharmakos?</v>
      </c>
    </row>
    <row r="4815" ht="15.75" customHeight="1">
      <c r="A4815" s="2" t="s">
        <v>4815</v>
      </c>
      <c r="B4815" s="2" t="str">
        <f>IFERROR(__xludf.DUMMYFUNCTION("GOOGLETRANSLATE(A4815, ""en"", ""mt"")"),"Distribuzzjoni u tfixkil fil-prezz")</f>
        <v>Distribuzzjoni u tfixkil fil-prezz</v>
      </c>
    </row>
    <row r="4816" ht="15.75" customHeight="1">
      <c r="A4816" s="2" t="s">
        <v>4816</v>
      </c>
      <c r="B4816" s="2" t="str">
        <f>IFERROR(__xludf.DUMMYFUNCTION("GOOGLETRANSLATE(A4816, ""en"", ""mt"")"),"tliet reġjuni")</f>
        <v>tliet reġjuni</v>
      </c>
    </row>
    <row r="4817" ht="15.75" customHeight="1">
      <c r="A4817" s="2" t="s">
        <v>4817</v>
      </c>
      <c r="B4817" s="2" t="str">
        <f>IFERROR(__xludf.DUMMYFUNCTION("GOOGLETRANSLATE(A4817, ""en"", ""mt"")"),"Flimkien ma 'magni ta' kombustjoni interna, liema magni ħadu post fwar f'xi żoni?")</f>
        <v>Flimkien ma 'magni ta' kombustjoni interna, liema magni ħadu post fwar f'xi żoni?</v>
      </c>
    </row>
    <row r="4818" ht="15.75" customHeight="1">
      <c r="A4818" s="2" t="s">
        <v>4818</v>
      </c>
      <c r="B4818" s="2" t="str">
        <f>IFERROR(__xludf.DUMMYFUNCTION("GOOGLETRANSLATE(A4818, ""en"", ""mt"")"),"Hemm kategoriji oħra għal xiex?")</f>
        <v>Hemm kategoriji oħra għal xiex?</v>
      </c>
    </row>
    <row r="4819" ht="15.75" customHeight="1">
      <c r="A4819" s="2" t="s">
        <v>4819</v>
      </c>
      <c r="B4819" s="2" t="str">
        <f>IFERROR(__xludf.DUMMYFUNCTION("GOOGLETRANSLATE(A4819, ""en"", ""mt"")"),"260 kilometru")</f>
        <v>260 kilometru</v>
      </c>
    </row>
    <row r="4820" ht="15.75" customHeight="1">
      <c r="A4820" s="2" t="s">
        <v>4820</v>
      </c>
      <c r="B4820" s="2" t="str">
        <f>IFERROR(__xludf.DUMMYFUNCTION("GOOGLETRANSLATE(A4820, ""en"", ""mt"")"),"Għarab u ħafna mill-bqija tat-tielet dinja")</f>
        <v>Għarab u ħafna mill-bqija tat-tielet dinja</v>
      </c>
    </row>
    <row r="4821" ht="15.75" customHeight="1">
      <c r="A4821" s="2" t="s">
        <v>4821</v>
      </c>
      <c r="B4821" s="2" t="str">
        <f>IFERROR(__xludf.DUMMYFUNCTION("GOOGLETRANSLATE(A4821, ""en"", ""mt"")"),"Fid-definizzjoni bbażata fuq il-firxa tal-muntanji, f'liema reġjun jiġu inklużi l-porzjonijiet tad-deżert tal-Kontea ta 'North Los Angeles?")</f>
        <v>Fid-definizzjoni bbażata fuq il-firxa tal-muntanji, f'liema reġjun jiġu inklużi l-porzjonijiet tad-deżert tal-Kontea ta 'North Los Angeles?</v>
      </c>
    </row>
    <row r="4822" ht="15.75" customHeight="1">
      <c r="A4822" s="2" t="s">
        <v>4822</v>
      </c>
      <c r="B4822" s="2" t="str">
        <f>IFERROR(__xludf.DUMMYFUNCTION("GOOGLETRANSLATE(A4822, ""en"", ""mt"")"),"dawk li jinvolvu kunjardi orogeniċi")</f>
        <v>dawk li jinvolvu kunjardi orogeniċi</v>
      </c>
    </row>
    <row r="4823" ht="15.75" customHeight="1">
      <c r="A4823" s="2" t="s">
        <v>4823</v>
      </c>
      <c r="B4823" s="2" t="str">
        <f>IFERROR(__xludf.DUMMYFUNCTION("GOOGLETRANSLATE(A4823, ""en"", ""mt"")"),"Il-fagoċitosi hija karatteristika importanti tal-immunità innata ċellulari mwettqa minn ċelloli msejħa 'fagoċiti' li jaħkmu, jew jieklu, patoġeni jew partiċelli. Il-fagoċiti ġeneralment jgħassu l-ġisem li jfittex patoġeni, iżda jistgħu jissejħu għal posti"&amp;"jiet speċifiċi minn ċitokini. Ladarba patoġen ikun ġie maħkum minn fagoċita, isir maqbud fi vesikula intraċellulari msejħa fagożoma, li sussegwentement tgħaqqad ma 'vesikula oħra msejħa lisosoma biex tifforma fagolysosome. Il-patoġen jinqatel bl-attività "&amp;"ta 'enzimi diġestivi jew wara tifqigħ respiratorju li jirrilaxxa radikali ħielsa fil-fagolysosome. Il-fagoċitosi evolviet bħala mezz biex takkwista nutrijenti, iżda dan ir-rwol ġie estiż fil-fagoċiti biex jinkludi l-ħakma ta 'patoġeni bħala mekkaniżmu ta'"&amp;" difiża. Il-fagoċitosi probabbilment tirrappreżenta l-eqdem forma ta 'difiża ospitanti, peress li l-fagoċiti ġew identifikati kemm f'annimali vertebrati kif ukoll invertebrati.")</f>
        <v>Il-fagoċitosi hija karatteristika importanti tal-immunità innata ċellulari mwettqa minn ċelloli msejħa 'fagoċiti' li jaħkmu, jew jieklu, patoġeni jew partiċelli. Il-fagoċiti ġeneralment jgħassu l-ġisem li jfittex patoġeni, iżda jistgħu jissejħu għal postijiet speċifiċi minn ċitokini. Ladarba patoġen ikun ġie maħkum minn fagoċita, isir maqbud fi vesikula intraċellulari msejħa fagożoma, li sussegwentement tgħaqqad ma 'vesikula oħra msejħa lisosoma biex tifforma fagolysosome. Il-patoġen jinqatel bl-attività ta 'enzimi diġestivi jew wara tifqigħ respiratorju li jirrilaxxa radikali ħielsa fil-fagolysosome. Il-fagoċitosi evolviet bħala mezz biex takkwista nutrijenti, iżda dan ir-rwol ġie estiż fil-fagoċiti biex jinkludi l-ħakma ta 'patoġeni bħala mekkaniżmu ta' difiża. Il-fagoċitosi probabbilment tirrappreżenta l-eqdem forma ta 'difiża ospitanti, peress li l-fagoċiti ġew identifikati kemm f'annimali vertebrati kif ukoll invertebrati.</v>
      </c>
    </row>
    <row r="4824" ht="15.75" customHeight="1">
      <c r="A4824" s="2" t="s">
        <v>4824</v>
      </c>
      <c r="B4824" s="2" t="str">
        <f>IFERROR(__xludf.DUMMYFUNCTION("GOOGLETRANSLATE(A4824, ""en"", ""mt"")"),"Kemm huwa Varsavja mill-Baħar Baltiku?")</f>
        <v>Kemm huwa Varsavja mill-Baħar Baltiku?</v>
      </c>
    </row>
    <row r="4825" ht="15.75" customHeight="1">
      <c r="A4825" s="2" t="s">
        <v>4825</v>
      </c>
      <c r="B4825" s="2" t="str">
        <f>IFERROR(__xludf.DUMMYFUNCTION("GOOGLETRANSLATE(A4825, ""en"", ""mt"")"),"Peress li Denver għażel l-abjad, liema kuluri kienet tilbes Carolina fis-Super Bowl 50?")</f>
        <v>Peress li Denver għażel l-abjad, liema kuluri kienet tilbes Carolina fis-Super Bowl 50?</v>
      </c>
    </row>
    <row r="4826" ht="15.75" customHeight="1">
      <c r="A4826" s="2" t="s">
        <v>4826</v>
      </c>
      <c r="B4826" s="2" t="str">
        <f>IFERROR(__xludf.DUMMYFUNCTION("GOOGLETRANSLATE(A4826, ""en"", ""mt"")"),"Issolvi kwalunkwe problema f'C")</f>
        <v>Issolvi kwalunkwe problema f'C</v>
      </c>
    </row>
    <row r="4827" ht="15.75" customHeight="1">
      <c r="A4827" s="2" t="s">
        <v>4827</v>
      </c>
      <c r="B4827" s="2" t="str">
        <f>IFERROR(__xludf.DUMMYFUNCTION("GOOGLETRANSLATE(A4827, ""en"", ""mt"")"),"L-Eżene f'nofs")</f>
        <v>L-Eżene f'nofs</v>
      </c>
    </row>
    <row r="4828" ht="15.75" customHeight="1">
      <c r="A4828" s="2" t="s">
        <v>4828</v>
      </c>
      <c r="B4828" s="2" t="str">
        <f>IFERROR(__xludf.DUMMYFUNCTION("GOOGLETRANSLATE(A4828, ""en"", ""mt"")"),"Ikkonvertihom għall-Kristjaneżmu.")</f>
        <v>Ikkonvertihom għall-Kristjaneżmu.</v>
      </c>
    </row>
    <row r="4829" ht="15.75" customHeight="1">
      <c r="A4829" s="2" t="s">
        <v>4829</v>
      </c>
      <c r="B4829" s="2" t="str">
        <f>IFERROR(__xludf.DUMMYFUNCTION("GOOGLETRANSLATE(A4829, ""en"", ""mt"")"),"Jonqos Il-Fondazzjoni Elettronika tal-Fruntiera")</f>
        <v>Jonqos Il-Fondazzjoni Elettronika tal-Fruntiera</v>
      </c>
    </row>
    <row r="4830" ht="15.75" customHeight="1">
      <c r="A4830" s="2" t="s">
        <v>4830</v>
      </c>
      <c r="B4830" s="2" t="str">
        <f>IFERROR(__xludf.DUMMYFUNCTION("GOOGLETRANSLATE(A4830, ""en"", ""mt"")"),"Għaliex Ctenophores huma estremament rari daqs il-fossili?")</f>
        <v>Għaliex Ctenophores huma estremament rari daqs il-fossili?</v>
      </c>
    </row>
    <row r="4831" ht="15.75" customHeight="1">
      <c r="A4831" s="2" t="s">
        <v>4831</v>
      </c>
      <c r="B4831" s="2" t="str">
        <f>IFERROR(__xludf.DUMMYFUNCTION("GOOGLETRANSLATE(A4831, ""en"", ""mt"")"),"Il-Prospett Studios")</f>
        <v>Il-Prospett Studios</v>
      </c>
    </row>
    <row r="4832" ht="15.75" customHeight="1">
      <c r="A4832" s="2" t="s">
        <v>4832</v>
      </c>
      <c r="B4832" s="2" t="str">
        <f>IFERROR(__xludf.DUMMYFUNCTION("GOOGLETRANSLATE(A4832, ""en"", ""mt"")"),"Liema tim ma kellux iċ-ċans li jiddefendi r-rebħa tagħhom tas-Super Bowl XLIX fis-Super Bowl 50?")</f>
        <v>Liema tim ma kellux iċ-ċans li jiddefendi r-rebħa tagħhom tas-Super Bowl XLIX fis-Super Bowl 50?</v>
      </c>
    </row>
    <row r="4833" ht="15.75" customHeight="1">
      <c r="A4833" s="2" t="s">
        <v>4833</v>
      </c>
      <c r="B4833" s="2" t="str">
        <f>IFERROR(__xludf.DUMMYFUNCTION("GOOGLETRANSLATE(A4833, ""en"", ""mt"")"),"Xita")</f>
        <v>Xita</v>
      </c>
    </row>
    <row r="4834" ht="15.75" customHeight="1">
      <c r="A4834" s="2" t="s">
        <v>4834</v>
      </c>
      <c r="B4834" s="2" t="str">
        <f>IFERROR(__xludf.DUMMYFUNCTION("GOOGLETRANSLATE(A4834, ""en"", ""mt"")"),"X'inhi l-abbiltà li tirrikonoxxi u tadatta għal patoġeni speċifiċi ġodda msejħa?")</f>
        <v>X'inhi l-abbiltà li tirrikonoxxi u tadatta għal patoġeni speċifiċi ġodda msejħa?</v>
      </c>
    </row>
    <row r="4835" ht="15.75" customHeight="1">
      <c r="A4835" s="2" t="s">
        <v>4835</v>
      </c>
      <c r="B4835" s="2" t="str">
        <f>IFERROR(__xludf.DUMMYFUNCTION("GOOGLETRANSLATE(A4835, ""en"", ""mt"")"),"Kemm mill-istazzjonijiet tan-netwerk huma proprjetà u mħaddma?")</f>
        <v>Kemm mill-istazzjonijiet tan-netwerk huma proprjetà u mħaddma?</v>
      </c>
    </row>
    <row r="4836" ht="15.75" customHeight="1">
      <c r="A4836" s="2" t="s">
        <v>4836</v>
      </c>
      <c r="B4836" s="2" t="str">
        <f>IFERROR(__xludf.DUMMYFUNCTION("GOOGLETRANSLATE(A4836, ""en"", ""mt"")"),"Mikroskopija elettronika")</f>
        <v>Mikroskopija elettronika</v>
      </c>
    </row>
    <row r="4837" ht="15.75" customHeight="1">
      <c r="A4837" s="2" t="s">
        <v>4837</v>
      </c>
      <c r="B4837" s="2" t="str">
        <f>IFERROR(__xludf.DUMMYFUNCTION("GOOGLETRANSLATE(A4837, ""en"", ""mt"")"),"Il-kompromess ta 'Missouri")</f>
        <v>Il-kompromess ta 'Missouri</v>
      </c>
    </row>
    <row r="4838" ht="15.75" customHeight="1">
      <c r="A4838" s="2" t="s">
        <v>4838</v>
      </c>
      <c r="B4838" s="2" t="str">
        <f>IFERROR(__xludf.DUMMYFUNCTION("GOOGLETRANSLATE(A4838, ""en"", ""mt"")"),"Komponenti li jinħallu")</f>
        <v>Komponenti li jinħallu</v>
      </c>
    </row>
    <row r="4839" ht="15.75" customHeight="1">
      <c r="A4839" s="2" t="s">
        <v>4839</v>
      </c>
      <c r="B4839" s="2" t="str">
        <f>IFERROR(__xludf.DUMMYFUNCTION("GOOGLETRANSLATE(A4839, ""en"", ""mt"")"),"Il-Gallerija Toshiba tal-Art Ġappuniża nfetħet f'Diċembru 1986. Il-biċċa l-kbira tal-esebiti jmorru mill-1550 sal-1900, iżda waħda mill-eqdem biċċiet murija hija l-iskultura tas-seklu 13 ta 'Amida Nyorai. Eżempji ta 'armatura Ġappuniża klassika minn nofs "&amp;"is-seklu 19, xfafar ta' xabla ta 'l-azzar (katana), inrō, lacquerware inkluż is-sider mazarin datat C1640 hija waħda mill-ifjen biċċiet li għadhom ħajjin minn Kyoto, porċellana inkluża Imari, Netsuke, stampi ta' Woodblock inklużi x-xogħol ta ' Ando Hirosh"&amp;"ige, xogħlijiet grafiċi jinkludu kotba stampati, kif ukoll ftit pitturi, scrolls u skrins, tessuti u libsa inklużi Kimonos huma wħud mill-oġġetti li jinsabu fil-wiri. Wieħed mill-ifjen oġġetti murija huwa l-berner tal-inċens tal-bronż ta 'Suzuki Chokichi "&amp;"(Koro) datat 1875, wieqaf aktar minn 2.25 metri għolja u 1.25 metri fid-dijametru Huwa wkoll wieħed mill-ikbar eżempji magħmula. Il-mużew iżomm ukoll xi biċċiet Cloisonné mill-kumpanija Ġappuniża tal-produzzjoni tal-arti, Ando Cloisonné.")</f>
        <v>Il-Gallerija Toshiba tal-Art Ġappuniża nfetħet f'Diċembru 1986. Il-biċċa l-kbira tal-esebiti jmorru mill-1550 sal-1900, iżda waħda mill-eqdem biċċiet murija hija l-iskultura tas-seklu 13 ta 'Amida Nyorai. Eżempji ta 'armatura Ġappuniża klassika minn nofs is-seklu 19, xfafar ta' xabla ta 'l-azzar (katana), inrō, lacquerware inkluż is-sider mazarin datat C1640 hija waħda mill-ifjen biċċiet li għadhom ħajjin minn Kyoto, porċellana inkluża Imari, Netsuke, stampi ta' Woodblock inklużi x-xogħol ta ' Ando Hiroshige, xogħlijiet grafiċi jinkludu kotba stampati, kif ukoll ftit pitturi, scrolls u skrins, tessuti u libsa inklużi Kimonos huma wħud mill-oġġetti li jinsabu fil-wiri. Wieħed mill-ifjen oġġetti murija huwa l-berner tal-inċens tal-bronż ta 'Suzuki Chokichi (Koro) datat 1875, wieqaf aktar minn 2.25 metri għolja u 1.25 metri fid-dijametru Huwa wkoll wieħed mill-ikbar eżempji magħmula. Il-mużew iżomm ukoll xi biċċiet Cloisonné mill-kumpanija Ġappuniża tal-produzzjoni tal-arti, Ando Cloisonné.</v>
      </c>
    </row>
    <row r="4840" ht="15.75" customHeight="1">
      <c r="A4840" s="2" t="s">
        <v>4840</v>
      </c>
      <c r="B4840" s="2" t="str">
        <f>IFERROR(__xludf.DUMMYFUNCTION("GOOGLETRANSLATE(A4840, ""en"", ""mt"")"),"Liema monument huwa fil-memorja tal-ikbar insurrezzjoni tal-WWII?")</f>
        <v>Liema monument huwa fil-memorja tal-ikbar insurrezzjoni tal-WWII?</v>
      </c>
    </row>
    <row r="4841" ht="15.75" customHeight="1">
      <c r="A4841" s="2" t="s">
        <v>4841</v>
      </c>
      <c r="B4841" s="2" t="str">
        <f>IFERROR(__xludf.DUMMYFUNCTION("GOOGLETRANSLATE(A4841, ""en"", ""mt"")"),"fotolisi")</f>
        <v>fotolisi</v>
      </c>
    </row>
    <row r="4842" ht="15.75" customHeight="1">
      <c r="A4842" s="2" t="s">
        <v>4842</v>
      </c>
      <c r="B4842" s="2" t="str">
        <f>IFERROR(__xludf.DUMMYFUNCTION("GOOGLETRANSLATE(A4842, ""en"", ""mt"")"),"X'inhuma tliet eżempji ta 'klassijiet ta' kumplessità assoċjati mad-definizzjonijiet stabbiliti minn magni tat-Turing probabilistiċi?")</f>
        <v>X'inhuma tliet eżempji ta 'klassijiet ta' kumplessità assoċjati mad-definizzjonijiet stabbiliti minn magni tat-Turing probabilistiċi?</v>
      </c>
    </row>
    <row r="4843" ht="15.75" customHeight="1">
      <c r="A4843" s="2" t="s">
        <v>4843</v>
      </c>
      <c r="B4843" s="2" t="str">
        <f>IFERROR(__xludf.DUMMYFUNCTION("GOOGLETRANSLATE(A4843, ""en"", ""mt"")"),"Meta Tesla ltaqgħet l-ewwel darba Alfred S. Brown")</f>
        <v>Meta Tesla ltaqgħet l-ewwel darba Alfred S. Brown</v>
      </c>
    </row>
    <row r="4844" ht="15.75" customHeight="1">
      <c r="A4844" s="2" t="s">
        <v>4844</v>
      </c>
      <c r="B4844" s="2" t="str">
        <f>IFERROR(__xludf.DUMMYFUNCTION("GOOGLETRANSLATE(A4844, ""en"", ""mt"")"),"Kemm ulied Börte kien iġorr Genghis Khan wara Jochi?")</f>
        <v>Kemm ulied Börte kien iġorr Genghis Khan wara Jochi?</v>
      </c>
    </row>
    <row r="4845" ht="15.75" customHeight="1">
      <c r="A4845" s="2" t="s">
        <v>4845</v>
      </c>
      <c r="B4845" s="2" t="str">
        <f>IFERROR(__xludf.DUMMYFUNCTION("GOOGLETRANSLATE(A4845, ""en"", ""mt"")"),"Unjoni Nazzjonali Afrikana tal-Kenja")</f>
        <v>Unjoni Nazzjonali Afrikana tal-Kenja</v>
      </c>
    </row>
    <row r="4846" ht="15.75" customHeight="1">
      <c r="A4846" s="2" t="s">
        <v>4846</v>
      </c>
      <c r="B4846" s="2" t="str">
        <f>IFERROR(__xludf.DUMMYFUNCTION("GOOGLETRANSLATE(A4846, ""en"", ""mt"")"),"Dikjarazzjoni tal-Gwerra fl-1756 għall-iffirmar tat-Trattat ta 'Paċi fl-1763")</f>
        <v>Dikjarazzjoni tal-Gwerra fl-1756 għall-iffirmar tat-Trattat ta 'Paċi fl-1763</v>
      </c>
    </row>
    <row r="4847" ht="15.75" customHeight="1">
      <c r="A4847" s="2" t="s">
        <v>4847</v>
      </c>
      <c r="B4847" s="2" t="str">
        <f>IFERROR(__xludf.DUMMYFUNCTION("GOOGLETRANSLATE(A4847, ""en"", ""mt"")"),"Taxxa fuq il-bejgħ nofs-penny")</f>
        <v>Taxxa fuq il-bejgħ nofs-penny</v>
      </c>
    </row>
    <row r="4848" ht="15.75" customHeight="1">
      <c r="A4848" s="2" t="s">
        <v>4848</v>
      </c>
      <c r="B4848" s="2" t="str">
        <f>IFERROR(__xludf.DUMMYFUNCTION("GOOGLETRANSLATE(A4848, ""en"", ""mt"")"),"Priestley x’jiġri l-esperiment tal-gass tiegħu?")</f>
        <v>Priestley x’jiġri l-esperiment tal-gass tiegħu?</v>
      </c>
    </row>
    <row r="4849" ht="15.75" customHeight="1">
      <c r="A4849" s="2" t="s">
        <v>4849</v>
      </c>
      <c r="B4849" s="2" t="str">
        <f>IFERROR(__xludf.DUMMYFUNCTION("GOOGLETRANSLATE(A4849, ""en"", ""mt"")"),"Il-logo oriġinali użat għall-ewwel tabib")</f>
        <v>Il-logo oriġinali użat għall-ewwel tabib</v>
      </c>
    </row>
    <row r="4850" ht="15.75" customHeight="1">
      <c r="A4850" s="2" t="s">
        <v>4850</v>
      </c>
      <c r="B4850" s="2" t="str">
        <f>IFERROR(__xludf.DUMMYFUNCTION("GOOGLETRANSLATE(A4850, ""en"", ""mt"")"),"49–15")</f>
        <v>49–15</v>
      </c>
    </row>
    <row r="4851" ht="15.75" customHeight="1">
      <c r="A4851" s="2" t="s">
        <v>4851</v>
      </c>
      <c r="B4851" s="2" t="str">
        <f>IFERROR(__xludf.DUMMYFUNCTION("GOOGLETRANSLATE(A4851, ""en"", ""mt"")"),"X'inhuma l-apikoplasti nieqsa?")</f>
        <v>X'inhuma l-apikoplasti nieqsa?</v>
      </c>
    </row>
    <row r="4852" ht="15.75" customHeight="1">
      <c r="A4852" s="2" t="s">
        <v>4852</v>
      </c>
      <c r="B4852" s="2" t="str">
        <f>IFERROR(__xludf.DUMMYFUNCTION("GOOGLETRANSLATE(A4852, ""en"", ""mt"")"),"Liema kunċett, skopert oriġinarjament minn Black, aktar tard ġie skopert b'mod indipendenti minn Watt?")</f>
        <v>Liema kunċett, skopert oriġinarjament minn Black, aktar tard ġie skopert b'mod indipendenti minn Watt?</v>
      </c>
    </row>
    <row r="4853" ht="15.75" customHeight="1">
      <c r="A4853" s="2" t="s">
        <v>4853</v>
      </c>
      <c r="B4853" s="2" t="str">
        <f>IFERROR(__xludf.DUMMYFUNCTION("GOOGLETRANSLATE(A4853, ""en"", ""mt"")"),"is-sistema ta 'modifika ta' restrizzjoni")</f>
        <v>is-sistema ta 'modifika ta' restrizzjoni</v>
      </c>
    </row>
    <row r="4854" ht="15.75" customHeight="1">
      <c r="A4854" s="2" t="s">
        <v>4854</v>
      </c>
      <c r="B4854" s="2" t="str">
        <f>IFERROR(__xludf.DUMMYFUNCTION("GOOGLETRANSLATE(A4854, ""en"", ""mt"")"),"X'inhu eżempju ta 'diżubbidjenza illegali?")</f>
        <v>X'inhu eżempju ta 'diżubbidjenza illegali?</v>
      </c>
    </row>
    <row r="4855" ht="15.75" customHeight="1">
      <c r="A4855" s="2" t="s">
        <v>4855</v>
      </c>
      <c r="B4855" s="2" t="str">
        <f>IFERROR(__xludf.DUMMYFUNCTION("GOOGLETRANSLATE(A4855, ""en"", ""mt"")"),"Gvernatur Ċentrifugali")</f>
        <v>Gvernatur Ċentrifugali</v>
      </c>
    </row>
    <row r="4856" ht="15.75" customHeight="1">
      <c r="A4856" s="2" t="s">
        <v>4856</v>
      </c>
      <c r="B4856" s="2" t="str">
        <f>IFERROR(__xludf.DUMMYFUNCTION("GOOGLETRANSLATE(A4856, ""en"", ""mt"")"),"Kien biss l-orbita tal-pjaneta Merkurju li l-liġi ta 'gravitazzjoni ta' Newton dehret li ma tispjegax bis-sħiħ. Xi astrofiżiċi bassru l-eżistenza ta 'pjaneta oħra (Vulcan) li tispjega d-diskrepanzi; Madankollu, minkejja xi indikazzjonijiet bikrija, ma nst"&amp;"ab l-ebda pjaneta bħal din. Meta Albert Einstein fformula t-teorija tiegħu tar-Relatività Ġenerali (GR) huwa biddel l-attenzjoni tiegħu għall-problema tal-orbita ta 'Merkurju u sab li t-teorija tiegħu żiedet korrezzjoni, li tista' tirrapreżenta d-diskrepa"&amp;"nza. Din kienet l-ewwel darba li t-teorija tal-gravità ta ’Newton kienet murija li kienet inqas korretta minn alternattiva.")</f>
        <v>Kien biss l-orbita tal-pjaneta Merkurju li l-liġi ta 'gravitazzjoni ta' Newton dehret li ma tispjegax bis-sħiħ. Xi astrofiżiċi bassru l-eżistenza ta 'pjaneta oħra (Vulcan) li tispjega d-diskrepanzi; Madankollu, minkejja xi indikazzjonijiet bikrija, ma nstab l-ebda pjaneta bħal din. Meta Albert Einstein fformula t-teorija tiegħu tar-Relatività Ġenerali (GR) huwa biddel l-attenzjoni tiegħu għall-problema tal-orbita ta 'Merkurju u sab li t-teorija tiegħu żiedet korrezzjoni, li tista' tirrapreżenta d-diskrepanza. Din kienet l-ewwel darba li t-teorija tal-gravità ta ’Newton kienet murija li kienet inqas korretta minn alternattiva.</v>
      </c>
    </row>
    <row r="4857" ht="15.75" customHeight="1">
      <c r="A4857" s="2" t="s">
        <v>4857</v>
      </c>
      <c r="B4857" s="2" t="str">
        <f>IFERROR(__xludf.DUMMYFUNCTION("GOOGLETRANSLATE(A4857, ""en"", ""mt"")"),"Enerġizza l-elettroni")</f>
        <v>Enerġizza l-elettroni</v>
      </c>
    </row>
    <row r="4858" ht="15.75" customHeight="1">
      <c r="A4858" s="2" t="s">
        <v>4858</v>
      </c>
      <c r="B4858" s="2" t="str">
        <f>IFERROR(__xludf.DUMMYFUNCTION("GOOGLETRANSLATE(A4858, ""en"", ""mt"")"),"il-kaptan")</f>
        <v>il-kaptan</v>
      </c>
    </row>
    <row r="4859" ht="15.75" customHeight="1">
      <c r="A4859" s="2" t="s">
        <v>4859</v>
      </c>
      <c r="B4859" s="2" t="str">
        <f>IFERROR(__xludf.DUMMYFUNCTION("GOOGLETRANSLATE(A4859, ""en"", ""mt"")"),"Wara l-massakru ta 'Peterloo tal-1819, il-poeta Percy Shelley kiteb il-poeżija politika The Mask of Anarchy aktar tard dik is-sena, li tibda bl-immaġini ta' dak li hu ħaseb li huma l-forom inġusti ta 'awtorità ta' żmienu - u mbagħad jimmaġinaw it-taħwid t"&amp;"a 'ġdid forma ta 'azzjoni soċjali. Hija forsi l-ewwel dikjarazzjoni moderna [vaga] tal-prinċipju ta 'protesta mhux vjolenti. Verżjoni ttieħdet mill-awtur Henry David Thoreau fl-esej tiegħu diżubbidjenza ċivili, u aktar tard minn Gandhi fid-duttrina tiegħu"&amp;" ta 'Satyagraha. Satyagraha ta 'Gandhi kienet parzjalment influwenzata u ispirata min-nonvjolenza ta' Shelley bħala protesta u azzjoni politika. B'mod partikolari, huwa magħruf li Gandhi spiss jikkwota l-masque ta 'l-anarkija ta' Shelley għal udjenzi vast"&amp;"i matul il-kampanja għal Indja ħielsa.")</f>
        <v>Wara l-massakru ta 'Peterloo tal-1819, il-poeta Percy Shelley kiteb il-poeżija politika The Mask of Anarchy aktar tard dik is-sena, li tibda bl-immaġini ta' dak li hu ħaseb li huma l-forom inġusti ta 'awtorità ta' żmienu - u mbagħad jimmaġinaw it-taħwid ta 'ġdid forma ta 'azzjoni soċjali. Hija forsi l-ewwel dikjarazzjoni moderna [vaga] tal-prinċipju ta 'protesta mhux vjolenti. Verżjoni ttieħdet mill-awtur Henry David Thoreau fl-esej tiegħu diżubbidjenza ċivili, u aktar tard minn Gandhi fid-duttrina tiegħu ta 'Satyagraha. Satyagraha ta 'Gandhi kienet parzjalment influwenzata u ispirata min-nonvjolenza ta' Shelley bħala protesta u azzjoni politika. B'mod partikolari, huwa magħruf li Gandhi spiss jikkwota l-masque ta 'l-anarkija ta' Shelley għal udjenzi vasti matul il-kampanja għal Indja ħielsa.</v>
      </c>
    </row>
    <row r="4860" ht="15.75" customHeight="1">
      <c r="A4860" s="2" t="s">
        <v>4860</v>
      </c>
      <c r="B4860" s="2" t="str">
        <f>IFERROR(__xludf.DUMMYFUNCTION("GOOGLETRANSLATE(A4860, ""en"", ""mt"")"),"Strumenti xjentifiċi awtomatizzati")</f>
        <v>Strumenti xjentifiċi awtomatizzati</v>
      </c>
    </row>
    <row r="4861" ht="15.75" customHeight="1">
      <c r="A4861" s="2" t="s">
        <v>4861</v>
      </c>
      <c r="B4861" s="2" t="str">
        <f>IFERROR(__xludf.DUMMYFUNCTION("GOOGLETRANSLATE(A4861, ""en"", ""mt"")"),"Ordni Agostinjan")</f>
        <v>Ordni Agostinjan</v>
      </c>
    </row>
    <row r="4862" ht="15.75" customHeight="1">
      <c r="A4862" s="2" t="s">
        <v>4862</v>
      </c>
      <c r="B4862" s="2" t="str">
        <f>IFERROR(__xludf.DUMMYFUNCTION("GOOGLETRANSLATE(A4862, ""en"", ""mt"")"),"Kawża dejjem tikber ta 'tħassib")</f>
        <v>Kawża dejjem tikber ta 'tħassib</v>
      </c>
    </row>
    <row r="4863" ht="15.75" customHeight="1">
      <c r="A4863" s="2" t="s">
        <v>4863</v>
      </c>
      <c r="B4863" s="2" t="str">
        <f>IFERROR(__xludf.DUMMYFUNCTION("GOOGLETRANSLATE(A4863, ""en"", ""mt"")"),"is-seklu 17")</f>
        <v>is-seklu 17</v>
      </c>
    </row>
    <row r="4864" ht="15.75" customHeight="1">
      <c r="A4864" s="2" t="s">
        <v>4864</v>
      </c>
      <c r="B4864" s="2" t="str">
        <f>IFERROR(__xludf.DUMMYFUNCTION("GOOGLETRANSLATE(A4864, ""en"", ""mt"")"),"X’jikkorrelata l-iktar benesseri tat-tfal f’pajjiżi sinjuri?")</f>
        <v>X’jikkorrelata l-iktar benesseri tat-tfal f’pajjiżi sinjuri?</v>
      </c>
    </row>
    <row r="4865" ht="15.75" customHeight="1">
      <c r="A4865" s="2" t="s">
        <v>4865</v>
      </c>
      <c r="B4865" s="2" t="str">
        <f>IFERROR(__xludf.DUMMYFUNCTION("GOOGLETRANSLATE(A4865, ""en"", ""mt"")"),"L-ewwel seklu AD għall-preżent,")</f>
        <v>L-ewwel seklu AD għall-preżent,</v>
      </c>
    </row>
    <row r="4866" ht="15.75" customHeight="1">
      <c r="A4866" s="2" t="s">
        <v>4866</v>
      </c>
      <c r="B4866" s="2" t="str">
        <f>IFERROR(__xludf.DUMMYFUNCTION("GOOGLETRANSLATE(A4866, ""en"", ""mt"")"),"oġġetti tal-fidda")</f>
        <v>oġġetti tal-fidda</v>
      </c>
    </row>
    <row r="4867" ht="15.75" customHeight="1">
      <c r="A4867" s="2" t="s">
        <v>4867</v>
      </c>
      <c r="B4867" s="2" t="str">
        <f>IFERROR(__xludf.DUMMYFUNCTION("GOOGLETRANSLATE(A4867, ""en"", ""mt"")"),"Minn min kien il-moviment li Eliot segwa?")</f>
        <v>Minn min kien il-moviment li Eliot segwa?</v>
      </c>
    </row>
    <row r="4868" ht="15.75" customHeight="1">
      <c r="A4868" s="2" t="s">
        <v>4868</v>
      </c>
      <c r="B4868" s="2" t="str">
        <f>IFERROR(__xludf.DUMMYFUNCTION("GOOGLETRANSLATE(A4868, ""en"", ""mt"")"),"Xi jfisser li tirrifjuta li tippriedka l-għaxar kmandamenti ma tagħmilx?")</f>
        <v>Xi jfisser li tirrifjuta li tippriedka l-għaxar kmandamenti ma tagħmilx?</v>
      </c>
    </row>
    <row r="4869" ht="15.75" customHeight="1">
      <c r="A4869" s="2" t="s">
        <v>4869</v>
      </c>
      <c r="B4869" s="2" t="str">
        <f>IFERROR(__xludf.DUMMYFUNCTION("GOOGLETRANSLATE(A4869, ""en"", ""mt"")"),"Salarji tal-Għalliema")</f>
        <v>Salarji tal-Għalliema</v>
      </c>
    </row>
    <row r="4870" ht="15.75" customHeight="1">
      <c r="A4870" s="2" t="s">
        <v>4870</v>
      </c>
      <c r="B4870" s="2" t="str">
        <f>IFERROR(__xludf.DUMMYFUNCTION("GOOGLETRANSLATE(A4870, ""en"", ""mt"")"),"Xmara Thames")</f>
        <v>Xmara Thames</v>
      </c>
    </row>
    <row r="4871" ht="15.75" customHeight="1">
      <c r="A4871" s="2" t="s">
        <v>4871</v>
      </c>
      <c r="B4871" s="2" t="str">
        <f>IFERROR(__xludf.DUMMYFUNCTION("GOOGLETRANSLATE(A4871, ""en"", ""mt"")"),"Propulsjoni, enerġija elettrika u appoġġ għall-ħajja")</f>
        <v>Propulsjoni, enerġija elettrika u appoġġ għall-ħajja</v>
      </c>
    </row>
    <row r="4872" ht="15.75" customHeight="1">
      <c r="A4872" s="2" t="s">
        <v>4872</v>
      </c>
      <c r="B4872" s="2" t="str">
        <f>IFERROR(__xludf.DUMMYFUNCTION("GOOGLETRANSLATE(A4872, ""en"", ""mt"")"),"Liema koalizzjoni żdiedet biex topponi Franza ta 'Louis XIV?")</f>
        <v>Liema koalizzjoni żdiedet biex topponi Franza ta 'Louis XIV?</v>
      </c>
    </row>
    <row r="4873" ht="15.75" customHeight="1">
      <c r="A4873" s="2" t="s">
        <v>4873</v>
      </c>
      <c r="B4873" s="2" t="str">
        <f>IFERROR(__xludf.DUMMYFUNCTION("GOOGLETRANSLATE(A4873, ""en"", ""mt"")"),"Fertilità tal-ħamrija u invażjoni tal-ħaxix ħażin")</f>
        <v>Fertilità tal-ħamrija u invażjoni tal-ħaxix ħażin</v>
      </c>
    </row>
    <row r="4874" ht="15.75" customHeight="1">
      <c r="A4874" s="2" t="s">
        <v>4874</v>
      </c>
      <c r="B4874" s="2" t="str">
        <f>IFERROR(__xludf.DUMMYFUNCTION("GOOGLETRANSLATE(A4874, ""en"", ""mt"")"),"Imwaqqaf oriġinarjament mil-Leġislatura ta 'Massachusetts u ftit wara msemmi għal John Harvard (l-ewwel benefattur tiegħu), Harvard hija l-eqdem istituzzjoni ta' tagħlim ogħla ta 'l-Istati Uniti, u l-Korporazzjoni ta' Harvard (formalment, il-president u l"&amp;"-membri tal-Kulleġġ ta 'Harvard) hija l-ewwel mikrija tagħha korporazzjoni. Għalkemm qatt ma affiljat formalment ma 'xi denominazzjoni, il-kulleġġ bikri mħarreġ primarjament kongregazzjonist u kleru Unitarju. Il-kurrikulu u l-korp tal-istudenti tiegħu ġew"&amp;" gradwalment sekularizzati matul is-seklu 18, u sas-seklu 19 Harvard kien ħareġ bħala l-istabbiliment kulturali ċentrali fost l-elite ta 'Boston. Wara l-Gwerra Ċivili Amerikana, il-President Charles W. Eliot's Long Tule (1869-1909) biddel il-kulleġġ u l-i"&amp;"skejjel professjonali affiljati f'università ta 'riċerka moderna; Harvard kien membru fundatur tal-Assoċjazzjoni tal-Universitajiet Amerikani fl-1900. James Bryant Conant mexxa l-università permezz tad-Depressjoni l-Kbira u t-Tieni Gwerra Dinjija u beda j"&amp;"irriforma l-kurrikulu u jilliberalizza l-ammissjonijiet wara l-gwerra. Il-Kulleġġ Undergraduate sar koeducational wara l-għaqda tiegħu tal-1977 mal-Kulleġġ Radcliffe.")</f>
        <v>Imwaqqaf oriġinarjament mil-Leġislatura ta 'Massachusetts u ftit wara msemmi għal John Harvard (l-ewwel benefattur tiegħu), Harvard hija l-eqdem istituzzjoni ta' tagħlim ogħla ta 'l-Istati Uniti, u l-Korporazzjoni ta' Harvard (formalment, il-president u l-membri tal-Kulleġġ ta 'Harvard) hija l-ewwel mikrija tagħha korporazzjoni. Għalkemm qatt ma affiljat formalment ma 'xi denominazzjoni, il-kulleġġ bikri mħarreġ primarjament kongregazzjonist u kleru Unitarju. Il-kurrikulu u l-korp tal-istudenti tiegħu ġew gradwalment sekularizzati matul is-seklu 18, u sas-seklu 19 Harvard kien ħareġ bħala l-istabbiliment kulturali ċentrali fost l-elite ta 'Boston. Wara l-Gwerra Ċivili Amerikana, il-President Charles W. Eliot's Long Tule (1869-1909) biddel il-kulleġġ u l-iskejjel professjonali affiljati f'università ta 'riċerka moderna; Harvard kien membru fundatur tal-Assoċjazzjoni tal-Universitajiet Amerikani fl-1900. James Bryant Conant mexxa l-università permezz tad-Depressjoni l-Kbira u t-Tieni Gwerra Dinjija u beda jirriforma l-kurrikulu u jilliberalizza l-ammissjonijiet wara l-gwerra. Il-Kulleġġ Undergraduate sar koeducational wara l-għaqda tiegħu tal-1977 mal-Kulleġġ Radcliffe.</v>
      </c>
    </row>
    <row r="4875" ht="15.75" customHeight="1">
      <c r="A4875" s="2" t="s">
        <v>4875</v>
      </c>
      <c r="B4875" s="2" t="str">
        <f>IFERROR(__xludf.DUMMYFUNCTION("GOOGLETRANSLATE(A4875, ""en"", ""mt"")"),"counterflow")</f>
        <v>counterflow</v>
      </c>
    </row>
    <row r="4876" ht="15.75" customHeight="1">
      <c r="A4876" s="2" t="s">
        <v>4876</v>
      </c>
      <c r="B4876" s="2" t="str">
        <f>IFERROR(__xludf.DUMMYFUNCTION("GOOGLETRANSLATE(A4876, ""en"", ""mt"")"),"Tim tal-Bowl tal-Kulleġġ tal-Università ta 'Chicago")</f>
        <v>Tim tal-Bowl tal-Kulleġġ tal-Università ta 'Chicago</v>
      </c>
    </row>
    <row r="4877" ht="15.75" customHeight="1">
      <c r="A4877" s="2" t="s">
        <v>4877</v>
      </c>
      <c r="B4877" s="2" t="str">
        <f>IFERROR(__xludf.DUMMYFUNCTION("GOOGLETRANSLATE(A4877, ""en"", ""mt"")"),"Fejn sar ħafna mix-xogħol tal-Parlament Skoċċiż?")</f>
        <v>Fejn sar ħafna mix-xogħol tal-Parlament Skoċċiż?</v>
      </c>
    </row>
    <row r="4878" ht="15.75" customHeight="1">
      <c r="A4878" s="2" t="s">
        <v>4878</v>
      </c>
      <c r="B4878" s="2" t="str">
        <f>IFERROR(__xludf.DUMMYFUNCTION("GOOGLETRANSLATE(A4878, ""en"", ""mt"")"),"il-fruntiera tal-punent")</f>
        <v>il-fruntiera tal-punent</v>
      </c>
    </row>
    <row r="4879" ht="15.75" customHeight="1">
      <c r="A4879" s="2" t="s">
        <v>4879</v>
      </c>
      <c r="B4879" s="2" t="str">
        <f>IFERROR(__xludf.DUMMYFUNCTION("GOOGLETRANSLATE(A4879, ""en"", ""mt"")"),"iddestinat għal perdition.")</f>
        <v>iddestinat għal perdition.</v>
      </c>
    </row>
    <row r="4880" ht="15.75" customHeight="1">
      <c r="A4880" s="2" t="s">
        <v>4880</v>
      </c>
      <c r="B4880" s="2" t="str">
        <f>IFERROR(__xludf.DUMMYFUNCTION("GOOGLETRANSLATE(A4880, ""en"", ""mt"")"),"Knisja Metodista sabiħa")</f>
        <v>Knisja Metodista sabiħa</v>
      </c>
    </row>
    <row r="4881" ht="15.75" customHeight="1">
      <c r="A4881" s="2" t="s">
        <v>4881</v>
      </c>
      <c r="B4881" s="2" t="str">
        <f>IFERROR(__xludf.DUMMYFUNCTION("GOOGLETRANSLATE(A4881, ""en"", ""mt"")"),"ħu ġuramentat jew ħu d-demm)")</f>
        <v>ħu ġuramentat jew ħu d-demm)</v>
      </c>
    </row>
    <row r="4882" ht="15.75" customHeight="1">
      <c r="A4882" s="2" t="s">
        <v>4882</v>
      </c>
      <c r="B4882" s="2" t="str">
        <f>IFERROR(__xludf.DUMMYFUNCTION("GOOGLETRANSLATE(A4882, ""en"", ""mt"")"),"Jekk kwistjoni mhix riservata speċifikament, għal min hu devolut?")</f>
        <v>Jekk kwistjoni mhix riservata speċifikament, għal min hu devolut?</v>
      </c>
    </row>
    <row r="4883" ht="15.75" customHeight="1">
      <c r="A4883" s="2" t="s">
        <v>4883</v>
      </c>
      <c r="B4883" s="2" t="str">
        <f>IFERROR(__xludf.DUMMYFUNCTION("GOOGLETRANSLATE(A4883, ""en"", ""mt"")"),"direttament permezz tal-matriċi ta 'l-adjacency tagħhom")</f>
        <v>direttament permezz tal-matriċi ta 'l-adjacency tagħhom</v>
      </c>
    </row>
    <row r="4884" ht="15.75" customHeight="1">
      <c r="A4884" s="2" t="s">
        <v>4884</v>
      </c>
      <c r="B4884" s="2" t="str">
        <f>IFERROR(__xludf.DUMMYFUNCTION("GOOGLETRANSLATE(A4884, ""en"", ""mt"")"),"Tesla tqajmet Kristjan Ortodoss. Aktar tard f'ħajtu, huwa ma jqisx lilu nnifsu bħala ""fidi fis-sens ortodoss"", u oppona l-fanatiżmu reliġjuż. Minkejja dan, huwa kellu rispett profond kemm għall-Buddiżmu kif ukoll għall-Kristjaneżmu.")</f>
        <v>Tesla tqajmet Kristjan Ortodoss. Aktar tard f'ħajtu, huwa ma jqisx lilu nnifsu bħala "fidi fis-sens ortodoss", u oppona l-fanatiżmu reliġjuż. Minkejja dan, huwa kellu rispett profond kemm għall-Buddiżmu kif ukoll għall-Kristjaneżmu.</v>
      </c>
    </row>
    <row r="4885" ht="15.75" customHeight="1">
      <c r="A4885" s="2" t="s">
        <v>4885</v>
      </c>
      <c r="B4885" s="2" t="str">
        <f>IFERROR(__xludf.DUMMYFUNCTION("GOOGLETRANSLATE(A4885, ""en"", ""mt"")"),"Luther wasal biex jifhem il-ġustifikazzjoni bħala kompletament ix-xogħol ta 'Alla. Dan it-tagħlim minn Luther kien espress b'mod ċar fil-pubblikazzjoni 1525 tiegħu fuq il-jasar tat-testment, li nkiteb b'reazzjoni għal fuq ir-rieda ħielsa minn Desiderius E"&amp;"rasmus (1524). Luther ibbaża l-pożizzjoni tiegħu fuq il-predestinazzjoni fuq l-Epistola ta ’San Pawl lejn l-Efesin 2: 8-10. Kontra t-tagħlim tal-ġurnata tiegħu li l-atti ġusti ta ’dawk li jemmnu jitwettqu f’kooperazzjoni ma’ Alla, Luther kiteb li l-Kristj"&amp;"ani jirċievu tali tjieba kompletament minn barra nfushom; Din it-tjieba mhux biss ġejja minn Kristu imma fil-fatt hija t-tjieba ta ’Kristu, imputata lill-insara (aktar milli infużi fihom) permezz tal-fidi. ""Huwa għalhekk li l-fidi waħedha tagħmel lil xi "&amp;"ħadd ġust u tissodisfa l-liġi,"" kiteb. ""Il-fidi hija dik li ġġib l-Ispirtu s-Santu permezz tal-merti ta 'Kristu."" Il-fidi, għal Luther, kienet rigal minn Alla; L-esperjenza li tkun iġġustifikat mill-fidi kienet ""daqslikieku kont twelidt mill-ġdid."" I"&amp;"d-dħul tiegħu fil-ġenna, xejn inqas, kien skoperta dwar ""it-tjieba ta 'Alla"" - skoperta li ""l-persuna ġusta"" li l-Bibbja titkellem (bħal fir-Rumani 1:17) tgħix bil-fidi. Huwa spjega l-kunċett tiegħu ta '""ġustifikazzjoni"" fl-artikoli ta' Smalcald:")</f>
        <v>Luther wasal biex jifhem il-ġustifikazzjoni bħala kompletament ix-xogħol ta 'Alla. Dan it-tagħlim minn Luther kien espress b'mod ċar fil-pubblikazzjoni 1525 tiegħu fuq il-jasar tat-testment, li nkiteb b'reazzjoni għal fuq ir-rieda ħielsa minn Desiderius Erasmus (1524). Luther ibbaża l-pożizzjoni tiegħu fuq il-predestinazzjoni fuq l-Epistola ta ’San Pawl lejn l-Efesin 2: 8-10. Kontra t-tagħlim tal-ġurnata tiegħu li l-atti ġusti ta ’dawk li jemmnu jitwettqu f’kooperazzjoni ma’ Alla, Luther kiteb li l-Kristjani jirċievu tali tjieba kompletament minn barra nfushom; Din it-tjieba mhux biss ġejja minn Kristu imma fil-fatt hija t-tjieba ta ’Kristu, imputata lill-insara (aktar milli infużi fihom) permezz tal-fidi. "Huwa għalhekk li l-fidi waħedha tagħmel lil xi ħadd ġust u tissodisfa l-liġi," kiteb. "Il-fidi hija dik li ġġib l-Ispirtu s-Santu permezz tal-merti ta 'Kristu." Il-fidi, għal Luther, kienet rigal minn Alla; L-esperjenza li tkun iġġustifikat mill-fidi kienet "daqslikieku kont twelidt mill-ġdid." Id-dħul tiegħu fil-ġenna, xejn inqas, kien skoperta dwar "it-tjieba ta 'Alla" - skoperta li "l-persuna ġusta" li l-Bibbja titkellem (bħal fir-Rumani 1:17) tgħix bil-fidi. Huwa spjega l-kunċett tiegħu ta '"ġustifikazzjoni" fl-artikoli ta' Smalcald:</v>
      </c>
    </row>
    <row r="4886" ht="15.75" customHeight="1">
      <c r="A4886" s="2" t="s">
        <v>4886</v>
      </c>
      <c r="B4886" s="2" t="str">
        <f>IFERROR(__xludf.DUMMYFUNCTION("GOOGLETRANSLATE(A4886, ""en"", ""mt"")"),"Organizzazzjonijiet tal-Istudenti Rikonoxxuti (RSOs)")</f>
        <v>Organizzazzjonijiet tal-Istudenti Rikonoxxuti (RSOs)</v>
      </c>
    </row>
    <row r="4887" ht="15.75" customHeight="1">
      <c r="A4887" s="2" t="s">
        <v>4887</v>
      </c>
      <c r="B4887" s="2" t="str">
        <f>IFERROR(__xludf.DUMMYFUNCTION("GOOGLETRANSLATE(A4887, ""en"", ""mt"")"),"tliet gruppi")</f>
        <v>tliet gruppi</v>
      </c>
    </row>
    <row r="4888" ht="15.75" customHeight="1">
      <c r="A4888" s="2" t="s">
        <v>4888</v>
      </c>
      <c r="B4888" s="2" t="str">
        <f>IFERROR(__xludf.DUMMYFUNCTION("GOOGLETRANSLATE(A4888, ""en"", ""mt"")"),"Artikolu 49 TFEU")</f>
        <v>Artikolu 49 TFEU</v>
      </c>
    </row>
    <row r="4889" ht="15.75" customHeight="1">
      <c r="A4889" s="2" t="s">
        <v>4889</v>
      </c>
      <c r="B4889" s="2" t="str">
        <f>IFERROR(__xludf.DUMMYFUNCTION("GOOGLETRANSLATE(A4889, ""en"", ""mt"")"),"uffiċjal pubbliku")</f>
        <v>uffiċjal pubbliku</v>
      </c>
    </row>
    <row r="4890" ht="15.75" customHeight="1">
      <c r="A4890" s="2" t="s">
        <v>4890</v>
      </c>
      <c r="B4890" s="2" t="str">
        <f>IFERROR(__xludf.DUMMYFUNCTION("GOOGLETRANSLATE(A4890, ""en"", ""mt"")"),"Il-konċentrazzjoni tal-ġid hija proċess teoretiku [skond min?] Li permezz tiegħu, taħt ċerti kundizzjonijiet, konċentrati tal-ġid maħluqa ġodda fil-pussess ta 'individwi jew entitajiet diġà sinjifikanti. Skond din it-teorija, dawk li diġà għandhom il-ġid "&amp;"għandhom il-mezzi biex jinvestu f'sorsi ġodda ta 'ħolqien ta' ġid jew biex inkella jsaħħu l-akkumulazzjoni tal-ġid, u għalhekk huma l-benefiċjarji tal-ġid il-ġdid. Maż-żmien, il-kondensazzjoni tal-ġid tista 'tikkontribwixxi b'mod sinifikanti għall-persist"&amp;"enza ta' inugwaljanza fis-soċjetà. Thomas Piketty fil-ktieb tal-ktieb tiegħu fis-seklu wieħed u għoxrin jargumenta li l-forza fundamentali għad-diverġenza hija r-ritorn ġeneralment ikbar tal-kapital (R) milli t-tkabbir ekonomiku (G), u li l-fortuni akbar "&amp;"jiġġeneraw qligħ ogħla [PP. 384 Tabella 12.2, Daqs tad-Dotazzjoni tal-Università ta 'l-Istati Uniti vs Rata ta' Ritorn Annwali Real]")</f>
        <v>Il-konċentrazzjoni tal-ġid hija proċess teoretiku [skond min?] Li permezz tiegħu, taħt ċerti kundizzjonijiet, konċentrati tal-ġid maħluqa ġodda fil-pussess ta 'individwi jew entitajiet diġà sinjifikanti. Skond din it-teorija, dawk li diġà għandhom il-ġid għandhom il-mezzi biex jinvestu f'sorsi ġodda ta 'ħolqien ta' ġid jew biex inkella jsaħħu l-akkumulazzjoni tal-ġid, u għalhekk huma l-benefiċjarji tal-ġid il-ġdid. Maż-żmien, il-kondensazzjoni tal-ġid tista 'tikkontribwixxi b'mod sinifikanti għall-persistenza ta' inugwaljanza fis-soċjetà. Thomas Piketty fil-ktieb tal-ktieb tiegħu fis-seklu wieħed u għoxrin jargumenta li l-forza fundamentali għad-diverġenza hija r-ritorn ġeneralment ikbar tal-kapital (R) milli t-tkabbir ekonomiku (G), u li l-fortuni akbar jiġġeneraw qligħ ogħla [PP. 384 Tabella 12.2, Daqs tad-Dotazzjoni tal-Università ta 'l-Istati Uniti vs Rata ta' Ritorn Annwali Real]</v>
      </c>
    </row>
    <row r="4891" ht="15.75" customHeight="1">
      <c r="A4891" s="2" t="s">
        <v>4891</v>
      </c>
      <c r="B4891" s="2" t="str">
        <f>IFERROR(__xludf.DUMMYFUNCTION("GOOGLETRANSLATE(A4891, ""en"", ""mt"")"),"Gżira Parris")</f>
        <v>Gżira Parris</v>
      </c>
    </row>
    <row r="4892" ht="15.75" customHeight="1">
      <c r="A4892" s="2" t="s">
        <v>4892</v>
      </c>
      <c r="B4892" s="2" t="str">
        <f>IFERROR(__xludf.DUMMYFUNCTION("GOOGLETRANSLATE(A4892, ""en"", ""mt"")"),"It-Tnejn")</f>
        <v>It-Tnejn</v>
      </c>
    </row>
    <row r="4893" ht="15.75" customHeight="1">
      <c r="A4893" s="2" t="s">
        <v>4893</v>
      </c>
      <c r="B4893" s="2" t="str">
        <f>IFERROR(__xludf.DUMMYFUNCTION("GOOGLETRANSLATE(A4893, ""en"", ""mt"")"),"Parlament")</f>
        <v>Parlament</v>
      </c>
    </row>
    <row r="4894" ht="15.75" customHeight="1">
      <c r="A4894" s="2" t="s">
        <v>4894</v>
      </c>
      <c r="B4894" s="2" t="str">
        <f>IFERROR(__xludf.DUMMYFUNCTION("GOOGLETRANSLATE(A4894, ""en"", ""mt"")"),"Madwar 5 nanometri madwar")</f>
        <v>Madwar 5 nanometri madwar</v>
      </c>
    </row>
    <row r="4895" ht="15.75" customHeight="1">
      <c r="A4895" s="2" t="s">
        <v>4895</v>
      </c>
      <c r="B4895" s="2" t="str">
        <f>IFERROR(__xludf.DUMMYFUNCTION("GOOGLETRANSLATE(A4895, ""en"", ""mt"")"),"Is-salarji għall-għalliema tal-iskola primarja u sekondarja varjaw minn £ 20,133 sa £ 41,004 f'Settembru 2007, għalkemm xi salarji jistgħu jmorru ferm ogħla skont l-esperjenza u r-responsabbiltajiet żejda. L-għalliema ta 'qabel l-iskola jistgħu jaqilgħu £"&amp;" 20,980 kull sena. [Ċitazzjoni meħtieġa] L-għalliema fl-iskejjel tal-istat għandu jkollhom mill-inqas grad ta' baċellerat, jimlew programm ta 'edukazzjoni tal-għalliema approvati, u jkunu liċenzjati.")</f>
        <v>Is-salarji għall-għalliema tal-iskola primarja u sekondarja varjaw minn £ 20,133 sa £ 41,004 f'Settembru 2007, għalkemm xi salarji jistgħu jmorru ferm ogħla skont l-esperjenza u r-responsabbiltajiet żejda. L-għalliema ta 'qabel l-iskola jistgħu jaqilgħu £ 20,980 kull sena. [Ċitazzjoni meħtieġa] L-għalliema fl-iskejjel tal-istat għandu jkollhom mill-inqas grad ta' baċellerat, jimlew programm ta 'edukazzjoni tal-għalliema approvati, u jkunu liċenzjati.</v>
      </c>
    </row>
    <row r="4896" ht="15.75" customHeight="1">
      <c r="A4896" s="2" t="s">
        <v>4896</v>
      </c>
      <c r="B4896" s="2" t="str">
        <f>IFERROR(__xludf.DUMMYFUNCTION("GOOGLETRANSLATE(A4896, ""en"", ""mt"")"),"1321 sa 1323")</f>
        <v>1321 sa 1323</v>
      </c>
    </row>
    <row r="4897" ht="15.75" customHeight="1">
      <c r="A4897" s="2" t="s">
        <v>4897</v>
      </c>
      <c r="B4897" s="2" t="str">
        <f>IFERROR(__xludf.DUMMYFUNCTION("GOOGLETRANSLATE(A4897, ""en"", ""mt"")"),"la l-isforz massimu u lanqas il-kisba tar-riżultati meħtieġa")</f>
        <v>la l-isforz massimu u lanqas il-kisba tar-riżultati meħtieġa</v>
      </c>
    </row>
    <row r="4898" ht="15.75" customHeight="1">
      <c r="A4898" s="2" t="s">
        <v>4898</v>
      </c>
      <c r="B4898" s="2" t="str">
        <f>IFERROR(__xludf.DUMMYFUNCTION("GOOGLETRANSLATE(A4898, ""en"", ""mt"")"),"Beta tħassir")</f>
        <v>Beta tħassir</v>
      </c>
    </row>
    <row r="4899" ht="15.75" customHeight="1">
      <c r="A4899" s="2" t="s">
        <v>4899</v>
      </c>
      <c r="B4899" s="2" t="str">
        <f>IFERROR(__xludf.DUMMYFUNCTION("GOOGLETRANSLATE(A4899, ""en"", ""mt"")"),"Fir-rigward tat-taħrika li tibgħatli biex nirtira, ma naħsibx lili nnifsi obbligat li nobdiha.")</f>
        <v>Fir-rigward tat-taħrika li tibgħatli biex nirtira, ma naħsibx lili nnifsi obbligat li nobdiha.</v>
      </c>
    </row>
    <row r="4900" ht="15.75" customHeight="1">
      <c r="A4900" s="2" t="s">
        <v>4900</v>
      </c>
      <c r="B4900" s="2" t="str">
        <f>IFERROR(__xludf.DUMMYFUNCTION("GOOGLETRANSLATE(A4900, ""en"", ""mt"")"),"Fejn kien jinsab it-Teatru tas-Sajf?")</f>
        <v>Fejn kien jinsab it-Teatru tas-Sajf?</v>
      </c>
    </row>
    <row r="4901" ht="15.75" customHeight="1">
      <c r="A4901" s="2" t="s">
        <v>4901</v>
      </c>
      <c r="B4901" s="2" t="str">
        <f>IFERROR(__xludf.DUMMYFUNCTION("GOOGLETRANSLATE(A4901, ""en"", ""mt"")"),"identità")</f>
        <v>identità</v>
      </c>
    </row>
    <row r="4902" ht="15.75" customHeight="1">
      <c r="A4902" s="2" t="s">
        <v>4902</v>
      </c>
      <c r="B4902" s="2" t="str">
        <f>IFERROR(__xludf.DUMMYFUNCTION("GOOGLETRANSLATE(A4902, ""en"", ""mt"")"),"li BSKYB żied sostanzjalment il-prezz mitlub għall-kanali")</f>
        <v>li BSKYB żied sostanzjalment il-prezz mitlub għall-kanali</v>
      </c>
    </row>
    <row r="4903" ht="15.75" customHeight="1">
      <c r="A4903" s="2" t="s">
        <v>4903</v>
      </c>
      <c r="B4903" s="2" t="str">
        <f>IFERROR(__xludf.DUMMYFUNCTION("GOOGLETRANSLATE(A4903, ""en"", ""mt"")"),"Kimika")</f>
        <v>Kimika</v>
      </c>
    </row>
    <row r="4904" ht="15.75" customHeight="1">
      <c r="A4904" s="2" t="s">
        <v>4904</v>
      </c>
      <c r="B4904" s="2" t="str">
        <f>IFERROR(__xludf.DUMMYFUNCTION("GOOGLETRANSLATE(A4904, ""en"", ""mt"")"),"X'giżviluppa Donald Davies")</f>
        <v>X'giżviluppa Donald Davies</v>
      </c>
    </row>
    <row r="4905" ht="15.75" customHeight="1">
      <c r="A4905" s="2" t="s">
        <v>4905</v>
      </c>
      <c r="B4905" s="2" t="str">
        <f>IFERROR(__xludf.DUMMYFUNCTION("GOOGLETRANSLATE(A4905, ""en"", ""mt"")"),"fehim intuwittiv")</f>
        <v>fehim intuwittiv</v>
      </c>
    </row>
    <row r="4906" ht="15.75" customHeight="1">
      <c r="A4906" s="2" t="s">
        <v>4906</v>
      </c>
      <c r="B4906" s="2" t="str">
        <f>IFERROR(__xludf.DUMMYFUNCTION("GOOGLETRANSLATE(A4906, ""en"", ""mt"")"),"X'kien il-ktieb ta 'Goldenson 1991 dwar ABC bit-tema?")</f>
        <v>X'kien il-ktieb ta 'Goldenson 1991 dwar ABC bit-tema?</v>
      </c>
    </row>
    <row r="4907" ht="15.75" customHeight="1">
      <c r="A4907" s="2" t="s">
        <v>4907</v>
      </c>
      <c r="B4907" s="2" t="str">
        <f>IFERROR(__xludf.DUMMYFUNCTION("GOOGLETRANSLATE(A4907, ""en"", ""mt"")")," Fejn instabu l-privattivi nieqsa wara?")</f>
        <v> Fejn instabu l-privattivi nieqsa wara?</v>
      </c>
    </row>
    <row r="4908" ht="15.75" customHeight="1">
      <c r="A4908" s="2" t="s">
        <v>4908</v>
      </c>
      <c r="B4908" s="2" t="str">
        <f>IFERROR(__xludf.DUMMYFUNCTION("GOOGLETRANSLATE(A4908, ""en"", ""mt"")"),"Liema pajjiż qed jiddiskuti dan is-suġġett tat-tagħlim?")</f>
        <v>Liema pajjiż qed jiddiskuti dan is-suġġett tat-tagħlim?</v>
      </c>
    </row>
    <row r="4909" ht="15.75" customHeight="1">
      <c r="A4909" s="2" t="s">
        <v>4909</v>
      </c>
      <c r="B4909" s="2" t="str">
        <f>IFERROR(__xludf.DUMMYFUNCTION("GOOGLETRANSLATE(A4909, ""en"", ""mt"")"),"Ir-Reġina Victoria")</f>
        <v>Ir-Reġina Victoria</v>
      </c>
    </row>
    <row r="4910" ht="15.75" customHeight="1">
      <c r="A4910" s="2" t="s">
        <v>4910</v>
      </c>
      <c r="B4910" s="2" t="str">
        <f>IFERROR(__xludf.DUMMYFUNCTION("GOOGLETRANSLATE(A4910, ""en"", ""mt"")"),"Fl-2013, il-Peabody Awards onoraw lil Doctor Who ma 'Peabody istituzzjonali ""talli qed jevolvi bit-teknoloġija u t-Times bħal xejn ieħor fl-univers tat-televiżjoni magħruf."" Il-programm huwa elenkat fir-Rekords Dinjija ta 'Guinness bħala l-itwal program"&amp;"m televiżiv tax-xjenza fittizja fid-dinja, is-serje ""l-iktar ta' suċċess"" ta 'fantaxjenza ta' kull żmien - ibbażata fuq il-klassifikazzjonijiet tax-xandir kollha tagħha, DVD u bejgħ ta 'kotba, u traffiku iTunes - u għall-ikbar simulcast ta 'drama tat-TV"&amp;" bil-50 anniversarju speċjali tiegħu. Matul il-ġirja oriġinali tagħha, ġie rikonoxxut għall-istejjer immaġinattivi tiegħu, effetti speċjali ta 'baġit baxx kreattiv, u l-użu pijunier ta' mużika elettronika (oriġinarjament prodott mill-Workshop Radjofoniku "&amp;"tal-BBC).")</f>
        <v>Fl-2013, il-Peabody Awards onoraw lil Doctor Who ma 'Peabody istituzzjonali "talli qed jevolvi bit-teknoloġija u t-Times bħal xejn ieħor fl-univers tat-televiżjoni magħruf." Il-programm huwa elenkat fir-Rekords Dinjija ta 'Guinness bħala l-itwal programm televiżiv tax-xjenza fittizja fid-dinja, is-serje "l-iktar ta' suċċess" ta 'fantaxjenza ta' kull żmien - ibbażata fuq il-klassifikazzjonijiet tax-xandir kollha tagħha, DVD u bejgħ ta 'kotba, u traffiku iTunes - u għall-ikbar simulcast ta 'drama tat-TV bil-50 anniversarju speċjali tiegħu. Matul il-ġirja oriġinali tagħha, ġie rikonoxxut għall-istejjer immaġinattivi tiegħu, effetti speċjali ta 'baġit baxx kreattiv, u l-użu pijunier ta' mużika elettronika (oriġinarjament prodott mill-Workshop Radjofoniku tal-BBC).</v>
      </c>
    </row>
    <row r="4911" ht="15.75" customHeight="1">
      <c r="A4911" s="2" t="s">
        <v>4911</v>
      </c>
      <c r="B4911" s="2" t="str">
        <f>IFERROR(__xludf.DUMMYFUNCTION("GOOGLETRANSLATE(A4911, ""en"", ""mt"")"),"Distinzjoni")</f>
        <v>Distinzjoni</v>
      </c>
    </row>
    <row r="4912" ht="15.75" customHeight="1">
      <c r="A4912" s="2" t="s">
        <v>4912</v>
      </c>
      <c r="B4912" s="2" t="str">
        <f>IFERROR(__xludf.DUMMYFUNCTION("GOOGLETRANSLATE(A4912, ""en"", ""mt"")"),"X'inhu kastig komuni f'Singapore?")</f>
        <v>X'inhu kastig komuni f'Singapore?</v>
      </c>
    </row>
    <row r="4913" ht="15.75" customHeight="1">
      <c r="A4913" s="2" t="s">
        <v>4913</v>
      </c>
      <c r="B4913" s="2" t="str">
        <f>IFERROR(__xludf.DUMMYFUNCTION("GOOGLETRANSLATE(A4913, ""en"", ""mt"")"),"Għal xiex ittamaw in-nies tan-negozju tal-Kenja meta ltaqgħu maċ-Ċiniżi?")</f>
        <v>Għal xiex ittamaw in-nies tan-negozju tal-Kenja meta ltaqgħu maċ-Ċiniżi?</v>
      </c>
    </row>
    <row r="4914" ht="15.75" customHeight="1">
      <c r="A4914" s="2" t="s">
        <v>4914</v>
      </c>
      <c r="B4914" s="2" t="str">
        <f>IFERROR(__xludf.DUMMYFUNCTION("GOOGLETRANSLATE(A4914, ""en"", ""mt"")"),"Talent lokali")</f>
        <v>Talent lokali</v>
      </c>
    </row>
    <row r="4915" ht="15.75" customHeight="1">
      <c r="A4915" s="2" t="s">
        <v>4915</v>
      </c>
      <c r="B4915" s="2" t="str">
        <f>IFERROR(__xludf.DUMMYFUNCTION("GOOGLETRANSLATE(A4915, ""en"", ""mt"")"),"l-ewwel nofs tas-seklu 10")</f>
        <v>l-ewwel nofs tas-seklu 10</v>
      </c>
    </row>
    <row r="4916" ht="15.75" customHeight="1">
      <c r="A4916" s="2" t="s">
        <v>4916</v>
      </c>
      <c r="B4916" s="2" t="str">
        <f>IFERROR(__xludf.DUMMYFUNCTION("GOOGLETRANSLATE(A4916, ""en"", ""mt"")"),"diskors projbit")</f>
        <v>diskors projbit</v>
      </c>
    </row>
    <row r="4917" ht="15.75" customHeight="1">
      <c r="A4917" s="2" t="s">
        <v>4917</v>
      </c>
      <c r="B4917" s="2" t="str">
        <f>IFERROR(__xludf.DUMMYFUNCTION("GOOGLETRANSLATE(A4917, ""en"", ""mt"")"),"Għaliex iċ-Ċiniżi tat-Tramuntana ġew ikklassifikati ogħla?")</f>
        <v>Għaliex iċ-Ċiniżi tat-Tramuntana ġew ikklassifikati ogħla?</v>
      </c>
    </row>
    <row r="4918" ht="15.75" customHeight="1">
      <c r="A4918" s="2" t="s">
        <v>4918</v>
      </c>
      <c r="B4918" s="2" t="str">
        <f>IFERROR(__xludf.DUMMYFUNCTION("GOOGLETRANSLATE(A4918, ""en"", ""mt"")")," X'jista 'kkawża li l-foresti tropikali jikbru madwar l-Amerika t'Isfel?")</f>
        <v> X'jista 'kkawża li l-foresti tropikali jikbru madwar l-Amerika t'Isfel?</v>
      </c>
    </row>
    <row r="4919" ht="15.75" customHeight="1">
      <c r="A4919" s="2" t="s">
        <v>4919</v>
      </c>
      <c r="B4919" s="2" t="str">
        <f>IFERROR(__xludf.DUMMYFUNCTION("GOOGLETRANSLATE(A4919, ""en"", ""mt"")"),"Min kien responsabbli għar-riċerka arkeoloġika preliminari f'Olonesailie u Hyrax Hill?")</f>
        <v>Min kien responsabbli għar-riċerka arkeoloġika preliminari f'Olonesailie u Hyrax Hill?</v>
      </c>
    </row>
    <row r="4920" ht="15.75" customHeight="1">
      <c r="A4920" s="2" t="s">
        <v>4920</v>
      </c>
      <c r="B4920" s="2" t="str">
        <f>IFERROR(__xludf.DUMMYFUNCTION("GOOGLETRANSLATE(A4920, ""en"", ""mt"")"),"Liema pajjiż razzjonat il-gażolina u l-gass tat-tisħin?")</f>
        <v>Liema pajjiż razzjonat il-gażolina u l-gass tat-tisħin?</v>
      </c>
    </row>
    <row r="4921" ht="15.75" customHeight="1">
      <c r="A4921" s="2" t="s">
        <v>4921</v>
      </c>
      <c r="B4921" s="2" t="str">
        <f>IFERROR(__xludf.DUMMYFUNCTION("GOOGLETRANSLATE(A4921, ""en"", ""mt"")"),"X'kien l-isem tal-famuż priedka ta 'Wesley li fih huwa wissa kontra l-perikli tax-xorb?")</f>
        <v>X'kien l-isem tal-famuż priedka ta 'Wesley li fih huwa wissa kontra l-perikli tax-xorb?</v>
      </c>
    </row>
    <row r="4922" ht="15.75" customHeight="1">
      <c r="A4922" s="2" t="s">
        <v>4922</v>
      </c>
      <c r="B4922" s="2" t="str">
        <f>IFERROR(__xludf.DUMMYFUNCTION("GOOGLETRANSLATE(A4922, ""en"", ""mt"")"),"il-gvern Vittorjan")</f>
        <v>il-gvern Vittorjan</v>
      </c>
    </row>
    <row r="4923" ht="15.75" customHeight="1">
      <c r="A4923" s="2" t="s">
        <v>4923</v>
      </c>
      <c r="B4923" s="2" t="str">
        <f>IFERROR(__xludf.DUMMYFUNCTION("GOOGLETRANSLATE(A4923, ""en"", ""mt"")"),"Ir-reġjuni ripetuti maqluba huma kkonservati ħafna fost il-pjanti tal-art, u jakkumulaw ftit mutazzjonijiet. Ir-ripetizzjonijiet maqluba simili jeżistu fil-ġenomi ta 'cyanobacteria u ż-żewġ nisel l-ieħor tal-kloroplast (glaucophyta u rhodophyceæ), li jiss"&amp;"uġġerixxu li huma qabel il-kloroplast, għalkemm xi DNAs tal-kloroplast minn dakinhar tilfu jew flipped ir-ripetizzjonijiet maqluba (li jagħmluhom ripetuti diretti). Huwa possibbli li r-ripetizzjonijiet maqluba jgħinu jistabbilizzaw il-kumplament tal-ġenom"&amp;"a tal-kloroplast, bħala DNAs tal-kloroplast li tilfu wħud mis-segmenti ripetuti maqluba għandhom it-tendenza li jiġu rranġati aktar.")</f>
        <v>Ir-reġjuni ripetuti maqluba huma kkonservati ħafna fost il-pjanti tal-art, u jakkumulaw ftit mutazzjonijiet. Ir-ripetizzjonijiet maqluba simili jeżistu fil-ġenomi ta 'cyanobacteria u ż-żewġ nisel l-ieħor tal-kloroplast (glaucophyta u rhodophyceæ), li jissuġġerixxu li huma qabel il-kloroplast, għalkemm xi DNAs tal-kloroplast minn dakinhar tilfu jew flipped ir-ripetizzjonijiet maqluba (li jagħmluhom ripetuti diretti). Huwa possibbli li r-ripetizzjonijiet maqluba jgħinu jistabbilizzaw il-kumplament tal-ġenoma tal-kloroplast, bħala DNAs tal-kloroplast li tilfu wħud mis-segmenti ripetuti maqluba għandhom it-tendenza li jiġu rranġati aktar.</v>
      </c>
    </row>
    <row r="4924" ht="15.75" customHeight="1">
      <c r="A4924" s="2" t="s">
        <v>4924</v>
      </c>
      <c r="B4924" s="2" t="str">
        <f>IFERROR(__xludf.DUMMYFUNCTION("GOOGLETRANSLATE(A4924, ""en"", ""mt"")"),"Ugwaljanza legali tal-individwi kollha")</f>
        <v>Ugwaljanza legali tal-individwi kollha</v>
      </c>
    </row>
    <row r="4925" ht="15.75" customHeight="1">
      <c r="A4925" s="2" t="s">
        <v>4925</v>
      </c>
      <c r="B4925" s="2" t="str">
        <f>IFERROR(__xludf.DUMMYFUNCTION("GOOGLETRANSLATE(A4925, ""en"", ""mt"")"),"nar")</f>
        <v>nar</v>
      </c>
    </row>
    <row r="4926" ht="15.75" customHeight="1">
      <c r="A4926" s="2" t="s">
        <v>4926</v>
      </c>
      <c r="B4926" s="2" t="str">
        <f>IFERROR(__xludf.DUMMYFUNCTION("GOOGLETRANSLATE(A4926, ""en"", ""mt"")"),"Il-fuljetti għandhom jingħataw lill-ġurija tal-fuljett stess bħala evidenza")</f>
        <v>Il-fuljetti għandhom jingħataw lill-ġurija tal-fuljett stess bħala evidenza</v>
      </c>
    </row>
    <row r="4927" ht="15.75" customHeight="1">
      <c r="A4927" s="2" t="s">
        <v>4927</v>
      </c>
      <c r="B4927" s="2" t="str">
        <f>IFERROR(__xludf.DUMMYFUNCTION("GOOGLETRANSLATE(A4927, ""en"", ""mt"")"),"X'konsegwenza ta 'l-istabbiliment tal-Parlament Skoċċiż japplika għall-membri parlamentari Skoċċiżi li joqogħdu fil-House of Commons tar-Renju Unit?")</f>
        <v>X'konsegwenza ta 'l-istabbiliment tal-Parlament Skoċċiż japplika għall-membri parlamentari Skoċċiżi li joqogħdu fil-House of Commons tar-Renju Unit?</v>
      </c>
    </row>
    <row r="4928" ht="15.75" customHeight="1">
      <c r="A4928" s="2" t="s">
        <v>4928</v>
      </c>
      <c r="B4928" s="2" t="str">
        <f>IFERROR(__xludf.DUMMYFUNCTION("GOOGLETRANSLATE(A4928, ""en"", ""mt"")"),"Elettroliżi ta 'dak li jista' jintuża biex jipproduċi ossiġnu u idroġenu?")</f>
        <v>Elettroliżi ta 'dak li jista' jintuża biex jipproduċi ossiġnu u idroġenu?</v>
      </c>
    </row>
    <row r="4929" ht="15.75" customHeight="1">
      <c r="A4929" s="2" t="s">
        <v>4929</v>
      </c>
      <c r="B4929" s="2" t="str">
        <f>IFERROR(__xludf.DUMMYFUNCTION("GOOGLETRANSLATE(A4929, ""en"", ""mt"")"),"X'kienu l-ordnijiet ta 'Marin?")</f>
        <v>X'kienu l-ordnijiet ta 'Marin?</v>
      </c>
    </row>
    <row r="4930" ht="15.75" customHeight="1">
      <c r="A4930" s="2" t="s">
        <v>4930</v>
      </c>
      <c r="B4930" s="2" t="str">
        <f>IFERROR(__xludf.DUMMYFUNCTION("GOOGLETRANSLATE(A4930, ""en"", ""mt"")"),"Qabel ma miet, x’għamel missier Tesla?")</f>
        <v>Qabel ma miet, x’għamel missier Tesla?</v>
      </c>
    </row>
    <row r="4931" ht="15.75" customHeight="1">
      <c r="A4931" s="2" t="s">
        <v>4931</v>
      </c>
      <c r="B4931" s="2" t="str">
        <f>IFERROR(__xludf.DUMMYFUNCTION("GOOGLETRANSLATE(A4931, ""en"", ""mt"")"),"In-Nofsinhar tal-Kalifornja tikkonsisti f'ambjent urban żviluppat ħafna, id-dar għal uħud mill-ikbar żoni urbani fl-istat, flimkien ma 'żoni vasti li tħallew mhux żviluppati. Hija t-tielet l-iktar megalopoli popolata fl-Istati Uniti, wara l-Great Lakes Me"&amp;"galopolis u l-Megalopolis tal-Grigal. Ħafna min-Nofsinhar ta 'California huwa famuż għall-komunitajiet kbar, mifruxa, suburbani u l-użu ta' karozzi u awtostradi. Iż-żoni dominanti huma Los Angeles, Orange County, San Diego, u Riverside-San Bernardino, li "&amp;"kull wieħed minnhom huwa ċ-ċentru taż-żona metropolitana rispettiva tagħha, magħmul minn bosta bliet u komunitajiet iżgħar. Iż-żona urbana hija wkoll ospitanti għal reġjun metropolitana internazzjonali fil-forma ta 'San Diego-Tijuana, maħluqa miż-żona urb"&amp;"ana li tinfirex f'Baja California.")</f>
        <v>In-Nofsinhar tal-Kalifornja tikkonsisti f'ambjent urban żviluppat ħafna, id-dar għal uħud mill-ikbar żoni urbani fl-istat, flimkien ma 'żoni vasti li tħallew mhux żviluppati. Hija t-tielet l-iktar megalopoli popolata fl-Istati Uniti, wara l-Great Lakes Megalopolis u l-Megalopolis tal-Grigal. Ħafna min-Nofsinhar ta 'California huwa famuż għall-komunitajiet kbar, mifruxa, suburbani u l-użu ta' karozzi u awtostradi. Iż-żoni dominanti huma Los Angeles, Orange County, San Diego, u Riverside-San Bernardino, li kull wieħed minnhom huwa ċ-ċentru taż-żona metropolitana rispettiva tagħha, magħmul minn bosta bliet u komunitajiet iżgħar. Iż-żona urbana hija wkoll ospitanti għal reġjun metropolitana internazzjonali fil-forma ta 'San Diego-Tijuana, maħluqa miż-żona urbana li tinfirex f'Baja California.</v>
      </c>
    </row>
    <row r="4932" ht="15.75" customHeight="1">
      <c r="A4932" s="2" t="s">
        <v>4932</v>
      </c>
      <c r="B4932" s="2" t="str">
        <f>IFERROR(__xludf.DUMMYFUNCTION("GOOGLETRANSLATE(A4932, ""en"", ""mt"")"),"Din l-affari kkawżat lir-reputazzjoni ta 'Luther?")</f>
        <v>Din l-affari kkawżat lir-reputazzjoni ta 'Luther?</v>
      </c>
    </row>
    <row r="4933" ht="15.75" customHeight="1">
      <c r="A4933" s="2" t="s">
        <v>4933</v>
      </c>
      <c r="B4933" s="2" t="str">
        <f>IFERROR(__xludf.DUMMYFUNCTION("GOOGLETRANSLATE(A4933, ""en"", ""mt"")"),"Meta ntnewet is-sospensjoni mill-FIFA?")</f>
        <v>Meta ntnewet is-sospensjoni mill-FIFA?</v>
      </c>
    </row>
    <row r="4934" ht="15.75" customHeight="1">
      <c r="A4934" s="2" t="s">
        <v>4934</v>
      </c>
      <c r="B4934" s="2" t="str">
        <f>IFERROR(__xludf.DUMMYFUNCTION("GOOGLETRANSLATE(A4934, ""en"", ""mt"")"),"ċelloli staminali")</f>
        <v>ċelloli staminali</v>
      </c>
    </row>
    <row r="4935" ht="15.75" customHeight="1">
      <c r="A4935" s="2" t="s">
        <v>4935</v>
      </c>
      <c r="B4935" s="2" t="str">
        <f>IFERROR(__xludf.DUMMYFUNCTION("GOOGLETRANSLATE(A4935, ""en"", ""mt"")"),"Kemm ta 'differenza fir-rati ta' omiċidji huma relatati ma 'l-inugwaljanza?")</f>
        <v>Kemm ta 'differenza fir-rati ta' omiċidji huma relatati ma 'l-inugwaljanza?</v>
      </c>
    </row>
    <row r="4936" ht="15.75" customHeight="1">
      <c r="A4936" s="2" t="s">
        <v>4936</v>
      </c>
      <c r="B4936" s="2" t="str">
        <f>IFERROR(__xludf.DUMMYFUNCTION("GOOGLETRANSLATE(A4936, ""en"", ""mt"")"),"X'kien Huihui?")</f>
        <v>X'kien Huihui?</v>
      </c>
    </row>
    <row r="4937" ht="15.75" customHeight="1">
      <c r="A4937" s="2" t="s">
        <v>4937</v>
      </c>
      <c r="B4937" s="2" t="str">
        <f>IFERROR(__xludf.DUMMYFUNCTION("GOOGLETRANSLATE(A4937, ""en"", ""mt"")"),"Biex tfixkel lil Montcalm")</f>
        <v>Biex tfixkel lil Montcalm</v>
      </c>
    </row>
    <row r="4938" ht="15.75" customHeight="1">
      <c r="A4938" s="2" t="s">
        <v>4938</v>
      </c>
      <c r="B4938" s="2" t="str">
        <f>IFERROR(__xludf.DUMMYFUNCTION("GOOGLETRANSLATE(A4938, ""en"", ""mt"")"),"X'inhuma r-riżervi ta 'Harvard Pell Grant?")</f>
        <v>X'inhuma r-riżervi ta 'Harvard Pell Grant?</v>
      </c>
    </row>
    <row r="4939" ht="15.75" customHeight="1">
      <c r="A4939" s="2" t="s">
        <v>4939</v>
      </c>
      <c r="B4939" s="2" t="str">
        <f>IFERROR(__xludf.DUMMYFUNCTION("GOOGLETRANSLATE(A4939, ""en"", ""mt"")"),"Minbarra l-għargħar kostanti, għaliex inkella kien hemm regolazzjoni tar-Rhine?")</f>
        <v>Minbarra l-għargħar kostanti, għaliex inkella kien hemm regolazzjoni tar-Rhine?</v>
      </c>
    </row>
    <row r="4940" ht="15.75" customHeight="1">
      <c r="A4940" s="2" t="s">
        <v>4940</v>
      </c>
      <c r="B4940" s="2" t="str">
        <f>IFERROR(__xludf.DUMMYFUNCTION("GOOGLETRANSLATE(A4940, ""en"", ""mt"")"),"X'tip ta 'ferrovija jirrikjedu wħud mir-rotot ġodda proposti?")</f>
        <v>X'tip ta 'ferrovija jirrikjedu wħud mir-rotot ġodda proposti?</v>
      </c>
    </row>
    <row r="4941" ht="15.75" customHeight="1">
      <c r="A4941" s="2" t="s">
        <v>4941</v>
      </c>
      <c r="B4941" s="2" t="str">
        <f>IFERROR(__xludf.DUMMYFUNCTION("GOOGLETRANSLATE(A4941, ""en"", ""mt"")"),"Fejn jinsab l-organu aboral?")</f>
        <v>Fejn jinsab l-organu aboral?</v>
      </c>
    </row>
    <row r="4942" ht="15.75" customHeight="1">
      <c r="A4942" s="2" t="s">
        <v>4942</v>
      </c>
      <c r="B4942" s="2" t="str">
        <f>IFERROR(__xludf.DUMMYFUNCTION("GOOGLETRANSLATE(A4942, ""en"", ""mt"")"),"Algoritmu")</f>
        <v>Algoritmu</v>
      </c>
    </row>
    <row r="4943" ht="15.75" customHeight="1">
      <c r="A4943" s="2" t="s">
        <v>4943</v>
      </c>
      <c r="B4943" s="2" t="str">
        <f>IFERROR(__xludf.DUMMYFUNCTION("GOOGLETRANSLATE(A4943, ""en"", ""mt"")"),"l-ogħla fid-dinja")</f>
        <v>l-ogħla fid-dinja</v>
      </c>
    </row>
    <row r="4944" ht="15.75" customHeight="1">
      <c r="A4944" s="2" t="s">
        <v>4944</v>
      </c>
      <c r="B4944" s="2" t="str">
        <f>IFERROR(__xludf.DUMMYFUNCTION("GOOGLETRANSLATE(A4944, ""en"", ""mt"")"),"Għaliex għandha tiġi evitata d-diżubbidjenza mill-pubbliku ġenerali?")</f>
        <v>Għaliex għandha tiġi evitata d-diżubbidjenza mill-pubbliku ġenerali?</v>
      </c>
    </row>
    <row r="4945" ht="15.75" customHeight="1">
      <c r="A4945" s="2" t="s">
        <v>4945</v>
      </c>
      <c r="B4945" s="2" t="str">
        <f>IFERROR(__xludf.DUMMYFUNCTION("GOOGLETRANSLATE(A4945, ""en"", ""mt"")"),"X'inhuma wieħed mit-tipi ewlenin taċ-ċelloli tas-sistema immuni adatta?")</f>
        <v>X'inhuma wieħed mit-tipi ewlenin taċ-ċelloli tas-sistema immuni adatta?</v>
      </c>
    </row>
    <row r="4946" ht="15.75" customHeight="1">
      <c r="A4946" s="2" t="s">
        <v>4946</v>
      </c>
      <c r="B4946" s="2" t="str">
        <f>IFERROR(__xludf.DUMMYFUNCTION("GOOGLETRANSLATE(A4946, ""en"", ""mt"")"),"Porridge bil-ħobż, chapati, mahamri, patata ħelwa mgħollija jew yams")</f>
        <v>Porridge bil-ħobż, chapati, mahamri, patata ħelwa mgħollija jew yams</v>
      </c>
    </row>
    <row r="4947" ht="15.75" customHeight="1">
      <c r="A4947" s="2" t="s">
        <v>4947</v>
      </c>
      <c r="B4947" s="2" t="str">
        <f>IFERROR(__xludf.DUMMYFUNCTION("GOOGLETRANSLATE(A4947, ""en"", ""mt"")"),"F’rapport dwar l-għalliema tal-K-12, liema għalliema kellhom l-inqas salarju medjan?")</f>
        <v>F’rapport dwar l-għalliema tal-K-12, liema għalliema kellhom l-inqas salarju medjan?</v>
      </c>
    </row>
    <row r="4948" ht="15.75" customHeight="1">
      <c r="A4948" s="2" t="s">
        <v>4948</v>
      </c>
      <c r="B4948" s="2" t="str">
        <f>IFERROR(__xludf.DUMMYFUNCTION("GOOGLETRANSLATE(A4948, ""en"", ""mt"")"),"organiżmi ħajjin")</f>
        <v>organiżmi ħajjin</v>
      </c>
    </row>
    <row r="4949" ht="15.75" customHeight="1">
      <c r="A4949" s="2" t="s">
        <v>4949</v>
      </c>
      <c r="B4949" s="2" t="str">
        <f>IFERROR(__xludf.DUMMYFUNCTION("GOOGLETRANSLATE(A4949, ""en"", ""mt"")"),"Id-Dipartiment tal-Edukazzjoni tar-Rabat")</f>
        <v>Id-Dipartiment tal-Edukazzjoni tar-Rabat</v>
      </c>
    </row>
    <row r="4950" ht="15.75" customHeight="1">
      <c r="A4950" s="2" t="s">
        <v>4950</v>
      </c>
      <c r="B4950" s="2" t="str">
        <f>IFERROR(__xludf.DUMMYFUNCTION("GOOGLETRANSLATE(A4950, ""en"", ""mt"")"),"biex tnaddafhom")</f>
        <v>biex tnaddafhom</v>
      </c>
    </row>
    <row r="4951" ht="15.75" customHeight="1">
      <c r="A4951" s="2" t="s">
        <v>4951</v>
      </c>
      <c r="B4951" s="2" t="str">
        <f>IFERROR(__xludf.DUMMYFUNCTION("GOOGLETRANSLATE(A4951, ""en"", ""mt"")"),"skulturi, friezes u oqbra")</f>
        <v>skulturi, friezes u oqbra</v>
      </c>
    </row>
    <row r="4952" ht="15.75" customHeight="1">
      <c r="A4952" s="2" t="s">
        <v>4952</v>
      </c>
      <c r="B4952" s="2" t="str">
        <f>IFERROR(__xludf.DUMMYFUNCTION("GOOGLETRANSLATE(A4952, ""en"", ""mt"")"),"Teżijiet kontra Agricola")</f>
        <v>Teżijiet kontra Agricola</v>
      </c>
    </row>
    <row r="4953" ht="15.75" customHeight="1">
      <c r="A4953" s="2" t="s">
        <v>4953</v>
      </c>
      <c r="B4953" s="2" t="str">
        <f>IFERROR(__xludf.DUMMYFUNCTION("GOOGLETRANSLATE(A4953, ""en"", ""mt"")"),"traduzzjoni")</f>
        <v>traduzzjoni</v>
      </c>
    </row>
    <row r="4954" ht="15.75" customHeight="1">
      <c r="A4954" s="2" t="s">
        <v>4954</v>
      </c>
      <c r="B4954" s="2" t="str">
        <f>IFERROR(__xludf.DUMMYFUNCTION("GOOGLETRANSLATE(A4954, ""en"", ""mt"")"),"ditti involuti fil-ġestjoni ta 'proġetti ta' kostruzzjoni")</f>
        <v>ditti involuti fil-ġestjoni ta 'proġetti ta' kostruzzjoni</v>
      </c>
    </row>
    <row r="4955" ht="15.75" customHeight="1">
      <c r="A4955" s="2" t="s">
        <v>4955</v>
      </c>
      <c r="B4955" s="2" t="str">
        <f>IFERROR(__xludf.DUMMYFUNCTION("GOOGLETRANSLATE(A4955, ""en"", ""mt"")"),"Għalkemm il-kosts tan-Nofsinhar tal-Kalifornja ta 'ambjent urban żviluppat ħafna, kemm minnu tħalla mhux żviluppat?")</f>
        <v>Għalkemm il-kosts tan-Nofsinhar tal-Kalifornja ta 'ambjent urban żviluppat ħafna, kemm minnu tħalla mhux żviluppat?</v>
      </c>
    </row>
    <row r="4956" ht="15.75" customHeight="1">
      <c r="A4956" s="2" t="s">
        <v>4956</v>
      </c>
      <c r="B4956" s="2" t="str">
        <f>IFERROR(__xludf.DUMMYFUNCTION("GOOGLETRANSLATE(A4956, ""en"", ""mt"")"),"Ħdax-il unità akkademika separata")</f>
        <v>Ħdax-il unità akkademika separata</v>
      </c>
    </row>
    <row r="4957" ht="15.75" customHeight="1">
      <c r="A4957" s="2" t="s">
        <v>4957</v>
      </c>
      <c r="B4957" s="2" t="str">
        <f>IFERROR(__xludf.DUMMYFUNCTION("GOOGLETRANSLATE(A4957, ""en"", ""mt"")"),"Kif jiġu ttrattati l-forzi mill-għelieqi trattati bl-istess mod?")</f>
        <v>Kif jiġu ttrattati l-forzi mill-għelieqi trattati bl-istess mod?</v>
      </c>
    </row>
    <row r="4958" ht="15.75" customHeight="1">
      <c r="A4958" s="2" t="s">
        <v>4958</v>
      </c>
      <c r="B4958" s="2" t="str">
        <f>IFERROR(__xludf.DUMMYFUNCTION("GOOGLETRANSLATE(A4958, ""en"", ""mt"")"),"X'għandhom jużaw il-verżjonijiet aktar tard tal-innu talb tal-Mulej?")</f>
        <v>X'għandhom jużaw il-verżjonijiet aktar tard tal-innu talb tal-Mulej?</v>
      </c>
    </row>
    <row r="4959" ht="15.75" customHeight="1">
      <c r="A4959" s="2" t="s">
        <v>4959</v>
      </c>
      <c r="B4959" s="2" t="str">
        <f>IFERROR(__xludf.DUMMYFUNCTION("GOOGLETRANSLATE(A4959, ""en"", ""mt"")"),"permezz tas-sistema tal-ferrovija ħafifa tal-metro")</f>
        <v>permezz tas-sistema tal-ferrovija ħafifa tal-metro</v>
      </c>
    </row>
    <row r="4960" ht="15.75" customHeight="1">
      <c r="A4960" s="2" t="s">
        <v>4960</v>
      </c>
      <c r="B4960" s="2" t="str">
        <f>IFERROR(__xludf.DUMMYFUNCTION("GOOGLETRANSLATE(A4960, ""en"", ""mt"")"),"idroġenu")</f>
        <v>idroġenu</v>
      </c>
    </row>
    <row r="4961" ht="15.75" customHeight="1">
      <c r="A4961" s="2" t="s">
        <v>4961</v>
      </c>
      <c r="B4961" s="2" t="str">
        <f>IFERROR(__xludf.DUMMYFUNCTION("GOOGLETRANSLATE(A4961, ""en"", ""mt"")"),"pori fl-epidermide")</f>
        <v>pori fl-epidermide</v>
      </c>
    </row>
    <row r="4962" ht="15.75" customHeight="1">
      <c r="A4962" s="2" t="s">
        <v>4962</v>
      </c>
      <c r="B4962" s="2" t="str">
        <f>IFERROR(__xludf.DUMMYFUNCTION("GOOGLETRANSLATE(A4962, ""en"", ""mt"")"),"Il-veloċità kostanti kienet assoċjata ma 'nuqqas ta' forza netta")</f>
        <v>Il-veloċità kostanti kienet assoċjata ma 'nuqqas ta' forza netta</v>
      </c>
    </row>
    <row r="4963" ht="15.75" customHeight="1">
      <c r="A4963" s="2" t="s">
        <v>4963</v>
      </c>
      <c r="B4963" s="2" t="str">
        <f>IFERROR(__xludf.DUMMYFUNCTION("GOOGLETRANSLATE(A4963, ""en"", ""mt"")"),"Rotta tal-Istat 41")</f>
        <v>Rotta tal-Istat 41</v>
      </c>
    </row>
    <row r="4964" ht="15.75" customHeight="1">
      <c r="A4964" s="2" t="s">
        <v>4964</v>
      </c>
      <c r="B4964" s="2" t="str">
        <f>IFERROR(__xludf.DUMMYFUNCTION("GOOGLETRANSLATE(A4964, ""en"", ""mt"")"),"Gvern")</f>
        <v>Gvern</v>
      </c>
    </row>
    <row r="4965" ht="15.75" customHeight="1">
      <c r="A4965" s="2" t="s">
        <v>4965</v>
      </c>
      <c r="B4965" s="2" t="str">
        <f>IFERROR(__xludf.DUMMYFUNCTION("GOOGLETRANSLATE(A4965, ""en"", ""mt"")"),"illustrazzjoni tal-għaxar kmandamenti,")</f>
        <v>illustrazzjoni tal-għaxar kmandamenti,</v>
      </c>
    </row>
    <row r="4966" ht="15.75" customHeight="1">
      <c r="A4966" s="2" t="s">
        <v>4966</v>
      </c>
      <c r="B4966" s="2" t="str">
        <f>IFERROR(__xludf.DUMMYFUNCTION("GOOGLETRANSLATE(A4966, ""en"", ""mt"")"),"Kemm korpi ta 'ilma jiffurmaw il-Lag Constance?")</f>
        <v>Kemm korpi ta 'ilma jiffurmaw il-Lag Constance?</v>
      </c>
    </row>
    <row r="4967" ht="15.75" customHeight="1">
      <c r="A4967" s="2" t="s">
        <v>4967</v>
      </c>
      <c r="B4967" s="2" t="str">
        <f>IFERROR(__xludf.DUMMYFUNCTION("GOOGLETRANSLATE(A4967, ""en"", ""mt"")"),"X'inhuma l-ewwel bini li l-università mibnija taf kif illum?")</f>
        <v>X'inhuma l-ewwel bini li l-università mibnija taf kif illum?</v>
      </c>
    </row>
    <row r="4968" ht="15.75" customHeight="1">
      <c r="A4968" s="2" t="s">
        <v>4968</v>
      </c>
      <c r="B4968" s="2" t="str">
        <f>IFERROR(__xludf.DUMMYFUNCTION("GOOGLETRANSLATE(A4968, ""en"", ""mt"")"),"frizzjoni kinetika")</f>
        <v>frizzjoni kinetika</v>
      </c>
    </row>
    <row r="4969" ht="15.75" customHeight="1">
      <c r="A4969" s="2" t="s">
        <v>4969</v>
      </c>
      <c r="B4969" s="2" t="str">
        <f>IFERROR(__xludf.DUMMYFUNCTION("GOOGLETRANSLATE(A4969, ""en"", ""mt"")"),"is-suq")</f>
        <v>is-suq</v>
      </c>
    </row>
    <row r="4970" ht="15.75" customHeight="1">
      <c r="A4970" s="2" t="s">
        <v>4970</v>
      </c>
      <c r="B4970" s="2" t="str">
        <f>IFERROR(__xludf.DUMMYFUNCTION("GOOGLETRANSLATE(A4970, ""en"", ""mt"")"),"Peyton Manning ħa kemm timijiet differenti għas-Super Bowl?")</f>
        <v>Peyton Manning ħa kemm timijiet differenti għas-Super Bowl?</v>
      </c>
    </row>
    <row r="4971" ht="15.75" customHeight="1">
      <c r="A4971" s="2" t="s">
        <v>4971</v>
      </c>
      <c r="B4971" s="2" t="str">
        <f>IFERROR(__xludf.DUMMYFUNCTION("GOOGLETRANSLATE(A4971, ""en"", ""mt"")"),"Tamara de Lempicka kienet artist famuż imwieled f'Varsavja. Hija twieldet Maria Górska f'Varsavja lil ġenituri sinjuri u fl-1916 iżżewġet avukat Pollakk Tadeusz łempicki. Aħjar minn ħaddieħor hi rrappreżentat l-istil Art Deco fil-pittura u l-arti. Nathan "&amp;"Alterman, il-poeta Iżraeljan, twieled f'Varsavja, kif kien Moshe Vilenski, il-kompożitur, lyricist u pjanista Iżraeljan, li studja l-mużika fil-Konservatorju ta 'Varsavja. Varsavja kienet il-belt maħbuba ta ’Isaac Bashevis Singer, li huwa ddeskriva f’ħafn"&amp;"a mir-rumanzi tiegħu: Varsavja għadha kemm inqerdet. Ħadd qatt mhu se jara l-Varsavja li kont naf. Ħallini nikteb biss dwarha. Ħalli dan il-Varsavja ma tisparixxix għal dejjem, huwa kkummenta.")</f>
        <v>Tamara de Lempicka kienet artist famuż imwieled f'Varsavja. Hija twieldet Maria Górska f'Varsavja lil ġenituri sinjuri u fl-1916 iżżewġet avukat Pollakk Tadeusz łempicki. Aħjar minn ħaddieħor hi rrappreżentat l-istil Art Deco fil-pittura u l-arti. Nathan Alterman, il-poeta Iżraeljan, twieled f'Varsavja, kif kien Moshe Vilenski, il-kompożitur, lyricist u pjanista Iżraeljan, li studja l-mużika fil-Konservatorju ta 'Varsavja. Varsavja kienet il-belt maħbuba ta ’Isaac Bashevis Singer, li huwa ddeskriva f’ħafna mir-rumanzi tiegħu: Varsavja għadha kemm inqerdet. Ħadd qatt mhu se jara l-Varsavja li kont naf. Ħallini nikteb biss dwarha. Ħalli dan il-Varsavja ma tisparixxix għal dejjem, huwa kkummenta.</v>
      </c>
    </row>
    <row r="4972" ht="15.75" customHeight="1">
      <c r="A4972" s="2" t="s">
        <v>4972</v>
      </c>
      <c r="B4972" s="2" t="str">
        <f>IFERROR(__xludf.DUMMYFUNCTION("GOOGLETRANSLATE(A4972, ""en"", ""mt"")"),"biss ""essenzjali""")</f>
        <v>biss "essenzjali"</v>
      </c>
    </row>
    <row r="4973" ht="15.75" customHeight="1">
      <c r="A4973" s="2" t="s">
        <v>4973</v>
      </c>
      <c r="B4973" s="2" t="str">
        <f>IFERROR(__xludf.DUMMYFUNCTION("GOOGLETRANSLATE(A4973, ""en"", ""mt"")"),"20.4 biljun")</f>
        <v>20.4 biljun</v>
      </c>
    </row>
    <row r="4974" ht="15.75" customHeight="1">
      <c r="A4974" s="2" t="s">
        <v>4974</v>
      </c>
      <c r="B4974" s="2" t="str">
        <f>IFERROR(__xludf.DUMMYFUNCTION("GOOGLETRANSLATE(A4974, ""en"", ""mt"")"),"X'kienet il-firxa tal-ispedizzjoni ta 'Celeron?")</f>
        <v>X'kienet il-firxa tal-ispedizzjoni ta 'Celeron?</v>
      </c>
    </row>
    <row r="4975" ht="15.75" customHeight="1">
      <c r="A4975" s="2" t="s">
        <v>4975</v>
      </c>
      <c r="B4975" s="2" t="str">
        <f>IFERROR(__xludf.DUMMYFUNCTION("GOOGLETRANSLATE(A4975, ""en"", ""mt"")"),"It-tellieqa Dalek, li dehret l-ewwel fit-tieni serje tal-ispettaklu fl-1963, huma l-eqdem villains tat-Tabib Who. Id-Daleks huma kaleds mill-pjaneta Skaro, immutati mix-xjentist Davros u jinsabu fil-qxur tal-armatura mekkanika għall-mobilità. Il-kreaturi "&amp;"attwali jixbħu l-qarnit ma 'mħuħ kbar u ppronunzjati. Il-qxur tal-armatura tagħhom għandhom zokk wieħed, apparat simili għall-plunger li jservi l-iskop ta 'id, u arma ta' enerġija diretta. Id-dgħjufija ewlenija tagħhom hija l-għajn tagħhom; Attakki fuqhom"&amp;" bl-użu ta 'armi varji jistgħu jagħtu lil Dalek, u jagħmilha ġenn. Ir-rwol ewlieni tagħhom fil-plott tas-serje, kif jirrimarkaw ta 'spiss fil-vuċijiet metalliċi rikonoxxibbli istantanjament tagħhom, huwa li ""jeqirdu"" l-ħlejjaq kollha mhux Dalek. Huma sa"&amp;"ħansitra jattakkaw il-Lords Time fil-gwerra tal-ħin, kif muri matul il-50 anniversarju tal-ispettaklu. Huma jkomplu jkunu ""mostru"" rikurrenti fi ħdan il-franchise Doctor Who, l-aktar dehriet riċenti tagħhom jinsabu fl-episodji tal-2015 ""The Witch's Fam"&amp;"iljari"" u ""Hell Bent"". Davros kien ukoll figura rikurrenti mid-debutt tiegħu fil-Ġenesi tad-Daleks, għalkemm interpretat minn diversi atturi differenti.")</f>
        <v>It-tellieqa Dalek, li dehret l-ewwel fit-tieni serje tal-ispettaklu fl-1963, huma l-eqdem villains tat-Tabib Who. Id-Daleks huma kaleds mill-pjaneta Skaro, immutati mix-xjentist Davros u jinsabu fil-qxur tal-armatura mekkanika għall-mobilità. Il-kreaturi attwali jixbħu l-qarnit ma 'mħuħ kbar u ppronunzjati. Il-qxur tal-armatura tagħhom għandhom zokk wieħed, apparat simili għall-plunger li jservi l-iskop ta 'id, u arma ta' enerġija diretta. Id-dgħjufija ewlenija tagħhom hija l-għajn tagħhom; Attakki fuqhom bl-użu ta 'armi varji jistgħu jagħtu lil Dalek, u jagħmilha ġenn. Ir-rwol ewlieni tagħhom fil-plott tas-serje, kif jirrimarkaw ta 'spiss fil-vuċijiet metalliċi rikonoxxibbli istantanjament tagħhom, huwa li "jeqirdu" l-ħlejjaq kollha mhux Dalek. Huma saħansitra jattakkaw il-Lords Time fil-gwerra tal-ħin, kif muri matul il-50 anniversarju tal-ispettaklu. Huma jkomplu jkunu "mostru" rikurrenti fi ħdan il-franchise Doctor Who, l-aktar dehriet riċenti tagħhom jinsabu fl-episodji tal-2015 "The Witch's Familjari" u "Hell Bent". Davros kien ukoll figura rikurrenti mid-debutt tiegħu fil-Ġenesi tad-Daleks, għalkemm interpretat minn diversi atturi differenti.</v>
      </c>
    </row>
    <row r="4976" ht="15.75" customHeight="1">
      <c r="A4976" s="2" t="s">
        <v>4976</v>
      </c>
      <c r="B4976" s="2" t="str">
        <f>IFERROR(__xludf.DUMMYFUNCTION("GOOGLETRANSLATE(A4976, ""en"", ""mt"")"),"il-kurrikulu kollu")</f>
        <v>il-kurrikulu kollu</v>
      </c>
    </row>
    <row r="4977" ht="15.75" customHeight="1">
      <c r="A4977" s="2" t="s">
        <v>4977</v>
      </c>
      <c r="B4977" s="2" t="str">
        <f>IFERROR(__xludf.DUMMYFUNCTION("GOOGLETRANSLATE(A4977, ""en"", ""mt"")"),"il-kondensatur separat")</f>
        <v>il-kondensatur separat</v>
      </c>
    </row>
    <row r="4978" ht="15.75" customHeight="1">
      <c r="A4978" s="2" t="s">
        <v>4978</v>
      </c>
      <c r="B4978" s="2" t="str">
        <f>IFERROR(__xludf.DUMMYFUNCTION("GOOGLETRANSLATE(A4978, ""en"", ""mt"")"),"Il-korp leġiżlattiv, il-kunsill, huwa magħmul minn liema tip ta 'individwi?")</f>
        <v>Il-korp leġiżlattiv, il-kunsill, huwa magħmul minn liema tip ta 'individwi?</v>
      </c>
    </row>
    <row r="4979" ht="15.75" customHeight="1">
      <c r="A4979" s="2" t="s">
        <v>4979</v>
      </c>
      <c r="B4979" s="2" t="str">
        <f>IFERROR(__xludf.DUMMYFUNCTION("GOOGLETRANSLATE(A4979, ""en"", ""mt"")"),"glowed")</f>
        <v>glowed</v>
      </c>
    </row>
    <row r="4980" ht="15.75" customHeight="1">
      <c r="A4980" s="2" t="s">
        <v>4980</v>
      </c>
      <c r="B4980" s="2" t="str">
        <f>IFERROR(__xludf.DUMMYFUNCTION("GOOGLETRANSLATE(A4980, ""en"", ""mt"")"),"Dak li jagħmel id-DNA vulnerabbli għad-deaminazzjoni?")</f>
        <v>Dak li jagħmel id-DNA vulnerabbli għad-deaminazzjoni?</v>
      </c>
    </row>
    <row r="4981" ht="15.75" customHeight="1">
      <c r="A4981" s="2" t="s">
        <v>4981</v>
      </c>
      <c r="B4981" s="2" t="str">
        <f>IFERROR(__xludf.DUMMYFUNCTION("GOOGLETRANSLATE(A4981, ""en"", ""mt"")"),"Teorija tar-Relatività Ġenerali (GR)")</f>
        <v>Teorija tar-Relatività Ġenerali (GR)</v>
      </c>
    </row>
    <row r="4982" ht="15.75" customHeight="1">
      <c r="A4982" s="2" t="s">
        <v>4982</v>
      </c>
      <c r="B4982" s="2" t="str">
        <f>IFERROR(__xludf.DUMMYFUNCTION("GOOGLETRANSLATE(A4982, ""en"", ""mt"")"),"domanda baxxa")</f>
        <v>domanda baxxa</v>
      </c>
    </row>
    <row r="4983" ht="15.75" customHeight="1">
      <c r="A4983" s="2" t="s">
        <v>4983</v>
      </c>
      <c r="B4983" s="2" t="str">
        <f>IFERROR(__xludf.DUMMYFUNCTION("GOOGLETRANSLATE(A4983, ""en"", ""mt"")"),"Suġġetti vokazzjonali")</f>
        <v>Suġġetti vokazzjonali</v>
      </c>
    </row>
    <row r="4984" ht="15.75" customHeight="1">
      <c r="A4984" s="2" t="s">
        <v>4984</v>
      </c>
      <c r="B4984" s="2" t="str">
        <f>IFERROR(__xludf.DUMMYFUNCTION("GOOGLETRANSLATE(A4984, ""en"", ""mt"")"),"Avvanzi magħmula fil-Lvant Nofsani fil-Botanika u l-Kimika")</f>
        <v>Avvanzi magħmula fil-Lvant Nofsani fil-Botanika u l-Kimika</v>
      </c>
    </row>
    <row r="4985" ht="15.75" customHeight="1">
      <c r="A4985" s="2" t="s">
        <v>4985</v>
      </c>
      <c r="B4985" s="2" t="str">
        <f>IFERROR(__xludf.DUMMYFUNCTION("GOOGLETRANSLATE(A4985, ""en"", ""mt"")"),"5–8 μm fid-dijametru")</f>
        <v>5–8 μm fid-dijametru</v>
      </c>
    </row>
    <row r="4986" ht="15.75" customHeight="1">
      <c r="A4986" s="2" t="s">
        <v>4986</v>
      </c>
      <c r="B4986" s="2" t="str">
        <f>IFERROR(__xludf.DUMMYFUNCTION("GOOGLETRANSLATE(A4986, ""en"", ""mt"")"),"Min hu responsabbli biex jopera t-tagħmir tal-vot elettroniku u l-arloġġi tal-kamra?")</f>
        <v>Min hu responsabbli biex jopera t-tagħmir tal-vot elettroniku u l-arloġġi tal-kamra?</v>
      </c>
    </row>
    <row r="4987" ht="15.75" customHeight="1">
      <c r="A4987" s="2" t="s">
        <v>4987</v>
      </c>
      <c r="B4987" s="2" t="str">
        <f>IFERROR(__xludf.DUMMYFUNCTION("GOOGLETRANSLATE(A4987, ""en"", ""mt"")"),"Rail ħafif tal-metro")</f>
        <v>Rail ħafif tal-metro</v>
      </c>
    </row>
    <row r="4988" ht="15.75" customHeight="1">
      <c r="A4988" s="2" t="s">
        <v>4988</v>
      </c>
      <c r="B4988" s="2" t="str">
        <f>IFERROR(__xludf.DUMMYFUNCTION("GOOGLETRANSLATE(A4988, ""en"", ""mt"")"),"X'inhi t-temperatura approssimattiva tad-dħul tat-turbina ta 'turbina tal-gass?")</f>
        <v>X'inhi t-temperatura approssimattiva tad-dħul tat-turbina ta 'turbina tal-gass?</v>
      </c>
    </row>
    <row r="4989" ht="15.75" customHeight="1">
      <c r="A4989" s="2" t="s">
        <v>4989</v>
      </c>
      <c r="B4989" s="2" t="str">
        <f>IFERROR(__xludf.DUMMYFUNCTION("GOOGLETRANSLATE(A4989, ""en"", ""mt"")"),"assenjathom lill-kumpanija minflok l-istokk")</f>
        <v>assenjathom lill-kumpanija minflok l-istokk</v>
      </c>
    </row>
    <row r="4990" ht="15.75" customHeight="1">
      <c r="A4990" s="2" t="s">
        <v>4990</v>
      </c>
      <c r="B4990" s="2" t="str">
        <f>IFERROR(__xludf.DUMMYFUNCTION("GOOGLETRANSLATE(A4990, ""en"", ""mt"")"),"l-applikazzjoni tal-elettriku")</f>
        <v>l-applikazzjoni tal-elettriku</v>
      </c>
    </row>
    <row r="4991" ht="15.75" customHeight="1">
      <c r="A4991" s="2" t="s">
        <v>4991</v>
      </c>
      <c r="B4991" s="2" t="str">
        <f>IFERROR(__xludf.DUMMYFUNCTION("GOOGLETRANSLATE(A4991, ""en"", ""mt"")"),"Era pre-Kolumbjana")</f>
        <v>Era pre-Kolumbjana</v>
      </c>
    </row>
    <row r="4992" ht="15.75" customHeight="1">
      <c r="A4992" s="2" t="s">
        <v>4992</v>
      </c>
      <c r="B4992" s="2" t="str">
        <f>IFERROR(__xludf.DUMMYFUNCTION("GOOGLETRANSLATE(A4992, ""en"", ""mt"")"),"L-Asja tal-Lvant")</f>
        <v>L-Asja tal-Lvant</v>
      </c>
    </row>
    <row r="4993" ht="15.75" customHeight="1">
      <c r="A4993" s="2" t="s">
        <v>4993</v>
      </c>
      <c r="B4993" s="2" t="str">
        <f>IFERROR(__xludf.DUMMYFUNCTION("GOOGLETRANSLATE(A4993, ""en"", ""mt"")"),"Twaqqif ta '""Fruntieri Naturali"" fuq ir-Renu")</f>
        <v>Twaqqif ta '"Fruntieri Naturali" fuq ir-Renu</v>
      </c>
    </row>
    <row r="4994" ht="15.75" customHeight="1">
      <c r="A4994" s="2" t="s">
        <v>4994</v>
      </c>
      <c r="B4994" s="2" t="str">
        <f>IFERROR(__xludf.DUMMYFUNCTION("GOOGLETRANSLATE(A4994, ""en"", ""mt"")"),"Salvazzjoni")</f>
        <v>Salvazzjoni</v>
      </c>
    </row>
    <row r="4995" ht="15.75" customHeight="1">
      <c r="A4995" s="2" t="s">
        <v>4995</v>
      </c>
      <c r="B4995" s="2" t="str">
        <f>IFERROR(__xludf.DUMMYFUNCTION("GOOGLETRANSLATE(A4995, ""en"", ""mt"")"),"72 minuta")</f>
        <v>72 minuta</v>
      </c>
    </row>
    <row r="4996" ht="15.75" customHeight="1">
      <c r="A4996" s="2" t="s">
        <v>4996</v>
      </c>
      <c r="B4996" s="2" t="str">
        <f>IFERROR(__xludf.DUMMYFUNCTION("GOOGLETRANSLATE(A4996, ""en"", ""mt"")"),"ġurnalist")</f>
        <v>ġurnalist</v>
      </c>
    </row>
    <row r="4997" ht="15.75" customHeight="1">
      <c r="A4997" s="2" t="s">
        <v>4997</v>
      </c>
      <c r="B4997" s="2" t="str">
        <f>IFERROR(__xludf.DUMMYFUNCTION("GOOGLETRANSLATE(A4997, ""en"", ""mt"")"),"X'impatt id-distribuzzjoni tal-ġid meta tevalwa x-xogħol?")</f>
        <v>X'impatt id-distribuzzjoni tal-ġid meta tevalwa x-xogħol?</v>
      </c>
    </row>
    <row r="4998" ht="15.75" customHeight="1">
      <c r="A4998" s="2" t="s">
        <v>4998</v>
      </c>
      <c r="B4998" s="2" t="str">
        <f>IFERROR(__xludf.DUMMYFUNCTION("GOOGLETRANSLATE(A4998, ""en"", ""mt"")"),"eċċentrika,")</f>
        <v>eċċentrika,</v>
      </c>
    </row>
    <row r="4999" ht="15.75" customHeight="1">
      <c r="A4999" s="2" t="s">
        <v>4999</v>
      </c>
      <c r="B4999" s="2" t="str">
        <f>IFERROR(__xludf.DUMMYFUNCTION("GOOGLETRANSLATE(A4999, ""en"", ""mt"")"),"It-Trattat ta 'Lisbona tal-2007 irrikonoxxa b'mod espliċitu d-drittijiet fundamentali billi pprovda fl-Artikolu 6 (1) li ""l-Unjoni tirrikonoxxi d-drittijiet, il-libertajiet u l-prinċipji stabbiliti fil-Karta tad-Drittijiet Fundamentali tal-Unjoni Ewropea"&amp;" tas-7 ta' Diċembru 2000, kif adottat fi Strasburgu fit-12 Diċembru 2007, li għandu jkollu l-istess valur legali bħat-trattati. "" Għalhekk, il-karta tad-drittijiet fundamentali tal-Unjoni Ewropea saret parti integrali tal-liġi tal-Unjoni Ewropea, li tikk"&amp;"odifika d-drittijiet fundamentali li qabel kienu meqjusa bħala prinċipji ġenerali tal-liġi tal-Unjoni Ewropea. Fil-fatt, wara t-Trattat ta 'Lisbona, il-Karta u l-Konvenzjoni issa jeżistu skont il-liġi tal-Unjoni Ewropea, għalkemm l-ewwel hija infurzata mi"&amp;"ll-Qorti Ewropea tal-Ġustizzja fir-rigward tal-miżuri tal-Unjoni Ewropea, u dan tal-aħħar mill-Qorti Ewropea tad-Drittijiet tal-Bniedem Fir-rigward ta 'miżuri mill-Istati Membri.")</f>
        <v>It-Trattat ta 'Lisbona tal-2007 irrikonoxxa b'mod espliċitu d-drittijiet fundamentali billi pprovda fl-Artikolu 6 (1) li "l-Unjoni tirrikonoxxi d-drittijiet, il-libertajiet u l-prinċipji stabbiliti fil-Karta tad-Drittijiet Fundamentali tal-Unjoni Ewropea tas-7 ta' Diċembru 2000, kif adottat fi Strasburgu fit-12 Diċembru 2007, li għandu jkollu l-istess valur legali bħat-trattati. " Għalhekk, il-karta tad-drittijiet fundamentali tal-Unjoni Ewropea saret parti integrali tal-liġi tal-Unjoni Ewropea, li tikkodifika d-drittijiet fundamentali li qabel kienu meqjusa bħala prinċipji ġenerali tal-liġi tal-Unjoni Ewropea. Fil-fatt, wara t-Trattat ta 'Lisbona, il-Karta u l-Konvenzjoni issa jeżistu skont il-liġi tal-Unjoni Ewropea, għalkemm l-ewwel hija infurzata mill-Qorti Ewropea tal-Ġustizzja fir-rigward tal-miżuri tal-Unjoni Ewropea, u dan tal-aħħar mill-Qorti Ewropea tad-Drittijiet tal-Bniedem Fir-rigward ta 'miżuri mill-Istati Membri.</v>
      </c>
    </row>
    <row r="5000" ht="15.75" customHeight="1">
      <c r="A5000" s="2" t="s">
        <v>5000</v>
      </c>
      <c r="B5000" s="2" t="str">
        <f>IFERROR(__xludf.DUMMYFUNCTION("GOOGLETRANSLATE(A5000, ""en"", ""mt"")"),"L-użu ta 'ilma jagħli biex jipproduċi moviment mekkaniku jmur lura aktar minn 2000 sena, iżda l-apparati bikrija ma kinux prattiċi. L-inventur Spanjol Jerónimo de Ayanz y Beaumont kiseb l-ewwel brevett għal magna tal-fwar fl-1606. Fl-1698 Thomas Savery br"&amp;"evettat pompa tal-fwar li użat il-fwar f'kuntatt dirett ma 'l-ilma li qed jiġi ppumpjat. Il-pompa tal-fwar ta 'Savery użat il-fwar tal-kondensazzjoni biex toħloq vakwu u tiġbed l-ilma f'kamra, u mbagħad applikat bil-fwar taħt pressjoni biex tkompli tippom"&amp;"pja l-ilma. Il-magna atmosferika ta 'Thomas Newcomen kienet l-ewwel magna kummerċjali vera tal-fwar bl-użu ta' pistun, u ntużat fl-1712 għall-ippumpjar f'minjiera.")</f>
        <v>L-użu ta 'ilma jagħli biex jipproduċi moviment mekkaniku jmur lura aktar minn 2000 sena, iżda l-apparati bikrija ma kinux prattiċi. L-inventur Spanjol Jerónimo de Ayanz y Beaumont kiseb l-ewwel brevett għal magna tal-fwar fl-1606. Fl-1698 Thomas Savery brevettat pompa tal-fwar li użat il-fwar f'kuntatt dirett ma 'l-ilma li qed jiġi ppumpjat. Il-pompa tal-fwar ta 'Savery użat il-fwar tal-kondensazzjoni biex toħloq vakwu u tiġbed l-ilma f'kamra, u mbagħad applikat bil-fwar taħt pressjoni biex tkompli tippompja l-ilma. Il-magna atmosferika ta 'Thomas Newcomen kienet l-ewwel magna kummerċjali vera tal-fwar bl-użu ta' pistun, u ntużat fl-1712 għall-ippumpjar f'minjiera.</v>
      </c>
    </row>
    <row r="5001" ht="15.75" customHeight="1">
      <c r="A5001" s="2" t="s">
        <v>5001</v>
      </c>
      <c r="B5001" s="2" t="str">
        <f>IFERROR(__xludf.DUMMYFUNCTION("GOOGLETRANSLATE(A5001, ""en"", ""mt"")"),"sa tmiem il-parlament attwali jew jekk xi waħda mill-partijiet tirtira mill-ftehim qabel dakinhar")</f>
        <v>sa tmiem il-parlament attwali jew jekk xi waħda mill-partijiet tirtira mill-ftehim qabel dakinhar</v>
      </c>
    </row>
    <row r="5002" ht="15.75" customHeight="1">
      <c r="A5002" s="2" t="s">
        <v>5002</v>
      </c>
      <c r="B5002" s="2" t="str">
        <f>IFERROR(__xludf.DUMMYFUNCTION("GOOGLETRANSLATE(A5002, ""en"", ""mt"")"),"X'jagħmlu t-turbini tal-fwar tal-power station bħala sink kiesaħ fin-nuqqas ta 'CHP?")</f>
        <v>X'jagħmlu t-turbini tal-fwar tal-power station bħala sink kiesaħ fin-nuqqas ta 'CHP?</v>
      </c>
    </row>
    <row r="5003" ht="15.75" customHeight="1">
      <c r="A5003" s="2" t="s">
        <v>5003</v>
      </c>
      <c r="B5003" s="2" t="str">
        <f>IFERROR(__xludf.DUMMYFUNCTION("GOOGLETRANSLATE(A5003, ""en"", ""mt"")"),"Tabella tal-konnessjoni")</f>
        <v>Tabella tal-konnessjoni</v>
      </c>
    </row>
    <row r="5004" ht="15.75" customHeight="1">
      <c r="A5004" s="2" t="s">
        <v>5004</v>
      </c>
      <c r="B5004" s="2" t="str">
        <f>IFERROR(__xludf.DUMMYFUNCTION("GOOGLETRANSLATE(A5004, ""en"", ""mt"")"),"erbatax-il punt")</f>
        <v>erbatax-il punt</v>
      </c>
    </row>
    <row r="5005" ht="15.75" customHeight="1">
      <c r="A5005" s="2" t="s">
        <v>5005</v>
      </c>
      <c r="B5005" s="2" t="str">
        <f>IFERROR(__xludf.DUMMYFUNCTION("GOOGLETRANSLATE(A5005, ""en"", ""mt"")"),"Liema tipi ta 'għalliema qed jirtiraw l-iktar?")</f>
        <v>Liema tipi ta 'għalliema qed jirtiraw l-iktar?</v>
      </c>
    </row>
    <row r="5006" ht="15.75" customHeight="1">
      <c r="A5006" s="2" t="s">
        <v>5006</v>
      </c>
      <c r="B5006" s="2" t="str">
        <f>IFERROR(__xludf.DUMMYFUNCTION("GOOGLETRANSLATE(A5006, ""en"", ""mt"")"),"Kif jikkontrollaw il-galleġġjant?")</f>
        <v>Kif jikkontrollaw il-galleġġjant?</v>
      </c>
    </row>
    <row r="5007" ht="15.75" customHeight="1">
      <c r="A5007" s="2" t="s">
        <v>5007</v>
      </c>
      <c r="B5007" s="2" t="str">
        <f>IFERROR(__xludf.DUMMYFUNCTION("GOOGLETRANSLATE(A5007, ""en"", ""mt"")"),"Rispons ipersensittiv ta 'pjanti kontra attakk ta' patoġeni")</f>
        <v>Rispons ipersensittiv ta 'pjanti kontra attakk ta' patoġeni</v>
      </c>
    </row>
    <row r="5008" ht="15.75" customHeight="1">
      <c r="A5008" s="2" t="s">
        <v>5008</v>
      </c>
      <c r="B5008" s="2" t="str">
        <f>IFERROR(__xludf.DUMMYFUNCTION("GOOGLETRANSLATE(A5008, ""en"", ""mt"")"),"Università jew kulleġġ")</f>
        <v>Università jew kulleġġ</v>
      </c>
    </row>
    <row r="5009" ht="15.75" customHeight="1">
      <c r="A5009" s="2" t="s">
        <v>5009</v>
      </c>
      <c r="B5009" s="2" t="str">
        <f>IFERROR(__xludf.DUMMYFUNCTION("GOOGLETRANSLATE(A5009, ""en"", ""mt"")"),"Tesla teorizza li l-applikazzjoni tal-elettriku għall-intelliġenza mtejba tal-moħħ. Fl-1912, huwa ddisinja ""pjan biex l-istudenti matt jgħajjat ​​billi jissaturawhom inkonxjament bl-elettriku,"" wajers il-ħitan ta 'kamra tal-iskola u, ""saturati [l-iskol"&amp;"a] bi mewġ elettriku infinitesimali li jivvibra bi frekwenza għolja. Il-kamra kollha se għalhekk, Is-Sur Tesla jiddikjara, jiġi kkonvertit f'qasam elettromanjetiku li jagħti s-saħħa u stimulanti "".")</f>
        <v>Tesla teorizza li l-applikazzjoni tal-elettriku għall-intelliġenza mtejba tal-moħħ. Fl-1912, huwa ddisinja "pjan biex l-istudenti matt jgħajjat ​​billi jissaturawhom inkonxjament bl-elettriku," wajers il-ħitan ta 'kamra tal-iskola u, "saturati [l-iskola] bi mewġ elettriku infinitesimali li jivvibra bi frekwenza għolja. Il-kamra kollha se għalhekk, Is-Sur Tesla jiddikjara, jiġi kkonvertit f'qasam elettromanjetiku li jagħti s-saħħa u stimulanti ".</v>
      </c>
    </row>
    <row r="5010" ht="15.75" customHeight="1">
      <c r="A5010" s="2" t="s">
        <v>5010</v>
      </c>
      <c r="B5010" s="2" t="str">
        <f>IFERROR(__xludf.DUMMYFUNCTION("GOOGLETRANSLATE(A5010, ""en"", ""mt"")"),"X'inhu s-sinjalazzjoni retrograda?")</f>
        <v>X'inhu s-sinjalazzjoni retrograda?</v>
      </c>
    </row>
    <row r="5011" ht="15.75" customHeight="1">
      <c r="A5011" s="2" t="s">
        <v>5011</v>
      </c>
      <c r="B5011" s="2" t="str">
        <f>IFERROR(__xludf.DUMMYFUNCTION("GOOGLETRANSLATE(A5011, ""en"", ""mt"")"),"L-Interpretazzjoni tal-Għarabja")</f>
        <v>L-Interpretazzjoni tal-Għarabja</v>
      </c>
    </row>
    <row r="5012" ht="15.75" customHeight="1">
      <c r="A5012" s="2" t="s">
        <v>5012</v>
      </c>
      <c r="B5012" s="2" t="str">
        <f>IFERROR(__xludf.DUMMYFUNCTION("GOOGLETRANSLATE(A5012, ""en"", ""mt"")"),"Il-kosta tat-teknoloġija")</f>
        <v>Il-kosta tat-teknoloġija</v>
      </c>
    </row>
    <row r="5013" ht="15.75" customHeight="1">
      <c r="A5013" s="2" t="s">
        <v>5013</v>
      </c>
      <c r="B5013" s="2" t="str">
        <f>IFERROR(__xludf.DUMMYFUNCTION("GOOGLETRANSLATE(A5013, ""en"", ""mt"")"),"in-nuqqas ta ’statistika affidabbli minn dan il-perjodu")</f>
        <v>in-nuqqas ta ’statistika affidabbli minn dan il-perjodu</v>
      </c>
    </row>
    <row r="5014" ht="15.75" customHeight="1">
      <c r="A5014" s="2" t="s">
        <v>5014</v>
      </c>
      <c r="B5014" s="2" t="str">
        <f>IFERROR(__xludf.DUMMYFUNCTION("GOOGLETRANSLATE(A5014, ""en"", ""mt"")"),"It-tieni l-iktar komunement")</f>
        <v>It-tieni l-iktar komunement</v>
      </c>
    </row>
    <row r="5015" ht="15.75" customHeight="1">
      <c r="A5015" s="2" t="s">
        <v>5015</v>
      </c>
      <c r="B5015" s="2" t="str">
        <f>IFERROR(__xludf.DUMMYFUNCTION("GOOGLETRANSLATE(A5015, ""en"", ""mt"")"),"Min fost il-popolazzjoni ta 'Bukhara sar parti mill-armata Mongoljana?")</f>
        <v>Min fost il-popolazzjoni ta 'Bukhara sar parti mill-armata Mongoljana?</v>
      </c>
    </row>
    <row r="5016" ht="15.75" customHeight="1">
      <c r="A5016" s="2" t="s">
        <v>5016</v>
      </c>
      <c r="B5016" s="2" t="str">
        <f>IFERROR(__xludf.DUMMYFUNCTION("GOOGLETRANSLATE(A5016, ""en"", ""mt"")"),"Il-mużika inċidentali kollha għas-serje Revived tal-2005 kienet komposta minn Murray Gold u Ben Foster u ġiet imwettqa mill-Orkestra Nazzjonali tal-BBC ta 'Wales mill-episodju tal-Milied tal-2005 ""The Christmas Invasion""' l hawn. Kunċert li fih l-orkest"&amp;"ra li tesegwixxi mużika mill-ewwel żewġ serje seħħ fid-19 ta 'Novembru 2006 biex jinġabru flus għal Children in Need. David Tennant ospita l-avveniment, billi introduċa t-taqsimiet differenti tal-kunċert. Murray Gold u Russell T Davies wieġbu mistoqsijiet"&amp;" waqt l-intervall u Daleks u Cybermen dehru waqt li kienet tindaqq mużika mill-istejjer tagħhom. Il-kunċert imxandar fuq BBCI f'Jum il-Milied 2006. Ġie ċċelebrat tabib li ġie ċċelebrat fis-27 ta 'Lulju 2008 fir-Royal Albert Hall bħala parti mill-Proms ann"&amp;"wali tal-BBC. Il-BBC Filarmonic u l-Kor Filarmonika ta ’Londra wettqu l-kompożizzjonijiet ta’ Murray Gold għas-serje, immexxija minn Ben Foster, kif ukoll għażla ta ’klassiċi bbażati fuq it-tema tal-ispazju u l-ħin. L-avveniment ġie ppreżentat minn Freema"&amp;" Agyeman u preżentat mill-mistieden minn diversi stilel oħra tal-ispettaklu b'ħafna monsters li qed jipparteċipaw fil-proċeduri. Dehru wkoll il-mini-episodju ffilmjat apposta ""Mużika ta 'l-Isferi"", miktuba minn Russell T Davies u starring David Tennant.")</f>
        <v>Il-mużika inċidentali kollha għas-serje Revived tal-2005 kienet komposta minn Murray Gold u Ben Foster u ġiet imwettqa mill-Orkestra Nazzjonali tal-BBC ta 'Wales mill-episodju tal-Milied tal-2005 "The Christmas Invasion"' l hawn. Kunċert li fih l-orkestra li tesegwixxi mużika mill-ewwel żewġ serje seħħ fid-19 ta 'Novembru 2006 biex jinġabru flus għal Children in Need. David Tennant ospita l-avveniment, billi introduċa t-taqsimiet differenti tal-kunċert. Murray Gold u Russell T Davies wieġbu mistoqsijiet waqt l-intervall u Daleks u Cybermen dehru waqt li kienet tindaqq mużika mill-istejjer tagħhom. Il-kunċert imxandar fuq BBCI f'Jum il-Milied 2006. Ġie ċċelebrat tabib li ġie ċċelebrat fis-27 ta 'Lulju 2008 fir-Royal Albert Hall bħala parti mill-Proms annwali tal-BBC. Il-BBC Filarmonic u l-Kor Filarmonika ta ’Londra wettqu l-kompożizzjonijiet ta’ Murray Gold għas-serje, immexxija minn Ben Foster, kif ukoll għażla ta ’klassiċi bbażati fuq it-tema tal-ispazju u l-ħin. L-avveniment ġie ppreżentat minn Freema Agyeman u preżentat mill-mistieden minn diversi stilel oħra tal-ispettaklu b'ħafna monsters li qed jipparteċipaw fil-proċeduri. Dehru wkoll il-mini-episodju ffilmjat apposta "Mużika ta 'l-Isferi", miktuba minn Russell T Davies u starring David Tennant.</v>
      </c>
    </row>
    <row r="5017" ht="15.75" customHeight="1">
      <c r="A5017" s="2" t="s">
        <v>5017</v>
      </c>
      <c r="B5017" s="2" t="str">
        <f>IFERROR(__xludf.DUMMYFUNCTION("GOOGLETRANSLATE(A5017, ""en"", ""mt"")"),"X’installa n-netwerk fl-1999")</f>
        <v>X’installa n-netwerk fl-1999</v>
      </c>
    </row>
    <row r="5018" ht="15.75" customHeight="1">
      <c r="A5018" s="2" t="s">
        <v>5018</v>
      </c>
      <c r="B5018" s="2" t="str">
        <f>IFERROR(__xludf.DUMMYFUNCTION("GOOGLETRANSLATE(A5018, ""en"", ""mt"")"),"Il-kunflitt huwa magħruf b'ismijiet multipli. Fl-Amerika Ingliża, il-gwerer spiss kienu msejħa wara l-monarka Brittanika seduta, bħall-gwerra tar-Re William jew il-gwerra tar-Reġina Anne. Peress li diġà kien hemm il-gwerra tar-Re Ġorġ fl-1740s, il-kolonis"&amp;"ti Ingliżi semmew it-tieni gwerra fir-renju tar-Re Ġorġ wara l-avversarji tagħhom, u saret magħrufa bħala l-Gwerra Franċiża u Indjana. Dan l-isem tradizzjonali jkompli bħala l-istandard fl-Istati Uniti, iżda joskura l-fatt li l-Indjani ġġieldu fuq iż-żewġ"&amp;" naħat tal-kunflitt, u li dan kien parti mill-gwerra tas-seba 'snin, kunflitt ferm akbar bejn Franza u l-Gran Brittanja. L-istoriċi Amerikani ġeneralment jużaw l-isem tradizzjonali jew xi kultant il-gwerra tas-seba ’snin. Ismijiet oħra, inqas użati għall-"&amp;"gwerra jinkludu r-raba 'gwerra interkolonjali u l-gwerra kbira għall-imperu.")</f>
        <v>Il-kunflitt huwa magħruf b'ismijiet multipli. Fl-Amerika Ingliża, il-gwerer spiss kienu msejħa wara l-monarka Brittanika seduta, bħall-gwerra tar-Re William jew il-gwerra tar-Reġina Anne. Peress li diġà kien hemm il-gwerra tar-Re Ġorġ fl-1740s, il-kolonisti Ingliżi semmew it-tieni gwerra fir-renju tar-Re Ġorġ wara l-avversarji tagħhom, u saret magħrufa bħala l-Gwerra Franċiża u Indjana. Dan l-isem tradizzjonali jkompli bħala l-istandard fl-Istati Uniti, iżda joskura l-fatt li l-Indjani ġġieldu fuq iż-żewġ naħat tal-kunflitt, u li dan kien parti mill-gwerra tas-seba 'snin, kunflitt ferm akbar bejn Franza u l-Gran Brittanja. L-istoriċi Amerikani ġeneralment jużaw l-isem tradizzjonali jew xi kultant il-gwerra tas-seba ’snin. Ismijiet oħra, inqas użati għall-gwerra jinkludu r-raba 'gwerra interkolonjali u l-gwerra kbira għall-imperu.</v>
      </c>
    </row>
    <row r="5019" ht="15.75" customHeight="1">
      <c r="A5019" s="2" t="s">
        <v>5019</v>
      </c>
      <c r="B5019" s="2" t="str">
        <f>IFERROR(__xludf.DUMMYFUNCTION("GOOGLETRANSLATE(A5019, ""en"", ""mt"")"),"X'għandu bżonn id-disinn ta 'Tesla?")</f>
        <v>X'għandu bżonn id-disinn ta 'Tesla?</v>
      </c>
    </row>
    <row r="5020" ht="15.75" customHeight="1">
      <c r="A5020" s="2" t="s">
        <v>5020</v>
      </c>
      <c r="B5020" s="2" t="str">
        <f>IFERROR(__xludf.DUMMYFUNCTION("GOOGLETRANSLATE(A5020, ""en"", ""mt"")"),"malajr tgħolli l-popolazzjoni u t-traffiku fi bliet tul SR 99")</f>
        <v>malajr tgħolli l-popolazzjoni u t-traffiku fi bliet tul SR 99</v>
      </c>
    </row>
    <row r="5021" ht="15.75" customHeight="1">
      <c r="A5021" s="2" t="s">
        <v>5021</v>
      </c>
      <c r="B5021" s="2" t="str">
        <f>IFERROR(__xludf.DUMMYFUNCTION("GOOGLETRANSLATE(A5021, ""en"", ""mt"")"),"Imla l-informazzjoni dwar l-indirizzar")</f>
        <v>Imla l-informazzjoni dwar l-indirizzar</v>
      </c>
    </row>
    <row r="5022" ht="15.75" customHeight="1">
      <c r="A5022" s="2" t="s">
        <v>5022</v>
      </c>
      <c r="B5022" s="2" t="str">
        <f>IFERROR(__xludf.DUMMYFUNCTION("GOOGLETRANSLATE(A5022, ""en"", ""mt"")"),"Artrite rewmatojde")</f>
        <v>Artrite rewmatojde</v>
      </c>
    </row>
    <row r="5023" ht="15.75" customHeight="1">
      <c r="A5023" s="2" t="s">
        <v>5023</v>
      </c>
      <c r="B5023" s="2" t="str">
        <f>IFERROR(__xludf.DUMMYFUNCTION("GOOGLETRANSLATE(A5023, ""en"", ""mt"")"),"Li waqqaf Telnet")</f>
        <v>Li waqqaf Telnet</v>
      </c>
    </row>
    <row r="5024" ht="15.75" customHeight="1">
      <c r="A5024" s="2" t="s">
        <v>5024</v>
      </c>
      <c r="B5024" s="2" t="str">
        <f>IFERROR(__xludf.DUMMYFUNCTION("GOOGLETRANSLATE(A5024, ""en"", ""mt"")"),"Il-membrana doppja tal-kloroplast hija wkoll spiss imqabbla mal-membrana doppja mitokondrijali. Dan mhuwiex paragun validu - il-membrana tal-mitokondrija ta 'ġewwa tintuża biex tmexxi pompi tal-protoni u twettaq fosforilazzjoni ossidattiva biex tiġġenera "&amp;"l-enerġija ATP. L-unika struttura tal-kloroplast li tista 'titqies analoga għaliha hija s-sistema interna tat-tilakoid. Anke hekk, f'termini ta '""in-out"", id-direzzjoni tal-fluss tal-joni tal-kloroplast H + tinsab fid-direzzjoni opposta meta mqabbla mal"&amp;"-fosforilazzjoni ossidattiva fil-mitokondrija. Barra minn hekk, f'termini ta 'funzjoni, il-membrana tal-kloroplast ta' ġewwa, li tirregola l-passaġġ tal-metaboliti u tissintetizza xi materjali, m'għandha l-ebda kontroparti fil-mitokondrion.")</f>
        <v>Il-membrana doppja tal-kloroplast hija wkoll spiss imqabbla mal-membrana doppja mitokondrijali. Dan mhuwiex paragun validu - il-membrana tal-mitokondrija ta 'ġewwa tintuża biex tmexxi pompi tal-protoni u twettaq fosforilazzjoni ossidattiva biex tiġġenera l-enerġija ATP. L-unika struttura tal-kloroplast li tista 'titqies analoga għaliha hija s-sistema interna tat-tilakoid. Anke hekk, f'termini ta '"in-out", id-direzzjoni tal-fluss tal-joni tal-kloroplast H + tinsab fid-direzzjoni opposta meta mqabbla mal-fosforilazzjoni ossidattiva fil-mitokondrija. Barra minn hekk, f'termini ta 'funzjoni, il-membrana tal-kloroplast ta' ġewwa, li tirregola l-passaġġ tal-metaboliti u tissintetizza xi materjali, m'għandha l-ebda kontroparti fil-mitokondrion.</v>
      </c>
    </row>
    <row r="5025" ht="15.75" customHeight="1">
      <c r="A5025" s="2" t="s">
        <v>5025</v>
      </c>
      <c r="B5025" s="2" t="str">
        <f>IFERROR(__xludf.DUMMYFUNCTION("GOOGLETRANSLATE(A5025, ""en"", ""mt"")"),"Il-blat fuq nett ta 'tort li huma maqtugħin huma dejjem anzjani jew iżgħar mit-tort innifsu?")</f>
        <v>Il-blat fuq nett ta 'tort li huma maqtugħin huma dejjem anzjani jew iżgħar mit-tort innifsu?</v>
      </c>
    </row>
    <row r="5026" ht="15.75" customHeight="1">
      <c r="A5026" s="2" t="s">
        <v>5026</v>
      </c>
      <c r="B5026" s="2" t="str">
        <f>IFERROR(__xludf.DUMMYFUNCTION("GOOGLETRANSLATE(A5026, ""en"", ""mt"")"),"X'kien l-isem tal-avveniment tal-Media Day għas-Super Bowl 50?")</f>
        <v>X'kien l-isem tal-avveniment tal-Media Day għas-Super Bowl 50?</v>
      </c>
    </row>
    <row r="5027" ht="15.75" customHeight="1">
      <c r="A5027" s="2" t="s">
        <v>5027</v>
      </c>
      <c r="B5027" s="2" t="str">
        <f>IFERROR(__xludf.DUMMYFUNCTION("GOOGLETRANSLATE(A5027, ""en"", ""mt"")"),"l-iktar bini distintiv")</f>
        <v>l-iktar bini distintiv</v>
      </c>
    </row>
    <row r="5028" ht="15.75" customHeight="1">
      <c r="A5028" s="2" t="s">
        <v>5028</v>
      </c>
      <c r="B5028" s="2" t="str">
        <f>IFERROR(__xludf.DUMMYFUNCTION("GOOGLETRANSLATE(A5028, ""en"", ""mt"")"),"Il-Librerija Presidenzjali George W. Bush")</f>
        <v>Il-Librerija Presidenzjali George W. Bush</v>
      </c>
    </row>
    <row r="5029" ht="15.75" customHeight="1">
      <c r="A5029" s="2" t="s">
        <v>5029</v>
      </c>
      <c r="B5029" s="2" t="str">
        <f>IFERROR(__xludf.DUMMYFUNCTION("GOOGLETRANSLATE(A5029, ""en"", ""mt"")"),"Fl-1972, in-Norveġja spiċċat tissieħeb fl-Unjoni Ewropea?")</f>
        <v>Fl-1972, in-Norveġja spiċċat tissieħeb fl-Unjoni Ewropea?</v>
      </c>
    </row>
    <row r="5030" ht="15.75" customHeight="1">
      <c r="A5030" s="2" t="s">
        <v>5030</v>
      </c>
      <c r="B5030" s="2" t="str">
        <f>IFERROR(__xludf.DUMMYFUNCTION("GOOGLETRANSLATE(A5030, ""en"", ""mt"")"),"Dak li ġeneralment jiddetta l-materjali tal-kostruzzjoni użati?")</f>
        <v>Dak li ġeneralment jiddetta l-materjali tal-kostruzzjoni użati?</v>
      </c>
    </row>
    <row r="5031" ht="15.75" customHeight="1">
      <c r="A5031" s="2" t="s">
        <v>5031</v>
      </c>
      <c r="B5031" s="2" t="str">
        <f>IFERROR(__xludf.DUMMYFUNCTION("GOOGLETRANSLATE(A5031, ""en"", ""mt"")"),"F'liema tip ta 'ċirku jistgħu jintużaw l-ideali ewlenin għall-validazzjoni ta' reċiproċità kwadratika?")</f>
        <v>F'liema tip ta 'ċirku jistgħu jintużaw l-ideali ewlenin għall-validazzjoni ta' reċiproċità kwadratika?</v>
      </c>
    </row>
    <row r="5032" ht="15.75" customHeight="1">
      <c r="A5032" s="2" t="s">
        <v>5032</v>
      </c>
      <c r="B5032" s="2" t="str">
        <f>IFERROR(__xludf.DUMMYFUNCTION("GOOGLETRANSLATE(A5032, ""en"", ""mt"")"),"Matul in-Nofs Eġen, huwa maħsub li l-baċin tad-drenaġġ tal-Amażonja kien maqsum tul in-nofs tal-kontinent mill-arkata Purus.")</f>
        <v>Matul in-Nofs Eġen, huwa maħsub li l-baċin tad-drenaġġ tal-Amażonja kien maqsum tul in-nofs tal-kontinent mill-arkata Purus.</v>
      </c>
    </row>
    <row r="5033" ht="15.75" customHeight="1">
      <c r="A5033" s="2" t="s">
        <v>5033</v>
      </c>
      <c r="B5033" s="2" t="str">
        <f>IFERROR(__xludf.DUMMYFUNCTION("GOOGLETRANSLATE(A5033, ""en"", ""mt"")"),"tlieta jew erbgħa")</f>
        <v>tlieta jew erbgħa</v>
      </c>
    </row>
    <row r="5034" ht="15.75" customHeight="1">
      <c r="A5034" s="2" t="s">
        <v>5034</v>
      </c>
      <c r="B5034" s="2" t="str">
        <f>IFERROR(__xludf.DUMMYFUNCTION("GOOGLETRANSLATE(A5034, ""en"", ""mt"")"),"l-arkitettura Vittorjana")</f>
        <v>l-arkitettura Vittorjana</v>
      </c>
    </row>
    <row r="5035" ht="15.75" customHeight="1">
      <c r="A5035" s="2" t="s">
        <v>5035</v>
      </c>
      <c r="B5035" s="2" t="str">
        <f>IFERROR(__xludf.DUMMYFUNCTION("GOOGLETRANSLATE(A5035, ""en"", ""mt"")"),"X'jagħmel il-Wells Fargo Centre jispikka?")</f>
        <v>X'jagħmel il-Wells Fargo Centre jispikka?</v>
      </c>
    </row>
    <row r="5036" ht="15.75" customHeight="1">
      <c r="A5036" s="2" t="s">
        <v>5036</v>
      </c>
      <c r="B5036" s="2" t="str">
        <f>IFERROR(__xludf.DUMMYFUNCTION("GOOGLETRANSLATE(A5036, ""en"", ""mt"")"),"Lulju 1899")</f>
        <v>Lulju 1899</v>
      </c>
    </row>
    <row r="5037" ht="15.75" customHeight="1">
      <c r="A5037" s="2" t="s">
        <v>5037</v>
      </c>
      <c r="B5037" s="2" t="str">
        <f>IFERROR(__xludf.DUMMYFUNCTION("GOOGLETRANSLATE(A5037, ""en"", ""mt"")"),"Trotsky, u oħrajn, emmnu li r-rivoluzzjoni tista 'tirnexxi biss fir-Russja bħala parti minn rivoluzzjoni dinjija. Lenin kiteb b'mod estensiv dwar il-kwistjoni u ddikjara famuż li l-imperjalizmu kien l-ogħla stadju tal-kapitaliżmu. Madankollu, wara l-mewt "&amp;"ta 'Lenin, Joseph Stalin stabbilixxa ""Soċjaliżmu f'pajjiż wieħed"" għall-Unjoni Sovjetika, u ħoloq il-mudell għal stati stalinisti sussegwenti li jħarsu' l ġewwa u jnaddfu l-elementi internazzjonalisti bikrija. It-tendenzi internazzjonalisti tar-rivoluzz"&amp;"joni bikrija jiġu abbandunati sakemm jirritornaw fil-qafas ta 'stat ta' klijent f'kompetizzjoni mal-Amerikani matul il-Gwerra Bierda. Bil-bidu tal-era l-ġdida, il-perjodu ta 'wara Stalin sejjaħ ""jinħall"", fl-aħħar tas-snin 1950, il-mexxej politiku l-ġdi"&amp;"d Nikita Khrushchev għamel pressjoni saħansitra aktar fuq ir-relazzjonijiet Sovjetiċi-Amerikani li jibdew mewġa ġdida ta' propaganda anti-imperialista. Fid-diskors tiegħu dwar il-Konferenza tan-NU fl-1960, huwa ħabbar it-tkomplija tal-gwerra għall-imperja"&amp;"lizmu, u ddikjara li dalwaqt in-nies ta 'pajjiżi differenti se jingħaqdu flimkien u jwaqqa' l-mexxejja imperjalisti tagħhom. Għalkemm l-Unjoni Sovjetika ddikjarat lilha nnifisha anti-imperjalista, il-kritiċi jargumentaw li hija wriet tendenzi komuni għall"&amp;"-imperi storiċi. Xi studjużi jsostnu li l-Unjoni Sovjetika kienet entità ibrida li fiha elementi komuni kemm għall-imperi multinazzjonali kif ukoll għall-istati nazzjon. Ġie argumentat ukoll li l-URSS ipprattika l-kolonjaliżmu bħalma għamlu poteri imperja"&amp;"li oħra u kienet qed tmexxi t-tradizzjoni antika Russa ta 'espansjoni u kontroll. Mao Zedong darba argumenta li l-Unjoni Sovjetika kienet stess saret poter imperjalista waqt li żżomm faċċata soċjalista. Barra minn hekk, l-ideat tal-imperjalizmu kienu mifr"&amp;"uxa ħafna fl-azzjoni fuq il-livelli ogħla tal-gvern. Marxisti mhux Russi fil-Federazzjoni Russa u aktar tard l-USSR, bħas-Sultan Galiev u l-Vasyl Shakhrai, ikkunsidraw ir-reġim Sovjetiku verżjoni mġedda tal-imperjalizmu u l-kolonjaliżmu Russu.")</f>
        <v>Trotsky, u oħrajn, emmnu li r-rivoluzzjoni tista 'tirnexxi biss fir-Russja bħala parti minn rivoluzzjoni dinjija. Lenin kiteb b'mod estensiv dwar il-kwistjoni u ddikjara famuż li l-imperjalizmu kien l-ogħla stadju tal-kapitaliżmu. Madankollu, wara l-mewt ta 'Lenin, Joseph Stalin stabbilixxa "Soċjaliżmu f'pajjiż wieħed" għall-Unjoni Sovjetika, u ħoloq il-mudell għal stati stalinisti sussegwenti li jħarsu' l ġewwa u jnaddfu l-elementi internazzjonalisti bikrija. It-tendenzi internazzjonalisti tar-rivoluzzjoni bikrija jiġu abbandunati sakemm jirritornaw fil-qafas ta 'stat ta' klijent f'kompetizzjoni mal-Amerikani matul il-Gwerra Bierda. Bil-bidu tal-era l-ġdida, il-perjodu ta 'wara Stalin sejjaħ "jinħall", fl-aħħar tas-snin 1950, il-mexxej politiku l-ġdid Nikita Khrushchev għamel pressjoni saħansitra aktar fuq ir-relazzjonijiet Sovjetiċi-Amerikani li jibdew mewġa ġdida ta' propaganda anti-imperialista. Fid-diskors tiegħu dwar il-Konferenza tan-NU fl-1960, huwa ħabbar it-tkomplija tal-gwerra għall-imperjalizmu, u ddikjara li dalwaqt in-nies ta 'pajjiżi differenti se jingħaqdu flimkien u jwaqqa' l-mexxejja imperjalisti tagħhom. Għalkemm l-Unjoni Sovjetika ddikjarat lilha nnifisha anti-imperjalista, il-kritiċi jargumentaw li hija wriet tendenzi komuni għall-imperi storiċi. Xi studjużi jsostnu li l-Unjoni Sovjetika kienet entità ibrida li fiha elementi komuni kemm għall-imperi multinazzjonali kif ukoll għall-istati nazzjon. Ġie argumentat ukoll li l-URSS ipprattika l-kolonjaliżmu bħalma għamlu poteri imperjali oħra u kienet qed tmexxi t-tradizzjoni antika Russa ta 'espansjoni u kontroll. Mao Zedong darba argumenta li l-Unjoni Sovjetika kienet stess saret poter imperjalista waqt li żżomm faċċata soċjalista. Barra minn hekk, l-ideat tal-imperjalizmu kienu mifruxa ħafna fl-azzjoni fuq il-livelli ogħla tal-gvern. Marxisti mhux Russi fil-Federazzjoni Russa u aktar tard l-USSR, bħas-Sultan Galiev u l-Vasyl Shakhrai, ikkunsidraw ir-reġim Sovjetiku verżjoni mġedda tal-imperjalizmu u l-kolonjaliżmu Russu.</v>
      </c>
    </row>
    <row r="5038" ht="15.75" customHeight="1">
      <c r="A5038" s="2" t="s">
        <v>5038</v>
      </c>
      <c r="B5038" s="2" t="str">
        <f>IFERROR(__xludf.DUMMYFUNCTION("GOOGLETRANSLATE(A5038, ""en"", ""mt"")"),"Organizzazzjoni Meteoroloġika Dinjija (WMO) u l-Programm tal-Ambjent tan-Nazzjonijiet Uniti (UNEP),")</f>
        <v>Organizzazzjoni Meteoroloġika Dinjija (WMO) u l-Programm tal-Ambjent tan-Nazzjonijiet Uniti (UNEP),</v>
      </c>
    </row>
    <row r="5039" ht="15.75" customHeight="1">
      <c r="A5039" s="2" t="s">
        <v>5039</v>
      </c>
      <c r="B5039" s="2" t="str">
        <f>IFERROR(__xludf.DUMMYFUNCTION("GOOGLETRANSLATE(A5039, ""en"", ""mt"")"),"BSKYB ma jġorr l-ebda kontroll")</f>
        <v>BSKYB ma jġorr l-ebda kontroll</v>
      </c>
    </row>
    <row r="5040" ht="15.75" customHeight="1">
      <c r="A5040" s="2" t="s">
        <v>5040</v>
      </c>
      <c r="B5040" s="2" t="str">
        <f>IFERROR(__xludf.DUMMYFUNCTION("GOOGLETRANSLATE(A5040, ""en"", ""mt"")"),"Viċi President Eżekuttiv ta 'Operazzjonijiet tal-Futbol u Maniġer Ġenerali")</f>
        <v>Viċi President Eżekuttiv ta 'Operazzjonijiet tal-Futbol u Maniġer Ġenerali</v>
      </c>
    </row>
    <row r="5041" ht="15.75" customHeight="1">
      <c r="A5041" s="2" t="s">
        <v>5041</v>
      </c>
      <c r="B5041" s="2" t="str">
        <f>IFERROR(__xludf.DUMMYFUNCTION("GOOGLETRANSLATE(A5041, ""en"", ""mt"")"),"Y. Pestis kien l-aġent kawżattiv tal-pesta epidemika li qered l-Ewropa matul il-Medju Evu")</f>
        <v>Y. Pestis kien l-aġent kawżattiv tal-pesta epidemika li qered l-Ewropa matul il-Medju Evu</v>
      </c>
    </row>
    <row r="5042" ht="15.75" customHeight="1">
      <c r="A5042" s="2" t="s">
        <v>5042</v>
      </c>
      <c r="B5042" s="2" t="str">
        <f>IFERROR(__xludf.DUMMYFUNCTION("GOOGLETRANSLATE(A5042, ""en"", ""mt"")"),"Kemm kienet paġni tad-dikjarazzjoni tar-rapport Kalven?")</f>
        <v>Kemm kienet paġni tad-dikjarazzjoni tar-rapport Kalven?</v>
      </c>
    </row>
    <row r="5043" ht="15.75" customHeight="1">
      <c r="A5043" s="2" t="s">
        <v>5043</v>
      </c>
      <c r="B5043" s="2" t="str">
        <f>IFERROR(__xludf.DUMMYFUNCTION("GOOGLETRANSLATE(A5043, ""en"", ""mt"")"),"Id-diżubbidjenti ċivili għażlu varjetà ta 'atti illegali differenti. Bedau jikteb, ""Hemm klassi sħiħa ta 'atti, imwettqa f'isem id-diżubbidjenza ċivili, li, anke jekk kienu pprattikati b'mod wiesa', fihom infushom jikkostitwixxu ftit iktar minn inkonvenj"&amp;"ent (e.g. qbiż f'installazzjoni ta 'missili nukleari). . L-atti ta 'spiss huma biss fastidju u, għall-inqas għall-bystander, kemmxejn inane ... il-bogħod tal-konnessjoni bejn l-att diżubbidjenti u l-liġi oġġezzjonabbli jistabbilixxi tali atti miftuħa għal"&amp;"l-akkuża ta' ineffettività u assurdità. "" Bedau jinnota wkoll, madankollu, li l-ħsara stess ta 'protesti illegali kompletament simboliċi lejn għanijiet ta' politika pubblika jistgħu jservu skop ta 'propaganda. Xi diżubbidjenti ċivili, bħall-proprjetarji "&amp;"ta 'dispensarji ta' kannabis mediċi illegali u vuċi fid-deżert, li ġabu mediċina fl-Iraq mingħajr il-permess tal-gvern ta 'l-Istati Uniti, jiksbu direttament għan soċjali mixtieq (bħalma huma l-provvista ta' medikazzjoni għall-morda) waqt li Kisser bil-mi"&amp;"ftuħ il-liġi. Julia Butterfly Hill kienet toqgħod f'Luna, ta '180 pied (55 m) -tall, siġra ta' California Redwood ta '600 sena għal 738 ġurnata, u ma ħallietx b'suċċess milli tinqata'.")</f>
        <v>Id-diżubbidjenti ċivili għażlu varjetà ta 'atti illegali differenti. Bedau jikteb, "Hemm klassi sħiħa ta 'atti, imwettqa f'isem id-diżubbidjenza ċivili, li, anke jekk kienu pprattikati b'mod wiesa', fihom infushom jikkostitwixxu ftit iktar minn inkonvenjent (e.g. qbiż f'installazzjoni ta 'missili nukleari). . L-atti ta 'spiss huma biss fastidju u, għall-inqas għall-bystander, kemmxejn inane ... il-bogħod tal-konnessjoni bejn l-att diżubbidjenti u l-liġi oġġezzjonabbli jistabbilixxi tali atti miftuħa għall-akkuża ta' ineffettività u assurdità. " Bedau jinnota wkoll, madankollu, li l-ħsara stess ta 'protesti illegali kompletament simboliċi lejn għanijiet ta' politika pubblika jistgħu jservu skop ta 'propaganda. Xi diżubbidjenti ċivili, bħall-proprjetarji ta 'dispensarji ta' kannabis mediċi illegali u vuċi fid-deżert, li ġabu mediċina fl-Iraq mingħajr il-permess tal-gvern ta 'l-Istati Uniti, jiksbu direttament għan soċjali mixtieq (bħalma huma l-provvista ta' medikazzjoni għall-morda) waqt li Kisser bil-miftuħ il-liġi. Julia Butterfly Hill kienet toqgħod f'Luna, ta '180 pied (55 m) -tall, siġra ta' California Redwood ta '600 sena għal 738 ġurnata, u ma ħallietx b'suċċess milli tinqata'.</v>
      </c>
    </row>
    <row r="5044" ht="15.75" customHeight="1">
      <c r="A5044" s="2" t="s">
        <v>5044</v>
      </c>
      <c r="B5044" s="2" t="str">
        <f>IFERROR(__xludf.DUMMYFUNCTION("GOOGLETRANSLATE(A5044, ""en"", ""mt"")"),"Drives tal-ġbir ta 'fondi")</f>
        <v>Drives tal-ġbir ta 'fondi</v>
      </c>
    </row>
    <row r="5045" ht="15.75" customHeight="1">
      <c r="A5045" s="2" t="s">
        <v>5045</v>
      </c>
      <c r="B5045" s="2" t="str">
        <f>IFERROR(__xludf.DUMMYFUNCTION("GOOGLETRANSLATE(A5045, ""en"", ""mt"")"),"soġġett għal mewġ ta 'xokk ta' pressjoni għolja")</f>
        <v>soġġett għal mewġ ta 'xokk ta' pressjoni għolja</v>
      </c>
    </row>
    <row r="5046" ht="15.75" customHeight="1">
      <c r="A5046" s="2" t="s">
        <v>5046</v>
      </c>
      <c r="B5046" s="2" t="str">
        <f>IFERROR(__xludf.DUMMYFUNCTION("GOOGLETRANSLATE(A5046, ""en"", ""mt"")"),"X'kien is-salarju ta 'Tesla minn Westinghouse fl-1934?")</f>
        <v>X'kien is-salarju ta 'Tesla minn Westinghouse fl-1934?</v>
      </c>
    </row>
    <row r="5047" ht="15.75" customHeight="1">
      <c r="A5047" s="2" t="s">
        <v>5047</v>
      </c>
      <c r="B5047" s="2" t="str">
        <f>IFERROR(__xludf.DUMMYFUNCTION("GOOGLETRANSLATE(A5047, ""en"", ""mt"")"),"Liema referenza letterarja tqabbel il-kaptan mat-tabib min?")</f>
        <v>Liema referenza letterarja tqabbel il-kaptan mat-tabib min?</v>
      </c>
    </row>
    <row r="5048" ht="15.75" customHeight="1">
      <c r="A5048" s="2" t="s">
        <v>5048</v>
      </c>
      <c r="B5048" s="2" t="str">
        <f>IFERROR(__xludf.DUMMYFUNCTION("GOOGLETRANSLATE(A5048, ""en"", ""mt"")"),"Xi jfisser il-konnessjoni differenti ta 'kaxxi tas-sema Q?")</f>
        <v>Xi jfisser il-konnessjoni differenti ta 'kaxxi tas-sema Q?</v>
      </c>
    </row>
    <row r="5049" ht="15.75" customHeight="1">
      <c r="A5049" s="2" t="s">
        <v>5049</v>
      </c>
      <c r="B5049" s="2" t="str">
        <f>IFERROR(__xludf.DUMMYFUNCTION("GOOGLETRANSLATE(A5049, ""en"", ""mt"")"),"X'kien l-ewwel għal dan in-netwerk")</f>
        <v>X'kien l-ewwel għal dan in-netwerk</v>
      </c>
    </row>
    <row r="5050" ht="15.75" customHeight="1">
      <c r="A5050" s="2" t="s">
        <v>5050</v>
      </c>
      <c r="B5050" s="2" t="str">
        <f>IFERROR(__xludf.DUMMYFUNCTION("GOOGLETRANSLATE(A5050, ""en"", ""mt"")"),"Ktieb tat-Talb Komuni")</f>
        <v>Ktieb tat-Talb Komuni</v>
      </c>
    </row>
    <row r="5051" ht="15.75" customHeight="1">
      <c r="A5051" s="2" t="s">
        <v>5051</v>
      </c>
      <c r="B5051" s="2" t="str">
        <f>IFERROR(__xludf.DUMMYFUNCTION("GOOGLETRANSLATE(A5051, ""en"", ""mt"")"),"fl-epoka tal-Pleistocene")</f>
        <v>fl-epoka tal-Pleistocene</v>
      </c>
    </row>
    <row r="5052" ht="15.75" customHeight="1">
      <c r="A5052" s="2" t="s">
        <v>5052</v>
      </c>
      <c r="B5052" s="2" t="str">
        <f>IFERROR(__xludf.DUMMYFUNCTION("GOOGLETRANSLATE(A5052, ""en"", ""mt"")"),"Liema ġnien kien formalment biss għar-royalties?")</f>
        <v>Liema ġnien kien formalment biss għar-royalties?</v>
      </c>
    </row>
    <row r="5053" ht="15.75" customHeight="1">
      <c r="A5053" s="2" t="s">
        <v>5053</v>
      </c>
      <c r="B5053" s="2" t="str">
        <f>IFERROR(__xludf.DUMMYFUNCTION("GOOGLETRANSLATE(A5053, ""en"", ""mt"")"),"Meta Washington laħqet Fort Le Boeuf?")</f>
        <v>Meta Washington laħqet Fort Le Boeuf?</v>
      </c>
    </row>
    <row r="5054" ht="15.75" customHeight="1">
      <c r="A5054" s="2" t="s">
        <v>5054</v>
      </c>
      <c r="B5054" s="2" t="str">
        <f>IFERROR(__xludf.DUMMYFUNCTION("GOOGLETRANSLATE(A5054, ""en"", ""mt"")"),"Liema mill-ġeneraturi futuri tiegħu ngħaqdu ma 'Temüjin madwar iż-żmien tal-ħarba tiegħu mit-Tayichi'ud?")</f>
        <v>Liema mill-ġeneraturi futuri tiegħu ngħaqdu ma 'Temüjin madwar iż-żmien tal-ħarba tiegħu mit-Tayichi'ud?</v>
      </c>
    </row>
    <row r="5055" ht="15.75" customHeight="1">
      <c r="A5055" s="2" t="s">
        <v>5055</v>
      </c>
      <c r="B5055" s="2" t="str">
        <f>IFERROR(__xludf.DUMMYFUNCTION("GOOGLETRANSLATE(A5055, ""en"", ""mt"")"),"Newtrofili")</f>
        <v>Newtrofili</v>
      </c>
    </row>
    <row r="5056" ht="15.75" customHeight="1">
      <c r="A5056" s="2" t="s">
        <v>5056</v>
      </c>
      <c r="B5056" s="2" t="str">
        <f>IFERROR(__xludf.DUMMYFUNCTION("GOOGLETRANSLATE(A5056, ""en"", ""mt"")"),"paraboliċi")</f>
        <v>paraboliċi</v>
      </c>
    </row>
    <row r="5057" ht="15.75" customHeight="1">
      <c r="A5057" s="2" t="s">
        <v>5057</v>
      </c>
      <c r="B5057" s="2" t="str">
        <f>IFERROR(__xludf.DUMMYFUNCTION("GOOGLETRANSLATE(A5057, ""en"", ""mt"")"),"Regolament Globali Ibbażat fuq il-Protokoll ta 'Montreal")</f>
        <v>Regolament Globali Ibbażat fuq il-Protokoll ta 'Montreal</v>
      </c>
    </row>
    <row r="5058" ht="15.75" customHeight="1">
      <c r="A5058" s="2" t="s">
        <v>5058</v>
      </c>
      <c r="B5058" s="2" t="str">
        <f>IFERROR(__xludf.DUMMYFUNCTION("GOOGLETRANSLATE(A5058, ""en"", ""mt"")"),"figuri mill-kleru")</f>
        <v>figuri mill-kleru</v>
      </c>
    </row>
    <row r="5059" ht="15.75" customHeight="1">
      <c r="A5059" s="2" t="s">
        <v>5059</v>
      </c>
      <c r="B5059" s="2" t="str">
        <f>IFERROR(__xludf.DUMMYFUNCTION("GOOGLETRANSLATE(A5059, ""en"", ""mt"")"),"X'tipi ta 'mediċini jaħżnu l-ispiżeriji speċjalizzati?")</f>
        <v>X'tipi ta 'mediċini jaħżnu l-ispiżeriji speċjalizzati?</v>
      </c>
    </row>
    <row r="5060" ht="15.75" customHeight="1">
      <c r="A5060" s="2" t="s">
        <v>5060</v>
      </c>
      <c r="B5060" s="2" t="str">
        <f>IFERROR(__xludf.DUMMYFUNCTION("GOOGLETRANSLATE(A5060, ""en"", ""mt"")"),"Neħħi s-sorveljanza tal-gvern mill-proċessi tagħha")</f>
        <v>Neħħi s-sorveljanza tal-gvern mill-proċessi tagħha</v>
      </c>
    </row>
    <row r="5061" ht="15.75" customHeight="1">
      <c r="A5061" s="2" t="s">
        <v>5061</v>
      </c>
      <c r="B5061" s="2" t="str">
        <f>IFERROR(__xludf.DUMMYFUNCTION("GOOGLETRANSLATE(A5061, ""en"", ""mt"")"),"Madankollu, il-Knisja Metodista Magħquda ""timplimenta [i] familji u knejjes biex ma tiċħadx jew tikkundanna membri u ħbieb lesbjani u omosesswali"" u tikkommetti ruħha li tkun fil-ministeru mal-persuni kollha, li tafferma li l-grazzja, l-imħabba, u l-maħ"&amp;"fra ta 'Alla huma disponibbli għal kulħadd - Barra minn hekk, ħafna organizzazzjonijiet, konferenzi, u kongregazzjonijiet riċentement sejħu għal aċċettazzjoni usa 'tal-komunità LGBT fi ħdan l-UMC. Pereżempju, it-tabella ta 'konnessjoni, kumitat ta' tmexxi"&amp;"ja, ivvutat favur proposta li titlob għażla lokalizzata, li tippermetti lill-ministri biex jorganizzaw tiġijiet tal-istess sess, u dan jippermetti konferenzi biex jordnaw kleru omosesswali. Barra minn hekk, ħafna konferenzi ħadu pożizzjoni billi vvutaw fa"&amp;"vur żwiġijiet tal-istess sess b'riżoluzzjonijiet.")</f>
        <v>Madankollu, il-Knisja Metodista Magħquda "timplimenta [i] familji u knejjes biex ma tiċħadx jew tikkundanna membri u ħbieb lesbjani u omosesswali" u tikkommetti ruħha li tkun fil-ministeru mal-persuni kollha, li tafferma li l-grazzja, l-imħabba, u l-maħfra ta 'Alla huma disponibbli għal kulħadd - Barra minn hekk, ħafna organizzazzjonijiet, konferenzi, u kongregazzjonijiet riċentement sejħu għal aċċettazzjoni usa 'tal-komunità LGBT fi ħdan l-UMC. Pereżempju, it-tabella ta 'konnessjoni, kumitat ta' tmexxija, ivvutat favur proposta li titlob għażla lokalizzata, li tippermetti lill-ministri biex jorganizzaw tiġijiet tal-istess sess, u dan jippermetti konferenzi biex jordnaw kleru omosesswali. Barra minn hekk, ħafna konferenzi ħadu pożizzjoni billi vvutaw favur żwiġijiet tal-istess sess b'riżoluzzjonijiet.</v>
      </c>
    </row>
    <row r="5062" ht="15.75" customHeight="1">
      <c r="A5062" s="2" t="s">
        <v>5062</v>
      </c>
      <c r="B5062" s="2" t="str">
        <f>IFERROR(__xludf.DUMMYFUNCTION("GOOGLETRANSLATE(A5062, ""en"", ""mt"")"),"30–60%")</f>
        <v>30–60%</v>
      </c>
    </row>
    <row r="5063" ht="15.75" customHeight="1">
      <c r="A5063" s="2" t="s">
        <v>5063</v>
      </c>
      <c r="B5063" s="2" t="str">
        <f>IFERROR(__xludf.DUMMYFUNCTION("GOOGLETRANSLATE(A5063, ""en"", ""mt"")"),"l-akbar ġid")</f>
        <v>l-akbar ġid</v>
      </c>
    </row>
    <row r="5064" ht="15.75" customHeight="1">
      <c r="A5064" s="2" t="s">
        <v>5064</v>
      </c>
      <c r="B5064" s="2" t="str">
        <f>IFERROR(__xludf.DUMMYFUNCTION("GOOGLETRANSLATE(A5064, ""en"", ""mt"")"),"X'jiġri minn sinjali ta 'speċi ta' ossiġnu reattivi peress li ma jħallux il-kloroplast?")</f>
        <v>X'jiġri minn sinjali ta 'speċi ta' ossiġnu reattivi peress li ma jħallux il-kloroplast?</v>
      </c>
    </row>
    <row r="5065" ht="15.75" customHeight="1">
      <c r="A5065" s="2" t="s">
        <v>5065</v>
      </c>
      <c r="B5065" s="2" t="str">
        <f>IFERROR(__xludf.DUMMYFUNCTION("GOOGLETRANSLATE(A5065, ""en"", ""mt"")"),"Studenti Internazzjonali")</f>
        <v>Studenti Internazzjonali</v>
      </c>
    </row>
    <row r="5066" ht="15.75" customHeight="1">
      <c r="A5066" s="2" t="s">
        <v>5066</v>
      </c>
      <c r="B5066" s="2" t="str">
        <f>IFERROR(__xludf.DUMMYFUNCTION("GOOGLETRANSLATE(A5066, ""en"", ""mt"")"),"Min kien l-għadu ewlieni tan-Normanni fl-Italja, l-Imperu Biżantin u l-Armenja?")</f>
        <v>Min kien l-għadu ewlieni tan-Normanni fl-Italja, l-Imperu Biżantin u l-Armenja?</v>
      </c>
    </row>
    <row r="5067" ht="15.75" customHeight="1">
      <c r="A5067" s="2" t="s">
        <v>5067</v>
      </c>
      <c r="B5067" s="2" t="str">
        <f>IFERROR(__xludf.DUMMYFUNCTION("GOOGLETRANSLATE(A5067, ""en"", ""mt"")"),"X'kienu l-ismijiet tas-sorijiet ta 'Tesla?")</f>
        <v>X'kienu l-ismijiet tas-sorijiet ta 'Tesla?</v>
      </c>
    </row>
    <row r="5068" ht="15.75" customHeight="1">
      <c r="A5068" s="2" t="s">
        <v>5068</v>
      </c>
      <c r="B5068" s="2" t="str">
        <f>IFERROR(__xludf.DUMMYFUNCTION("GOOGLETRANSLATE(A5068, ""en"", ""mt"")"),"Monatomic")</f>
        <v>Monatomic</v>
      </c>
    </row>
    <row r="5069" ht="15.75" customHeight="1">
      <c r="A5069" s="2" t="s">
        <v>5069</v>
      </c>
      <c r="B5069" s="2" t="str">
        <f>IFERROR(__xludf.DUMMYFUNCTION("GOOGLETRANSLATE(A5069, ""en"", ""mt"")"),"Liema reġjuni jagħmlu l-parti tal-Grigal tal-bord tal-pajjiż?")</f>
        <v>Liema reġjuni jagħmlu l-parti tal-Grigal tal-bord tal-pajjiż?</v>
      </c>
    </row>
    <row r="5070" ht="15.75" customHeight="1">
      <c r="A5070" s="2" t="s">
        <v>5070</v>
      </c>
      <c r="B5070" s="2" t="str">
        <f>IFERROR(__xludf.DUMMYFUNCTION("GOOGLETRANSLATE(A5070, ""en"", ""mt"")"),"M’għandniex xi ngħidu, xi klassijiet ta ’kumplessità għandhom definizzjonijiet ikkumplikati li ma jidħlux f’dan il-qafas. Għalhekk, klassi ta 'kumplessità tipika għandha definizzjoni bħal din li ġejja:")</f>
        <v>M’għandniex xi ngħidu, xi klassijiet ta ’kumplessità għandhom definizzjonijiet ikkumplikati li ma jidħlux f’dan il-qafas. Għalhekk, klassi ta 'kumplessità tipika għandha definizzjoni bħal din li ġejja:</v>
      </c>
    </row>
    <row r="5071" ht="15.75" customHeight="1">
      <c r="A5071" s="2" t="s">
        <v>5071</v>
      </c>
      <c r="B5071" s="2" t="str">
        <f>IFERROR(__xludf.DUMMYFUNCTION("GOOGLETRANSLATE(A5071, ""en"", ""mt"")"),"Matul il-Watersheds ta 'San Lawrenz u Mississippi")</f>
        <v>Matul il-Watersheds ta 'San Lawrenz u Mississippi</v>
      </c>
    </row>
    <row r="5072" ht="15.75" customHeight="1">
      <c r="A5072" s="2" t="s">
        <v>5072</v>
      </c>
      <c r="B5072" s="2" t="str">
        <f>IFERROR(__xludf.DUMMYFUNCTION("GOOGLETRANSLATE(A5072, ""en"", ""mt"")"),"Għal xiex tfisser UMC?")</f>
        <v>Għal xiex tfisser UMC?</v>
      </c>
    </row>
    <row r="5073" ht="15.75" customHeight="1">
      <c r="A5073" s="2" t="s">
        <v>5073</v>
      </c>
      <c r="B5073" s="2" t="str">
        <f>IFERROR(__xludf.DUMMYFUNCTION("GOOGLETRANSLATE(A5073, ""en"", ""mt"")"),"Liema post kellu l-istil arkitettoniku Għarbi Norman?")</f>
        <v>Liema post kellu l-istil arkitettoniku Għarbi Norman?</v>
      </c>
    </row>
    <row r="5074" ht="15.75" customHeight="1">
      <c r="A5074" s="2" t="s">
        <v>5074</v>
      </c>
      <c r="B5074" s="2" t="str">
        <f>IFERROR(__xludf.DUMMYFUNCTION("GOOGLETRANSLATE(A5074, ""en"", ""mt"")"),"Min kienu tnejn mill-fundaturi tal-Knisja Metodista Magħquda?")</f>
        <v>Min kienu tnejn mill-fundaturi tal-Knisja Metodista Magħquda?</v>
      </c>
    </row>
    <row r="5075" ht="15.75" customHeight="1">
      <c r="A5075" s="2" t="s">
        <v>5075</v>
      </c>
      <c r="B5075" s="2" t="str">
        <f>IFERROR(__xludf.DUMMYFUNCTION("GOOGLETRANSLATE(A5075, ""en"", ""mt"")"),"repulsjoni ta 'ħlasijiet simili")</f>
        <v>repulsjoni ta 'ħlasijiet simili</v>
      </c>
    </row>
    <row r="5076" ht="15.75" customHeight="1">
      <c r="A5076" s="2" t="s">
        <v>5076</v>
      </c>
      <c r="B5076" s="2" t="str">
        <f>IFERROR(__xludf.DUMMYFUNCTION("GOOGLETRANSLATE(A5076, ""en"", ""mt"")"),"bejn AD 0–1250")</f>
        <v>bejn AD 0–1250</v>
      </c>
    </row>
    <row r="5077" ht="15.75" customHeight="1">
      <c r="A5077" s="2" t="s">
        <v>5077</v>
      </c>
      <c r="B5077" s="2" t="str">
        <f>IFERROR(__xludf.DUMMYFUNCTION("GOOGLETRANSLATE(A5077, ""en"", ""mt"")"),"Min afferma d-dritt tar-Russja għal ""awtodeterminazzjoni?""")</f>
        <v>Min afferma d-dritt tar-Russja għal "awtodeterminazzjoni?"</v>
      </c>
    </row>
    <row r="5078" ht="15.75" customHeight="1">
      <c r="A5078" s="2" t="s">
        <v>5078</v>
      </c>
      <c r="B5078" s="2" t="str">
        <f>IFERROR(__xludf.DUMMYFUNCTION("GOOGLETRANSLATE(A5078, ""en"", ""mt"")"),"Ed Asner")</f>
        <v>Ed Asner</v>
      </c>
    </row>
    <row r="5079" ht="15.75" customHeight="1">
      <c r="A5079" s="2" t="s">
        <v>5079</v>
      </c>
      <c r="B5079" s="2" t="str">
        <f>IFERROR(__xludf.DUMMYFUNCTION("GOOGLETRANSLATE(A5079, ""en"", ""mt"")"),"F'liema grad il-GPS per capita jistabbilixxi Victoria?")</f>
        <v>F'liema grad il-GPS per capita jistabbilixxi Victoria?</v>
      </c>
    </row>
    <row r="5080" ht="15.75" customHeight="1">
      <c r="A5080" s="2" t="s">
        <v>5080</v>
      </c>
      <c r="B5080" s="2" t="str">
        <f>IFERROR(__xludf.DUMMYFUNCTION("GOOGLETRANSLATE(A5080, ""en"", ""mt"")"),"Għal xiex inhi l-Istati Uniti minħabba r-riċessjoni tal-2008?")</f>
        <v>Għal xiex inhi l-Istati Uniti minħabba r-riċessjoni tal-2008?</v>
      </c>
    </row>
    <row r="5081" ht="15.75" customHeight="1">
      <c r="A5081" s="2" t="s">
        <v>5081</v>
      </c>
      <c r="B5081" s="2" t="str">
        <f>IFERROR(__xludf.DUMMYFUNCTION("GOOGLETRANSLATE(A5081, ""en"", ""mt"")"),"Unidirezzjonali")</f>
        <v>Unidirezzjonali</v>
      </c>
    </row>
    <row r="5082" ht="15.75" customHeight="1">
      <c r="A5082" s="2" t="s">
        <v>5082</v>
      </c>
      <c r="B5082" s="2" t="str">
        <f>IFERROR(__xludf.DUMMYFUNCTION("GOOGLETRANSLATE(A5082, ""en"", ""mt"")"),"Ir-Renju Unit, l-Awstralja, il-Kanada u l-Istati Uniti")</f>
        <v>Ir-Renju Unit, l-Awstralja, il-Kanada u l-Istati Uniti</v>
      </c>
    </row>
    <row r="5083" ht="15.75" customHeight="1">
      <c r="A5083" s="2" t="s">
        <v>5083</v>
      </c>
      <c r="B5083" s="2" t="str">
        <f>IFERROR(__xludf.DUMMYFUNCTION("GOOGLETRANSLATE(A5083, ""en"", ""mt"")"),"F'liema episodju l-ewwel tabib jara lilu nnifsu?")</f>
        <v>F'liema episodju l-ewwel tabib jara lilu nnifsu?</v>
      </c>
    </row>
    <row r="5084" ht="15.75" customHeight="1">
      <c r="A5084" s="2" t="s">
        <v>5084</v>
      </c>
      <c r="B5084" s="2" t="str">
        <f>IFERROR(__xludf.DUMMYFUNCTION("GOOGLETRANSLATE(A5084, ""en"", ""mt"")"),"136,000 kilometru kwadru")</f>
        <v>136,000 kilometru kwadru</v>
      </c>
    </row>
    <row r="5085" ht="15.75" customHeight="1">
      <c r="A5085" s="2" t="s">
        <v>5085</v>
      </c>
      <c r="B5085" s="2" t="str">
        <f>IFERROR(__xludf.DUMMYFUNCTION("GOOGLETRANSLATE(A5085, ""en"", ""mt"")"),"Ergäzungsschulen")</f>
        <v>Ergäzungsschulen</v>
      </c>
    </row>
    <row r="5086" ht="15.75" customHeight="1">
      <c r="A5086" s="2" t="s">
        <v>5086</v>
      </c>
      <c r="B5086" s="2" t="str">
        <f>IFERROR(__xludf.DUMMYFUNCTION("GOOGLETRANSLATE(A5086, ""en"", ""mt"")"),"L-ITV Tyne Tees kien ibbażat fi City Road għal aktar minn 40 sena wara t-tnedija tagħha f'Jannar 1959. Fl-2005 marret f'faċilità ġdida fuq il-Park tan-Negozju tal-Watermark ħdejn il-Metrocentre f'Gateshead. Id-daħla għal Studio 5 fil-Kumpless tat-Triq tal"&amp;"-Belt tat isimha għall-programm tat-televiżjoni tal-mużika tas-snin 1980, The Tube. Il-BBC North East u Cumbria tinsab fit-tramuntana tal-belt fi Triq Barrack, Lingwi Spital, f'bini magħruf, bħala r-riżultat tal-kulur tagħha, bħala l-Palazz Pink. Huwa min"&amp;"n hawn li l-korporazzjoni xandar il-Programm tal-Aħbarijiet Reġjonali tat-Televiżjoni North u l-istazzjon lokali tar-radju BBC Radio Newcastle.")</f>
        <v>L-ITV Tyne Tees kien ibbażat fi City Road għal aktar minn 40 sena wara t-tnedija tagħha f'Jannar 1959. Fl-2005 marret f'faċilità ġdida fuq il-Park tan-Negozju tal-Watermark ħdejn il-Metrocentre f'Gateshead. Id-daħla għal Studio 5 fil-Kumpless tat-Triq tal-Belt tat isimha għall-programm tat-televiżjoni tal-mużika tas-snin 1980, The Tube. Il-BBC North East u Cumbria tinsab fit-tramuntana tal-belt fi Triq Barrack, Lingwi Spital, f'bini magħruf, bħala r-riżultat tal-kulur tagħha, bħala l-Palazz Pink. Huwa minn hawn li l-korporazzjoni xandar il-Programm tal-Aħbarijiet Reġjonali tat-Televiżjoni North u l-istazzjon lokali tar-radju BBC Radio Newcastle.</v>
      </c>
    </row>
    <row r="5087" ht="15.75" customHeight="1">
      <c r="A5087" s="2" t="s">
        <v>5087</v>
      </c>
      <c r="B5087" s="2" t="str">
        <f>IFERROR(__xludf.DUMMYFUNCTION("GOOGLETRANSLATE(A5087, ""en"", ""mt"")"),"""Le, dak mhux tajjeb")</f>
        <v>"Le, dak mhux tajjeb</v>
      </c>
    </row>
    <row r="5088" ht="15.75" customHeight="1">
      <c r="A5088" s="2" t="s">
        <v>5088</v>
      </c>
      <c r="B5088" s="2" t="str">
        <f>IFERROR(__xludf.DUMMYFUNCTION("GOOGLETRANSLATE(A5088, ""en"", ""mt"")"),"mentalità isterika u demonizzanti")</f>
        <v>mentalità isterika u demonizzanti</v>
      </c>
    </row>
    <row r="5089" ht="15.75" customHeight="1">
      <c r="A5089" s="2" t="s">
        <v>5089</v>
      </c>
      <c r="B5089" s="2" t="str">
        <f>IFERROR(__xludf.DUMMYFUNCTION("GOOGLETRANSLATE(A5089, ""en"", ""mt"")"),"mard ta 'dekompressjoni (il- ""liwjiet"")")</f>
        <v>mard ta 'dekompressjoni (il- "liwjiet")</v>
      </c>
    </row>
    <row r="5090" ht="15.75" customHeight="1">
      <c r="A5090" s="2" t="s">
        <v>5090</v>
      </c>
      <c r="B5090" s="2" t="str">
        <f>IFERROR(__xludf.DUMMYFUNCTION("GOOGLETRANSLATE(A5090, ""en"", ""mt"")"),"Kemm partijiet għandhom il-konsiderazzjoni ta 'kont fl-istadju 3?")</f>
        <v>Kemm partijiet għandhom il-konsiderazzjoni ta 'kont fl-istadju 3?</v>
      </c>
    </row>
    <row r="5091" ht="15.75" customHeight="1">
      <c r="A5091" s="2" t="s">
        <v>5091</v>
      </c>
      <c r="B5091" s="2" t="str">
        <f>IFERROR(__xludf.DUMMYFUNCTION("GOOGLETRANSLATE(A5091, ""en"", ""mt"")"),"Liema dinastija Genghis Khan ippjanaw li jattakkaw wara li rbaħ il-Punent Xia?")</f>
        <v>Liema dinastija Genghis Khan ippjanaw li jattakkaw wara li rbaħ il-Punent Xia?</v>
      </c>
    </row>
    <row r="5092" ht="15.75" customHeight="1">
      <c r="A5092" s="2" t="s">
        <v>5092</v>
      </c>
      <c r="B5092" s="2" t="str">
        <f>IFERROR(__xludf.DUMMYFUNCTION("GOOGLETRANSLATE(A5092, ""en"", ""mt"")"),"relatat mal-karbonju")</f>
        <v>relatat mal-karbonju</v>
      </c>
    </row>
    <row r="5093" ht="15.75" customHeight="1">
      <c r="A5093" s="2" t="s">
        <v>5093</v>
      </c>
      <c r="B5093" s="2" t="str">
        <f>IFERROR(__xludf.DUMMYFUNCTION("GOOGLETRANSLATE(A5093, ""en"", ""mt"")"),"Il-Knisja Metodista Magħquda fl-Afrika.")</f>
        <v>Il-Knisja Metodista Magħquda fl-Afrika.</v>
      </c>
    </row>
    <row r="5094" ht="15.75" customHeight="1">
      <c r="A5094" s="2" t="s">
        <v>5094</v>
      </c>
      <c r="B5094" s="2" t="str">
        <f>IFERROR(__xludf.DUMMYFUNCTION("GOOGLETRANSLATE(A5094, ""en"", ""mt"")"),"Serje mill-2009 'il quddiem")</f>
        <v>Serje mill-2009 'il quddiem</v>
      </c>
    </row>
    <row r="5095" ht="15.75" customHeight="1">
      <c r="A5095" s="2" t="s">
        <v>5095</v>
      </c>
      <c r="B5095" s="2" t="str">
        <f>IFERROR(__xludf.DUMMYFUNCTION("GOOGLETRANSLATE(A5095, ""en"", ""mt"")"),"Minn nofs is-snin 2000, l-università bdiet numru ta 'proġetti ta' espansjoni ta 'diversi miljun dollaru. Fl-2008, l-Università ta 'Chicago ħabbret pjanijiet biex tistabbilixxi l-Istitut Milton Friedman li ġibed kemm appoġġ kif ukoll kontroversja minn memb"&amp;"ri tal-fakultà u studenti. L-istitut se jiswa madwar $ 200 miljun u jokkupa l-bini tas-Seminarju Teoloġiku ta 'Chicago. Matul l-istess sena, l-investitur David G. Booth ta donazzjoni ta '$ 300 miljun lill-Iskola tan-Negozju tal-Università, li huwa l-akbar"&amp;" rigal fl-istorja tal-università u l-akbar rigal li qatt kien għal kwalunkwe skola tan-negozju. Fl-2009, l-ippjanar jew il-kostruzzjoni fuq bosta bini ġdid, li nofshom jiswew $ 100 miljun jew aktar, kien għaddej. Mill-2011, proġetti ta 'kostruzzjoni ewlen"&amp;"in inkludew iċ-Ċentru Jules u Gwen Knapp għall-iskoperta bijomedika, ċentru ta' riċerka medika ta 'għaxar sulari, u żidiet oħra fil-kampus mediku tal-Università ta' Chicago Medical Centre. Fl-2014 l-università nediet il-fażi pubblika ta 'kampanja ta' ġbir"&amp;" ta 'fondi ta' $ 4.5 biljun. F’Settembru 2015, l-università rċeviet $ 100 miljun mill-Fondazzjoni tal-Familja Pearson biex tistabbilixxi l-Istitut Pearson għall-Istudju u r-Riżoluzzjoni tal-Kunflitti Globali u l-Forum Globali Pearson fl-Iskola Harris tal-"&amp;"Istudji tal-Politika Pubblika.")</f>
        <v>Minn nofs is-snin 2000, l-università bdiet numru ta 'proġetti ta' espansjoni ta 'diversi miljun dollaru. Fl-2008, l-Università ta 'Chicago ħabbret pjanijiet biex tistabbilixxi l-Istitut Milton Friedman li ġibed kemm appoġġ kif ukoll kontroversja minn membri tal-fakultà u studenti. L-istitut se jiswa madwar $ 200 miljun u jokkupa l-bini tas-Seminarju Teoloġiku ta 'Chicago. Matul l-istess sena, l-investitur David G. Booth ta donazzjoni ta '$ 300 miljun lill-Iskola tan-Negozju tal-Università, li huwa l-akbar rigal fl-istorja tal-università u l-akbar rigal li qatt kien għal kwalunkwe skola tan-negozju. Fl-2009, l-ippjanar jew il-kostruzzjoni fuq bosta bini ġdid, li nofshom jiswew $ 100 miljun jew aktar, kien għaddej. Mill-2011, proġetti ta 'kostruzzjoni ewlenin inkludew iċ-Ċentru Jules u Gwen Knapp għall-iskoperta bijomedika, ċentru ta' riċerka medika ta 'għaxar sulari, u żidiet oħra fil-kampus mediku tal-Università ta' Chicago Medical Centre. Fl-2014 l-università nediet il-fażi pubblika ta 'kampanja ta' ġbir ta 'fondi ta' $ 4.5 biljun. F’Settembru 2015, l-università rċeviet $ 100 miljun mill-Fondazzjoni tal-Familja Pearson biex tistabbilixxi l-Istitut Pearson għall-Istudju u r-Riżoluzzjoni tal-Kunflitti Globali u l-Forum Globali Pearson fl-Iskola Harris tal-Istudji tal-Politika Pubblika.</v>
      </c>
    </row>
    <row r="5096" ht="15.75" customHeight="1">
      <c r="A5096" s="2" t="s">
        <v>5096</v>
      </c>
      <c r="B5096" s="2" t="str">
        <f>IFERROR(__xludf.DUMMYFUNCTION("GOOGLETRANSLATE(A5096, ""en"", ""mt"")"),"L-imperjalizmu u l-kolonjaliżmu t-tnejn jaffermaw dominanza ta 'stati fuq xiex?")</f>
        <v>L-imperjalizmu u l-kolonjaliżmu t-tnejn jaffermaw dominanza ta 'stati fuq xiex?</v>
      </c>
    </row>
    <row r="5097" ht="15.75" customHeight="1">
      <c r="A5097" s="2" t="s">
        <v>5097</v>
      </c>
      <c r="B5097" s="2" t="str">
        <f>IFERROR(__xludf.DUMMYFUNCTION("GOOGLETRANSLATE(A5097, ""en"", ""mt"")"),"it-talb komuni tal-mewt")</f>
        <v>it-talb komuni tal-mewt</v>
      </c>
    </row>
    <row r="5098" ht="15.75" customHeight="1">
      <c r="A5098" s="2" t="s">
        <v>5098</v>
      </c>
      <c r="B5098" s="2" t="str">
        <f>IFERROR(__xludf.DUMMYFUNCTION("GOOGLETRANSLATE(A5098, ""en"", ""mt"")"),"ir-re Korean")</f>
        <v>ir-re Korean</v>
      </c>
    </row>
    <row r="5099" ht="15.75" customHeight="1">
      <c r="A5099" s="2" t="s">
        <v>5099</v>
      </c>
      <c r="B5099" s="2" t="str">
        <f>IFERROR(__xludf.DUMMYFUNCTION("GOOGLETRANSLATE(A5099, ""en"", ""mt"")"),"Billi jegħlbu ġisimhom kif ukoll mis-swat tal-moxt tal-moxt tagħhom.")</f>
        <v>Billi jegħlbu ġisimhom kif ukoll mis-swat tal-moxt tal-moxt tagħhom.</v>
      </c>
    </row>
    <row r="5100" ht="15.75" customHeight="1">
      <c r="A5100" s="2" t="s">
        <v>5100</v>
      </c>
      <c r="B5100" s="2" t="str">
        <f>IFERROR(__xludf.DUMMYFUNCTION("GOOGLETRANSLATE(A5100, ""en"", ""mt"")"),"Kemm ħallas Westinghouse lil Tesla, Brown u Peck?")</f>
        <v>Kemm ħallas Westinghouse lil Tesla, Brown u Peck?</v>
      </c>
    </row>
    <row r="5101" ht="15.75" customHeight="1">
      <c r="A5101" s="2" t="s">
        <v>5101</v>
      </c>
      <c r="B5101" s="2" t="str">
        <f>IFERROR(__xludf.DUMMYFUNCTION("GOOGLETRANSLATE(A5101, ""en"", ""mt"")"),"Fejn ipprattikaw il-Panthers għas-Super Bowl?")</f>
        <v>Fejn ipprattikaw il-Panthers għas-Super Bowl?</v>
      </c>
    </row>
    <row r="5102" ht="15.75" customHeight="1">
      <c r="A5102" s="2" t="s">
        <v>5102</v>
      </c>
      <c r="B5102" s="2" t="str">
        <f>IFERROR(__xludf.DUMMYFUNCTION("GOOGLETRANSLATE(A5102, ""en"", ""mt"")"),"Għalkemm nieqes minn konnessjonijiet storiċi mal-Lvant Nofsani, il-Ġappun kien il-pajjiż l-iktar dipendenti fuq iż-żejt Għarbi. 71% taż-żejt importat tiegħu ġie mill-Lvant Nofsani fl-1970. Fis-7 ta 'Novembru, 1973, il-gvernijiet Sawdi u l-Kuwajt iddikjara"&amp;"w lill-Ġappun pajjiż ""mhux faċli"" biex iħeġġeġha tbiddel il-politika ta' nuqqas ta 'involviment tagħha. Irċieva tnaqqis fil-produzzjoni ta '5% f'Diċembru, u kkawża paniku. Fit-22 ta 'Novembru, il-Ġappun ħareġ dikjarazzjoni ""billi afferma li l-Iżrael għ"&amp;"andu jirtira mit-territorji kollha tal-1967, favur l-awtodeterminazzjoni Palestinjana, u thedded li jerġa' jikkunsidra l-politika tiegħu lejn l-Iżrael jekk l-Iżrael irrifjuta li jaċċetta dawn il-prekundizzjonijiet"". Sal-25 ta 'Diċembru, il-Ġappun kien me"&amp;"qjus bħala stat li jirrispetta l-Għarbi.")</f>
        <v>Għalkemm nieqes minn konnessjonijiet storiċi mal-Lvant Nofsani, il-Ġappun kien il-pajjiż l-iktar dipendenti fuq iż-żejt Għarbi. 71% taż-żejt importat tiegħu ġie mill-Lvant Nofsani fl-1970. Fis-7 ta 'Novembru, 1973, il-gvernijiet Sawdi u l-Kuwajt iddikjaraw lill-Ġappun pajjiż "mhux faċli" biex iħeġġeġha tbiddel il-politika ta' nuqqas ta 'involviment tagħha. Irċieva tnaqqis fil-produzzjoni ta '5% f'Diċembru, u kkawża paniku. Fit-22 ta 'Novembru, il-Ġappun ħareġ dikjarazzjoni "billi afferma li l-Iżrael għandu jirtira mit-territorji kollha tal-1967, favur l-awtodeterminazzjoni Palestinjana, u thedded li jerġa' jikkunsidra l-politika tiegħu lejn l-Iżrael jekk l-Iżrael irrifjuta li jaċċetta dawn il-prekundizzjonijiet". Sal-25 ta 'Diċembru, il-Ġappun kien meqjus bħala stat li jirrispetta l-Għarbi.</v>
      </c>
    </row>
    <row r="5103" ht="15.75" customHeight="1">
      <c r="A5103" s="2" t="s">
        <v>5103</v>
      </c>
      <c r="B5103" s="2" t="str">
        <f>IFERROR(__xludf.DUMMYFUNCTION("GOOGLETRANSLATE(A5103, ""en"", ""mt"")"),"Rappreżentanti eletti għal kull Kamra tal-Parlament")</f>
        <v>Rappreżentanti eletti għal kull Kamra tal-Parlament</v>
      </c>
    </row>
    <row r="5104" ht="15.75" customHeight="1">
      <c r="A5104" s="2" t="s">
        <v>5104</v>
      </c>
      <c r="B5104" s="2" t="str">
        <f>IFERROR(__xludf.DUMMYFUNCTION("GOOGLETRANSLATE(A5104, ""en"", ""mt"")"),"ir-razza finanzjarja tax-xiri tal-privattivi u tal-kiri tal-inġiniera meħtieġa biex jibnu")</f>
        <v>ir-razza finanzjarja tax-xiri tal-privattivi u tal-kiri tal-inġiniera meħtieġa biex jibnu</v>
      </c>
    </row>
    <row r="5105" ht="15.75" customHeight="1">
      <c r="A5105" s="2" t="s">
        <v>5105</v>
      </c>
      <c r="B5105" s="2" t="str">
        <f>IFERROR(__xludf.DUMMYFUNCTION("GOOGLETRANSLATE(A5105, ""en"", ""mt"")"),"Il-mausoleum ta 'Genghis Khan")</f>
        <v>Il-mausoleum ta 'Genghis Khan</v>
      </c>
    </row>
    <row r="5106" ht="15.75" customHeight="1">
      <c r="A5106" s="2" t="s">
        <v>5106</v>
      </c>
      <c r="B5106" s="2" t="str">
        <f>IFERROR(__xludf.DUMMYFUNCTION("GOOGLETRANSLATE(A5106, ""en"", ""mt"")"),"Kif qed jaqleb il-pakketti charecterized")</f>
        <v>Kif qed jaqleb il-pakketti charecterized</v>
      </c>
    </row>
    <row r="5107" ht="15.75" customHeight="1">
      <c r="A5107" s="2" t="s">
        <v>5107</v>
      </c>
      <c r="B5107" s="2" t="str">
        <f>IFERROR(__xludf.DUMMYFUNCTION("GOOGLETRANSLATE(A5107, ""en"", ""mt"")"),"L-ewwel seklu AD għall-preżent")</f>
        <v>L-ewwel seklu AD għall-preżent</v>
      </c>
    </row>
    <row r="5108" ht="15.75" customHeight="1">
      <c r="A5108" s="2" t="s">
        <v>5108</v>
      </c>
      <c r="B5108" s="2" t="str">
        <f>IFERROR(__xludf.DUMMYFUNCTION("GOOGLETRANSLATE(A5108, ""en"", ""mt"")"),"Ix-Xmara San Ġwann")</f>
        <v>Ix-Xmara San Ġwann</v>
      </c>
    </row>
    <row r="5109" ht="15.75" customHeight="1">
      <c r="A5109" s="2" t="s">
        <v>5109</v>
      </c>
      <c r="B5109" s="2" t="str">
        <f>IFERROR(__xludf.DUMMYFUNCTION("GOOGLETRANSLATE(A5109, ""en"", ""mt"")"),"diskors li jħawwad")</f>
        <v>diskors li jħawwad</v>
      </c>
    </row>
    <row r="5110" ht="15.75" customHeight="1">
      <c r="A5110" s="2" t="s">
        <v>5110</v>
      </c>
      <c r="B5110" s="2" t="str">
        <f>IFERROR(__xludf.DUMMYFUNCTION("GOOGLETRANSLATE(A5110, ""en"", ""mt"")"),"X'kienet Tesla fi triqtu biex tagħmel meta ġie milqut mill-kabina?")</f>
        <v>X'kienet Tesla fi triqtu biex tagħmel meta ġie milqut mill-kabina?</v>
      </c>
    </row>
    <row r="5111" ht="15.75" customHeight="1">
      <c r="A5111" s="2" t="s">
        <v>5111</v>
      </c>
      <c r="B5111" s="2" t="str">
        <f>IFERROR(__xludf.DUMMYFUNCTION("GOOGLETRANSLATE(A5111, ""en"", ""mt"")"),"B'differenza mill-konferma u l-professjoni tal-fidi, il-magħmudija hija sagrament fl-UMC. Il-Ktieb tad-Dixxiplina tal-Knisja Metodista Magħquda jidderieġi l-knisja lokali biex toffri preparazzjoni ta ’sħubija jew klassijiet ta’ konferma lin-nies kollha, i"&amp;"nklużi l-adulti. It-terminu konferma ġeneralment huwa riservat għaż-żgħażagħ, filwaqt li xi varjazzjoni fuq il-klassi tas-sħubija hija ġeneralment użata għall-adulti li jixtiequ jingħaqdu mal-knisja. Il-Ktieb tad-Dixxiplina normalment jippermetti lil xi ż"&amp;"għażagħ tal-inqas li jtemmu s-sitt grad biex jipparteċipaw, għalkemm ir-ragħaj għandu awtorità diskrezzjonarja biex jippermetti li persuna żagħżugħa tipparteċipa. Fil-klassijiet ta ’konferma u preparazzjoni tas-sħubija, l-istudenti jitgħallmu dwar il-knis"&amp;"ja u t-tradizzjoni teoloġika Metodista-Kristjana sabiex jistqarru l-fidi aħħarija tagħhom fi Kristu.")</f>
        <v>B'differenza mill-konferma u l-professjoni tal-fidi, il-magħmudija hija sagrament fl-UMC. Il-Ktieb tad-Dixxiplina tal-Knisja Metodista Magħquda jidderieġi l-knisja lokali biex toffri preparazzjoni ta ’sħubija jew klassijiet ta’ konferma lin-nies kollha, inklużi l-adulti. It-terminu konferma ġeneralment huwa riservat għaż-żgħażagħ, filwaqt li xi varjazzjoni fuq il-klassi tas-sħubija hija ġeneralment użata għall-adulti li jixtiequ jingħaqdu mal-knisja. Il-Ktieb tad-Dixxiplina normalment jippermetti lil xi żgħażagħ tal-inqas li jtemmu s-sitt grad biex jipparteċipaw, għalkemm ir-ragħaj għandu awtorità diskrezzjonarja biex jippermetti li persuna żagħżugħa tipparteċipa. Fil-klassijiet ta ’konferma u preparazzjoni tas-sħubija, l-istudenti jitgħallmu dwar il-knisja u t-tradizzjoni teoloġika Metodista-Kristjana sabiex jistqarru l-fidi aħħarija tagħhom fi Kristu.</v>
      </c>
    </row>
    <row r="5112" ht="15.75" customHeight="1">
      <c r="A5112" s="2" t="s">
        <v>5112</v>
      </c>
      <c r="B5112" s="2" t="str">
        <f>IFERROR(__xludf.DUMMYFUNCTION("GOOGLETRANSLATE(A5112, ""en"", ""mt"")"),"Is-Soċjetà Letterarja u Filosofika ta ’Newcastle")</f>
        <v>Is-Soċjetà Letterarja u Filosofika ta ’Newcastle</v>
      </c>
    </row>
    <row r="5113" ht="15.75" customHeight="1">
      <c r="A5113" s="2" t="s">
        <v>5113</v>
      </c>
      <c r="B5113" s="2" t="str">
        <f>IFERROR(__xludf.DUMMYFUNCTION("GOOGLETRANSLATE(A5113, ""en"", ""mt"")"),"Sussidju tettoniku")</f>
        <v>Sussidju tettoniku</v>
      </c>
    </row>
    <row r="5114" ht="15.75" customHeight="1">
      <c r="A5114" s="2" t="s">
        <v>5114</v>
      </c>
      <c r="B5114" s="2" t="str">
        <f>IFERROR(__xludf.DUMMYFUNCTION("GOOGLETRANSLATE(A5114, ""en"", ""mt"")"),"Liema post ta 'Kalifornja kien wieħed minn tlieta meqjus għal Super Bowl 50?")</f>
        <v>Liema post ta 'Kalifornja kien wieħed minn tlieta meqjus għal Super Bowl 50?</v>
      </c>
    </row>
    <row r="5115" ht="15.75" customHeight="1">
      <c r="A5115" s="2" t="s">
        <v>5115</v>
      </c>
      <c r="B5115" s="2" t="str">
        <f>IFERROR(__xludf.DUMMYFUNCTION("GOOGLETRANSLATE(A5115, ""en"", ""mt"")"),"Loyalkaspar")</f>
        <v>Loyalkaspar</v>
      </c>
    </row>
    <row r="5116" ht="15.75" customHeight="1">
      <c r="A5116" s="2" t="s">
        <v>5116</v>
      </c>
      <c r="B5116" s="2" t="str">
        <f>IFERROR(__xludf.DUMMYFUNCTION("GOOGLETRANSLATE(A5116, ""en"", ""mt"")"),"It-tagħlim jista 'jitwettaq b'mod informali, fi ħdan il-familja, li tissejjaħ homeschooling, jew fil-komunità usa'. It-tagħlim formali jista 'jitwettaq minn professjonisti mħallsa. Professjonisti bħal dawn igawdu status f'xi soċjetajiet bl-istess mod ma '"&amp;"tobba, avukati, inġiniera, u accountants (chartered jew CPA).")</f>
        <v>It-tagħlim jista 'jitwettaq b'mod informali, fi ħdan il-familja, li tissejjaħ homeschooling, jew fil-komunità usa'. It-tagħlim formali jista 'jitwettaq minn professjonisti mħallsa. Professjonisti bħal dawn igawdu status f'xi soċjetajiet bl-istess mod ma 'tobba, avukati, inġiniera, u accountants (chartered jew CPA).</v>
      </c>
    </row>
    <row r="5117" ht="15.75" customHeight="1">
      <c r="A5117" s="2" t="s">
        <v>5117</v>
      </c>
      <c r="B5117" s="2" t="str">
        <f>IFERROR(__xludf.DUMMYFUNCTION("GOOGLETRANSLATE(A5117, ""en"", ""mt"")"),"Ġerarkija xierqa fuq il-klassijiet definiti")</f>
        <v>Ġerarkija xierqa fuq il-klassijiet definiti</v>
      </c>
    </row>
    <row r="5118" ht="15.75" customHeight="1">
      <c r="A5118" s="2" t="s">
        <v>5118</v>
      </c>
      <c r="B5118" s="2" t="str">
        <f>IFERROR(__xludf.DUMMYFUNCTION("GOOGLETRANSLATE(A5118, ""en"", ""mt"")"),"Liema grupp ta 'nies ma jistgħux ikunu parti minn diżubbidjenza ċivili?")</f>
        <v>Liema grupp ta 'nies ma jistgħux ikunu parti minn diżubbidjenza ċivili?</v>
      </c>
    </row>
    <row r="5119" ht="15.75" customHeight="1">
      <c r="A5119" s="2" t="s">
        <v>5119</v>
      </c>
      <c r="B5119" s="2" t="str">
        <f>IFERROR(__xludf.DUMMYFUNCTION("GOOGLETRANSLATE(A5119, ""en"", ""mt"")"),"Snin qabel mewtu, Genghis Khan talab biex jiġi midfun mingħajr marki, skond id-drawwiet tat-tribù tiegħu. Wara li miet, ġismu ġie rritornat lejn il-Mongolja u preżumibbilment lejn il-post fejn twieled fil-khentii amag, fejn ħafna jassumu li jinsab x'imkie"&amp;"n viċin ix-xmara onon u l-muntanja Burkhan Khaldun (parti mill-firxa tal-muntanji Kentii). Skond il-leġġenda, l-iskorta tal-funeral qatlet lil xi ħadd u kull ħaġa fit-triq tagħhom biex taħbi fejn finalment kien midfun. Il-mausoleum ta 'Genghis Khan, mibni"&amp;" ħafna snin wara mewtu, huwa t-tifkira tiegħu, iżda mhux is-sit tad-dfin tiegħu.")</f>
        <v>Snin qabel mewtu, Genghis Khan talab biex jiġi midfun mingħajr marki, skond id-drawwiet tat-tribù tiegħu. Wara li miet, ġismu ġie rritornat lejn il-Mongolja u preżumibbilment lejn il-post fejn twieled fil-khentii amag, fejn ħafna jassumu li jinsab x'imkien viċin ix-xmara onon u l-muntanja Burkhan Khaldun (parti mill-firxa tal-muntanji Kentii). Skond il-leġġenda, l-iskorta tal-funeral qatlet lil xi ħadd u kull ħaġa fit-triq tagħhom biex taħbi fejn finalment kien midfun. Il-mausoleum ta 'Genghis Khan, mibni ħafna snin wara mewtu, huwa t-tifkira tiegħu, iżda mhux is-sit tad-dfin tiegħu.</v>
      </c>
    </row>
    <row r="5120" ht="15.75" customHeight="1">
      <c r="A5120" s="2" t="s">
        <v>5120</v>
      </c>
      <c r="B5120" s="2" t="str">
        <f>IFERROR(__xludf.DUMMYFUNCTION("GOOGLETRANSLATE(A5120, ""en"", ""mt"")"),"Kif ġie ppruvat dan id-dibattitu?")</f>
        <v>Kif ġie ppruvat dan id-dibattitu?</v>
      </c>
    </row>
    <row r="5121" ht="15.75" customHeight="1">
      <c r="A5121" s="2" t="s">
        <v>5121</v>
      </c>
      <c r="B5121" s="2" t="str">
        <f>IFERROR(__xludf.DUMMYFUNCTION("GOOGLETRANSLATE(A5121, ""en"", ""mt"")"),"nervituri aktar milli minn disturbi fl-ilma maħluqa miċ-ċili")</f>
        <v>nervituri aktar milli minn disturbi fl-ilma maħluqa miċ-ċili</v>
      </c>
    </row>
    <row r="5122" ht="15.75" customHeight="1">
      <c r="A5122" s="2" t="s">
        <v>5122</v>
      </c>
      <c r="B5122" s="2" t="str">
        <f>IFERROR(__xludf.DUMMYFUNCTION("GOOGLETRANSLATE(A5122, ""en"", ""mt"")"),"Superjorità teknoloġika")</f>
        <v>Superjorità teknoloġika</v>
      </c>
    </row>
    <row r="5123" ht="15.75" customHeight="1">
      <c r="A5123" s="2" t="s">
        <v>5123</v>
      </c>
      <c r="B5123" s="2" t="str">
        <f>IFERROR(__xludf.DUMMYFUNCTION("GOOGLETRANSLATE(A5123, ""en"", ""mt"")"),"Ipproduċi kurrenti tal-ilma li jgħinu priża mikroskopika diretta lejn il-ħalq")</f>
        <v>Ipproduċi kurrenti tal-ilma li jgħinu priża mikroskopika diretta lejn il-ħalq</v>
      </c>
    </row>
    <row r="5124" ht="15.75" customHeight="1">
      <c r="A5124" s="2" t="s">
        <v>5124</v>
      </c>
      <c r="B5124" s="2" t="str">
        <f>IFERROR(__xludf.DUMMYFUNCTION("GOOGLETRANSLATE(A5124, ""en"", ""mt"")"),"Il-Liġi Kapitali Minima tad-Danimarka")</f>
        <v>Il-Liġi Kapitali Minima tad-Danimarka</v>
      </c>
    </row>
    <row r="5125" ht="15.75" customHeight="1">
      <c r="A5125" s="2" t="s">
        <v>5125</v>
      </c>
      <c r="B5125" s="2" t="str">
        <f>IFERROR(__xludf.DUMMYFUNCTION("GOOGLETRANSLATE(A5125, ""en"", ""mt"")"),"Il-kelma farmaċija hija derivata mill-kelma root tagħha pharma li kienet terminu użat mis-sekli 15-17-il sena. Madankollu, l-għeruq Griegi oriġinali minn Pharmakos jimplikaw sorċerija jew saħansitra velenu. Minbarra r-responsabbiltajiet tal-farmaċewtika, "&amp;"il-farmaċewk offra pariri mediċi ġenerali u firxa ta 'servizzi li issa huma mwettqa biss minn prattikanti speċjalizzati oħra, bħal kirurġija u qabla. Il-farmaċewtiċi (kif kien imsemmi) spiss jitħaddmu permezz ta 'ħanut bl-imnut li, minbarra ingredjenti għ"&amp;"all-mediċini, biegħ tabakk u mediċini għall-privattivi. Ħafna drabi l-post li għamel dan kien imsejjaħ apotekarju u diversi lingwi għandhom dan bħala t-terminu dominanti, għalkemm il-prattiki tagħhom huma aktar simili għal spiżerija moderna, bl-Ingliż it-"&amp;"terminu apothecary illum jitqies bħala skadut jew japrodu biss jekk ir-rimedji tal-ħxejjex kienu Offerta fil-biċċa l-kbira. Il-Pharmas użaw ukoll ħafna ħwawar oħra mhux elenkati. Il-kelma Griega Pharmakeia (Griega: φαρμακεία) toħroġ minn farmakon (φάρμακο"&amp;"ν), li tfisser ""mediċina"", ""mediċina"" (jew ""velenu""). [N 1]")</f>
        <v>Il-kelma farmaċija hija derivata mill-kelma root tagħha pharma li kienet terminu użat mis-sekli 15-17-il sena. Madankollu, l-għeruq Griegi oriġinali minn Pharmakos jimplikaw sorċerija jew saħansitra velenu. Minbarra r-responsabbiltajiet tal-farmaċewtika, il-farmaċewk offra pariri mediċi ġenerali u firxa ta 'servizzi li issa huma mwettqa biss minn prattikanti speċjalizzati oħra, bħal kirurġija u qabla. Il-farmaċewtiċi (kif kien imsemmi) spiss jitħaddmu permezz ta 'ħanut bl-imnut li, minbarra ingredjenti għall-mediċini, biegħ tabakk u mediċini għall-privattivi. Ħafna drabi l-post li għamel dan kien imsejjaħ apotekarju u diversi lingwi għandhom dan bħala t-terminu dominanti, għalkemm il-prattiki tagħhom huma aktar simili għal spiżerija moderna, bl-Ingliż it-terminu apothecary illum jitqies bħala skadut jew japrodu biss jekk ir-rimedji tal-ħxejjex kienu Offerta fil-biċċa l-kbira. Il-Pharmas użaw ukoll ħafna ħwawar oħra mhux elenkati. Il-kelma Griega Pharmakeia (Griega: φαρμακεία) toħroġ minn farmakon (φάρμακον), li tfisser "mediċina", "mediċina" (jew "velenu"). [N 1]</v>
      </c>
    </row>
    <row r="5126" ht="15.75" customHeight="1">
      <c r="A5126" s="2" t="s">
        <v>5126</v>
      </c>
      <c r="B5126" s="2" t="str">
        <f>IFERROR(__xludf.DUMMYFUNCTION("GOOGLETRANSLATE(A5126, ""en"", ""mt"")"),"Cadillac DeVille")</f>
        <v>Cadillac DeVille</v>
      </c>
    </row>
    <row r="5127" ht="15.75" customHeight="1">
      <c r="A5127" s="2" t="s">
        <v>5127</v>
      </c>
      <c r="B5127" s="2" t="str">
        <f>IFERROR(__xludf.DUMMYFUNCTION("GOOGLETRANSLATE(A5127, ""en"", ""mt"")"),"mhix unità u ma tistax tinkiteb bħala prodott ta 'żewġ elementi taċ-ċirku li mhumiex unitajiet")</f>
        <v>mhix unità u ma tistax tinkiteb bħala prodott ta 'żewġ elementi taċ-ċirku li mhumiex unitajiet</v>
      </c>
    </row>
    <row r="5128" ht="15.75" customHeight="1">
      <c r="A5128" s="2" t="s">
        <v>5128</v>
      </c>
      <c r="B5128" s="2" t="str">
        <f>IFERROR(__xludf.DUMMYFUNCTION("GOOGLETRANSLATE(A5128, ""en"", ""mt"")"),"forzi limitati")</f>
        <v>forzi limitati</v>
      </c>
    </row>
    <row r="5129" ht="15.75" customHeight="1">
      <c r="A5129" s="2" t="s">
        <v>5129</v>
      </c>
      <c r="B5129" s="2" t="str">
        <f>IFERROR(__xludf.DUMMYFUNCTION("GOOGLETRANSLATE(A5129, ""en"", ""mt"")"),"X'inhu meqjus bħala dellipine xieraq?")</f>
        <v>X'inhu meqjus bħala dellipine xieraq?</v>
      </c>
    </row>
    <row r="5130" ht="15.75" customHeight="1">
      <c r="A5130" s="2" t="s">
        <v>5130</v>
      </c>
      <c r="B5130" s="2" t="str">
        <f>IFERROR(__xludf.DUMMYFUNCTION("GOOGLETRANSLATE(A5130, ""en"", ""mt"")"),"L-infrastruttura ta 'spiss tissejjaħ xiex?")</f>
        <v>L-infrastruttura ta 'spiss tissejjaħ xiex?</v>
      </c>
    </row>
    <row r="5131" ht="15.75" customHeight="1">
      <c r="A5131" s="2" t="s">
        <v>5131</v>
      </c>
      <c r="B5131" s="2" t="str">
        <f>IFERROR(__xludf.DUMMYFUNCTION("GOOGLETRANSLATE(A5131, ""en"", ""mt"")"),"Iċ-ċentru tal-università f'Beijing jinsab ħdejn il-kampus tal-iskola?")</f>
        <v>Iċ-ċentru tal-università f'Beijing jinsab ħdejn il-kampus tal-iskola?</v>
      </c>
    </row>
    <row r="5132" ht="15.75" customHeight="1">
      <c r="A5132" s="2" t="s">
        <v>5132</v>
      </c>
      <c r="B5132" s="2" t="str">
        <f>IFERROR(__xludf.DUMMYFUNCTION("GOOGLETRANSLATE(A5132, ""en"", ""mt"")"),"Li jkollok linji ta 'utilità eżistenti mmarkati tnaqqas il-probabbiltà ta' xiex?")</f>
        <v>Li jkollok linji ta 'utilità eżistenti mmarkati tnaqqas il-probabbiltà ta' xiex?</v>
      </c>
    </row>
    <row r="5133" ht="15.75" customHeight="1">
      <c r="A5133" s="2" t="s">
        <v>5133</v>
      </c>
      <c r="B5133" s="2" t="str">
        <f>IFERROR(__xludf.DUMMYFUNCTION("GOOGLETRANSLATE(A5133, ""en"", ""mt"")"),"L-Istil Art Deco")</f>
        <v>L-Istil Art Deco</v>
      </c>
    </row>
    <row r="5134" ht="15.75" customHeight="1">
      <c r="A5134" s="2" t="s">
        <v>5134</v>
      </c>
      <c r="B5134" s="2" t="str">
        <f>IFERROR(__xludf.DUMMYFUNCTION("GOOGLETRANSLATE(A5134, ""en"", ""mt"")"),"Il-blat sedimentarju jista 'jinbidel f'liema mit-tliet tipi ta' blat?")</f>
        <v>Il-blat sedimentarju jista 'jinbidel f'liema mit-tliet tipi ta' blat?</v>
      </c>
    </row>
    <row r="5135" ht="15.75" customHeight="1">
      <c r="A5135" s="2" t="s">
        <v>5135</v>
      </c>
      <c r="B5135" s="2" t="str">
        <f>IFERROR(__xludf.DUMMYFUNCTION("GOOGLETRANSLATE(A5135, ""en"", ""mt"")"),"Mur id-dar u ibdel")</f>
        <v>Mur id-dar u ibdel</v>
      </c>
    </row>
    <row r="5136" ht="15.75" customHeight="1">
      <c r="A5136" s="2" t="s">
        <v>5136</v>
      </c>
      <c r="B5136" s="2" t="str">
        <f>IFERROR(__xludf.DUMMYFUNCTION("GOOGLETRANSLATE(A5136, ""en"", ""mt"")"),"1 ta ’Settembru 1939")</f>
        <v>1 ta ’Settembru 1939</v>
      </c>
    </row>
    <row r="5137" ht="15.75" customHeight="1">
      <c r="A5137" s="2" t="s">
        <v>5137</v>
      </c>
      <c r="B5137" s="2" t="str">
        <f>IFERROR(__xludf.DUMMYFUNCTION("GOOGLETRANSLATE(A5137, ""en"", ""mt"")"),"Eżempju ieħor ta 'riċerka xjentifika li tissuġġerixxi li stimi preċedenti mill-IPCC,' il bogħod mill-perikli u r-riskji eċċessivi, fil-fatt issottovalutawhom huwa studju dwar żidiet ipproġettati fil-livelli tal-baħar. Meta l-analiżi tar-riċerkaturi ġiet "&amp;"""applikata għax-xenarji possibbli deskritti mill-pannell intergovernattiv dwar it-tibdil fil-klima (IPCC), ir-riċerkaturi sabu li f'2100 livell tal-baħar ikun 0.5-11.4 m [50-140 cm] 'l fuq mil-livelli tal-1990. Dawn il-valuri. huma ħafna akbar mid-9-88 c"&amp;"m kif ipproġettat mill-IPCC innifsu fit-tielet rapport ta 'valutazzjoni tiegħu, ippubblikat fl-2001 "". Dan seta 'kien dovut, parzjalment, għall-fehim tal-bniedem li qed jespandi tal-klima.")</f>
        <v>Eżempju ieħor ta 'riċerka xjentifika li tissuġġerixxi li stimi preċedenti mill-IPCC,' il bogħod mill-perikli u r-riskji eċċessivi, fil-fatt issottovalutawhom huwa studju dwar żidiet ipproġettati fil-livelli tal-baħar. Meta l-analiżi tar-riċerkaturi ġiet "applikata għax-xenarji possibbli deskritti mill-pannell intergovernattiv dwar it-tibdil fil-klima (IPCC), ir-riċerkaturi sabu li f'2100 livell tal-baħar ikun 0.5-11.4 m [50-140 cm] 'l fuq mil-livelli tal-1990. Dawn il-valuri. huma ħafna akbar mid-9-88 cm kif ipproġettat mill-IPCC innifsu fit-tielet rapport ta 'valutazzjoni tiegħu, ippubblikat fl-2001 ". Dan seta 'kien dovut, parzjalment, għall-fehim tal-bniedem li qed jespandi tal-klima.</v>
      </c>
    </row>
    <row r="5138" ht="15.75" customHeight="1">
      <c r="A5138" s="2" t="s">
        <v>5138</v>
      </c>
      <c r="B5138" s="2" t="str">
        <f>IFERROR(__xludf.DUMMYFUNCTION("GOOGLETRANSLATE(A5138, ""en"", ""mt"")"),"servizzi kliniċi li l-ispiżjara jistgħu jipprovdu għall-pazjenti tagħhom")</f>
        <v>servizzi kliniċi li l-ispiżjara jistgħu jipprovdu għall-pazjenti tagħhom</v>
      </c>
    </row>
    <row r="5139" ht="15.75" customHeight="1">
      <c r="A5139" s="2" t="s">
        <v>5139</v>
      </c>
      <c r="B5139" s="2" t="str">
        <f>IFERROR(__xludf.DUMMYFUNCTION("GOOGLETRANSLATE(A5139, ""en"", ""mt"")"),"Parti wkoll mil-librerija hija l-imsemmija Librerija Selznick, il-Librerija Teatrali Cinerama Productions / Palomar u l-Katalgu ta 'Selmur Productions li n-netwerk akkwista xi snin lura, u l-produzzjonijiet interni li jkomplu jipproduċu (bħalma huma l-ikt"&amp;"ar vidjows tad-dar divertenti tal-Amerika, ġenerali, ġenerali Sptar, u ABC News Productions), għalkemm Disney-ABC Domestic Television (li qabel kienet magħrufa bħala Buena Vista Television) tieħu ħsieb id-distribuzzjoni tat-televiżjoni domestika, filwaqt "&amp;"li Disney-ABC International Television (li qabel kienet magħrufa bħala Buena Vista International Television) tieħu ħsieb id-distribuzzjoni tat-televiżjoni internazzjonali.")</f>
        <v>Parti wkoll mil-librerija hija l-imsemmija Librerija Selznick, il-Librerija Teatrali Cinerama Productions / Palomar u l-Katalgu ta 'Selmur Productions li n-netwerk akkwista xi snin lura, u l-produzzjonijiet interni li jkomplu jipproduċu (bħalma huma l-iktar vidjows tad-dar divertenti tal-Amerika, ġenerali, ġenerali Sptar, u ABC News Productions), għalkemm Disney-ABC Domestic Television (li qabel kienet magħrufa bħala Buena Vista Television) tieħu ħsieb id-distribuzzjoni tat-televiżjoni domestika, filwaqt li Disney-ABC International Television (li qabel kienet magħrufa bħala Buena Vista International Television) tieħu ħsieb id-distribuzzjoni tat-televiżjoni internazzjonali.</v>
      </c>
    </row>
    <row r="5140" ht="15.75" customHeight="1">
      <c r="A5140" s="2" t="s">
        <v>5140</v>
      </c>
      <c r="B5140" s="2" t="str">
        <f>IFERROR(__xludf.DUMMYFUNCTION("GOOGLETRANSLATE(A5140, ""en"", ""mt"")"),"Meta xxandret l-ewwel darba l-KMJ-TV?")</f>
        <v>Meta xxandret l-ewwel darba l-KMJ-TV?</v>
      </c>
    </row>
    <row r="5141" ht="15.75" customHeight="1">
      <c r="A5141" s="2" t="s">
        <v>5141</v>
      </c>
      <c r="B5141" s="2" t="str">
        <f>IFERROR(__xludf.DUMMYFUNCTION("GOOGLETRANSLATE(A5141, ""en"", ""mt"")"),"Dikjarazzjoni lill-Awla li tistabbilixxi l-programm leġiżlattiv tal-gvern għas-sena li ġejja")</f>
        <v>Dikjarazzjoni lill-Awla li tistabbilixxi l-programm leġiżlattiv tal-gvern għas-sena li ġejja</v>
      </c>
    </row>
    <row r="5142" ht="15.75" customHeight="1">
      <c r="A5142" s="2" t="s">
        <v>5142</v>
      </c>
      <c r="B5142" s="2" t="str">
        <f>IFERROR(__xludf.DUMMYFUNCTION("GOOGLETRANSLATE(A5142, ""en"", ""mt"")"),"Liema baħar ġew introdotti aċċidentalment Ctenophores?")</f>
        <v>Liema baħar ġew introdotti aċċidentalment Ctenophores?</v>
      </c>
    </row>
    <row r="5143" ht="15.75" customHeight="1">
      <c r="A5143" s="2" t="s">
        <v>5143</v>
      </c>
      <c r="B5143" s="2" t="str">
        <f>IFERROR(__xludf.DUMMYFUNCTION("GOOGLETRANSLATE(A5143, ""en"", ""mt"")"),"Luther huwa onorat")</f>
        <v>Luther huwa onorat</v>
      </c>
    </row>
    <row r="5144" ht="15.75" customHeight="1">
      <c r="A5144" s="2" t="s">
        <v>5144</v>
      </c>
      <c r="B5144" s="2" t="str">
        <f>IFERROR(__xludf.DUMMYFUNCTION("GOOGLETRANSLATE(A5144, ""en"", ""mt"")"),"Trattat dwar l-Unjoni Ewropea (TEU) u t-Trattat dwar il-Funzjonament tal-Unjoni Ewropea (TFEU)")</f>
        <v>Trattat dwar l-Unjoni Ewropea (TEU) u t-Trattat dwar il-Funzjonament tal-Unjoni Ewropea (TFEU)</v>
      </c>
    </row>
    <row r="5145" ht="15.75" customHeight="1">
      <c r="A5145" s="2" t="s">
        <v>5145</v>
      </c>
      <c r="B5145" s="2" t="str">
        <f>IFERROR(__xludf.DUMMYFUNCTION("GOOGLETRANSLATE(A5145, ""en"", ""mt"")"),"X'kien l-isem tax-xogħol biex tagħti għotjiet għall-iżvilupp taż-żgħażagħ u affarijiet oħra?")</f>
        <v>X'kien l-isem tax-xogħol biex tagħti għotjiet għall-iżvilupp taż-żgħażagħ u affarijiet oħra?</v>
      </c>
    </row>
    <row r="5146" ht="15.75" customHeight="1">
      <c r="A5146" s="2" t="s">
        <v>5146</v>
      </c>
      <c r="B5146" s="2" t="str">
        <f>IFERROR(__xludf.DUMMYFUNCTION("GOOGLETRANSLATE(A5146, ""en"", ""mt"")"),"X'tip ta 'trasmissjoni ta' enerġija Tesla wriet fil-laboratorji tiegħu?")</f>
        <v>X'tip ta 'trasmissjoni ta' enerġija Tesla wriet fil-laboratorji tiegħu?</v>
      </c>
    </row>
    <row r="5147" ht="15.75" customHeight="1">
      <c r="A5147" s="2" t="s">
        <v>5147</v>
      </c>
      <c r="B5147" s="2" t="str">
        <f>IFERROR(__xludf.DUMMYFUNCTION("GOOGLETRANSLATE(A5147, ""en"", ""mt"")"),"Xi tfisser rhodophyte?")</f>
        <v>Xi tfisser rhodophyte?</v>
      </c>
    </row>
    <row r="5148" ht="15.75" customHeight="1">
      <c r="A5148" s="2" t="s">
        <v>5148</v>
      </c>
      <c r="B5148" s="2" t="str">
        <f>IFERROR(__xludf.DUMMYFUNCTION("GOOGLETRANSLATE(A5148, ""en"", ""mt"")"),"Gwerra taż-Żewġ Kapitali")</f>
        <v>Gwerra taż-Żewġ Kapitali</v>
      </c>
    </row>
    <row r="5149" ht="15.75" customHeight="1">
      <c r="A5149" s="2" t="s">
        <v>5149</v>
      </c>
      <c r="B5149" s="2" t="str">
        <f>IFERROR(__xludf.DUMMYFUNCTION("GOOGLETRANSLATE(A5149, ""en"", ""mt"")"),"Fl-1523, Luther kiteb li Ġesù Kristu twieled Lhudi li skoraġġixxa t-trattament ħażin tal-Lhud u kien favur il-konverżjoni tagħhom billi wera li t-Testment il-Qadim jista ’jintwera li jitkellem dwar Ġesù Kristu. Madankollu, hekk kif kompliet ir-riforma, Lu"&amp;"ther beda jitlef it-tama fil-konverżjoni Lhudija fuq skala kbira għall-Kristjaneżmu. Fis-snin ta 'wara tiegħu, Luther kiber aktar ostili lejn il-Lhud, billi kiteb kontrihom bit-tip ta' velenu li kien diġà ħareġ fuq l-Anabaptisti, iż-Żwinglianism, u l-papa"&amp;"t. It-trattat tiegħu tal-1543 von den Juden und Ihren Lügen (fuq il-Lhud u l-gideb tagħhom) ħa postu fost letteratura oħra anti-Lhudija taż-żminijiet, għalkemm l-istoriċi jirrikonoxxu li dan it-trattat kien partikolarment estrem, anke skont l-istandards t"&amp;"as-seklu sittax tal-Ewropa. Fiha, huwa jieħu linja iebsa kontra l-Ġudaiżmu, jikteb li s-sinagogi u d-djar tal-Lhud għandhom jinqerdu, il-flus tagħhom ikkonfiskati, u l-libertà mnaqqsa. Dawn id-dikjarazzjonijiet u l-influwenza tagħhom fuq l-antisemitiżmu k"&amp;"kontribwew għall-istatus kontroversjali tiegħu.")</f>
        <v>Fl-1523, Luther kiteb li Ġesù Kristu twieled Lhudi li skoraġġixxa t-trattament ħażin tal-Lhud u kien favur il-konverżjoni tagħhom billi wera li t-Testment il-Qadim jista ’jintwera li jitkellem dwar Ġesù Kristu. Madankollu, hekk kif kompliet ir-riforma, Luther beda jitlef it-tama fil-konverżjoni Lhudija fuq skala kbira għall-Kristjaneżmu. Fis-snin ta 'wara tiegħu, Luther kiber aktar ostili lejn il-Lhud, billi kiteb kontrihom bit-tip ta' velenu li kien diġà ħareġ fuq l-Anabaptisti, iż-Żwinglianism, u l-papat. It-trattat tiegħu tal-1543 von den Juden und Ihren Lügen (fuq il-Lhud u l-gideb tagħhom) ħa postu fost letteratura oħra anti-Lhudija taż-żminijiet, għalkemm l-istoriċi jirrikonoxxu li dan it-trattat kien partikolarment estrem, anke skont l-istandards tas-seklu sittax tal-Ewropa. Fiha, huwa jieħu linja iebsa kontra l-Ġudaiżmu, jikteb li s-sinagogi u d-djar tal-Lhud għandhom jinqerdu, il-flus tagħhom ikkonfiskati, u l-libertà mnaqqsa. Dawn id-dikjarazzjonijiet u l-influwenza tagħhom fuq l-antisemitiżmu kkontribwew għall-istatus kontroversjali tiegħu.</v>
      </c>
    </row>
    <row r="5150" ht="15.75" customHeight="1">
      <c r="A5150" s="2" t="s">
        <v>5150</v>
      </c>
      <c r="B5150" s="2" t="str">
        <f>IFERROR(__xludf.DUMMYFUNCTION("GOOGLETRANSLATE(A5150, ""en"", ""mt"")"),"X'kien Nicholas Storch?")</f>
        <v>X'kien Nicholas Storch?</v>
      </c>
    </row>
    <row r="5151" ht="15.75" customHeight="1">
      <c r="A5151" s="2" t="s">
        <v>5151</v>
      </c>
      <c r="B5151" s="2" t="str">
        <f>IFERROR(__xludf.DUMMYFUNCTION("GOOGLETRANSLATE(A5151, ""en"", ""mt"")"),"primarju")</f>
        <v>primarju</v>
      </c>
    </row>
    <row r="5152" ht="15.75" customHeight="1">
      <c r="A5152" s="2" t="s">
        <v>5152</v>
      </c>
      <c r="B5152" s="2" t="str">
        <f>IFERROR(__xludf.DUMMYFUNCTION("GOOGLETRANSLATE(A5152, ""en"", ""mt"")"),"Il-5 Avenue Nar tal-Laboratorju ta 'Marzu 1895")</f>
        <v>Il-5 Avenue Nar tal-Laboratorju ta 'Marzu 1895</v>
      </c>
    </row>
    <row r="5153" ht="15.75" customHeight="1">
      <c r="A5153" s="2" t="s">
        <v>5153</v>
      </c>
      <c r="B5153" s="2" t="str">
        <f>IFERROR(__xludf.DUMMYFUNCTION("GOOGLETRANSLATE(A5153, ""en"", ""mt"")"),"Fejn jinstab ir-retikolu periferali tal-kloroplast inqas komunement?")</f>
        <v>Fejn jinstab ir-retikolu periferali tal-kloroplast inqas komunement?</v>
      </c>
    </row>
    <row r="5154" ht="15.75" customHeight="1">
      <c r="A5154" s="2" t="s">
        <v>5154</v>
      </c>
      <c r="B5154" s="2" t="str">
        <f>IFERROR(__xludf.DUMMYFUNCTION("GOOGLETRANSLATE(A5154, ""en"", ""mt"")"),"entużjażmu")</f>
        <v>entużjażmu</v>
      </c>
    </row>
    <row r="5155" ht="15.75" customHeight="1">
      <c r="A5155" s="2" t="s">
        <v>5155</v>
      </c>
      <c r="B5155" s="2" t="str">
        <f>IFERROR(__xludf.DUMMYFUNCTION("GOOGLETRANSLATE(A5155, ""en"", ""mt"")"),"Fuq liema tip ta 'mentoring jiffoka fuq il-knisja LDS?")</f>
        <v>Fuq liema tip ta 'mentoring jiffoka fuq il-knisja LDS?</v>
      </c>
    </row>
    <row r="5156" ht="15.75" customHeight="1">
      <c r="A5156" s="2" t="s">
        <v>5156</v>
      </c>
      <c r="B5156" s="2" t="str">
        <f>IFERROR(__xludf.DUMMYFUNCTION("GOOGLETRANSLATE(A5156, ""en"", ""mt"")"),"Halford Mackinder u Friedrich Ratzel fejn x'tip ta 'ġeografi?")</f>
        <v>Halford Mackinder u Friedrich Ratzel fejn x'tip ta 'ġeografi?</v>
      </c>
    </row>
    <row r="5157" ht="15.75" customHeight="1">
      <c r="A5157" s="2" t="s">
        <v>5157</v>
      </c>
      <c r="B5157" s="2" t="str">
        <f>IFERROR(__xludf.DUMMYFUNCTION("GOOGLETRANSLATE(A5157, ""en"", ""mt"")"),"Preżenza reali")</f>
        <v>Preżenza reali</v>
      </c>
    </row>
    <row r="5158" ht="15.75" customHeight="1">
      <c r="A5158" s="2" t="s">
        <v>5158</v>
      </c>
      <c r="B5158" s="2" t="str">
        <f>IFERROR(__xludf.DUMMYFUNCTION("GOOGLETRANSLATE(A5158, ""en"", ""mt"")"),"fil-fatt")</f>
        <v>fil-fatt</v>
      </c>
    </row>
    <row r="5159" ht="15.75" customHeight="1">
      <c r="A5159" s="2" t="s">
        <v>5159</v>
      </c>
      <c r="B5159" s="2" t="str">
        <f>IFERROR(__xludf.DUMMYFUNCTION("GOOGLETRANSLATE(A5159, ""en"", ""mt"")"),"Fejn il-biċċa l-kbira tal-pjanti għandhom kloroplasti?")</f>
        <v>Fejn il-biċċa l-kbira tal-pjanti għandhom kloroplasti?</v>
      </c>
    </row>
    <row r="5160" ht="15.75" customHeight="1">
      <c r="A5160" s="2" t="s">
        <v>5160</v>
      </c>
      <c r="B5160" s="2" t="str">
        <f>IFERROR(__xludf.DUMMYFUNCTION("GOOGLETRANSLATE(A5160, ""en"", ""mt"")"),"analogu u numeriku")</f>
        <v>analogu u numeriku</v>
      </c>
    </row>
    <row r="5161" ht="15.75" customHeight="1">
      <c r="A5161" s="2" t="s">
        <v>5161</v>
      </c>
      <c r="B5161" s="2" t="str">
        <f>IFERROR(__xludf.DUMMYFUNCTION("GOOGLETRANSLATE(A5161, ""en"", ""mt"")"),"Min jippreżenta ideat differenti dwar kif jistgħu jintlaħqu l-għanijiet?")</f>
        <v>Min jippreżenta ideat differenti dwar kif jistgħu jintlaħqu l-għanijiet?</v>
      </c>
    </row>
    <row r="5162" ht="15.75" customHeight="1">
      <c r="A5162" s="2" t="s">
        <v>5162</v>
      </c>
      <c r="B5162" s="2" t="str">
        <f>IFERROR(__xludf.DUMMYFUNCTION("GOOGLETRANSLATE(A5162, ""en"", ""mt"")"),"Min jagħżel u jikri l-aħjar ideat u kuntratturi xierqa?")</f>
        <v>Min jagħżel u jikri l-aħjar ideat u kuntratturi xierqa?</v>
      </c>
    </row>
    <row r="5163" ht="15.75" customHeight="1">
      <c r="A5163" s="2" t="s">
        <v>5163</v>
      </c>
      <c r="B5163" s="2" t="str">
        <f>IFERROR(__xludf.DUMMYFUNCTION("GOOGLETRANSLATE(A5163, ""en"", ""mt"")"),"Babai u Eugene Luks")</f>
        <v>Babai u Eugene Luks</v>
      </c>
    </row>
    <row r="5164" ht="15.75" customHeight="1">
      <c r="A5164" s="2" t="s">
        <v>5164</v>
      </c>
      <c r="B5164" s="2" t="str">
        <f>IFERROR(__xludf.DUMMYFUNCTION("GOOGLETRANSLATE(A5164, ""en"", ""mt"")"),"fagoċitiku")</f>
        <v>fagoċitiku</v>
      </c>
    </row>
    <row r="5165" ht="15.75" customHeight="1">
      <c r="A5165" s="2" t="s">
        <v>5165</v>
      </c>
      <c r="B5165" s="2" t="str">
        <f>IFERROR(__xludf.DUMMYFUNCTION("GOOGLETRANSLATE(A5165, ""en"", ""mt"")"),"Taħlit")</f>
        <v>Taħlit</v>
      </c>
    </row>
    <row r="5166" ht="15.75" customHeight="1">
      <c r="A5166" s="2" t="s">
        <v>5166</v>
      </c>
      <c r="B5166" s="2" t="str">
        <f>IFERROR(__xludf.DUMMYFUNCTION("GOOGLETRANSLATE(A5166, ""en"", ""mt"")"),"Il-Panthers temmew l-istaġun regolari b'rekord ta '15-1, u l-quarterback Cam Newton ġie msemmi l-NFL l-iktar Player Valut (MVP). Huma għelbu lill-Kardinali tal-Arizona 49-15 fil-logħba tal-Kampjonat NFC u avvanzaw għat-tieni dehra tagħhom ta 'Super Bowl m"&amp;"inn meta twaqqfet il-franchise fl-1995. Il-Broncos temm l-istaġun regolari b'rekord ta '12 -4, u ċaħad iċ-ċans lill-Patriots ta' New England Biex jiddefendu t-titlu tagħhom mis-Super Bowl XLIX billi jegħlebhom 20-18 fil-logħba tal-Kampjonat AFC. Huma ngħa"&amp;"qdu mal-Patriots, Dallas Cowboys, u Pittsburgh Steelers bħala wieħed mill-erba 'timijiet li għamlu tmien dehriet fis-Super Bowl.")</f>
        <v>Il-Panthers temmew l-istaġun regolari b'rekord ta '15-1, u l-quarterback Cam Newton ġie msemmi l-NFL l-iktar Player Valut (MVP). Huma għelbu lill-Kardinali tal-Arizona 49-15 fil-logħba tal-Kampjonat NFC u avvanzaw għat-tieni dehra tagħhom ta 'Super Bowl minn meta twaqqfet il-franchise fl-1995. Il-Broncos temm l-istaġun regolari b'rekord ta '12 -4, u ċaħad iċ-ċans lill-Patriots ta' New England Biex jiddefendu t-titlu tagħhom mis-Super Bowl XLIX billi jegħlebhom 20-18 fil-logħba tal-Kampjonat AFC. Huma ngħaqdu mal-Patriots, Dallas Cowboys, u Pittsburgh Steelers bħala wieħed mill-erba 'timijiet li għamlu tmien dehriet fis-Super Bowl.</v>
      </c>
    </row>
    <row r="5167" ht="15.75" customHeight="1">
      <c r="A5167" s="2" t="s">
        <v>5167</v>
      </c>
      <c r="B5167" s="2" t="str">
        <f>IFERROR(__xludf.DUMMYFUNCTION("GOOGLETRANSLATE(A5167, ""en"", ""mt"")"),"LE")</f>
        <v>LE</v>
      </c>
    </row>
    <row r="5168" ht="15.75" customHeight="1">
      <c r="A5168" s="2" t="s">
        <v>5168</v>
      </c>
      <c r="B5168" s="2" t="str">
        <f>IFERROR(__xludf.DUMMYFUNCTION("GOOGLETRANSLATE(A5168, ""en"", ""mt"")"),"Minn dakinhar, u s’issa, ir-Relatività Ġenerali ġiet rikonoxxuta bħala t-teorija li tispjega l-aħjar il-gravità. Fil-GR, il-gravitazzjoni mhix meqjusa bħala forza, iżda pjuttost, oġġetti li jiċċaqilqu liberament fl-għelieqi gravitazzjonali jivvjaġġaw taħt"&amp;" l-inerzja tagħhom stess f'linji dritti permezz ta 'spazju mgħawweġ - definit bħala l-iqsar triq spazjali-ħin bejn żewġ avvenimenti spazjali-ħin. Mill-perspettiva tal-oġġett, il-moviment kollu jseħħ daqs li kieku ma kien hemm l-ebda gravitazzjoni. Huwa bi"&amp;"ss meta tosserva l-moviment f'sens globali li l-kurvatura ta 'l-ispazju-ħin tista' tiġi osservata u l-forza tiġi dedotta mill-passaġġ mgħawweġ tal-oġġett. Għalhekk, it-triq tal-linja dritta fl-ispazju-ħin hija meqjusa bħala linja mgħawġa fl-ispazju, u tis"&amp;"sejjaħ it-trajettorja ballistika tal-oġġett. Pereżempju, basketball mitfugħ mill-art jiċċaqlaq f'parabola, kif inhu f'qasam gravitazzjonali uniformi. It-trajettorja spazjali-ħin tagħha (meta tiġi miżjuda d-dimensjoni CT żejda) hija kważi linja dritta, kem"&amp;"mxejn mgħawġa (bir-raġġ tal-kurvatura ta 'l-ordni ta' ftit snin ta 'dawl). Id-derivattiv tal-ħin tal-momentum li jinbidel tal-oġġett huwa dak li aħna tikketta bħala ""forza gravitazzjonali"".")</f>
        <v>Minn dakinhar, u s’issa, ir-Relatività Ġenerali ġiet rikonoxxuta bħala t-teorija li tispjega l-aħjar il-gravità. Fil-GR, il-gravitazzjoni mhix meqjusa bħala forza, iżda pjuttost, oġġetti li jiċċaqilqu liberament fl-għelieqi gravitazzjonali jivvjaġġaw taħt l-inerzja tagħhom stess f'linji dritti permezz ta 'spazju mgħawweġ - definit bħala l-iqsar triq spazjali-ħin bejn żewġ avvenimenti spazjali-ħin. Mill-perspettiva tal-oġġett, il-moviment kollu jseħħ daqs li kieku ma kien hemm l-ebda gravitazzjoni. Huwa biss meta tosserva l-moviment f'sens globali li l-kurvatura ta 'l-ispazju-ħin tista' tiġi osservata u l-forza tiġi dedotta mill-passaġġ mgħawweġ tal-oġġett. Għalhekk, it-triq tal-linja dritta fl-ispazju-ħin hija meqjusa bħala linja mgħawġa fl-ispazju, u tissejjaħ it-trajettorja ballistika tal-oġġett. Pereżempju, basketball mitfugħ mill-art jiċċaqlaq f'parabola, kif inhu f'qasam gravitazzjonali uniformi. It-trajettorja spazjali-ħin tagħha (meta tiġi miżjuda d-dimensjoni CT żejda) hija kważi linja dritta, kemmxejn mgħawġa (bir-raġġ tal-kurvatura ta 'l-ordni ta' ftit snin ta 'dawl). Id-derivattiv tal-ħin tal-momentum li jinbidel tal-oġġett huwa dak li aħna tikketta bħala "forza gravitazzjonali".</v>
      </c>
    </row>
    <row r="5169" ht="15.75" customHeight="1">
      <c r="A5169" s="2" t="s">
        <v>5169</v>
      </c>
      <c r="B5169" s="2" t="str">
        <f>IFERROR(__xludf.DUMMYFUNCTION("GOOGLETRANSLATE(A5169, ""en"", ""mt"")"),"Liema strument jintuża biex jeżamina l-prestazzjoni tal-magna tal-fwar?")</f>
        <v>Liema strument jintuża biex jeżamina l-prestazzjoni tal-magna tal-fwar?</v>
      </c>
    </row>
    <row r="5170" ht="15.75" customHeight="1">
      <c r="A5170" s="2" t="s">
        <v>5170</v>
      </c>
      <c r="B5170" s="2" t="str">
        <f>IFERROR(__xludf.DUMMYFUNCTION("GOOGLETRANSLATE(A5170, ""en"", ""mt"")"),"L-imperjalizmu jestendi l-poter ta 'pajjiż u x'inhu?")</f>
        <v>L-imperjalizmu jestendi l-poter ta 'pajjiż u x'inhu?</v>
      </c>
    </row>
    <row r="5171" ht="15.75" customHeight="1">
      <c r="A5171" s="2" t="s">
        <v>5171</v>
      </c>
      <c r="B5171" s="2" t="str">
        <f>IFERROR(__xludf.DUMMYFUNCTION("GOOGLETRANSLATE(A5171, ""en"", ""mt"")"),"X'inhi xejra ġdida fit-tagħlim?")</f>
        <v>X'inhi xejra ġdida fit-tagħlim?</v>
      </c>
    </row>
    <row r="5172" ht="15.75" customHeight="1">
      <c r="A5172" s="2" t="s">
        <v>5172</v>
      </c>
      <c r="B5172" s="2" t="str">
        <f>IFERROR(__xludf.DUMMYFUNCTION("GOOGLETRANSLATE(A5172, ""en"", ""mt"")"),"Ċelloli tal-memorja b'ħajja twila jistgħu jiftakru inkontri preċedenti ma 'xiex?")</f>
        <v>Ċelloli tal-memorja b'ħajja twila jistgħu jiftakru inkontri preċedenti ma 'xiex?</v>
      </c>
    </row>
    <row r="5173" ht="15.75" customHeight="1">
      <c r="A5173" s="2" t="s">
        <v>5173</v>
      </c>
      <c r="B5173" s="2" t="str">
        <f>IFERROR(__xludf.DUMMYFUNCTION("GOOGLETRANSLATE(A5173, ""en"", ""mt"")"),"Fejn tiltaqa 'r-Rhine huwa tributarju l-għonq?")</f>
        <v>Fejn tiltaqa 'r-Rhine huwa tributarju l-għonq?</v>
      </c>
    </row>
    <row r="5174" ht="15.75" customHeight="1">
      <c r="A5174" s="2" t="s">
        <v>5174</v>
      </c>
      <c r="B5174" s="2" t="str">
        <f>IFERROR(__xludf.DUMMYFUNCTION("GOOGLETRANSLATE(A5174, ""en"", ""mt"")"),"Spazjali Apollo Ġdid, iddisinjat biex jakkomoda attività extravehicular lunari")</f>
        <v>Spazjali Apollo Ġdid, iddisinjat biex jakkomoda attività extravehicular lunari</v>
      </c>
    </row>
    <row r="5175" ht="15.75" customHeight="1">
      <c r="A5175" s="2" t="s">
        <v>5175</v>
      </c>
      <c r="B5175" s="2" t="str">
        <f>IFERROR(__xludf.DUMMYFUNCTION("GOOGLETRANSLATE(A5175, ""en"", ""mt"")"),"L-użu ta 'telerilevament għall-konservazzjoni tal-Amażonja qed jintuża wkoll mit-tribujiet indiġeni tal-baċin biex jipproteġu l-artijiet tribali tagħhom minn interessi kummerċjali. Bl-użu ta 'apparati u programmi tal-GPS li jinżammu fl-idejn bħal Google E"&amp;"arth, membri tat-Tribe Trio, li jgħixu fil-foresti tropikali tas-Surinam tan-Nofsinhar, mappaw l-artijiet antenati tagħhom biex jgħinu jsaħħu t-talbiet territorjali tagħhom. Bħalissa, il-biċċa l-kbira tat-tribujiet fl-Amażonja m'għandhomx il-konfini defin"&amp;"iti b'mod ċar, li jagħmluha aktar faċli għall-impriżi kummerċjali li jimmiraw it-territorji tagħhom.")</f>
        <v>L-użu ta 'telerilevament għall-konservazzjoni tal-Amażonja qed jintuża wkoll mit-tribujiet indiġeni tal-baċin biex jipproteġu l-artijiet tribali tagħhom minn interessi kummerċjali. Bl-użu ta 'apparati u programmi tal-GPS li jinżammu fl-idejn bħal Google Earth, membri tat-Tribe Trio, li jgħixu fil-foresti tropikali tas-Surinam tan-Nofsinhar, mappaw l-artijiet antenati tagħhom biex jgħinu jsaħħu t-talbiet territorjali tagħhom. Bħalissa, il-biċċa l-kbira tat-tribujiet fl-Amażonja m'għandhomx il-konfini definiti b'mod ċar, li jagħmluha aktar faċli għall-impriżi kummerċjali li jimmiraw it-territorji tagħhom.</v>
      </c>
    </row>
    <row r="5176" ht="15.75" customHeight="1">
      <c r="A5176" s="2" t="s">
        <v>5176</v>
      </c>
      <c r="B5176" s="2" t="str">
        <f>IFERROR(__xludf.DUMMYFUNCTION("GOOGLETRANSLATE(A5176, ""en"", ""mt"")"),"Il-kuntrattur medju mikri kemm impjegati?")</f>
        <v>Il-kuntrattur medju mikri kemm impjegati?</v>
      </c>
    </row>
    <row r="5177" ht="15.75" customHeight="1">
      <c r="A5177" s="2" t="s">
        <v>5177</v>
      </c>
      <c r="B5177" s="2" t="str">
        <f>IFERROR(__xludf.DUMMYFUNCTION("GOOGLETRANSLATE(A5177, ""en"", ""mt"")"),"Il-magni tal-fwar huma magni ta 'kombustjoni esterna, fejn il-fluwidu tax-xogħol huwa separat mill-prodotti tal-kombustjoni. Sorsi ta 'sħana mhux kombustjoni bħal enerġija solari, enerġija nukleari jew enerġija ġeotermali jistgħu jintużaw. Iċ-ċiklu termod"&amp;"inamiku ideali użat biex janalizza dan il-proċess jissejjaħ iċ-ċiklu Rankine. Fiċ-ċiklu, l-ilma jissaħħan u jittrasforma fi fwar ġewwa bojler li jaħdem bi pressjoni għolja. Meta jitwessa 'permezz ta' pistuni jew turbini, isir xogħol mekkaniku. Il-fwar bi "&amp;"pressjoni mnaqqsa huwa mbagħad ikkondensat u ppumpjat lura fil-bojler.")</f>
        <v>Il-magni tal-fwar huma magni ta 'kombustjoni esterna, fejn il-fluwidu tax-xogħol huwa separat mill-prodotti tal-kombustjoni. Sorsi ta 'sħana mhux kombustjoni bħal enerġija solari, enerġija nukleari jew enerġija ġeotermali jistgħu jintużaw. Iċ-ċiklu termodinamiku ideali użat biex janalizza dan il-proċess jissejjaħ iċ-ċiklu Rankine. Fiċ-ċiklu, l-ilma jissaħħan u jittrasforma fi fwar ġewwa bojler li jaħdem bi pressjoni għolja. Meta jitwessa 'permezz ta' pistuni jew turbini, isir xogħol mekkaniku. Il-fwar bi pressjoni mnaqqsa huwa mbagħad ikkondensat u ppumpjat lura fil-bojler.</v>
      </c>
    </row>
    <row r="5178" ht="15.75" customHeight="1">
      <c r="A5178" s="2" t="s">
        <v>5178</v>
      </c>
      <c r="B5178" s="2" t="str">
        <f>IFERROR(__xludf.DUMMYFUNCTION("GOOGLETRANSLATE(A5178, ""en"", ""mt"")"),"Liema forma ta 'mewt Jamukha jittama li Temüjin kien jippermettilu?")</f>
        <v>Liema forma ta 'mewt Jamukha jittama li Temüjin kien jippermettilu?</v>
      </c>
    </row>
    <row r="5179" ht="15.75" customHeight="1">
      <c r="A5179" s="2" t="s">
        <v>5179</v>
      </c>
      <c r="B5179" s="2" t="str">
        <f>IFERROR(__xludf.DUMMYFUNCTION("GOOGLETRANSLATE(A5179, ""en"", ""mt"")"),"X'inhu stabbilit biex jifli l-kontijiet privati ​​sottomessi minn barranin tal-partit?")</f>
        <v>X'inhu stabbilit biex jifli l-kontijiet privati ​​sottomessi minn barranin tal-partit?</v>
      </c>
    </row>
    <row r="5180" ht="15.75" customHeight="1">
      <c r="A5180" s="2" t="s">
        <v>5180</v>
      </c>
      <c r="B5180" s="2" t="str">
        <f>IFERROR(__xludf.DUMMYFUNCTION("GOOGLETRANSLATE(A5180, ""en"", ""mt"")"),"Mekkanika kwantistika")</f>
        <v>Mekkanika kwantistika</v>
      </c>
    </row>
    <row r="5181" ht="15.75" customHeight="1">
      <c r="A5181" s="2" t="s">
        <v>5181</v>
      </c>
      <c r="B5181" s="2" t="str">
        <f>IFERROR(__xludf.DUMMYFUNCTION("GOOGLETRANSLATE(A5181, ""en"", ""mt"")"),"Kien hemm tentattiv biex tirriforma l-liġi kostituzzjonali tal-Unjoni Ewropea u tagħmilha aktar trasparenti")</f>
        <v>Kien hemm tentattiv biex tirriforma l-liġi kostituzzjonali tal-Unjoni Ewropea u tagħmilha aktar trasparenti</v>
      </c>
    </row>
    <row r="5182" ht="15.75" customHeight="1">
      <c r="A5182" s="2" t="s">
        <v>5182</v>
      </c>
      <c r="B5182" s="2" t="str">
        <f>IFERROR(__xludf.DUMMYFUNCTION("GOOGLETRANSLATE(A5182, ""en"", ""mt"")"),"Liema referendums ta 'żewġ pajjiżi waqqgħu kostituzzjoni għall-Ewropa?")</f>
        <v>Liema referendums ta 'żewġ pajjiżi waqqgħu kostituzzjoni għall-Ewropa?</v>
      </c>
    </row>
    <row r="5183" ht="15.75" customHeight="1">
      <c r="A5183" s="2" t="s">
        <v>5183</v>
      </c>
      <c r="B5183" s="2" t="str">
        <f>IFERROR(__xludf.DUMMYFUNCTION("GOOGLETRANSLATE(A5183, ""en"", ""mt"")"),"Il-President Amerikan Barack Obama")</f>
        <v>Il-President Amerikan Barack Obama</v>
      </c>
    </row>
    <row r="5184" ht="15.75" customHeight="1">
      <c r="A5184" s="2" t="s">
        <v>5184</v>
      </c>
      <c r="B5184" s="2" t="str">
        <f>IFERROR(__xludf.DUMMYFUNCTION("GOOGLETRANSLATE(A5184, ""en"", ""mt"")"),"Fejn inżamm l-iffirmar?")</f>
        <v>Fejn inżamm l-iffirmar?</v>
      </c>
    </row>
    <row r="5185" ht="15.75" customHeight="1">
      <c r="A5185" s="2" t="s">
        <v>5185</v>
      </c>
      <c r="B5185" s="2" t="str">
        <f>IFERROR(__xludf.DUMMYFUNCTION("GOOGLETRANSLATE(A5185, ""en"", ""mt"")"),"Liema sess huwa inqas lest li jivvjaġġa jew jirriloka għax-xogħol?")</f>
        <v>Liema sess huwa inqas lest li jivvjaġġa jew jirriloka għax-xogħol?</v>
      </c>
    </row>
    <row r="5186" ht="15.75" customHeight="1">
      <c r="A5186" s="2" t="s">
        <v>5186</v>
      </c>
      <c r="B5186" s="2" t="str">
        <f>IFERROR(__xludf.DUMMYFUNCTION("GOOGLETRANSLATE(A5186, ""en"", ""mt"")"),"X'inhuma l-fagoċiti li jinsabu f'tessuti f'kuntatt ma 'l-ambjent estern imsejjaħ?")</f>
        <v>X'inhuma l-fagoċiti li jinsabu f'tessuti f'kuntatt ma 'l-ambjent estern imsejjaħ?</v>
      </c>
    </row>
    <row r="5187" ht="15.75" customHeight="1">
      <c r="A5187" s="2" t="s">
        <v>5187</v>
      </c>
      <c r="B5187" s="2" t="str">
        <f>IFERROR(__xludf.DUMMYFUNCTION("GOOGLETRANSLATE(A5187, ""en"", ""mt"")"),"Uġigħ fiżiku")</f>
        <v>Uġigħ fiżiku</v>
      </c>
    </row>
    <row r="5188" ht="15.75" customHeight="1">
      <c r="A5188" s="2" t="s">
        <v>5188</v>
      </c>
      <c r="B5188" s="2" t="str">
        <f>IFERROR(__xludf.DUMMYFUNCTION("GOOGLETRANSLATE(A5188, ""en"", ""mt"")"),"tisħin addizzjonali tal-wiċċ tad-dinja")</f>
        <v>tisħin addizzjonali tal-wiċċ tad-dinja</v>
      </c>
    </row>
    <row r="5189" ht="15.75" customHeight="1">
      <c r="A5189" s="2" t="s">
        <v>5189</v>
      </c>
      <c r="B5189" s="2" t="str">
        <f>IFERROR(__xludf.DUMMYFUNCTION("GOOGLETRANSLATE(A5189, ""en"", ""mt"")"),"Dubbidjenza ċivili indiretta")</f>
        <v>Dubbidjenza ċivili indiretta</v>
      </c>
    </row>
    <row r="5190" ht="15.75" customHeight="1">
      <c r="A5190" s="2" t="s">
        <v>5190</v>
      </c>
      <c r="B5190" s="2" t="str">
        <f>IFERROR(__xludf.DUMMYFUNCTION("GOOGLETRANSLATE(A5190, ""en"", ""mt"")"),"skejjel privati ​​tradizzjonali")</f>
        <v>skejjel privati ​​tradizzjonali</v>
      </c>
    </row>
    <row r="5191" ht="15.75" customHeight="1">
      <c r="A5191" s="2" t="s">
        <v>5191</v>
      </c>
      <c r="B5191" s="2" t="str">
        <f>IFERROR(__xludf.DUMMYFUNCTION("GOOGLETRANSLATE(A5191, ""en"", ""mt"")"),"L-ewwel reazzjoni nukleari magħmula minnha nnifisha tad-dinja,")</f>
        <v>L-ewwel reazzjoni nukleari magħmula minnha nnifisha tad-dinja,</v>
      </c>
    </row>
    <row r="5192" ht="15.75" customHeight="1">
      <c r="A5192" s="2" t="s">
        <v>5192</v>
      </c>
      <c r="B5192" s="2" t="str">
        <f>IFERROR(__xludf.DUMMYFUNCTION("GOOGLETRANSLATE(A5192, ""en"", ""mt"")"),"Lil min jissottometti l-abbozz finali?")</f>
        <v>Lil min jissottometti l-abbozz finali?</v>
      </c>
    </row>
    <row r="5193" ht="15.75" customHeight="1">
      <c r="A5193" s="2" t="s">
        <v>5193</v>
      </c>
      <c r="B5193" s="2" t="str">
        <f>IFERROR(__xludf.DUMMYFUNCTION("GOOGLETRANSLATE(A5193, ""en"", ""mt"")"),"Ir-raba ', il-qrati nazzjonali għandhom id-dmir li jinterpretaw il-liġi domestika ""kemm jista' jkun fid-dawl tal-kliem u l-iskop tad-direttiva"". Il-kotba tat-test (għalkemm mhux il-qorti nnifisha) spiss jissejħu dan l- ""effett indirett"". Fil-marleasin"&amp;"g sa v la comercial sa l-qorti tal-ġustizzja ddeċidiet li qorti Spanjola kellha tinterpreta d-dispożizzjonijiet ġenerali tal-kodiċi ċivili tagħha, fuq kuntratti li m'għandhomx kawża jew li jeqirdu l-kredituri, biex jikkonformaw mal-ewwel Artikolu tal-Liġi"&amp;" tal-Liġi 11 tal-Kumpanija, li meħtieġa inkorporazzjonijiet ikunu biss annulifikat għal lista fissa ta 'raġunijiet. Il-Qorti tal-Ġustizzja malajr irrikonoxxiet li d-dmir ta 'interpretazzjoni ma jistax jikkontradixxi kliem sempliċi fi statut nazzjonali. Iż"&amp;"da, il-ħames, jekk stat membru naqas milli jimplimenta direttiva, ċittadin jista 'ma jkunx jista' jġib talbiet kontra partijiet oħra mhux statali, iżda jista 'jħarrek lill-Istat Membru nnifsu minħabba nuqqas ta' implimentazzjoni tal-liġi. Allura, fi Franc"&amp;"ovich vs l-Italja, il-gvern Taljan naqas milli jwaqqaf fond ta 'assigurazzjoni għall-impjegati biex jitolbu pagi mhux imħallsa jekk min iħaddemhom kienu marru insolventi, kif kienet meħtieġa d-Direttiva dwar il-Protezzjoni ta' l-Insolvenza. Francovich, l-"&amp;"ex impjegat ta 'ditta Venezjana falluta, għalhekk tħalla jitlob 6 miljun lira mill-gvern Taljan dwar danni għat-telf tiegħu. Il-Qorti tal-Ġustizzja ddeċidiet li jekk direttiva tagħti drittijiet identifikabbli fuq individwi, u hemm rabta kawżali bejn il-ks"&amp;"ur tal-istat membru tal-UE u t-telf ta 'pretendent, għandhom jitħallsu d-danni. Il-fatt li l-liġi inkompatibbli hija att tal-parlament huwa l-ebda difiża.")</f>
        <v>Ir-raba ', il-qrati nazzjonali għandhom id-dmir li jinterpretaw il-liġi domestika "kemm jista' jkun fid-dawl tal-kliem u l-iskop tad-direttiva". Il-kotba tat-test (għalkemm mhux il-qorti nnifisha) spiss jissejħu dan l- "effett indirett". Fil-marleasing sa v la comercial sa l-qorti tal-ġustizzja ddeċidiet li qorti Spanjola kellha tinterpreta d-dispożizzjonijiet ġenerali tal-kodiċi ċivili tagħha, fuq kuntratti li m'għandhomx kawża jew li jeqirdu l-kredituri, biex jikkonformaw mal-ewwel Artikolu tal-Liġi tal-Liġi 11 tal-Kumpanija, li meħtieġa inkorporazzjonijiet ikunu biss annulifikat għal lista fissa ta 'raġunijiet. Il-Qorti tal-Ġustizzja malajr irrikonoxxiet li d-dmir ta 'interpretazzjoni ma jistax jikkontradixxi kliem sempliċi fi statut nazzjonali. Iżda, il-ħames, jekk stat membru naqas milli jimplimenta direttiva, ċittadin jista 'ma jkunx jista' jġib talbiet kontra partijiet oħra mhux statali, iżda jista 'jħarrek lill-Istat Membru nnifsu minħabba nuqqas ta' implimentazzjoni tal-liġi. Allura, fi Francovich vs l-Italja, il-gvern Taljan naqas milli jwaqqaf fond ta 'assigurazzjoni għall-impjegati biex jitolbu pagi mhux imħallsa jekk min iħaddemhom kienu marru insolventi, kif kienet meħtieġa d-Direttiva dwar il-Protezzjoni ta' l-Insolvenza. Francovich, l-ex impjegat ta 'ditta Venezjana falluta, għalhekk tħalla jitlob 6 miljun lira mill-gvern Taljan dwar danni għat-telf tiegħu. Il-Qorti tal-Ġustizzja ddeċidiet li jekk direttiva tagħti drittijiet identifikabbli fuq individwi, u hemm rabta kawżali bejn il-ksur tal-istat membru tal-UE u t-telf ta 'pretendent, għandhom jitħallsu d-danni. Il-fatt li l-liġi inkompatibbli hija att tal-parlament huwa l-ebda difiża.</v>
      </c>
    </row>
    <row r="5194" ht="15.75" customHeight="1">
      <c r="A5194" s="2" t="s">
        <v>5194</v>
      </c>
      <c r="B5194" s="2" t="str">
        <f>IFERROR(__xludf.DUMMYFUNCTION("GOOGLETRANSLATE(A5194, ""en"", ""mt"")"),"Xiri ta 'waqfien wieħed")</f>
        <v>Xiri ta 'waqfien wieħed</v>
      </c>
    </row>
    <row r="5195" ht="15.75" customHeight="1">
      <c r="A5195" s="2" t="s">
        <v>5195</v>
      </c>
      <c r="B5195" s="2" t="str">
        <f>IFERROR(__xludf.DUMMYFUNCTION("GOOGLETRANSLATE(A5195, ""en"", ""mt"")"),"Madankollu, il-foresta tropikali xorta rnexxielha tiffjorixxi matul dawn il-perjodi glaċjali, li tippermetti s-sopravivenza u l-evoluzzjoni ta 'diversità wiesgħa ta' speċi.")</f>
        <v>Madankollu, il-foresta tropikali xorta rnexxielha tiffjorixxi matul dawn il-perjodi glaċjali, li tippermetti s-sopravivenza u l-evoluzzjoni ta 'diversità wiesgħa ta' speċi.</v>
      </c>
    </row>
    <row r="5196" ht="15.75" customHeight="1">
      <c r="A5196" s="2" t="s">
        <v>5196</v>
      </c>
      <c r="B5196" s="2" t="str">
        <f>IFERROR(__xludf.DUMMYFUNCTION("GOOGLETRANSLATE(A5196, ""en"", ""mt"")"),"Kolonizzazzjoni, Influwenza, u Anness")</f>
        <v>Kolonizzazzjoni, Influwenza, u Anness</v>
      </c>
    </row>
    <row r="5197" ht="15.75" customHeight="1">
      <c r="A5197" s="2" t="s">
        <v>5197</v>
      </c>
      <c r="B5197" s="2" t="str">
        <f>IFERROR(__xludf.DUMMYFUNCTION("GOOGLETRANSLATE(A5197, ""en"", ""mt"")"),"Liema entità pubblika ta 'tagħlim ħafna drabi hija fil-mira ta' diżubbidjenza ċivili?")</f>
        <v>Liema entità pubblika ta 'tagħlim ħafna drabi hija fil-mira ta' diżubbidjenza ċivili?</v>
      </c>
    </row>
    <row r="5198" ht="15.75" customHeight="1">
      <c r="A5198" s="2" t="s">
        <v>5198</v>
      </c>
      <c r="B5198" s="2" t="str">
        <f>IFERROR(__xludf.DUMMYFUNCTION("GOOGLETRANSLATE(A5198, ""en"", ""mt"")"),"Fi Schmidberger vs l-Awstrija, il-Qorti tal-Ġustizzja waslet għall-konklużjoni li l-Awstrija ma kisritx l-Artikolu 34 billi naqset milli tipprojbixxi xiex?")</f>
        <v>Fi Schmidberger vs l-Awstrija, il-Qorti tal-Ġustizzja waslet għall-konklużjoni li l-Awstrija ma kisritx l-Artikolu 34 billi naqset milli tipprojbixxi xiex?</v>
      </c>
    </row>
    <row r="5199" ht="15.75" customHeight="1">
      <c r="A5199" s="2" t="s">
        <v>5199</v>
      </c>
      <c r="B5199" s="2" t="str">
        <f>IFERROR(__xludf.DUMMYFUNCTION("GOOGLETRANSLATE(A5199, ""en"", ""mt"")"),"Il-votanti approvaw il-pjan")</f>
        <v>Il-votanti approvaw il-pjan</v>
      </c>
    </row>
    <row r="5200" ht="15.75" customHeight="1">
      <c r="A5200" s="2" t="s">
        <v>5200</v>
      </c>
      <c r="B5200" s="2" t="str">
        <f>IFERROR(__xludf.DUMMYFUNCTION("GOOGLETRANSLATE(A5200, ""en"", ""mt"")"),"widien u depressjonijiet fl-art")</f>
        <v>widien u depressjonijiet fl-art</v>
      </c>
    </row>
    <row r="5201" ht="15.75" customHeight="1">
      <c r="A5201" s="2" t="s">
        <v>5201</v>
      </c>
      <c r="B5201" s="2" t="str">
        <f>IFERROR(__xludf.DUMMYFUNCTION("GOOGLETRANSLATE(A5201, ""en"", ""mt"")"),"John Mearsheimer u Robert Pape")</f>
        <v>John Mearsheimer u Robert Pape</v>
      </c>
    </row>
    <row r="5202" ht="15.75" customHeight="1">
      <c r="A5202" s="2" t="s">
        <v>5202</v>
      </c>
      <c r="B5202" s="2" t="str">
        <f>IFERROR(__xludf.DUMMYFUNCTION("GOOGLETRANSLATE(A5202, ""en"", ""mt"")"),"Kemm touchdowns kellhom Manning fl-aħħar tal-logħba?")</f>
        <v>Kemm touchdowns kellhom Manning fl-aħħar tal-logħba?</v>
      </c>
    </row>
    <row r="5203" ht="15.75" customHeight="1">
      <c r="A5203" s="2" t="s">
        <v>5203</v>
      </c>
      <c r="B5203" s="2" t="str">
        <f>IFERROR(__xludf.DUMMYFUNCTION("GOOGLETRANSLATE(A5203, ""en"", ""mt"")"),"Tbattal l-art tal-madwar")</f>
        <v>Tbattal l-art tal-madwar</v>
      </c>
    </row>
    <row r="5204" ht="15.75" customHeight="1">
      <c r="A5204" s="2" t="s">
        <v>5204</v>
      </c>
      <c r="B5204" s="2" t="str">
        <f>IFERROR(__xludf.DUMMYFUNCTION("GOOGLETRANSLATE(A5204, ""en"", ""mt"")"),"il-partijiet tan-netwerk tal-kanali interni taħt ir-ringieli tal-moxt")</f>
        <v>il-partijiet tan-netwerk tal-kanali interni taħt ir-ringieli tal-moxt</v>
      </c>
    </row>
    <row r="5205" ht="15.75" customHeight="1">
      <c r="A5205" s="2" t="s">
        <v>5205</v>
      </c>
      <c r="B5205" s="2" t="str">
        <f>IFERROR(__xludf.DUMMYFUNCTION("GOOGLETRANSLATE(A5205, ""en"", ""mt"")"),"Tabelli Hash u Ġeneraturi tan-Numru tal-Pseudorandom")</f>
        <v>Tabelli Hash u Ġeneraturi tan-Numru tal-Pseudorandom</v>
      </c>
    </row>
    <row r="5206" ht="15.75" customHeight="1">
      <c r="A5206" s="2" t="s">
        <v>5206</v>
      </c>
      <c r="B5206" s="2" t="str">
        <f>IFERROR(__xludf.DUMMYFUNCTION("GOOGLETRANSLATE(A5206, ""en"", ""mt"")"),"jiddelega aktar poter lill-gvernijiet lokali u jagħti lill-Kenyans Abbozz tad-Drittijiet")</f>
        <v>jiddelega aktar poter lill-gvernijiet lokali u jagħti lill-Kenyans Abbozz tad-Drittijiet</v>
      </c>
    </row>
    <row r="5207" ht="15.75" customHeight="1">
      <c r="A5207" s="2" t="s">
        <v>5207</v>
      </c>
      <c r="B5207" s="2" t="str">
        <f>IFERROR(__xludf.DUMMYFUNCTION("GOOGLETRANSLATE(A5207, ""en"", ""mt"")"),"$ 5 miljun għal 30 sekonda")</f>
        <v>$ 5 miljun għal 30 sekonda</v>
      </c>
    </row>
    <row r="5208" ht="15.75" customHeight="1">
      <c r="A5208" s="2" t="s">
        <v>5208</v>
      </c>
      <c r="B5208" s="2" t="str">
        <f>IFERROR(__xludf.DUMMYFUNCTION("GOOGLETRANSLATE(A5208, ""en"", ""mt"")"),"il-ġenerali tiegħu")</f>
        <v>il-ġenerali tiegħu</v>
      </c>
    </row>
    <row r="5209" ht="15.75" customHeight="1">
      <c r="A5209" s="2" t="s">
        <v>5209</v>
      </c>
      <c r="B5209" s="2" t="str">
        <f>IFERROR(__xludf.DUMMYFUNCTION("GOOGLETRANSLATE(A5209, ""en"", ""mt"")"),"Molekuli instabbli ta 'sitt karboniċi")</f>
        <v>Molekuli instabbli ta 'sitt karboniċi</v>
      </c>
    </row>
    <row r="5210" ht="15.75" customHeight="1">
      <c r="A5210" s="2" t="s">
        <v>5210</v>
      </c>
      <c r="B5210" s="2" t="str">
        <f>IFERROR(__xludf.DUMMYFUNCTION("GOOGLETRANSLATE(A5210, ""en"", ""mt"")"),"Ir-Renu u liema xmara oħra ġew aċċettati bħala l-fruntiera Ġermanika?")</f>
        <v>Ir-Renu u liema xmara oħra ġew aċċettati bħala l-fruntiera Ġermanika?</v>
      </c>
    </row>
    <row r="5211" ht="15.75" customHeight="1">
      <c r="A5211" s="2" t="s">
        <v>5211</v>
      </c>
      <c r="B5211" s="2" t="str">
        <f>IFERROR(__xludf.DUMMYFUNCTION("GOOGLETRANSLATE(A5211, ""en"", ""mt"")"),"X'kejpew Pegasus Satelliti biex jipproponu s-sigurtà tal-ambjent fl-ispazju u fuq il-qamar?")</f>
        <v>X'kejpew Pegasus Satelliti biex jipproponu s-sigurtà tal-ambjent fl-ispazju u fuq il-qamar?</v>
      </c>
    </row>
    <row r="5212" ht="15.75" customHeight="1">
      <c r="A5212" s="2" t="s">
        <v>5212</v>
      </c>
      <c r="B5212" s="2" t="str">
        <f>IFERROR(__xludf.DUMMYFUNCTION("GOOGLETRANSLATE(A5212, ""en"", ""mt"")"),"domanda għolja")</f>
        <v>domanda għolja</v>
      </c>
    </row>
    <row r="5213" ht="15.75" customHeight="1">
      <c r="A5213" s="2" t="s">
        <v>5213</v>
      </c>
      <c r="B5213" s="2" t="str">
        <f>IFERROR(__xludf.DUMMYFUNCTION("GOOGLETRANSLATE(A5213, ""en"", ""mt"")"),"It-tema oriġinali kienet komposta minn Ron Grainer u rrealizzata minn Delia Derbyshire tal-Workshop Radjofoniku tal-BBC, bl-għajnuna ta 'Dick Mills. Il-partijiet varji nbnew bl-użu ta 'tekniki ta' concrète musique, billi joħolqu loops ta 'tejp ta' korda t"&amp;"al-pjanu milquta individwalment u oxxillaturi u filtri tat-test individwali. L-arranġament ta 'Derbyshire serva, b'edifiki minuri, bħala t-tema sa l-aħħar tal-istaġun 17 (1979–80). Hija meqjusa bħala biċċa sinifikanti u innovattiva ta 'mużika elettronika,"&amp;" irreġistrata sew qabel id-disponibbiltà ta' sinteżi kummerċjali jew mixers multitrack. Kull nota nħolqot individwalment billi taqta ', tagħmil, tħaffef u tnaqqas is-segmenti ta' tejp analogu li fih reġistrazzjonijiet ta 'sekwenza waħda mnittfa, ħoss abja"&amp;"d, u l-forom ta' mewġ armoniċi sempliċi ta 'oxxillaturi tat-ton tat-test, maħsuba għal tagħmir u kmamar tal-kalibrazzjoni, mhux joħolqu mużika. Ġew ivvintati tekniki ġodda biex jippermettu t-taħlit tal-mużika, kif kien qabel l-era tal-magni tat-tejp multi"&amp;"track. Meta smajt ir-riżultat lest, Grainer staqsa, ""Kont nikteb dan?"" [Ċitazzjoni meħtieġa]")</f>
        <v>It-tema oriġinali kienet komposta minn Ron Grainer u rrealizzata minn Delia Derbyshire tal-Workshop Radjofoniku tal-BBC, bl-għajnuna ta 'Dick Mills. Il-partijiet varji nbnew bl-użu ta 'tekniki ta' concrète musique, billi joħolqu loops ta 'tejp ta' korda tal-pjanu milquta individwalment u oxxillaturi u filtri tat-test individwali. L-arranġament ta 'Derbyshire serva, b'edifiki minuri, bħala t-tema sa l-aħħar tal-istaġun 17 (1979–80). Hija meqjusa bħala biċċa sinifikanti u innovattiva ta 'mużika elettronika, irreġistrata sew qabel id-disponibbiltà ta' sinteżi kummerċjali jew mixers multitrack. Kull nota nħolqot individwalment billi taqta ', tagħmil, tħaffef u tnaqqas is-segmenti ta' tejp analogu li fih reġistrazzjonijiet ta 'sekwenza waħda mnittfa, ħoss abjad, u l-forom ta' mewġ armoniċi sempliċi ta 'oxxillaturi tat-ton tat-test, maħsuba għal tagħmir u kmamar tal-kalibrazzjoni, mhux joħolqu mużika. Ġew ivvintati tekniki ġodda biex jippermettu t-taħlit tal-mużika, kif kien qabel l-era tal-magni tat-tejp multitrack. Meta smajt ir-riżultat lest, Grainer staqsa, "Kont nikteb dan?" [Ċitazzjoni meħtieġa]</v>
      </c>
    </row>
    <row r="5214" ht="15.75" customHeight="1">
      <c r="A5214" s="2" t="s">
        <v>5214</v>
      </c>
      <c r="B5214" s="2" t="str">
        <f>IFERROR(__xludf.DUMMYFUNCTION("GOOGLETRANSLATE(A5214, ""en"", ""mt"")"),"Għax ippubblika s-sejbiet tiegħu l-ewwel")</f>
        <v>Għax ippubblika s-sejbiet tiegħu l-ewwel</v>
      </c>
    </row>
    <row r="5215" ht="15.75" customHeight="1">
      <c r="A5215" s="2" t="s">
        <v>5215</v>
      </c>
      <c r="B5215" s="2" t="str">
        <f>IFERROR(__xludf.DUMMYFUNCTION("GOOGLETRANSLATE(A5215, ""en"", ""mt"")"),"ma riedx jirriskja konvoj kbar biex jgħinu l-forzi limitati li kellu fi Franza l-ġdida")</f>
        <v>ma riedx jirriskja konvoj kbar biex jgħinu l-forzi limitati li kellu fi Franza l-ġdida</v>
      </c>
    </row>
    <row r="5216" ht="15.75" customHeight="1">
      <c r="A5216" s="2" t="s">
        <v>5216</v>
      </c>
      <c r="B5216" s="2" t="str">
        <f>IFERROR(__xludf.DUMMYFUNCTION("GOOGLETRANSLATE(A5216, ""en"", ""mt"")"),"Liema sate huma l-affarijiet ġewwa vettura li tiċċaqlaq kif jidher minn persuna ġewwa l-vettura?")</f>
        <v>Liema sate huma l-affarijiet ġewwa vettura li tiċċaqlaq kif jidher minn persuna ġewwa l-vettura?</v>
      </c>
    </row>
    <row r="5217" ht="15.75" customHeight="1">
      <c r="A5217" s="2" t="s">
        <v>5217</v>
      </c>
      <c r="B5217" s="2" t="str">
        <f>IFERROR(__xludf.DUMMYFUNCTION("GOOGLETRANSLATE(A5217, ""en"", ""mt"")"),"sors ta 'enerġija")</f>
        <v>sors ta 'enerġija</v>
      </c>
    </row>
    <row r="5218" ht="15.75" customHeight="1">
      <c r="A5218" s="2" t="s">
        <v>5218</v>
      </c>
      <c r="B5218" s="2" t="str">
        <f>IFERROR(__xludf.DUMMYFUNCTION("GOOGLETRANSLATE(A5218, ""en"", ""mt"")"),"Fuq liema tip ta 'mediċina ffokat fuq Otachi?")</f>
        <v>Fuq liema tip ta 'mediċina ffokat fuq Otachi?</v>
      </c>
    </row>
    <row r="5219" ht="15.75" customHeight="1">
      <c r="A5219" s="2" t="s">
        <v>5219</v>
      </c>
      <c r="B5219" s="2" t="str">
        <f>IFERROR(__xludf.DUMMYFUNCTION("GOOGLETRANSLATE(A5219, ""en"", ""mt"")"),"Fil-bidu tas-seklu 20")</f>
        <v>Fil-bidu tas-seklu 20</v>
      </c>
    </row>
    <row r="5220" ht="15.75" customHeight="1">
      <c r="A5220" s="2" t="s">
        <v>5220</v>
      </c>
      <c r="B5220" s="2" t="str">
        <f>IFERROR(__xludf.DUMMYFUNCTION("GOOGLETRANSLATE(A5220, ""en"", ""mt"")"),"Liema sess huma l-iktar speċi ta 'ctenophores?")</f>
        <v>Liema sess huma l-iktar speċi ta 'ctenophores?</v>
      </c>
    </row>
    <row r="5221" ht="15.75" customHeight="1">
      <c r="A5221" s="2" t="s">
        <v>5221</v>
      </c>
      <c r="B5221" s="2" t="str">
        <f>IFERROR(__xludf.DUMMYFUNCTION("GOOGLETRANSLATE(A5221, ""en"", ""mt"")"),"Liema mutur spiċċaw jużaw minflok dak li riedet Tesla?")</f>
        <v>Liema mutur spiċċaw jużaw minflok dak li riedet Tesla?</v>
      </c>
    </row>
    <row r="5222" ht="15.75" customHeight="1">
      <c r="A5222" s="2" t="s">
        <v>5222</v>
      </c>
      <c r="B5222" s="2" t="str">
        <f>IFERROR(__xludf.DUMMYFUNCTION("GOOGLETRANSLATE(A5222, ""en"", ""mt"")"),"Protezzjoni tal-kreditur, drittijiet tax-xogħol biex jipparteċipaw fix-xogħol, jew l-interess pubbliku fil-ġbir tat-taxxi")</f>
        <v>Protezzjoni tal-kreditur, drittijiet tax-xogħol biex jipparteċipaw fix-xogħol, jew l-interess pubbliku fil-ġbir tat-taxxi</v>
      </c>
    </row>
    <row r="5223" ht="15.75" customHeight="1">
      <c r="A5223" s="2" t="s">
        <v>5223</v>
      </c>
      <c r="B5223" s="2" t="str">
        <f>IFERROR(__xludf.DUMMYFUNCTION("GOOGLETRANSLATE(A5223, ""en"", ""mt"")"),"Ħafna mill-bażi tat-taxxa tal-belt tinħela")</f>
        <v>Ħafna mill-bażi tat-taxxa tal-belt tinħela</v>
      </c>
    </row>
    <row r="5224" ht="15.75" customHeight="1">
      <c r="A5224" s="2" t="s">
        <v>5224</v>
      </c>
      <c r="B5224" s="2" t="str">
        <f>IFERROR(__xludf.DUMMYFUNCTION("GOOGLETRANSLATE(A5224, ""en"", ""mt"")"),"$ 40,000")</f>
        <v>$ 40,000</v>
      </c>
    </row>
    <row r="5225" ht="15.75" customHeight="1">
      <c r="A5225" s="2" t="s">
        <v>5225</v>
      </c>
      <c r="B5225" s="2" t="str">
        <f>IFERROR(__xludf.DUMMYFUNCTION("GOOGLETRANSLATE(A5225, ""en"", ""mt"")"),"kameras")</f>
        <v>kameras</v>
      </c>
    </row>
    <row r="5226" ht="15.75" customHeight="1">
      <c r="A5226" s="2" t="s">
        <v>5226</v>
      </c>
      <c r="B5226" s="2" t="str">
        <f>IFERROR(__xludf.DUMMYFUNCTION("GOOGLETRANSLATE(A5226, ""en"", ""mt"")"),"Subborgi mhux inkorporati")</f>
        <v>Subborgi mhux inkorporati</v>
      </c>
    </row>
    <row r="5227" ht="15.75" customHeight="1">
      <c r="A5227" s="2" t="s">
        <v>5227</v>
      </c>
      <c r="B5227" s="2" t="str">
        <f>IFERROR(__xludf.DUMMYFUNCTION("GOOGLETRANSLATE(A5227, ""en"", ""mt"")"),"Skandinavja")</f>
        <v>Skandinavja</v>
      </c>
    </row>
    <row r="5228" ht="15.75" customHeight="1">
      <c r="A5228" s="2" t="s">
        <v>5228</v>
      </c>
      <c r="B5228" s="2" t="str">
        <f>IFERROR(__xludf.DUMMYFUNCTION("GOOGLETRANSLATE(A5228, ""en"", ""mt"")"),"F'liema temperaturi l-O2 huwa aktar solubbli?")</f>
        <v>F'liema temperaturi l-O2 huwa aktar solubbli?</v>
      </c>
    </row>
    <row r="5229" ht="15.75" customHeight="1">
      <c r="A5229" s="2" t="s">
        <v>5229</v>
      </c>
      <c r="B5229" s="2" t="str">
        <f>IFERROR(__xludf.DUMMYFUNCTION("GOOGLETRANSLATE(A5229, ""en"", ""mt"")"),"cysteine ​​u metjonina")</f>
        <v>cysteine ​​u metjonina</v>
      </c>
    </row>
    <row r="5230" ht="15.75" customHeight="1">
      <c r="A5230" s="2" t="s">
        <v>5230</v>
      </c>
      <c r="B5230" s="2" t="str">
        <f>IFERROR(__xludf.DUMMYFUNCTION("GOOGLETRANSLATE(A5230, ""en"", ""mt"")"),"pjanti u fabbriki")</f>
        <v>pjanti u fabbriki</v>
      </c>
    </row>
    <row r="5231" ht="15.75" customHeight="1">
      <c r="A5231" s="2" t="s">
        <v>5231</v>
      </c>
      <c r="B5231" s="2" t="str">
        <f>IFERROR(__xludf.DUMMYFUNCTION("GOOGLETRANSLATE(A5231, ""en"", ""mt"")"),"X'interferixxi mat-tieni invażjoni ta 'Kublai fil-Ġappun?")</f>
        <v>X'interferixxi mat-tieni invażjoni ta 'Kublai fil-Ġappun?</v>
      </c>
    </row>
    <row r="5232" ht="15.75" customHeight="1">
      <c r="A5232" s="2" t="s">
        <v>5232</v>
      </c>
      <c r="B5232" s="2" t="str">
        <f>IFERROR(__xludf.DUMMYFUNCTION("GOOGLETRANSLATE(A5232, ""en"", ""mt"")"),"kastig")</f>
        <v>kastig</v>
      </c>
    </row>
    <row r="5233" ht="15.75" customHeight="1">
      <c r="A5233" s="2" t="s">
        <v>5233</v>
      </c>
      <c r="B5233" s="2" t="str">
        <f>IFERROR(__xludf.DUMMYFUNCTION("GOOGLETRANSLATE(A5233, ""en"", ""mt"")"),"Għal liema lejl ABC imexxi lil Betty ikrah f'tentattiv biex tingħata spinta lill-klassifikazzjonijiet tas-serje?")</f>
        <v>Għal liema lejl ABC imexxi lil Betty ikrah f'tentattiv biex tingħata spinta lill-klassifikazzjonijiet tas-serje?</v>
      </c>
    </row>
    <row r="5234" ht="15.75" customHeight="1">
      <c r="A5234" s="2" t="s">
        <v>5234</v>
      </c>
      <c r="B5234" s="2" t="str">
        <f>IFERROR(__xludf.DUMMYFUNCTION("GOOGLETRANSLATE(A5234, ""en"", ""mt"")"),"Korp u Demm ta ’Kristu")</f>
        <v>Korp u Demm ta ’Kristu</v>
      </c>
    </row>
    <row r="5235" ht="15.75" customHeight="1">
      <c r="A5235" s="2" t="s">
        <v>5235</v>
      </c>
      <c r="B5235" s="2" t="str">
        <f>IFERROR(__xludf.DUMMYFUNCTION("GOOGLETRANSLATE(A5235, ""en"", ""mt"")"),"Liema professjoni missieru Martin ried li ibnu jsegwi?")</f>
        <v>Liema professjoni missieru Martin ried li ibnu jsegwi?</v>
      </c>
    </row>
    <row r="5236" ht="15.75" customHeight="1">
      <c r="A5236" s="2" t="s">
        <v>5236</v>
      </c>
      <c r="B5236" s="2" t="str">
        <f>IFERROR(__xludf.DUMMYFUNCTION("GOOGLETRANSLATE(A5236, ""en"", ""mt"")"),"bl-ebda mod")</f>
        <v>bl-ebda mod</v>
      </c>
    </row>
    <row r="5237" ht="15.75" customHeight="1">
      <c r="A5237" s="2" t="s">
        <v>5237</v>
      </c>
      <c r="B5237" s="2" t="str">
        <f>IFERROR(__xludf.DUMMYFUNCTION("GOOGLETRANSLATE(A5237, ""en"", ""mt"")"),"X'inhu Decnet")</f>
        <v>X'inhu Decnet</v>
      </c>
    </row>
    <row r="5238" ht="15.75" customHeight="1">
      <c r="A5238" s="2" t="s">
        <v>5238</v>
      </c>
      <c r="B5238" s="2" t="str">
        <f>IFERROR(__xludf.DUMMYFUNCTION("GOOGLETRANSLATE(A5238, ""en"", ""mt"")"),"X'tesla qal lil Brisbane li ma emminx fih?")</f>
        <v>X'tesla qal lil Brisbane li ma emminx fih?</v>
      </c>
    </row>
    <row r="5239" ht="15.75" customHeight="1">
      <c r="A5239" s="2" t="s">
        <v>5239</v>
      </c>
      <c r="B5239" s="2" t="str">
        <f>IFERROR(__xludf.DUMMYFUNCTION("GOOGLETRANSLATE(A5239, ""en"", ""mt"")"),"Fl-Istati Uniti l-UMC jikklassifika bħala l-akbar x'inhu?")</f>
        <v>Fl-Istati Uniti l-UMC jikklassifika bħala l-akbar x'inhu?</v>
      </c>
    </row>
    <row r="5240" ht="15.75" customHeight="1">
      <c r="A5240" s="2" t="s">
        <v>5240</v>
      </c>
      <c r="B5240" s="2" t="str">
        <f>IFERROR(__xludf.DUMMYFUNCTION("GOOGLETRANSLATE(A5240, ""en"", ""mt"")"),"L-esej ta 'Thoreau ma ġiex ippubblikat sa wara t-tmiem tal-Gwerra tal-Messiku")</f>
        <v>L-esej ta 'Thoreau ma ġiex ippubblikat sa wara t-tmiem tal-Gwerra tal-Messiku</v>
      </c>
    </row>
    <row r="5241" ht="15.75" customHeight="1">
      <c r="A5241" s="2" t="s">
        <v>5241</v>
      </c>
      <c r="B5241" s="2" t="str">
        <f>IFERROR(__xludf.DUMMYFUNCTION("GOOGLETRANSLATE(A5241, ""en"", ""mt"")"),"Biex tikkoordina r-rispons għall-embargo")</f>
        <v>Biex tikkoordina r-rispons għall-embargo</v>
      </c>
    </row>
    <row r="5242" ht="15.75" customHeight="1">
      <c r="A5242" s="2" t="s">
        <v>5242</v>
      </c>
      <c r="B5242" s="2" t="str">
        <f>IFERROR(__xludf.DUMMYFUNCTION("GOOGLETRANSLATE(A5242, ""en"", ""mt"")"),"Ta 'tħassib partikolari mal-ispiżeriji tal-internet hija l-faċilità li biha n-nies, b'mod partikolari ż-żgħażagħ, jistgħu jiksbu sustanzi kkontrollati (per eżempju, vicodin, magħruf ġenerikament bħala hydrocodone) permezz tal-Internet mingħajr riċetta maħ"&amp;"ruġa minn tabib / prattikant li għandu tabib stabbilit relazzjoni. Hemm ħafna każijiet fejn prattikant joħroġ preskrizzjoni, senserija minn server tal-internet, għal sustanza kkontrollata għal ""pazjent"" li qatt ma ltaqa '. sustanza li għandha tkun valid"&amp;"a, għandha tinħareġ għal skop mediku leġittimu minn prattikant liċenzjat li jaġixxi matul ir-relazzjoni leġittima ta 'tabib-pazjent. L-ispiżerija tal-mili għandha responsabbiltà korrispondenti biex tiżgura li l-preskrizzjoni tkun valida. Ħafna drabi, il-l"&amp;"iġijiet tal-istat individwali jiddeskrivu dak li jiddefinixxi relazzjoni valida tal-pazjent-toctor.")</f>
        <v>Ta 'tħassib partikolari mal-ispiżeriji tal-internet hija l-faċilità li biha n-nies, b'mod partikolari ż-żgħażagħ, jistgħu jiksbu sustanzi kkontrollati (per eżempju, vicodin, magħruf ġenerikament bħala hydrocodone) permezz tal-Internet mingħajr riċetta maħruġa minn tabib / prattikant li għandu tabib stabbilit relazzjoni. Hemm ħafna każijiet fejn prattikant joħroġ preskrizzjoni, senserija minn server tal-internet, għal sustanza kkontrollata għal "pazjent" li qatt ma ltaqa '. sustanza li għandha tkun valida, għandha tinħareġ għal skop mediku leġittimu minn prattikant liċenzjat li jaġixxi matul ir-relazzjoni leġittima ta 'tabib-pazjent. L-ispiżerija tal-mili għandha responsabbiltà korrispondenti biex tiżgura li l-preskrizzjoni tkun valida. Ħafna drabi, il-liġijiet tal-istat individwali jiddeskrivu dak li jiddefinixxi relazzjoni valida tal-pazjent-toctor.</v>
      </c>
    </row>
    <row r="5243" ht="15.75" customHeight="1">
      <c r="A5243" s="2" t="s">
        <v>5243</v>
      </c>
      <c r="B5243" s="2" t="str">
        <f>IFERROR(__xludf.DUMMYFUNCTION("GOOGLETRANSLATE(A5243, ""en"", ""mt"")"),"it-tielet l-iktar")</f>
        <v>it-tielet l-iktar</v>
      </c>
    </row>
    <row r="5244" ht="15.75" customHeight="1">
      <c r="A5244" s="2" t="s">
        <v>5244</v>
      </c>
      <c r="B5244" s="2" t="str">
        <f>IFERROR(__xludf.DUMMYFUNCTION("GOOGLETRANSLATE(A5244, ""en"", ""mt"")"),"Ċelloli Killer Naturali Ċitotossiċi u CTLs")</f>
        <v>Ċelloli Killer Naturali Ċitotossiċi u CTLs</v>
      </c>
    </row>
    <row r="5245" ht="15.75" customHeight="1">
      <c r="A5245" s="2" t="s">
        <v>5245</v>
      </c>
      <c r="B5245" s="2" t="str">
        <f>IFERROR(__xludf.DUMMYFUNCTION("GOOGLETRANSLATE(A5245, ""en"", ""mt"")"),"Liema grupp ta 'diżubbidjenti ċivili ġab il-mediċina fl-Iraq mingħajr il-permess tal-gvern?")</f>
        <v>Liema grupp ta 'diżubbidjenti ċivili ġab il-mediċina fl-Iraq mingħajr il-permess tal-gvern?</v>
      </c>
    </row>
    <row r="5246" ht="15.75" customHeight="1">
      <c r="A5246" s="2" t="s">
        <v>5246</v>
      </c>
      <c r="B5246" s="2" t="str">
        <f>IFERROR(__xludf.DUMMYFUNCTION("GOOGLETRANSLATE(A5246, ""en"", ""mt"")"),"ottimizzazzjoni ta 'trattament ta' mediċina għal individwu")</f>
        <v>ottimizzazzjoni ta 'trattament ta' mediċina għal individwu</v>
      </c>
    </row>
    <row r="5247" ht="15.75" customHeight="1">
      <c r="A5247" s="2" t="s">
        <v>5247</v>
      </c>
      <c r="B5247" s="2" t="str">
        <f>IFERROR(__xludf.DUMMYFUNCTION("GOOGLETRANSLATE(A5247, ""en"", ""mt"")"),"aktar minn 18-il miljun")</f>
        <v>aktar minn 18-il miljun</v>
      </c>
    </row>
    <row r="5248" ht="15.75" customHeight="1">
      <c r="A5248" s="2" t="s">
        <v>5248</v>
      </c>
      <c r="B5248" s="2" t="str">
        <f>IFERROR(__xludf.DUMMYFUNCTION("GOOGLETRANSLATE(A5248, ""en"", ""mt"")"),"Dak li jservi bħala barriera bijoloġika billi jikkompeti għall-ispazju u l-ikel fil-passaġġ GI?")</f>
        <v>Dak li jservi bħala barriera bijoloġika billi jikkompeti għall-ispazju u l-ikel fil-passaġġ GI?</v>
      </c>
    </row>
    <row r="5249" ht="15.75" customHeight="1">
      <c r="A5249" s="2" t="s">
        <v>5249</v>
      </c>
      <c r="B5249" s="2" t="str">
        <f>IFERROR(__xludf.DUMMYFUNCTION("GOOGLETRANSLATE(A5249, ""en"", ""mt"")"),"Meqrud b'suċċess Fort Frontenac")</f>
        <v>Meqrud b'suċċess Fort Frontenac</v>
      </c>
    </row>
    <row r="5250" ht="15.75" customHeight="1">
      <c r="A5250" s="2" t="s">
        <v>5250</v>
      </c>
      <c r="B5250" s="2" t="str">
        <f>IFERROR(__xludf.DUMMYFUNCTION("GOOGLETRANSLATE(A5250, ""en"", ""mt"")"),"66–34")</f>
        <v>66–34</v>
      </c>
    </row>
    <row r="5251" ht="15.75" customHeight="1">
      <c r="A5251" s="2" t="s">
        <v>5251</v>
      </c>
      <c r="B5251" s="2" t="str">
        <f>IFERROR(__xludf.DUMMYFUNCTION("GOOGLETRANSLATE(A5251, ""en"", ""mt"")"),"potenzjali")</f>
        <v>potenzjali</v>
      </c>
    </row>
    <row r="5252" ht="15.75" customHeight="1">
      <c r="A5252" s="2" t="s">
        <v>5252</v>
      </c>
      <c r="B5252" s="2" t="str">
        <f>IFERROR(__xludf.DUMMYFUNCTION("GOOGLETRANSLATE(A5252, ""en"", ""mt"")"),"Avveniment ta 'Ignition")</f>
        <v>Avveniment ta 'Ignition</v>
      </c>
    </row>
    <row r="5253" ht="15.75" customHeight="1">
      <c r="A5253" s="2" t="s">
        <v>5253</v>
      </c>
      <c r="B5253" s="2" t="str">
        <f>IFERROR(__xludf.DUMMYFUNCTION("GOOGLETRANSLATE(A5253, ""en"", ""mt"")"),"negozjati")</f>
        <v>negozjati</v>
      </c>
    </row>
    <row r="5254" ht="15.75" customHeight="1">
      <c r="A5254" s="2" t="s">
        <v>5254</v>
      </c>
      <c r="B5254" s="2" t="str">
        <f>IFERROR(__xludf.DUMMYFUNCTION("GOOGLETRANSLATE(A5254, ""en"", ""mt"")"),"Is-Sibt, 23 ta ’Novembru 1963")</f>
        <v>Is-Sibt, 23 ta ’Novembru 1963</v>
      </c>
    </row>
    <row r="5255" ht="15.75" customHeight="1">
      <c r="A5255" s="2" t="s">
        <v>5255</v>
      </c>
      <c r="B5255" s="2" t="str">
        <f>IFERROR(__xludf.DUMMYFUNCTION("GOOGLETRANSLATE(A5255, ""en"", ""mt"")"),"F'liema data Henry Kissinger innegozja rtirar ta 'truppi Iżraeljani mill-Peniżola tas-Sinaj?")</f>
        <v>F'liema data Henry Kissinger innegozja rtirar ta 'truppi Iżraeljani mill-Peniżola tas-Sinaj?</v>
      </c>
    </row>
    <row r="5256" ht="15.75" customHeight="1">
      <c r="A5256" s="2" t="s">
        <v>5256</v>
      </c>
      <c r="B5256" s="2" t="str">
        <f>IFERROR(__xludf.DUMMYFUNCTION("GOOGLETRANSLATE(A5256, ""en"", ""mt"")"),"X'qed tieħu l-partit fuq l-istorja Musulmana?")</f>
        <v>X'qed tieħu l-partit fuq l-istorja Musulmana?</v>
      </c>
    </row>
    <row r="5257" ht="15.75" customHeight="1">
      <c r="A5257" s="2" t="s">
        <v>5257</v>
      </c>
      <c r="B5257" s="2" t="str">
        <f>IFERROR(__xludf.DUMMYFUNCTION("GOOGLETRANSLATE(A5257, ""en"", ""mt"")"),"Formalizza front unifikat fil-kummerċ u n-negozjati ma 'diversi Indjani, peress li l-lealtà tad-diversi tribujiet u nazzjonijiet kienet meqjusa bħala kruċjali")</f>
        <v>Formalizza front unifikat fil-kummerċ u n-negozjati ma 'diversi Indjani, peress li l-lealtà tad-diversi tribujiet u nazzjonijiet kienet meqjusa bħala kruċjali</v>
      </c>
    </row>
    <row r="5258" ht="15.75" customHeight="1">
      <c r="A5258" s="2" t="s">
        <v>5258</v>
      </c>
      <c r="B5258" s="2" t="str">
        <f>IFERROR(__xludf.DUMMYFUNCTION("GOOGLETRANSLATE(A5258, ""en"", ""mt"")"),"Kemm kienu flus biex imorru għan-netwerk tat-televiżjoni Dumont taħt il-pjan ta 'għaqda ta' Goldenson?")</f>
        <v>Kemm kienu flus biex imorru għan-netwerk tat-televiżjoni Dumont taħt il-pjan ta 'għaqda ta' Goldenson?</v>
      </c>
    </row>
    <row r="5259" ht="15.75" customHeight="1">
      <c r="A5259" s="2" t="s">
        <v>5259</v>
      </c>
      <c r="B5259" s="2" t="str">
        <f>IFERROR(__xludf.DUMMYFUNCTION("GOOGLETRANSLATE(A5259, ""en"", ""mt"")"),"F'liema tip ta 'ilma l-ossiġnu jinħall aktar bil-mod?")</f>
        <v>F'liema tip ta 'ilma l-ossiġnu jinħall aktar bil-mod?</v>
      </c>
    </row>
    <row r="5260" ht="15.75" customHeight="1">
      <c r="A5260" s="2" t="s">
        <v>5260</v>
      </c>
      <c r="B5260" s="2" t="str">
        <f>IFERROR(__xludf.DUMMYFUNCTION("GOOGLETRANSLATE(A5260, ""en"", ""mt"")"),"L-influwenza ta 'l-Indja tista' tidher f'liema arti reliġjużi oġġetti mit-Tajlandja, Burma u l-Kambodja?")</f>
        <v>L-influwenza ta 'l-Indja tista' tidher f'liema arti reliġjużi oġġetti mit-Tajlandja, Burma u l-Kambodja?</v>
      </c>
    </row>
    <row r="5261" ht="15.75" customHeight="1">
      <c r="A5261" s="2" t="s">
        <v>5261</v>
      </c>
      <c r="B5261" s="2" t="str">
        <f>IFERROR(__xludf.DUMMYFUNCTION("GOOGLETRANSLATE(A5261, ""en"", ""mt"")"),"Strettament min kien inkluż fid-DataNet 1")</f>
        <v>Strettament min kien inkluż fid-DataNet 1</v>
      </c>
    </row>
    <row r="5262" ht="15.75" customHeight="1">
      <c r="A5262" s="2" t="s">
        <v>5262</v>
      </c>
      <c r="B5262" s="2" t="str">
        <f>IFERROR(__xludf.DUMMYFUNCTION("GOOGLETRANSLATE(A5262, ""en"", ""mt"")"),"Kemm intefqu flus fuq festi oħra fiż-Żona tal-Bajja biex jgħinu jiċċelebraw is-Super Bowl 50 li ġej?")</f>
        <v>Kemm intefqu flus fuq festi oħra fiż-Żona tal-Bajja biex jgħinu jiċċelebraw is-Super Bowl 50 li ġej?</v>
      </c>
    </row>
    <row r="5263" ht="15.75" customHeight="1">
      <c r="A5263" s="2" t="s">
        <v>5263</v>
      </c>
      <c r="B5263" s="2" t="str">
        <f>IFERROR(__xludf.DUMMYFUNCTION("GOOGLETRANSLATE(A5263, ""en"", ""mt"")"),"Ilma (H2O) u dijossidu tal-karbonju (CO2)")</f>
        <v>Ilma (H2O) u dijossidu tal-karbonju (CO2)</v>
      </c>
    </row>
    <row r="5264" ht="15.75" customHeight="1">
      <c r="A5264" s="2" t="s">
        <v>5264</v>
      </c>
      <c r="B5264" s="2" t="str">
        <f>IFERROR(__xludf.DUMMYFUNCTION("GOOGLETRANSLATE(A5264, ""en"", ""mt"")"),"Il-funfair tal-hoppings")</f>
        <v>Il-funfair tal-hoppings</v>
      </c>
    </row>
    <row r="5265" ht="15.75" customHeight="1">
      <c r="A5265" s="2" t="s">
        <v>5265</v>
      </c>
      <c r="B5265" s="2" t="str">
        <f>IFERROR(__xludf.DUMMYFUNCTION("GOOGLETRANSLATE(A5265, ""en"", ""mt"")"),"Dak li jingħad li huwa l-akbar funfair li jivvjaġġa fl-Ewropa?")</f>
        <v>Dak li jingħad li huwa l-akbar funfair li jivvjaġġa fl-Ewropa?</v>
      </c>
    </row>
    <row r="5266" ht="15.75" customHeight="1">
      <c r="A5266" s="2" t="s">
        <v>5266</v>
      </c>
      <c r="B5266" s="2" t="str">
        <f>IFERROR(__xludf.DUMMYFUNCTION("GOOGLETRANSLATE(A5266, ""en"", ""mt"")"),"provvista u domanda")</f>
        <v>provvista u domanda</v>
      </c>
    </row>
    <row r="5267" ht="15.75" customHeight="1">
      <c r="A5267" s="2" t="s">
        <v>5267</v>
      </c>
      <c r="B5267" s="2" t="str">
        <f>IFERROR(__xludf.DUMMYFUNCTION("GOOGLETRANSLATE(A5267, ""en"", ""mt"")"),"l-oqsma li fihom tista 'tagħmel liġijiet")</f>
        <v>l-oqsma li fihom tista 'tagħmel liġijiet</v>
      </c>
    </row>
    <row r="5268" ht="15.75" customHeight="1">
      <c r="A5268" s="2" t="s">
        <v>5268</v>
      </c>
      <c r="B5268" s="2" t="str">
        <f>IFERROR(__xludf.DUMMYFUNCTION("GOOGLETRANSLATE(A5268, ""en"", ""mt"")"),"Elementi ta 'Euclid")</f>
        <v>Elementi ta 'Euclid</v>
      </c>
    </row>
    <row r="5269" ht="15.75" customHeight="1">
      <c r="A5269" s="2" t="s">
        <v>5269</v>
      </c>
      <c r="B5269" s="2" t="str">
        <f>IFERROR(__xludf.DUMMYFUNCTION("GOOGLETRANSLATE(A5269, ""en"", ""mt"")"),"X'jista 'jkun meħtieġ ukoll mill-għalliema, f'xi oqsma?")</f>
        <v>X'jista 'jkun meħtieġ ukoll mill-għalliema, f'xi oqsma?</v>
      </c>
    </row>
    <row r="5270" ht="15.75" customHeight="1">
      <c r="A5270" s="2" t="s">
        <v>5270</v>
      </c>
      <c r="B5270" s="2" t="str">
        <f>IFERROR(__xludf.DUMMYFUNCTION("GOOGLETRANSLATE(A5270, ""en"", ""mt"")"),"Kif qal Luther li r-raġuni tikkontribwixxi għall-fidi?")</f>
        <v>Kif qal Luther li r-raġuni tikkontribwixxi għall-fidi?</v>
      </c>
    </row>
    <row r="5271" ht="15.75" customHeight="1">
      <c r="A5271" s="2" t="s">
        <v>5271</v>
      </c>
      <c r="B5271" s="2" t="str">
        <f>IFERROR(__xludf.DUMMYFUNCTION("GOOGLETRANSLATE(A5271, ""en"", ""mt"")"),"L-Università u l-Akkademja Militari")</f>
        <v>L-Università u l-Akkademja Militari</v>
      </c>
    </row>
    <row r="5272" ht="15.75" customHeight="1">
      <c r="A5272" s="2" t="s">
        <v>5272</v>
      </c>
      <c r="B5272" s="2" t="str">
        <f>IFERROR(__xludf.DUMMYFUNCTION("GOOGLETRANSLATE(A5272, ""en"", ""mt"")"),"perpendikulari")</f>
        <v>perpendikulari</v>
      </c>
    </row>
    <row r="5273" ht="15.75" customHeight="1">
      <c r="A5273" s="2" t="s">
        <v>5273</v>
      </c>
      <c r="B5273" s="2" t="str">
        <f>IFERROR(__xludf.DUMMYFUNCTION("GOOGLETRANSLATE(A5273, ""en"", ""mt"")"),"Liema oġġetti nbiegħu fi farmaċewtika?")</f>
        <v>Liema oġġetti nbiegħu fi farmaċewtika?</v>
      </c>
    </row>
    <row r="5274" ht="15.75" customHeight="1">
      <c r="A5274" s="2" t="s">
        <v>5274</v>
      </c>
      <c r="B5274" s="2" t="str">
        <f>IFERROR(__xludf.DUMMYFUNCTION("GOOGLETRANSLATE(A5274, ""en"", ""mt"")"),"Town Hall il-Qadim")</f>
        <v>Town Hall il-Qadim</v>
      </c>
    </row>
    <row r="5275" ht="15.75" customHeight="1">
      <c r="A5275" s="2" t="s">
        <v>5275</v>
      </c>
      <c r="B5275" s="2" t="str">
        <f>IFERROR(__xludf.DUMMYFUNCTION("GOOGLETRANSLATE(A5275, ""en"", ""mt"")"),"Minbarra ħafna ġranet xemxija, liema karatteristika hija tipika għall-klima fi Souther California?")</f>
        <v>Minbarra ħafna ġranet xemxija, liema karatteristika hija tipika għall-klima fi Souther California?</v>
      </c>
    </row>
    <row r="5276" ht="15.75" customHeight="1">
      <c r="A5276" s="2" t="s">
        <v>5276</v>
      </c>
      <c r="B5276" s="2" t="str">
        <f>IFERROR(__xludf.DUMMYFUNCTION("GOOGLETRANSLATE(A5276, ""en"", ""mt"")"),"Metropolitana Internazzjonali")</f>
        <v>Metropolitana Internazzjonali</v>
      </c>
    </row>
    <row r="5277" ht="15.75" customHeight="1">
      <c r="A5277" s="2" t="s">
        <v>5277</v>
      </c>
      <c r="B5277" s="2" t="str">
        <f>IFERROR(__xludf.DUMMYFUNCTION("GOOGLETRANSLATE(A5277, ""en"", ""mt"")"),"Il-PM se jkollu s-setgħa u l-awtorità biex jikkoordina u jissorvelja l-funzjonijiet tal-gvern")</f>
        <v>Il-PM se jkollu s-setgħa u l-awtorità biex jikkoordina u jissorvelja l-funzjonijiet tal-gvern</v>
      </c>
    </row>
    <row r="5278" ht="15.75" customHeight="1">
      <c r="A5278" s="2" t="s">
        <v>5278</v>
      </c>
      <c r="B5278" s="2" t="str">
        <f>IFERROR(__xludf.DUMMYFUNCTION("GOOGLETRANSLATE(A5278, ""en"", ""mt"")"),"Kif jista 'xi ħadd jiġi rikonoxxut bħala qaddej tal-knisja lokali?")</f>
        <v>Kif jista 'xi ħadd jiġi rikonoxxut bħala qaddej tal-knisja lokali?</v>
      </c>
    </row>
    <row r="5279" ht="15.75" customHeight="1">
      <c r="A5279" s="2" t="s">
        <v>5279</v>
      </c>
      <c r="B5279" s="2" t="str">
        <f>IFERROR(__xludf.DUMMYFUNCTION("GOOGLETRANSLATE(A5279, ""en"", ""mt"")"),"kull patoġen speċifiku")</f>
        <v>kull patoġen speċifiku</v>
      </c>
    </row>
    <row r="5280" ht="15.75" customHeight="1">
      <c r="A5280" s="2" t="s">
        <v>5280</v>
      </c>
      <c r="B5280" s="2" t="str">
        <f>IFERROR(__xludf.DUMMYFUNCTION("GOOGLETRANSLATE(A5280, ""en"", ""mt"")"),"L-ipoteżi atomika oriġinali ta 'John Dalton assumiet li l-elementi kollha kienu monatomiċi u li l-atomi fil-komposti normalment ikollhom il-proporzjonijiet atomiċi l-aktar sempliċi fir-rigward ta' xulxin. Pereżempju, Dalton assuma li l-formula tal-ilma ki"&amp;"enet HO, li tagħti l-massa atomika ta 'ossiġnu bħala 8 darbiet dik ta' l-idroġenu, minflok il-valur modern ta 'madwar 16. Fl-1805, Joseph Louis Gay-Lussac u Alexander von Humboldt wera li l-ilma huwa ffurmat ta 'żewġ volumi ta' idroġenu u volum wieħed ta "&amp;"'ossiġnu; u sal-1811 Amedeo Avogadro kien wasal għall-interpretazzjoni t-tajba tal-kompożizzjoni tal-ilma, ibbażat fuq dak li issa jissejjaħ il-liġi ta 'Avogadro u l-assunzjoni ta' molekuli elementali diatomiċi. [A]")</f>
        <v>L-ipoteżi atomika oriġinali ta 'John Dalton assumiet li l-elementi kollha kienu monatomiċi u li l-atomi fil-komposti normalment ikollhom il-proporzjonijiet atomiċi l-aktar sempliċi fir-rigward ta' xulxin. Pereżempju, Dalton assuma li l-formula tal-ilma kienet HO, li tagħti l-massa atomika ta 'ossiġnu bħala 8 darbiet dik ta' l-idroġenu, minflok il-valur modern ta 'madwar 16. Fl-1805, Joseph Louis Gay-Lussac u Alexander von Humboldt wera li l-ilma huwa ffurmat ta 'żewġ volumi ta' idroġenu u volum wieħed ta 'ossiġnu; u sal-1811 Amedeo Avogadro kien wasal għall-interpretazzjoni t-tajba tal-kompożizzjoni tal-ilma, ibbażat fuq dak li issa jissejjaħ il-liġi ta 'Avogadro u l-assunzjoni ta' molekuli elementali diatomiċi. [A]</v>
      </c>
    </row>
    <row r="5281" ht="15.75" customHeight="1">
      <c r="A5281" s="2" t="s">
        <v>5281</v>
      </c>
      <c r="B5281" s="2" t="str">
        <f>IFERROR(__xludf.DUMMYFUNCTION("GOOGLETRANSLATE(A5281, ""en"", ""mt"")"),"Liema komposti organiċi fihom l-akbar ammont ta 'ossiġenu bil-massa?")</f>
        <v>Liema komposti organiċi fihom l-akbar ammont ta 'ossiġenu bil-massa?</v>
      </c>
    </row>
    <row r="5282" ht="15.75" customHeight="1">
      <c r="A5282" s="2" t="s">
        <v>5282</v>
      </c>
      <c r="B5282" s="2" t="str">
        <f>IFERROR(__xludf.DUMMYFUNCTION("GOOGLETRANSLATE(A5282, ""en"", ""mt"")"),"Minn xiex jospita ħafna minn Varsavja?")</f>
        <v>Minn xiex jospita ħafna minn Varsavja?</v>
      </c>
    </row>
    <row r="5283" ht="15.75" customHeight="1">
      <c r="A5283" s="2" t="s">
        <v>5283</v>
      </c>
      <c r="B5283" s="2" t="str">
        <f>IFERROR(__xludf.DUMMYFUNCTION("GOOGLETRANSLATE(A5283, ""en"", ""mt"")"),"X'inhu l-akbar tip ta 'kondotta ħażina li qed tiġi riveduta mill-midja?")</f>
        <v>X'inhu l-akbar tip ta 'kondotta ħażina li qed tiġi riveduta mill-midja?</v>
      </c>
    </row>
    <row r="5284" ht="15.75" customHeight="1">
      <c r="A5284" s="2" t="s">
        <v>5284</v>
      </c>
      <c r="B5284" s="2" t="str">
        <f>IFERROR(__xludf.DUMMYFUNCTION("GOOGLETRANSLATE(A5284, ""en"", ""mt"")"),"Trattat ta 'Hubertusburg fil-15 ta' Frar 1763")</f>
        <v>Trattat ta 'Hubertusburg fil-15 ta' Frar 1763</v>
      </c>
    </row>
    <row r="5285" ht="15.75" customHeight="1">
      <c r="A5285" s="2" t="s">
        <v>5285</v>
      </c>
      <c r="B5285" s="2" t="str">
        <f>IFERROR(__xludf.DUMMYFUNCTION("GOOGLETRANSLATE(A5285, ""en"", ""mt"")"),"fażi ta 'setup f'kull nodu involut")</f>
        <v>fażi ta 'setup f'kull nodu involut</v>
      </c>
    </row>
    <row r="5286" ht="15.75" customHeight="1">
      <c r="A5286" s="2" t="s">
        <v>5286</v>
      </c>
      <c r="B5286" s="2" t="str">
        <f>IFERROR(__xludf.DUMMYFUNCTION("GOOGLETRANSLATE(A5286, ""en"", ""mt"")"),"Il-kampjonat eventwalment naqqas l-offerti għal tliet siti: Mercedes-Benz Superdome ta 'New Orleans, Miami's Sun Life Stadium, u l-istadium Levi tal-Levi tal-Bajja ta' San Francisco.")</f>
        <v>Il-kampjonat eventwalment naqqas l-offerti għal tliet siti: Mercedes-Benz Superdome ta 'New Orleans, Miami's Sun Life Stadium, u l-istadium Levi tal-Levi tal-Bajja ta' San Francisco.</v>
      </c>
    </row>
    <row r="5287" ht="15.75" customHeight="1">
      <c r="A5287" s="2" t="s">
        <v>5287</v>
      </c>
      <c r="B5287" s="2" t="str">
        <f>IFERROR(__xludf.DUMMYFUNCTION("GOOGLETRANSLATE(A5287, ""en"", ""mt"")"),"l-orjent kontemporanju")</f>
        <v>l-orjent kontemporanju</v>
      </c>
    </row>
    <row r="5288" ht="15.75" customHeight="1">
      <c r="A5288" s="2" t="s">
        <v>5288</v>
      </c>
      <c r="B5288" s="2" t="str">
        <f>IFERROR(__xludf.DUMMYFUNCTION("GOOGLETRANSLATE(A5288, ""en"", ""mt"")"),"Bricks għal Varsavja")</f>
        <v>Bricks għal Varsavja</v>
      </c>
    </row>
    <row r="5289" ht="15.75" customHeight="1">
      <c r="A5289" s="2" t="s">
        <v>5289</v>
      </c>
      <c r="B5289" s="2" t="str">
        <f>IFERROR(__xludf.DUMMYFUNCTION("GOOGLETRANSLATE(A5289, ""en"", ""mt"")"),"Eicosanoids u ċitokini")</f>
        <v>Eicosanoids u ċitokini</v>
      </c>
    </row>
    <row r="5290" ht="15.75" customHeight="1">
      <c r="A5290" s="2" t="s">
        <v>5290</v>
      </c>
      <c r="B5290" s="2" t="str">
        <f>IFERROR(__xludf.DUMMYFUNCTION("GOOGLETRANSLATE(A5290, ""en"", ""mt"")"),"Luther marret torqod tikkwota liema Iskrittura?")</f>
        <v>Luther marret torqod tikkwota liema Iskrittura?</v>
      </c>
    </row>
    <row r="5291" ht="15.75" customHeight="1">
      <c r="A5291" s="2" t="s">
        <v>5291</v>
      </c>
      <c r="B5291" s="2" t="str">
        <f>IFERROR(__xludf.DUMMYFUNCTION("GOOGLETRANSLATE(A5291, ""en"", ""mt"")"),"X'inhu respibbli biex titħaffef jew tnaqqas ir-ritmu ta 'oġġett?")</f>
        <v>X'inhu respibbli biex titħaffef jew tnaqqas ir-ritmu ta 'oġġett?</v>
      </c>
    </row>
    <row r="5292" ht="15.75" customHeight="1">
      <c r="A5292" s="2" t="s">
        <v>5292</v>
      </c>
      <c r="B5292" s="2" t="str">
        <f>IFERROR(__xludf.DUMMYFUNCTION("GOOGLETRANSLATE(A5292, ""en"", ""mt"")"),"Politikament, ir-Rabat għandha 37 siġġu fil-Kamra tar-Rappreżentanti Awstraljana u 12-il siġġu fis-Senat Awstraljan. Fil-livell tal-istat, il-Parlament tar-Rabat jikkonsisti fl-Assemblea Leġiżlattiva (il-Kamra l-Baxxa) u l-Kunsill Leġiżlattiv (il-Kamra ta"&amp;" ’Fuq). Victoria bħalissa hija rregolata mill-Partit Laburista, ma 'Daniel Andrews il-premier attwali. Ir-rappreżentant personali tar-Reġina tal-Awstralja fl-istat huwa l-Gvernatur tar-Rabat, bħalissa Linda Dessau. Il-gvern lokali huwa kkonċentrat f'79 di"&amp;"strett muniċipali, inklużi 33 belt, għalkemm numru ta 'żoni mhux inkorporati għadhom jeżistu, li huma amministrati direttament mill-istat.")</f>
        <v>Politikament, ir-Rabat għandha 37 siġġu fil-Kamra tar-Rappreżentanti Awstraljana u 12-il siġġu fis-Senat Awstraljan. Fil-livell tal-istat, il-Parlament tar-Rabat jikkonsisti fl-Assemblea Leġiżlattiva (il-Kamra l-Baxxa) u l-Kunsill Leġiżlattiv (il-Kamra ta ’Fuq). Victoria bħalissa hija rregolata mill-Partit Laburista, ma 'Daniel Andrews il-premier attwali. Ir-rappreżentant personali tar-Reġina tal-Awstralja fl-istat huwa l-Gvernatur tar-Rabat, bħalissa Linda Dessau. Il-gvern lokali huwa kkonċentrat f'79 distrett muniċipali, inklużi 33 belt, għalkemm numru ta 'żoni mhux inkorporati għadhom jeżistu, li huma amministrati direttament mill-istat.</v>
      </c>
    </row>
    <row r="5293" ht="15.75" customHeight="1">
      <c r="A5293" s="2" t="s">
        <v>5293</v>
      </c>
      <c r="B5293" s="2" t="str">
        <f>IFERROR(__xludf.DUMMYFUNCTION("GOOGLETRANSLATE(A5293, ""en"", ""mt"")"),"fis-sinkronizzazzjoni")</f>
        <v>fis-sinkronizzazzjoni</v>
      </c>
    </row>
    <row r="5294" ht="15.75" customHeight="1">
      <c r="A5294" s="2" t="s">
        <v>5294</v>
      </c>
      <c r="B5294" s="2" t="str">
        <f>IFERROR(__xludf.DUMMYFUNCTION("GOOGLETRANSLATE(A5294, ""en"", ""mt"")"),"Il-galleriji jgħaqqdu wkoll id-disinn ma 'xejriet usa' fil-kultura Ingliża. Pereżempju, id-disinn fil-perjodu ta 'Tudor kien influwenzat mit-tixrid ta' kotba stampati u x-xogħol ta 'artisti u nies tas-sengħa Ewropej impjegati fil-Gran Brittanja. Fil-perjo"&amp;"du ta 'Stuart, iż-żieda fil-kummerċ, speċjalment mal-Asja, ippermettiet aċċess usa' għal lussu bħal twapet, għamara lakka, ħarir u porċellana. Fl-età tal-Ġeorġja kien hemm enfasi dejjem akbar fuq id-divertiment u d-divertiment. Pereżempju, iż-żieda fix-xo"&amp;"rb tat-te wasslet għall-produzzjoni ta 'parafernalia tat-te bħaċ-Ċina u l-kaddijiet. Stili Ewropej li dehru fuq il-Grand Tour influwenzaw ukoll it-togħma. Hekk kif ir-Rivoluzzjoni Industrijali qabdet, it-tkabbir tal-produzzjoni tal-massa pproduċa intrapre"&amp;"ndituri bħal Josiah Wedgwood, Matthew Boulton u Eleanor Coade. Fl-era Vittorjana t-teknoloġija u l-makkinarju l-ġdid kellhom effett sinifikanti fuq il-manifattura, u għall-ewwel darba mir-Riforma, il-knejjes Kattoliċi Anglikani u Rumani kellhom effett kbi"&amp;"r fuq l-arti u d-disinn bħall-qawmien mill-ġdid Gotiku. Hemm wirja kbira fuq il-wirja l-kbira li, fost affarijiet oħra, wasslet għall-fondazzjoni tal-V &amp; A. Fis-seklu 19 aktar tard, ir-ritmu dejjem jiżdied kontra l-industrijalizzazzjoni, immexxi minn John"&amp;" Ruskin, ikkontribwixxa għall-moviment tal-arti u l-artiġjanat.")</f>
        <v>Il-galleriji jgħaqqdu wkoll id-disinn ma 'xejriet usa' fil-kultura Ingliża. Pereżempju, id-disinn fil-perjodu ta 'Tudor kien influwenzat mit-tixrid ta' kotba stampati u x-xogħol ta 'artisti u nies tas-sengħa Ewropej impjegati fil-Gran Brittanja. Fil-perjodu ta 'Stuart, iż-żieda fil-kummerċ, speċjalment mal-Asja, ippermettiet aċċess usa' għal lussu bħal twapet, għamara lakka, ħarir u porċellana. Fl-età tal-Ġeorġja kien hemm enfasi dejjem akbar fuq id-divertiment u d-divertiment. Pereżempju, iż-żieda fix-xorb tat-te wasslet għall-produzzjoni ta 'parafernalia tat-te bħaċ-Ċina u l-kaddijiet. Stili Ewropej li dehru fuq il-Grand Tour influwenzaw ukoll it-togħma. Hekk kif ir-Rivoluzzjoni Industrijali qabdet, it-tkabbir tal-produzzjoni tal-massa pproduċa intraprendituri bħal Josiah Wedgwood, Matthew Boulton u Eleanor Coade. Fl-era Vittorjana t-teknoloġija u l-makkinarju l-ġdid kellhom effett sinifikanti fuq il-manifattura, u għall-ewwel darba mir-Riforma, il-knejjes Kattoliċi Anglikani u Rumani kellhom effett kbir fuq l-arti u d-disinn bħall-qawmien mill-ġdid Gotiku. Hemm wirja kbira fuq il-wirja l-kbira li, fost affarijiet oħra, wasslet għall-fondazzjoni tal-V &amp; A. Fis-seklu 19 aktar tard, ir-ritmu dejjem jiżdied kontra l-industrijalizzazzjoni, immexxi minn John Ruskin, ikkontribwixxa għall-moviment tal-arti u l-artiġjanat.</v>
      </c>
    </row>
    <row r="5295" ht="15.75" customHeight="1">
      <c r="A5295" s="2" t="s">
        <v>5295</v>
      </c>
      <c r="B5295" s="2" t="str">
        <f>IFERROR(__xludf.DUMMYFUNCTION("GOOGLETRANSLATE(A5295, ""en"", ""mt"")"),"Bħala mezz biex tgħin l-iżvilupp edukattiv u ekonomiku tal-istat")</f>
        <v>Bħala mezz biex tgħin l-iżvilupp edukattiv u ekonomiku tal-istat</v>
      </c>
    </row>
    <row r="5296" ht="15.75" customHeight="1">
      <c r="A5296" s="2" t="s">
        <v>5296</v>
      </c>
      <c r="B5296" s="2" t="str">
        <f>IFERROR(__xludf.DUMMYFUNCTION("GOOGLETRANSLATE(A5296, ""en"", ""mt"")"),"Ġerarkija tal-ħin polinomjali")</f>
        <v>Ġerarkija tal-ħin polinomjali</v>
      </c>
    </row>
    <row r="5297" ht="15.75" customHeight="1">
      <c r="A5297" s="2" t="s">
        <v>5297</v>
      </c>
      <c r="B5297" s="2" t="str">
        <f>IFERROR(__xludf.DUMMYFUNCTION("GOOGLETRANSLATE(A5297, ""en"", ""mt"")"),"T (n)")</f>
        <v>T (n)</v>
      </c>
    </row>
    <row r="5298" ht="15.75" customHeight="1">
      <c r="A5298" s="2" t="s">
        <v>5298</v>
      </c>
      <c r="B5298" s="2" t="str">
        <f>IFERROR(__xludf.DUMMYFUNCTION("GOOGLETRANSLATE(A5298, ""en"", ""mt"")"),"Dak li ġiegħel il-kanċellazzjonijiet ta 'tliet inżul futur?")</f>
        <v>Dak li ġiegħel il-kanċellazzjonijiet ta 'tliet inżul futur?</v>
      </c>
    </row>
    <row r="5299" ht="15.75" customHeight="1">
      <c r="A5299" s="2" t="s">
        <v>5299</v>
      </c>
      <c r="B5299" s="2" t="str">
        <f>IFERROR(__xludf.DUMMYFUNCTION("GOOGLETRANSLATE(A5299, ""en"", ""mt"")"),"Ħiliet rari u mixtieqa")</f>
        <v>Ħiliet rari u mixtieqa</v>
      </c>
    </row>
    <row r="5300" ht="15.75" customHeight="1">
      <c r="A5300" s="2" t="s">
        <v>5300</v>
      </c>
      <c r="B5300" s="2" t="str">
        <f>IFERROR(__xludf.DUMMYFUNCTION("GOOGLETRANSLATE(A5300, ""en"", ""mt"")"),"Thoreau jsemmi liema tip ta 'persuna tista' korrott sistema tal-gvern?")</f>
        <v>Thoreau jsemmi liema tip ta 'persuna tista' korrott sistema tal-gvern?</v>
      </c>
    </row>
    <row r="5301" ht="15.75" customHeight="1">
      <c r="A5301" s="2" t="s">
        <v>5301</v>
      </c>
      <c r="B5301" s="2" t="str">
        <f>IFERROR(__xludf.DUMMYFUNCTION("GOOGLETRANSLATE(A5301, ""en"", ""mt"")"),"Kif kien jissejjaħ oriġinarjament il-mużew?")</f>
        <v>Kif kien jissejjaħ oriġinarjament il-mużew?</v>
      </c>
    </row>
    <row r="5302" ht="15.75" customHeight="1">
      <c r="A5302" s="2" t="s">
        <v>5302</v>
      </c>
      <c r="B5302" s="2" t="str">
        <f>IFERROR(__xludf.DUMMYFUNCTION("GOOGLETRANSLATE(A5302, ""en"", ""mt"")"),"Magni Uniflow jippruvaw jirrimedjaw id-diffikultajiet li joħorġu miċ-ċiklu tas-soltu tal-kontro-fluss fejn, matul kull puplesija, il-port u l-ħitan taċ-ċilindru jiġu mkessħa mill-fwar tal-egżost li jgħaddi, filwaqt li l-istim tad-dħul li jidħol jaħraq se "&amp;"jaħli ftit mill-enerġija tiegħu fir-restawr tat-temperatura tax-xogħol - L-għan tal-Uniflow huwa li tirrimedja dan id-difett u ttejjeb l-effiċjenza billi tipprovdi port addizzjonali mikxuf mill-pistun fl-aħħar ta 'kull puplesija li tagħmel il-fluss tal-fw"&amp;"ar biss f'direzzjoni waħda. B'dan il-mezz, il-magna uniflow ta 'espansjoni sempliċi tagħti effiċjenza ekwivalenti għal dik ta' sistemi komposti klassiċi bil-vantaġġ miżjud ta 'prestazzjoni ta' tagħbija parzjali superjuri, u effiċjenza komparabbli ma 'turb"&amp;"ini għal magni iżgħar taħt elf elf horsepower. Madankollu, il-magni uniflow tal-gradjent tal-espansjoni termali jipproduċu tul il-ħajt taċ-ċilindru jagħti diffikultajiet prattiċi. [Ċitazzjoni meħtieġa]. Il-quasiturbine hija magna tal-fwar li jdur uniflow "&amp;"fejn il-fwar tal-fwar f'żoni sħan, waqt li tkun qed teżawrixxi f'żoni kesħin.")</f>
        <v>Magni Uniflow jippruvaw jirrimedjaw id-diffikultajiet li joħorġu miċ-ċiklu tas-soltu tal-kontro-fluss fejn, matul kull puplesija, il-port u l-ħitan taċ-ċilindru jiġu mkessħa mill-fwar tal-egżost li jgħaddi, filwaqt li l-istim tad-dħul li jidħol jaħraq se jaħli ftit mill-enerġija tiegħu fir-restawr tat-temperatura tax-xogħol - L-għan tal-Uniflow huwa li tirrimedja dan id-difett u ttejjeb l-effiċjenza billi tipprovdi port addizzjonali mikxuf mill-pistun fl-aħħar ta 'kull puplesija li tagħmel il-fluss tal-fwar biss f'direzzjoni waħda. B'dan il-mezz, il-magna uniflow ta 'espansjoni sempliċi tagħti effiċjenza ekwivalenti għal dik ta' sistemi komposti klassiċi bil-vantaġġ miżjud ta 'prestazzjoni ta' tagħbija parzjali superjuri, u effiċjenza komparabbli ma 'turbini għal magni iżgħar taħt elf elf horsepower. Madankollu, il-magni uniflow tal-gradjent tal-espansjoni termali jipproduċu tul il-ħajt taċ-ċilindru jagħti diffikultajiet prattiċi. [Ċitazzjoni meħtieġa]. Il-quasiturbine hija magna tal-fwar li jdur uniflow fejn il-fwar tal-fwar f'żoni sħan, waqt li tkun qed teżawrixxi f'żoni kesħin.</v>
      </c>
    </row>
    <row r="5303" ht="15.75" customHeight="1">
      <c r="A5303" s="2" t="s">
        <v>5303</v>
      </c>
      <c r="B5303" s="2" t="str">
        <f>IFERROR(__xludf.DUMMYFUNCTION("GOOGLETRANSLATE(A5303, ""en"", ""mt"")"),"Hemm diversi mużewijiet u galleriji fi Newcastle, inkluż iċ-Ċentru għall-Ħajja mal-Villaġġ tax-Xjenza tiegħu; Il-Mużew Discovery Mużew li jenfasizza l-ħajja fuq Tyneside, inkluż il-wirt tal-bini tal-vapuri ta 'Tyneside, u l-invenzjonijiet li biddlu d-dinj"&amp;"a; il-Mużew il-Kbir tat-Tramuntana; Fl-2009 in-Newcastle fuq Tyne Museum of Antikitajiet ingħaqdet mal-Great North Museum (Hancock Museum); Seba 'Stejjer Mużew iddedikat għall-kotba tat-tfal, il-gallerija tal-ġenb fotografija storika u kontemporanja minn "&amp;"madwar id-dinja u l-Ingilterra tat-Tramuntana u l-Mużew tal-Mutur ta' Newburn Hall.")</f>
        <v>Hemm diversi mużewijiet u galleriji fi Newcastle, inkluż iċ-Ċentru għall-Ħajja mal-Villaġġ tax-Xjenza tiegħu; Il-Mużew Discovery Mużew li jenfasizza l-ħajja fuq Tyneside, inkluż il-wirt tal-bini tal-vapuri ta 'Tyneside, u l-invenzjonijiet li biddlu d-dinja; il-Mużew il-Kbir tat-Tramuntana; Fl-2009 in-Newcastle fuq Tyne Museum of Antikitajiet ingħaqdet mal-Great North Museum (Hancock Museum); Seba 'Stejjer Mużew iddedikat għall-kotba tat-tfal, il-gallerija tal-ġenb fotografija storika u kontemporanja minn madwar id-dinja u l-Ingilterra tat-Tramuntana u l-Mużew tal-Mutur ta' Newburn Hall.</v>
      </c>
    </row>
    <row r="5304" ht="15.75" customHeight="1">
      <c r="A5304" s="2" t="s">
        <v>5304</v>
      </c>
      <c r="B5304" s="2" t="str">
        <f>IFERROR(__xludf.DUMMYFUNCTION("GOOGLETRANSLATE(A5304, ""en"", ""mt"")"),"Kemm-il darba Arizona dawwar il-ballun fil-Kampjonat NFC?")</f>
        <v>Kemm-il darba Arizona dawwar il-ballun fil-Kampjonat NFC?</v>
      </c>
    </row>
    <row r="5305" ht="15.75" customHeight="1">
      <c r="A5305" s="2" t="s">
        <v>5305</v>
      </c>
      <c r="B5305" s="2" t="str">
        <f>IFERROR(__xludf.DUMMYFUNCTION("GOOGLETRANSLATE(A5305, ""en"", ""mt"")"),"Ma setgħux jaħkmu ċ-Ċiniż miktub, iżda ġeneralment jistgħu jitkellmu sew")</f>
        <v>Ma setgħux jaħkmu ċ-Ċiniż miktub, iżda ġeneralment jistgħu jitkellmu sew</v>
      </c>
    </row>
    <row r="5306" ht="15.75" customHeight="1">
      <c r="A5306" s="2" t="s">
        <v>5306</v>
      </c>
      <c r="B5306" s="2" t="str">
        <f>IFERROR(__xludf.DUMMYFUNCTION("GOOGLETRANSLATE(A5306, ""en"", ""mt"")"),"Kristu u s-salvazzjoni Tiegħu")</f>
        <v>Kristu u s-salvazzjoni Tiegħu</v>
      </c>
    </row>
    <row r="5307" ht="15.75" customHeight="1">
      <c r="A5307" s="2" t="s">
        <v>5307</v>
      </c>
      <c r="B5307" s="2" t="str">
        <f>IFERROR(__xludf.DUMMYFUNCTION("GOOGLETRANSLATE(A5307, ""en"", ""mt"")"),"Wara punt miż-żewġ timijiet, Carolina marret fit-triq it-tajba b'9-play, 73-yard li skorja sewqan. Newton temmew 4 minn 4 passes għal 51 tarzni u ġrew darbtejn għal 25 tarzni, filwaqt li Jonathan Stewart temm l-ispinta b'ġirja ta '1-yard, li qata' l-iskor"&amp;" għal 10-7 bi 11:28 fadal fit-tieni kwart. Aktar tard, ir-riċevitur ta 'Broncos Jordan Norwood irċieva l-punt qasir ta' 28 tarzna ta 'Brad Nortman imdawwar minn plejers ta' Panthers, iżda l-ebda wieħed minnhom ma pprova jagħmel attakk, apparentement ħaseb"&amp;" li Norwood kien sejjaħ qabda ġusta. Norwood ma għamilx hekk, u mingħajr l-ebda reżistenza madwaru, huwa telaq għar-rekord tas-Super Bowl ta '61 -yard tarzna qabel ma Mario Addison kaxkarha 'l isfel fuq il-linja ta' 14-il bitħa tal-Panthers. Minkejja l-po"&amp;"żizzjoni eċċellenti tal-grawnd ta 'Denver, ma setgħux iġibu l-ballun fiż-żona finali, u għalhekk McManus ta bidu għal gowl ta' 33-tarzna li żied il-vantaġġ tagħhom għal 13–7.")</f>
        <v>Wara punt miż-żewġ timijiet, Carolina marret fit-triq it-tajba b'9-play, 73-yard li skorja sewqan. Newton temmew 4 minn 4 passes għal 51 tarzni u ġrew darbtejn għal 25 tarzni, filwaqt li Jonathan Stewart temm l-ispinta b'ġirja ta '1-yard, li qata' l-iskor għal 10-7 bi 11:28 fadal fit-tieni kwart. Aktar tard, ir-riċevitur ta 'Broncos Jordan Norwood irċieva l-punt qasir ta' 28 tarzna ta 'Brad Nortman imdawwar minn plejers ta' Panthers, iżda l-ebda wieħed minnhom ma pprova jagħmel attakk, apparentement ħaseb li Norwood kien sejjaħ qabda ġusta. Norwood ma għamilx hekk, u mingħajr l-ebda reżistenza madwaru, huwa telaq għar-rekord tas-Super Bowl ta '61 -yard tarzna qabel ma Mario Addison kaxkarha 'l isfel fuq il-linja ta' 14-il bitħa tal-Panthers. Minkejja l-pożizzjoni eċċellenti tal-grawnd ta 'Denver, ma setgħux iġibu l-ballun fiż-żona finali, u għalhekk McManus ta bidu għal gowl ta' 33-tarzna li żied il-vantaġġ tagħhom għal 13–7.</v>
      </c>
    </row>
    <row r="5308" ht="15.75" customHeight="1">
      <c r="A5308" s="2" t="s">
        <v>5308</v>
      </c>
      <c r="B5308" s="2" t="str">
        <f>IFERROR(__xludf.DUMMYFUNCTION("GOOGLETRANSLATE(A5308, ""en"", ""mt"")"),"Silikati tal-manjeżju u tal-ħadid jagħmlu l-___ tad-dinja")</f>
        <v>Silikati tal-manjeżju u tal-ħadid jagħmlu l-___ tad-dinja</v>
      </c>
    </row>
    <row r="5309" ht="15.75" customHeight="1">
      <c r="A5309" s="2" t="s">
        <v>5309</v>
      </c>
      <c r="B5309" s="2" t="str">
        <f>IFERROR(__xludf.DUMMYFUNCTION("GOOGLETRANSLATE(A5309, ""en"", ""mt"")"),"Diversi mijiet ta ’horsepower")</f>
        <v>Diversi mijiet ta ’horsepower</v>
      </c>
    </row>
    <row r="5310" ht="15.75" customHeight="1">
      <c r="A5310" s="2" t="s">
        <v>5310</v>
      </c>
      <c r="B5310" s="2" t="str">
        <f>IFERROR(__xludf.DUMMYFUNCTION("GOOGLETRANSLATE(A5310, ""en"", ""mt"")"),"Baċin Solimões")</f>
        <v>Baċin Solimões</v>
      </c>
    </row>
    <row r="5311" ht="15.75" customHeight="1">
      <c r="A5311" s="2" t="s">
        <v>5311</v>
      </c>
      <c r="B5311" s="2" t="str">
        <f>IFERROR(__xludf.DUMMYFUNCTION("GOOGLETRANSLATE(A5311, ""en"", ""mt"")"),"Tipprevjeni l-proteini tal-kloroplast milli jassumu l-forma attiva tagħhom u jwettqu l-funzjonijiet tal-kloroplast tagħhom fil-post ħażin")</f>
        <v>Tipprevjeni l-proteini tal-kloroplast milli jassumu l-forma attiva tagħhom u jwettqu l-funzjonijiet tal-kloroplast tagħhom fil-post ħażin</v>
      </c>
    </row>
    <row r="5312" ht="15.75" customHeight="1">
      <c r="A5312" s="2" t="s">
        <v>5312</v>
      </c>
      <c r="B5312" s="2" t="str">
        <f>IFERROR(__xludf.DUMMYFUNCTION("GOOGLETRANSLATE(A5312, ""en"", ""mt"")"),"Is-sistema immunitarja hija sistema ta 'ħafna strutturi u proċessi bijoloġiċi fi ħdan organiżmu li jipproteġi kontra l-mard. Biex tiffunzjona kif suppost, sistema immuni għandha tiskopri varjetà wiesgħa ta 'aġenti, magħrufa bħala patoġeni, minn viruses għ"&amp;"al dud parassitiku, u tiddistingwihom mit-tessut b'saħħtu tal-organiżmu stess. F’ħafna speċi, is-sistema immunitarja tista ’tiġi kklassifikata f’subsistemi, bħas-sistema immuni innata kontra s-sistema immunitarja adattiva, jew l-immunità umoristika kontra"&amp;" l-immunità medjata miċ-ċelloli. Fil-bnedmin, il-barriera tad-demm-moħħ, l-ostaklu tal-fluwidu tad-demm-cerebrospinali, u l-ostakli simili tal-moħħ fluwidu jisseparaw is-sistema immuni periferali mis-sistema newroimmuni li tipproteġi l-moħħ.")</f>
        <v>Is-sistema immunitarja hija sistema ta 'ħafna strutturi u proċessi bijoloġiċi fi ħdan organiżmu li jipproteġi kontra l-mard. Biex tiffunzjona kif suppost, sistema immuni għandha tiskopri varjetà wiesgħa ta 'aġenti, magħrufa bħala patoġeni, minn viruses għal dud parassitiku, u tiddistingwihom mit-tessut b'saħħtu tal-organiżmu stess. F’ħafna speċi, is-sistema immunitarja tista ’tiġi kklassifikata f’subsistemi, bħas-sistema immuni innata kontra s-sistema immunitarja adattiva, jew l-immunità umoristika kontra l-immunità medjata miċ-ċelloli. Fil-bnedmin, il-barriera tad-demm-moħħ, l-ostaklu tal-fluwidu tad-demm-cerebrospinali, u l-ostakli simili tal-moħħ fluwidu jisseparaw is-sistema immuni periferali mis-sistema newroimmuni li tipproteġi l-moħħ.</v>
      </c>
    </row>
    <row r="5313" ht="15.75" customHeight="1">
      <c r="A5313" s="2" t="s">
        <v>5313</v>
      </c>
      <c r="B5313" s="2" t="str">
        <f>IFERROR(__xludf.DUMMYFUNCTION("GOOGLETRANSLATE(A5313, ""en"", ""mt"")"),"Membrana tal-kloroplast ġewwa")</f>
        <v>Membrana tal-kloroplast ġewwa</v>
      </c>
    </row>
    <row r="5314" ht="15.75" customHeight="1">
      <c r="A5314" s="2" t="s">
        <v>5314</v>
      </c>
      <c r="B5314" s="2" t="str">
        <f>IFERROR(__xludf.DUMMYFUNCTION("GOOGLETRANSLATE(A5314, ""en"", ""mt"")"),"Kemm ilu jgħix il-primati tal-Kenja?")</f>
        <v>Kemm ilu jgħix il-primati tal-Kenja?</v>
      </c>
    </row>
    <row r="5315" ht="15.75" customHeight="1">
      <c r="A5315" s="2" t="s">
        <v>5315</v>
      </c>
      <c r="B5315" s="2" t="str">
        <f>IFERROR(__xludf.DUMMYFUNCTION("GOOGLETRANSLATE(A5315, ""en"", ""mt"")"),"Problema f'C hija iktar diffiċli minn x")</f>
        <v>Problema f'C hija iktar diffiċli minn x</v>
      </c>
    </row>
    <row r="5316" ht="15.75" customHeight="1">
      <c r="A5316" s="2" t="s">
        <v>5316</v>
      </c>
      <c r="B5316" s="2" t="str">
        <f>IFERROR(__xludf.DUMMYFUNCTION("GOOGLETRANSLATE(A5316, ""en"", ""mt"")"),"Liema statura kellha l-ispiżjara fil-qorti imperjali pre-Heian?")</f>
        <v>Liema statura kellha l-ispiżjara fil-qorti imperjali pre-Heian?</v>
      </c>
    </row>
    <row r="5317" ht="15.75" customHeight="1">
      <c r="A5317" s="2" t="s">
        <v>5317</v>
      </c>
      <c r="B5317" s="2" t="str">
        <f>IFERROR(__xludf.DUMMYFUNCTION("GOOGLETRANSLATE(A5317, ""en"", ""mt"")"),"rivisti u ġurnali")</f>
        <v>rivisti u ġurnali</v>
      </c>
    </row>
    <row r="5318" ht="15.75" customHeight="1">
      <c r="A5318" s="2" t="s">
        <v>5318</v>
      </c>
      <c r="B5318" s="2" t="str">
        <f>IFERROR(__xludf.DUMMYFUNCTION("GOOGLETRANSLATE(A5318, ""en"", ""mt"")"),"Strutturali")</f>
        <v>Strutturali</v>
      </c>
    </row>
    <row r="5319" ht="15.75" customHeight="1">
      <c r="A5319" s="2" t="s">
        <v>5319</v>
      </c>
      <c r="B5319" s="2" t="str">
        <f>IFERROR(__xludf.DUMMYFUNCTION("GOOGLETRANSLATE(A5319, ""en"", ""mt"")"),"James Hutton ħafna drabi huwa meqjus bħala l-ewwel ġeologu modern. Fl-1785 huwa ppreżenta dokument intitolat Teorija tad-Dinja lis-Soċjetà Rjali ta 'Edinburgu. Fil-karta tiegħu, huwa spjega t-teorija tiegħu li d-dinja trid tkun ferm ixjeħ milli suppost ki"&amp;"enet suppost biex tippermetti ħin biżżejjed biex il-muntanji jitnaqqru u għas-sedimenti jiffurmaw blat ġodda fil-qiegħ tal-baħar, li mbagħad tqajmu sa art niexfa. Hutton ippubblika verżjoni b'żewġ volumi ta 'l-ideat tiegħu fl-1795 (Vol. 1, vol. 2).")</f>
        <v>James Hutton ħafna drabi huwa meqjus bħala l-ewwel ġeologu modern. Fl-1785 huwa ppreżenta dokument intitolat Teorija tad-Dinja lis-Soċjetà Rjali ta 'Edinburgu. Fil-karta tiegħu, huwa spjega t-teorija tiegħu li d-dinja trid tkun ferm ixjeħ milli suppost kienet suppost biex tippermetti ħin biżżejjed biex il-muntanji jitnaqqru u għas-sedimenti jiffurmaw blat ġodda fil-qiegħ tal-baħar, li mbagħad tqajmu sa art niexfa. Hutton ippubblika verżjoni b'żewġ volumi ta 'l-ideat tiegħu fl-1795 (Vol. 1, vol. 2).</v>
      </c>
    </row>
    <row r="5320" ht="15.75" customHeight="1">
      <c r="A5320" s="2" t="s">
        <v>5320</v>
      </c>
      <c r="B5320" s="2" t="str">
        <f>IFERROR(__xludf.DUMMYFUNCTION("GOOGLETRANSLATE(A5320, ""en"", ""mt"")"),"il-klijent tal-perit u l-kuntrattur ewlieni")</f>
        <v>il-klijent tal-perit u l-kuntrattur ewlieni</v>
      </c>
    </row>
    <row r="5321" ht="15.75" customHeight="1">
      <c r="A5321" s="2" t="s">
        <v>5321</v>
      </c>
      <c r="B5321" s="2" t="str">
        <f>IFERROR(__xludf.DUMMYFUNCTION("GOOGLETRANSLATE(A5321, ""en"", ""mt"")"),"kloroplast derivat mill-alka ħamra")</f>
        <v>kloroplast derivat mill-alka ħamra</v>
      </c>
    </row>
    <row r="5322" ht="15.75" customHeight="1">
      <c r="A5322" s="2" t="s">
        <v>5322</v>
      </c>
      <c r="B5322" s="2" t="str">
        <f>IFERROR(__xludf.DUMMYFUNCTION("GOOGLETRANSLATE(A5322, ""en"", ""mt"")"),"Gvernijiet Komunisti")</f>
        <v>Gvernijiet Komunisti</v>
      </c>
    </row>
    <row r="5323" ht="15.75" customHeight="1">
      <c r="A5323" s="2" t="s">
        <v>5323</v>
      </c>
      <c r="B5323" s="2" t="str">
        <f>IFERROR(__xludf.DUMMYFUNCTION("GOOGLETRANSLATE(A5323, ""en"", ""mt"")"),"Partit Laburista Awstraljan")</f>
        <v>Partit Laburista Awstraljan</v>
      </c>
    </row>
    <row r="5324" ht="15.75" customHeight="1">
      <c r="A5324" s="2" t="s">
        <v>5324</v>
      </c>
      <c r="B5324" s="2" t="str">
        <f>IFERROR(__xludf.DUMMYFUNCTION("GOOGLETRANSLATE(A5324, ""en"", ""mt"")"),"id-differenza fl-enerġija potenzjali bejn żewġ postijiet differenti fl-ispazju")</f>
        <v>id-differenza fl-enerġija potenzjali bejn żewġ postijiet differenti fl-ispazju</v>
      </c>
    </row>
    <row r="5325" ht="15.75" customHeight="1">
      <c r="A5325" s="2" t="s">
        <v>5325</v>
      </c>
      <c r="B5325" s="2" t="str">
        <f>IFERROR(__xludf.DUMMYFUNCTION("GOOGLETRANSLATE(A5325, ""en"", ""mt"")"),"subtropikali")</f>
        <v>subtropikali</v>
      </c>
    </row>
    <row r="5326" ht="15.75" customHeight="1">
      <c r="A5326" s="2" t="s">
        <v>5326</v>
      </c>
      <c r="B5326" s="2" t="str">
        <f>IFERROR(__xludf.DUMMYFUNCTION("GOOGLETRANSLATE(A5326, ""en"", ""mt"")"),"Minbarra l-Konfucjaniżmu, il-Buddiżmu, u l-Iżlam, liema reliġjonijiet ġew ittollerati matul il-wan?")</f>
        <v>Minbarra l-Konfucjaniżmu, il-Buddiżmu, u l-Iżlam, liema reliġjonijiet ġew ittollerati matul il-wan?</v>
      </c>
    </row>
    <row r="5327" ht="15.75" customHeight="1">
      <c r="A5327" s="2" t="s">
        <v>5327</v>
      </c>
      <c r="B5327" s="2" t="str">
        <f>IFERROR(__xludf.DUMMYFUNCTION("GOOGLETRANSLATE(A5327, ""en"", ""mt"")"),"Ġeoglyphs li jmorru għal liema perjodu nstabu f'art deforestata tul ix-Xmara Amazon?")</f>
        <v>Ġeoglyphs li jmorru għal liema perjodu nstabu f'art deforestata tul ix-Xmara Amazon?</v>
      </c>
    </row>
    <row r="5328" ht="15.75" customHeight="1">
      <c r="A5328" s="2" t="s">
        <v>5328</v>
      </c>
      <c r="B5328" s="2" t="str">
        <f>IFERROR(__xludf.DUMMYFUNCTION("GOOGLETRANSLATE(A5328, ""en"", ""mt"")"),"Isqfijiet tal-Knisja")</f>
        <v>Isqfijiet tal-Knisja</v>
      </c>
    </row>
    <row r="5329" ht="15.75" customHeight="1">
      <c r="A5329" s="2" t="s">
        <v>5329</v>
      </c>
      <c r="B5329" s="2" t="str">
        <f>IFERROR(__xludf.DUMMYFUNCTION("GOOGLETRANSLATE(A5329, ""en"", ""mt"")"),"Meta rritorna l-pesta lejn l-Ewropa?")</f>
        <v>Meta rritorna l-pesta lejn l-Ewropa?</v>
      </c>
    </row>
    <row r="5330" ht="15.75" customHeight="1">
      <c r="A5330" s="2" t="s">
        <v>5330</v>
      </c>
      <c r="B5330" s="2" t="str">
        <f>IFERROR(__xludf.DUMMYFUNCTION("GOOGLETRANSLATE(A5330, ""en"", ""mt"")"),"Tank tal-ossiġnu")</f>
        <v>Tank tal-ossiġnu</v>
      </c>
    </row>
    <row r="5331" ht="15.75" customHeight="1">
      <c r="A5331" s="2" t="s">
        <v>5331</v>
      </c>
      <c r="B5331" s="2" t="str">
        <f>IFERROR(__xludf.DUMMYFUNCTION("GOOGLETRANSLATE(A5331, ""en"", ""mt"")"),"X'inhi applikazzjoni notevoli ta 'injetturi llum?")</f>
        <v>X'inhi applikazzjoni notevoli ta 'injetturi llum?</v>
      </c>
    </row>
    <row r="5332" ht="15.75" customHeight="1">
      <c r="A5332" s="2" t="s">
        <v>5332</v>
      </c>
      <c r="B5332" s="2" t="str">
        <f>IFERROR(__xludf.DUMMYFUNCTION("GOOGLETRANSLATE(A5332, ""en"", ""mt"")"),"Is-Servizz tan-Netwerk tas-sinsla ta 'veloċità għolja ħafna (VBNS) ġie onlajn f'April 1995 bħala parti minn proġett sponsorjat tal-Fondazzjoni Nazzjonali tax-Xjenza (NSF) biex jipprovdi interkonnessjoni ta' veloċità għolja bejn ċentri ta 'superkompjuters "&amp;"sponsorjati mill-NSF u punti ta' aċċess magħżula fl-Istati Uniti. In-netwerk kien inġinerija u mħaddem minn telekomunikazzjonijiet MCI taħt ftehim kooperattiv mal-NSF. Sal-1998, il-VBNs kienu kibru biex jgħaqqdu aktar minn 100 università u istituzzjonijie"&amp;"t ta 'riċerka u inġinerija permezz ta '12 -il punt nazzjonali ta' preżenza ma 'DS-3 (45 mbit / s), OC-3C (155 mbit / s), u OC-12C ( 622 Mbit / s) links fuq is-sinsla kollha tal-OC-12C, proeza sostanzjali ta 'inġinerija għal dak iż-żmien. Il-VBNs installaw"&amp;" waħda mill-ewwel produzzjoni ta ’links IP OC-48C (2.5 GBIT / S) fi Frar 1999 u kompliet taġġorna s-sinsla kollha għal OC-48C.")</f>
        <v>Is-Servizz tan-Netwerk tas-sinsla ta 'veloċità għolja ħafna (VBNS) ġie onlajn f'April 1995 bħala parti minn proġett sponsorjat tal-Fondazzjoni Nazzjonali tax-Xjenza (NSF) biex jipprovdi interkonnessjoni ta' veloċità għolja bejn ċentri ta 'superkompjuters sponsorjati mill-NSF u punti ta' aċċess magħżula fl-Istati Uniti. In-netwerk kien inġinerija u mħaddem minn telekomunikazzjonijiet MCI taħt ftehim kooperattiv mal-NSF. Sal-1998, il-VBNs kienu kibru biex jgħaqqdu aktar minn 100 università u istituzzjonijiet ta 'riċerka u inġinerija permezz ta '12 -il punt nazzjonali ta' preżenza ma 'DS-3 (45 mbit / s), OC-3C (155 mbit / s), u OC-12C ( 622 Mbit / s) links fuq is-sinsla kollha tal-OC-12C, proeza sostanzjali ta 'inġinerija għal dak iż-żmien. Il-VBNs installaw waħda mill-ewwel produzzjoni ta ’links IP OC-48C (2.5 GBIT / S) fi Frar 1999 u kompliet taġġorna s-sinsla kollha għal OC-48C.</v>
      </c>
    </row>
    <row r="5333" ht="15.75" customHeight="1">
      <c r="A5333" s="2" t="s">
        <v>5333</v>
      </c>
      <c r="B5333" s="2" t="str">
        <f>IFERROR(__xludf.DUMMYFUNCTION("GOOGLETRANSLATE(A5333, ""en"", ""mt"")"),"Magna tat-Turing mhux Deterministika")</f>
        <v>Magna tat-Turing mhux Deterministika</v>
      </c>
    </row>
    <row r="5334" ht="15.75" customHeight="1">
      <c r="A5334" s="2" t="s">
        <v>5334</v>
      </c>
      <c r="B5334" s="2" t="str">
        <f>IFERROR(__xludf.DUMMYFUNCTION("GOOGLETRANSLATE(A5334, ""en"", ""mt"")"),"Anke fid-ditti kbar, periti, disinjaturi interni, inġiniera, żviluppaturi, maniġers tal-kostruzzjoni, u kuntratturi ġenerali kienu aktar probabbli li jkunu xiex?")</f>
        <v>Anke fid-ditti kbar, periti, disinjaturi interni, inġiniera, żviluppaturi, maniġers tal-kostruzzjoni, u kuntratturi ġenerali kienu aktar probabbli li jkunu xiex?</v>
      </c>
    </row>
    <row r="5335" ht="15.75" customHeight="1">
      <c r="A5335" s="2" t="s">
        <v>5335</v>
      </c>
      <c r="B5335" s="2" t="str">
        <f>IFERROR(__xludf.DUMMYFUNCTION("GOOGLETRANSLATE(A5335, ""en"", ""mt"")"),"Liema riċetturi għandhom ċelloli tat-tumur spiss ikollhom konċentrazzjonijiet imnaqqsa?")</f>
        <v>Liema riċetturi għandhom ċelloli tat-tumur spiss ikollhom konċentrazzjonijiet imnaqqsa?</v>
      </c>
    </row>
    <row r="5336" ht="15.75" customHeight="1">
      <c r="A5336" s="2" t="s">
        <v>5336</v>
      </c>
      <c r="B5336" s="2" t="str">
        <f>IFERROR(__xludf.DUMMYFUNCTION("GOOGLETRANSLATE(A5336, ""en"", ""mt"")"),"Il-fossili sabu li kienu maħsuba li kienu ċ-ċtenofori kemm kellhom?")</f>
        <v>Il-fossili sabu li kienu maħsuba li kienu ċ-ċtenofori kemm kellhom?</v>
      </c>
    </row>
    <row r="5337" ht="15.75" customHeight="1">
      <c r="A5337" s="2" t="s">
        <v>5337</v>
      </c>
      <c r="B5337" s="2" t="str">
        <f>IFERROR(__xludf.DUMMYFUNCTION("GOOGLETRANSLATE(A5337, ""en"", ""mt"")"),"xmara")</f>
        <v>xmara</v>
      </c>
    </row>
    <row r="5338" ht="15.75" customHeight="1">
      <c r="A5338" s="2" t="s">
        <v>5338</v>
      </c>
      <c r="B5338" s="2" t="str">
        <f>IFERROR(__xludf.DUMMYFUNCTION("GOOGLETRANSLATE(A5338, ""en"", ""mt"")"),"Bejn wieħed u ieħor kontemporanju ma 'Maududi kien il-fondazzjoni tal-Fratellanza Musulmana f'Ismailiyah, l-Eġittu fl-1928 minn Hassan Al Banna. Huwa bla dubju tiegħu l-ewwel, l-akbar u l-iktar influwenti organizzazzjoni politika / reliġjuża moderna. Taħt"&amp;" il-motto ""Il-Koran huwa l-Kostituzzjoni tagħna,"" fittex qawmien mill-ġdid Iżlamiku permezz tal-predikazzjoni u wkoll billi pprovda servizzi bażiċi tal-komunità inklużi skejjel, moskej, u workshops. Bħal Maududi, Al Banna emmen fil-ħtieġa ta ’regola tal"&amp;"-gvern ibbażata fuq il-liġi tax-Shariah implimentat gradwalment u bil-persważjoni, u li telimina l-influwenza imperjalista kollha fid-dinja Musulmana.")</f>
        <v>Bejn wieħed u ieħor kontemporanju ma 'Maududi kien il-fondazzjoni tal-Fratellanza Musulmana f'Ismailiyah, l-Eġittu fl-1928 minn Hassan Al Banna. Huwa bla dubju tiegħu l-ewwel, l-akbar u l-iktar influwenti organizzazzjoni politika / reliġjuża moderna. Taħt il-motto "Il-Koran huwa l-Kostituzzjoni tagħna," fittex qawmien mill-ġdid Iżlamiku permezz tal-predikazzjoni u wkoll billi pprovda servizzi bażiċi tal-komunità inklużi skejjel, moskej, u workshops. Bħal Maududi, Al Banna emmen fil-ħtieġa ta ’regola tal-gvern ibbażata fuq il-liġi tax-Shariah implimentat gradwalment u bil-persważjoni, u li telimina l-influwenza imperjalista kollha fid-dinja Musulmana.</v>
      </c>
    </row>
    <row r="5339" ht="15.75" customHeight="1">
      <c r="A5339" s="2" t="s">
        <v>5339</v>
      </c>
      <c r="B5339" s="2" t="str">
        <f>IFERROR(__xludf.DUMMYFUNCTION("GOOGLETRANSLATE(A5339, ""en"", ""mt"")"),"bronż")</f>
        <v>bronż</v>
      </c>
    </row>
    <row r="5340" ht="15.75" customHeight="1">
      <c r="A5340" s="2" t="s">
        <v>5340</v>
      </c>
      <c r="B5340" s="2" t="str">
        <f>IFERROR(__xludf.DUMMYFUNCTION("GOOGLETRANSLATE(A5340, ""en"", ""mt"")"),"tutur")</f>
        <v>tutur</v>
      </c>
    </row>
    <row r="5341" ht="15.75" customHeight="1">
      <c r="A5341" s="2" t="s">
        <v>5341</v>
      </c>
      <c r="B5341" s="2" t="str">
        <f>IFERROR(__xludf.DUMMYFUNCTION("GOOGLETRANSLATE(A5341, ""en"", ""mt"")"),"Il-problemi tas-saħħa kienu aktar baxxi f'postijiet b'livelli ogħla ta 'xiex?")</f>
        <v>Il-problemi tas-saħħa kienu aktar baxxi f'postijiet b'livelli ogħla ta 'xiex?</v>
      </c>
    </row>
    <row r="5342" ht="15.75" customHeight="1">
      <c r="A5342" s="2" t="s">
        <v>5342</v>
      </c>
      <c r="B5342" s="2" t="str">
        <f>IFERROR(__xludf.DUMMYFUNCTION("GOOGLETRANSLATE(A5342, ""en"", ""mt"")"),"dwar il-vjolenza, id-degradazzjoni, l-isfruttament, u l-isforz """)</f>
        <v>dwar il-vjolenza, id-degradazzjoni, l-isfruttament, u l-isforz "</v>
      </c>
    </row>
    <row r="5343" ht="15.75" customHeight="1">
      <c r="A5343" s="2" t="s">
        <v>5343</v>
      </c>
      <c r="B5343" s="2" t="str">
        <f>IFERROR(__xludf.DUMMYFUNCTION("GOOGLETRANSLATE(A5343, ""en"", ""mt"")"),"Field Stagg")</f>
        <v>Field Stagg</v>
      </c>
    </row>
    <row r="5344" ht="15.75" customHeight="1">
      <c r="A5344" s="2" t="s">
        <v>5344</v>
      </c>
      <c r="B5344" s="2" t="str">
        <f>IFERROR(__xludf.DUMMYFUNCTION("GOOGLETRANSLATE(A5344, ""en"", ""mt"")"),"fornew żewġ reġimenti ġodda tal-armata tiegħu")</f>
        <v>fornew żewġ reġimenti ġodda tal-armata tiegħu</v>
      </c>
    </row>
    <row r="5345" ht="15.75" customHeight="1">
      <c r="A5345" s="2" t="s">
        <v>5345</v>
      </c>
      <c r="B5345" s="2" t="str">
        <f>IFERROR(__xludf.DUMMYFUNCTION("GOOGLETRANSLATE(A5345, ""en"", ""mt"")"),"lagħab")</f>
        <v>lagħab</v>
      </c>
    </row>
    <row r="5346" ht="15.75" customHeight="1">
      <c r="A5346" s="2" t="s">
        <v>5346</v>
      </c>
      <c r="B5346" s="2" t="str">
        <f>IFERROR(__xludf.DUMMYFUNCTION("GOOGLETRANSLATE(A5346, ""en"", ""mt"")"),"Telenet ġie inkorporat fl-1973 u beda l-operazzjonijiet fl-1975. Huwa sar pubbliku fl-1979 u mbagħad inbiegħ lil GTE")</f>
        <v>Telenet ġie inkorporat fl-1973 u beda l-operazzjonijiet fl-1975. Huwa sar pubbliku fl-1979 u mbagħad inbiegħ lil GTE</v>
      </c>
    </row>
    <row r="5347" ht="15.75" customHeight="1">
      <c r="A5347" s="2" t="s">
        <v>5347</v>
      </c>
      <c r="B5347" s="2" t="str">
        <f>IFERROR(__xludf.DUMMYFUNCTION("GOOGLETRANSLATE(A5347, ""en"", ""mt"")"),"Kemm jintuża l-metodu tal-passatur tal-produzzjoni tal-gass?")</f>
        <v>Kemm jintuża l-metodu tal-passatur tal-produzzjoni tal-gass?</v>
      </c>
    </row>
    <row r="5348" ht="15.75" customHeight="1">
      <c r="A5348" s="2" t="s">
        <v>5348</v>
      </c>
      <c r="B5348" s="2" t="str">
        <f>IFERROR(__xludf.DUMMYFUNCTION("GOOGLETRANSLATE(A5348, ""en"", ""mt"")"),"Duħ biż-żejt.")</f>
        <v>Duħ biż-żejt.</v>
      </c>
    </row>
    <row r="5349" ht="15.75" customHeight="1">
      <c r="A5349" s="2" t="s">
        <v>5349</v>
      </c>
      <c r="B5349" s="2" t="str">
        <f>IFERROR(__xludf.DUMMYFUNCTION("GOOGLETRANSLATE(A5349, ""en"", ""mt"")"),"Liema strutturi tal-proġett jgħinu lis-sid fl-integrazzjoni?")</f>
        <v>Liema strutturi tal-proġett jgħinu lis-sid fl-integrazzjoni?</v>
      </c>
    </row>
    <row r="5350" ht="15.75" customHeight="1">
      <c r="A5350" s="2" t="s">
        <v>5350</v>
      </c>
      <c r="B5350" s="2" t="str">
        <f>IFERROR(__xludf.DUMMYFUNCTION("GOOGLETRANSLATE(A5350, ""en"", ""mt"")"),"Liema pożizzjoni aċċettat Tesla fl-iskambju?")</f>
        <v>Liema pożizzjoni aċċettat Tesla fl-iskambju?</v>
      </c>
    </row>
    <row r="5351" ht="15.75" customHeight="1">
      <c r="A5351" s="2" t="s">
        <v>5351</v>
      </c>
      <c r="B5351" s="2" t="str">
        <f>IFERROR(__xludf.DUMMYFUNCTION("GOOGLETRANSLATE(A5351, ""en"", ""mt"")"),"X’bdew il-gvern u l-organizzazzjonijiet tas-soċjetà ċivili wara l-irvellijiet?")</f>
        <v>X’bdew il-gvern u l-organizzazzjonijiet tas-soċjetà ċivili wara l-irvellijiet?</v>
      </c>
    </row>
    <row r="5352" ht="15.75" customHeight="1">
      <c r="A5352" s="2" t="s">
        <v>5352</v>
      </c>
      <c r="B5352" s="2" t="str">
        <f>IFERROR(__xludf.DUMMYFUNCTION("GOOGLETRANSLATE(A5352, ""en"", ""mt"")"),"Sayyid Abul Ala Maududi kien figura importanti tas-seklu għoxrin kmieni fil-qawmien mill-ġdid Iżlamiku fl-Indja, u wara wara l-indipendenza mill-Gran Brittanja, fil-Pakistan. Imħarreġ bħala avukat huwa għażel il-professjoni tal-ġurnaliżmu, u kiteb dwar kw"&amp;"istjonijiet kontemporanji u l-iktar importanti dwar l-Iżlam u l-liġi Iżlamika. Maududi waqqaf il-Partit Jamaat-e-Islami fl-1941 u baqa 'l-mexxej tiegħu sal-1972. Madankollu, Maududi kellu impatt ferm aktar permezz tal-kitba tiegħu milli permezz tal-organi"&amp;"zzazzjoni politika tiegħu. Il-kotba estremament influwenti tiegħu (tradotti f’ħafna lingwi) poġġew l-Iżlam f’kuntest modern, u influwenzaw mhux biss l-Iżlamisti tal-Modernizzatur tal-Ulema konservattivi iżda l-modernizzatur liberali bħal al-Faruqi, li l- "&amp;"""Iżlamizzazzjoni tal-Għarfien” tagħhom imexxu 'l quddiem uħud mill-prinċipji ewlenin ta' Maududi.")</f>
        <v>Sayyid Abul Ala Maududi kien figura importanti tas-seklu għoxrin kmieni fil-qawmien mill-ġdid Iżlamiku fl-Indja, u wara wara l-indipendenza mill-Gran Brittanja, fil-Pakistan. Imħarreġ bħala avukat huwa għażel il-professjoni tal-ġurnaliżmu, u kiteb dwar kwistjonijiet kontemporanji u l-iktar importanti dwar l-Iżlam u l-liġi Iżlamika. Maududi waqqaf il-Partit Jamaat-e-Islami fl-1941 u baqa 'l-mexxej tiegħu sal-1972. Madankollu, Maududi kellu impatt ferm aktar permezz tal-kitba tiegħu milli permezz tal-organizzazzjoni politika tiegħu. Il-kotba estremament influwenti tiegħu (tradotti f’ħafna lingwi) poġġew l-Iżlam f’kuntest modern, u influwenzaw mhux biss l-Iżlamisti tal-Modernizzatur tal-Ulema konservattivi iżda l-modernizzatur liberali bħal al-Faruqi, li l- "Iżlamizzazzjoni tal-Għarfien” tagħhom imexxu 'l quddiem uħud mill-prinċipji ewlenin ta' Maududi.</v>
      </c>
    </row>
    <row r="5353" ht="15.75" customHeight="1">
      <c r="A5353" s="2" t="s">
        <v>5353</v>
      </c>
      <c r="B5353" s="2" t="str">
        <f>IFERROR(__xludf.DUMMYFUNCTION("GOOGLETRANSLATE(A5353, ""en"", ""mt"")"),"F'valv aġġustabbli mgħobbi bir-rebbiegħa, x'hemm bżonn li jkun miksur biex jippermetti lill-operatur ibagħbah?")</f>
        <v>F'valv aġġustabbli mgħobbi bir-rebbiegħa, x'hemm bżonn li jkun miksur biex jippermetti lill-operatur ibagħbah?</v>
      </c>
    </row>
    <row r="5354" ht="15.75" customHeight="1">
      <c r="A5354" s="2" t="s">
        <v>5354</v>
      </c>
      <c r="B5354" s="2" t="str">
        <f>IFERROR(__xludf.DUMMYFUNCTION("GOOGLETRANSLATE(A5354, ""en"", ""mt"")"),"X'jistgħu jużaw il-kloroplasti fiċ-ċelloli tal-mesofilla biex jagħmlu ATP?")</f>
        <v>X'jistgħu jużaw il-kloroplasti fiċ-ċelloli tal-mesofilla biex jagħmlu ATP?</v>
      </c>
    </row>
    <row r="5355" ht="15.75" customHeight="1">
      <c r="A5355" s="2" t="s">
        <v>5355</v>
      </c>
      <c r="B5355" s="2" t="str">
        <f>IFERROR(__xludf.DUMMYFUNCTION("GOOGLETRANSLATE(A5355, ""en"", ""mt"")"),"membru privat")</f>
        <v>membru privat</v>
      </c>
    </row>
    <row r="5356" ht="15.75" customHeight="1">
      <c r="A5356" s="2" t="s">
        <v>5356</v>
      </c>
      <c r="B5356" s="2" t="str">
        <f>IFERROR(__xludf.DUMMYFUNCTION("GOOGLETRANSLATE(A5356, ""en"", ""mt"")"),"Matul l-2003–04, il-valur gross tal-produzzjoni agrikola Vittorjana żdied bi 17% għal $ 8.7 biljun. Dan kien jirrappreżenta 24% tal-valur gross totali tal-produzzjoni agrikola nazzjonali. Mill-2004, huwa stmat li 32,463 irziezet okkupaw madwar 136,000 kil"&amp;"ometru kwadru (52,500 sq mi) ta 'art Vittorjana. Dan jinkludi aktar minn 60% tal-wiċċ tal-art totali tal-istat. L-irziezet Vittorjani jvarjaw minn ħwejjeġ żgħar tal-ortikultura għal produzzjonijiet ta 'bhejjem u qamħ fuq skala kbira. Kwart ta 'art agrikol"&amp;"a tintuża biex tikber għelejjel konsumibbli.")</f>
        <v>Matul l-2003–04, il-valur gross tal-produzzjoni agrikola Vittorjana żdied bi 17% għal $ 8.7 biljun. Dan kien jirrappreżenta 24% tal-valur gross totali tal-produzzjoni agrikola nazzjonali. Mill-2004, huwa stmat li 32,463 irziezet okkupaw madwar 136,000 kilometru kwadru (52,500 sq mi) ta 'art Vittorjana. Dan jinkludi aktar minn 60% tal-wiċċ tal-art totali tal-istat. L-irziezet Vittorjani jvarjaw minn ħwejjeġ żgħar tal-ortikultura għal produzzjonijiet ta 'bhejjem u qamħ fuq skala kbira. Kwart ta 'art agrikola tintuża biex tikber għelejjel konsumibbli.</v>
      </c>
    </row>
    <row r="5357" ht="15.75" customHeight="1">
      <c r="A5357" s="2" t="s">
        <v>5357</v>
      </c>
      <c r="B5357" s="2" t="str">
        <f>IFERROR(__xludf.DUMMYFUNCTION("GOOGLETRANSLATE(A5357, ""en"", ""mt"")"),"Kif taffettwa t-tkessiħ tal-ambjent lokali tal-mnemiopsis?")</f>
        <v>Kif taffettwa t-tkessiħ tal-ambjent lokali tal-mnemiopsis?</v>
      </c>
    </row>
    <row r="5358" ht="15.75" customHeight="1">
      <c r="A5358" s="2" t="s">
        <v>5358</v>
      </c>
      <c r="B5358" s="2" t="str">
        <f>IFERROR(__xludf.DUMMYFUNCTION("GOOGLETRANSLATE(A5358, ""en"", ""mt"")"),"Louisiana fil-punent tax-xmara Mississippi")</f>
        <v>Louisiana fil-punent tax-xmara Mississippi</v>
      </c>
    </row>
    <row r="5359" ht="15.75" customHeight="1">
      <c r="A5359" s="2" t="s">
        <v>5359</v>
      </c>
      <c r="B5359" s="2" t="str">
        <f>IFERROR(__xludf.DUMMYFUNCTION("GOOGLETRANSLATE(A5359, ""en"", ""mt"")"),"imfakkar u mibdul")</f>
        <v>imfakkar u mibdul</v>
      </c>
    </row>
    <row r="5360" ht="15.75" customHeight="1">
      <c r="A5360" s="2" t="s">
        <v>5360</v>
      </c>
      <c r="B5360" s="2" t="str">
        <f>IFERROR(__xludf.DUMMYFUNCTION("GOOGLETRANSLATE(A5360, ""en"", ""mt"")"),"Kompetizzjoni Confucian u Venerazzjoni tal-Antenati")</f>
        <v>Kompetizzjoni Confucian u Venerazzjoni tal-Antenati</v>
      </c>
    </row>
    <row r="5361" ht="15.75" customHeight="1">
      <c r="A5361" s="2" t="s">
        <v>5361</v>
      </c>
      <c r="B5361" s="2" t="str">
        <f>IFERROR(__xludf.DUMMYFUNCTION("GOOGLETRANSLATE(A5361, ""en"", ""mt"")"),"Alpi Vittorjani")</f>
        <v>Alpi Vittorjani</v>
      </c>
    </row>
    <row r="5362" ht="15.75" customHeight="1">
      <c r="A5362" s="2" t="s">
        <v>5362</v>
      </c>
      <c r="B5362" s="2" t="str">
        <f>IFERROR(__xludf.DUMMYFUNCTION("GOOGLETRANSLATE(A5362, ""en"", ""mt"")"),"Henry Moore u Jacob Epstein")</f>
        <v>Henry Moore u Jacob Epstein</v>
      </c>
    </row>
    <row r="5363" ht="15.75" customHeight="1">
      <c r="A5363" s="2" t="s">
        <v>5363</v>
      </c>
      <c r="B5363" s="2" t="str">
        <f>IFERROR(__xludf.DUMMYFUNCTION("GOOGLETRANSLATE(A5363, ""en"", ""mt"")"),"It-trattati ewlenin li jiffurmaw l-Unjoni Ewropea bdew b'regoli komuni għall-faħam u l-azzar, u mbagħad l-enerġija atomika, iżda istituzzjonijiet aktar kompluti u formali ġew stabbiliti permezz tat-Trattat ta 'Ruma 1957 u t-Trattat Maastricht 1992 (issa: "&amp;"TFEU). Emendi minuri saru matul is-snin 1960 u 1970. Ġew iffirmati trattati ewlenin li jemendaw biex jitlesta l-iżvilupp ta 'suq intern wieħed fl-Att Uniku Ewropew tal-1986, biex ikompli l-iżvilupp ta' Ewropa aktar soċjali fit-Trattat ta 'Amsterdam 1997, "&amp;"u biex jagħmlu emendi minuri għall-poter relattiv tal-Istati Membri Fl-istituzzjonijiet tal-UE fit-Trattat ta 'Nizza 2001 u t-Trattat ta' Lisbona 2007. Mill-istabbiliment tiegħu, aktar stati membri ngħaqdu permezz ta 'serje ta' trattati ta 'adeżjoni, mir-"&amp;"Renju Unit, l-Irlanda, id-Danimarka u n-Norveġja fl-1972 (għalkemm in-Norveġja ma ntemmitx Ingħaqad), il-Greċja fl-1979, Spanja u l-Portugall 1985, l-Awstrija, il-Finlandja, in-Norveġja u l-Iżvezja fl-1994 (għalkemm għal darb'oħra n-Norveġja naqset milli "&amp;"tissieħeb, minħabba nuqqas ta 'appoġġ fir-referendum), ir-Repubblika Ċeka, Ċipru, Ċipru, l-Estonja, l-Ungerija, Il-Latvja, il-Litwanja, Malta, il-Polonja, is-Slovakkja u s-Slovenja fl-2004, ir-Rumanija u l-Bulgarija fl-2007 u l-Kroazja fl-2013. Greenland "&amp;"iffirmat trattat fl-1985 billi taha status speċjali.")</f>
        <v>It-trattati ewlenin li jiffurmaw l-Unjoni Ewropea bdew b'regoli komuni għall-faħam u l-azzar, u mbagħad l-enerġija atomika, iżda istituzzjonijiet aktar kompluti u formali ġew stabbiliti permezz tat-Trattat ta 'Ruma 1957 u t-Trattat Maastricht 1992 (issa: TFEU). Emendi minuri saru matul is-snin 1960 u 1970. Ġew iffirmati trattati ewlenin li jemendaw biex jitlesta l-iżvilupp ta 'suq intern wieħed fl-Att Uniku Ewropew tal-1986, biex ikompli l-iżvilupp ta' Ewropa aktar soċjali fit-Trattat ta 'Amsterdam 1997, u biex jagħmlu emendi minuri għall-poter relattiv tal-Istati Membri Fl-istituzzjonijiet tal-UE fit-Trattat ta 'Nizza 2001 u t-Trattat ta' Lisbona 2007. Mill-istabbiliment tiegħu, aktar stati membri ngħaqdu permezz ta 'serje ta' trattati ta 'adeżjoni, mir-Renju Unit, l-Irlanda, id-Danimarka u n-Norveġja fl-1972 (għalkemm in-Norveġja ma ntemmitx Ingħaqad), il-Greċja fl-1979, Spanja u l-Portugall 1985, l-Awstrija, il-Finlandja, in-Norveġja u l-Iżvezja fl-1994 (għalkemm għal darb'oħra n-Norveġja naqset milli tissieħeb, minħabba nuqqas ta 'appoġġ fir-referendum), ir-Repubblika Ċeka, Ċipru, Ċipru, l-Estonja, l-Ungerija, Il-Latvja, il-Litwanja, Malta, il-Polonja, is-Slovakkja u s-Slovenja fl-2004, ir-Rumanija u l-Bulgarija fl-2007 u l-Kroazja fl-2013. Greenland iffirmat trattat fl-1985 billi taha status speċjali.</v>
      </c>
    </row>
    <row r="5364" ht="15.75" customHeight="1">
      <c r="A5364" s="2" t="s">
        <v>5364</v>
      </c>
      <c r="B5364" s="2" t="str">
        <f>IFERROR(__xludf.DUMMYFUNCTION("GOOGLETRANSLATE(A5364, ""en"", ""mt"")"),"Telfa ta 'Napuljun")</f>
        <v>Telfa ta 'Napuljun</v>
      </c>
    </row>
    <row r="5365" ht="15.75" customHeight="1">
      <c r="A5365" s="2" t="s">
        <v>5365</v>
      </c>
      <c r="B5365" s="2" t="str">
        <f>IFERROR(__xludf.DUMMYFUNCTION("GOOGLETRANSLATE(A5365, ""en"", ""mt"")"),"orbita l-qamar")</f>
        <v>orbita l-qamar</v>
      </c>
    </row>
    <row r="5366" ht="15.75" customHeight="1">
      <c r="A5366" s="2" t="s">
        <v>5366</v>
      </c>
      <c r="B5366" s="2" t="str">
        <f>IFERROR(__xludf.DUMMYFUNCTION("GOOGLETRANSLATE(A5366, ""en"", ""mt"")"),"Newton waslet biex tirrealizza li l-effetti tal-gravità jistgħu jiġu osservati b’modi differenti f’distanzi akbar. B'mod partikolari, Newton iddetermina li l-aċċellerazzjoni tal-qamar madwar id-dinja tista 'tiġi attribwita għall-istess forza tal-gravità j"&amp;"ekk l-aċċellerazzjoni minħabba l-gravità naqset bħala liġi kwadra inversa. Barra minn hekk, Newton induna li l-aċċellerazzjoni minħabba l-gravità hija proporzjonali għall-massa tal-korp li jattira. Li tgħaqqad dawn l-ideat tagħti formula li tirrelata l-ma"&amp;"ssa () u r-raġġ () tad-dinja mal-aċċelerazzjoni gravitazzjonali:")</f>
        <v>Newton waslet biex tirrealizza li l-effetti tal-gravità jistgħu jiġu osservati b’modi differenti f’distanzi akbar. B'mod partikolari, Newton iddetermina li l-aċċellerazzjoni tal-qamar madwar id-dinja tista 'tiġi attribwita għall-istess forza tal-gravità jekk l-aċċellerazzjoni minħabba l-gravità naqset bħala liġi kwadra inversa. Barra minn hekk, Newton induna li l-aċċellerazzjoni minħabba l-gravità hija proporzjonali għall-massa tal-korp li jattira. Li tgħaqqad dawn l-ideat tagħti formula li tirrelata l-massa () u r-raġġ () tad-dinja mal-aċċelerazzjoni gravitazzjonali:</v>
      </c>
    </row>
    <row r="5367" ht="15.75" customHeight="1">
      <c r="A5367" s="2" t="s">
        <v>5367</v>
      </c>
      <c r="B5367" s="2" t="str">
        <f>IFERROR(__xludf.DUMMYFUNCTION("GOOGLETRANSLATE(A5367, ""en"", ""mt"")"),"Madwar 3,000 mil")</f>
        <v>Madwar 3,000 mil</v>
      </c>
    </row>
    <row r="5368" ht="15.75" customHeight="1">
      <c r="A5368" s="2" t="s">
        <v>5368</v>
      </c>
      <c r="B5368" s="2" t="str">
        <f>IFERROR(__xludf.DUMMYFUNCTION("GOOGLETRANSLATE(A5368, ""en"", ""mt"")"),"Dizzjunarju tal-Liġi tal-Iswed")</f>
        <v>Dizzjunarju tal-Liġi tal-Iswed</v>
      </c>
    </row>
    <row r="5369" ht="15.75" customHeight="1">
      <c r="A5369" s="2" t="s">
        <v>5369</v>
      </c>
      <c r="B5369" s="2" t="str">
        <f>IFERROR(__xludf.DUMMYFUNCTION("GOOGLETRANSLATE(A5369, ""en"", ""mt"")"),"skart")</f>
        <v>skart</v>
      </c>
    </row>
    <row r="5370" ht="15.75" customHeight="1">
      <c r="A5370" s="2" t="s">
        <v>5370</v>
      </c>
      <c r="B5370" s="2" t="str">
        <f>IFERROR(__xludf.DUMMYFUNCTION("GOOGLETRANSLATE(A5370, ""en"", ""mt"")"),"X'inhu mħabbra mill-ħoss tad-diviżjoni tal-qanpiena?")</f>
        <v>X'inhu mħabbra mill-ħoss tad-diviżjoni tal-qanpiena?</v>
      </c>
    </row>
    <row r="5371" ht="15.75" customHeight="1">
      <c r="A5371" s="2" t="s">
        <v>5371</v>
      </c>
      <c r="B5371" s="2" t="str">
        <f>IFERROR(__xludf.DUMMYFUNCTION("GOOGLETRANSLATE(A5371, ""en"", ""mt"")"),"F'liema direzzjoni kardinali minn Los Angeles huwa San Diego?")</f>
        <v>F'liema direzzjoni kardinali minn Los Angeles huwa San Diego?</v>
      </c>
    </row>
    <row r="5372" ht="15.75" customHeight="1">
      <c r="A5372" s="2" t="s">
        <v>5372</v>
      </c>
      <c r="B5372" s="2" t="str">
        <f>IFERROR(__xludf.DUMMYFUNCTION("GOOGLETRANSLATE(A5372, ""en"", ""mt"")"),"Soluzzjonijiet tal-Laħam Cargill u Foster Farms")</f>
        <v>Soluzzjonijiet tal-Laħam Cargill u Foster Farms</v>
      </c>
    </row>
    <row r="5373" ht="15.75" customHeight="1">
      <c r="A5373" s="2" t="s">
        <v>5373</v>
      </c>
      <c r="B5373" s="2" t="str">
        <f>IFERROR(__xludf.DUMMYFUNCTION("GOOGLETRANSLATE(A5373, ""en"", ""mt"")"),"Il-kampus tal-Università ta ’Chicago")</f>
        <v>Il-kampus tal-Università ta ’Chicago</v>
      </c>
    </row>
    <row r="5374" ht="15.75" customHeight="1">
      <c r="A5374" s="2" t="s">
        <v>5374</v>
      </c>
      <c r="B5374" s="2" t="str">
        <f>IFERROR(__xludf.DUMMYFUNCTION("GOOGLETRANSLATE(A5374, ""en"", ""mt"")"),"X'qed jiġi rranġat mill-ġdid bħala parti mix-xogħlijiet ta 'titjib?")</f>
        <v>X'qed jiġi rranġat mill-ġdid bħala parti mix-xogħlijiet ta 'titjib?</v>
      </c>
    </row>
    <row r="5375" ht="15.75" customHeight="1">
      <c r="A5375" s="2" t="s">
        <v>5375</v>
      </c>
      <c r="B5375" s="2" t="str">
        <f>IFERROR(__xludf.DUMMYFUNCTION("GOOGLETRANSLATE(A5375, ""en"", ""mt"")"),"X'tip ta 'votazzjoni jintuża biex jeleġġi l-uffiċjal li jippresiedi u d-deputati tal-Parlament?")</f>
        <v>X'tip ta 'votazzjoni jintuża biex jeleġġi l-uffiċjal li jippresiedi u d-deputati tal-Parlament?</v>
      </c>
    </row>
    <row r="5376" ht="15.75" customHeight="1">
      <c r="A5376" s="2" t="s">
        <v>5376</v>
      </c>
      <c r="B5376" s="2" t="str">
        <f>IFERROR(__xludf.DUMMYFUNCTION("GOOGLETRANSLATE(A5376, ""en"", ""mt"")"),"ħamsin fil-mija")</f>
        <v>ħamsin fil-mija</v>
      </c>
    </row>
    <row r="5377" ht="15.75" customHeight="1">
      <c r="A5377" s="2" t="s">
        <v>5377</v>
      </c>
      <c r="B5377" s="2" t="str">
        <f>IFERROR(__xludf.DUMMYFUNCTION("GOOGLETRANSLATE(A5377, ""en"", ""mt"")"),"F’xi anġjospermi C3, u anke xi ġimnospermi")</f>
        <v>F’xi anġjospermi C3, u anke xi ġimnospermi</v>
      </c>
    </row>
    <row r="5378" ht="15.75" customHeight="1">
      <c r="A5378" s="2" t="s">
        <v>5378</v>
      </c>
      <c r="B5378" s="2" t="str">
        <f>IFERROR(__xludf.DUMMYFUNCTION("GOOGLETRANSLATE(A5378, ""en"", ""mt"")"),"15-il miljun")</f>
        <v>15-il miljun</v>
      </c>
    </row>
    <row r="5379" ht="15.75" customHeight="1">
      <c r="A5379" s="2" t="s">
        <v>5379</v>
      </c>
      <c r="B5379" s="2" t="str">
        <f>IFERROR(__xludf.DUMMYFUNCTION("GOOGLETRANSLATE(A5379, ""en"", ""mt"")"),"bidu tal-era storika")</f>
        <v>bidu tal-era storika</v>
      </c>
    </row>
    <row r="5380" ht="15.75" customHeight="1">
      <c r="A5380" s="2" t="s">
        <v>5380</v>
      </c>
      <c r="B5380" s="2" t="str">
        <f>IFERROR(__xludf.DUMMYFUNCTION("GOOGLETRANSLATE(A5380, ""en"", ""mt"")"),"Elementi ewlenin")</f>
        <v>Elementi ewlenin</v>
      </c>
    </row>
    <row r="5381" ht="15.75" customHeight="1">
      <c r="A5381" s="2" t="s">
        <v>5381</v>
      </c>
      <c r="B5381" s="2" t="str">
        <f>IFERROR(__xludf.DUMMYFUNCTION("GOOGLETRANSLATE(A5381, ""en"", ""mt"")"),"Iż-żewġ timijiet elenkati jilagħbu għal liema grupp NCAA?")</f>
        <v>Iż-żewġ timijiet elenkati jilagħbu għal liema grupp NCAA?</v>
      </c>
    </row>
    <row r="5382" ht="15.75" customHeight="1">
      <c r="A5382" s="2" t="s">
        <v>5382</v>
      </c>
      <c r="B5382" s="2" t="str">
        <f>IFERROR(__xludf.DUMMYFUNCTION("GOOGLETRANSLATE(A5382, ""en"", ""mt"")"),"X'inhu l-iskop ewlieni tal-ġurisdizzjonijiet u l-konferenzi ċentrali?")</f>
        <v>X'inhu l-iskop ewlieni tal-ġurisdizzjonijiet u l-konferenzi ċentrali?</v>
      </c>
    </row>
    <row r="5383" ht="15.75" customHeight="1">
      <c r="A5383" s="2" t="s">
        <v>5383</v>
      </c>
      <c r="B5383" s="2" t="str">
        <f>IFERROR(__xludf.DUMMYFUNCTION("GOOGLETRANSLATE(A5383, ""en"", ""mt"")"),"Il-klima aktar mxarrba setgħet ippermettiet li l-foresta tropikali tropikali tinfirex madwar il-kontinent.")</f>
        <v>Il-klima aktar mxarrba setgħet ippermettiet li l-foresta tropikali tropikali tinfirex madwar il-kontinent.</v>
      </c>
    </row>
    <row r="5384" ht="15.75" customHeight="1">
      <c r="A5384" s="2" t="s">
        <v>5384</v>
      </c>
      <c r="B5384" s="2" t="str">
        <f>IFERROR(__xludf.DUMMYFUNCTION("GOOGLETRANSLATE(A5384, ""en"", ""mt"")"),"Fejn ittieħdet il-kejl għall-gravità standard fid-dinja?")</f>
        <v>Fejn ittieħdet il-kejl għall-gravità standard fid-dinja?</v>
      </c>
    </row>
    <row r="5385" ht="15.75" customHeight="1">
      <c r="A5385" s="2" t="s">
        <v>5385</v>
      </c>
      <c r="B5385" s="2" t="str">
        <f>IFERROR(__xludf.DUMMYFUNCTION("GOOGLETRANSLATE(A5385, ""en"", ""mt"")"),"Il-pjan kien formalizzat?")</f>
        <v>Il-pjan kien formalizzat?</v>
      </c>
    </row>
    <row r="5386" ht="15.75" customHeight="1">
      <c r="A5386" s="2" t="s">
        <v>5386</v>
      </c>
      <c r="B5386" s="2" t="str">
        <f>IFERROR(__xludf.DUMMYFUNCTION("GOOGLETRANSLATE(A5386, ""en"", ""mt"")"),"Il-Ktieb tal-Eżodu")</f>
        <v>Il-Ktieb tal-Eżodu</v>
      </c>
    </row>
    <row r="5387" ht="15.75" customHeight="1">
      <c r="A5387" s="2" t="s">
        <v>5387</v>
      </c>
      <c r="B5387" s="2" t="str">
        <f>IFERROR(__xludf.DUMMYFUNCTION("GOOGLETRANSLATE(A5387, ""en"", ""mt"")"),"Assigurazzjonijiet foloz")</f>
        <v>Assigurazzjonijiet foloz</v>
      </c>
    </row>
    <row r="5388" ht="15.75" customHeight="1">
      <c r="A5388" s="2" t="s">
        <v>5388</v>
      </c>
      <c r="B5388" s="2" t="str">
        <f>IFERROR(__xludf.DUMMYFUNCTION("GOOGLETRANSLATE(A5388, ""en"", ""mt"")"),"X’inventa Sir Charles Parsons?")</f>
        <v>X’inventa Sir Charles Parsons?</v>
      </c>
    </row>
    <row r="5389" ht="15.75" customHeight="1">
      <c r="A5389" s="2" t="s">
        <v>5389</v>
      </c>
      <c r="B5389" s="2" t="str">
        <f>IFERROR(__xludf.DUMMYFUNCTION("GOOGLETRANSLATE(A5389, ""en"", ""mt"")"),"Għaliex is-sedimentazzjoni naturali mir-Renu kkumpensat it-trasgressjoni bby il-baħar?")</f>
        <v>Għaliex is-sedimentazzjoni naturali mir-Renu kkumpensat it-trasgressjoni bby il-baħar?</v>
      </c>
    </row>
    <row r="5390" ht="15.75" customHeight="1">
      <c r="A5390" s="2" t="s">
        <v>5390</v>
      </c>
      <c r="B5390" s="2" t="str">
        <f>IFERROR(__xludf.DUMMYFUNCTION("GOOGLETRANSLATE(A5390, ""en"", ""mt"")"),"Evita t-talbiet ta 'dota li jiswew ħafna flus")</f>
        <v>Evita t-talbiet ta 'dota li jiswew ħafna flus</v>
      </c>
    </row>
    <row r="5391" ht="15.75" customHeight="1">
      <c r="A5391" s="2" t="s">
        <v>5391</v>
      </c>
      <c r="B5391" s="2" t="str">
        <f>IFERROR(__xludf.DUMMYFUNCTION("GOOGLETRANSLATE(A5391, ""en"", ""mt"")"),"Biex tillegalizza l-importazzjoni ta 'mediċini mill-Kanada u pajjiżi oħra")</f>
        <v>Biex tillegalizza l-importazzjoni ta 'mediċini mill-Kanada u pajjiżi oħra</v>
      </c>
    </row>
    <row r="5392" ht="15.75" customHeight="1">
      <c r="A5392" s="2" t="s">
        <v>5392</v>
      </c>
      <c r="B5392" s="2" t="str">
        <f>IFERROR(__xludf.DUMMYFUNCTION("GOOGLETRANSLATE(A5392, ""en"", ""mt"")"),"X'inhu l-pedament għar-riżultati tas-separazzjoni fi ħdan klassijiet ta 'kumplessità?")</f>
        <v>X'inhu l-pedament għar-riżultati tas-separazzjoni fi ħdan klassijiet ta 'kumplessità?</v>
      </c>
    </row>
    <row r="5393" ht="15.75" customHeight="1">
      <c r="A5393" s="2" t="s">
        <v>5393</v>
      </c>
      <c r="B5393" s="2" t="str">
        <f>IFERROR(__xludf.DUMMYFUNCTION("GOOGLETRANSLATE(A5393, ""en"", ""mt"")"),"Tesla kienet ir-raba ’minn ħamest itfal. Kellu ħuh akbar jismu Dane u tliet sorijiet, Milka, Angelina u Marica. Dane nqatel f'inċident ta 'rkib taż-żwiemel meta Nikola kellu ħames snin. Fl-1861, Tesla attendiet l-iskola ""baxxa"" jew ""primarja"" fi Smilj"&amp;"an fejn studja l-Ġermaniż, l-aritmetika, u r-reliġjon. Fl-1862, il-familja Tesla marret tgħix Gospic, Imperu Awstrijak, fejn missier Tesla ħadem bħala ragħaj. Nikola temm l-iskola ""aktar baxxa"" jew ""primarja"", segwita mill- ""ġinnasju reali baxx"" jew"&amp;" ""skola normali.""")</f>
        <v>Tesla kienet ir-raba ’minn ħamest itfal. Kellu ħuh akbar jismu Dane u tliet sorijiet, Milka, Angelina u Marica. Dane nqatel f'inċident ta 'rkib taż-żwiemel meta Nikola kellu ħames snin. Fl-1861, Tesla attendiet l-iskola "baxxa" jew "primarja" fi Smiljan fejn studja l-Ġermaniż, l-aritmetika, u r-reliġjon. Fl-1862, il-familja Tesla marret tgħix Gospic, Imperu Awstrijak, fejn missier Tesla ħadem bħala ragħaj. Nikola temm l-iskola "aktar baxxa" jew "primarja", segwita mill- "ġinnasju reali baxx" jew "skola normali."</v>
      </c>
    </row>
    <row r="5394" ht="15.75" customHeight="1">
      <c r="A5394" s="2" t="s">
        <v>5394</v>
      </c>
      <c r="B5394" s="2" t="str">
        <f>IFERROR(__xludf.DUMMYFUNCTION("GOOGLETRANSLATE(A5394, ""en"", ""mt"")"),"X'għandha t-tendenza li żżid il-pagi f'qasam jew pożizzjoni tax-xogħol?")</f>
        <v>X'għandha t-tendenza li żżid il-pagi f'qasam jew pożizzjoni tax-xogħol?</v>
      </c>
    </row>
    <row r="5395" ht="15.75" customHeight="1">
      <c r="A5395" s="2" t="s">
        <v>5395</v>
      </c>
      <c r="B5395" s="2" t="str">
        <f>IFERROR(__xludf.DUMMYFUNCTION("GOOGLETRANSLATE(A5395, ""en"", ""mt"")"),"Liema problema tal-komputazzjoni hija komunement assoċjata mal-fatturizzazzjoni ewlenija?")</f>
        <v>Liema problema tal-komputazzjoni hija komunement assoċjata mal-fatturizzazzjoni ewlenija?</v>
      </c>
    </row>
    <row r="5396" ht="15.75" customHeight="1">
      <c r="A5396" s="2" t="s">
        <v>5396</v>
      </c>
      <c r="B5396" s="2" t="str">
        <f>IFERROR(__xludf.DUMMYFUNCTION("GOOGLETRANSLATE(A5396, ""en"", ""mt"")"),"X'inhi t-tieni fażi tal-proġett ta 'diġitizzazzjoni?")</f>
        <v>X'inhi t-tieni fażi tal-proġett ta 'diġitizzazzjoni?</v>
      </c>
    </row>
    <row r="5397" ht="15.75" customHeight="1">
      <c r="A5397" s="2" t="s">
        <v>5397</v>
      </c>
      <c r="B5397" s="2" t="str">
        <f>IFERROR(__xludf.DUMMYFUNCTION("GOOGLETRANSLATE(A5397, ""en"", ""mt"")"),"Merkurju")</f>
        <v>Merkurju</v>
      </c>
    </row>
    <row r="5398" ht="15.75" customHeight="1">
      <c r="A5398" s="2" t="s">
        <v>5398</v>
      </c>
      <c r="B5398" s="2" t="str">
        <f>IFERROR(__xludf.DUMMYFUNCTION("GOOGLETRANSLATE(A5398, ""en"", ""mt"")"),"Meta kienet it-tifqigħa tal-Ewwel Gwerra Dinjija?")</f>
        <v>Meta kienet it-tifqigħa tal-Ewwel Gwerra Dinjija?</v>
      </c>
    </row>
    <row r="5399" ht="15.75" customHeight="1">
      <c r="A5399" s="2" t="s">
        <v>5399</v>
      </c>
      <c r="B5399" s="2" t="str">
        <f>IFERROR(__xludf.DUMMYFUNCTION("GOOGLETRANSLATE(A5399, ""en"", ""mt"")"),"X'importat negattiv fuq is-swieq tax-xogħol fl-Istati Uniti?")</f>
        <v>X'importat negattiv fuq is-swieq tax-xogħol fl-Istati Uniti?</v>
      </c>
    </row>
    <row r="5400" ht="15.75" customHeight="1">
      <c r="A5400" s="2" t="s">
        <v>5400</v>
      </c>
      <c r="B5400" s="2" t="str">
        <f>IFERROR(__xludf.DUMMYFUNCTION("GOOGLETRANSLATE(A5400, ""en"", ""mt"")"),"Huwa possibbli li tuża mekkaniżmu bbażat fuq magna li ddur mingħajr piston bħall-magna Wankel minflok iċ-ċilindri u l-irkaptu tal-valv ta 'magna tal-fwar reċiprokanti konvenzjonali. Ħafna magni bħal dawn ġew iddisinjati, mill-ħin ta 'James Watt sal-lum, i"&amp;"żda relattivament ftit kienu fil-fatt mibnija u saħansitra inqas daħlu fil-produzzjoni tal-kwantità; Ara l-link fil-qiegħ tal-artiklu għal aktar dettalji. Il-problema ewlenija hija d-diffikultà li tissiġilla r-rotors biex tagħmilhom issikkati bil-fwar fil"&amp;"-konfront tal-ilbies u l-espansjoni termali; It-tnixxija li tirriżulta għamlithom ineffiċjenti ħafna. Nuqqas ta 'xogħol espansiv, jew kwalunkwe mezz ta' kontroll tal-qtugħ huwa wkoll problema serja b'ħafna disinni bħal dawn. [Ċitazzjoni meħtieġa]")</f>
        <v>Huwa possibbli li tuża mekkaniżmu bbażat fuq magna li ddur mingħajr piston bħall-magna Wankel minflok iċ-ċilindri u l-irkaptu tal-valv ta 'magna tal-fwar reċiprokanti konvenzjonali. Ħafna magni bħal dawn ġew iddisinjati, mill-ħin ta 'James Watt sal-lum, iżda relattivament ftit kienu fil-fatt mibnija u saħansitra inqas daħlu fil-produzzjoni tal-kwantità; Ara l-link fil-qiegħ tal-artiklu għal aktar dettalji. Il-problema ewlenija hija d-diffikultà li tissiġilla r-rotors biex tagħmilhom issikkati bil-fwar fil-konfront tal-ilbies u l-espansjoni termali; It-tnixxija li tirriżulta għamlithom ineffiċjenti ħafna. Nuqqas ta 'xogħol espansiv, jew kwalunkwe mezz ta' kontroll tal-qtugħ huwa wkoll problema serja b'ħafna disinni bħal dawn. [Ċitazzjoni meħtieġa]</v>
      </c>
    </row>
    <row r="5401" ht="15.75" customHeight="1">
      <c r="A5401" s="2" t="s">
        <v>5401</v>
      </c>
      <c r="B5401" s="2" t="str">
        <f>IFERROR(__xludf.DUMMYFUNCTION("GOOGLETRANSLATE(A5401, ""en"", ""mt"")"),"Kera fil-lukanda New Yorker")</f>
        <v>Kera fil-lukanda New Yorker</v>
      </c>
    </row>
    <row r="5402" ht="15.75" customHeight="1">
      <c r="A5402" s="2" t="s">
        <v>5402</v>
      </c>
      <c r="B5402" s="2" t="str">
        <f>IFERROR(__xludf.DUMMYFUNCTION("GOOGLETRANSLATE(A5402, ""en"", ""mt"")"),"Kemm diviżjonijiet jiffurmaw l-akkademiċi tal-università?")</f>
        <v>Kemm diviżjonijiet jiffurmaw l-akkademiċi tal-università?</v>
      </c>
    </row>
    <row r="5403" ht="15.75" customHeight="1">
      <c r="A5403" s="2" t="s">
        <v>5403</v>
      </c>
      <c r="B5403" s="2" t="str">
        <f>IFERROR(__xludf.DUMMYFUNCTION("GOOGLETRANSLATE(A5403, ""en"", ""mt"")"),"L-għaqda politika taċ-Ċina u ħafna mill-Asja Ċentrali")</f>
        <v>L-għaqda politika taċ-Ċina u ħafna mill-Asja Ċentrali</v>
      </c>
    </row>
    <row r="5404" ht="15.75" customHeight="1">
      <c r="A5404" s="2" t="s">
        <v>5404</v>
      </c>
      <c r="B5404" s="2" t="str">
        <f>IFERROR(__xludf.DUMMYFUNCTION("GOOGLETRANSLATE(A5404, ""en"", ""mt"")"),"Kemm ħallas Westinghouse għad-disinji ta 'Tesla?")</f>
        <v>Kemm ħallas Westinghouse għad-disinji ta 'Tesla?</v>
      </c>
    </row>
    <row r="5405" ht="15.75" customHeight="1">
      <c r="A5405" s="2" t="s">
        <v>5405</v>
      </c>
      <c r="B5405" s="2" t="str">
        <f>IFERROR(__xludf.DUMMYFUNCTION("GOOGLETRANSLATE(A5405, ""en"", ""mt"")"),"biex tipproteġi l-art tar-re fil-wied ta 'Ohio mill-Ingliżi")</f>
        <v>biex tipproteġi l-art tar-re fil-wied ta 'Ohio mill-Ingliżi</v>
      </c>
    </row>
    <row r="5406" ht="15.75" customHeight="1">
      <c r="A5406" s="2" t="s">
        <v>5406</v>
      </c>
      <c r="B5406" s="2" t="str">
        <f>IFERROR(__xludf.DUMMYFUNCTION("GOOGLETRANSLATE(A5406, ""en"", ""mt"")"),"Kemm-il darba l-California tan-Nofsinhar ippruvat tikseb stat separat?")</f>
        <v>Kemm-il darba l-California tan-Nofsinhar ippruvat tikseb stat separat?</v>
      </c>
    </row>
    <row r="5407" ht="15.75" customHeight="1">
      <c r="A5407" s="2" t="s">
        <v>5407</v>
      </c>
      <c r="B5407" s="2" t="str">
        <f>IFERROR(__xludf.DUMMYFUNCTION("GOOGLETRANSLATE(A5407, ""en"", ""mt"")"),"Id-direzzjoni li tagħmilha tidher qisha bidla fil-klima hija iktar serja")</f>
        <v>Id-direzzjoni li tagħmilha tidher qisha bidla fil-klima hija iktar serja</v>
      </c>
    </row>
    <row r="5408" ht="15.75" customHeight="1">
      <c r="A5408" s="2" t="s">
        <v>5408</v>
      </c>
      <c r="B5408" s="2" t="str">
        <f>IFERROR(__xludf.DUMMYFUNCTION("GOOGLETRANSLATE(A5408, ""en"", ""mt"")"),"Ħafna skejjel stabbiliti mill-UMC huma membri ta 'liema grupp?")</f>
        <v>Ħafna skejjel stabbiliti mill-UMC huma membri ta 'liema grupp?</v>
      </c>
    </row>
    <row r="5409" ht="15.75" customHeight="1">
      <c r="A5409" s="2" t="s">
        <v>5409</v>
      </c>
      <c r="B5409" s="2" t="str">
        <f>IFERROR(__xludf.DUMMYFUNCTION("GOOGLETRANSLATE(A5409, ""en"", ""mt"")"),"Fejn isseħħ iċ-ċaħda tas-sħana fiċ-ċiklu ta 'Rankine?")</f>
        <v>Fejn isseħħ iċ-ċaħda tas-sħana fiċ-ċiklu ta 'Rankine?</v>
      </c>
    </row>
    <row r="5410" ht="15.75" customHeight="1">
      <c r="A5410" s="2" t="s">
        <v>5410</v>
      </c>
      <c r="B5410" s="2" t="str">
        <f>IFERROR(__xludf.DUMMYFUNCTION("GOOGLETRANSLATE(A5410, ""en"", ""mt"")"),"1340s 'il quddiem")</f>
        <v>1340s 'il quddiem</v>
      </c>
    </row>
    <row r="5411" ht="15.75" customHeight="1">
      <c r="A5411" s="2" t="s">
        <v>5411</v>
      </c>
      <c r="B5411" s="2" t="str">
        <f>IFERROR(__xludf.DUMMYFUNCTION("GOOGLETRANSLATE(A5411, ""en"", ""mt"")"),"Liema imperu storiku uża l-imperjalizmu kulturali biex ibandal l-elite lokali?")</f>
        <v>Liema imperu storiku uża l-imperjalizmu kulturali biex ibandal l-elite lokali?</v>
      </c>
    </row>
    <row r="5412" ht="15.75" customHeight="1">
      <c r="A5412" s="2" t="s">
        <v>5412</v>
      </c>
      <c r="B5412" s="2" t="str">
        <f>IFERROR(__xludf.DUMMYFUNCTION("GOOGLETRANSLATE(A5412, ""en"", ""mt"")"),"In-nukleu tad-dinophyte")</f>
        <v>In-nukleu tad-dinophyte</v>
      </c>
    </row>
    <row r="5413" ht="15.75" customHeight="1">
      <c r="A5413" s="2" t="s">
        <v>5413</v>
      </c>
      <c r="B5413" s="2" t="str">
        <f>IFERROR(__xludf.DUMMYFUNCTION("GOOGLETRANSLATE(A5413, ""en"", ""mt"")"),"L-ispedizzjoni ta 'Johnson kienet organizzata aħjar minn dik ta' Shirley, li kienet innutata mill-gvernatur ta 'New France, il-Marquis de Vaudreuil. Huwa kien primarjament imħasseb dwar il-linja ta 'provvista estiża għall-fortizzi fuq l-Ohio, u kien bagħa"&amp;"t lill-Baruni Dieskau biex imexxi d-difiżi fi Frontenac kontra l-attakk mistenni ta' Shirley. Meta Johnson kien meqjus bħala t-theddida ikbar, Vaudreuil bagħat lil Dieskau fil-Fort San Frédéric biex jiltaqa ’ma’ dik it-theddida. Dieskau ppjana li jattakka"&amp;" l-akkampjar Brittaniku fil-Fort Edward fit-tarf ta 'fuq tan-navigazzjoni fuq ix-Xmara Hudson, iżda Johnson kien imsaħħaħ bil-qawwa, u l-appoġġ Indjan ta' Dieskau kien ħerqan li jattakka. Iż-żewġ forzi fl-aħħar iltaqgħu fil-battalja mdemmi tal-Lag George "&amp;"bejn Fort Edward u Fort William Henry. Il-battalja ntemmet b'mod inkonklussiv, biż-żewġ naħat jirtiraw mill-għalqa. L-avvanz ta ’Johnson waqaf fil-Fort William Henry, u l-Franċiżi rtiraw lejn Ticonderoga Point, fejn bdew il-kostruzzjoni ta’ Fort Carillon "&amp;"(aktar tard semmiet Fort Ticonderoga wara li qbadt l-Ingliżi fl-1759).")</f>
        <v>L-ispedizzjoni ta 'Johnson kienet organizzata aħjar minn dik ta' Shirley, li kienet innutata mill-gvernatur ta 'New France, il-Marquis de Vaudreuil. Huwa kien primarjament imħasseb dwar il-linja ta 'provvista estiża għall-fortizzi fuq l-Ohio, u kien bagħat lill-Baruni Dieskau biex imexxi d-difiżi fi Frontenac kontra l-attakk mistenni ta' Shirley. Meta Johnson kien meqjus bħala t-theddida ikbar, Vaudreuil bagħat lil Dieskau fil-Fort San Frédéric biex jiltaqa ’ma’ dik it-theddida. Dieskau ppjana li jattakka l-akkampjar Brittaniku fil-Fort Edward fit-tarf ta 'fuq tan-navigazzjoni fuq ix-Xmara Hudson, iżda Johnson kien imsaħħaħ bil-qawwa, u l-appoġġ Indjan ta' Dieskau kien ħerqan li jattakka. Iż-żewġ forzi fl-aħħar iltaqgħu fil-battalja mdemmi tal-Lag George bejn Fort Edward u Fort William Henry. Il-battalja ntemmet b'mod inkonklussiv, biż-żewġ naħat jirtiraw mill-għalqa. L-avvanz ta ’Johnson waqaf fil-Fort William Henry, u l-Franċiżi rtiraw lejn Ticonderoga Point, fejn bdew il-kostruzzjoni ta’ Fort Carillon (aktar tard semmiet Fort Ticonderoga wara li qbadt l-Ingliżi fl-1759).</v>
      </c>
    </row>
    <row r="5414" ht="15.75" customHeight="1">
      <c r="A5414" s="2" t="s">
        <v>5414</v>
      </c>
      <c r="B5414" s="2" t="str">
        <f>IFERROR(__xludf.DUMMYFUNCTION("GOOGLETRANSLATE(A5414, ""en"", ""mt"")"),"Meta l-Papa Leo x Excommunicate Luther?")</f>
        <v>Meta l-Papa Leo x Excommunicate Luther?</v>
      </c>
    </row>
    <row r="5415" ht="15.75" customHeight="1">
      <c r="A5415" s="2" t="s">
        <v>5415</v>
      </c>
      <c r="B5415" s="2" t="str">
        <f>IFERROR(__xludf.DUMMYFUNCTION("GOOGLETRANSLATE(A5415, ""en"", ""mt"")"),"Meta ċ-ċelloli B u ċ-ċelloli T jibdew jirreplikaw, x'sar uħud miċ-ċelloli tal-frieħ tagħhom?")</f>
        <v>Meta ċ-ċelloli B u ċ-ċelloli T jibdew jirreplikaw, x'sar uħud miċ-ċelloli tal-frieħ tagħhom?</v>
      </c>
    </row>
    <row r="5416" ht="15.75" customHeight="1">
      <c r="A5416" s="2" t="s">
        <v>5416</v>
      </c>
      <c r="B5416" s="2" t="str">
        <f>IFERROR(__xludf.DUMMYFUNCTION("GOOGLETRANSLATE(A5416, ""en"", ""mt"")"),"qatt ratifikat")</f>
        <v>qatt ratifikat</v>
      </c>
    </row>
    <row r="5417" ht="15.75" customHeight="1">
      <c r="A5417" s="2" t="s">
        <v>5417</v>
      </c>
      <c r="B5417" s="2" t="str">
        <f>IFERROR(__xludf.DUMMYFUNCTION("GOOGLETRANSLATE(A5417, ""en"", ""mt"")"),"Sopravivenza")</f>
        <v>Sopravivenza</v>
      </c>
    </row>
    <row r="5418" ht="15.75" customHeight="1">
      <c r="A5418" s="2" t="s">
        <v>5418</v>
      </c>
      <c r="B5418" s="2" t="str">
        <f>IFERROR(__xludf.DUMMYFUNCTION("GOOGLETRANSLATE(A5418, ""en"", ""mt"")"),"Il-knisja tgħid ukoll li huma ""huma marbuta bl-istess mod li jirrispettaw is-sagrifiċċju tal-ħajja u l-benesseri tal-omm, li għaliha ħsara devastanti tista 'tirriżulta minn tqala inaċċettabbli. B'kontinwità mat-tagħlim Kristjan tal-passat, aħna nirrikono"&amp;"xxu kunflitti traġiċi tal-ħajja magħhom ħajja li tista 'tiġġustifika l-abort, u f'każijiet bħal dawn aħna nappoġġjaw l-għażla legali ta' abort taħt proċeduri mediċi xierqa. "" Bħala tali, żewġ korpi uffiċjali tal-Knisja Metodista Magħquda huma parti mill-"&amp;"koalizzjoni reliġjuża għall-koalizzjoni li tiggverna l-għażla riproduttiva, il-Bord Ġenerali tal-Knisja u s-Soċjetà, u n-Nisa Metodisti Magħquda. Il-Knisja tagħti attenzjoni li ""l-liġijiet u r-regolamenti governattivi ma jipprovdux il-gwida kollha meħtie"&amp;"ġa mill-kuxjenza Nisranija infurmata."" Il-knisja tenfasizza l-ħtieġa li tkun fil-ministeru ta 'appoġġ man-nisa kollha, irrispettivament mill-għażla tagħhom.")</f>
        <v>Il-knisja tgħid ukoll li huma "huma marbuta bl-istess mod li jirrispettaw is-sagrifiċċju tal-ħajja u l-benesseri tal-omm, li għaliha ħsara devastanti tista 'tirriżulta minn tqala inaċċettabbli. B'kontinwità mat-tagħlim Kristjan tal-passat, aħna nirrikonoxxu kunflitti traġiċi tal-ħajja magħhom ħajja li tista 'tiġġustifika l-abort, u f'każijiet bħal dawn aħna nappoġġjaw l-għażla legali ta' abort taħt proċeduri mediċi xierqa. " Bħala tali, żewġ korpi uffiċjali tal-Knisja Metodista Magħquda huma parti mill-koalizzjoni reliġjuża għall-koalizzjoni li tiggverna l-għażla riproduttiva, il-Bord Ġenerali tal-Knisja u s-Soċjetà, u n-Nisa Metodisti Magħquda. Il-Knisja tagħti attenzjoni li "l-liġijiet u r-regolamenti governattivi ma jipprovdux il-gwida kollha meħtieġa mill-kuxjenza Nisranija infurmata." Il-knisja tenfasizza l-ħtieġa li tkun fil-ministeru ta 'appoġġ man-nisa kollha, irrispettivament mill-għażla tagħhom.</v>
      </c>
    </row>
    <row r="5419" ht="15.75" customHeight="1">
      <c r="A5419" s="2" t="s">
        <v>5419</v>
      </c>
      <c r="B5419" s="2" t="str">
        <f>IFERROR(__xludf.DUMMYFUNCTION("GOOGLETRANSLATE(A5419, ""en"", ""mt"")"),"Downtown San Diego huwa d-Distrett tan-Negozju Ċentrali ta 'San Diego, għalkemm il-belt hija mimlija distretti tan-negozju. Dawn jinkludu Carmel Valley, Del Mar Heights, Mission Valley, Rancho Bernardo, Sorrento Mesa, u University City. Ħafna minn dawn id"&amp;"-distretti jinsabu fit-Tramuntana ta 'San Diego u xi wħud fir-reġjuni tal-Kontea tat-Tramuntana.")</f>
        <v>Downtown San Diego huwa d-Distrett tan-Negozju Ċentrali ta 'San Diego, għalkemm il-belt hija mimlija distretti tan-negozju. Dawn jinkludu Carmel Valley, Del Mar Heights, Mission Valley, Rancho Bernardo, Sorrento Mesa, u University City. Ħafna minn dawn id-distretti jinsabu fit-Tramuntana ta 'San Diego u xi wħud fir-reġjuni tal-Kontea tat-Tramuntana.</v>
      </c>
    </row>
    <row r="5420" ht="15.75" customHeight="1">
      <c r="A5420" s="2" t="s">
        <v>5420</v>
      </c>
      <c r="B5420" s="2" t="str">
        <f>IFERROR(__xludf.DUMMYFUNCTION("GOOGLETRANSLATE(A5420, ""en"", ""mt"")"),"X'inhu r-riżultat taċ-ċiklu ta 'Calvin?")</f>
        <v>X'inhu r-riżultat taċ-ċiklu ta 'Calvin?</v>
      </c>
    </row>
    <row r="5421" ht="15.75" customHeight="1">
      <c r="A5421" s="2" t="s">
        <v>5421</v>
      </c>
      <c r="B5421" s="2" t="str">
        <f>IFERROR(__xludf.DUMMYFUNCTION("GOOGLETRANSLATE(A5421, ""en"", ""mt"")"),"għal partijiet oħra tal-imperu")</f>
        <v>għal partijiet oħra tal-imperu</v>
      </c>
    </row>
    <row r="5422" ht="15.75" customHeight="1">
      <c r="A5422" s="2" t="s">
        <v>5422</v>
      </c>
      <c r="B5422" s="2" t="str">
        <f>IFERROR(__xludf.DUMMYFUNCTION("GOOGLETRANSLATE(A5422, ""en"", ""mt"")"),"It-2 seklu BCE")</f>
        <v>It-2 seklu BCE</v>
      </c>
    </row>
    <row r="5423" ht="15.75" customHeight="1">
      <c r="A5423" s="2" t="s">
        <v>5423</v>
      </c>
      <c r="B5423" s="2" t="str">
        <f>IFERROR(__xludf.DUMMYFUNCTION("GOOGLETRANSLATE(A5423, ""en"", ""mt"")"),"Liema mill-ambaxxaturi ta 'Genghis Khan il-Shah kellu l-kapsuma?")</f>
        <v>Liema mill-ambaxxaturi ta 'Genghis Khan il-Shah kellu l-kapsuma?</v>
      </c>
    </row>
    <row r="5424" ht="15.75" customHeight="1">
      <c r="A5424" s="2" t="s">
        <v>5424</v>
      </c>
      <c r="B5424" s="2" t="str">
        <f>IFERROR(__xludf.DUMMYFUNCTION("GOOGLETRANSLATE(A5424, ""en"", ""mt"")"),"Liema organizzazzjoni tat-Tesla serva bħala viċi president?")</f>
        <v>Liema organizzazzjoni tat-Tesla serva bħala viċi president?</v>
      </c>
    </row>
    <row r="5425" ht="15.75" customHeight="1">
      <c r="A5425" s="2" t="s">
        <v>5425</v>
      </c>
      <c r="B5425" s="2" t="str">
        <f>IFERROR(__xludf.DUMMYFUNCTION("GOOGLETRANSLATE(A5425, ""en"", ""mt"")"),"Peyton Manning sar l-ewwel quarterback li qatt mexxa żewġ timijiet differenti għal Super Bowls multipli. Huwa wkoll l-eqdem quarterback li qatt lagħab fis-Super Bowl fl-età ta '39. Ir-rekord tal-passat kien miżmum minn John Elway, li wassal lill-Broncos g"&amp;"ħar-rebħa fis-Super Bowl XXXIII fl-età ta '38 sena u bħalissa huwa l-viċi president eżekuttiv ta' Denver ta 'Operazzjonijiet tal-Futbol u Maniġer ġenerali.")</f>
        <v>Peyton Manning sar l-ewwel quarterback li qatt mexxa żewġ timijiet differenti għal Super Bowls multipli. Huwa wkoll l-eqdem quarterback li qatt lagħab fis-Super Bowl fl-età ta '39. Ir-rekord tal-passat kien miżmum minn John Elway, li wassal lill-Broncos għar-rebħa fis-Super Bowl XXXIII fl-età ta '38 sena u bħalissa huwa l-viċi president eżekuttiv ta' Denver ta 'Operazzjonijiet tal-Futbol u Maniġer ġenerali.</v>
      </c>
    </row>
    <row r="5426" ht="15.75" customHeight="1">
      <c r="A5426" s="2" t="s">
        <v>5426</v>
      </c>
      <c r="B5426" s="2" t="str">
        <f>IFERROR(__xludf.DUMMYFUNCTION("GOOGLETRANSLATE(A5426, ""en"", ""mt"")"),"defiċit.")</f>
        <v>defiċit.</v>
      </c>
    </row>
    <row r="5427" ht="15.75" customHeight="1">
      <c r="A5427" s="2" t="s">
        <v>5427</v>
      </c>
      <c r="B5427" s="2" t="str">
        <f>IFERROR(__xludf.DUMMYFUNCTION("GOOGLETRANSLATE(A5427, ""en"", ""mt"")"),"Bijologu")</f>
        <v>Bijologu</v>
      </c>
    </row>
    <row r="5428" ht="15.75" customHeight="1">
      <c r="A5428" s="2" t="s">
        <v>5428</v>
      </c>
      <c r="B5428" s="2" t="str">
        <f>IFERROR(__xludf.DUMMYFUNCTION("GOOGLETRANSLATE(A5428, ""en"", ""mt"")"),"Cytokine TBF-B irażżan l-attività ta 'liema tipi ta' ċelloli?")</f>
        <v>Cytokine TBF-B irażżan l-attività ta 'liema tipi ta' ċelloli?</v>
      </c>
    </row>
    <row r="5429" ht="15.75" customHeight="1">
      <c r="A5429" s="2" t="s">
        <v>5429</v>
      </c>
      <c r="B5429" s="2" t="str">
        <f>IFERROR(__xludf.DUMMYFUNCTION("GOOGLETRANSLATE(A5429, ""en"", ""mt"")"),"Proġetti ewlenin ta 'informazzjoni nazzjonali u internazzjonali ta' informazzjoni u għanijiet ta 'interoperabilità tas-sistema tas-saħħa")</f>
        <v>Proġetti ewlenin ta 'informazzjoni nazzjonali u internazzjonali ta' informazzjoni u għanijiet ta 'interoperabilità tas-sistema tas-saħħa</v>
      </c>
    </row>
    <row r="5430" ht="15.75" customHeight="1">
      <c r="A5430" s="2" t="s">
        <v>5430</v>
      </c>
      <c r="B5430" s="2" t="str">
        <f>IFERROR(__xludf.DUMMYFUNCTION("GOOGLETRANSLATE(A5430, ""en"", ""mt"")"),"ħin u memorja")</f>
        <v>ħin u memorja</v>
      </c>
    </row>
    <row r="5431" ht="15.75" customHeight="1">
      <c r="A5431" s="2" t="s">
        <v>5431</v>
      </c>
      <c r="B5431" s="2" t="str">
        <f>IFERROR(__xludf.DUMMYFUNCTION("GOOGLETRANSLATE(A5431, ""en"", ""mt"")"),"Għal xiex skużat l-IPCC?")</f>
        <v>Għal xiex skużat l-IPCC?</v>
      </c>
    </row>
    <row r="5432" ht="15.75" customHeight="1">
      <c r="A5432" s="2" t="s">
        <v>5432</v>
      </c>
      <c r="B5432" s="2" t="str">
        <f>IFERROR(__xludf.DUMMYFUNCTION("GOOGLETRANSLATE(A5432, ""en"", ""mt"")"),"l-iżgħar subfield")</f>
        <v>l-iżgħar subfield</v>
      </c>
    </row>
    <row r="5433" ht="15.75" customHeight="1">
      <c r="A5433" s="2" t="s">
        <v>5433</v>
      </c>
      <c r="B5433" s="2" t="str">
        <f>IFERROR(__xludf.DUMMYFUNCTION("GOOGLETRANSLATE(A5433, ""en"", ""mt"")"),"Għal xiex hi meħtieġa qabel l-iskola?")</f>
        <v>Għal xiex hi meħtieġa qabel l-iskola?</v>
      </c>
    </row>
    <row r="5434" ht="15.75" customHeight="1">
      <c r="A5434" s="2" t="s">
        <v>5434</v>
      </c>
      <c r="B5434" s="2" t="str">
        <f>IFERROR(__xludf.DUMMYFUNCTION("GOOGLETRANSLATE(A5434, ""en"", ""mt"")"),"Kungress")</f>
        <v>Kungress</v>
      </c>
    </row>
    <row r="5435" ht="15.75" customHeight="1">
      <c r="A5435" s="2" t="s">
        <v>5435</v>
      </c>
      <c r="B5435" s="2" t="str">
        <f>IFERROR(__xludf.DUMMYFUNCTION("GOOGLETRANSLATE(A5435, ""en"", ""mt"")"),"Il-belt hija servuta mill-Metro Tyne u Wear, sistema ta 'ferroviji suburbani u taħt l-art li jkopru ħafna minn Tyne u Wear. Infetħet f'ħames fażijiet bejn l-1980 u l-1984, u kienet l-ewwel sistema ta 'transitu tal-ferrovija ħafifa tal-Gran Brittanja; Żewġ"&amp;" estensjonijiet infetħu fl-1991 u fl-2002. Ġie żviluppat minn taħlita ta 'binarji u stazzjonijiet eżistenti u li għadhom kemm ġew mibnija, b'mini ta' mini fil-fond mibnija permezz taċ-Ċentru tal-Belt ta 'Newcastle. Inbena pont madwar it-Tyne, bejn Newcast"&amp;"le u Gateshead, u miftuħ mir-Reġina Eliżabetta II fl-1981. In-netwerk huwa mħaddem minn DB Regio f'isem Nexus u jġorr aktar minn 37 miljun passiġġier fis-sena, li jestendi sa l-Ajruport ta 'Newcastle, Tynemouth, Tynemouth , South Shields u South Hylton f'"&amp;"Sunderland. Fl-2004, il-kumpanija Marconi ddisinjat u bnew is-sistema tar-radju mobbli għas-sistema tal-metro taħt l-art. Is-sistema tal-metro kienet l-ewwel waħda fir-Renju Unit li kellha antenni tat-telefown ċellulari installati fil-mini.")</f>
        <v>Il-belt hija servuta mill-Metro Tyne u Wear, sistema ta 'ferroviji suburbani u taħt l-art li jkopru ħafna minn Tyne u Wear. Infetħet f'ħames fażijiet bejn l-1980 u l-1984, u kienet l-ewwel sistema ta 'transitu tal-ferrovija ħafifa tal-Gran Brittanja; Żewġ estensjonijiet infetħu fl-1991 u fl-2002. Ġie żviluppat minn taħlita ta 'binarji u stazzjonijiet eżistenti u li għadhom kemm ġew mibnija, b'mini ta' mini fil-fond mibnija permezz taċ-Ċentru tal-Belt ta 'Newcastle. Inbena pont madwar it-Tyne, bejn Newcastle u Gateshead, u miftuħ mir-Reġina Eliżabetta II fl-1981. In-netwerk huwa mħaddem minn DB Regio f'isem Nexus u jġorr aktar minn 37 miljun passiġġier fis-sena, li jestendi sa l-Ajruport ta 'Newcastle, Tynemouth, Tynemouth , South Shields u South Hylton f'Sunderland. Fl-2004, il-kumpanija Marconi ddisinjat u bnew is-sistema tar-radju mobbli għas-sistema tal-metro taħt l-art. Is-sistema tal-metro kienet l-ewwel waħda fir-Renju Unit li kellha antenni tat-telefown ċellulari installati fil-mini.</v>
      </c>
    </row>
    <row r="5436" ht="15.75" customHeight="1">
      <c r="A5436" s="2" t="s">
        <v>5436</v>
      </c>
      <c r="B5436" s="2" t="str">
        <f>IFERROR(__xludf.DUMMYFUNCTION("GOOGLETRANSLATE(A5436, ""en"", ""mt"")"),"Madwar 515 miljun sena")</f>
        <v>Madwar 515 miljun sena</v>
      </c>
    </row>
    <row r="5437" ht="15.75" customHeight="1">
      <c r="A5437" s="2" t="s">
        <v>5437</v>
      </c>
      <c r="B5437" s="2" t="str">
        <f>IFERROR(__xludf.DUMMYFUNCTION("GOOGLETRANSLATE(A5437, ""en"", ""mt"")"),"X'kienu Huguenots li baqgħu fi Franza eventwalment magħrufa bħala?")</f>
        <v>X'kienu Huguenots li baqgħu fi Franza eventwalment magħrufa bħala?</v>
      </c>
    </row>
    <row r="5438" ht="15.75" customHeight="1">
      <c r="A5438" s="2" t="s">
        <v>5438</v>
      </c>
      <c r="B5438" s="2" t="str">
        <f>IFERROR(__xludf.DUMMYFUNCTION("GOOGLETRANSLATE(A5438, ""en"", ""mt"")"),"ditektiv")</f>
        <v>ditektiv</v>
      </c>
    </row>
    <row r="5439" ht="15.75" customHeight="1">
      <c r="A5439" s="2" t="s">
        <v>5439</v>
      </c>
      <c r="B5439" s="2" t="str">
        <f>IFERROR(__xludf.DUMMYFUNCTION("GOOGLETRANSLATE(A5439, ""en"", ""mt"")"),"X'effett kellu l-karriera ta 'Genghis Khan fuq il-komunikazzjoni u l-kummerċ madwar l-Asja?")</f>
        <v>X'effett kellu l-karriera ta 'Genghis Khan fuq il-komunikazzjoni u l-kummerċ madwar l-Asja?</v>
      </c>
    </row>
    <row r="5440" ht="15.75" customHeight="1">
      <c r="A5440" s="2" t="s">
        <v>5440</v>
      </c>
      <c r="B5440" s="2" t="str">
        <f>IFERROR(__xludf.DUMMYFUNCTION("GOOGLETRANSLATE(A5440, ""en"", ""mt"")"),"Il-fagoċitosi l-ewwel evolviet bħala mezz biex tagħmel xiex?")</f>
        <v>Il-fagoċitosi l-ewwel evolviet bħala mezz biex tagħmel xiex?</v>
      </c>
    </row>
    <row r="5441" ht="15.75" customHeight="1">
      <c r="A5441" s="2" t="s">
        <v>5441</v>
      </c>
      <c r="B5441" s="2" t="str">
        <f>IFERROR(__xludf.DUMMYFUNCTION("GOOGLETRANSLATE(A5441, ""en"", ""mt"")"),"X'tip ta 'qerda tat-terremot tal-1994 ikkawża l-iktar fl-istorja tal-Istati Uniti?")</f>
        <v>X'tip ta 'qerda tat-terremot tal-1994 ikkawża l-iktar fl-istorja tal-Istati Uniti?</v>
      </c>
    </row>
    <row r="5442" ht="15.75" customHeight="1">
      <c r="A5442" s="2" t="s">
        <v>5442</v>
      </c>
      <c r="B5442" s="2" t="str">
        <f>IFERROR(__xludf.DUMMYFUNCTION("GOOGLETRANSLATE(A5442, ""en"", ""mt"")"),"Il-Gran Brittanja kif ukoll l-Olanda, il-Prussja, u l-Afrika t'Isfel")</f>
        <v>Il-Gran Brittanja kif ukoll l-Olanda, il-Prussja, u l-Afrika t'Isfel</v>
      </c>
    </row>
    <row r="5443" ht="15.75" customHeight="1">
      <c r="A5443" s="2" t="s">
        <v>5443</v>
      </c>
      <c r="B5443" s="2" t="str">
        <f>IFERROR(__xludf.DUMMYFUNCTION("GOOGLETRANSLATE(A5443, ""en"", ""mt"")"),"East Smithfield")</f>
        <v>East Smithfield</v>
      </c>
    </row>
    <row r="5444" ht="15.75" customHeight="1">
      <c r="A5444" s="2" t="s">
        <v>5444</v>
      </c>
      <c r="B5444" s="2" t="str">
        <f>IFERROR(__xludf.DUMMYFUNCTION("GOOGLETRANSLATE(A5444, ""en"", ""mt"")"),"Uħud mill-oġġetti miżmuma fil-Gallerija Jameel tal-Art Iżlamika ġejjin minn liema pajjiż Ewropew?")</f>
        <v>Uħud mill-oġġetti miżmuma fil-Gallerija Jameel tal-Art Iżlamika ġejjin minn liema pajjiż Ewropew?</v>
      </c>
    </row>
    <row r="5445" ht="15.75" customHeight="1">
      <c r="A5445" s="2" t="s">
        <v>5445</v>
      </c>
      <c r="B5445" s="2" t="str">
        <f>IFERROR(__xludf.DUMMYFUNCTION("GOOGLETRANSLATE(A5445, ""en"", ""mt"")"),"Proġett ta 'kostruzzjoni")</f>
        <v>Proġett ta 'kostruzzjoni</v>
      </c>
    </row>
    <row r="5446" ht="15.75" customHeight="1">
      <c r="A5446" s="2" t="s">
        <v>5446</v>
      </c>
      <c r="B5446" s="2" t="str">
        <f>IFERROR(__xludf.DUMMYFUNCTION("GOOGLETRANSLATE(A5446, ""en"", ""mt"")"),"X'kienet ikkunsidrata r-Rhine għall-invażuri fid-WWII?")</f>
        <v>X'kienet ikkunsidrata r-Rhine għall-invażuri fid-WWII?</v>
      </c>
    </row>
    <row r="5447" ht="15.75" customHeight="1">
      <c r="A5447" s="2" t="s">
        <v>5447</v>
      </c>
      <c r="B5447" s="2" t="str">
        <f>IFERROR(__xludf.DUMMYFUNCTION("GOOGLETRANSLATE(A5447, ""en"", ""mt"")"),"Kunsill tat-Tagħlim")</f>
        <v>Kunsill tat-Tagħlim</v>
      </c>
    </row>
    <row r="5448" ht="15.75" customHeight="1">
      <c r="A5448" s="2" t="s">
        <v>5448</v>
      </c>
      <c r="B5448" s="2" t="str">
        <f>IFERROR(__xludf.DUMMYFUNCTION("GOOGLETRANSLATE(A5448, ""en"", ""mt"")"),"amplifikazzjoni tas-sinjal")</f>
        <v>amplifikazzjoni tas-sinjal</v>
      </c>
    </row>
    <row r="5449" ht="15.75" customHeight="1">
      <c r="A5449" s="2" t="s">
        <v>5449</v>
      </c>
      <c r="B5449" s="2" t="str">
        <f>IFERROR(__xludf.DUMMYFUNCTION("GOOGLETRANSLATE(A5449, ""en"", ""mt"")"),"il-bidu tad-disgħinijiet")</f>
        <v>il-bidu tad-disgħinijiet</v>
      </c>
    </row>
    <row r="5450" ht="15.75" customHeight="1">
      <c r="A5450" s="2" t="s">
        <v>5450</v>
      </c>
      <c r="B5450" s="2" t="str">
        <f>IFERROR(__xludf.DUMMYFUNCTION("GOOGLETRANSLATE(A5450, ""en"", ""mt"")"),"Minn min hija applikata l-liġi Ewropea?")</f>
        <v>Minn min hija applikata l-liġi Ewropea?</v>
      </c>
    </row>
    <row r="5451" ht="15.75" customHeight="1">
      <c r="A5451" s="2" t="s">
        <v>5451</v>
      </c>
      <c r="B5451" s="2" t="str">
        <f>IFERROR(__xludf.DUMMYFUNCTION("GOOGLETRANSLATE(A5451, ""en"", ""mt"")"),"Fl-arti viżwali, in-Normanni ma kellhomx it-tradizzjonijiet sinjuri u distintivi tal-kulturi li ħakmu. Madankollu, fil-bidu tas-seklu 11 id-Dukes bdew programm ta 'riforma tal-knisja, li ħeġġew ir-riforma cluniac tal-monasteri u patronizzaw l-attivitajiet"&amp;" intellettwali, speċjalment il-proliferazzjoni ta' Scriptoria u r-rikostituzzjoni ta 'kumpilazzjoni ta' manuskritti mdawlin mitlufa. Il-knisja kienet użata mid-Dukes bħala forza li tgħaqqad għall-dukat differenti tagħhom. Il-monasteri ewlenin li qed jieħd"&amp;"u sehem f'dan ir- ""Rinaxximent"" ta 'l-arti Norman u l-borża ta' studju kienu Mont-Saint-Michel, Fécamp, Jumièges, Bec, Saint-Ouen, Saint-Evroul, u Saint-Wandrille. Dawn iċ-ċentri kienu f'kuntatt mal-hekk imsejħa ""Winchester School"", li biddlu tradizzj"&amp;"oni artistika Karolingjana pura għan-Normandija. Fl-aħħar għaxar snin tal-11 u l-ewwel tas-seklu 12, in-Normandija esperjenzat età tad-deheb ta 'manuskritti illustrati, iżda kienet qasira u l-iscriporia ewlenija tan-Normandija ma baqgħetx tiffunzjona wara"&amp;" l-punt tan-nofs tas-seklu.")</f>
        <v>Fl-arti viżwali, in-Normanni ma kellhomx it-tradizzjonijiet sinjuri u distintivi tal-kulturi li ħakmu. Madankollu, fil-bidu tas-seklu 11 id-Dukes bdew programm ta 'riforma tal-knisja, li ħeġġew ir-riforma cluniac tal-monasteri u patronizzaw l-attivitajiet intellettwali, speċjalment il-proliferazzjoni ta' Scriptoria u r-rikostituzzjoni ta 'kumpilazzjoni ta' manuskritti mdawlin mitlufa. Il-knisja kienet użata mid-Dukes bħala forza li tgħaqqad għall-dukat differenti tagħhom. Il-monasteri ewlenin li qed jieħdu sehem f'dan ir- "Rinaxximent" ta 'l-arti Norman u l-borża ta' studju kienu Mont-Saint-Michel, Fécamp, Jumièges, Bec, Saint-Ouen, Saint-Evroul, u Saint-Wandrille. Dawn iċ-ċentri kienu f'kuntatt mal-hekk imsejħa "Winchester School", li biddlu tradizzjoni artistika Karolingjana pura għan-Normandija. Fl-aħħar għaxar snin tal-11 u l-ewwel tas-seklu 12, in-Normandija esperjenzat età tad-deheb ta 'manuskritti illustrati, iżda kienet qasira u l-iscriporia ewlenija tan-Normandija ma baqgħetx tiffunzjona wara l-punt tan-nofs tas-seklu.</v>
      </c>
    </row>
    <row r="5452" ht="15.75" customHeight="1">
      <c r="A5452" s="2" t="s">
        <v>5452</v>
      </c>
      <c r="B5452" s="2" t="str">
        <f>IFERROR(__xludf.DUMMYFUNCTION("GOOGLETRANSLATE(A5452, ""en"", ""mt"")"),"Gwerra Franċiża u Indjana")</f>
        <v>Gwerra Franċiża u Indjana</v>
      </c>
    </row>
    <row r="5453" ht="15.75" customHeight="1">
      <c r="A5453" s="2" t="s">
        <v>5453</v>
      </c>
      <c r="B5453" s="2" t="str">
        <f>IFERROR(__xludf.DUMMYFUNCTION("GOOGLETRANSLATE(A5453, ""en"", ""mt"")"),"Xmara Vistula")</f>
        <v>Xmara Vistula</v>
      </c>
    </row>
    <row r="5454" ht="15.75" customHeight="1">
      <c r="A5454" s="2" t="s">
        <v>5454</v>
      </c>
      <c r="B5454" s="2" t="str">
        <f>IFERROR(__xludf.DUMMYFUNCTION("GOOGLETRANSLATE(A5454, ""en"", ""mt"")"),"Montpellier kien fost l-aktar importanti mis-66 ""Ville de Sûreté"" li l-editt tal-1598 ingħata lill-Huguenots. L-istituzzjonijiet politiċi tal-belt u l-università ngħataw lill-Huguenots. It-tensjoni ma 'Pariġi wasslet għal assedju mill-Armata Rjali fl-16"&amp;"22. It-termini tal-paċi talbu ż-żarmar tal-fortifikazzjonijiet tal-belt. Inbniet Ċittadella rjali u l-università u l-konsulat ittieħdu mill-Partit Kattoliku. Anke qabel l-Editt ta 'Alès (1629), il-ħakma Protestanta kienet mejta u l-Ville de Sûreté ma kien"&amp;"x aktar. [Ċitazzjoni meħtieġa]")</f>
        <v>Montpellier kien fost l-aktar importanti mis-66 "Ville de Sûreté" li l-editt tal-1598 ingħata lill-Huguenots. L-istituzzjonijiet politiċi tal-belt u l-università ngħataw lill-Huguenots. It-tensjoni ma 'Pariġi wasslet għal assedju mill-Armata Rjali fl-1622. It-termini tal-paċi talbu ż-żarmar tal-fortifikazzjonijiet tal-belt. Inbniet Ċittadella rjali u l-università u l-konsulat ittieħdu mill-Partit Kattoliku. Anke qabel l-Editt ta 'Alès (1629), il-ħakma Protestanta kienet mejta u l-Ville de Sûreté ma kienx aktar. [Ċitazzjoni meħtieġa]</v>
      </c>
    </row>
    <row r="5455" ht="15.75" customHeight="1">
      <c r="A5455" s="2" t="s">
        <v>5455</v>
      </c>
      <c r="B5455" s="2" t="str">
        <f>IFERROR(__xludf.DUMMYFUNCTION("GOOGLETRANSLATE(A5455, ""en"", ""mt"")"),"sinjali mill-kloroplast li jirregolaw l-espressjoni tal-ġeni")</f>
        <v>sinjali mill-kloroplast li jirregolaw l-espressjoni tal-ġeni</v>
      </c>
    </row>
    <row r="5456" ht="15.75" customHeight="1">
      <c r="A5456" s="2" t="s">
        <v>5456</v>
      </c>
      <c r="B5456" s="2" t="str">
        <f>IFERROR(__xludf.DUMMYFUNCTION("GOOGLETRANSLATE(A5456, ""en"", ""mt"")"),"16 ta ’Ottubru, 2012")</f>
        <v>16 ta ’Ottubru, 2012</v>
      </c>
    </row>
    <row r="5457" ht="15.75" customHeight="1">
      <c r="A5457" s="2" t="s">
        <v>5457</v>
      </c>
      <c r="B5457" s="2" t="str">
        <f>IFERROR(__xludf.DUMMYFUNCTION("GOOGLETRANSLATE(A5457, ""en"", ""mt"")"),"Il-problema ta 'fatturizzazzjoni sħiħa")</f>
        <v>Il-problema ta 'fatturizzazzjoni sħiħa</v>
      </c>
    </row>
    <row r="5458" ht="15.75" customHeight="1">
      <c r="A5458" s="2" t="s">
        <v>5458</v>
      </c>
      <c r="B5458" s="2" t="str">
        <f>IFERROR(__xludf.DUMMYFUNCTION("GOOGLETRANSLATE(A5458, ""en"", ""mt"")"),"Imla l-ispazji vojta fuq mapep kontemporanji")</f>
        <v>Imla l-ispazji vojta fuq mapep kontemporanji</v>
      </c>
    </row>
    <row r="5459" ht="15.75" customHeight="1">
      <c r="A5459" s="2" t="s">
        <v>5459</v>
      </c>
      <c r="B5459" s="2" t="str">
        <f>IFERROR(__xludf.DUMMYFUNCTION("GOOGLETRANSLATE(A5459, ""en"", ""mt"")"),"Meta d-data tal-Quilt Tristan Sqalli?")</f>
        <v>Meta d-data tal-Quilt Tristan Sqalli?</v>
      </c>
    </row>
    <row r="5460" ht="15.75" customHeight="1">
      <c r="A5460" s="2" t="s">
        <v>5460</v>
      </c>
      <c r="B5460" s="2" t="str">
        <f>IFERROR(__xludf.DUMMYFUNCTION("GOOGLETRANSLATE(A5460, ""en"", ""mt"")"),"Maria Fold and Thrust Belt")</f>
        <v>Maria Fold and Thrust Belt</v>
      </c>
    </row>
    <row r="5461" ht="15.75" customHeight="1">
      <c r="A5461" s="2" t="s">
        <v>5461</v>
      </c>
      <c r="B5461" s="2" t="str">
        <f>IFERROR(__xludf.DUMMYFUNCTION("GOOGLETRANSLATE(A5461, ""en"", ""mt"")"),"interazzjoni elettroweak aktar fundamentali")</f>
        <v>interazzjoni elettroweak aktar fundamentali</v>
      </c>
    </row>
    <row r="5462" ht="15.75" customHeight="1">
      <c r="A5462" s="2" t="s">
        <v>5462</v>
      </c>
      <c r="B5462" s="2" t="str">
        <f>IFERROR(__xludf.DUMMYFUNCTION("GOOGLETRANSLATE(A5462, ""en"", ""mt"")"),"X'kien l-Islam apolitiku?")</f>
        <v>X'kien l-Islam apolitiku?</v>
      </c>
    </row>
    <row r="5463" ht="15.75" customHeight="1">
      <c r="A5463" s="2" t="s">
        <v>5463</v>
      </c>
      <c r="B5463" s="2" t="str">
        <f>IFERROR(__xludf.DUMMYFUNCTION("GOOGLETRANSLATE(A5463, ""en"", ""mt"")"),"Temperanza")</f>
        <v>Temperanza</v>
      </c>
    </row>
    <row r="5464" ht="15.75" customHeight="1">
      <c r="A5464" s="2" t="s">
        <v>5464</v>
      </c>
      <c r="B5464" s="2" t="str">
        <f>IFERROR(__xludf.DUMMYFUNCTION("GOOGLETRANSLATE(A5464, ""en"", ""mt"")"),"Edukazzjoni tat-Tfal bħala Kattoliċi")</f>
        <v>Edukazzjoni tat-Tfal bħala Kattoliċi</v>
      </c>
    </row>
    <row r="5465" ht="15.75" customHeight="1">
      <c r="A5465" s="2" t="s">
        <v>5465</v>
      </c>
      <c r="B5465" s="2" t="str">
        <f>IFERROR(__xludf.DUMMYFUNCTION("GOOGLETRANSLATE(A5465, ""en"", ""mt"")"),"Minħabba l-korpi artab u ġelatinużi tagħhom")</f>
        <v>Minħabba l-korpi artab u ġelatinużi tagħhom</v>
      </c>
    </row>
    <row r="5466" ht="15.75" customHeight="1">
      <c r="A5466" s="2" t="s">
        <v>5466</v>
      </c>
      <c r="B5466" s="2" t="str">
        <f>IFERROR(__xludf.DUMMYFUNCTION("GOOGLETRANSLATE(A5466, ""en"", ""mt"")"),"mara")</f>
        <v>mara</v>
      </c>
    </row>
    <row r="5467" ht="15.75" customHeight="1">
      <c r="A5467" s="2" t="s">
        <v>5467</v>
      </c>
      <c r="B5467" s="2" t="str">
        <f>IFERROR(__xludf.DUMMYFUNCTION("GOOGLETRANSLATE(A5467, ""en"", ""mt"")"),"Sal-età ta '16")</f>
        <v>Sal-età ta '16</v>
      </c>
    </row>
    <row r="5468" ht="15.75" customHeight="1">
      <c r="A5468" s="2" t="s">
        <v>5468</v>
      </c>
      <c r="B5468" s="2" t="str">
        <f>IFERROR(__xludf.DUMMYFUNCTION("GOOGLETRANSLATE(A5468, ""en"", ""mt"")"),"L-OPEC għolla l-prezz stazzjonat taż-żejt")</f>
        <v>L-OPEC għolla l-prezz stazzjonat taż-żejt</v>
      </c>
    </row>
    <row r="5469" ht="15.75" customHeight="1">
      <c r="A5469" s="2" t="s">
        <v>5469</v>
      </c>
      <c r="B5469" s="2" t="str">
        <f>IFERROR(__xludf.DUMMYFUNCTION("GOOGLETRANSLATE(A5469, ""en"", ""mt"")"),"X'inhu r-riċettur li ċ-ċelloli T qattiel jużaw biex jorbtu ma 'antiġeni speċifiċi li huma kkumplikati mar-riċettur tal-klassi MHC 1 ta' ċellula oħra?")</f>
        <v>X'inhu r-riċettur li ċ-ċelloli T qattiel jużaw biex jorbtu ma 'antiġeni speċifiċi li huma kkumplikati mar-riċettur tal-klassi MHC 1 ta' ċellula oħra?</v>
      </c>
    </row>
    <row r="5470" ht="15.75" customHeight="1">
      <c r="A5470" s="2" t="s">
        <v>5470</v>
      </c>
      <c r="B5470" s="2" t="str">
        <f>IFERROR(__xludf.DUMMYFUNCTION("GOOGLETRANSLATE(A5470, ""en"", ""mt"")"),"Toħloq memorja immunoloġika")</f>
        <v>Toħloq memorja immunoloġika</v>
      </c>
    </row>
    <row r="5471" ht="15.75" customHeight="1">
      <c r="A5471" s="2" t="s">
        <v>5471</v>
      </c>
      <c r="B5471" s="2" t="str">
        <f>IFERROR(__xludf.DUMMYFUNCTION("GOOGLETRANSLATE(A5471, ""en"", ""mt"")"),"madwar 40 nanometru madwar")</f>
        <v>madwar 40 nanometru madwar</v>
      </c>
    </row>
    <row r="5472" ht="15.75" customHeight="1">
      <c r="A5472" s="2" t="s">
        <v>5472</v>
      </c>
      <c r="B5472" s="2" t="str">
        <f>IFERROR(__xludf.DUMMYFUNCTION("GOOGLETRANSLATE(A5472, ""en"", ""mt"")"),"Introduzzjoni aċċidentali ta 'Beroe")</f>
        <v>Introduzzjoni aċċidentali ta 'Beroe</v>
      </c>
    </row>
    <row r="5473" ht="15.75" customHeight="1">
      <c r="A5473" s="2" t="s">
        <v>5473</v>
      </c>
      <c r="B5473" s="2" t="str">
        <f>IFERROR(__xludf.DUMMYFUNCTION("GOOGLETRANSLATE(A5473, ""en"", ""mt"")"),"Il-kunċett ta 'numru ewlieni huwa tant importanti li ġie ġeneralizzat b'modi differenti f'diversi fergħat tal-matematika. Ġeneralment, ""prim"" jindika minimalità jew indekompożizzjoni, f'sens xieraq. Pereżempju, il-qasam ewlieni huwa l-iżgħar subfield ta"&amp;" 'qasam F li fih kemm 0 u 1. Huwa jew Q jew il-qasam finit b'elementi P, minn fejn l-isem. Ħafna drabi t-tieni, tifsira addizzjonali hija maħsuba billi tuża l-kelma prim, jiġifieri li kwalunkwe oġġett jista 'jkun, essenzjalment b'mod uniku, dekompost fil-"&amp;"komponenti ewlenin tiegħu. Pereżempju, fit-teorija tal-għoqda, għoqda ewlenija hija għoqda li hija indekkomponi fis-sens li ma tistax tinkiteb bħala s-somma tal-għoqda ta 'żewġ għoqod mhux privati. Kull għoqda tista 'tiġi espressa b'mod uniku bħala somma "&amp;"konnessa ta' għoqod ewlenin. Mudelli ewlenin u 3-manifolds ewlenin huma eżempji oħra ta 'dan it-tip.")</f>
        <v>Il-kunċett ta 'numru ewlieni huwa tant importanti li ġie ġeneralizzat b'modi differenti f'diversi fergħat tal-matematika. Ġeneralment, "prim" jindika minimalità jew indekompożizzjoni, f'sens xieraq. Pereżempju, il-qasam ewlieni huwa l-iżgħar subfield ta 'qasam F li fih kemm 0 u 1. Huwa jew Q jew il-qasam finit b'elementi P, minn fejn l-isem. Ħafna drabi t-tieni, tifsira addizzjonali hija maħsuba billi tuża l-kelma prim, jiġifieri li kwalunkwe oġġett jista 'jkun, essenzjalment b'mod uniku, dekompost fil-komponenti ewlenin tiegħu. Pereżempju, fit-teorija tal-għoqda, għoqda ewlenija hija għoqda li hija indekkomponi fis-sens li ma tistax tinkiteb bħala s-somma tal-għoqda ta 'żewġ għoqod mhux privati. Kull għoqda tista 'tiġi espressa b'mod uniku bħala somma konnessa ta' għoqod ewlenin. Mudelli ewlenin u 3-manifolds ewlenin huma eżempji oħra ta 'dan it-tip.</v>
      </c>
    </row>
    <row r="5474" ht="15.75" customHeight="1">
      <c r="A5474" s="2" t="s">
        <v>5474</v>
      </c>
      <c r="B5474" s="2" t="str">
        <f>IFERROR(__xludf.DUMMYFUNCTION("GOOGLETRANSLATE(A5474, ""en"", ""mt"")"),"X’waqqaf Luther bħala servizz ta ’qima fil-knisja tiegħu?")</f>
        <v>X’waqqaf Luther bħala servizz ta ’qima fil-knisja tiegħu?</v>
      </c>
    </row>
    <row r="5475" ht="15.75" customHeight="1">
      <c r="A5475" s="2" t="s">
        <v>5475</v>
      </c>
      <c r="B5475" s="2" t="str">
        <f>IFERROR(__xludf.DUMMYFUNCTION("GOOGLETRANSLATE(A5475, ""en"", ""mt"")"),"Kemm tiswa biex tidħol għal laqgħa tal-Parlament?")</f>
        <v>Kemm tiswa biex tidħol għal laqgħa tal-Parlament?</v>
      </c>
    </row>
    <row r="5476" ht="15.75" customHeight="1">
      <c r="A5476" s="2" t="s">
        <v>5476</v>
      </c>
      <c r="B5476" s="2" t="str">
        <f>IFERROR(__xludf.DUMMYFUNCTION("GOOGLETRANSLATE(A5476, ""en"", ""mt"")"),"Kif skorja Denver fi tmiem is-sewqan?")</f>
        <v>Kif skorja Denver fi tmiem is-sewqan?</v>
      </c>
    </row>
    <row r="5477" ht="15.75" customHeight="1">
      <c r="A5477" s="2" t="s">
        <v>5477</v>
      </c>
      <c r="B5477" s="2" t="str">
        <f>IFERROR(__xludf.DUMMYFUNCTION("GOOGLETRANSLATE(A5477, ""en"", ""mt"")"),"proċess demokratiku")</f>
        <v>proċess demokratiku</v>
      </c>
    </row>
    <row r="5478" ht="15.75" customHeight="1">
      <c r="A5478" s="2" t="s">
        <v>5478</v>
      </c>
      <c r="B5478" s="2" t="str">
        <f>IFERROR(__xludf.DUMMYFUNCTION("GOOGLETRANSLATE(A5478, ""en"", ""mt"")"),"Biex tissaħħaħ l-elettroni")</f>
        <v>Biex tissaħħaħ l-elettroni</v>
      </c>
    </row>
    <row r="5479" ht="15.75" customHeight="1">
      <c r="A5479" s="2" t="s">
        <v>5479</v>
      </c>
      <c r="B5479" s="2" t="str">
        <f>IFERROR(__xludf.DUMMYFUNCTION("GOOGLETRANSLATE(A5479, ""en"", ""mt"")"),"Madwar kemm hemm oġġetti tal-fidda u deheb il-V &amp; A għandha l-kollezzjoni tagħha?")</f>
        <v>Madwar kemm hemm oġġetti tal-fidda u deheb il-V &amp; A għandha l-kollezzjoni tagħha?</v>
      </c>
    </row>
    <row r="5480" ht="15.75" customHeight="1">
      <c r="A5480" s="2" t="s">
        <v>5480</v>
      </c>
      <c r="B5480" s="2" t="str">
        <f>IFERROR(__xludf.DUMMYFUNCTION("GOOGLETRANSLATE(A5480, ""en"", ""mt"")"),"Jekk żewġ numri interi jiġu mmultiplikati u joħorġu valur, kif tissejjaħ din l-espressjoni?")</f>
        <v>Jekk żewġ numri interi jiġu mmultiplikati u joħorġu valur, kif tissejjaħ din l-espressjoni?</v>
      </c>
    </row>
    <row r="5481" ht="15.75" customHeight="1">
      <c r="A5481" s="2" t="s">
        <v>5481</v>
      </c>
      <c r="B5481" s="2" t="str">
        <f>IFERROR(__xludf.DUMMYFUNCTION("GOOGLETRANSLATE(A5481, ""en"", ""mt"")"),"X'għandu definizzjonijiet ikkumplikati li jipprevjenu l-klassifikazzjoni f'qafas?")</f>
        <v>X'għandu definizzjonijiet ikkumplikati li jipprevjenu l-klassifikazzjoni f'qafas?</v>
      </c>
    </row>
    <row r="5482" ht="15.75" customHeight="1">
      <c r="A5482" s="2" t="s">
        <v>5482</v>
      </c>
      <c r="B5482" s="2" t="str">
        <f>IFERROR(__xludf.DUMMYFUNCTION("GOOGLETRANSLATE(A5482, ""en"", ""mt"")"),"X'ħin tal-ġurnata dawn ir-riformati allegatament inġabru biex jidħlu f'rituals Huguenot?")</f>
        <v>X'ħin tal-ġurnata dawn ir-riformati allegatament inġabru biex jidħlu f'rituals Huguenot?</v>
      </c>
    </row>
    <row r="5483" ht="15.75" customHeight="1">
      <c r="A5483" s="2" t="s">
        <v>5483</v>
      </c>
      <c r="B5483" s="2" t="str">
        <f>IFERROR(__xludf.DUMMYFUNCTION("GOOGLETRANSLATE(A5483, ""en"", ""mt"")"),"sorpriż lill-Kanadiżi fit-28 ta 'Mejju")</f>
        <v>sorpriż lill-Kanadiżi fit-28 ta 'Mejju</v>
      </c>
    </row>
    <row r="5484" ht="15.75" customHeight="1">
      <c r="A5484" s="2" t="s">
        <v>5484</v>
      </c>
      <c r="B5484" s="2" t="str">
        <f>IFERROR(__xludf.DUMMYFUNCTION("GOOGLETRANSLATE(A5484, ""en"", ""mt"")"),"ABC meta ħabbar ir-ristrutturazzjoni tar-radju ABC?")</f>
        <v>ABC meta ħabbar ir-ristrutturazzjoni tar-radju ABC?</v>
      </c>
    </row>
    <row r="5485" ht="15.75" customHeight="1">
      <c r="A5485" s="2" t="s">
        <v>5485</v>
      </c>
      <c r="B5485" s="2" t="str">
        <f>IFERROR(__xludf.DUMMYFUNCTION("GOOGLETRANSLATE(A5485, ""en"", ""mt"")"),"L-uffiċjal li jippresiedi")</f>
        <v>L-uffiċjal li jippresiedi</v>
      </c>
    </row>
    <row r="5486" ht="15.75" customHeight="1">
      <c r="A5486" s="2" t="s">
        <v>5486</v>
      </c>
      <c r="B5486" s="2" t="str">
        <f>IFERROR(__xludf.DUMMYFUNCTION("GOOGLETRANSLATE(A5486, ""en"", ""mt"")"),"Ċiniż Ċiniż u Ġappuniż.")</f>
        <v>Ċiniż Ċiniż u Ġappuniż.</v>
      </c>
    </row>
    <row r="5487" ht="15.75" customHeight="1">
      <c r="A5487" s="2" t="s">
        <v>5487</v>
      </c>
      <c r="B5487" s="2" t="str">
        <f>IFERROR(__xludf.DUMMYFUNCTION("GOOGLETRANSLATE(A5487, ""en"", ""mt"")"),"Magni tat-Turing")</f>
        <v>Magni tat-Turing</v>
      </c>
    </row>
    <row r="5488" ht="15.75" customHeight="1">
      <c r="A5488" s="2" t="s">
        <v>5488</v>
      </c>
      <c r="B5488" s="2" t="str">
        <f>IFERROR(__xludf.DUMMYFUNCTION("GOOGLETRANSLATE(A5488, ""en"", ""mt"")"),"Deżert")</f>
        <v>Deżert</v>
      </c>
    </row>
    <row r="5489" ht="15.75" customHeight="1">
      <c r="A5489" s="2" t="s">
        <v>5489</v>
      </c>
      <c r="B5489" s="2" t="str">
        <f>IFERROR(__xludf.DUMMYFUNCTION("GOOGLETRANSLATE(A5489, ""en"", ""mt"")"),"fotolisi ta 'l-ożonu bid-dawl ta' tul ta 'mewġa qasir")</f>
        <v>fotolisi ta 'l-ożonu bid-dawl ta' tul ta 'mewġa qasir</v>
      </c>
    </row>
    <row r="5490" ht="15.75" customHeight="1">
      <c r="A5490" s="2" t="s">
        <v>5490</v>
      </c>
      <c r="B5490" s="2" t="str">
        <f>IFERROR(__xludf.DUMMYFUNCTION("GOOGLETRANSLATE(A5490, ""en"", ""mt"")"),"Mużew tal-Immaġni li Jiċċaqlaq")</f>
        <v>Mużew tal-Immaġni li Jiċċaqlaq</v>
      </c>
    </row>
    <row r="5491" ht="15.75" customHeight="1">
      <c r="A5491" s="2" t="s">
        <v>5491</v>
      </c>
      <c r="B5491" s="2" t="str">
        <f>IFERROR(__xludf.DUMMYFUNCTION("GOOGLETRANSLATE(A5491, ""en"", ""mt"")"),"X'kien l-isem tal-mexxej imqabbad minn Henry III")</f>
        <v>X'kien l-isem tal-mexxej imqabbad minn Henry III</v>
      </c>
    </row>
    <row r="5492" ht="15.75" customHeight="1">
      <c r="A5492" s="2" t="s">
        <v>5492</v>
      </c>
      <c r="B5492" s="2" t="str">
        <f>IFERROR(__xludf.DUMMYFUNCTION("GOOGLETRANSLATE(A5492, ""en"", ""mt"")"),"Xmara Colorado")</f>
        <v>Xmara Colorado</v>
      </c>
    </row>
    <row r="5493" ht="15.75" customHeight="1">
      <c r="A5493" s="2" t="s">
        <v>5493</v>
      </c>
      <c r="B5493" s="2" t="str">
        <f>IFERROR(__xludf.DUMMYFUNCTION("GOOGLETRANSLATE(A5493, ""en"", ""mt"")"),"Marzu")</f>
        <v>Marzu</v>
      </c>
    </row>
    <row r="5494" ht="15.75" customHeight="1">
      <c r="A5494" s="2" t="s">
        <v>5494</v>
      </c>
      <c r="B5494" s="2" t="str">
        <f>IFERROR(__xludf.DUMMYFUNCTION("GOOGLETRANSLATE(A5494, ""en"", ""mt"")"),"karatteristiċi")</f>
        <v>karatteristiċi</v>
      </c>
    </row>
    <row r="5495" ht="15.75" customHeight="1">
      <c r="A5495" s="2" t="s">
        <v>5495</v>
      </c>
      <c r="B5495" s="2" t="str">
        <f>IFERROR(__xludf.DUMMYFUNCTION("GOOGLETRANSLATE(A5495, ""en"", ""mt"")"),"esperimentazzjoni")</f>
        <v>esperimentazzjoni</v>
      </c>
    </row>
    <row r="5496" ht="15.75" customHeight="1">
      <c r="A5496" s="2" t="s">
        <v>5496</v>
      </c>
      <c r="B5496" s="2" t="str">
        <f>IFERROR(__xludf.DUMMYFUNCTION("GOOGLETRANSLATE(A5496, ""en"", ""mt"")"),"X’kien tħalla mdendel fuq il-bieb għall-kamra ta ’Tesla?")</f>
        <v>X’kien tħalla mdendel fuq il-bieb għall-kamra ta ’Tesla?</v>
      </c>
    </row>
    <row r="5497" ht="15.75" customHeight="1">
      <c r="A5497" s="2" t="s">
        <v>5497</v>
      </c>
      <c r="B5497" s="2" t="str">
        <f>IFERROR(__xludf.DUMMYFUNCTION("GOOGLETRANSLATE(A5497, ""en"", ""mt"")"),"Stampar tal-istampa")</f>
        <v>Stampar tal-istampa</v>
      </c>
    </row>
    <row r="5498" ht="15.75" customHeight="1">
      <c r="A5498" s="2" t="s">
        <v>5498</v>
      </c>
      <c r="B5498" s="2" t="str">
        <f>IFERROR(__xludf.DUMMYFUNCTION("GOOGLETRANSLATE(A5498, ""en"", ""mt"")"),"Bankier ta 'l-Ipoteki")</f>
        <v>Bankier ta 'l-Ipoteki</v>
      </c>
    </row>
    <row r="5499" ht="15.75" customHeight="1">
      <c r="A5499" s="2" t="s">
        <v>5499</v>
      </c>
      <c r="B5499" s="2" t="str">
        <f>IFERROR(__xludf.DUMMYFUNCTION("GOOGLETRANSLATE(A5499, ""en"", ""mt"")"),"Mard li jista 'jiġi evitat")</f>
        <v>Mard li jista 'jiġi evitat</v>
      </c>
    </row>
    <row r="5500" ht="15.75" customHeight="1">
      <c r="A5500" s="2" t="s">
        <v>5500</v>
      </c>
      <c r="B5500" s="2" t="str">
        <f>IFERROR(__xludf.DUMMYFUNCTION("GOOGLETRANSLATE(A5500, ""en"", ""mt"")"),"Taxxa aktar wieqfa")</f>
        <v>Taxxa aktar wieqfa</v>
      </c>
    </row>
    <row r="5501" ht="15.75" customHeight="1">
      <c r="A5501" s="2" t="s">
        <v>5501</v>
      </c>
      <c r="B5501" s="2" t="str">
        <f>IFERROR(__xludf.DUMMYFUNCTION("GOOGLETRANSLATE(A5501, ""en"", ""mt"")"),"aktar minn 4.5 miljun oġġett")</f>
        <v>aktar minn 4.5 miljun oġġett</v>
      </c>
    </row>
    <row r="5502" ht="15.75" customHeight="1">
      <c r="A5502" s="2" t="s">
        <v>5502</v>
      </c>
      <c r="B5502" s="2" t="str">
        <f>IFERROR(__xludf.DUMMYFUNCTION("GOOGLETRANSLATE(A5502, ""en"", ""mt"")"),"Dak li kien Austpac")</f>
        <v>Dak li kien Austpac</v>
      </c>
    </row>
    <row r="5503" ht="15.75" customHeight="1">
      <c r="A5503" s="2" t="s">
        <v>5503</v>
      </c>
      <c r="B5503" s="2" t="str">
        <f>IFERROR(__xludf.DUMMYFUNCTION("GOOGLETRANSLATE(A5503, ""en"", ""mt"")"),"Meta l-BBC reġgħet ħarġet mill-ġdid l-ewwel episodju ta 'Doctor Who?")</f>
        <v>Meta l-BBC reġgħet ħarġet mill-ġdid l-ewwel episodju ta 'Doctor Who?</v>
      </c>
    </row>
    <row r="5504" ht="15.75" customHeight="1">
      <c r="A5504" s="2" t="s">
        <v>5504</v>
      </c>
      <c r="B5504" s="2" t="str">
        <f>IFERROR(__xludf.DUMMYFUNCTION("GOOGLETRANSLATE(A5504, ""en"", ""mt"")"),"Biex tikklassifika l-ħin tal-komputazzjoni (jew riżorsi simili, bħall-konsum spazjali), wieħed huwa interessat li jipprova limiti ta 'fuq u t'isfel fuq l-ammont minimu ta' ħin meħtieġ mill-algoritmu l-iktar effiċjenti biex issolvi problema partikolari. Il"&amp;"-kumplessità ta 'algoritmu ġeneralment tittieħed bħala l-agħar kumplessità tiegħu, sakemm ma tkunx speċifikata mod ieħor. L-analiżi ta 'algoritmu partikolari jaqa' taħt il-qasam ta 'analiżi ta' algoritmi. Biex turi t (n) fuq il-kumplessità tal-ħin ta 'pro"&amp;"blema, wieħed irid juri biss li hemm algoritmu partikolari bil-ħin ta' tħaddim fil-biċċa l-kbira t (n). Madankollu, li tipprova limiti aktar baxxi hija ħafna iktar diffiċli, peress li limiti aktar baxxi jagħmlu dikjarazzjoni dwar l-algoritmi kollha possib"&amp;"bli li jsolvu problema partikolari. Il-frażi ""l-algoritmi kollha possibbli"" tinkludi mhux biss l-algoritmi magħrufa llum, iżda kwalunkwe algoritmu li jista 'jiġi skopert fil-futur. Biex turi limitu aktar baxx ta 't (n) għal problema teħtieġ li turi li l"&amp;"-ebda algoritmu ma jista' jkollu kumplessità tal-ħin inqas minn t (n).")</f>
        <v>Biex tikklassifika l-ħin tal-komputazzjoni (jew riżorsi simili, bħall-konsum spazjali), wieħed huwa interessat li jipprova limiti ta 'fuq u t'isfel fuq l-ammont minimu ta' ħin meħtieġ mill-algoritmu l-iktar effiċjenti biex issolvi problema partikolari. Il-kumplessità ta 'algoritmu ġeneralment tittieħed bħala l-agħar kumplessità tiegħu, sakemm ma tkunx speċifikata mod ieħor. L-analiżi ta 'algoritmu partikolari jaqa' taħt il-qasam ta 'analiżi ta' algoritmi. Biex turi t (n) fuq il-kumplessità tal-ħin ta 'problema, wieħed irid juri biss li hemm algoritmu partikolari bil-ħin ta' tħaddim fil-biċċa l-kbira t (n). Madankollu, li tipprova limiti aktar baxxi hija ħafna iktar diffiċli, peress li limiti aktar baxxi jagħmlu dikjarazzjoni dwar l-algoritmi kollha possibbli li jsolvu problema partikolari. Il-frażi "l-algoritmi kollha possibbli" tinkludi mhux biss l-algoritmi magħrufa llum, iżda kwalunkwe algoritmu li jista 'jiġi skopert fil-futur. Biex turi limitu aktar baxx ta 't (n) għal problema teħtieġ li turi li l-ebda algoritmu ma jista' jkollu kumplessità tal-ħin inqas minn t (n).</v>
      </c>
    </row>
    <row r="5505" ht="15.75" customHeight="1">
      <c r="A5505" s="2" t="s">
        <v>5505</v>
      </c>
      <c r="B5505" s="2" t="str">
        <f>IFERROR(__xludf.DUMMYFUNCTION("GOOGLETRANSLATE(A5505, ""en"", ""mt"")"),"mhedded ""Brittaniku qadim"" b'konsegwenzi severi jekk kompla jinnegozja mal-Ingliżi")</f>
        <v>mhedded "Brittaniku qadim" b'konsegwenzi severi jekk kompla jinnegozja mal-Ingliżi</v>
      </c>
    </row>
    <row r="5506" ht="15.75" customHeight="1">
      <c r="A5506" s="2" t="s">
        <v>5506</v>
      </c>
      <c r="B5506" s="2" t="str">
        <f>IFERROR(__xludf.DUMMYFUNCTION("GOOGLETRANSLATE(A5506, ""en"", ""mt"")"),"It-tagħlim bl-użu tal-pedagoġija jinvolvi wkoll il-valutazzjoni tal-livelli edukattivi tal-istudenti fuq ħiliet partikolari. Li tifhem il-pedagoġija tal-istudenti fi klassi tinvolvi l-użu ta 'struzzjoni differenzjata kif ukoll superviżjoni biex tissodisfa"&amp;" l-bżonnijiet tal-istudenti kollha fil-klassi. Il-pedagoġija tista 'tkun maħsuba f'żewġ manjieri. L-ewwel, it-tagħlim innifsu jista 'jiġi mgħallem b'ħafna modi differenti, għalhekk, bl-użu ta' pedagoġija ta 'stili ta' tagħlim. It-tieni, il-pedagoġija ta '"&amp;"l-istudenti tidħol fis-seħħ meta għalliem jivvaluta d-diversità pedagoġika tal-istudenti tiegħu / tagħha u jiddistingwi għall-istudenti individwali kif xieraq. Pereżempju, għalliem u ġenitur b'esperjenza ddeskrivew il-post ta 'għalliem fit-tagħlim kif ġej"&amp;": ""Il-biċċa l-kbira tat-tagħlim isseħħ fl-awto-studju u s-soluzzjoni tal-problemi b'ħafna feedback madwar dik il-linja. Il-funzjoni tal-għalliem hija li Pressjoni lill-għażżien, tispira l-imdejjaq, tgħolli l-cocky, tħeġġeġ id-difetti timidi, tiskopri u t"&amp;"ikkoreġi, u twessa 'l-perspettiva ta' kulħadd. Din il-funzjoni tidher bħal dik ta 'kowċ li juża l-iskala sħiħa tal-psikoloġija biex tikseb kull klassi ġdida ta' rookies barra mill-bank u fil-logħba. """)</f>
        <v>It-tagħlim bl-użu tal-pedagoġija jinvolvi wkoll il-valutazzjoni tal-livelli edukattivi tal-istudenti fuq ħiliet partikolari. Li tifhem il-pedagoġija tal-istudenti fi klassi tinvolvi l-użu ta 'struzzjoni differenzjata kif ukoll superviżjoni biex tissodisfa l-bżonnijiet tal-istudenti kollha fil-klassi. Il-pedagoġija tista 'tkun maħsuba f'żewġ manjieri. L-ewwel, it-tagħlim innifsu jista 'jiġi mgħallem b'ħafna modi differenti, għalhekk, bl-użu ta' pedagoġija ta 'stili ta' tagħlim. It-tieni, il-pedagoġija ta 'l-istudenti tidħol fis-seħħ meta għalliem jivvaluta d-diversità pedagoġika tal-istudenti tiegħu / tagħha u jiddistingwi għall-istudenti individwali kif xieraq. Pereżempju, għalliem u ġenitur b'esperjenza ddeskrivew il-post ta 'għalliem fit-tagħlim kif ġej: "Il-biċċa l-kbira tat-tagħlim isseħħ fl-awto-studju u s-soluzzjoni tal-problemi b'ħafna feedback madwar dik il-linja. Il-funzjoni tal-għalliem hija li Pressjoni lill-għażżien, tispira l-imdejjaq, tgħolli l-cocky, tħeġġeġ id-difetti timidi, tiskopri u tikkoreġi, u twessa 'l-perspettiva ta' kulħadd. Din il-funzjoni tidher bħal dik ta 'kowċ li juża l-iskala sħiħa tal-psikoloġija biex tikseb kull klassi ġdida ta' rookies barra mill-bank u fil-logħba. "</v>
      </c>
    </row>
    <row r="5507" ht="15.75" customHeight="1">
      <c r="A5507" s="2" t="s">
        <v>5507</v>
      </c>
      <c r="B5507" s="2" t="str">
        <f>IFERROR(__xludf.DUMMYFUNCTION("GOOGLETRANSLATE(A5507, ""en"", ""mt"")"),"Min ħaseb li l-forza applikata kkawżat moviment ta 'oġġett irrispettivament mill-veloċità mhux żero?")</f>
        <v>Min ħaseb li l-forza applikata kkawżat moviment ta 'oġġett irrispettivament mill-veloċità mhux żero?</v>
      </c>
    </row>
    <row r="5508" ht="15.75" customHeight="1">
      <c r="A5508" s="2" t="s">
        <v>5508</v>
      </c>
      <c r="B5508" s="2" t="str">
        <f>IFERROR(__xludf.DUMMYFUNCTION("GOOGLETRANSLATE(A5508, ""en"", ""mt"")"),"il-Kunsill tad-Disinn Industrijali")</f>
        <v>il-Kunsill tad-Disinn Industrijali</v>
      </c>
    </row>
    <row r="5509" ht="15.75" customHeight="1">
      <c r="A5509" s="2" t="s">
        <v>5509</v>
      </c>
      <c r="B5509" s="2" t="str">
        <f>IFERROR(__xludf.DUMMYFUNCTION("GOOGLETRANSLATE(A5509, ""en"", ""mt"")"),"Doctor Who fl-aħħar irritorna bl-episodju ""Rose"" fuq BBC One fis-26 ta 'Marzu 2005. Minn dakinhar kien hemm disa' serje oħra fl-2006-2008 u l-2010-2015, u l-ispeċjalitajiet tal-Jum tal-Milied kull sena mill-2005. L-ebda serje sħiħa ma ġiet iffilmjata fl"&amp;"-2009 , għalkemm saru erba 'speċjali addizzjonali bi David Tennant. Fl-2010, Steven Moffat ħa post Davies bħala kittieb ewlieni u produttur eżekuttiv. F'Jannar 2016, Moffat ħabbar li se jnaqqas wara l-finali tal-2017, li għandu jiġi sostitwit minn Chris C"&amp;"hibnall fl-2018. Barra minn hekk, is-Serje 10 se tiddebutta fir-Rebbiegħa 2017, bi xandira speċjali tal-Milied fl-2016.")</f>
        <v>Doctor Who fl-aħħar irritorna bl-episodju "Rose" fuq BBC One fis-26 ta 'Marzu 2005. Minn dakinhar kien hemm disa' serje oħra fl-2006-2008 u l-2010-2015, u l-ispeċjalitajiet tal-Jum tal-Milied kull sena mill-2005. L-ebda serje sħiħa ma ġiet iffilmjata fl-2009 , għalkemm saru erba 'speċjali addizzjonali bi David Tennant. Fl-2010, Steven Moffat ħa post Davies bħala kittieb ewlieni u produttur eżekuttiv. F'Jannar 2016, Moffat ħabbar li se jnaqqas wara l-finali tal-2017, li għandu jiġi sostitwit minn Chris Chibnall fl-2018. Barra minn hekk, is-Serje 10 se tiddebutta fir-Rebbiegħa 2017, bi xandira speċjali tal-Milied fl-2016.</v>
      </c>
    </row>
    <row r="5510" ht="15.75" customHeight="1">
      <c r="A5510" s="2" t="s">
        <v>5510</v>
      </c>
      <c r="B5510" s="2" t="str">
        <f>IFERROR(__xludf.DUMMYFUNCTION("GOOGLETRANSLATE(A5510, ""en"", ""mt"")"),"Aktar minn 14,000 ilbies")</f>
        <v>Aktar minn 14,000 ilbies</v>
      </c>
    </row>
    <row r="5511" ht="15.75" customHeight="1">
      <c r="A5511" s="2" t="s">
        <v>5511</v>
      </c>
      <c r="B5511" s="2" t="str">
        <f>IFERROR(__xludf.DUMMYFUNCTION("GOOGLETRANSLATE(A5511, ""en"", ""mt"")"),"Xi tipproteġi s-sistema immunitarja?")</f>
        <v>Xi tipproteġi s-sistema immunitarja?</v>
      </c>
    </row>
    <row r="5512" ht="15.75" customHeight="1">
      <c r="A5512" s="2" t="s">
        <v>5512</v>
      </c>
      <c r="B5512" s="2" t="str">
        <f>IFERROR(__xludf.DUMMYFUNCTION("GOOGLETRANSLATE(A5512, ""en"", ""mt"")"),"Mediċina iperbarika (bi pressjoni għolja)")</f>
        <v>Mediċina iperbarika (bi pressjoni għolja)</v>
      </c>
    </row>
    <row r="5513" ht="15.75" customHeight="1">
      <c r="A5513" s="2" t="s">
        <v>5513</v>
      </c>
      <c r="B5513" s="2" t="str">
        <f>IFERROR(__xludf.DUMMYFUNCTION("GOOGLETRANSLATE(A5513, ""en"", ""mt"")"),"Min hu l-archenemy tat-tabib min?")</f>
        <v>Min hu l-archenemy tat-tabib min?</v>
      </c>
    </row>
    <row r="5514" ht="15.75" customHeight="1">
      <c r="A5514" s="2" t="s">
        <v>5514</v>
      </c>
      <c r="B5514" s="2" t="str">
        <f>IFERROR(__xludf.DUMMYFUNCTION("GOOGLETRANSLATE(A5514, ""en"", ""mt"")"),"X’għamel Luther bħala mezz biex jiskoraġġixxi t-trattament ħażin tal-Lhud?")</f>
        <v>X’għamel Luther bħala mezz biex jiskoraġġixxi t-trattament ħażin tal-Lhud?</v>
      </c>
    </row>
    <row r="5515" ht="15.75" customHeight="1">
      <c r="A5515" s="2" t="s">
        <v>5515</v>
      </c>
      <c r="B5515" s="2" t="str">
        <f>IFERROR(__xludf.DUMMYFUNCTION("GOOGLETRANSLATE(A5515, ""en"", ""mt"")"),"estern")</f>
        <v>estern</v>
      </c>
    </row>
    <row r="5516" ht="15.75" customHeight="1">
      <c r="A5516" s="2" t="s">
        <v>5516</v>
      </c>
      <c r="B5516" s="2" t="str">
        <f>IFERROR(__xludf.DUMMYFUNCTION("GOOGLETRANSLATE(A5516, ""en"", ""mt"")"),"Premju tal-Akkademja")</f>
        <v>Premju tal-Akkademja</v>
      </c>
    </row>
    <row r="5517" ht="15.75" customHeight="1">
      <c r="A5517" s="2" t="s">
        <v>5517</v>
      </c>
      <c r="B5517" s="2" t="str">
        <f>IFERROR(__xludf.DUMMYFUNCTION("GOOGLETRANSLATE(A5517, ""en"", ""mt"")"),"imperi")</f>
        <v>imperi</v>
      </c>
    </row>
    <row r="5518" ht="15.75" customHeight="1">
      <c r="A5518" s="2" t="s">
        <v>5518</v>
      </c>
      <c r="B5518" s="2" t="str">
        <f>IFERROR(__xludf.DUMMYFUNCTION("GOOGLETRANSLATE(A5518, ""en"", ""mt"")"),"it-tixrid tal-mard mill-Ewropa")</f>
        <v>it-tixrid tal-mard mill-Ewropa</v>
      </c>
    </row>
    <row r="5519" ht="15.75" customHeight="1">
      <c r="A5519" s="2" t="s">
        <v>5519</v>
      </c>
      <c r="B5519" s="2" t="str">
        <f>IFERROR(__xludf.DUMMYFUNCTION("GOOGLETRANSLATE(A5519, ""en"", ""mt"")"),"il-kapaċità tagħha jew tiegħu bħala uffiċjal pubbliku")</f>
        <v>il-kapaċità tagħha jew tiegħu bħala uffiċjal pubbliku</v>
      </c>
    </row>
    <row r="5520" ht="15.75" customHeight="1">
      <c r="A5520" s="2" t="s">
        <v>5520</v>
      </c>
      <c r="B5520" s="2" t="str">
        <f>IFERROR(__xludf.DUMMYFUNCTION("GOOGLETRANSLATE(A5520, ""en"", ""mt"")"),"X'inhu Hermaphrodite?")</f>
        <v>X'inhu Hermaphrodite?</v>
      </c>
    </row>
    <row r="5521" ht="15.75" customHeight="1">
      <c r="A5521" s="2" t="s">
        <v>5521</v>
      </c>
      <c r="B5521" s="2" t="str">
        <f>IFERROR(__xludf.DUMMYFUNCTION("GOOGLETRANSLATE(A5521, ""en"", ""mt"")"),"L-ekonomista Joseph Stiglitz jargumenta li minflok ma jispjega konċentrazzjonijiet ta 'ġid u dħul, il-forzi tas-suq għandhom iservu ta' brejk fuq din il-konċentrazzjoni, li tista 'tkun spjegata aħjar mill-forza mhux tas-suq magħrufa bħala ""tfittxija tal-"&amp;"kera"". Filwaqt li s-suq se joffri kumpens għall-ħiliet rari u mixtieqa biex jippremja l-ħolqien tal-ġid, produttività akbar, eċċ., Huwa jipprevjeni wkoll lill-intraprendituri ta 'suċċess milli jaqilgħu profitti żejda billi jrawmu l-kompetizzjoni biex ina"&amp;"qqsu l-prezzijiet, il-profitti u kumpens kbir. Spjegatur aħjar tal-inugwaljanza dejjem tikber, skond Stiglitz, huwa l-użu tal-poter politiku ġġenerat mill-ġid minn ċerti gruppi biex jiffurmaw politiki tal-gvern ta 'benefiċċju finanzjarju għalihom. Dan il-"&amp;"proċess, magħruf għall-ekonomisti bħala li jfittex il-kera, iġib dħul mhux mill-ħolqien tal-ġid iżda minn ""jaqbad sehem akbar mill-ġid li kieku kien jiġi prodott mingħajr l-isforz tagħhom""")</f>
        <v>L-ekonomista Joseph Stiglitz jargumenta li minflok ma jispjega konċentrazzjonijiet ta 'ġid u dħul, il-forzi tas-suq għandhom iservu ta' brejk fuq din il-konċentrazzjoni, li tista 'tkun spjegata aħjar mill-forza mhux tas-suq magħrufa bħala "tfittxija tal-kera". Filwaqt li s-suq se joffri kumpens għall-ħiliet rari u mixtieqa biex jippremja l-ħolqien tal-ġid, produttività akbar, eċċ., Huwa jipprevjeni wkoll lill-intraprendituri ta 'suċċess milli jaqilgħu profitti żejda billi jrawmu l-kompetizzjoni biex inaqqsu l-prezzijiet, il-profitti u kumpens kbir. Spjegatur aħjar tal-inugwaljanza dejjem tikber, skond Stiglitz, huwa l-użu tal-poter politiku ġġenerat mill-ġid minn ċerti gruppi biex jiffurmaw politiki tal-gvern ta 'benefiċċju finanzjarju għalihom. Dan il-proċess, magħruf għall-ekonomisti bħala li jfittex il-kera, iġib dħul mhux mill-ħolqien tal-ġid iżda minn "jaqbad sehem akbar mill-ġid li kieku kien jiġi prodott mingħajr l-isforz tagħhom"</v>
      </c>
    </row>
    <row r="5522" ht="15.75" customHeight="1">
      <c r="A5522" s="2" t="s">
        <v>5522</v>
      </c>
      <c r="B5522" s="2" t="str">
        <f>IFERROR(__xludf.DUMMYFUNCTION("GOOGLETRANSLATE(A5522, ""en"", ""mt"")"),"Collier's Weekly")</f>
        <v>Collier's Weekly</v>
      </c>
    </row>
    <row r="5523" ht="15.75" customHeight="1">
      <c r="A5523" s="2" t="s">
        <v>5523</v>
      </c>
      <c r="B5523" s="2" t="str">
        <f>IFERROR(__xludf.DUMMYFUNCTION("GOOGLETRANSLATE(A5523, ""en"", ""mt"")"),"X'kien is-sors tal-iżball?")</f>
        <v>X'kien is-sors tal-iżball?</v>
      </c>
    </row>
    <row r="5524" ht="15.75" customHeight="1">
      <c r="A5524" s="2" t="s">
        <v>5524</v>
      </c>
      <c r="B5524" s="2" t="str">
        <f>IFERROR(__xludf.DUMMYFUNCTION("GOOGLETRANSLATE(A5524, ""en"", ""mt"")"),"kien jipproduċi wkoll dokument kostituzzjonali wieħed")</f>
        <v>kien jipproduċi wkoll dokument kostituzzjonali wieħed</v>
      </c>
    </row>
    <row r="5525" ht="15.75" customHeight="1">
      <c r="A5525" s="2" t="s">
        <v>5525</v>
      </c>
      <c r="B5525" s="2" t="str">
        <f>IFERROR(__xludf.DUMMYFUNCTION("GOOGLETRANSLATE(A5525, ""en"", ""mt"")"),"Fil-Konferenza Ġenerali tal-1996 l-Ordni ta 'l-Ordinazzjoni ta' Djaknu Tranżitorju ġie abolit. Dan ħoloq ordnijiet ġodda magħrufa bħala ""anzjani proviżorji"" jew ""djaknu proviżorju"" għal dawk li jfittxu li jiġu ordnati fl-ordnijiet rispettivi. L-anzjan"&amp;" / djaknu proviżorju huwa gradwat fis-seminarju li jservi mandat ta 'sentejn f'ħatra full-time wara li jkun ġie kkummissjonat. Matul dan il-perjodu ta 'sentejn jew tliet snin, l-anzjan proviżorju jingħata ministeru sagramentali fil-ħatra lokali tagħhom. G"&amp;"ħall-ewwel darba fl-istorja tagħha r-ragħajja mhux ordnati saru aspettattiva normali, aktar milli dispożizzjoni straordinarja għall-ministeru.")</f>
        <v>Fil-Konferenza Ġenerali tal-1996 l-Ordni ta 'l-Ordinazzjoni ta' Djaknu Tranżitorju ġie abolit. Dan ħoloq ordnijiet ġodda magħrufa bħala "anzjani proviżorji" jew "djaknu proviżorju" għal dawk li jfittxu li jiġu ordnati fl-ordnijiet rispettivi. L-anzjan / djaknu proviżorju huwa gradwat fis-seminarju li jservi mandat ta 'sentejn f'ħatra full-time wara li jkun ġie kkummissjonat. Matul dan il-perjodu ta 'sentejn jew tliet snin, l-anzjan proviżorju jingħata ministeru sagramentali fil-ħatra lokali tagħhom. Għall-ewwel darba fl-istorja tagħha r-ragħajja mhux ordnati saru aspettattiva normali, aktar milli dispożizzjoni straordinarja għall-ministeru.</v>
      </c>
    </row>
    <row r="5526" ht="15.75" customHeight="1">
      <c r="A5526" s="2" t="s">
        <v>5526</v>
      </c>
      <c r="B5526" s="2" t="str">
        <f>IFERROR(__xludf.DUMMYFUNCTION("GOOGLETRANSLATE(A5526, ""en"", ""mt"")"),"X'qed jiġi deskritt meta s-sempliċità tal-forom ġeometriċi tingħaqad ma 'ispirazzjoni mill-perjodu Ruman?")</f>
        <v>X'qed jiġi deskritt meta s-sempliċità tal-forom ġeometriċi tingħaqad ma 'ispirazzjoni mill-perjodu Ruman?</v>
      </c>
    </row>
    <row r="5527" ht="15.75" customHeight="1">
      <c r="A5527" s="2" t="s">
        <v>5527</v>
      </c>
      <c r="B5527" s="2" t="str">
        <f>IFERROR(__xludf.DUMMYFUNCTION("GOOGLETRANSLATE(A5527, ""en"", ""mt"")"),"Dwar kemm kienet tiswa skola ta ’New York City Jum kull sena fl-2012?")</f>
        <v>Dwar kemm kienet tiswa skola ta ’New York City Jum kull sena fl-2012?</v>
      </c>
    </row>
    <row r="5528" ht="15.75" customHeight="1">
      <c r="A5528" s="2" t="s">
        <v>5528</v>
      </c>
      <c r="B5528" s="2" t="str">
        <f>IFERROR(__xludf.DUMMYFUNCTION("GOOGLETRANSLATE(A5528, ""en"", ""mt"")"),"Pajjiżi oħra kif kellhom kopji tal-ispettaklu?")</f>
        <v>Pajjiżi oħra kif kellhom kopji tal-ispettaklu?</v>
      </c>
    </row>
    <row r="5529" ht="15.75" customHeight="1">
      <c r="A5529" s="2" t="s">
        <v>5529</v>
      </c>
      <c r="B5529" s="2" t="str">
        <f>IFERROR(__xludf.DUMMYFUNCTION("GOOGLETRANSLATE(A5529, ""en"", ""mt"")"),"Direttivi")</f>
        <v>Direttivi</v>
      </c>
    </row>
    <row r="5530" ht="15.75" customHeight="1">
      <c r="A5530" s="2" t="s">
        <v>5530</v>
      </c>
      <c r="B5530" s="2" t="str">
        <f>IFERROR(__xludf.DUMMYFUNCTION("GOOGLETRANSLATE(A5530, ""en"", ""mt"")"),"Kemm kien malajr l-effett tal-predikazzjoni ta 'Luther?")</f>
        <v>Kemm kien malajr l-effett tal-predikazzjoni ta 'Luther?</v>
      </c>
    </row>
    <row r="5531" ht="15.75" customHeight="1">
      <c r="A5531" s="2" t="s">
        <v>5531</v>
      </c>
      <c r="B5531" s="2" t="str">
        <f>IFERROR(__xludf.DUMMYFUNCTION("GOOGLETRANSLATE(A5531, ""en"", ""mt"")"),"Liema arma tuża Spike Milligan kontra Dalek?")</f>
        <v>Liema arma tuża Spike Milligan kontra Dalek?</v>
      </c>
    </row>
    <row r="5532" ht="15.75" customHeight="1">
      <c r="A5532" s="2" t="s">
        <v>5532</v>
      </c>
      <c r="B5532" s="2" t="str">
        <f>IFERROR(__xludf.DUMMYFUNCTION("GOOGLETRANSLATE(A5532, ""en"", ""mt"")"),"L-idrografija tad-delta attwali hija kkaratterizzata mill-armi ewlenin tad-delta, armi skonnettjati (Hollandse ijssel, linge, vecht, eċċ.) U xmajjar u nixxigħat iżgħar. Ħafna xmajjar ingħalqu (""imtaqqba"") u issa jservu bħala kanali tad-drenaġġ għall-pol"&amp;"ders numerużi. Il-kostruzzjoni ta 'xogħlijiet ta' Delta biddlet id-Delta fit-tieni nofs tas-seklu 20. Bħalissa Rhine Water tidħol fil-baħar, jew ġo bajjiet tal-baħar preċedenti issa separati mill-baħar, f'ħames postijiet, jiġifieri f'ħalq in-Nieuwe Merwed"&amp;"e, Nieuwe Waterway (Nieuwe Maas), Dordtse Kil, SPUI u IJSel.")</f>
        <v>L-idrografija tad-delta attwali hija kkaratterizzata mill-armi ewlenin tad-delta, armi skonnettjati (Hollandse ijssel, linge, vecht, eċċ.) U xmajjar u nixxigħat iżgħar. Ħafna xmajjar ingħalqu ("imtaqqba") u issa jservu bħala kanali tad-drenaġġ għall-polders numerużi. Il-kostruzzjoni ta 'xogħlijiet ta' Delta biddlet id-Delta fit-tieni nofs tas-seklu 20. Bħalissa Rhine Water tidħol fil-baħar, jew ġo bajjiet tal-baħar preċedenti issa separati mill-baħar, f'ħames postijiet, jiġifieri f'ħalq in-Nieuwe Merwede, Nieuwe Waterway (Nieuwe Maas), Dordtse Kil, SPUI u IJSel.</v>
      </c>
    </row>
    <row r="5533" ht="15.75" customHeight="1">
      <c r="A5533" s="2" t="s">
        <v>5533</v>
      </c>
      <c r="B5533" s="2" t="str">
        <f>IFERROR(__xludf.DUMMYFUNCTION("GOOGLETRANSLATE(A5533, ""en"", ""mt"")"),"Id-Dinja trid tkun ferm ixjeħ milli suppost kien suppost")</f>
        <v>Id-Dinja trid tkun ferm ixjeħ milli suppost kien suppost</v>
      </c>
    </row>
    <row r="5534" ht="15.75" customHeight="1">
      <c r="A5534" s="2" t="s">
        <v>5534</v>
      </c>
      <c r="B5534" s="2" t="str">
        <f>IFERROR(__xludf.DUMMYFUNCTION("GOOGLETRANSLATE(A5534, ""en"", ""mt"")"),"X'tipi ta 'djar huma ddisinjati minn Fresno Architects?")</f>
        <v>X'tipi ta 'djar huma ddisinjati minn Fresno Architects?</v>
      </c>
    </row>
    <row r="5535" ht="15.75" customHeight="1">
      <c r="A5535" s="2" t="s">
        <v>5535</v>
      </c>
      <c r="B5535" s="2" t="str">
        <f>IFERROR(__xludf.DUMMYFUNCTION("GOOGLETRANSLATE(A5535, ""en"", ""mt"")"),"Liema parti hija l-iktar b'saħħitha fiż-żoni sinjuri ta 'Melbourne?")</f>
        <v>Liema parti hija l-iktar b'saħħitha fiż-żoni sinjuri ta 'Melbourne?</v>
      </c>
    </row>
    <row r="5536" ht="15.75" customHeight="1">
      <c r="A5536" s="2" t="s">
        <v>5536</v>
      </c>
      <c r="B5536" s="2" t="str">
        <f>IFERROR(__xludf.DUMMYFUNCTION("GOOGLETRANSLATE(A5536, ""en"", ""mt"")"),"Karawett")</f>
        <v>Karawett</v>
      </c>
    </row>
    <row r="5537" ht="15.75" customHeight="1">
      <c r="A5537" s="2" t="s">
        <v>5537</v>
      </c>
      <c r="B5537" s="2" t="str">
        <f>IFERROR(__xludf.DUMMYFUNCTION("GOOGLETRANSLATE(A5537, ""en"", ""mt"")"),"Il-fallimenti Ingliżi fl-Amerika ta ’Fuq, flimkien ma’ fallimenti oħra fit-Teatru Ewropew, wasslu għall-waqgħa mill-poter ta ’Newcastle u l-konsulent militari prinċipali tiegħu, id-Duka ta’ Cumberland. Newcastle u Pitt ingħaqdu f'koalizzjoni inkwiet li fi"&amp;"ha Pitt iddomina l-ippjanar militari. Huwa beda pjan għall-kampanja tal-1758 li kienet fil-biċċa l-kbira żviluppata minn Loudoun. Huwa kien ġie sostitwit minn Abercrombie bħala kmandant kap wara l-fallimenti tal-1757. Il-pjan ta 'Pitt talab għal tliet azz"&amp;"jonijiet offensivi kbar li jinvolvu numru kbir ta' truppi regolari, appoġġjati mill-milizji provinċjali, immirati biex jaqbdu l-qalb ta 'Franza l-ġdida. Tnejn mill-ispedizzjonijiet kellhom suċċess, bil-Fort Duquesne u Louisbourg jaqgħu għall-forzi Ingliżi"&amp;" mdaqqsa.")</f>
        <v>Il-fallimenti Ingliżi fl-Amerika ta ’Fuq, flimkien ma’ fallimenti oħra fit-Teatru Ewropew, wasslu għall-waqgħa mill-poter ta ’Newcastle u l-konsulent militari prinċipali tiegħu, id-Duka ta’ Cumberland. Newcastle u Pitt ingħaqdu f'koalizzjoni inkwiet li fiha Pitt iddomina l-ippjanar militari. Huwa beda pjan għall-kampanja tal-1758 li kienet fil-biċċa l-kbira żviluppata minn Loudoun. Huwa kien ġie sostitwit minn Abercrombie bħala kmandant kap wara l-fallimenti tal-1757. Il-pjan ta 'Pitt talab għal tliet azzjonijiet offensivi kbar li jinvolvu numru kbir ta' truppi regolari, appoġġjati mill-milizji provinċjali, immirati biex jaqbdu l-qalb ta 'Franza l-ġdida. Tnejn mill-ispedizzjonijiet kellhom suċċess, bil-Fort Duquesne u Louisbourg jaqgħu għall-forzi Ingliżi mdaqqsa.</v>
      </c>
    </row>
    <row r="5538" ht="15.75" customHeight="1">
      <c r="A5538" s="2" t="s">
        <v>5538</v>
      </c>
      <c r="B5538" s="2" t="str">
        <f>IFERROR(__xludf.DUMMYFUNCTION("GOOGLETRANSLATE(A5538, ""en"", ""mt"")"),"Ħaddem IP fuq l-ATM jew verżjoni ta 'MPLS")</f>
        <v>Ħaddem IP fuq l-ATM jew verżjoni ta 'MPLS</v>
      </c>
    </row>
    <row r="5539" ht="15.75" customHeight="1">
      <c r="A5539" s="2" t="s">
        <v>5539</v>
      </c>
      <c r="B5539" s="2" t="str">
        <f>IFERROR(__xludf.DUMMYFUNCTION("GOOGLETRANSLATE(A5539, ""en"", ""mt"")"),"Mhuwiex ċar, madankollu li din il-fehma sterjotipika tirrifletti r-realtà tal-klassijiet tal-Asja tal-Lvant jew li l-għanijiet edukattivi f'dawn il-pajjiżi huma proporzjonabbli ma 'dawk fil-pajjiżi tal-Punent. Fil-Ġappun, pereżempju, għalkemm il-kisba med"&amp;"ja fuq testijiet standardizzati tista 'taqbeż dawk fil-pajjiżi tal-Punent, id-dixxiplina u l-imġieba tal-klassi hija problematika ħafna. Għalkemm, uffiċjalment, l-iskejjel għandhom kodiċi ta 'mġieba estremament riġidi, fil-prattika ħafna għalliema jsibu l"&amp;"ill-istudenti mhux maniġġabbli u ma jinfurzawx id-dixxiplina.")</f>
        <v>Mhuwiex ċar, madankollu li din il-fehma sterjotipika tirrifletti r-realtà tal-klassijiet tal-Asja tal-Lvant jew li l-għanijiet edukattivi f'dawn il-pajjiżi huma proporzjonabbli ma 'dawk fil-pajjiżi tal-Punent. Fil-Ġappun, pereżempju, għalkemm il-kisba medja fuq testijiet standardizzati tista 'taqbeż dawk fil-pajjiżi tal-Punent, id-dixxiplina u l-imġieba tal-klassi hija problematika ħafna. Għalkemm, uffiċjalment, l-iskejjel għandhom kodiċi ta 'mġieba estremament riġidi, fil-prattika ħafna għalliema jsibu lill-istudenti mhux maniġġabbli u ma jinfurzawx id-dixxiplina.</v>
      </c>
    </row>
    <row r="5540" ht="15.75" customHeight="1">
      <c r="A5540" s="2" t="s">
        <v>5540</v>
      </c>
      <c r="B5540" s="2" t="str">
        <f>IFERROR(__xludf.DUMMYFUNCTION("GOOGLETRANSLATE(A5540, ""en"", ""mt"")"),"Negozjar tal-motiv")</f>
        <v>Negozjar tal-motiv</v>
      </c>
    </row>
    <row r="5541" ht="15.75" customHeight="1">
      <c r="A5541" s="2" t="s">
        <v>5541</v>
      </c>
      <c r="B5541" s="2" t="str">
        <f>IFERROR(__xludf.DUMMYFUNCTION("GOOGLETRANSLATE(A5541, ""en"", ""mt"")"),"Oriġini lingwistiċi doppji jew tripli mhux Franċiżi")</f>
        <v>Oriġini lingwistiċi doppji jew tripli mhux Franċiżi</v>
      </c>
    </row>
    <row r="5542" ht="15.75" customHeight="1">
      <c r="A5542" s="2" t="s">
        <v>5542</v>
      </c>
      <c r="B5542" s="2" t="str">
        <f>IFERROR(__xludf.DUMMYFUNCTION("GOOGLETRANSLATE(A5542, ""en"", ""mt"")"),"Liema bliet Irlandiżi kellhom enklavi kbar ta 'Huguenot?")</f>
        <v>Liema bliet Irlandiżi kellhom enklavi kbar ta 'Huguenot?</v>
      </c>
    </row>
    <row r="5543" ht="15.75" customHeight="1">
      <c r="A5543" s="2" t="s">
        <v>5543</v>
      </c>
      <c r="B5543" s="2" t="str">
        <f>IFERROR(__xludf.DUMMYFUNCTION("GOOGLETRANSLATE(A5543, ""en"", ""mt"")"),"X’ħoss Luther li għamel minn Kristu?")</f>
        <v>X’ħoss Luther li għamel minn Kristu?</v>
      </c>
    </row>
    <row r="5544" ht="15.75" customHeight="1">
      <c r="A5544" s="2" t="s">
        <v>5544</v>
      </c>
      <c r="B5544" s="2" t="str">
        <f>IFERROR(__xludf.DUMMYFUNCTION("GOOGLETRANSLATE(A5544, ""en"", ""mt"")"),"X'inhuma l-akbar tliet żoni urbani fil-Kenja?")</f>
        <v>X'inhuma l-akbar tliet żoni urbani fil-Kenja?</v>
      </c>
    </row>
    <row r="5545" ht="15.75" customHeight="1">
      <c r="A5545" s="2" t="s">
        <v>5545</v>
      </c>
      <c r="B5545" s="2" t="str">
        <f>IFERROR(__xludf.DUMMYFUNCTION("GOOGLETRANSLATE(A5545, ""en"", ""mt"")"),"Preparazzjonijiet ta 'riskju għoli u xi funzjonijiet oħra ta' taħlit")</f>
        <v>Preparazzjonijiet ta 'riskju għoli u xi funzjonijiet oħra ta' taħlit</v>
      </c>
    </row>
    <row r="5546" ht="15.75" customHeight="1">
      <c r="A5546" s="2" t="s">
        <v>5546</v>
      </c>
      <c r="B5546" s="2" t="str">
        <f>IFERROR(__xludf.DUMMYFUNCTION("GOOGLETRANSLATE(A5546, ""en"", ""mt"")"),"il-kostruzzjoni ta 'toroq militari")</f>
        <v>il-kostruzzjoni ta 'toroq militari</v>
      </c>
    </row>
    <row r="5547" ht="15.75" customHeight="1">
      <c r="A5547" s="2" t="s">
        <v>5547</v>
      </c>
      <c r="B5547" s="2" t="str">
        <f>IFERROR(__xludf.DUMMYFUNCTION("GOOGLETRANSLATE(A5547, ""en"", ""mt"")"),"orizzontali")</f>
        <v>orizzontali</v>
      </c>
    </row>
    <row r="5548" ht="15.75" customHeight="1">
      <c r="A5548" s="2" t="s">
        <v>5548</v>
      </c>
      <c r="B5548" s="2" t="str">
        <f>IFERROR(__xludf.DUMMYFUNCTION("GOOGLETRANSLATE(A5548, ""en"", ""mt"")"),"Skejjel tal-Karta Pubblika fuq in-naħa tan-Nofsinhar ta ’Chicago")</f>
        <v>Skejjel tal-Karta Pubblika fuq in-naħa tan-Nofsinhar ta ’Chicago</v>
      </c>
    </row>
    <row r="5549" ht="15.75" customHeight="1">
      <c r="A5549" s="2" t="s">
        <v>5549</v>
      </c>
      <c r="B5549" s="2" t="str">
        <f>IFERROR(__xludf.DUMMYFUNCTION("GOOGLETRANSLATE(A5549, ""en"", ""mt"")"),"huma mfixkla,")</f>
        <v>huma mfixkla,</v>
      </c>
    </row>
    <row r="5550" ht="15.75" customHeight="1">
      <c r="A5550" s="2" t="s">
        <v>5550</v>
      </c>
      <c r="B5550" s="2" t="str">
        <f>IFERROR(__xludf.DUMMYFUNCTION("GOOGLETRANSLATE(A5550, ""en"", ""mt"")"),"Università tad-Difiża Nazzjonali")</f>
        <v>Università tad-Difiża Nazzjonali</v>
      </c>
    </row>
    <row r="5551" ht="15.75" customHeight="1">
      <c r="A5551" s="2" t="s">
        <v>5551</v>
      </c>
      <c r="B5551" s="2" t="str">
        <f>IFERROR(__xludf.DUMMYFUNCTION("GOOGLETRANSLATE(A5551, ""en"", ""mt"")"),"Dijossidu tal-karbonju")</f>
        <v>Dijossidu tal-karbonju</v>
      </c>
    </row>
    <row r="5552" ht="15.75" customHeight="1">
      <c r="A5552" s="2" t="s">
        <v>5552</v>
      </c>
      <c r="B5552" s="2" t="str">
        <f>IFERROR(__xludf.DUMMYFUNCTION("GOOGLETRANSLATE(A5552, ""en"", ""mt"")"),"Awwissu 1992")</f>
        <v>Awwissu 1992</v>
      </c>
    </row>
    <row r="5553" ht="15.75" customHeight="1">
      <c r="A5553" s="2" t="s">
        <v>5553</v>
      </c>
      <c r="B5553" s="2" t="str">
        <f>IFERROR(__xludf.DUMMYFUNCTION("GOOGLETRANSLATE(A5553, ""en"", ""mt"")"),"Il-bini huwa lest biex jokkupa")</f>
        <v>Il-bini huwa lest biex jokkupa</v>
      </c>
    </row>
    <row r="5554" ht="15.75" customHeight="1">
      <c r="A5554" s="2" t="s">
        <v>5554</v>
      </c>
      <c r="B5554" s="2" t="str">
        <f>IFERROR(__xludf.DUMMYFUNCTION("GOOGLETRANSLATE(A5554, ""en"", ""mt"")"),"""Old Brittaniku"" injora t-twissija")</f>
        <v>"Old Brittaniku" injora t-twissija</v>
      </c>
    </row>
    <row r="5555" ht="15.75" customHeight="1">
      <c r="A5555" s="2" t="s">
        <v>5555</v>
      </c>
      <c r="B5555" s="2" t="str">
        <f>IFERROR(__xludf.DUMMYFUNCTION("GOOGLETRANSLATE(A5555, ""en"", ""mt"")"),"satelliti")</f>
        <v>satelliti</v>
      </c>
    </row>
    <row r="5556" ht="15.75" customHeight="1">
      <c r="A5556" s="2" t="s">
        <v>5556</v>
      </c>
      <c r="B5556" s="2" t="str">
        <f>IFERROR(__xludf.DUMMYFUNCTION("GOOGLETRANSLATE(A5556, ""en"", ""mt"")"),"Il-ħatriet kollha tal-kleru jsiru għal kemm żmien?")</f>
        <v>Il-ħatriet kollha tal-kleru jsiru għal kemm żmien?</v>
      </c>
    </row>
    <row r="5557" ht="15.75" customHeight="1">
      <c r="A5557" s="2" t="s">
        <v>5557</v>
      </c>
      <c r="B5557" s="2" t="str">
        <f>IFERROR(__xludf.DUMMYFUNCTION("GOOGLETRANSLATE(A5557, ""en"", ""mt"")"),"X’tesla bdiet tirriċerka f’Marzu 1896?")</f>
        <v>X’tesla bdiet tirriċerka f’Marzu 1896?</v>
      </c>
    </row>
    <row r="5558" ht="15.75" customHeight="1">
      <c r="A5558" s="2" t="s">
        <v>5558</v>
      </c>
      <c r="B5558" s="2" t="str">
        <f>IFERROR(__xludf.DUMMYFUNCTION("GOOGLETRANSLATE(A5558, ""en"", ""mt"")"),"ramifikazzjoni")</f>
        <v>ramifikazzjoni</v>
      </c>
    </row>
    <row r="5559" ht="15.75" customHeight="1">
      <c r="A5559" s="2" t="s">
        <v>5559</v>
      </c>
      <c r="B5559" s="2" t="str">
        <f>IFERROR(__xludf.DUMMYFUNCTION("GOOGLETRANSLATE(A5559, ""en"", ""mt"")"),"Le Grand jikkonkludi li l-kliem ta 'awtur joffru biss dak li huma maħsuba għalihom biex jimplikaw rigward dan it-tip ta' terminoloġija?")</f>
        <v>Le Grand jikkonkludi li l-kliem ta 'awtur joffru biss dak li huma maħsuba għalihom biex jimplikaw rigward dan it-tip ta' terminoloġija?</v>
      </c>
    </row>
    <row r="5560" ht="15.75" customHeight="1">
      <c r="A5560" s="2" t="s">
        <v>5560</v>
      </c>
      <c r="B5560" s="2" t="str">
        <f>IFERROR(__xludf.DUMMYFUNCTION("GOOGLETRANSLATE(A5560, ""en"", ""mt"")"),"Min jaħtar il-Bord tal-Bank Ċentrali Ewropew?")</f>
        <v>Min jaħtar il-Bord tal-Bank Ċentrali Ewropew?</v>
      </c>
    </row>
    <row r="5561" ht="15.75" customHeight="1">
      <c r="A5561" s="2" t="s">
        <v>5561</v>
      </c>
      <c r="B5561" s="2" t="str">
        <f>IFERROR(__xludf.DUMMYFUNCTION("GOOGLETRANSLATE(A5561, ""en"", ""mt"")"),"Liema tipi ta 'gruppi Ewropej setgħu jevitaw il-pesta?")</f>
        <v>Liema tipi ta 'gruppi Ewropej setgħu jevitaw il-pesta?</v>
      </c>
    </row>
    <row r="5562" ht="15.75" customHeight="1">
      <c r="A5562" s="2" t="s">
        <v>5562</v>
      </c>
      <c r="B5562" s="2" t="str">
        <f>IFERROR(__xludf.DUMMYFUNCTION("GOOGLETRANSLATE(A5562, ""en"", ""mt"")"),"permezz ta ’politiki")</f>
        <v>permezz ta ’politiki</v>
      </c>
    </row>
    <row r="5563" ht="15.75" customHeight="1">
      <c r="A5563" s="2" t="s">
        <v>5563</v>
      </c>
      <c r="B5563" s="2" t="str">
        <f>IFERROR(__xludf.DUMMYFUNCTION("GOOGLETRANSLATE(A5563, ""en"", ""mt"")"),"Madwar bejn wieħed u ieħor kemm studenti jirreġistraw kull sena fi klassijiet ta 'arti kreattivi u spettakli?")</f>
        <v>Madwar bejn wieħed u ieħor kemm studenti jirreġistraw kull sena fi klassijiet ta 'arti kreattivi u spettakli?</v>
      </c>
    </row>
    <row r="5564" ht="15.75" customHeight="1">
      <c r="A5564" s="2" t="s">
        <v>5564</v>
      </c>
      <c r="B5564" s="2" t="str">
        <f>IFERROR(__xludf.DUMMYFUNCTION("GOOGLETRANSLATE(A5564, ""en"", ""mt"")"),"il-kulur tiegħu,")</f>
        <v>il-kulur tiegħu,</v>
      </c>
    </row>
    <row r="5565" ht="15.75" customHeight="1">
      <c r="A5565" s="2" t="s">
        <v>5565</v>
      </c>
      <c r="B5565" s="2" t="str">
        <f>IFERROR(__xludf.DUMMYFUNCTION("GOOGLETRANSLATE(A5565, ""en"", ""mt"")"),"defiċit")</f>
        <v>defiċit</v>
      </c>
    </row>
    <row r="5566" ht="15.75" customHeight="1">
      <c r="A5566" s="2" t="s">
        <v>5566</v>
      </c>
      <c r="B5566" s="2" t="str">
        <f>IFERROR(__xludf.DUMMYFUNCTION("GOOGLETRANSLATE(A5566, ""en"", ""mt"")"),"Fit-tarf dojoq")</f>
        <v>Fit-tarf dojoq</v>
      </c>
    </row>
    <row r="5567" ht="15.75" customHeight="1">
      <c r="A5567" s="2" t="s">
        <v>5567</v>
      </c>
      <c r="B5567" s="2" t="str">
        <f>IFERROR(__xludf.DUMMYFUNCTION("GOOGLETRANSLATE(A5567, ""en"", ""mt"")"),"Dak li jurina l-kloroplasti mitlufa?")</f>
        <v>Dak li jurina l-kloroplasti mitlufa?</v>
      </c>
    </row>
    <row r="5568" ht="15.75" customHeight="1">
      <c r="A5568" s="2" t="s">
        <v>5568</v>
      </c>
      <c r="B5568" s="2" t="str">
        <f>IFERROR(__xludf.DUMMYFUNCTION("GOOGLETRANSLATE(A5568, ""en"", ""mt"")"),"Politika tal-Bieb Miftuħ")</f>
        <v>Politika tal-Bieb Miftuħ</v>
      </c>
    </row>
    <row r="5569" ht="15.75" customHeight="1">
      <c r="A5569" s="2" t="s">
        <v>5569</v>
      </c>
      <c r="B5569" s="2" t="str">
        <f>IFERROR(__xludf.DUMMYFUNCTION("GOOGLETRANSLATE(A5569, ""en"", ""mt"")"),"Dan ikkontribwixxa għax- ""xokk taż-żejt"". Wara l-1971, l-OPEC kien bil-mod biex jirranġa l-prezzijiet biex jirrifletti din id-deprezzament. Mill-1947 sal-1967, il-prezz tad-dollaru taż-żejt żdied b'inqas minn tnejn fil-mija fis-sena. Sakemm ix-xokk taż-"&amp;"żejt, il-prezz kien ukoll baqa 'pjuttost stabbli kontra muniti u prodotti oħra. Il-ministri tal-OPEC ma żviluppawx mekkaniżmi istituzzjonali biex jaġġornaw il-prezzijiet fis-sinkronizzazzjoni mal-kundizzjonijiet tas-suq li qed jinbidlu, u għalhekk id-dħul"&amp;" reali tagħhom baqa 'lura. Iż-żidiet sostanzjali fil-prezz tal-1973–1974 reġgħu rritornaw il-prezzijiet tagħhom u d-dħul korrispondenti għal-livelli ta 'Bretton Woods f'termini ta' prodotti bħad-deheb.")</f>
        <v>Dan ikkontribwixxa għax- "xokk taż-żejt". Wara l-1971, l-OPEC kien bil-mod biex jirranġa l-prezzijiet biex jirrifletti din id-deprezzament. Mill-1947 sal-1967, il-prezz tad-dollaru taż-żejt żdied b'inqas minn tnejn fil-mija fis-sena. Sakemm ix-xokk taż-żejt, il-prezz kien ukoll baqa 'pjuttost stabbli kontra muniti u prodotti oħra. Il-ministri tal-OPEC ma żviluppawx mekkaniżmi istituzzjonali biex jaġġornaw il-prezzijiet fis-sinkronizzazzjoni mal-kundizzjonijiet tas-suq li qed jinbidlu, u għalhekk id-dħul reali tagħhom baqa 'lura. Iż-żidiet sostanzjali fil-prezz tal-1973–1974 reġgħu rritornaw il-prezzijiet tagħhom u d-dħul korrispondenti għal-livelli ta 'Bretton Woods f'termini ta' prodotti bħad-deheb.</v>
      </c>
    </row>
    <row r="5570" ht="15.75" customHeight="1">
      <c r="A5570" s="2" t="s">
        <v>5570</v>
      </c>
      <c r="B5570" s="2" t="str">
        <f>IFERROR(__xludf.DUMMYFUNCTION("GOOGLETRANSLATE(A5570, ""en"", ""mt"")"),"Lag Balkhash,")</f>
        <v>Lag Balkhash,</v>
      </c>
    </row>
    <row r="5571" ht="15.75" customHeight="1">
      <c r="A5571" s="2" t="s">
        <v>5571</v>
      </c>
      <c r="B5571" s="2" t="str">
        <f>IFERROR(__xludf.DUMMYFUNCTION("GOOGLETRANSLATE(A5571, ""en"", ""mt"")"),"X'tip ta 'magni saru mifruxa madwar l-aħħar tas-seklu 19?")</f>
        <v>X'tip ta 'magni saru mifruxa madwar l-aħħar tas-seklu 19?</v>
      </c>
    </row>
    <row r="5572" ht="15.75" customHeight="1">
      <c r="A5572" s="2" t="s">
        <v>5572</v>
      </c>
      <c r="B5572" s="2" t="str">
        <f>IFERROR(__xludf.DUMMYFUNCTION("GOOGLETRANSLATE(A5572, ""en"", ""mt"")"),"Meta ġiet irreġistrata l-verżjoni Latina tal-kelma Norman?")</f>
        <v>Meta ġiet irreġistrata l-verżjoni Latina tal-kelma Norman?</v>
      </c>
    </row>
    <row r="5573" ht="15.75" customHeight="1">
      <c r="A5573" s="2" t="s">
        <v>5573</v>
      </c>
      <c r="B5573" s="2" t="str">
        <f>IFERROR(__xludf.DUMMYFUNCTION("GOOGLETRANSLATE(A5573, ""en"", ""mt"")"),"Għal liema invenzjoni ngħatat il-privattiva tal-Istati Uniti 1,655,114?")</f>
        <v>Għal liema invenzjoni ngħatat il-privattiva tal-Istati Uniti 1,655,114?</v>
      </c>
    </row>
    <row r="5574" ht="15.75" customHeight="1">
      <c r="A5574" s="2" t="s">
        <v>5574</v>
      </c>
      <c r="B5574" s="2" t="str">
        <f>IFERROR(__xludf.DUMMYFUNCTION("GOOGLETRANSLATE(A5574, ""en"", ""mt"")"),"jimpjegaw spiżjara konsulenti")</f>
        <v>jimpjegaw spiżjara konsulenti</v>
      </c>
    </row>
    <row r="5575" ht="15.75" customHeight="1">
      <c r="A5575" s="2" t="s">
        <v>5575</v>
      </c>
      <c r="B5575" s="2" t="str">
        <f>IFERROR(__xludf.DUMMYFUNCTION("GOOGLETRANSLATE(A5575, ""en"", ""mt"")"),"Ma kienx sal-aħħar tas-snin 1950 li n-netwerk ABC sar konkorrent serju għal NBC u CBS, u dan kien fil-parti l-kbira minħabba l-firxa diversa ta 'programmazzjoni li laħqet l-aspettattivi tal-pubbliku, bħal Westerns u Detective Series. Minkejja żieda ta 'kw"&amp;"ażi 500% fid-dħul tar-reklamar bejn l-1953 u l-1958, in-netwerk kellu biss firxa nazzjonali ta' bejn 10% u 18% tal-popolazzjoni totali ta 'l-Istati Uniti, peress li xorta kellha relattivament inqas affiljati minn NBC u CBS. Fl-1957, il-President tal-ABC E"&amp;"ntertainment Ollie Treiz skopra li l-Variety Show Prodott lokalment kien ġibed klassifikazzjonijiet qawwija ħafna fis-suq ta 'Philadelphia fuq WFIL-TV; Treiz fl-aħħar innegozja ftehim biex jieħu l-ispettaklu Nazzjonali, taħt it-titlu rivedut American Band"&amp;"stand; L-ispettaklu malajr sar fenomenu soċjali billi ppreżenta talent mużikali ġdid u żfin għaż-żgħażagħ tal-Amerika u għen biex tagħmel stilla mill-ospitanti tagħha, Dick Clark.")</f>
        <v>Ma kienx sal-aħħar tas-snin 1950 li n-netwerk ABC sar konkorrent serju għal NBC u CBS, u dan kien fil-parti l-kbira minħabba l-firxa diversa ta 'programmazzjoni li laħqet l-aspettattivi tal-pubbliku, bħal Westerns u Detective Series. Minkejja żieda ta 'kważi 500% fid-dħul tar-reklamar bejn l-1953 u l-1958, in-netwerk kellu biss firxa nazzjonali ta' bejn 10% u 18% tal-popolazzjoni totali ta 'l-Istati Uniti, peress li xorta kellha relattivament inqas affiljati minn NBC u CBS. Fl-1957, il-President tal-ABC Entertainment Ollie Treiz skopra li l-Variety Show Prodott lokalment kien ġibed klassifikazzjonijiet qawwija ħafna fis-suq ta 'Philadelphia fuq WFIL-TV; Treiz fl-aħħar innegozja ftehim biex jieħu l-ispettaklu Nazzjonali, taħt it-titlu rivedut American Bandstand; L-ispettaklu malajr sar fenomenu soċjali billi ppreżenta talent mużikali ġdid u żfin għaż-żgħażagħ tal-Amerika u għen biex tagħmel stilla mill-ospitanti tagħha, Dick Clark.</v>
      </c>
    </row>
    <row r="5576" ht="15.75" customHeight="1">
      <c r="A5576" s="2" t="s">
        <v>5576</v>
      </c>
      <c r="B5576" s="2" t="str">
        <f>IFERROR(__xludf.DUMMYFUNCTION("GOOGLETRANSLATE(A5576, ""en"", ""mt"")"),"ħarifa")</f>
        <v>ħarifa</v>
      </c>
    </row>
    <row r="5577" ht="15.75" customHeight="1">
      <c r="A5577" s="2" t="s">
        <v>5577</v>
      </c>
      <c r="B5577" s="2" t="str">
        <f>IFERROR(__xludf.DUMMYFUNCTION("GOOGLETRANSLATE(A5577, ""en"", ""mt"")"),"It-tabib għandu interess awto finanzjarju fid- ""dijanjosi"" kemm jista 'jkun kundizzjonijiet")</f>
        <v>It-tabib għandu interess awto finanzjarju fid- "dijanjosi" kemm jista 'jkun kundizzjonijiet</v>
      </c>
    </row>
    <row r="5578" ht="15.75" customHeight="1">
      <c r="A5578" s="2" t="s">
        <v>5578</v>
      </c>
      <c r="B5578" s="2" t="str">
        <f>IFERROR(__xludf.DUMMYFUNCTION("GOOGLETRANSLATE(A5578, ""en"", ""mt"")"),"X'għandek taqsam biex tilħaq il-kloroplast f'ħafna plastidi sekondarji?")</f>
        <v>X'għandek taqsam biex tilħaq il-kloroplast f'ħafna plastidi sekondarji?</v>
      </c>
    </row>
    <row r="5579" ht="15.75" customHeight="1">
      <c r="A5579" s="2" t="s">
        <v>5579</v>
      </c>
      <c r="B5579" s="2" t="str">
        <f>IFERROR(__xludf.DUMMYFUNCTION("GOOGLETRANSLATE(A5579, ""en"", ""mt"")"),"X'intuża biex tinħoloq teorija elettromanjetika ġdida biex tirrikonċilja l-problemi mat-teorija elettromanjetika kif kienet toqgħod?")</f>
        <v>X'intuża biex tinħoloq teorija elettromanjetika ġdida biex tirrikonċilja l-problemi mat-teorija elettromanjetika kif kienet toqgħod?</v>
      </c>
    </row>
    <row r="5580" ht="15.75" customHeight="1">
      <c r="A5580" s="2" t="s">
        <v>5580</v>
      </c>
      <c r="B5580" s="2" t="str">
        <f>IFERROR(__xludf.DUMMYFUNCTION("GOOGLETRANSLATE(A5580, ""en"", ""mt"")"),"9.00 a.m. sas-6.00 p.m. jew aktar tard")</f>
        <v>9.00 a.m. sas-6.00 p.m. jew aktar tard</v>
      </c>
    </row>
    <row r="5581" ht="15.75" customHeight="1">
      <c r="A5581" s="2" t="s">
        <v>5581</v>
      </c>
      <c r="B5581" s="2" t="str">
        <f>IFERROR(__xludf.DUMMYFUNCTION("GOOGLETRANSLATE(A5581, ""en"", ""mt"")"),"L-ożonu ġġenerat f'kuntatt mal-ġilda, u sa ċertu punt, b'aċidu nitruż")</f>
        <v>L-ożonu ġġenerat f'kuntatt mal-ġilda, u sa ċertu punt, b'aċidu nitruż</v>
      </c>
    </row>
    <row r="5582" ht="15.75" customHeight="1">
      <c r="A5582" s="2" t="s">
        <v>5582</v>
      </c>
      <c r="B5582" s="2" t="str">
        <f>IFERROR(__xludf.DUMMYFUNCTION("GOOGLETRANSLATE(A5582, ""en"", ""mt"")"),"Min żviluppa l-batterija tal-jone tal-litju?")</f>
        <v>Min żviluppa l-batterija tal-jone tal-litju?</v>
      </c>
    </row>
    <row r="5583" ht="15.75" customHeight="1">
      <c r="A5583" s="2" t="s">
        <v>5583</v>
      </c>
      <c r="B5583" s="2" t="str">
        <f>IFERROR(__xludf.DUMMYFUNCTION("GOOGLETRANSLATE(A5583, ""en"", ""mt"")"),"Armata u l-popolazzjoni")</f>
        <v>Armata u l-popolazzjoni</v>
      </c>
    </row>
    <row r="5584" ht="15.75" customHeight="1">
      <c r="A5584" s="2" t="s">
        <v>5584</v>
      </c>
      <c r="B5584" s="2" t="str">
        <f>IFERROR(__xludf.DUMMYFUNCTION("GOOGLETRANSLATE(A5584, ""en"", ""mt"")"),"Fl-Istati Uniti, kien hemm spinta biex tillegalizza l-importazzjoni ta 'mediċini mill-Kanada u pajjiżi oħra, sabiex jitnaqqsu l-ispejjeż tal-konsumatur. Filwaqt li fil-biċċa l-kbira tal-każijiet l-importazzjoni ta 'mediċini bir-riċetta tikser ir-regolamen"&amp;"ti tal-Amministrazzjoni tal-Ikel u d-Droga (FDA) u l-liġijiet federali, l-infurzar huwa ġeneralment immirat lejn fornituri tad-droga internazzjonali, aktar milli għall-konsumaturi. M'hemm l-ebda każ magħruf ta 'xi ċittadini ta' l-Istati Uniti li jixtru dr"&amp;"ogi Kanadiżi għal użu personali bi preskrizzjoni, li qatt ġie akkużat mill-awtoritajiet.")</f>
        <v>Fl-Istati Uniti, kien hemm spinta biex tillegalizza l-importazzjoni ta 'mediċini mill-Kanada u pajjiżi oħra, sabiex jitnaqqsu l-ispejjeż tal-konsumatur. Filwaqt li fil-biċċa l-kbira tal-każijiet l-importazzjoni ta 'mediċini bir-riċetta tikser ir-regolamenti tal-Amministrazzjoni tal-Ikel u d-Droga (FDA) u l-liġijiet federali, l-infurzar huwa ġeneralment immirat lejn fornituri tad-droga internazzjonali, aktar milli għall-konsumaturi. M'hemm l-ebda każ magħruf ta 'xi ċittadini ta' l-Istati Uniti li jixtru drogi Kanadiżi għal użu personali bi preskrizzjoni, li qatt ġie akkużat mill-awtoritajiet.</v>
      </c>
    </row>
    <row r="5585" ht="15.75" customHeight="1">
      <c r="A5585" s="2" t="s">
        <v>5585</v>
      </c>
      <c r="B5585" s="2" t="str">
        <f>IFERROR(__xludf.DUMMYFUNCTION("GOOGLETRANSLATE(A5585, ""en"", ""mt"")"),"munita fil-coffer")</f>
        <v>munita fil-coffer</v>
      </c>
    </row>
    <row r="5586" ht="15.75" customHeight="1">
      <c r="A5586" s="2" t="s">
        <v>5586</v>
      </c>
      <c r="B5586" s="2" t="str">
        <f>IFERROR(__xludf.DUMMYFUNCTION("GOOGLETRANSLATE(A5586, ""en"", ""mt"")"),"Quran")</f>
        <v>Quran</v>
      </c>
    </row>
    <row r="5587" ht="15.75" customHeight="1">
      <c r="A5587" s="2" t="s">
        <v>5587</v>
      </c>
      <c r="B5587" s="2" t="str">
        <f>IFERROR(__xludf.DUMMYFUNCTION("GOOGLETRANSLATE(A5587, ""en"", ""mt"")"),"Kif iqabblu r-riżultati akkademiċi fl-iskejjel tal-Mudell C preċedenti?")</f>
        <v>Kif iqabblu r-riżultati akkademiċi fl-iskejjel tal-Mudell C preċedenti?</v>
      </c>
    </row>
    <row r="5588" ht="15.75" customHeight="1">
      <c r="A5588" s="2" t="s">
        <v>5588</v>
      </c>
      <c r="B5588" s="2" t="str">
        <f>IFERROR(__xludf.DUMMYFUNCTION("GOOGLETRANSLATE(A5588, ""en"", ""mt"")"),"Fl-1967, Manuel Blum żviluppa teorija ta 'kumplessità axiomatic ibbażata fuq l-assijomi tiegħu u wera riżultat importanti, l-hekk imsejħa, teorema ta' veloċità. Il-qasam verament beda jiffjorixxi fl-1971 meta r-riċerkatur tal-Istati Uniti Stephen Cook u, "&amp;"jaħdem b'mod indipendenti, Leonid Levin fl-USSR, wera li jeżistu problemi prattikament rilevanti li huma kompluti NP. Fl-1972, Richard Karp ħa din l-idea qabża 'l quddiem bil-karta tal-monument tiegħu, ""Reducibility fost problemi kombinatorji"", li fiha "&amp;"wera li 21 problemi teoretiċi kombinatorji u graff differenti, kull wieħed infami għall-intrattabilità komputazzjonali tiegħu, huma NP-kompluta.")</f>
        <v>Fl-1967, Manuel Blum żviluppa teorija ta 'kumplessità axiomatic ibbażata fuq l-assijomi tiegħu u wera riżultat importanti, l-hekk imsejħa, teorema ta' veloċità. Il-qasam verament beda jiffjorixxi fl-1971 meta r-riċerkatur tal-Istati Uniti Stephen Cook u, jaħdem b'mod indipendenti, Leonid Levin fl-USSR, wera li jeżistu problemi prattikament rilevanti li huma kompluti NP. Fl-1972, Richard Karp ħa din l-idea qabża 'l quddiem bil-karta tal-monument tiegħu, "Reducibility fost problemi kombinatorji", li fiha wera li 21 problemi teoretiċi kombinatorji u graff differenti, kull wieħed infami għall-intrattabilità komputazzjonali tiegħu, huma NP-kompluta.</v>
      </c>
    </row>
    <row r="5589" ht="15.75" customHeight="1">
      <c r="A5589" s="2" t="s">
        <v>5589</v>
      </c>
      <c r="B5589" s="2" t="str">
        <f>IFERROR(__xludf.DUMMYFUNCTION("GOOGLETRANSLATE(A5589, ""en"", ""mt"")"),"Żwieġ klerikali.")</f>
        <v>Żwieġ klerikali.</v>
      </c>
    </row>
    <row r="5590" ht="15.75" customHeight="1">
      <c r="A5590" s="2" t="s">
        <v>5590</v>
      </c>
      <c r="B5590" s="2" t="str">
        <f>IFERROR(__xludf.DUMMYFUNCTION("GOOGLETRANSLATE(A5590, ""en"", ""mt"")"),"Il-libertà li tipprovdi servizzi taħt l-Artikolu 56 tat-TFEU tapplika għal min?")</f>
        <v>Il-libertà li tipprovdi servizzi taħt l-Artikolu 56 tat-TFEU tapplika għal min?</v>
      </c>
    </row>
    <row r="5591" ht="15.75" customHeight="1">
      <c r="A5591" s="2" t="s">
        <v>5591</v>
      </c>
      <c r="B5591" s="2" t="str">
        <f>IFERROR(__xludf.DUMMYFUNCTION("GOOGLETRANSLATE(A5591, ""en"", ""mt"")"),"CBS xandir Super Bowl 50 fl-Istati Uniti, u ċċarġja medja ta '$ 5 miljun għal kummerċjali ta '30 sekonda matul il-logħba. L-ispettaklu tas-Super Bowl 50 f'ħin il-mistrieħ kien intitolat mill-grupp tal-blat Brittaniku Coldplay ma 'artisti mistiedna speċjal"&amp;"i Beyoncé u Bruno Mars, li intitolati s-Super Bowl XLVII u s-Super Bowl XLVIII wirjiet ta' nofs il-ħin, rispettivament. Kien it-tielet l-iktar li jara l-Istati Uniti mxandra qatt.")</f>
        <v>CBS xandir Super Bowl 50 fl-Istati Uniti, u ċċarġja medja ta '$ 5 miljun għal kummerċjali ta '30 sekonda matul il-logħba. L-ispettaklu tas-Super Bowl 50 f'ħin il-mistrieħ kien intitolat mill-grupp tal-blat Brittaniku Coldplay ma 'artisti mistiedna speċjali Beyoncé u Bruno Mars, li intitolati s-Super Bowl XLVII u s-Super Bowl XLVIII wirjiet ta' nofs il-ħin, rispettivament. Kien it-tielet l-iktar li jara l-Istati Uniti mxandra qatt.</v>
      </c>
    </row>
    <row r="5592" ht="15.75" customHeight="1">
      <c r="A5592" s="2" t="s">
        <v>5592</v>
      </c>
      <c r="B5592" s="2" t="str">
        <f>IFERROR(__xludf.DUMMYFUNCTION("GOOGLETRANSLATE(A5592, ""en"", ""mt"")"),"WFTS-TV u WWSB")</f>
        <v>WFTS-TV u WWSB</v>
      </c>
    </row>
    <row r="5593" ht="15.75" customHeight="1">
      <c r="A5593" s="2" t="s">
        <v>5593</v>
      </c>
      <c r="B5593" s="2" t="str">
        <f>IFERROR(__xludf.DUMMYFUNCTION("GOOGLETRANSLATE(A5593, ""en"", ""mt"")"),"Brittaniċi u Ewropej li kienu bbażati fil-Gran Brittanja")</f>
        <v>Brittaniċi u Ewropej li kienu bbażati fil-Gran Brittanja</v>
      </c>
    </row>
    <row r="5594" ht="15.75" customHeight="1">
      <c r="A5594" s="2" t="s">
        <v>5594</v>
      </c>
      <c r="B5594" s="2" t="str">
        <f>IFERROR(__xludf.DUMMYFUNCTION("GOOGLETRANSLATE(A5594, ""en"", ""mt"")"),"Diffie - Hellman Skambju Ewlenin")</f>
        <v>Diffie - Hellman Skambju Ewlenin</v>
      </c>
    </row>
    <row r="5595" ht="15.75" customHeight="1">
      <c r="A5595" s="2" t="s">
        <v>5595</v>
      </c>
      <c r="B5595" s="2" t="str">
        <f>IFERROR(__xludf.DUMMYFUNCTION("GOOGLETRANSLATE(A5595, ""en"", ""mt"")"),"Lagi kbar")</f>
        <v>Lagi kbar</v>
      </c>
    </row>
    <row r="5596" ht="15.75" customHeight="1">
      <c r="A5596" s="2" t="s">
        <v>5596</v>
      </c>
      <c r="B5596" s="2" t="str">
        <f>IFERROR(__xludf.DUMMYFUNCTION("GOOGLETRANSLATE(A5596, ""en"", ""mt"")"),"Ġwanni l-kostanti")</f>
        <v>Ġwanni l-kostanti</v>
      </c>
    </row>
    <row r="5597" ht="15.75" customHeight="1">
      <c r="A5597" s="2" t="s">
        <v>5597</v>
      </c>
      <c r="B5597" s="2" t="str">
        <f>IFERROR(__xludf.DUMMYFUNCTION("GOOGLETRANSLATE(A5597, ""en"", ""mt"")"),"Xi tfisser id-dar tal-ġwienaħ tas-Segretarjat?")</f>
        <v>Xi tfisser id-dar tal-ġwienaħ tas-Segretarjat?</v>
      </c>
    </row>
    <row r="5598" ht="15.75" customHeight="1">
      <c r="A5598" s="2" t="s">
        <v>5598</v>
      </c>
      <c r="B5598" s="2" t="str">
        <f>IFERROR(__xludf.DUMMYFUNCTION("GOOGLETRANSLATE(A5598, ""en"", ""mt"")"),"Meta kienet l-ewwel referenza storika magħrufa għall-immunità?")</f>
        <v>Meta kienet l-ewwel referenza storika magħrufa għall-immunità?</v>
      </c>
    </row>
    <row r="5599" ht="15.75" customHeight="1">
      <c r="A5599" s="2" t="s">
        <v>5599</v>
      </c>
      <c r="B5599" s="2" t="str">
        <f>IFERROR(__xludf.DUMMYFUNCTION("GOOGLETRANSLATE(A5599, ""en"", ""mt"")"),"Fuq liema riżorsa hija l-ekonomija tan-Nofsinhar tal-Kalifornja?")</f>
        <v>Fuq liema riżorsa hija l-ekonomija tan-Nofsinhar tal-Kalifornja?</v>
      </c>
    </row>
    <row r="5600" ht="15.75" customHeight="1">
      <c r="A5600" s="2" t="s">
        <v>5600</v>
      </c>
      <c r="B5600" s="2" t="str">
        <f>IFERROR(__xludf.DUMMYFUNCTION("GOOGLETRANSLATE(A5600, ""en"", ""mt"")"),"Min żamm tabs fuq il-bord tar-reviżjoni tal-inċidenti li ħoloq in-NASA?")</f>
        <v>Min żamm tabs fuq il-bord tar-reviżjoni tal-inċidenti li ħoloq in-NASA?</v>
      </c>
    </row>
    <row r="5601" ht="15.75" customHeight="1">
      <c r="A5601" s="2" t="s">
        <v>5601</v>
      </c>
      <c r="B5601" s="2" t="str">
        <f>IFERROR(__xludf.DUMMYFUNCTION("GOOGLETRANSLATE(A5601, ""en"", ""mt"")"),"Kif wasal il-wan biex ikollu l-4 skejjel tal-mediċina?")</f>
        <v>Kif wasal il-wan biex ikollu l-4 skejjel tal-mediċina?</v>
      </c>
    </row>
    <row r="5602" ht="15.75" customHeight="1">
      <c r="A5602" s="2" t="s">
        <v>5602</v>
      </c>
      <c r="B5602" s="2" t="str">
        <f>IFERROR(__xludf.DUMMYFUNCTION("GOOGLETRANSLATE(A5602, ""en"", ""mt"")"),"Il-prinċipju ta 'inklużjonijiet u komponenti jiddikjara li, bi blat sedimentarji, jekk inklużjonijiet (jew clasts) jinstabu f'formazzjoni, allura l-inklużjonijiet għandhom ikunu eqdem mill-formazzjoni li fiha. Pereżempju, fil-blat sedimentarji, huwa komun"&amp;"i għal żrar minn formazzjoni anzjana li għandha tinqata 'u tkun inkluża f'saff aktar ġdid. Sitwazzjoni simili bi blat igneous isseħħ meta jinstabu xenoliti. Dawn il-korpi barranin jinġabru bħala flussi tal-magma jew tal-lava, u huma inkorporati, aktar tar"&amp;"d biex jiksħu fil-matriċi. Bħala riżultat, il-ksenoliti huma eqdem mill-blat li fih.")</f>
        <v>Il-prinċipju ta 'inklużjonijiet u komponenti jiddikjara li, bi blat sedimentarji, jekk inklużjonijiet (jew clasts) jinstabu f'formazzjoni, allura l-inklużjonijiet għandhom ikunu eqdem mill-formazzjoni li fiha. Pereżempju, fil-blat sedimentarji, huwa komuni għal żrar minn formazzjoni anzjana li għandha tinqata 'u tkun inkluża f'saff aktar ġdid. Sitwazzjoni simili bi blat igneous isseħħ meta jinstabu xenoliti. Dawn il-korpi barranin jinġabru bħala flussi tal-magma jew tal-lava, u huma inkorporati, aktar tard biex jiksħu fil-matriċi. Bħala riżultat, il-ksenoliti huma eqdem mill-blat li fih.</v>
      </c>
    </row>
    <row r="5603" ht="15.75" customHeight="1">
      <c r="A5603" s="2" t="s">
        <v>5603</v>
      </c>
      <c r="B5603" s="2" t="str">
        <f>IFERROR(__xludf.DUMMYFUNCTION("GOOGLETRANSLATE(A5603, ""en"", ""mt"")"),"Stockton u Darlington")</f>
        <v>Stockton u Darlington</v>
      </c>
    </row>
    <row r="5604" ht="15.75" customHeight="1">
      <c r="A5604" s="2" t="s">
        <v>5604</v>
      </c>
      <c r="B5604" s="2" t="str">
        <f>IFERROR(__xludf.DUMMYFUNCTION("GOOGLETRANSLATE(A5604, ""en"", ""mt"")"),"injettur")</f>
        <v>injettur</v>
      </c>
    </row>
    <row r="5605" ht="15.75" customHeight="1">
      <c r="A5605" s="2" t="s">
        <v>5605</v>
      </c>
      <c r="B5605" s="2" t="str">
        <f>IFERROR(__xludf.DUMMYFUNCTION("GOOGLETRANSLATE(A5605, ""en"", ""mt"")"),"terġa 'terġa' tinbena")</f>
        <v>terġa 'terġa' tinbena</v>
      </c>
    </row>
    <row r="5606" ht="15.75" customHeight="1">
      <c r="A5606" s="2" t="s">
        <v>5606</v>
      </c>
      <c r="B5606" s="2" t="str">
        <f>IFERROR(__xludf.DUMMYFUNCTION("GOOGLETRANSLATE(A5606, ""en"", ""mt"")"),"Il-prezz taż-żejt normalment huwa komodità stabbli sa meta?")</f>
        <v>Il-prezz taż-żejt normalment huwa komodità stabbli sa meta?</v>
      </c>
    </row>
    <row r="5607" ht="15.75" customHeight="1">
      <c r="A5607" s="2" t="s">
        <v>5607</v>
      </c>
      <c r="B5607" s="2" t="str">
        <f>IFERROR(__xludf.DUMMYFUNCTION("GOOGLETRANSLATE(A5607, ""en"", ""mt"")"),"kriżi tal-enerġija")</f>
        <v>kriżi tal-enerġija</v>
      </c>
    </row>
    <row r="5608" ht="15.75" customHeight="1">
      <c r="A5608" s="2" t="s">
        <v>5608</v>
      </c>
      <c r="B5608" s="2" t="str">
        <f>IFERROR(__xludf.DUMMYFUNCTION("GOOGLETRANSLATE(A5608, ""en"", ""mt"")"),"L-isfruttament tal-assi u l-provvisti siewja")</f>
        <v>L-isfruttament tal-assi u l-provvisti siewja</v>
      </c>
    </row>
    <row r="5609" ht="15.75" customHeight="1">
      <c r="A5609" s="2" t="s">
        <v>5609</v>
      </c>
      <c r="B5609" s="2" t="str">
        <f>IFERROR(__xludf.DUMMYFUNCTION("GOOGLETRANSLATE(A5609, ""en"", ""mt"")"),"Liema postijiet oħra tista 'tinstab l-Iskola tan-Negozju tal-Booth?")</f>
        <v>Liema postijiet oħra tista 'tinstab l-Iskola tan-Negozju tal-Booth?</v>
      </c>
    </row>
    <row r="5610" ht="15.75" customHeight="1">
      <c r="A5610" s="2" t="s">
        <v>5610</v>
      </c>
      <c r="B5610" s="2" t="str">
        <f>IFERROR(__xludf.DUMMYFUNCTION("GOOGLETRANSLATE(A5610, ""en"", ""mt"")"),"Staġuni 3, 4, &amp; 5")</f>
        <v>Staġuni 3, 4, &amp; 5</v>
      </c>
    </row>
    <row r="5611" ht="15.75" customHeight="1">
      <c r="A5611" s="2" t="s">
        <v>5611</v>
      </c>
      <c r="B5611" s="2" t="str">
        <f>IFERROR(__xludf.DUMMYFUNCTION("GOOGLETRANSLATE(A5611, ""en"", ""mt"")"),"Liema Campaigh mexxa l-Partit Nazzjonali Skoċċiż (SNP)?")</f>
        <v>Liema Campaigh mexxa l-Partit Nazzjonali Skoċċiż (SNP)?</v>
      </c>
    </row>
    <row r="5612" ht="15.75" customHeight="1">
      <c r="A5612" s="2" t="s">
        <v>5612</v>
      </c>
      <c r="B5612" s="2" t="str">
        <f>IFERROR(__xludf.DUMMYFUNCTION("GOOGLETRANSLATE(A5612, ""en"", ""mt"")"),"Issottometti l-kastig preskritt mil-liġi")</f>
        <v>Issottometti l-kastig preskritt mil-liġi</v>
      </c>
    </row>
    <row r="5613" ht="15.75" customHeight="1">
      <c r="A5613" s="2" t="s">
        <v>5613</v>
      </c>
      <c r="B5613" s="2" t="str">
        <f>IFERROR(__xludf.DUMMYFUNCTION("GOOGLETRANSLATE(A5613, ""en"", ""mt"")"),"miċħuda l-eżistenza ta '")</f>
        <v>miċħuda l-eżistenza ta '</v>
      </c>
    </row>
    <row r="5614" ht="15.75" customHeight="1">
      <c r="A5614" s="2" t="s">
        <v>5614</v>
      </c>
      <c r="B5614" s="2" t="str">
        <f>IFERROR(__xludf.DUMMYFUNCTION("GOOGLETRANSLATE(A5614, ""en"", ""mt"")"),"tentakli u għant tat-tentaklu")</f>
        <v>tentakli u għant tat-tentaklu</v>
      </c>
    </row>
    <row r="5615" ht="15.75" customHeight="1">
      <c r="A5615" s="2" t="s">
        <v>5615</v>
      </c>
      <c r="B5615" s="2" t="str">
        <f>IFERROR(__xludf.DUMMYFUNCTION("GOOGLETRANSLATE(A5615, ""en"", ""mt"")"),"Xi jfissru l-mexxejja tal-partiti tal-oppożizzjoni u MSPs oħra?")</f>
        <v>Xi jfissru l-mexxejja tal-partiti tal-oppożizzjoni u MSPs oħra?</v>
      </c>
    </row>
    <row r="5616" ht="15.75" customHeight="1">
      <c r="A5616" s="2" t="s">
        <v>5616</v>
      </c>
      <c r="B5616" s="2" t="str">
        <f>IFERROR(__xludf.DUMMYFUNCTION("GOOGLETRANSLATE(A5616, ""en"", ""mt"")"),"X'għandu l-evitar tal-irġiel biex isiru għalliema kkawżati, f'xi oqsma?")</f>
        <v>X'għandu l-evitar tal-irġiel biex isiru għalliema kkawżati, f'xi oqsma?</v>
      </c>
    </row>
    <row r="5617" ht="15.75" customHeight="1">
      <c r="A5617" s="2" t="s">
        <v>5617</v>
      </c>
      <c r="B5617" s="2" t="str">
        <f>IFERROR(__xludf.DUMMYFUNCTION("GOOGLETRANSLATE(A5617, ""en"", ""mt"")"),"Uliedu u neputijiet")</f>
        <v>Uliedu u neputijiet</v>
      </c>
    </row>
    <row r="5618" ht="15.75" customHeight="1">
      <c r="A5618" s="2" t="s">
        <v>5618</v>
      </c>
      <c r="B5618" s="2" t="str">
        <f>IFERROR(__xludf.DUMMYFUNCTION("GOOGLETRANSLATE(A5618, ""en"", ""mt"")"),"Meta l-Wahhabi ħatfet il-moskea grandjuża f'Mekka?")</f>
        <v>Meta l-Wahhabi ħatfet il-moskea grandjuża f'Mekka?</v>
      </c>
    </row>
    <row r="5619" ht="15.75" customHeight="1">
      <c r="A5619" s="2" t="s">
        <v>5619</v>
      </c>
      <c r="B5619" s="2" t="str">
        <f>IFERROR(__xludf.DUMMYFUNCTION("GOOGLETRANSLATE(A5619, ""en"", ""mt"")"),"Liema pożizzjoni fl-ABC Thomas Murphy baqa 'għaddej wara li niżel bħala president?")</f>
        <v>Liema pożizzjoni fl-ABC Thomas Murphy baqa 'għaddej wara li niżel bħala president?</v>
      </c>
    </row>
    <row r="5620" ht="15.75" customHeight="1">
      <c r="A5620" s="2" t="s">
        <v>5620</v>
      </c>
      <c r="B5620" s="2" t="str">
        <f>IFERROR(__xludf.DUMMYFUNCTION("GOOGLETRANSLATE(A5620, ""en"", ""mt"")"),"ċiklu tal-ossiġnu")</f>
        <v>ċiklu tal-ossiġnu</v>
      </c>
    </row>
    <row r="5621" ht="15.75" customHeight="1">
      <c r="A5621" s="2" t="s">
        <v>5621</v>
      </c>
      <c r="B5621" s="2" t="str">
        <f>IFERROR(__xludf.DUMMYFUNCTION("GOOGLETRANSLATE(A5621, ""en"", ""mt"")"),"timu u mudullun")</f>
        <v>timu u mudullun</v>
      </c>
    </row>
    <row r="5622" ht="15.75" customHeight="1">
      <c r="A5622" s="2" t="s">
        <v>5622</v>
      </c>
      <c r="B5622" s="2" t="str">
        <f>IFERROR(__xludf.DUMMYFUNCTION("GOOGLETRANSLATE(A5622, ""en"", ""mt"")"),"James Lofton u Mark Malone")</f>
        <v>James Lofton u Mark Malone</v>
      </c>
    </row>
    <row r="5623" ht="15.75" customHeight="1">
      <c r="A5623" s="2" t="s">
        <v>5623</v>
      </c>
      <c r="B5623" s="2" t="str">
        <f>IFERROR(__xludf.DUMMYFUNCTION("GOOGLETRANSLATE(A5623, ""en"", ""mt"")"),"l-iktar wirja popolari dak iż-żmien")</f>
        <v>l-iktar wirja popolari dak iż-żmien</v>
      </c>
    </row>
    <row r="5624" ht="15.75" customHeight="1">
      <c r="A5624" s="2" t="s">
        <v>5624</v>
      </c>
      <c r="B5624" s="2" t="str">
        <f>IFERROR(__xludf.DUMMYFUNCTION("GOOGLETRANSLATE(A5624, ""en"", ""mt"")"),"Ċikli tal-isplużjoni u tal-bust")</f>
        <v>Ċikli tal-isplużjoni u tal-bust</v>
      </c>
    </row>
    <row r="5625" ht="15.75" customHeight="1">
      <c r="A5625" s="2" t="s">
        <v>5625</v>
      </c>
      <c r="B5625" s="2" t="str">
        <f>IFERROR(__xludf.DUMMYFUNCTION("GOOGLETRANSLATE(A5625, ""en"", ""mt"")"),"L-UMC jemmen li Ġesù abolixxa l-piena tal-mewt f'liema vers tal-Bibbja?")</f>
        <v>L-UMC jemmen li Ġesù abolixxa l-piena tal-mewt f'liema vers tal-Bibbja?</v>
      </c>
    </row>
    <row r="5626" ht="15.75" customHeight="1">
      <c r="A5626" s="2" t="s">
        <v>5626</v>
      </c>
      <c r="B5626" s="2" t="str">
        <f>IFERROR(__xludf.DUMMYFUNCTION("GOOGLETRANSLATE(A5626, ""en"", ""mt"")"),"Ibbażat fuq l-esperjenza tal-industrija tiegħu fuq proġetti ta 'missili tal-Air Force, Mueller induna li xi maniġers tas-sengħa jistgħu jinstabu fost uffiċjali ta' grad għoli fl-Air Force tal-Istati Uniti, u għalhekk kisbu l-permess ta 'Webb biex jirreklu"&amp;"ta lill-Ġeneral Samuel C. Phillips, li kiseb reputazzjoni għal tiegħu Ġestjoni effettiva tal-programm Minuteman, bħala Kontrollur tal-Programm OMSF. L-Uffiċjal Superjuri ta 'Phillips Bernard A. Schriever aċċetta li jissellef lil Phillips man-NASA, flimkie"&amp;"n ma' persunal ta 'uffiċjali taħt lilu, bil-kondizzjoni li Phillips isir Direttur tal-Programm Apollo. Mueller qabel, u Phillips irnexxielu lil Apollo minn Jannar 1964, sakemm kiseb l-ewwel inżul ekwipaġġ f'Lulju 1969, u wara rritorna għad-dmir tal-Air Fo"&amp;"rce.")</f>
        <v>Ibbażat fuq l-esperjenza tal-industrija tiegħu fuq proġetti ta 'missili tal-Air Force, Mueller induna li xi maniġers tas-sengħa jistgħu jinstabu fost uffiċjali ta' grad għoli fl-Air Force tal-Istati Uniti, u għalhekk kisbu l-permess ta 'Webb biex jirrekluta lill-Ġeneral Samuel C. Phillips, li kiseb reputazzjoni għal tiegħu Ġestjoni effettiva tal-programm Minuteman, bħala Kontrollur tal-Programm OMSF. L-Uffiċjal Superjuri ta 'Phillips Bernard A. Schriever aċċetta li jissellef lil Phillips man-NASA, flimkien ma' persunal ta 'uffiċjali taħt lilu, bil-kondizzjoni li Phillips isir Direttur tal-Programm Apollo. Mueller qabel, u Phillips irnexxielu lil Apollo minn Jannar 1964, sakemm kiseb l-ewwel inżul ekwipaġġ f'Lulju 1969, u wara rritorna għad-dmir tal-Air Force.</v>
      </c>
    </row>
    <row r="5627" ht="15.75" customHeight="1">
      <c r="A5627" s="2" t="s">
        <v>5627</v>
      </c>
      <c r="B5627" s="2" t="str">
        <f>IFERROR(__xludf.DUMMYFUNCTION("GOOGLETRANSLATE(A5627, ""en"", ""mt"")"),"Fejn qatta 'Luther il-karriera tiegħu?")</f>
        <v>Fejn qatta 'Luther il-karriera tiegħu?</v>
      </c>
    </row>
    <row r="5628" ht="15.75" customHeight="1">
      <c r="A5628" s="2" t="s">
        <v>5628</v>
      </c>
      <c r="B5628" s="2" t="str">
        <f>IFERROR(__xludf.DUMMYFUNCTION("GOOGLETRANSLATE(A5628, ""en"", ""mt"")"),"Kemm nazzjonijiet fihom ""Amazonas"" f'isimhom?")</f>
        <v>Kemm nazzjonijiet fihom "Amazonas" f'isimhom?</v>
      </c>
    </row>
    <row r="5629" ht="15.75" customHeight="1">
      <c r="A5629" s="2" t="s">
        <v>5629</v>
      </c>
      <c r="B5629" s="2" t="str">
        <f>IFERROR(__xludf.DUMMYFUNCTION("GOOGLETRANSLATE(A5629, ""en"", ""mt"")"),"Opinjonijiet Luterani")</f>
        <v>Opinjonijiet Luterani</v>
      </c>
    </row>
    <row r="5630" ht="15.75" customHeight="1">
      <c r="A5630" s="2" t="s">
        <v>5630</v>
      </c>
      <c r="B5630" s="2" t="str">
        <f>IFERROR(__xludf.DUMMYFUNCTION("GOOGLETRANSLATE(A5630, ""en"", ""mt"")"),"Meta l-kloroplasti jipproduċu sinjali tad-difiża?")</f>
        <v>Meta l-kloroplasti jipproduċu sinjali tad-difiża?</v>
      </c>
    </row>
    <row r="5631" ht="15.75" customHeight="1">
      <c r="A5631" s="2" t="s">
        <v>5631</v>
      </c>
      <c r="B5631" s="2" t="str">
        <f>IFERROR(__xludf.DUMMYFUNCTION("GOOGLETRANSLATE(A5631, ""en"", ""mt"")"),"id-direzzjoni li fiha l-ħalq qed jipponta")</f>
        <v>id-direzzjoni li fiha l-ħalq qed jipponta</v>
      </c>
    </row>
    <row r="5632" ht="15.75" customHeight="1">
      <c r="A5632" s="2" t="s">
        <v>5632</v>
      </c>
      <c r="B5632" s="2" t="str">
        <f>IFERROR(__xludf.DUMMYFUNCTION("GOOGLETRANSLATE(A5632, ""en"", ""mt"")"),"Għall-ewwel darba, il-kumitat ospitanti tas-Super Bowl 50 u l-NFL fittxew b'mod miftuħ veteran u lesbjani, omosesswali, bisesswali u transġeneru f'negozji fin-negozju Connect, il-programm Super Bowl li jipprovdi lill-kumpaniji lokali b'opportunitajiet ta "&amp;"'kuntrattar fi u madwar is-Super Skutella. Il-kumitat ospitanti diġà ġabar aktar minn $ 40 miljun permezz ta 'sponsors inklużi Apple, Google, Yahoo!, Intel, Gap, Chevron, u Dignity Health.")</f>
        <v>Għall-ewwel darba, il-kumitat ospitanti tas-Super Bowl 50 u l-NFL fittxew b'mod miftuħ veteran u lesbjani, omosesswali, bisesswali u transġeneru f'negozji fin-negozju Connect, il-programm Super Bowl li jipprovdi lill-kumpaniji lokali b'opportunitajiet ta 'kuntrattar fi u madwar is-Super Skutella. Il-kumitat ospitanti diġà ġabar aktar minn $ 40 miljun permezz ta 'sponsors inklużi Apple, Google, Yahoo!, Intel, Gap, Chevron, u Dignity Health.</v>
      </c>
    </row>
    <row r="5633" ht="15.75" customHeight="1">
      <c r="A5633" s="2" t="s">
        <v>5633</v>
      </c>
      <c r="B5633" s="2" t="str">
        <f>IFERROR(__xludf.DUMMYFUNCTION("GOOGLETRANSLATE(A5633, ""en"", ""mt"")"),"826 DOCTOR WHO L-pagamenti ilhom televiżivi mill-1963, li jvarjaw bejn episodji ta '25 minuta (l-iktar format komuni), episodji ta '45 minuta (għall-irxoxt tad-Daleks fis-serje tal-1984, staġun wieħed fl-1985, u l-qawmien mill-ġdid), tnejn Karatteristiċi "&amp;"ta 'produzzjonijiet (1983 The Five Doctors and The Television Film tal-1996), Tmien Specials tal-Milied (il-biċċa l-kbira tas-60 minuta li jdumu, wieħed minn 72 minuta), u erba' speċjali addizzjonali li jvarjaw minn 60 sa 75 minuta fl-2009, 2010 u 2013. E"&amp;"rba 'mini-episodji, li jmexxu madwar tmien minuti kull wieħed, ġew prodotti wkoll għat-tfal tal-1993, 2005 u 2007 fil-bżonn ta' appelli ta 'karità, filwaqt li mini-episodju ieħor ġie prodott fl-2008 għal edizzjoni ta' Proms. L-istorja ta '2 partijiet tal-"&amp;"1993, intitolata Dimensions in Time, saret b'kollaborazzjoni mal-kast tal-BBC Soap-Opera EastEnders u ġiet iffilmjata parzjalment fuq is-sett EastEnders. Ġie prodott ukoll mini-episodju ta 'żewġ partijiet għall-edizzjoni tal-2011 ta' Comic Relief. Tibda b"&amp;"l-ispeċjal tal-2009 ""Planet of the Dead"", is-serje ġiet iffilmjata fl-1080i għall-HDTV, u xxandret fl-istess ħin fuq BBC One u BBC HD.")</f>
        <v>826 DOCTOR WHO L-pagamenti ilhom televiżivi mill-1963, li jvarjaw bejn episodji ta '25 minuta (l-iktar format komuni), episodji ta '45 minuta (għall-irxoxt tad-Daleks fis-serje tal-1984, staġun wieħed fl-1985, u l-qawmien mill-ġdid), tnejn Karatteristiċi ta 'produzzjonijiet (1983 The Five Doctors and The Television Film tal-1996), Tmien Specials tal-Milied (il-biċċa l-kbira tas-60 minuta li jdumu, wieħed minn 72 minuta), u erba' speċjali addizzjonali li jvarjaw minn 60 sa 75 minuta fl-2009, 2010 u 2013. Erba 'mini-episodji, li jmexxu madwar tmien minuti kull wieħed, ġew prodotti wkoll għat-tfal tal-1993, 2005 u 2007 fil-bżonn ta' appelli ta 'karità, filwaqt li mini-episodju ieħor ġie prodott fl-2008 għal edizzjoni ta' Proms. L-istorja ta '2 partijiet tal-1993, intitolata Dimensions in Time, saret b'kollaborazzjoni mal-kast tal-BBC Soap-Opera EastEnders u ġiet iffilmjata parzjalment fuq is-sett EastEnders. Ġie prodott ukoll mini-episodju ta 'żewġ partijiet għall-edizzjoni tal-2011 ta' Comic Relief. Tibda bl-ispeċjal tal-2009 "Planet of the Dead", is-serje ġiet iffilmjata fl-1080i għall-HDTV, u xxandret fl-istess ħin fuq BBC One u BBC HD.</v>
      </c>
    </row>
    <row r="5634" ht="15.75" customHeight="1">
      <c r="A5634" s="2" t="s">
        <v>5634</v>
      </c>
      <c r="B5634" s="2" t="str">
        <f>IFERROR(__xludf.DUMMYFUNCTION("GOOGLETRANSLATE(A5634, ""en"", ""mt"")"),"NP-Complete")</f>
        <v>NP-Complete</v>
      </c>
    </row>
    <row r="5635" ht="15.75" customHeight="1">
      <c r="A5635" s="2" t="s">
        <v>5635</v>
      </c>
      <c r="B5635" s="2" t="str">
        <f>IFERROR(__xludf.DUMMYFUNCTION("GOOGLETRANSLATE(A5635, ""en"", ""mt"")"),"Għalkemm imħarreġ bħala avukat, liema professjoni segwew Maududi minflok?")</f>
        <v>Għalkemm imħarreġ bħala avukat, liema professjoni segwew Maududi minflok?</v>
      </c>
    </row>
    <row r="5636" ht="15.75" customHeight="1">
      <c r="A5636" s="2" t="s">
        <v>5636</v>
      </c>
      <c r="B5636" s="2" t="str">
        <f>IFERROR(__xludf.DUMMYFUNCTION("GOOGLETRANSLATE(A5636, ""en"", ""mt"")"),"L-għarfien mediku kien staġna matul il-Medju Evu. L-iktar kont awtorevoli dak iż-żmien ġie mill-fakultà medika f'Pariġi f'rapport lir-Re ta 'Franza li waħħal is-smewwiet, fil-forma ta' konġunzjoni ta 'tliet pjaneti fl-1345 li kkawża ""pestilenza kbira fl-"&amp;"arja"". Dan ir-rapport sar l-ewwel u l-iktar li ċċirkola b'mod wiesa 'serje ta' passaġġi tal-pesta li fittxew li jagħtu pariri lil dawk li jbatu. Li l-pesta kienet ikkawżata mill-arja ħażina saret it-teorija l-iktar aċċettata. Illum, din hija magħrufa bħa"&amp;"la t-teorija tal-Miasma. Il-kelma ""pesta"" ma kellha l-ebda sinifikat speċjali f'dan il-ħin, u r-rikorrenza ta 'tifqigħat biss matul il-Medju Evu tatha l-isem li sar it-terminu mediku.")</f>
        <v>L-għarfien mediku kien staġna matul il-Medju Evu. L-iktar kont awtorevoli dak iż-żmien ġie mill-fakultà medika f'Pariġi f'rapport lir-Re ta 'Franza li waħħal is-smewwiet, fil-forma ta' konġunzjoni ta 'tliet pjaneti fl-1345 li kkawża "pestilenza kbira fl-arja". Dan ir-rapport sar l-ewwel u l-iktar li ċċirkola b'mod wiesa 'serje ta' passaġġi tal-pesta li fittxew li jagħtu pariri lil dawk li jbatu. Li l-pesta kienet ikkawżata mill-arja ħażina saret it-teorija l-iktar aċċettata. Illum, din hija magħrufa bħala t-teorija tal-Miasma. Il-kelma "pesta" ma kellha l-ebda sinifikat speċjali f'dan il-ħin, u r-rikorrenza ta 'tifqigħat biss matul il-Medju Evu tatha l-isem li sar it-terminu mediku.</v>
      </c>
    </row>
    <row r="5637" ht="15.75" customHeight="1">
      <c r="A5637" s="2" t="s">
        <v>5637</v>
      </c>
      <c r="B5637" s="2" t="str">
        <f>IFERROR(__xludf.DUMMYFUNCTION("GOOGLETRANSLATE(A5637, ""en"", ""mt"")"),"Mill-1947 sal-1967, kemm żdied il-prezz taż-żejt?")</f>
        <v>Mill-1947 sal-1967, kemm żdied il-prezz taż-żejt?</v>
      </c>
    </row>
    <row r="5638" ht="15.75" customHeight="1">
      <c r="A5638" s="2" t="s">
        <v>5638</v>
      </c>
      <c r="B5638" s="2" t="str">
        <f>IFERROR(__xludf.DUMMYFUNCTION("GOOGLETRANSLATE(A5638, ""en"", ""mt"")"),"Kemm-il ġurnata wara t-titjira ta ’Gagarin iltaqa’ mal-Kumitat tad-Dar tal-Istati Uniti dwar ix-Xjenza u l-Astronawtika?")</f>
        <v>Kemm-il ġurnata wara t-titjira ta ’Gagarin iltaqa’ mal-Kumitat tad-Dar tal-Istati Uniti dwar ix-Xjenza u l-Astronawtika?</v>
      </c>
    </row>
    <row r="5639" ht="15.75" customHeight="1">
      <c r="A5639" s="2" t="s">
        <v>5639</v>
      </c>
      <c r="B5639" s="2" t="str">
        <f>IFERROR(__xludf.DUMMYFUNCTION("GOOGLETRANSLATE(A5639, ""en"", ""mt"")"),"X'għamel is-sistema Apple awtomatikament")</f>
        <v>X'għamel is-sistema Apple awtomatikament</v>
      </c>
    </row>
    <row r="5640" ht="15.75" customHeight="1">
      <c r="A5640" s="2" t="s">
        <v>5640</v>
      </c>
      <c r="B5640" s="2" t="str">
        <f>IFERROR(__xludf.DUMMYFUNCTION("GOOGLETRANSLATE(A5640, ""en"", ""mt"")"),"Liema żvilupp influwenza t-traduzzjonijiet tal-innijiet ta 'Luther?")</f>
        <v>Liema żvilupp influwenza t-traduzzjonijiet tal-innijiet ta 'Luther?</v>
      </c>
    </row>
    <row r="5641" ht="15.75" customHeight="1">
      <c r="A5641" s="2" t="s">
        <v>5641</v>
      </c>
      <c r="B5641" s="2" t="str">
        <f>IFERROR(__xludf.DUMMYFUNCTION("GOOGLETRANSLATE(A5641, ""en"", ""mt"")"),"bl-għajnuna tal-militar")</f>
        <v>bl-għajnuna tal-militar</v>
      </c>
    </row>
    <row r="5642" ht="15.75" customHeight="1">
      <c r="A5642" s="2" t="s">
        <v>5642</v>
      </c>
      <c r="B5642" s="2" t="str">
        <f>IFERROR(__xludf.DUMMYFUNCTION("GOOGLETRANSLATE(A5642, ""en"", ""mt"")"),"Ukoll fis-seklu dsatax")</f>
        <v>Ukoll fis-seklu dsatax</v>
      </c>
    </row>
    <row r="5643" ht="15.75" customHeight="1">
      <c r="A5643" s="2" t="s">
        <v>5643</v>
      </c>
      <c r="B5643" s="2" t="str">
        <f>IFERROR(__xludf.DUMMYFUNCTION("GOOGLETRANSLATE(A5643, ""en"", ""mt"")"),"April sa Ottubru")</f>
        <v>April sa Ottubru</v>
      </c>
    </row>
    <row r="5644" ht="15.75" customHeight="1">
      <c r="A5644" s="2" t="s">
        <v>5644</v>
      </c>
      <c r="B5644" s="2" t="str">
        <f>IFERROR(__xludf.DUMMYFUNCTION("GOOGLETRANSLATE(A5644, ""en"", ""mt"")"),"7 miljun")</f>
        <v>7 miljun</v>
      </c>
    </row>
    <row r="5645" ht="15.75" customHeight="1">
      <c r="A5645" s="2" t="s">
        <v>5645</v>
      </c>
      <c r="B5645" s="2" t="str">
        <f>IFERROR(__xludf.DUMMYFUNCTION("GOOGLETRANSLATE(A5645, ""en"", ""mt"")"),"Ġersijiet bojod li jaqblu")</f>
        <v>Ġersijiet bojod li jaqblu</v>
      </c>
    </row>
    <row r="5646" ht="15.75" customHeight="1">
      <c r="A5646" s="2" t="s">
        <v>5646</v>
      </c>
      <c r="B5646" s="2" t="str">
        <f>IFERROR(__xludf.DUMMYFUNCTION("GOOGLETRANSLATE(A5646, ""en"", ""mt"")"),"il-proġett tal-fabbrika")</f>
        <v>il-proġett tal-fabbrika</v>
      </c>
    </row>
    <row r="5647" ht="15.75" customHeight="1">
      <c r="A5647" s="2" t="s">
        <v>5647</v>
      </c>
      <c r="B5647" s="2" t="str">
        <f>IFERROR(__xludf.DUMMYFUNCTION("GOOGLETRANSLATE(A5647, ""en"", ""mt"")"),"X'kienet ir-reliġjon tal-istat mhux uffiċjali tal-wan?")</f>
        <v>X'kienet ir-reliġjon tal-istat mhux uffiċjali tal-wan?</v>
      </c>
    </row>
    <row r="5648" ht="15.75" customHeight="1">
      <c r="A5648" s="2" t="s">
        <v>5648</v>
      </c>
      <c r="B5648" s="2" t="str">
        <f>IFERROR(__xludf.DUMMYFUNCTION("GOOGLETRANSLATE(A5648, ""en"", ""mt"")"),"bidu ta 'kull sessjoni parlamentari")</f>
        <v>bidu ta 'kull sessjoni parlamentari</v>
      </c>
    </row>
    <row r="5649" ht="15.75" customHeight="1">
      <c r="A5649" s="2" t="s">
        <v>5649</v>
      </c>
      <c r="B5649" s="2" t="str">
        <f>IFERROR(__xludf.DUMMYFUNCTION("GOOGLETRANSLATE(A5649, ""en"", ""mt"")"),"Ir-Rumani żammew tmien leġjuni f’ħames bażijiet tul ir-Renu. In-numru attwali ta 'leġjuni preżenti fi kwalunkwe bażi jew b'kollox, kien jiddependi fuq jekk hemmx stat jew theddida ta' gwerra. Bejn madwar l-14 u l-180, l-assenjazzjoni ta 'leġjuni kienet ki"&amp;"f ġej: Għall-Armata ta' Germania inferjuri, żewġ leġjuni fil-Vetera (Xanten), I Germanica u XX Valeria (truppi Pannonian); Żewġ leġjuni f'Oppidum Ubiorum (""Belt ta 'l-Ubii""), li ġiet imsejħa mill-ġdid lil Colonia Agrippina, li tinżel għal Cologne, v Ala"&amp;"udae, leġjun Ċeltiku reklutat minn Gallia narbonensis u XXI, possibilment leġjun Galatian min-naħa l-oħra tal-imperu.")</f>
        <v>Ir-Rumani żammew tmien leġjuni f’ħames bażijiet tul ir-Renu. In-numru attwali ta 'leġjuni preżenti fi kwalunkwe bażi jew b'kollox, kien jiddependi fuq jekk hemmx stat jew theddida ta' gwerra. Bejn madwar l-14 u l-180, l-assenjazzjoni ta 'leġjuni kienet kif ġej: Għall-Armata ta' Germania inferjuri, żewġ leġjuni fil-Vetera (Xanten), I Germanica u XX Valeria (truppi Pannonian); Żewġ leġjuni f'Oppidum Ubiorum ("Belt ta 'l-Ubii"), li ġiet imsejħa mill-ġdid lil Colonia Agrippina, li tinżel għal Cologne, v Alaudae, leġjun Ċeltiku reklutat minn Gallia narbonensis u XXI, possibilment leġjun Galatian min-naħa l-oħra tal-imperu.</v>
      </c>
    </row>
    <row r="5650" ht="15.75" customHeight="1">
      <c r="A5650" s="2" t="s">
        <v>5650</v>
      </c>
      <c r="B5650" s="2" t="str">
        <f>IFERROR(__xludf.DUMMYFUNCTION("GOOGLETRANSLATE(A5650, ""en"", ""mt"")"),"l-aktar sinjur")</f>
        <v>l-aktar sinjur</v>
      </c>
    </row>
    <row r="5651" ht="15.75" customHeight="1">
      <c r="A5651" s="2" t="s">
        <v>5651</v>
      </c>
      <c r="B5651" s="2" t="str">
        <f>IFERROR(__xludf.DUMMYFUNCTION("GOOGLETRANSLATE(A5651, ""en"", ""mt"")"),"X’għamel Luther matul ir-Randan f'dan il-ħin?")</f>
        <v>X’għamel Luther matul ir-Randan f'dan il-ħin?</v>
      </c>
    </row>
    <row r="5652" ht="15.75" customHeight="1">
      <c r="A5652" s="2" t="s">
        <v>5652</v>
      </c>
      <c r="B5652" s="2" t="str">
        <f>IFERROR(__xludf.DUMMYFUNCTION("GOOGLETRANSLATE(A5652, ""en"", ""mt"")"),"X'inhu jinsab f'dan id-distrett?")</f>
        <v>X'inhu jinsab f'dan id-distrett?</v>
      </c>
    </row>
    <row r="5653" ht="15.75" customHeight="1">
      <c r="A5653" s="2" t="s">
        <v>5653</v>
      </c>
      <c r="B5653" s="2" t="str">
        <f>IFERROR(__xludf.DUMMYFUNCTION("GOOGLETRANSLATE(A5653, ""en"", ""mt"")"),"L-ewwel premiere ABC meta jrid ikun miljunarju?")</f>
        <v>L-ewwel premiere ABC meta jrid ikun miljunarju?</v>
      </c>
    </row>
    <row r="5654" ht="15.75" customHeight="1">
      <c r="A5654" s="2" t="s">
        <v>5654</v>
      </c>
      <c r="B5654" s="2" t="str">
        <f>IFERROR(__xludf.DUMMYFUNCTION("GOOGLETRANSLATE(A5654, ""en"", ""mt"")"),"Mongoljan, Tibetan, u Ċiniż")</f>
        <v>Mongoljan, Tibetan, u Ċiniż</v>
      </c>
    </row>
    <row r="5655" ht="15.75" customHeight="1">
      <c r="A5655" s="2" t="s">
        <v>5655</v>
      </c>
      <c r="B5655" s="2" t="str">
        <f>IFERROR(__xludf.DUMMYFUNCTION("GOOGLETRANSLATE(A5655, ""en"", ""mt"")"),"Is-satellita Calipso tan-NASA kejjel l-ammont ta 'trab ittrasportat mir-riħ mis-Saħara għall-Amażon L-Oċean Atlantiku (xi trab jaqa 'fl-Atlantiku), imbagħad f'35 grad lonġitudni tal-punent fil-kosta tal-Lvant ta' l-Amerika t'Isfel, 27.7 miljun tunnellata "&amp;"(15%) ta 'trab jaqgħu fuq il-baċin tal-Amażonja, 132 miljun tunnellata ta' trab jibqgħu fl-arja, 43 miljun tunnellata ta 'trab huma windlown u taqa' fuq il-Baħar Karibew, li għaddew 75 grad lonġitudni tal-punent.")</f>
        <v>Is-satellita Calipso tan-NASA kejjel l-ammont ta 'trab ittrasportat mir-riħ mis-Saħara għall-Amażon L-Oċean Atlantiku (xi trab jaqa 'fl-Atlantiku), imbagħad f'35 grad lonġitudni tal-punent fil-kosta tal-Lvant ta' l-Amerika t'Isfel, 27.7 miljun tunnellata (15%) ta 'trab jaqgħu fuq il-baċin tal-Amażonja, 132 miljun tunnellata ta' trab jibqgħu fl-arja, 43 miljun tunnellata ta 'trab huma windlown u taqa' fuq il-Baħar Karibew, li għaddew 75 grad lonġitudni tal-punent.</v>
      </c>
    </row>
    <row r="5656" ht="15.75" customHeight="1">
      <c r="A5656" s="2" t="s">
        <v>5656</v>
      </c>
      <c r="B5656" s="2" t="str">
        <f>IFERROR(__xludf.DUMMYFUNCTION("GOOGLETRANSLATE(A5656, ""en"", ""mt"")"),"$ 960 biljun")</f>
        <v>$ 960 biljun</v>
      </c>
    </row>
    <row r="5657" ht="15.75" customHeight="1">
      <c r="A5657" s="2" t="s">
        <v>5657</v>
      </c>
      <c r="B5657" s="2" t="str">
        <f>IFERROR(__xludf.DUMMYFUNCTION("GOOGLETRANSLATE(A5657, ""en"", ""mt"")"),"Invażjoni tal-Gran Brittanja")</f>
        <v>Invażjoni tal-Gran Brittanja</v>
      </c>
    </row>
    <row r="5658" ht="15.75" customHeight="1">
      <c r="A5658" s="2" t="s">
        <v>5658</v>
      </c>
      <c r="B5658" s="2" t="str">
        <f>IFERROR(__xludf.DUMMYFUNCTION("GOOGLETRANSLATE(A5658, ""en"", ""mt"")"),"Old estremament")</f>
        <v>Old estremament</v>
      </c>
    </row>
    <row r="5659" ht="15.75" customHeight="1">
      <c r="A5659" s="2" t="s">
        <v>5659</v>
      </c>
      <c r="B5659" s="2" t="str">
        <f>IFERROR(__xludf.DUMMYFUNCTION("GOOGLETRANSLATE(A5659, ""en"", ""mt"")"),"F'liema parti tal-belt ir-residenti sofrew minn nuqqas ta 'servizzi tal-belt?")</f>
        <v>F'liema parti tal-belt ir-residenti sofrew minn nuqqas ta 'servizzi tal-belt?</v>
      </c>
    </row>
    <row r="5660" ht="15.75" customHeight="1">
      <c r="A5660" s="2" t="s">
        <v>5660</v>
      </c>
      <c r="B5660" s="2" t="str">
        <f>IFERROR(__xludf.DUMMYFUNCTION("GOOGLETRANSLATE(A5660, ""en"", ""mt"")"),"Min kienu l-ħabbar ta 'Westwood One Sideline?")</f>
        <v>Min kienu l-ħabbar ta 'Westwood One Sideline?</v>
      </c>
    </row>
    <row r="5661" ht="15.75" customHeight="1">
      <c r="A5661" s="2" t="s">
        <v>5661</v>
      </c>
      <c r="B5661" s="2" t="str">
        <f>IFERROR(__xludf.DUMMYFUNCTION("GOOGLETRANSLATE(A5661, ""en"", ""mt"")"),"swali ta 'studju")</f>
        <v>swali ta 'studju</v>
      </c>
    </row>
    <row r="5662" ht="15.75" customHeight="1">
      <c r="A5662" s="2" t="s">
        <v>5662</v>
      </c>
      <c r="B5662" s="2" t="str">
        <f>IFERROR(__xludf.DUMMYFUNCTION("GOOGLETRANSLATE(A5662, ""en"", ""mt"")"),"NP-Intermedjat")</f>
        <v>NP-Intermedjat</v>
      </c>
    </row>
    <row r="5663" ht="15.75" customHeight="1">
      <c r="A5663" s="2" t="s">
        <v>5663</v>
      </c>
      <c r="B5663" s="2" t="str">
        <f>IFERROR(__xludf.DUMMYFUNCTION("GOOGLETRANSLATE(A5663, ""en"", ""mt"")"),"Il-ħuxlief wain.")</f>
        <v>Il-ħuxlief wain.</v>
      </c>
    </row>
    <row r="5664" ht="15.75" customHeight="1">
      <c r="A5664" s="2" t="s">
        <v>5664</v>
      </c>
      <c r="B5664" s="2" t="str">
        <f>IFERROR(__xludf.DUMMYFUNCTION("GOOGLETRANSLATE(A5664, ""en"", ""mt"")"),"il-qalba ta 'barra u l-qalba ta' ġewwa")</f>
        <v>il-qalba ta 'barra u l-qalba ta' ġewwa</v>
      </c>
    </row>
    <row r="5665" ht="15.75" customHeight="1">
      <c r="A5665" s="2" t="s">
        <v>5665</v>
      </c>
      <c r="B5665" s="2" t="str">
        <f>IFERROR(__xludf.DUMMYFUNCTION("GOOGLETRANSLATE(A5665, ""en"", ""mt"")"),"il-kap tal-istat u l-kap tal-gvern")</f>
        <v>il-kap tal-istat u l-kap tal-gvern</v>
      </c>
    </row>
    <row r="5666" ht="15.75" customHeight="1">
      <c r="A5666" s="2" t="s">
        <v>5666</v>
      </c>
      <c r="B5666" s="2" t="str">
        <f>IFERROR(__xludf.DUMMYFUNCTION("GOOGLETRANSLATE(A5666, ""en"", ""mt"")"),"X'kien il-limitu ta 'żmien fuq l-irkupru ta' sentenzi ta 'Luther?")</f>
        <v>X'kien il-limitu ta 'żmien fuq l-irkupru ta' sentenzi ta 'Luther?</v>
      </c>
    </row>
    <row r="5667" ht="15.75" customHeight="1">
      <c r="A5667" s="2" t="s">
        <v>5667</v>
      </c>
      <c r="B5667" s="2" t="str">
        <f>IFERROR(__xludf.DUMMYFUNCTION("GOOGLETRANSLATE(A5667, ""en"", ""mt"")"),"kompressjoni orizzontali")</f>
        <v>kompressjoni orizzontali</v>
      </c>
    </row>
    <row r="5668" ht="15.75" customHeight="1">
      <c r="A5668" s="2" t="s">
        <v>5668</v>
      </c>
      <c r="B5668" s="2" t="str">
        <f>IFERROR(__xludf.DUMMYFUNCTION("GOOGLETRANSLATE(A5668, ""en"", ""mt"")"),"Dispensazzjoni papali")</f>
        <v>Dispensazzjoni papali</v>
      </c>
    </row>
    <row r="5669" ht="15.75" customHeight="1">
      <c r="A5669" s="2" t="s">
        <v>5669</v>
      </c>
      <c r="B5669" s="2" t="str">
        <f>IFERROR(__xludf.DUMMYFUNCTION("GOOGLETRANSLATE(A5669, ""en"", ""mt"")"),"żidiet ipproġettati fil-livelli tal-baħar")</f>
        <v>żidiet ipproġettati fil-livelli tal-baħar</v>
      </c>
    </row>
    <row r="5670" ht="15.75" customHeight="1">
      <c r="A5670" s="2" t="s">
        <v>5670</v>
      </c>
      <c r="B5670" s="2" t="str">
        <f>IFERROR(__xludf.DUMMYFUNCTION("GOOGLETRANSLATE(A5670, ""en"", ""mt"")"),"Ossiġenu-18")</f>
        <v>Ossiġenu-18</v>
      </c>
    </row>
    <row r="5671" ht="15.75" customHeight="1">
      <c r="A5671" s="2" t="s">
        <v>5671</v>
      </c>
      <c r="B5671" s="2" t="str">
        <f>IFERROR(__xludf.DUMMYFUNCTION("GOOGLETRANSLATE(A5671, ""en"", ""mt"")"),"Għall-eżistenza tal-kloroplast mitluf")</f>
        <v>Għall-eżistenza tal-kloroplast mitluf</v>
      </c>
    </row>
    <row r="5672" ht="15.75" customHeight="1">
      <c r="A5672" s="2" t="s">
        <v>5672</v>
      </c>
      <c r="B5672" s="2" t="str">
        <f>IFERROR(__xludf.DUMMYFUNCTION("GOOGLETRANSLATE(A5672, ""en"", ""mt"")"),"Liema fluwidu tax-xogħol jintuża fit-turbina tal-fwar tal-merkurju?")</f>
        <v>Liema fluwidu tax-xogħol jintuża fit-turbina tal-fwar tal-merkurju?</v>
      </c>
    </row>
    <row r="5673" ht="15.75" customHeight="1">
      <c r="A5673" s="2" t="s">
        <v>5673</v>
      </c>
      <c r="B5673" s="2" t="str">
        <f>IFERROR(__xludf.DUMMYFUNCTION("GOOGLETRANSLATE(A5673, ""en"", ""mt"")"),"Larva vera")</f>
        <v>Larva vera</v>
      </c>
    </row>
    <row r="5674" ht="15.75" customHeight="1">
      <c r="A5674" s="2" t="s">
        <v>5674</v>
      </c>
      <c r="B5674" s="2" t="str">
        <f>IFERROR(__xludf.DUMMYFUNCTION("GOOGLETRANSLATE(A5674, ""en"", ""mt"")"),"X'inhi r-rispons sistemiku ta 'reżistenza akkwistata ta' sistema immunitarja tal-pjanti?")</f>
        <v>X'inhi r-rispons sistemiku ta 'reżistenza akkwistata ta' sistema immunitarja tal-pjanti?</v>
      </c>
    </row>
    <row r="5675" ht="15.75" customHeight="1">
      <c r="A5675" s="2" t="s">
        <v>5675</v>
      </c>
      <c r="B5675" s="2" t="str">
        <f>IFERROR(__xludf.DUMMYFUNCTION("GOOGLETRANSLATE(A5675, ""en"", ""mt"")"),"Minn fejn ġej id-deheb fil-mace parlamentari?")</f>
        <v>Minn fejn ġej id-deheb fil-mace parlamentari?</v>
      </c>
    </row>
    <row r="5676" ht="15.75" customHeight="1">
      <c r="A5676" s="2" t="s">
        <v>5676</v>
      </c>
      <c r="B5676" s="2" t="str">
        <f>IFERROR(__xludf.DUMMYFUNCTION("GOOGLETRANSLATE(A5676, ""en"", ""mt"")"),"Rekwiżiti taż-Żonjar u tal-Kodiċi tal-Bini")</f>
        <v>Rekwiżiti taż-Żonjar u tal-Kodiċi tal-Bini</v>
      </c>
    </row>
    <row r="5677" ht="15.75" customHeight="1">
      <c r="A5677" s="2" t="s">
        <v>5677</v>
      </c>
      <c r="B5677" s="2" t="str">
        <f>IFERROR(__xludf.DUMMYFUNCTION("GOOGLETRANSLATE(A5677, ""en"", ""mt"")"),"Kemm passiġġieri jistgħu jakkomodaw il-Ford Fiesta?")</f>
        <v>Kemm passiġġieri jistgħu jakkomodaw il-Ford Fiesta?</v>
      </c>
    </row>
    <row r="5678" ht="15.75" customHeight="1">
      <c r="A5678" s="2" t="s">
        <v>5678</v>
      </c>
      <c r="B5678" s="2" t="str">
        <f>IFERROR(__xludf.DUMMYFUNCTION("GOOGLETRANSLATE(A5678, ""en"", ""mt"")"),"Kif għamlu l-armati tal-Mongolja li joħorġu gruppi ta 'għedewwa mill-pożizzjonijiet difensivi tagħhom?")</f>
        <v>Kif għamlu l-armati tal-Mongolja li joħorġu gruppi ta 'għedewwa mill-pożizzjonijiet difensivi tagħhom?</v>
      </c>
    </row>
    <row r="5679" ht="15.75" customHeight="1">
      <c r="A5679" s="2" t="s">
        <v>5679</v>
      </c>
      <c r="B5679" s="2" t="str">
        <f>IFERROR(__xludf.DUMMYFUNCTION("GOOGLETRANSLATE(A5679, ""en"", ""mt"")"),"Liema żona xxandret il-Westwood One?")</f>
        <v>Liema żona xxandret il-Westwood One?</v>
      </c>
    </row>
    <row r="5680" ht="15.75" customHeight="1">
      <c r="A5680" s="2" t="s">
        <v>5680</v>
      </c>
      <c r="B5680" s="2" t="str">
        <f>IFERROR(__xludf.DUMMYFUNCTION("GOOGLETRANSLATE(A5680, ""en"", ""mt"")"),"Liema marbut taż-żmien huwa iktar diffiċli biex jiġi stabbilit?")</f>
        <v>Liema marbut taż-żmien huwa iktar diffiċli biex jiġi stabbilit?</v>
      </c>
    </row>
    <row r="5681" ht="15.75" customHeight="1">
      <c r="A5681" s="2" t="s">
        <v>5681</v>
      </c>
      <c r="B5681" s="2" t="str">
        <f>IFERROR(__xludf.DUMMYFUNCTION("GOOGLETRANSLATE(A5681, ""en"", ""mt"")"),"diversi")</f>
        <v>diversi</v>
      </c>
    </row>
    <row r="5682" ht="15.75" customHeight="1">
      <c r="A5682" s="2" t="s">
        <v>5682</v>
      </c>
      <c r="B5682" s="2" t="str">
        <f>IFERROR(__xludf.DUMMYFUNCTION("GOOGLETRANSLATE(A5682, ""en"", ""mt"")"),"11")</f>
        <v>11</v>
      </c>
    </row>
    <row r="5683" ht="15.75" customHeight="1">
      <c r="A5683" s="2" t="s">
        <v>5683</v>
      </c>
      <c r="B5683" s="2" t="str">
        <f>IFERROR(__xludf.DUMMYFUNCTION("GOOGLETRANSLATE(A5683, ""en"", ""mt"")"),"rispons qawwi")</f>
        <v>rispons qawwi</v>
      </c>
    </row>
    <row r="5684" ht="15.75" customHeight="1">
      <c r="A5684" s="2" t="s">
        <v>5684</v>
      </c>
      <c r="B5684" s="2" t="str">
        <f>IFERROR(__xludf.DUMMYFUNCTION("GOOGLETRANSLATE(A5684, ""en"", ""mt"")"),"Kemm staġuni spiċċat id-dgħajsa tal-imħabba?")</f>
        <v>Kemm staġuni spiċċat id-dgħajsa tal-imħabba?</v>
      </c>
    </row>
    <row r="5685" ht="15.75" customHeight="1">
      <c r="A5685" s="2" t="s">
        <v>5685</v>
      </c>
      <c r="B5685" s="2" t="str">
        <f>IFERROR(__xludf.DUMMYFUNCTION("GOOGLETRANSLATE(A5685, ""en"", ""mt"")"),"Liema teorija kienet tirrappreżenta l-problema tal-merkurju?")</f>
        <v>Liema teorija kienet tirrappreżenta l-problema tal-merkurju?</v>
      </c>
    </row>
    <row r="5686" ht="15.75" customHeight="1">
      <c r="A5686" s="2" t="s">
        <v>5686</v>
      </c>
      <c r="B5686" s="2" t="str">
        <f>IFERROR(__xludf.DUMMYFUNCTION("GOOGLETRANSLATE(A5686, ""en"", ""mt"")"),"Letteratura tal-ivvjaġġar, kartografija, ġeografija, u edukazzjoni xjentifika")</f>
        <v>Letteratura tal-ivvjaġġar, kartografija, ġeografija, u edukazzjoni xjentifika</v>
      </c>
    </row>
    <row r="5687" ht="15.75" customHeight="1">
      <c r="A5687" s="2" t="s">
        <v>5687</v>
      </c>
      <c r="B5687" s="2" t="str">
        <f>IFERROR(__xludf.DUMMYFUNCTION("GOOGLETRANSLATE(A5687, ""en"", ""mt"")"),"Fejn jgħixu Ctenophora?")</f>
        <v>Fejn jgħixu Ctenophora?</v>
      </c>
    </row>
    <row r="5688" ht="15.75" customHeight="1">
      <c r="A5688" s="2" t="s">
        <v>5688</v>
      </c>
      <c r="B5688" s="2" t="str">
        <f>IFERROR(__xludf.DUMMYFUNCTION("GOOGLETRANSLATE(A5688, ""en"", ""mt"")"),"Għalkemm John Wesley oriġinarjament ried li l-Metodisti jibqgħu fil-Knisja ta 'l-Ingilterra, ir-Rivoluzzjoni Amerikana separati b'mod deċiżiv il-Metodisti fil-kolonji Amerikani mill-ħajja u s-sagramenti tal-Knisja Anglikana. Fl-1784, wara tentattivi li ma"&amp;" rnexxewx li l-Knisja tal-Ingilterra tibgħat isqof biex tibda knisja ġdida fil-kolonji, Wesley ħatar b’mod deċiżiv lil sħabu Thomas Coke bħala Supretendent (Isqof) biex jorganizza soċjetà Metodista separata. Flimkien ma 'Coke, Wesley bagħtet reviżjoni tat"&amp;"-talb Anglikan u l-Artikoli ta' Reliġjon li ġew riċevuti u adottati mill-Konferenza tal-Milied ta 'Baltimore tal-1784, li stabbilixxa uffiċjalment il-Knisja Episkopali Metodista. Il-konferenza saret fil-Knisja Metodista sabiħa tal-Lane, meqjusa bħala l-om"&amp;"m tal-Metodiżmu Amerikan.")</f>
        <v>Għalkemm John Wesley oriġinarjament ried li l-Metodisti jibqgħu fil-Knisja ta 'l-Ingilterra, ir-Rivoluzzjoni Amerikana separati b'mod deċiżiv il-Metodisti fil-kolonji Amerikani mill-ħajja u s-sagramenti tal-Knisja Anglikana. Fl-1784, wara tentattivi li ma rnexxewx li l-Knisja tal-Ingilterra tibgħat isqof biex tibda knisja ġdida fil-kolonji, Wesley ħatar b’mod deċiżiv lil sħabu Thomas Coke bħala Supretendent (Isqof) biex jorganizza soċjetà Metodista separata. Flimkien ma 'Coke, Wesley bagħtet reviżjoni tat-talb Anglikan u l-Artikoli ta' Reliġjon li ġew riċevuti u adottati mill-Konferenza tal-Milied ta 'Baltimore tal-1784, li stabbilixxa uffiċjalment il-Knisja Episkopali Metodista. Il-konferenza saret fil-Knisja Metodista sabiħa tal-Lane, meqjusa bħala l-omm tal-Metodiżmu Amerikan.</v>
      </c>
    </row>
    <row r="5689" ht="15.75" customHeight="1">
      <c r="A5689" s="2" t="s">
        <v>5689</v>
      </c>
      <c r="B5689" s="2" t="str">
        <f>IFERROR(__xludf.DUMMYFUNCTION("GOOGLETRANSLATE(A5689, ""en"", ""mt"")"),"Għal min jismu l-mużew?")</f>
        <v>Għal min jismu l-mużew?</v>
      </c>
    </row>
    <row r="5690" ht="15.75" customHeight="1">
      <c r="A5690" s="2" t="s">
        <v>5690</v>
      </c>
      <c r="B5690" s="2" t="str">
        <f>IFERROR(__xludf.DUMMYFUNCTION("GOOGLETRANSLATE(A5690, ""en"", ""mt"")"),"X'iktar inbidlet il-kini l-ġdida?")</f>
        <v>X'iktar inbidlet il-kini l-ġdida?</v>
      </c>
    </row>
    <row r="5691" ht="15.75" customHeight="1">
      <c r="A5691" s="2" t="s">
        <v>5691</v>
      </c>
      <c r="B5691" s="2" t="str">
        <f>IFERROR(__xludf.DUMMYFUNCTION("GOOGLETRANSLATE(A5691, ""en"", ""mt"")"),"Il-grazzja li tqaddes hija dik il-grazzja ta ’Alla li ssostni lil dawk li jemmnu fil-vjaġġ lejn il-perfezzjoni Nisranija: imħabba ġenwina ta’ Alla b’qalb, ruħ, moħħ, u saħħa, u mħabba ġenwina tal-ġirien tagħna bħala nfusna. Il-grazzja li tqaddes tippermet"&amp;"tilna nirrispondu għal Alla billi nmexxu ħajja mimlija spirtu u bħal Kristu mmirata lejn l-imħabba. Wesley qatt ma ddikjara dan l-istat ta ’perfezzjoni għalih innifsu iżda minflok insista li l-kisba tal-perfezzjoni kienet possibbli għall-insara kollha. Ha"&amp;"wnhekk ir-Riformatur Ingliż qassam kumpanija kemm ma 'Luther kif ukoll ma' Calvin, li ċaħdu li raġel qatt kien se jilħaq stat f'din il-ħajja li fih ma setax jaqa 'fid-dnub. Raġel bħal dan jista 'jitlef l-inklinazzjoni kollha lejn il-ħażen u jista' jikseb "&amp;"perfezzjoni f'din il-ħajja.")</f>
        <v>Il-grazzja li tqaddes hija dik il-grazzja ta ’Alla li ssostni lil dawk li jemmnu fil-vjaġġ lejn il-perfezzjoni Nisranija: imħabba ġenwina ta’ Alla b’qalb, ruħ, moħħ, u saħħa, u mħabba ġenwina tal-ġirien tagħna bħala nfusna. Il-grazzja li tqaddes tippermettilna nirrispondu għal Alla billi nmexxu ħajja mimlija spirtu u bħal Kristu mmirata lejn l-imħabba. Wesley qatt ma ddikjara dan l-istat ta ’perfezzjoni għalih innifsu iżda minflok insista li l-kisba tal-perfezzjoni kienet possibbli għall-insara kollha. Hawnhekk ir-Riformatur Ingliż qassam kumpanija kemm ma 'Luther kif ukoll ma' Calvin, li ċaħdu li raġel qatt kien se jilħaq stat f'din il-ħajja li fih ma setax jaqa 'fid-dnub. Raġel bħal dan jista 'jitlef l-inklinazzjoni kollha lejn il-ħażen u jista' jikseb perfezzjoni f'din il-ħajja.</v>
      </c>
    </row>
    <row r="5692" ht="15.75" customHeight="1">
      <c r="A5692" s="2" t="s">
        <v>5692</v>
      </c>
      <c r="B5692" s="2" t="str">
        <f>IFERROR(__xludf.DUMMYFUNCTION("GOOGLETRANSLATE(A5692, ""en"", ""mt"")"),"Il-Kompromess tal-1850")</f>
        <v>Il-Kompromess tal-1850</v>
      </c>
    </row>
    <row r="5693" ht="15.75" customHeight="1">
      <c r="A5693" s="2" t="s">
        <v>5693</v>
      </c>
      <c r="B5693" s="2" t="str">
        <f>IFERROR(__xludf.DUMMYFUNCTION("GOOGLETRANSLATE(A5693, ""en"", ""mt"")"),"Liema staġuni hija l-BBC nieqsa total ta '79 episodju?")</f>
        <v>Liema staġuni hija l-BBC nieqsa total ta '79 episodju?</v>
      </c>
    </row>
    <row r="5694" ht="15.75" customHeight="1">
      <c r="A5694" s="2" t="s">
        <v>5694</v>
      </c>
      <c r="B5694" s="2" t="str">
        <f>IFERROR(__xludf.DUMMYFUNCTION("GOOGLETRANSLATE(A5694, ""en"", ""mt"")"),"Il-membri tal-ġeneru Dinophysis għandhom kloroplast li fih il-phycobilin meħud minn kriptofita. Madankollu, il-kriptofita mhix endosymbiont - biss il-kloroplast jidher li ttieħed, u l-kloroplast ġie mneħħi min-nukleomorf tiegħu u l-iktar 'il bogħod żewġ m"&amp;"embrani, u jħalli biss kloroplast b'żewġ membrani. Il-kloroplasti tal-kriptofiti jirrikjedu li n-nukleomorf tagħhom iżommu lilhom infushom, u l-ispeċijiet tad-dinofisi mkabbra fil-kultura taċ-ċelluli biss ma jistgħux jibqgħu ħajjin, u għalhekk huwa possib"&amp;"bli (iżda mhux ikkonfermat) li l-kloroplast tad-dinofisi huwa kleptoplast - jekk hekk, il-kloroplasti tad-dinofisi jilbsu u l-ispeċijiet tad-dinofisi għandhom jinħadmu kontinwament. Kriptofiti biex jiksbu kloroplasti ġodda biex jissostitwixxu dawk qodma.")</f>
        <v>Il-membri tal-ġeneru Dinophysis għandhom kloroplast li fih il-phycobilin meħud minn kriptofita. Madankollu, il-kriptofita mhix endosymbiont - biss il-kloroplast jidher li ttieħed, u l-kloroplast ġie mneħħi min-nukleomorf tiegħu u l-iktar 'il bogħod żewġ membrani, u jħalli biss kloroplast b'żewġ membrani. Il-kloroplasti tal-kriptofiti jirrikjedu li n-nukleomorf tagħhom iżommu lilhom infushom, u l-ispeċijiet tad-dinofisi mkabbra fil-kultura taċ-ċelluli biss ma jistgħux jibqgħu ħajjin, u għalhekk huwa possibbli (iżda mhux ikkonfermat) li l-kloroplast tad-dinofisi huwa kleptoplast - jekk hekk, il-kloroplasti tad-dinofisi jilbsu u l-ispeċijiet tad-dinofisi għandhom jinħadmu kontinwament. Kriptofiti biex jiksbu kloroplasti ġodda biex jissostitwixxu dawk qodma.</v>
      </c>
    </row>
    <row r="5695" ht="15.75" customHeight="1">
      <c r="A5695" s="2" t="s">
        <v>5695</v>
      </c>
      <c r="B5695" s="2" t="str">
        <f>IFERROR(__xludf.DUMMYFUNCTION("GOOGLETRANSLATE(A5695, ""en"", ""mt"")"),"Imla l-kors bażiku u kors wieħed avvanzat tal-lajk,")</f>
        <v>Imla l-kors bażiku u kors wieħed avvanzat tal-lajk,</v>
      </c>
    </row>
    <row r="5696" ht="15.75" customHeight="1">
      <c r="A5696" s="2" t="s">
        <v>5696</v>
      </c>
      <c r="B5696" s="2" t="str">
        <f>IFERROR(__xludf.DUMMYFUNCTION("GOOGLETRANSLATE(A5696, ""en"", ""mt"")"),"X'kienet il-karriera ta 'Konstantin Mereschkowski?")</f>
        <v>X'kienet il-karriera ta 'Konstantin Mereschkowski?</v>
      </c>
    </row>
    <row r="5697" ht="15.75" customHeight="1">
      <c r="A5697" s="2" t="s">
        <v>5697</v>
      </c>
      <c r="B5697" s="2" t="str">
        <f>IFERROR(__xludf.DUMMYFUNCTION("GOOGLETRANSLATE(A5697, ""en"", ""mt"")"),"F'nofs is-snin 1890 ra l-konglomerat General Electric, appoġġjat mill-finanzjatur J. P. Morgan, involut f'attentati ta 'akkwist u battalji ta' privattivi ma 'Westinghouse Electric. Għalkemm ġie ffirmat ftehim dwar il-qsim tal-privattivi bejn iż-żewġ kumpa"&amp;"niji fl-1896 Westinghouse kien għadu marbut mill-flus kontanti mill-gwerra finanzjarja. Biex tiżgura aktar self, Westinghouse ġie mġiegħel jirrevedi l-privattiva AC ta 'Tesla, li l-bankiera kkunsidraw razza finanzjarja fuq il-kumpanija (f'dak il-punt West"&amp;"inghouse kienet ħallset $ 200,000 f'liċenzji u royalties lil Tesla, Brown, u Peck). Fl-1897, Westinghouse spjega d-diffikultajiet finanzjarji tiegħu lil Tesla f'termini kbar, u qal li jekk l-affarijiet ikomplu bil-mod kif kienu ma jibqgħux fil-kontroll ta"&amp;" 'Westinghouse Electric u Tesla kien ikollhom ""jittrattaw il-bankiera"" biex jippruvaw jiġbru royalties futuri Jonqos Westinghouse kkonvinċiet lil Tesla biex tirrilaxxa l-kumpanija tiegħu mill-ftehim ta 'liċenzjar fuq il-privattivi AC ta' Tesla bi skambj"&amp;"u għal Westinghouse Electric li tixtri l-privattivi għal ħlas ta 'somma f'daqqa ta' $ 216,000; Dan ipprovda waqfa ta 'Westinghouse minn dak li, minħabba l-gwadann rapidu ta' kurrent alternattiv fil-popolarità, irriżulta li kien $ 2.50 ġeneruż żżejjed għal"&amp;" kull royalties tal-horsepower AC.")</f>
        <v>F'nofs is-snin 1890 ra l-konglomerat General Electric, appoġġjat mill-finanzjatur J. P. Morgan, involut f'attentati ta 'akkwist u battalji ta' privattivi ma 'Westinghouse Electric. Għalkemm ġie ffirmat ftehim dwar il-qsim tal-privattivi bejn iż-żewġ kumpaniji fl-1896 Westinghouse kien għadu marbut mill-flus kontanti mill-gwerra finanzjarja. Biex tiżgura aktar self, Westinghouse ġie mġiegħel jirrevedi l-privattiva AC ta 'Tesla, li l-bankiera kkunsidraw razza finanzjarja fuq il-kumpanija (f'dak il-punt Westinghouse kienet ħallset $ 200,000 f'liċenzji u royalties lil Tesla, Brown, u Peck). Fl-1897, Westinghouse spjega d-diffikultajiet finanzjarji tiegħu lil Tesla f'termini kbar, u qal li jekk l-affarijiet ikomplu bil-mod kif kienu ma jibqgħux fil-kontroll ta 'Westinghouse Electric u Tesla kien ikollhom "jittrattaw il-bankiera" biex jippruvaw jiġbru royalties futuri Jonqos Westinghouse kkonvinċiet lil Tesla biex tirrilaxxa l-kumpanija tiegħu mill-ftehim ta 'liċenzjar fuq il-privattivi AC ta' Tesla bi skambju għal Westinghouse Electric li tixtri l-privattivi għal ħlas ta 'somma f'daqqa ta' $ 216,000; Dan ipprovda waqfa ta 'Westinghouse minn dak li, minħabba l-gwadann rapidu ta' kurrent alternattiv fil-popolarità, irriżulta li kien $ 2.50 ġeneruż żżejjed għal kull royalties tal-horsepower AC.</v>
      </c>
    </row>
    <row r="5698" ht="15.75" customHeight="1">
      <c r="A5698" s="2" t="s">
        <v>5698</v>
      </c>
      <c r="B5698" s="2" t="str">
        <f>IFERROR(__xludf.DUMMYFUNCTION("GOOGLETRANSLATE(A5698, ""en"", ""mt"")"),"Għalf l-ilma")</f>
        <v>Għalf l-ilma</v>
      </c>
    </row>
    <row r="5699" ht="15.75" customHeight="1">
      <c r="A5699" s="2" t="s">
        <v>5699</v>
      </c>
      <c r="B5699" s="2" t="str">
        <f>IFERROR(__xludf.DUMMYFUNCTION("GOOGLETRANSLATE(A5699, ""en"", ""mt"")"),"Ippubblika s-sejbiet tiegħu l-ewwel")</f>
        <v>Ippubblika s-sejbiet tiegħu l-ewwel</v>
      </c>
    </row>
    <row r="5700" ht="15.75" customHeight="1">
      <c r="A5700" s="2" t="s">
        <v>5700</v>
      </c>
      <c r="B5700" s="2" t="str">
        <f>IFERROR(__xludf.DUMMYFUNCTION("GOOGLETRANSLATE(A5700, ""en"", ""mt"")"),"konfini konverġenti")</f>
        <v>konfini konverġenti</v>
      </c>
    </row>
    <row r="5701" ht="15.75" customHeight="1">
      <c r="A5701" s="2" t="s">
        <v>5701</v>
      </c>
      <c r="B5701" s="2" t="str">
        <f>IFERROR(__xludf.DUMMYFUNCTION("GOOGLETRANSLATE(A5701, ""en"", ""mt"")"),"Id-desegregazzjoni tal-iskola fl-Istati Uniti wasslet għal numru akbar ta 'studenti ta' liema etniċità fl-iskejjel pubbliċi?")</f>
        <v>Id-desegregazzjoni tal-iskola fl-Istati Uniti wasslet għal numru akbar ta 'studenti ta' liema etniċità fl-iskejjel pubbliċi?</v>
      </c>
    </row>
    <row r="5702" ht="15.75" customHeight="1">
      <c r="A5702" s="2" t="s">
        <v>5702</v>
      </c>
      <c r="B5702" s="2" t="str">
        <f>IFERROR(__xludf.DUMMYFUNCTION("GOOGLETRANSLATE(A5702, ""en"", ""mt"")"),"Fejn in-negozjanti Ġenesi ġabu l-pesta?")</f>
        <v>Fejn in-negozjanti Ġenesi ġabu l-pesta?</v>
      </c>
    </row>
    <row r="5703" ht="15.75" customHeight="1">
      <c r="A5703" s="2" t="s">
        <v>5703</v>
      </c>
      <c r="B5703" s="2" t="str">
        <f>IFERROR(__xludf.DUMMYFUNCTION("GOOGLETRANSLATE(A5703, ""en"", ""mt"")"),"IBERIA Musulmana")</f>
        <v>IBERIA Musulmana</v>
      </c>
    </row>
    <row r="5704" ht="15.75" customHeight="1">
      <c r="A5704" s="2" t="s">
        <v>5704</v>
      </c>
      <c r="B5704" s="2" t="str">
        <f>IFERROR(__xludf.DUMMYFUNCTION("GOOGLETRANSLATE(A5704, ""en"", ""mt"")"),"Aktar minn 20 miljun sena ilu")</f>
        <v>Aktar minn 20 miljun sena ilu</v>
      </c>
    </row>
    <row r="5705" ht="15.75" customHeight="1">
      <c r="A5705" s="2" t="s">
        <v>5705</v>
      </c>
      <c r="B5705" s="2" t="str">
        <f>IFERROR(__xludf.DUMMYFUNCTION("GOOGLETRANSLATE(A5705, ""en"", ""mt"")"),"X'jiġri mal-fluwidu tax-xogħol f'sistema ta 'linja magħluqa?")</f>
        <v>X'jiġri mal-fluwidu tax-xogħol f'sistema ta 'linja magħluqa?</v>
      </c>
    </row>
    <row r="5706" ht="15.75" customHeight="1">
      <c r="A5706" s="2" t="s">
        <v>5706</v>
      </c>
      <c r="B5706" s="2" t="str">
        <f>IFERROR(__xludf.DUMMYFUNCTION("GOOGLETRANSLATE(A5706, ""en"", ""mt"")"),"Gruppi terroristiċi Shia")</f>
        <v>Gruppi terroristiċi Shia</v>
      </c>
    </row>
    <row r="5707" ht="15.75" customHeight="1">
      <c r="A5707" s="2" t="s">
        <v>5707</v>
      </c>
      <c r="B5707" s="2" t="str">
        <f>IFERROR(__xludf.DUMMYFUNCTION("GOOGLETRANSLATE(A5707, ""en"", ""mt"")"),"Meta Hulu beda joffri l-programmi ta 'ABC għall-istriming?")</f>
        <v>Meta Hulu beda joffri l-programmi ta 'ABC għall-istriming?</v>
      </c>
    </row>
    <row r="5708" ht="15.75" customHeight="1">
      <c r="A5708" s="2" t="s">
        <v>5708</v>
      </c>
      <c r="B5708" s="2" t="str">
        <f>IFERROR(__xludf.DUMMYFUNCTION("GOOGLETRANSLATE(A5708, ""en"", ""mt"")"),"L-ispettaklu huwa parti sinifikanti mill-kultura popolari Ingliża, u x'imkien ieħor sar favorit tat-televiżjoni tal-kult. L-ispettaklu influwenza l-ġenerazzjonijiet ta ’professjonisti tat-televiżjoni Ingliżi, li ħafna minnhom kibru jaraw is-serje. Il-prog"&amp;"ramm oriġinarjament dam mill-1963 sal-1989. Kien hemm tentattiv bla suċċess biex terġa 'titqajjem produzzjoni regolari fl-1996 ma' pilota ta 'backdoor, fil-forma ta' film televiżiv. Il-programm reġa 'ġie mill-ġdid fl-2005 minn Russell T Davies, li kien sh"&amp;"owrunner u kittieb ewlieni għall-ewwel ħames snin tal-qawmien mill-ġdid tiegħu, prodott in-house mill-BBC Wales f'Cardiff. L-ewwel serje tas-seklu 21 dehret lil Christopher Eccleston fir-rwol tat-titlu u ġiet prodotta mill-BBC. Doctor Who nbid ukoll spin-"&amp;"offs f’medja multipla, inklużi Torchwood (2006–2011) u l-Avventuri ta ’Sarah Jane (2007-2011), it-tnejn maħluqa minn Russell T Davies; K-9 (2009–2010); u episodju pilota wieħed ta 'K-9 u Company (1981). Kien hemm ukoll ħafna spoofs u referenzi kulturali g"&amp;"ħall-karattru f'medja oħra.")</f>
        <v>L-ispettaklu huwa parti sinifikanti mill-kultura popolari Ingliża, u x'imkien ieħor sar favorit tat-televiżjoni tal-kult. L-ispettaklu influwenza l-ġenerazzjonijiet ta ’professjonisti tat-televiżjoni Ingliżi, li ħafna minnhom kibru jaraw is-serje. Il-programm oriġinarjament dam mill-1963 sal-1989. Kien hemm tentattiv bla suċċess biex terġa 'titqajjem produzzjoni regolari fl-1996 ma' pilota ta 'backdoor, fil-forma ta' film televiżiv. Il-programm reġa 'ġie mill-ġdid fl-2005 minn Russell T Davies, li kien showrunner u kittieb ewlieni għall-ewwel ħames snin tal-qawmien mill-ġdid tiegħu, prodott in-house mill-BBC Wales f'Cardiff. L-ewwel serje tas-seklu 21 dehret lil Christopher Eccleston fir-rwol tat-titlu u ġiet prodotta mill-BBC. Doctor Who nbid ukoll spin-offs f’medja multipla, inklużi Torchwood (2006–2011) u l-Avventuri ta ’Sarah Jane (2007-2011), it-tnejn maħluqa minn Russell T Davies; K-9 (2009–2010); u episodju pilota wieħed ta 'K-9 u Company (1981). Kien hemm ukoll ħafna spoofs u referenzi kulturali għall-karattru f'medja oħra.</v>
      </c>
    </row>
    <row r="5709" ht="15.75" customHeight="1">
      <c r="A5709" s="2" t="s">
        <v>5709</v>
      </c>
      <c r="B5709" s="2" t="str">
        <f>IFERROR(__xludf.DUMMYFUNCTION("GOOGLETRANSLATE(A5709, ""en"", ""mt"")"),"X'inhi abbrevjazzjoni għall-Knisja ta 'Ġesù Kristu tal-Qaddisin tal-Aħħar Jum?")</f>
        <v>X'inhi abbrevjazzjoni għall-Knisja ta 'Ġesù Kristu tal-Qaddisin tal-Aħħar Jum?</v>
      </c>
    </row>
    <row r="5710" ht="15.75" customHeight="1">
      <c r="A5710" s="2" t="s">
        <v>5710</v>
      </c>
      <c r="B5710" s="2" t="str">
        <f>IFERROR(__xludf.DUMMYFUNCTION("GOOGLETRANSLATE(A5710, ""en"", ""mt"")"),"L-isforzi biex tissaħħaħ Oswego ġew imrażżna f'diffikultajiet loġistiċi, aggravati mill-esperjenza ta 'Shirley")</f>
        <v>L-isforzi biex tissaħħaħ Oswego ġew imrażżna f'diffikultajiet loġistiċi, aggravati mill-esperjenza ta 'Shirley</v>
      </c>
    </row>
    <row r="5711" ht="15.75" customHeight="1">
      <c r="A5711" s="2" t="s">
        <v>5711</v>
      </c>
      <c r="B5711" s="2" t="str">
        <f>IFERROR(__xludf.DUMMYFUNCTION("GOOGLETRANSLATE(A5711, ""en"", ""mt"")"),"Il-forzi kollha fl-univers huma bbażati fuq erba 'interazzjonijiet fundamentali. Il-forzi b'saħħithom u dgħajfa huma forzi nukleari li jaġixxu biss fuq distanzi qosra ħafna, u huma responsabbli għall-interazzjonijiet bejn partiċelli subatomiċi, inklużi nu"&amp;"kleoni u nuklei komposti. Il-forza elettromanjetika taġixxi bejn il-piżijiet elettriċi, u l-forza gravitazzjonali taġixxi bejn il-mases. Il-forzi l-oħra kollha fin-natura joħorġu minn dawn l-erba 'interazzjonijiet fundamentali. Pereżempju, il-frizzjoni hi"&amp;"ja manifestazzjoni tal-forza elettromanjetika li taġixxi bejn l-atomi ta 'żewġ uċuħ, u l-prinċipju ta' esklużjoni ta 'Pauli, li ma jippermettix li l-atomi jgħaddu minn xulxin. Bl-istess mod, il-forzi fil-molol, immudellati mil-liġi ta 'Hooke, huma r-riżul"&amp;"tat tal-forzi elettromanjetiċi u l-prinċipju ta' esklużjoni li jaġixxu flimkien biex jirritornaw oġġett għall-pożizzjoni ta 'ekwilibriju tiegħu. Il-forzi ċentrifugali huma forzi ta 'aċċellerazzjoni li jinqalgħu sempliċement mill-aċċellerazzjoni ta' frejms"&amp;" li jduru ta 'referenza.: 12-11:359")</f>
        <v>Il-forzi kollha fl-univers huma bbażati fuq erba 'interazzjonijiet fundamentali. Il-forzi b'saħħithom u dgħajfa huma forzi nukleari li jaġixxu biss fuq distanzi qosra ħafna, u huma responsabbli għall-interazzjonijiet bejn partiċelli subatomiċi, inklużi nukleoni u nuklei komposti. Il-forza elettromanjetika taġixxi bejn il-piżijiet elettriċi, u l-forza gravitazzjonali taġixxi bejn il-mases. Il-forzi l-oħra kollha fin-natura joħorġu minn dawn l-erba 'interazzjonijiet fundamentali. Pereżempju, il-frizzjoni hija manifestazzjoni tal-forza elettromanjetika li taġixxi bejn l-atomi ta 'żewġ uċuħ, u l-prinċipju ta' esklużjoni ta 'Pauli, li ma jippermettix li l-atomi jgħaddu minn xulxin. Bl-istess mod, il-forzi fil-molol, immudellati mil-liġi ta 'Hooke, huma r-riżultat tal-forzi elettromanjetiċi u l-prinċipju ta' esklużjoni li jaġixxu flimkien biex jirritornaw oġġett għall-pożizzjoni ta 'ekwilibriju tiegħu. Il-forzi ċentrifugali huma forzi ta 'aċċellerazzjoni li jinqalgħu sempliċement mill-aċċellerazzjoni ta' frejms li jduru ta 'referenza.: 12-11:359</v>
      </c>
    </row>
    <row r="5712" ht="15.75" customHeight="1">
      <c r="A5712" s="2" t="s">
        <v>5712</v>
      </c>
      <c r="B5712" s="2" t="str">
        <f>IFERROR(__xludf.DUMMYFUNCTION("GOOGLETRANSLATE(A5712, ""en"", ""mt"")"),"Klassijiet ta 'kumplessità huma ġeneralment klassifikati f'liema?")</f>
        <v>Klassijiet ta 'kumplessità huma ġeneralment klassifikati f'liema?</v>
      </c>
    </row>
    <row r="5713" ht="15.75" customHeight="1">
      <c r="A5713" s="2" t="s">
        <v>5713</v>
      </c>
      <c r="B5713" s="2" t="str">
        <f>IFERROR(__xludf.DUMMYFUNCTION("GOOGLETRANSLATE(A5713, ""en"", ""mt"")"),"Min kien Thomas Commerford Martin?")</f>
        <v>Min kien Thomas Commerford Martin?</v>
      </c>
    </row>
    <row r="5714" ht="15.75" customHeight="1">
      <c r="A5714" s="2" t="s">
        <v>5714</v>
      </c>
      <c r="B5714" s="2" t="str">
        <f>IFERROR(__xludf.DUMMYFUNCTION("GOOGLETRANSLATE(A5714, ""en"", ""mt"")"),"Warner Center jinsab f'liema żona?")</f>
        <v>Warner Center jinsab f'liema żona?</v>
      </c>
    </row>
    <row r="5715" ht="15.75" customHeight="1">
      <c r="A5715" s="2" t="s">
        <v>5715</v>
      </c>
      <c r="B5715" s="2" t="str">
        <f>IFERROR(__xludf.DUMMYFUNCTION("GOOGLETRANSLATE(A5715, ""en"", ""mt"")"),"Min jista 'jkun fil-Kabinett Vittorjan?")</f>
        <v>Min jista 'jkun fil-Kabinett Vittorjan?</v>
      </c>
    </row>
    <row r="5716" ht="15.75" customHeight="1">
      <c r="A5716" s="2" t="s">
        <v>5716</v>
      </c>
      <c r="B5716" s="2" t="str">
        <f>IFERROR(__xludf.DUMMYFUNCTION("GOOGLETRANSLATE(A5716, ""en"", ""mt"")"),"proporzjonalment man-numru ta 'voti riċevuti")</f>
        <v>proporzjonalment man-numru ta 'voti riċevuti</v>
      </c>
    </row>
    <row r="5717" ht="15.75" customHeight="1">
      <c r="A5717" s="2" t="s">
        <v>5717</v>
      </c>
      <c r="B5717" s="2" t="str">
        <f>IFERROR(__xludf.DUMMYFUNCTION("GOOGLETRANSLATE(A5717, ""en"", ""mt"")"),"Stokk")</f>
        <v>Stokk</v>
      </c>
    </row>
    <row r="5718" ht="15.75" customHeight="1">
      <c r="A5718" s="2" t="s">
        <v>5718</v>
      </c>
      <c r="B5718" s="2" t="str">
        <f>IFERROR(__xludf.DUMMYFUNCTION("GOOGLETRANSLATE(A5718, ""en"", ""mt"")"),"Mudell tal-Università Ingliża")</f>
        <v>Mudell tal-Università Ingliża</v>
      </c>
    </row>
    <row r="5719" ht="15.75" customHeight="1">
      <c r="A5719" s="2" t="s">
        <v>5719</v>
      </c>
      <c r="B5719" s="2" t="str">
        <f>IFERROR(__xludf.DUMMYFUNCTION("GOOGLETRANSLATE(A5719, ""en"", ""mt"")"),"Le, dak mhux tajjeb")</f>
        <v>Le, dak mhux tajjeb</v>
      </c>
    </row>
    <row r="5720" ht="15.75" customHeight="1">
      <c r="A5720" s="2" t="s">
        <v>5720</v>
      </c>
      <c r="B5720" s="2" t="str">
        <f>IFERROR(__xludf.DUMMYFUNCTION("GOOGLETRANSLATE(A5720, ""en"", ""mt"")"),"Thomas de Maiziere jservi liema rwol fil-kabinett Ġermaniż?")</f>
        <v>Thomas de Maiziere jservi liema rwol fil-kabinett Ġermaniż?</v>
      </c>
    </row>
    <row r="5721" ht="15.75" customHeight="1">
      <c r="A5721" s="2" t="s">
        <v>5721</v>
      </c>
      <c r="B5721" s="2" t="str">
        <f>IFERROR(__xludf.DUMMYFUNCTION("GOOGLETRANSLATE(A5721, ""en"", ""mt"")"),"tul kollu")</f>
        <v>tul kollu</v>
      </c>
    </row>
    <row r="5722" ht="15.75" customHeight="1">
      <c r="A5722" s="2" t="s">
        <v>5722</v>
      </c>
      <c r="B5722" s="2" t="str">
        <f>IFERROR(__xludf.DUMMYFUNCTION("GOOGLETRANSLATE(A5722, ""en"", ""mt"")"),"Harvard xtara meded ta 'art f'Allston, mixja madwar ix-Xmara Charles minn Cambridge, bl-intenzjoni ta' espansjoni kbira lejn in-nofsinhar. L-università issa għandha madwar ħamsin fil-mija aktar art f'Allston milli f'Cambridge. Proposti biex tikkonnettja l"&amp;"-kampus ta 'Cambridge mal-kampus il-ġdid ta' Allston jinkludu pontijiet ġodda u mkabbra, servizz tax-shuttle u / jew tram. Il-pjanijiet jitolbu wkoll parti għall-għarqa ta 'Steor Drive (bi spejjeż ta' Harvard) għas-sostituzzjoni ma 'l-art tal-park u l-aċċ"&amp;"ess pedonali għax-Xmara Charles, kif ukoll għall-kostruzzjoni ta' mogħdijiet tar-rota, u bini fil-kampus ta 'Allston. L-istituzzjoni tafferma li din l-espansjoni se tibbenefika mhux biss l-iskola, iżda wkoll il-komunità li tindika, li tindika l-karatteris"&amp;"tiċi bħall-infrastruttura ta 'transitu msaħħa, shuttles possibbli miftuħa għall-pubbliku, u l-ispazju tal-park li se jkun ukoll aċċessibbli pubblikament.")</f>
        <v>Harvard xtara meded ta 'art f'Allston, mixja madwar ix-Xmara Charles minn Cambridge, bl-intenzjoni ta' espansjoni kbira lejn in-nofsinhar. L-università issa għandha madwar ħamsin fil-mija aktar art f'Allston milli f'Cambridge. Proposti biex tikkonnettja l-kampus ta 'Cambridge mal-kampus il-ġdid ta' Allston jinkludu pontijiet ġodda u mkabbra, servizz tax-shuttle u / jew tram. Il-pjanijiet jitolbu wkoll parti għall-għarqa ta 'Steor Drive (bi spejjeż ta' Harvard) għas-sostituzzjoni ma 'l-art tal-park u l-aċċess pedonali għax-Xmara Charles, kif ukoll għall-kostruzzjoni ta' mogħdijiet tar-rota, u bini fil-kampus ta 'Allston. L-istituzzjoni tafferma li din l-espansjoni se tibbenefika mhux biss l-iskola, iżda wkoll il-komunità li tindika, li tindika l-karatteristiċi bħall-infrastruttura ta 'transitu msaħħa, shuttles possibbli miftuħa għall-pubbliku, u l-ispazju tal-park li se jkun ukoll aċċessibbli pubblikament.</v>
      </c>
    </row>
    <row r="5723" ht="15.75" customHeight="1">
      <c r="A5723" s="2" t="s">
        <v>5723</v>
      </c>
      <c r="B5723" s="2" t="str">
        <f>IFERROR(__xludf.DUMMYFUNCTION("GOOGLETRANSLATE(A5723, ""en"", ""mt"")"),"Avukat")</f>
        <v>Avukat</v>
      </c>
    </row>
    <row r="5724" ht="15.75" customHeight="1">
      <c r="A5724" s="2" t="s">
        <v>5724</v>
      </c>
      <c r="B5724" s="2" t="str">
        <f>IFERROR(__xludf.DUMMYFUNCTION("GOOGLETRANSLATE(A5724, ""en"", ""mt"")"),"Ixxukkjat bit-tifkira tal-parti tiegħu fil-ħabta tas-suq tal-ishma u bil-ksur tal-kuntratt ta 'Tesla")</f>
        <v>Ixxukkjat bit-tifkira tal-parti tiegħu fil-ħabta tas-suq tal-ishma u bil-ksur tal-kuntratt ta 'Tesla</v>
      </c>
    </row>
    <row r="5725" ht="15.75" customHeight="1">
      <c r="A5725" s="2" t="s">
        <v>5725</v>
      </c>
      <c r="B5725" s="2" t="str">
        <f>IFERROR(__xludf.DUMMYFUNCTION("GOOGLETRANSLATE(A5725, ""en"", ""mt"")"),"Luther kif esprima l-qerda?")</f>
        <v>Luther kif esprima l-qerda?</v>
      </c>
    </row>
    <row r="5726" ht="15.75" customHeight="1">
      <c r="A5726" s="2" t="s">
        <v>5726</v>
      </c>
      <c r="B5726" s="2" t="str">
        <f>IFERROR(__xludf.DUMMYFUNCTION("GOOGLETRANSLATE(A5726, ""en"", ""mt"")"),"DFDS Meta temm is-servizzi tagħha għan-Norveġja?")</f>
        <v>DFDS Meta temm is-servizzi tagħha għan-Norveġja?</v>
      </c>
    </row>
    <row r="5727" ht="15.75" customHeight="1">
      <c r="A5727" s="2" t="s">
        <v>5727</v>
      </c>
      <c r="B5727" s="2" t="str">
        <f>IFERROR(__xludf.DUMMYFUNCTION("GOOGLETRANSLATE(A5727, ""en"", ""mt"")"),"Fejn jingħad l-eqdem spiżerija li tinsab?")</f>
        <v>Fejn jingħad l-eqdem spiżerija li tinsab?</v>
      </c>
    </row>
    <row r="5728" ht="15.75" customHeight="1">
      <c r="A5728" s="2" t="s">
        <v>5728</v>
      </c>
      <c r="B5728" s="2" t="str">
        <f>IFERROR(__xludf.DUMMYFUNCTION("GOOGLETRANSLATE(A5728, ""en"", ""mt"")"),"Assent Royal: Wara li jkun għadda l-abbozz, l-uffiċjal li jippresiedi jissottomettih lill-Monarka għall-Assent Royal u jsir att tal-Parlament Skoċċiż. Madankollu huwa ma jistax jagħmel hekk sakemm ikun għadda perjodu ta '4 ġimgħat, li matulu l-uffiċjali t"&amp;"al-liġi tal-gvern Skoċċiż jew tal-gvern tar-Renju Unit jistgħu jirreferu l-abbozz lill-Qorti Suprema tar-Renju Unit għal deċiżjoni dwar jekk hux fil-poteri ta' Parlament. Atti tal-Parlament Skoċċiż ma jibdewx bi formula konvenzjonali li tippromwovi. Minfl"&amp;"ok jibdew bi frażi li tgħid: ""L-abbozz għal dan l-att tal-Parlament Skoċċiż ġie mgħoddi mill-Parlament fid-data [data] u rċieva kunsens irjali fid-data [data]"".")</f>
        <v>Assent Royal: Wara li jkun għadda l-abbozz, l-uffiċjal li jippresiedi jissottomettih lill-Monarka għall-Assent Royal u jsir att tal-Parlament Skoċċiż. Madankollu huwa ma jistax jagħmel hekk sakemm ikun għadda perjodu ta '4 ġimgħat, li matulu l-uffiċjali tal-liġi tal-gvern Skoċċiż jew tal-gvern tar-Renju Unit jistgħu jirreferu l-abbozz lill-Qorti Suprema tar-Renju Unit għal deċiżjoni dwar jekk hux fil-poteri ta' Parlament. Atti tal-Parlament Skoċċiż ma jibdewx bi formula konvenzjonali li tippromwovi. Minflok jibdew bi frażi li tgħid: "L-abbozz għal dan l-att tal-Parlament Skoċċiż ġie mgħoddi mill-Parlament fid-data [data] u rċieva kunsens irjali fid-data [data]".</v>
      </c>
    </row>
    <row r="5729" ht="15.75" customHeight="1">
      <c r="A5729" s="2" t="s">
        <v>5729</v>
      </c>
      <c r="B5729" s="2" t="str">
        <f>IFERROR(__xludf.DUMMYFUNCTION("GOOGLETRANSLATE(A5729, ""en"", ""mt"")"),"bejn il-baden modern u l-württemberg")</f>
        <v>bejn il-baden modern u l-württemberg</v>
      </c>
    </row>
    <row r="5730" ht="15.75" customHeight="1">
      <c r="A5730" s="2" t="s">
        <v>5730</v>
      </c>
      <c r="B5730" s="2" t="str">
        <f>IFERROR(__xludf.DUMMYFUNCTION("GOOGLETRANSLATE(A5730, ""en"", ""mt"")"),"Meta ġie ċċelebrat il-banquet tat-tieġ?")</f>
        <v>Meta ġie ċċelebrat il-banquet tat-tieġ?</v>
      </c>
    </row>
    <row r="5731" ht="15.75" customHeight="1">
      <c r="A5731" s="2" t="s">
        <v>5731</v>
      </c>
      <c r="B5731" s="2" t="str">
        <f>IFERROR(__xludf.DUMMYFUNCTION("GOOGLETRANSLATE(A5731, ""en"", ""mt"")"),"kollass strutturali, overruns ta 'spejjeż, u / jew litigazzjoni")</f>
        <v>kollass strutturali, overruns ta 'spejjeż, u / jew litigazzjoni</v>
      </c>
    </row>
    <row r="5732" ht="15.75" customHeight="1">
      <c r="A5732" s="2" t="s">
        <v>5732</v>
      </c>
      <c r="B5732" s="2" t="str">
        <f>IFERROR(__xludf.DUMMYFUNCTION("GOOGLETRANSLATE(A5732, ""en"", ""mt"")"),"Liema monument Ruman tal-qedem huwa replikat fuq skala sħiħa fil-qrati mitfugħa?")</f>
        <v>Liema monument Ruman tal-qedem huwa replikat fuq skala sħiħa fil-qrati mitfugħa?</v>
      </c>
    </row>
    <row r="5733" ht="15.75" customHeight="1">
      <c r="A5733" s="2" t="s">
        <v>5733</v>
      </c>
      <c r="B5733" s="2" t="str">
        <f>IFERROR(__xludf.DUMMYFUNCTION("GOOGLETRANSLATE(A5733, ""en"", ""mt"")"),"eċċitament")</f>
        <v>eċċitament</v>
      </c>
    </row>
    <row r="5734" ht="15.75" customHeight="1">
      <c r="A5734" s="2" t="s">
        <v>5734</v>
      </c>
      <c r="B5734" s="2" t="str">
        <f>IFERROR(__xludf.DUMMYFUNCTION("GOOGLETRANSLATE(A5734, ""en"", ""mt"")"),"Kunsill Ġudizzjarju")</f>
        <v>Kunsill Ġudizzjarju</v>
      </c>
    </row>
    <row r="5735" ht="15.75" customHeight="1">
      <c r="A5735" s="2" t="s">
        <v>5735</v>
      </c>
      <c r="B5735" s="2" t="str">
        <f>IFERROR(__xludf.DUMMYFUNCTION("GOOGLETRANSLATE(A5735, ""en"", ""mt"")"),"Migrazzjoni u Urbanizzazzjoni")</f>
        <v>Migrazzjoni u Urbanizzazzjoni</v>
      </c>
    </row>
    <row r="5736" ht="15.75" customHeight="1">
      <c r="A5736" s="2" t="s">
        <v>5736</v>
      </c>
      <c r="B5736" s="2" t="str">
        <f>IFERROR(__xludf.DUMMYFUNCTION("GOOGLETRANSLATE(A5736, ""en"", ""mt"")"),"Taħt liema każijiet l-individwi jistgħu jiddependu fuq il-liġi primarja fil-Qorti tal-Ġustizzja tal-Unjoni Ewropea?")</f>
        <v>Taħt liema każijiet l-individwi jistgħu jiddependu fuq il-liġi primarja fil-Qorti tal-Ġustizzja tal-Unjoni Ewropea?</v>
      </c>
    </row>
    <row r="5737" ht="15.75" customHeight="1">
      <c r="A5737" s="2" t="s">
        <v>5737</v>
      </c>
      <c r="B5737" s="2" t="str">
        <f>IFERROR(__xludf.DUMMYFUNCTION("GOOGLETRANSLATE(A5737, ""en"", ""mt"")"),"Biegħ il-mediċini bir-riċetta u jeħtieġu riċetta valida")</f>
        <v>Biegħ il-mediċini bir-riċetta u jeħtieġu riċetta valida</v>
      </c>
    </row>
    <row r="5738" ht="15.75" customHeight="1">
      <c r="A5738" s="2" t="s">
        <v>5738</v>
      </c>
      <c r="B5738" s="2" t="str">
        <f>IFERROR(__xludf.DUMMYFUNCTION("GOOGLETRANSLATE(A5738, ""en"", ""mt"")"),"Opportunitajiet ta 'xogħol eċċellenti")</f>
        <v>Opportunitajiet ta 'xogħol eċċellenti</v>
      </c>
    </row>
    <row r="5739" ht="15.75" customHeight="1">
      <c r="A5739" s="2" t="s">
        <v>5739</v>
      </c>
      <c r="B5739" s="2" t="str">
        <f>IFERROR(__xludf.DUMMYFUNCTION("GOOGLETRANSLATE(A5739, ""en"", ""mt"")"),"Fejn imxew ħafna Kattoliċi Spanjoli wara l-akkwist Ingliż fi Florida?")</f>
        <v>Fejn imxew ħafna Kattoliċi Spanjoli wara l-akkwist Ingliż fi Florida?</v>
      </c>
    </row>
    <row r="5740" ht="15.75" customHeight="1">
      <c r="A5740" s="2" t="s">
        <v>5740</v>
      </c>
      <c r="B5740" s="2" t="str">
        <f>IFERROR(__xludf.DUMMYFUNCTION("GOOGLETRANSLATE(A5740, ""en"", ""mt"")"),"Il-Bureau Parlamentari")</f>
        <v>Il-Bureau Parlamentari</v>
      </c>
    </row>
    <row r="5741" ht="15.75" customHeight="1">
      <c r="A5741" s="2" t="s">
        <v>5741</v>
      </c>
      <c r="B5741" s="2" t="str">
        <f>IFERROR(__xludf.DUMMYFUNCTION("GOOGLETRANSLATE(A5741, ""en"", ""mt"")"),"Kemm irġiel kienu fl-armata ta 'Robert?")</f>
        <v>Kemm irġiel kienu fl-armata ta 'Robert?</v>
      </c>
    </row>
    <row r="5742" ht="15.75" customHeight="1">
      <c r="A5742" s="2" t="s">
        <v>5742</v>
      </c>
      <c r="B5742" s="2" t="str">
        <f>IFERROR(__xludf.DUMMYFUNCTION("GOOGLETRANSLATE(A5742, ""en"", ""mt"")"),"Membri tal-ekwipaġġ")</f>
        <v>Membri tal-ekwipaġġ</v>
      </c>
    </row>
    <row r="5743" ht="15.75" customHeight="1">
      <c r="A5743" s="2" t="s">
        <v>5743</v>
      </c>
      <c r="B5743" s="2" t="str">
        <f>IFERROR(__xludf.DUMMYFUNCTION("GOOGLETRANSLATE(A5743, ""en"", ""mt"")"),"Transcendentalist Unitarju")</f>
        <v>Transcendentalist Unitarju</v>
      </c>
    </row>
    <row r="5744" ht="15.75" customHeight="1">
      <c r="A5744" s="2" t="s">
        <v>5744</v>
      </c>
      <c r="B5744" s="2" t="str">
        <f>IFERROR(__xludf.DUMMYFUNCTION("GOOGLETRANSLATE(A5744, ""en"", ""mt"")"),"Startjar minnu nnifsu")</f>
        <v>Startjar minnu nnifsu</v>
      </c>
    </row>
    <row r="5745" ht="15.75" customHeight="1">
      <c r="A5745" s="2" t="s">
        <v>5745</v>
      </c>
      <c r="B5745" s="2" t="str">
        <f>IFERROR(__xludf.DUMMYFUNCTION("GOOGLETRANSLATE(A5745, ""en"", ""mt"")"),"X'inhu l-isem preċedenti tal-V &amp; A Theatre &amp; Performance Galleries?")</f>
        <v>X'inhu l-isem preċedenti tal-V &amp; A Theatre &amp; Performance Galleries?</v>
      </c>
    </row>
    <row r="5746" ht="15.75" customHeight="1">
      <c r="A5746" s="2" t="s">
        <v>5746</v>
      </c>
      <c r="B5746" s="2" t="str">
        <f>IFERROR(__xludf.DUMMYFUNCTION("GOOGLETRANSLATE(A5746, ""en"", ""mt"")"),"X'inhu użat minn ċerti gruppi sinjuri biex jiksbu politiki ta 'benefiċċju finanzjarju għalihom?")</f>
        <v>X'inhu użat minn ċerti gruppi sinjuri biex jiksbu politiki ta 'benefiċċju finanzjarju għalihom?</v>
      </c>
    </row>
    <row r="5747" ht="15.75" customHeight="1">
      <c r="A5747" s="2" t="s">
        <v>5747</v>
      </c>
      <c r="B5747" s="2" t="str">
        <f>IFERROR(__xludf.DUMMYFUNCTION("GOOGLETRANSLATE(A5747, ""en"", ""mt"")"),"Meta l-Baċin tad-Drenaġġ tal-Amażon kien maħsub li nqasam f'nofs l-Amerika t'Isfel?")</f>
        <v>Meta l-Baċin tad-Drenaġġ tal-Amażon kien maħsub li nqasam f'nofs l-Amerika t'Isfel?</v>
      </c>
    </row>
    <row r="5748" ht="15.75" customHeight="1">
      <c r="A5748" s="2" t="s">
        <v>5748</v>
      </c>
      <c r="B5748" s="2" t="str">
        <f>IFERROR(__xludf.DUMMYFUNCTION("GOOGLETRANSLATE(A5748, ""en"", ""mt"")"),"Kent, partikolarment Sandwich, Faversham u Maidstone")</f>
        <v>Kent, partikolarment Sandwich, Faversham u Maidstone</v>
      </c>
    </row>
    <row r="5749" ht="15.75" customHeight="1">
      <c r="A5749" s="2" t="s">
        <v>5749</v>
      </c>
      <c r="B5749" s="2" t="str">
        <f>IFERROR(__xludf.DUMMYFUNCTION("GOOGLETRANSLATE(A5749, ""en"", ""mt"")"),"X'tip ta 'sistema ferrovjarja hija l-ferroviji tal-metro Melbourne?")</f>
        <v>X'tip ta 'sistema ferrovjarja hija l-ferroviji tal-metro Melbourne?</v>
      </c>
    </row>
    <row r="5750" ht="15.75" customHeight="1">
      <c r="A5750" s="2" t="s">
        <v>5750</v>
      </c>
      <c r="B5750" s="2" t="str">
        <f>IFERROR(__xludf.DUMMYFUNCTION("GOOGLETRANSLATE(A5750, ""en"", ""mt"")"),"Matul dan iż-żmien, l-iskoperta taż-żejt fil-Baħar tat-Tramuntana u l-kampanja li ġejja ""Huwa l-Iskozja taż-Żejt"" tal-Partit Nazzjonali Skoċċiż (SNP) irriżultat f'appoġġ dejjem jiżdied għall-indipendenza Skoċċiża, kif ukoll għall-SNP. Il-partit argument"&amp;"a li d-dħul miż-żejt ma kienx qed jibbenefika l-Iskozja daqs kemm għandhom. L-effett ikkombinat ta 'dawn l-avvenimenti wassal biex il-Prim Ministru Wilson jikkommetti lill-gvern tiegħu għal xi forma ta' leġiżlatura devoluta fl-1974. Madankollu, ma kienx s"&amp;"al-1978 li l-proposti leġiżlattivi finali għal assemblea Skoċċiża ġew mgħoddija mill-Parlament tar-Renju Unit.")</f>
        <v>Matul dan iż-żmien, l-iskoperta taż-żejt fil-Baħar tat-Tramuntana u l-kampanja li ġejja "Huwa l-Iskozja taż-Żejt" tal-Partit Nazzjonali Skoċċiż (SNP) irriżultat f'appoġġ dejjem jiżdied għall-indipendenza Skoċċiża, kif ukoll għall-SNP. Il-partit argumenta li d-dħul miż-żejt ma kienx qed jibbenefika l-Iskozja daqs kemm għandhom. L-effett ikkombinat ta 'dawn l-avvenimenti wassal biex il-Prim Ministru Wilson jikkommetti lill-gvern tiegħu għal xi forma ta' leġiżlatura devoluta fl-1974. Madankollu, ma kienx sal-1978 li l-proposti leġiżlattivi finali għal assemblea Skoċċiża ġew mgħoddija mill-Parlament tar-Renju Unit.</v>
      </c>
    </row>
    <row r="5751" ht="15.75" customHeight="1">
      <c r="A5751" s="2" t="s">
        <v>5751</v>
      </c>
      <c r="B5751" s="2" t="str">
        <f>IFERROR(__xludf.DUMMYFUNCTION("GOOGLETRANSLATE(A5751, ""en"", ""mt"")"),"evidenza ta 'effetti tal-proċess ta' impatt")</f>
        <v>evidenza ta 'effetti tal-proċess ta' impatt</v>
      </c>
    </row>
    <row r="5752" ht="15.75" customHeight="1">
      <c r="A5752" s="2" t="s">
        <v>5752</v>
      </c>
      <c r="B5752" s="2" t="str">
        <f>IFERROR(__xludf.DUMMYFUNCTION("GOOGLETRANSLATE(A5752, ""en"", ""mt"")"),"nies biex isegwu l-għanijiet ta 'ħajjithom fi kwalunkwe pajjiż permezz ta' moviment liberu")</f>
        <v>nies biex isegwu l-għanijiet ta 'ħajjithom fi kwalunkwe pajjiż permezz ta' moviment liberu</v>
      </c>
    </row>
    <row r="5753" ht="15.75" customHeight="1">
      <c r="A5753" s="2" t="s">
        <v>5753</v>
      </c>
      <c r="B5753" s="2" t="str">
        <f>IFERROR(__xludf.DUMMYFUNCTION("GOOGLETRANSLATE(A5753, ""en"", ""mt"")"),"Kif huma xi kultant deskritti ċ-ċjanobatterji?")</f>
        <v>Kif huma xi kultant deskritti ċ-ċjanobatterji?</v>
      </c>
    </row>
    <row r="5754" ht="15.75" customHeight="1">
      <c r="A5754" s="2" t="s">
        <v>5754</v>
      </c>
      <c r="B5754" s="2" t="str">
        <f>IFERROR(__xludf.DUMMYFUNCTION("GOOGLETRANSLATE(A5754, ""en"", ""mt"")"),"X'kienet raġuni oħra possibbli li Tesla u Edison ma kisbux il-premju?.")</f>
        <v>X'kienet raġuni oħra possibbli li Tesla u Edison ma kisbux il-premju?.</v>
      </c>
    </row>
    <row r="5755" ht="15.75" customHeight="1">
      <c r="A5755" s="2" t="s">
        <v>5755</v>
      </c>
      <c r="B5755" s="2" t="str">
        <f>IFERROR(__xludf.DUMMYFUNCTION("GOOGLETRANSLATE(A5755, ""en"", ""mt"")"),"Fehim aħjar tal-istruttura tal-kmand Mau Mau")</f>
        <v>Fehim aħjar tal-istruttura tal-kmand Mau Mau</v>
      </c>
    </row>
    <row r="5756" ht="15.75" customHeight="1">
      <c r="A5756" s="2" t="s">
        <v>5756</v>
      </c>
      <c r="B5756" s="2" t="str">
        <f>IFERROR(__xludf.DUMMYFUNCTION("GOOGLETRANSLATE(A5756, ""en"", ""mt"")"),"X'tip ta 'magna tat-Turing tista' tkun ikkaratterizzata billi tiċċekkja possibbiltajiet multipli fl-istess ħin?")</f>
        <v>X'tip ta 'magna tat-Turing tista' tkun ikkaratterizzata billi tiċċekkja possibbiltajiet multipli fl-istess ħin?</v>
      </c>
    </row>
    <row r="5757" ht="15.75" customHeight="1">
      <c r="A5757" s="2" t="s">
        <v>5757</v>
      </c>
      <c r="B5757" s="2" t="str">
        <f>IFERROR(__xludf.DUMMYFUNCTION("GOOGLETRANSLATE(A5757, ""en"", ""mt"")"),"Qara Khitai, Kawkasu, Imperu Khwarezmid, XIA tal-Punent u Jin Dynasties")</f>
        <v>Qara Khitai, Kawkasu, Imperu Khwarezmid, XIA tal-Punent u Jin Dynasties</v>
      </c>
    </row>
    <row r="5758" ht="15.75" customHeight="1">
      <c r="A5758" s="2" t="s">
        <v>5758</v>
      </c>
      <c r="B5758" s="2" t="str">
        <f>IFERROR(__xludf.DUMMYFUNCTION("GOOGLETRANSLATE(A5758, ""en"", ""mt"")"),"Liema parti mill-kloroplasti mhix simili għal mitokondrija?")</f>
        <v>Liema parti mill-kloroplasti mhix simili għal mitokondrija?</v>
      </c>
    </row>
    <row r="5759" ht="15.75" customHeight="1">
      <c r="A5759" s="2" t="s">
        <v>5759</v>
      </c>
      <c r="B5759" s="2" t="str">
        <f>IFERROR(__xludf.DUMMYFUNCTION("GOOGLETRANSLATE(A5759, ""en"", ""mt"")"),"L-awtorità aħħarija tal-istati membri, l-impenn fattwali tagħha għad-drittijiet tal-bniedem, u r-rieda demokratika tal-poplu.")</f>
        <v>L-awtorità aħħarija tal-istati membri, l-impenn fattwali tagħha għad-drittijiet tal-bniedem, u r-rieda demokratika tal-poplu.</v>
      </c>
    </row>
    <row r="5760" ht="15.75" customHeight="1">
      <c r="A5760" s="2" t="s">
        <v>5760</v>
      </c>
      <c r="B5760" s="2" t="str">
        <f>IFERROR(__xludf.DUMMYFUNCTION("GOOGLETRANSLATE(A5760, ""en"", ""mt"")"),"nies mhux ivvilizzati")</f>
        <v>nies mhux ivvilizzati</v>
      </c>
    </row>
    <row r="5761" ht="15.75" customHeight="1">
      <c r="A5761" s="2" t="s">
        <v>5761</v>
      </c>
      <c r="B5761" s="2" t="str">
        <f>IFERROR(__xludf.DUMMYFUNCTION("GOOGLETRANSLATE(A5761, ""en"", ""mt"")"),"Iċ-ċiklu ta 'Calvin jibda billi juża l-enzima rubisco biex jiffissa CO2 f'molekuli ta' ħames karbonju ta 'ribulose bisfosfat (RUBP). Ir-riżultat huwa molekuli instabbli ta 'sitt karboniċi li immedjatament jinqasmu fi molekuli ta' tliet karbonji msejħa aċi"&amp;"du 3-fosfogliċeriku, jew 3-PGA. L-ATP u n-NADPH magħmulin fir-reazzjonijiet tad-dawl jintużaw biex jikkonvertu t-3-PGA fi glyceraldehyde-3-fosfat, jew molekuli taz-zokkor G3P. Il-biċċa l-kbira tal-molekuli G3P huma riċiklati lura fl-RUBP bl-użu ta 'enerġi"&amp;"ja minn aktar ATP, iżda wieħed minn kull sitt prodott weraq iċ-ċiklu - il-prodott finali tar-reazzjonijiet mudlama.")</f>
        <v>Iċ-ċiklu ta 'Calvin jibda billi juża l-enzima rubisco biex jiffissa CO2 f'molekuli ta' ħames karbonju ta 'ribulose bisfosfat (RUBP). Ir-riżultat huwa molekuli instabbli ta 'sitt karboniċi li immedjatament jinqasmu fi molekuli ta' tliet karbonji msejħa aċidu 3-fosfogliċeriku, jew 3-PGA. L-ATP u n-NADPH magħmulin fir-reazzjonijiet tad-dawl jintużaw biex jikkonvertu t-3-PGA fi glyceraldehyde-3-fosfat, jew molekuli taz-zokkor G3P. Il-biċċa l-kbira tal-molekuli G3P huma riċiklati lura fl-RUBP bl-użu ta 'enerġija minn aktar ATP, iżda wieħed minn kull sitt prodott weraq iċ-ċiklu - il-prodott finali tar-reazzjonijiet mudlama.</v>
      </c>
    </row>
    <row r="5762" ht="15.75" customHeight="1">
      <c r="A5762" s="2" t="s">
        <v>5762</v>
      </c>
      <c r="B5762" s="2" t="str">
        <f>IFERROR(__xludf.DUMMYFUNCTION("GOOGLETRANSLATE(A5762, ""en"", ""mt"")"),"Kurrenti qawwija ta 'frekwenza għolja")</f>
        <v>Kurrenti qawwija ta 'frekwenza għolja</v>
      </c>
    </row>
    <row r="5763" ht="15.75" customHeight="1">
      <c r="A5763" s="2" t="s">
        <v>5763</v>
      </c>
      <c r="B5763" s="2" t="str">
        <f>IFERROR(__xludf.DUMMYFUNCTION("GOOGLETRANSLATE(A5763, ""en"", ""mt"")"),"1.3 miljun")</f>
        <v>1.3 miljun</v>
      </c>
    </row>
    <row r="5764" ht="15.75" customHeight="1">
      <c r="A5764" s="2" t="s">
        <v>5764</v>
      </c>
      <c r="B5764" s="2" t="str">
        <f>IFERROR(__xludf.DUMMYFUNCTION("GOOGLETRANSLATE(A5764, ""en"", ""mt"")"),"X'kienet ir-rata ta 'falliment ta' trażżin fi studju ta 'pjanti tat-tabakk bl-użu ta' trasformazzjoni tal-plastidi?")</f>
        <v>X'kienet ir-rata ta 'falliment ta' trażżin fi studju ta 'pjanti tat-tabakk bl-użu ta' trasformazzjoni tal-plastidi?</v>
      </c>
    </row>
    <row r="5765" ht="15.75" customHeight="1">
      <c r="A5765" s="2" t="s">
        <v>5765</v>
      </c>
      <c r="B5765" s="2" t="str">
        <f>IFERROR(__xludf.DUMMYFUNCTION("GOOGLETRANSLATE(A5765, ""en"", ""mt"")"),"Kif huma kklassifikati l-forzi fir-rigward ta 'Push u Pull Strengt?")</f>
        <v>Kif huma kklassifikati l-forzi fir-rigward ta 'Push u Pull Strengt?</v>
      </c>
    </row>
    <row r="5766" ht="15.75" customHeight="1">
      <c r="A5766" s="2" t="s">
        <v>5766</v>
      </c>
      <c r="B5766" s="2" t="str">
        <f>IFERROR(__xludf.DUMMYFUNCTION("GOOGLETRANSLATE(A5766, ""en"", ""mt"")"),"X'kien l-għan tal-expedition ta 'Braddock?")</f>
        <v>X'kien l-għan tal-expedition ta 'Braddock?</v>
      </c>
    </row>
    <row r="5767" ht="15.75" customHeight="1">
      <c r="A5767" s="2" t="s">
        <v>5767</v>
      </c>
      <c r="B5767" s="2" t="str">
        <f>IFERROR(__xludf.DUMMYFUNCTION("GOOGLETRANSLATE(A5767, ""en"", ""mt"")"),"Deċiżjoni meħuda minn liema entità rrestawrat il-privattivi ta 'Tesla?")</f>
        <v>Deċiżjoni meħuda minn liema entità rrestawrat il-privattivi ta 'Tesla?</v>
      </c>
    </row>
    <row r="5768" ht="15.75" customHeight="1">
      <c r="A5768" s="2" t="s">
        <v>5768</v>
      </c>
      <c r="B5768" s="2" t="str">
        <f>IFERROR(__xludf.DUMMYFUNCTION("GOOGLETRANSLATE(A5768, ""en"", ""mt"")"),"magna atmosferika")</f>
        <v>magna atmosferika</v>
      </c>
    </row>
    <row r="5769" ht="15.75" customHeight="1">
      <c r="A5769" s="2" t="s">
        <v>5769</v>
      </c>
      <c r="B5769" s="2" t="str">
        <f>IFERROR(__xludf.DUMMYFUNCTION("GOOGLETRANSLATE(A5769, ""en"", ""mt"")"),"X'inhu apicoplast?")</f>
        <v>X'inhu apicoplast?</v>
      </c>
    </row>
    <row r="5770" ht="15.75" customHeight="1">
      <c r="A5770" s="2" t="s">
        <v>5770</v>
      </c>
      <c r="B5770" s="2" t="str">
        <f>IFERROR(__xludf.DUMMYFUNCTION("GOOGLETRANSLATE(A5770, ""en"", ""mt"")"),"Martin Luther twieled lil Hans Luder (jew Ludher, aktar tard Luther) u martu Margarethe (née Lindemann) fl-10 ta ’Novembru 1483 f’Eisleben, Sassonja, imbagħad parti mill-Imperu Ruman Imqaddes. Huwa ġie mgħammed bħala Kattoliku l-għada filgħodu fil-jum tal"&amp;"-festa ta 'San Martin ta' Tours. Il-familja tiegħu marret tgħix Mansfeld fl-1484, fejn missieru kien detentur tal-minjieri tar-ram u l-irfid u serva bħala wieħed mill-erba 'rappreżentanti taċ-ċittadini fil-kunsill lokali. L-istudjuż reliġjuż Martin Marty "&amp;"jiddeskrivi lil omm Luther bħala mara li taħdem ħafna ta '""stokk ta' klassi tal-kummerċ u mezzi ta 'nofs il-pajjiż"" u jinnota li l-għedewwa ta' Luther aktar tard iddeskrivewha ħażin bħala whore u lavrant tal-banju. Kellu diversi aħwa, u huwa magħruf li "&amp;"kien qrib wieħed minnhom, Jacob. Hans Luther kien ambizzjuż għalih innifsu u għall-familja tiegħu, u kien determinat li jara lil Martin, l-iben il-kbir tiegħu, isir avukat. Huwa bagħat lil Martin fl-iskejjel Latini f'Mansfeld, imbagħad Magdeburg fl-1497, "&amp;"fejn attenda skola mħaddma minn grupp lajk imsejjaħ Ħutna tal-Ħajja Komuni, u Eisenach fl-1498. It-tliet skejjel iffokaw fuq l-hekk imsejħa ""trivium"": grammatika, retorika, u loġika. Luther aktar tard qabbel l-edukazzjoni tiegħu hemmhekk mal-purgatorju "&amp;"u l-infern.")</f>
        <v>Martin Luther twieled lil Hans Luder (jew Ludher, aktar tard Luther) u martu Margarethe (née Lindemann) fl-10 ta ’Novembru 1483 f’Eisleben, Sassonja, imbagħad parti mill-Imperu Ruman Imqaddes. Huwa ġie mgħammed bħala Kattoliku l-għada filgħodu fil-jum tal-festa ta 'San Martin ta' Tours. Il-familja tiegħu marret tgħix Mansfeld fl-1484, fejn missieru kien detentur tal-minjieri tar-ram u l-irfid u serva bħala wieħed mill-erba 'rappreżentanti taċ-ċittadini fil-kunsill lokali. L-istudjuż reliġjuż Martin Marty jiddeskrivi lil omm Luther bħala mara li taħdem ħafna ta '"stokk ta' klassi tal-kummerċ u mezzi ta 'nofs il-pajjiż" u jinnota li l-għedewwa ta' Luther aktar tard iddeskrivewha ħażin bħala whore u lavrant tal-banju. Kellu diversi aħwa, u huwa magħruf li kien qrib wieħed minnhom, Jacob. Hans Luther kien ambizzjuż għalih innifsu u għall-familja tiegħu, u kien determinat li jara lil Martin, l-iben il-kbir tiegħu, isir avukat. Huwa bagħat lil Martin fl-iskejjel Latini f'Mansfeld, imbagħad Magdeburg fl-1497, fejn attenda skola mħaddma minn grupp lajk imsejjaħ Ħutna tal-Ħajja Komuni, u Eisenach fl-1498. It-tliet skejjel iffokaw fuq l-hekk imsejħa "trivium": grammatika, retorika, u loġika. Luther aktar tard qabbel l-edukazzjoni tiegħu hemmhekk mal-purgatorju u l-infern.</v>
      </c>
    </row>
    <row r="5771" ht="15.75" customHeight="1">
      <c r="A5771" s="2" t="s">
        <v>5771</v>
      </c>
      <c r="B5771" s="2" t="str">
        <f>IFERROR(__xludf.DUMMYFUNCTION("GOOGLETRANSLATE(A5771, ""en"", ""mt"")"),"Ċentru Ċiviku")</f>
        <v>Ċentru Ċiviku</v>
      </c>
    </row>
    <row r="5772" ht="15.75" customHeight="1">
      <c r="A5772" s="2" t="s">
        <v>5772</v>
      </c>
      <c r="B5772" s="2" t="str">
        <f>IFERROR(__xludf.DUMMYFUNCTION("GOOGLETRANSLATE(A5772, ""en"", ""mt"")"),"swamps tal-pit jew għadajjar żgħar")</f>
        <v>swamps tal-pit jew għadajjar żgħar</v>
      </c>
    </row>
    <row r="5773" ht="15.75" customHeight="1">
      <c r="A5773" s="2" t="s">
        <v>5773</v>
      </c>
      <c r="B5773" s="2" t="str">
        <f>IFERROR(__xludf.DUMMYFUNCTION("GOOGLETRANSLATE(A5773, ""en"", ""mt"")"),"orjentat lejn il-kisba")</f>
        <v>orjentat lejn il-kisba</v>
      </c>
    </row>
    <row r="5774" ht="15.75" customHeight="1">
      <c r="A5774" s="2" t="s">
        <v>5774</v>
      </c>
      <c r="B5774" s="2" t="str">
        <f>IFERROR(__xludf.DUMMYFUNCTION("GOOGLETRANSLATE(A5774, ""en"", ""mt"")"),"Kemm mill-ġid globali se jkun l-aktar sinjur 1 fil-mija sal-2016?")</f>
        <v>Kemm mill-ġid globali se jkun l-aktar sinjur 1 fil-mija sal-2016?</v>
      </c>
    </row>
    <row r="5775" ht="15.75" customHeight="1">
      <c r="A5775" s="2" t="s">
        <v>5775</v>
      </c>
      <c r="B5775" s="2" t="str">
        <f>IFERROR(__xludf.DUMMYFUNCTION("GOOGLETRANSLATE(A5775, ""en"", ""mt"")"),"infurmati")</f>
        <v>infurmati</v>
      </c>
    </row>
    <row r="5776" ht="15.75" customHeight="1">
      <c r="A5776" s="2" t="s">
        <v>5776</v>
      </c>
      <c r="B5776" s="2" t="str">
        <f>IFERROR(__xludf.DUMMYFUNCTION("GOOGLETRANSLATE(A5776, ""en"", ""mt"")"),"Referendum fi Franza u r-referendum fl-Olanda")</f>
        <v>Referendum fi Franza u r-referendum fl-Olanda</v>
      </c>
    </row>
    <row r="5777" ht="15.75" customHeight="1">
      <c r="A5777" s="2" t="s">
        <v>5777</v>
      </c>
      <c r="B5777" s="2" t="str">
        <f>IFERROR(__xludf.DUMMYFUNCTION("GOOGLETRANSLATE(A5777, ""en"", ""mt"")"),"X'importat l-offerta annwali tagħhom għall-kontroll tad-drittijiet biex ixandar il-Lega Primer?")</f>
        <v>X'importat l-offerta annwali tagħhom għall-kontroll tad-drittijiet biex ixandar il-Lega Primer?</v>
      </c>
    </row>
    <row r="5778" ht="15.75" customHeight="1">
      <c r="A5778" s="2" t="s">
        <v>5778</v>
      </c>
      <c r="B5778" s="2" t="str">
        <f>IFERROR(__xludf.DUMMYFUNCTION("GOOGLETRANSLATE(A5778, ""en"", ""mt"")"),"Wara li l-missjonijiet Apollo 18 u 19 ġew ikkanċellati, x'ġara għas-Saturn Vs li qatt ma ntużaw?")</f>
        <v>Wara li l-missjonijiet Apollo 18 u 19 ġew ikkanċellati, x'ġara għas-Saturn Vs li qatt ma ntużaw?</v>
      </c>
    </row>
    <row r="5779" ht="15.75" customHeight="1">
      <c r="A5779" s="2" t="s">
        <v>5779</v>
      </c>
      <c r="B5779" s="2" t="str">
        <f>IFERROR(__xludf.DUMMYFUNCTION("GOOGLETRANSLATE(A5779, ""en"", ""mt"")"),"kien aktar attiv u għex itwal")</f>
        <v>kien aktar attiv u għex itwal</v>
      </c>
    </row>
    <row r="5780" ht="15.75" customHeight="1">
      <c r="A5780" s="2" t="s">
        <v>5780</v>
      </c>
      <c r="B5780" s="2" t="str">
        <f>IFERROR(__xludf.DUMMYFUNCTION("GOOGLETRANSLATE(A5780, ""en"", ""mt"")"),"F'liema pajjiż l-ewwel vvintat lokomottiva tal-fwar tal-ferrovija fuq skala sħiħa li taħdem?")</f>
        <v>F'liema pajjiż l-ewwel vvintat lokomottiva tal-fwar tal-ferrovija fuq skala sħiħa li taħdem?</v>
      </c>
    </row>
    <row r="5781" ht="15.75" customHeight="1">
      <c r="A5781" s="2" t="s">
        <v>5781</v>
      </c>
      <c r="B5781" s="2" t="str">
        <f>IFERROR(__xludf.DUMMYFUNCTION("GOOGLETRANSLATE(A5781, ""en"", ""mt"")"),"Dar Somerset")</f>
        <v>Dar Somerset</v>
      </c>
    </row>
    <row r="5782" ht="15.75" customHeight="1">
      <c r="A5782" s="2" t="s">
        <v>5782</v>
      </c>
      <c r="B5782" s="2" t="str">
        <f>IFERROR(__xludf.DUMMYFUNCTION("GOOGLETRANSLATE(A5782, ""en"", ""mt"")"),"Tylakoid")</f>
        <v>Tylakoid</v>
      </c>
    </row>
    <row r="5783" ht="15.75" customHeight="1">
      <c r="A5783" s="2" t="s">
        <v>5783</v>
      </c>
      <c r="B5783" s="2" t="str">
        <f>IFERROR(__xludf.DUMMYFUNCTION("GOOGLETRANSLATE(A5783, ""en"", ""mt"")"),"Liema programmi jixxandru minn The Times Square Studios għal ABC?")</f>
        <v>Liema programmi jixxandru minn The Times Square Studios għal ABC?</v>
      </c>
    </row>
    <row r="5784" ht="15.75" customHeight="1">
      <c r="A5784" s="2" t="s">
        <v>5784</v>
      </c>
      <c r="B5784" s="2" t="str">
        <f>IFERROR(__xludf.DUMMYFUNCTION("GOOGLETRANSLATE(A5784, ""en"", ""mt"")"),"Brownlee jargumenta li xi kultant in-nies iġibu ruħhom b'liema mod biex jinstemgħu l-ħruġ tagħhom?")</f>
        <v>Brownlee jargumenta li xi kultant in-nies iġibu ruħhom b'liema mod biex jinstemgħu l-ħruġ tagħhom?</v>
      </c>
    </row>
    <row r="5785" ht="15.75" customHeight="1">
      <c r="A5785" s="2" t="s">
        <v>5785</v>
      </c>
      <c r="B5785" s="2" t="str">
        <f>IFERROR(__xludf.DUMMYFUNCTION("GOOGLETRANSLATE(A5785, ""en"", ""mt"")"),"Traduzzjoni tal-Bibbja")</f>
        <v>Traduzzjoni tal-Bibbja</v>
      </c>
    </row>
    <row r="5786" ht="15.75" customHeight="1">
      <c r="A5786" s="2" t="s">
        <v>5786</v>
      </c>
      <c r="B5786" s="2" t="str">
        <f>IFERROR(__xludf.DUMMYFUNCTION("GOOGLETRANSLATE(A5786, ""en"", ""mt"")"),"X'kienu l-oriġini kulturali tal-inġiniera u t-teknoloġija adottati mill-militar Mongoljan?")</f>
        <v>X'kienu l-oriġini kulturali tal-inġiniera u t-teknoloġija adottati mill-militar Mongoljan?</v>
      </c>
    </row>
    <row r="5787" ht="15.75" customHeight="1">
      <c r="A5787" s="2" t="s">
        <v>5787</v>
      </c>
      <c r="B5787" s="2" t="str">
        <f>IFERROR(__xludf.DUMMYFUNCTION("GOOGLETRANSLATE(A5787, ""en"", ""mt"")"),"it-tielet Étude")</f>
        <v>it-tielet Étude</v>
      </c>
    </row>
    <row r="5788" ht="15.75" customHeight="1">
      <c r="A5788" s="2" t="s">
        <v>5788</v>
      </c>
      <c r="B5788" s="2" t="str">
        <f>IFERROR(__xludf.DUMMYFUNCTION("GOOGLETRANSLATE(A5788, ""en"", ""mt"")"),"Liema ekwazzjoni bħalissa tonqos il-fiżika tal-forza.")</f>
        <v>Liema ekwazzjoni bħalissa tonqos il-fiżika tal-forza.</v>
      </c>
    </row>
    <row r="5789" ht="15.75" customHeight="1">
      <c r="A5789" s="2" t="s">
        <v>5789</v>
      </c>
      <c r="B5789" s="2" t="str">
        <f>IFERROR(__xludf.DUMMYFUNCTION("GOOGLETRANSLATE(A5789, ""en"", ""mt"")"),"Kien hemm talbiet sussegwenti mill-bijografi Tesla li Edison u Tesla kienu r-riċevituri oriġinali u li l-ebda ma ngħata l-għotja minħabba l-animozità tagħhom lejn xulxin; li kull wieħed fittex li jimminimizza l-kisbiet tal-ieħor u d-dritt li jirbaħ il-pre"&amp;"mju; li t-tnejn irrifjutaw li qatt jaċċettaw il-premju jekk l-ieħor irċievah l-ewwel; li t-tnejn ċaħdu kull possibbiltà li jaqsmuha; u anke li Edison sinjur irrifjutah li jżomm lil Tesla milli tikseb il-premju ta '$ 20,000.")</f>
        <v>Kien hemm talbiet sussegwenti mill-bijografi Tesla li Edison u Tesla kienu r-riċevituri oriġinali u li l-ebda ma ngħata l-għotja minħabba l-animozità tagħhom lejn xulxin; li kull wieħed fittex li jimminimizza l-kisbiet tal-ieħor u d-dritt li jirbaħ il-premju; li t-tnejn irrifjutaw li qatt jaċċettaw il-premju jekk l-ieħor irċievah l-ewwel; li t-tnejn ċaħdu kull possibbiltà li jaqsmuha; u anke li Edison sinjur irrifjutah li jżomm lil Tesla milli tikseb il-premju ta '$ 20,000.</v>
      </c>
    </row>
    <row r="5790" ht="15.75" customHeight="1">
      <c r="A5790" s="2" t="s">
        <v>5790</v>
      </c>
      <c r="B5790" s="2" t="str">
        <f>IFERROR(__xludf.DUMMYFUNCTION("GOOGLETRANSLATE(A5790, ""en"", ""mt"")"),"Qabel il-pranzu x'kienu l-ħinijiet tax-xogħol ta 'Tesla?")</f>
        <v>Qabel il-pranzu x'kienu l-ħinijiet tax-xogħol ta 'Tesla?</v>
      </c>
    </row>
    <row r="5791" ht="15.75" customHeight="1">
      <c r="A5791" s="2" t="s">
        <v>5791</v>
      </c>
      <c r="B5791" s="2" t="str">
        <f>IFERROR(__xludf.DUMMYFUNCTION("GOOGLETRANSLATE(A5791, ""en"", ""mt"")"),"Fis-7 ta 'Diċembru, 1965, Goldenson ħabbar proposta ta' fużjoni ma 'ITT għall-ABC Management; Iż-żewġ kumpaniji qablu mal-ftehim fis-27 ta 'April, 1966. L-FCC approva l-għaqda fil-21 ta' Diċembru, 1966; Madankollu, il-jum ta 'qabel (20 ta' Diċembru), Dona"&amp;"ld F. Turner, regolatur tal-antitrust ewlieni għad-Dipartiment tal-Ġustizzja tal-Istati Uniti, esprima dubji relatati ma 'kwistjonijiet bħas-suq tat-televiżjoni tal-kejbil emerġenti, u tħassib dwar l-integrità ġurnalistika ta' ABC u kif Jista 'jkun influw"&amp;"enzat mill-pussess barrani ta' ITT. ITT Management wiegħed li l-kumpanija tippermetti lil ABC iżżomm l-awtonomija fin-negozju tal-pubblikazzjoni. L-għaqda ġiet sospiża, u lment ġie ppreżentat mid-Dipartiment tal-Ġustizzja f'Lulju 1967, b'ITT sejjer għall-"&amp;"proċess f'Ottubru 1967; L-għaqda ġiet ikkanċellata uffiċjalment wara l-konklużjoni tal-prova fl-1 ta 'Jannar, 1968.")</f>
        <v>Fis-7 ta 'Diċembru, 1965, Goldenson ħabbar proposta ta' fużjoni ma 'ITT għall-ABC Management; Iż-żewġ kumpaniji qablu mal-ftehim fis-27 ta 'April, 1966. L-FCC approva l-għaqda fil-21 ta' Diċembru, 1966; Madankollu, il-jum ta 'qabel (20 ta' Diċembru), Donald F. Turner, regolatur tal-antitrust ewlieni għad-Dipartiment tal-Ġustizzja tal-Istati Uniti, esprima dubji relatati ma 'kwistjonijiet bħas-suq tat-televiżjoni tal-kejbil emerġenti, u tħassib dwar l-integrità ġurnalistika ta' ABC u kif Jista 'jkun influwenzat mill-pussess barrani ta' ITT. ITT Management wiegħed li l-kumpanija tippermetti lil ABC iżżomm l-awtonomija fin-negozju tal-pubblikazzjoni. L-għaqda ġiet sospiża, u lment ġie ppreżentat mid-Dipartiment tal-Ġustizzja f'Lulju 1967, b'ITT sejjer għall-proċess f'Ottubru 1967; L-għaqda ġiet ikkanċellata uffiċjalment wara l-konklużjoni tal-prova fl-1 ta 'Jannar, 1968.</v>
      </c>
    </row>
    <row r="5792" ht="15.75" customHeight="1">
      <c r="A5792" s="2" t="s">
        <v>5792</v>
      </c>
      <c r="B5792" s="2" t="str">
        <f>IFERROR(__xludf.DUMMYFUNCTION("GOOGLETRANSLATE(A5792, ""en"", ""mt"")"),"Fil-15 ta 'Ġunju 1520, il-Papa wissa lil Luther bil-barri Papali (editt) Exsurge Domine li huwa rriskja exkomunikazzjoni sakemm ma jerġax joħroġ 41 sentenza miġbuda mill-kitbiet tiegħu, inklużi l-95 teżijiet, fi żmien 60 jum. Dak il-ħarifa, Johann Eck ipp"&amp;"roklama l-barri f'Meissen u bliet oħra. Karl von Miltitz, nuncio papali, ipprova jordna soluzzjoni, iżda Luther, li kien bagħat lill-Papa kopja ta 'dwar il-libertà ta' Nisrani f'Ottubru, pubblikament ta n-nar lill-barri u d-digriet ta 'Wittenberg fl-10 ta"&amp;"' Diċembru 1520, Att huwa ddefenda fir-raġuni għaliex il-Papa u l-ktieb reċenti tiegħu huma maħruqa u affermazzjonijiet dwar l-artikoli kollha. Bħala konsegwenza, Luther ġie exkomunikat mill-Papa Leo X fit-3 ta 'Jannar 1521, fil-Bull Decet Romanum Pontifi"&amp;"cem.")</f>
        <v>Fil-15 ta 'Ġunju 1520, il-Papa wissa lil Luther bil-barri Papali (editt) Exsurge Domine li huwa rriskja exkomunikazzjoni sakemm ma jerġax joħroġ 41 sentenza miġbuda mill-kitbiet tiegħu, inklużi l-95 teżijiet, fi żmien 60 jum. Dak il-ħarifa, Johann Eck ipproklama l-barri f'Meissen u bliet oħra. Karl von Miltitz, nuncio papali, ipprova jordna soluzzjoni, iżda Luther, li kien bagħat lill-Papa kopja ta 'dwar il-libertà ta' Nisrani f'Ottubru, pubblikament ta n-nar lill-barri u d-digriet ta 'Wittenberg fl-10 ta' Diċembru 1520, Att huwa ddefenda fir-raġuni għaliex il-Papa u l-ktieb reċenti tiegħu huma maħruqa u affermazzjonijiet dwar l-artikoli kollha. Bħala konsegwenza, Luther ġie exkomunikat mill-Papa Leo X fit-3 ta 'Jannar 1521, fil-Bull Decet Romanum Pontificem.</v>
      </c>
    </row>
    <row r="5793" ht="15.75" customHeight="1">
      <c r="A5793" s="2" t="s">
        <v>5793</v>
      </c>
      <c r="B5793" s="2" t="str">
        <f>IFERROR(__xludf.DUMMYFUNCTION("GOOGLETRANSLATE(A5793, ""en"", ""mt"")"),"Id-dinastija Yuan kienet l-ewwel darba li l-poplu Ċiniż mhux nattiv iddeċieda ċ-Ċina kollha. Fl-istorijografija tal-Mongolja, ġeneralment huwa meqjus bħala t-tkomplija tal-imperu Mongoljan. Il-Mongoli huma magħrufa ħafna li jaduraw is-sema eterna, u skont"&amp;" l-ideoloġija tradizzjonali Mongoljana, il-wan huwa meqjus bħala ""l-bidu ta 'numru infinit ta' bnedmin, il-pedament tal-paċi u l-kuntentizza, il-poter tal-istat, il-ħolma ta 'ħafna popli, minbarraha M'hemm xejn kbir jew prezzjuż. "" Fl-istorijografija tr"&amp;"adizzjonali taċ-Ċina, min-naħa l-oħra, id-dinastija Yuan ġeneralment hija meqjusa bħala d-dinastija leġittima bejn id-dinastija tal-kanzunetta u d-dinastija Ming. Innota, madankollu, id-dinastija Yuan hija tradizzjonalment estiża biex tkopri l-imperu Mong"&amp;"oljan qabel l-istabbiliment formali ta 'Kublai Khan tal-Yuan fl-1271, parzjalment minħabba li Kublai kellu n-nannu tiegħu Genghis Khan poġġa fir-rekord uffiċjali bħala l-fundatur tad-Dynasty jew Taizu (Ċiniż:太祖). Minkejja l-istorijografija tradizzjonali k"&amp;"if ukoll il-fehmiet uffiċjali (inkluża l-gvern tad-dinastija Ming li ħakem id-dinastija Yuan), jeżistu wkoll nies Ċiniżi [li?] Li ma kkunsidrawx id-dinastija Yuan bħala dinastija leġittima taċ-Ċina, iżda pjuttost Bħala perjodu ta 'dominazzjoni barranija. "&amp;"Dawn tal-aħħar jemmnu li Han Ċiniż ġew ittrattati bħala ċittadini tat-tieni klassi, [ċitazzjoni meħtieġa] u li ċ-Ċina staġnaw ekonomikament u xjentifikament.")</f>
        <v>Id-dinastija Yuan kienet l-ewwel darba li l-poplu Ċiniż mhux nattiv iddeċieda ċ-Ċina kollha. Fl-istorijografija tal-Mongolja, ġeneralment huwa meqjus bħala t-tkomplija tal-imperu Mongoljan. Il-Mongoli huma magħrufa ħafna li jaduraw is-sema eterna, u skont l-ideoloġija tradizzjonali Mongoljana, il-wan huwa meqjus bħala "l-bidu ta 'numru infinit ta' bnedmin, il-pedament tal-paċi u l-kuntentizza, il-poter tal-istat, il-ħolma ta 'ħafna popli, minbarraha M'hemm xejn kbir jew prezzjuż. " Fl-istorijografija tradizzjonali taċ-Ċina, min-naħa l-oħra, id-dinastija Yuan ġeneralment hija meqjusa bħala d-dinastija leġittima bejn id-dinastija tal-kanzunetta u d-dinastija Ming. Innota, madankollu, id-dinastija Yuan hija tradizzjonalment estiża biex tkopri l-imperu Mongoljan qabel l-istabbiliment formali ta 'Kublai Khan tal-Yuan fl-1271, parzjalment minħabba li Kublai kellu n-nannu tiegħu Genghis Khan poġġa fir-rekord uffiċjali bħala l-fundatur tad-Dynasty jew Taizu (Ċiniż:太祖). Minkejja l-istorijografija tradizzjonali kif ukoll il-fehmiet uffiċjali (inkluża l-gvern tad-dinastija Ming li ħakem id-dinastija Yuan), jeżistu wkoll nies Ċiniżi [li?] Li ma kkunsidrawx id-dinastija Yuan bħala dinastija leġittima taċ-Ċina, iżda pjuttost Bħala perjodu ta 'dominazzjoni barranija. Dawn tal-aħħar jemmnu li Han Ċiniż ġew ittrattati bħala ċittadini tat-tieni klassi, [ċitazzjoni meħtieġa] u li ċ-Ċina staġnaw ekonomikament u xjentifikament.</v>
      </c>
    </row>
    <row r="5794" ht="15.75" customHeight="1">
      <c r="A5794" s="2" t="s">
        <v>5794</v>
      </c>
      <c r="B5794" s="2" t="str">
        <f>IFERROR(__xludf.DUMMYFUNCTION("GOOGLETRANSLATE(A5794, ""en"", ""mt"")"),"X'inhu maħsub b'mod żbaljat dwar il-membrana tal-kloroplast ta 'barra?")</f>
        <v>X'inhu maħsub b'mod żbaljat dwar il-membrana tal-kloroplast ta 'barra?</v>
      </c>
    </row>
    <row r="5795" ht="15.75" customHeight="1">
      <c r="A5795" s="2" t="s">
        <v>5795</v>
      </c>
      <c r="B5795" s="2" t="str">
        <f>IFERROR(__xludf.DUMMYFUNCTION("GOOGLETRANSLATE(A5795, ""en"", ""mt"")"),"X'kien il-partit tax-xogħol presidenzjali fit-tieni università kkummissjonat?")</f>
        <v>X'kien il-partit tax-xogħol presidenzjali fit-tieni università kkummissjonat?</v>
      </c>
    </row>
    <row r="5796" ht="15.75" customHeight="1">
      <c r="A5796" s="2" t="s">
        <v>5796</v>
      </c>
      <c r="B5796" s="2" t="str">
        <f>IFERROR(__xludf.DUMMYFUNCTION("GOOGLETRANSLATE(A5796, ""en"", ""mt"")"),"X'tip ta 'kumitat huwa stabbilit taħt l-ordnijiet permanenti ta' l-SP?")</f>
        <v>X'tip ta 'kumitat huwa stabbilit taħt l-ordnijiet permanenti ta' l-SP?</v>
      </c>
    </row>
    <row r="5797" ht="15.75" customHeight="1">
      <c r="A5797" s="2" t="s">
        <v>5797</v>
      </c>
      <c r="B5797" s="2" t="str">
        <f>IFERROR(__xludf.DUMMYFUNCTION("GOOGLETRANSLATE(A5797, ""en"", ""mt"")"),"L-ogħla terrazzin")</f>
        <v>L-ogħla terrazzin</v>
      </c>
    </row>
    <row r="5798" ht="15.75" customHeight="1">
      <c r="A5798" s="2" t="s">
        <v>5798</v>
      </c>
      <c r="B5798" s="2" t="str">
        <f>IFERROR(__xludf.DUMMYFUNCTION("GOOGLETRANSLATE(A5798, ""en"", ""mt"")"),"Eġittu tal-qedem")</f>
        <v>Eġittu tal-qedem</v>
      </c>
    </row>
    <row r="5799" ht="15.75" customHeight="1">
      <c r="A5799" s="2" t="s">
        <v>5799</v>
      </c>
      <c r="B5799" s="2" t="str">
        <f>IFERROR(__xludf.DUMMYFUNCTION("GOOGLETRANSLATE(A5799, ""en"", ""mt"")"),"Minn xiex torganizza l-Gallerija Nazzjonali tal-Art ta 'Zachęta?")</f>
        <v>Minn xiex torganizza l-Gallerija Nazzjonali tal-Art ta 'Zachęta?</v>
      </c>
    </row>
    <row r="5800" ht="15.75" customHeight="1">
      <c r="A5800" s="2" t="s">
        <v>5800</v>
      </c>
      <c r="B5800" s="2" t="str">
        <f>IFERROR(__xludf.DUMMYFUNCTION("GOOGLETRANSLATE(A5800, ""en"", ""mt"")"),"Meta Varsavja bdiet terġa 'tinbena?")</f>
        <v>Meta Varsavja bdiet terġa 'tinbena?</v>
      </c>
    </row>
    <row r="5801" ht="15.75" customHeight="1">
      <c r="A5801" s="2" t="s">
        <v>5801</v>
      </c>
      <c r="B5801" s="2" t="str">
        <f>IFERROR(__xludf.DUMMYFUNCTION("GOOGLETRANSLATE(A5801, ""en"", ""mt"")"),"Liema apparat kien wieħed mill-ewwel li jgħin kontroversja?")</f>
        <v>Liema apparat kien wieħed mill-ewwel li jgħin kontroversja?</v>
      </c>
    </row>
    <row r="5802" ht="15.75" customHeight="1">
      <c r="A5802" s="2" t="s">
        <v>5802</v>
      </c>
      <c r="B5802" s="2" t="str">
        <f>IFERROR(__xludf.DUMMYFUNCTION("GOOGLETRANSLATE(A5802, ""en"", ""mt"")"),"Vjaġġi fuq il-post")</f>
        <v>Vjaġġi fuq il-post</v>
      </c>
    </row>
    <row r="5803" ht="15.75" customHeight="1">
      <c r="A5803" s="2" t="s">
        <v>5803</v>
      </c>
      <c r="B5803" s="2" t="str">
        <f>IFERROR(__xludf.DUMMYFUNCTION("GOOGLETRANSLATE(A5803, ""en"", ""mt"")"),"il-post ċentrali tiegħu")</f>
        <v>il-post ċentrali tiegħu</v>
      </c>
    </row>
    <row r="5804" ht="15.75" customHeight="1">
      <c r="A5804" s="2" t="s">
        <v>5804</v>
      </c>
      <c r="B5804" s="2" t="str">
        <f>IFERROR(__xludf.DUMMYFUNCTION("GOOGLETRANSLATE(A5804, ""en"", ""mt"")"),"Biex tlesti l-kostruzzjoni ta 'Wardenclyffe.")</f>
        <v>Biex tlesti l-kostruzzjoni ta 'Wardenclyffe.</v>
      </c>
    </row>
    <row r="5805" ht="15.75" customHeight="1">
      <c r="A5805" s="2" t="s">
        <v>5805</v>
      </c>
      <c r="B5805" s="2" t="str">
        <f>IFERROR(__xludf.DUMMYFUNCTION("GOOGLETRANSLATE(A5805, ""en"", ""mt"")"),"In-negozjati ġew konklużi b'suċċess fis-17 ta 'Frar 1546. Wara t-8 a.m., huwa esperjenza uġigħ fis-sider. Meta mar fis-sodda tiegħu, huwa talab, ""Ġo idek nikkommetti l-ispirtu tiegħi; int fdejtni, O Mulej, Alla leali"" (Salm 31: 5), it-talb komuni tal-me"&amp;"wt. Fis-1 a.m. huwa qajjem b'aktar uġigħ fis-sider u kien imsaħħan b'xugamani sħan. Huwa rringrazzja lil Alla talli żvela lil Ibnu lilu li kien emmen. Il-kumpanji tiegħu, Justus Jonas u Michael Coelius, għajjat ​​b’ħajtejn, ""Reverend Missier, int lest li"&amp;" tmut tafda fil-Mulej Ġesù Kristu u biex tistqarr id-duttrina li għallem f’ismu?"" ""Iva"" distinta kienet ir-risposta ta 'Luther.")</f>
        <v>In-negozjati ġew konklużi b'suċċess fis-17 ta 'Frar 1546. Wara t-8 a.m., huwa esperjenza uġigħ fis-sider. Meta mar fis-sodda tiegħu, huwa talab, "Ġo idek nikkommetti l-ispirtu tiegħi; int fdejtni, O Mulej, Alla leali" (Salm 31: 5), it-talb komuni tal-mewt. Fis-1 a.m. huwa qajjem b'aktar uġigħ fis-sider u kien imsaħħan b'xugamani sħan. Huwa rringrazzja lil Alla talli żvela lil Ibnu lilu li kien emmen. Il-kumpanji tiegħu, Justus Jonas u Michael Coelius, għajjat ​​b’ħajtejn, "Reverend Missier, int lest li tmut tafda fil-Mulej Ġesù Kristu u biex tistqarr id-duttrina li għallem f’ismu?" "Iva" distinta kienet ir-risposta ta 'Luther.</v>
      </c>
    </row>
    <row r="5806" ht="15.75" customHeight="1">
      <c r="A5806" s="2" t="s">
        <v>5806</v>
      </c>
      <c r="B5806" s="2" t="str">
        <f>IFERROR(__xludf.DUMMYFUNCTION("GOOGLETRANSLATE(A5806, ""en"", ""mt"")"),"Li jvarjaw minn madwar 1 millimetru (0.039 in) sa 1.5 metri (4.9 ft) fid-daqs, ctenophores huma l-akbar annimali mhux kolonjali li jużaw cilia (""xagħar"") bħala l-metodu ewlieni tagħhom ta 'lokomozzjoni. Il-biċċa l-kbira tal-ispeċi għandhom tmien strixxi"&amp;", imsejħa ringieli tal-moxt, li jmexxu t-tul ta 'ġisimhom u l-istrixxi tal-moxt li jġorru ċ-ċili, imsejħa ""ctenes,"" f'munzelli tul ir-ringieli tal-moxt sabiex meta t-taħbit taċ-ċili, dawk ta' kull moxt imiss il-moxt Hawn taħt. L-isem ""Ctenophora"" tfis"&amp;"ser ""li jġorr il-moxt"", mill-Grieg κτείς (forma ta 'zokk κτεν-) li jfisser ""moxt"" u s-suffiss Grieg -φορος li jfisser ""li jġorr"".")</f>
        <v>Li jvarjaw minn madwar 1 millimetru (0.039 in) sa 1.5 metri (4.9 ft) fid-daqs, ctenophores huma l-akbar annimali mhux kolonjali li jużaw cilia ("xagħar") bħala l-metodu ewlieni tagħhom ta 'lokomozzjoni. Il-biċċa l-kbira tal-ispeċi għandhom tmien strixxi, imsejħa ringieli tal-moxt, li jmexxu t-tul ta 'ġisimhom u l-istrixxi tal-moxt li jġorru ċ-ċili, imsejħa "ctenes," f'munzelli tul ir-ringieli tal-moxt sabiex meta t-taħbit taċ-ċili, dawk ta' kull moxt imiss il-moxt Hawn taħt. L-isem "Ctenophora" tfisser "li jġorr il-moxt", mill-Grieg κτείς (forma ta 'zokk κτεν-) li jfisser "moxt" u s-suffiss Grieg -φορος li jfisser "li jġorr".</v>
      </c>
    </row>
    <row r="5807" ht="15.75" customHeight="1">
      <c r="A5807" s="2" t="s">
        <v>5807</v>
      </c>
      <c r="B5807" s="2" t="str">
        <f>IFERROR(__xludf.DUMMYFUNCTION("GOOGLETRANSLATE(A5807, ""en"", ""mt"")"),"l-armata u l-popolazzjoni")</f>
        <v>l-armata u l-popolazzjoni</v>
      </c>
    </row>
    <row r="5808" ht="15.75" customHeight="1">
      <c r="A5808" s="2" t="s">
        <v>5808</v>
      </c>
      <c r="B5808" s="2" t="str">
        <f>IFERROR(__xludf.DUMMYFUNCTION("GOOGLETRANSLATE(A5808, ""en"", ""mt"")"),"B'liema metodu riedet Maududi tbiddel il-qlub u l-imħuħ ta 'individwi?")</f>
        <v>B'liema metodu riedet Maududi tbiddel il-qlub u l-imħuħ ta 'individwi?</v>
      </c>
    </row>
    <row r="5809" ht="15.75" customHeight="1">
      <c r="A5809" s="2" t="s">
        <v>5809</v>
      </c>
      <c r="B5809" s="2" t="str">
        <f>IFERROR(__xludf.DUMMYFUNCTION("GOOGLETRANSLATE(A5809, ""en"", ""mt"")"),"Nofsinhar ta 'l-Istati Uniti")</f>
        <v>Nofsinhar ta 'l-Istati Uniti</v>
      </c>
    </row>
    <row r="5810" ht="15.75" customHeight="1">
      <c r="A5810" s="2" t="s">
        <v>5810</v>
      </c>
      <c r="B5810" s="2" t="str">
        <f>IFERROR(__xludf.DUMMYFUNCTION("GOOGLETRANSLATE(A5810, ""en"", ""mt"")"),"leġġenda")</f>
        <v>leġġenda</v>
      </c>
    </row>
    <row r="5811" ht="15.75" customHeight="1">
      <c r="A5811" s="2" t="s">
        <v>5811</v>
      </c>
      <c r="B5811" s="2" t="str">
        <f>IFERROR(__xludf.DUMMYFUNCTION("GOOGLETRANSLATE(A5811, ""en"", ""mt"")"),"Ħarsien soċjali")</f>
        <v>Ħarsien soċjali</v>
      </c>
    </row>
    <row r="5812" ht="15.75" customHeight="1">
      <c r="A5812" s="2" t="s">
        <v>5812</v>
      </c>
      <c r="B5812" s="2" t="str">
        <f>IFERROR(__xludf.DUMMYFUNCTION("GOOGLETRANSLATE(A5812, ""en"", ""mt"")"),"Varsavja Università tal-Bini tat-Teknoloġija")</f>
        <v>Varsavja Università tal-Bini tat-Teknoloġija</v>
      </c>
    </row>
    <row r="5813" ht="15.75" customHeight="1">
      <c r="A5813" s="2" t="s">
        <v>5813</v>
      </c>
      <c r="B5813" s="2" t="str">
        <f>IFERROR(__xludf.DUMMYFUNCTION("GOOGLETRANSLATE(A5813, ""en"", ""mt"")"),"Skola Normali Fresno")</f>
        <v>Skola Normali Fresno</v>
      </c>
    </row>
    <row r="5814" ht="15.75" customHeight="1">
      <c r="A5814" s="2" t="s">
        <v>5814</v>
      </c>
      <c r="B5814" s="2" t="str">
        <f>IFERROR(__xludf.DUMMYFUNCTION("GOOGLETRANSLATE(A5814, ""en"", ""mt"")"),"Fl-1972 (għalkemm in-Norveġja ma spiċċatx tingħaqad)")</f>
        <v>Fl-1972 (għalkemm in-Norveġja ma spiċċatx tingħaqad)</v>
      </c>
    </row>
    <row r="5815" ht="15.75" customHeight="1">
      <c r="A5815" s="2" t="s">
        <v>5815</v>
      </c>
      <c r="B5815" s="2" t="str">
        <f>IFERROR(__xludf.DUMMYFUNCTION("GOOGLETRANSLATE(A5815, ""en"", ""mt"")"),"Il-problema tal-isomorfiżmu tal-graff hija l-problema tal-komputazzjoni li tiddetermina jekk żewġ graffs finiti humiex isomorfi. Problema importanti mhux solvuta fit-teorija tal-kumplessità hija jekk il-problema tal-isomorfiżmu tal-graff hijiex f'P, NP-Co"&amp;"mplete, jew NP-Intermedjat. It-tweġiba mhix magħrufa, iżda huwa maħsub li l-problema hija tal-inqas mhux NP-kompluta. Jekk l-isomorfiżmu tal-graff huwa NP-komplut, il-ġerarkija tal-ħin polinomjali tiġġarraf għat-tieni livell tagħha. Peress li huwa maħsub "&amp;"ħafna li l-ġerarkija polinomjali ma tiġġarrafx għal ebda livell finit, huwa maħsub li l-isomorfiżmu tal-graff mhuwiex NP-komplut. L-aħjar algoritmu għal din il-problema, minħabba Laszlo Babai u Eugene Luks għandu ħin 2o (√ (n log (n))) għal graffs bi vert"&amp;"iċi N.")</f>
        <v>Il-problema tal-isomorfiżmu tal-graff hija l-problema tal-komputazzjoni li tiddetermina jekk żewġ graffs finiti humiex isomorfi. Problema importanti mhux solvuta fit-teorija tal-kumplessità hija jekk il-problema tal-isomorfiżmu tal-graff hijiex f'P, NP-Complete, jew NP-Intermedjat. It-tweġiba mhix magħrufa, iżda huwa maħsub li l-problema hija tal-inqas mhux NP-kompluta. Jekk l-isomorfiżmu tal-graff huwa NP-komplut, il-ġerarkija tal-ħin polinomjali tiġġarraf għat-tieni livell tagħha. Peress li huwa maħsub ħafna li l-ġerarkija polinomjali ma tiġġarrafx għal ebda livell finit, huwa maħsub li l-isomorfiżmu tal-graff mhuwiex NP-komplut. L-aħjar algoritmu għal din il-problema, minħabba Laszlo Babai u Eugene Luks għandu ħin 2o (√ (n log (n))) għal graffs bi vertiċi N.</v>
      </c>
    </row>
    <row r="5816" ht="15.75" customHeight="1">
      <c r="A5816" s="2" t="s">
        <v>5816</v>
      </c>
      <c r="B5816" s="2" t="str">
        <f>IFERROR(__xludf.DUMMYFUNCTION("GOOGLETRANSLATE(A5816, ""en"", ""mt"")"),"Stratigraphers manjetiċi")</f>
        <v>Stratigraphers manjetiċi</v>
      </c>
    </row>
    <row r="5817" ht="15.75" customHeight="1">
      <c r="A5817" s="2" t="s">
        <v>5817</v>
      </c>
      <c r="B5817" s="2" t="str">
        <f>IFERROR(__xludf.DUMMYFUNCTION("GOOGLETRANSLATE(A5817, ""en"", ""mt"")"),"is-sett ta 'trippli (a, b, c) tali li r-relazzjoni a × b = c iżżomm")</f>
        <v>is-sett ta 'trippli (a, b, c) tali li r-relazzjoni a × b = c iżżomm</v>
      </c>
    </row>
    <row r="5818" ht="15.75" customHeight="1">
      <c r="A5818" s="2" t="s">
        <v>5818</v>
      </c>
      <c r="B5818" s="2" t="str">
        <f>IFERROR(__xludf.DUMMYFUNCTION("GOOGLETRANSLATE(A5818, ""en"", ""mt"")"),"Kemm mill-lag li jgħaqqad mar-Rhine tista 'tara mill-gżejjer Ġermaniżi?")</f>
        <v>Kemm mill-lag li jgħaqqad mar-Rhine tista 'tara mill-gżejjer Ġermaniżi?</v>
      </c>
    </row>
    <row r="5819" ht="15.75" customHeight="1">
      <c r="A5819" s="2" t="s">
        <v>5819</v>
      </c>
      <c r="B5819" s="2" t="str">
        <f>IFERROR(__xludf.DUMMYFUNCTION("GOOGLETRANSLATE(A5819, ""en"", ""mt"")"),"17 ta ’Frar 1546")</f>
        <v>17 ta ’Frar 1546</v>
      </c>
    </row>
    <row r="5820" ht="15.75" customHeight="1">
      <c r="A5820" s="2" t="s">
        <v>5820</v>
      </c>
      <c r="B5820" s="2" t="str">
        <f>IFERROR(__xludf.DUMMYFUNCTION("GOOGLETRANSLATE(A5820, ""en"", ""mt"")"),"Teorija elettromanjetika")</f>
        <v>Teorija elettromanjetika</v>
      </c>
    </row>
    <row r="5821" ht="15.75" customHeight="1">
      <c r="A5821" s="2" t="s">
        <v>5821</v>
      </c>
      <c r="B5821" s="2" t="str">
        <f>IFERROR(__xludf.DUMMYFUNCTION("GOOGLETRANSLATE(A5821, ""en"", ""mt"")"),"Huma għandhom żewġ membrani taċ-ċelloli.")</f>
        <v>Huma għandhom żewġ membrani taċ-ċelloli.</v>
      </c>
    </row>
    <row r="5822" ht="15.75" customHeight="1">
      <c r="A5822" s="2" t="s">
        <v>5822</v>
      </c>
      <c r="B5822" s="2" t="str">
        <f>IFERROR(__xludf.DUMMYFUNCTION("GOOGLETRANSLATE(A5822, ""en"", ""mt"")"),"L-unità bażika tad-diviżjoni territorjali fil-Polonja hija komun (GMINA). Belt hija wkoll komun - iżda bil-charter tal-belt. Kemm il-bliet kif ukoll il-komuni huma rregolati minn sindku - iżda fil-komuni s-sindku huwa Vogt (wójt fil-Pollakk), madankollu f"&amp;"il-bliet - Burmistrz. Xi bliet ikbar jiksbu d-drittijiet, i.e. kompiti u privileġġi, li huma fil-pussess mill-unitajiet tat-tieni livell tad-diviżjoni territorjali - kontej jew powiats. Eżempju ta 'tali intitolament huwa reġistrazzjoni tal-karozzi: GMINA "&amp;"ma tistax tirreġistra karozzi, dan huwa kompitu ta' POWIAT (i.e. numru ta 'reġistrazzjoni jiddependi fuq dak li kien ġie rreġistrat karozza POWIAT, mhux GMINA). F'dan il-każ ngħidu dwar City County jew Powiat Grodzki. Bliet bħal dawn huma pereżempju Lubli"&amp;"n, Kraków, Gdańsk, Poznań. F'Varsavja, id-distretti tagħha wkoll għandhom xi wħud mid-drittijiet ta 'Powiat - bħalma diġà semmew ir-reġistrazzjoni tal-karozzi. Pereżempju, id-Distrett Wola għandu l-evidenza tiegħu stess u d-distrett ta 'Ursynów - tiegħu s"&amp;"tess (u l-karozzi minn Wola għandhom tip ieħor ta' numru ta 'reġistrazzjoni minn dawn minn Ursynów). Iżda pereżempju d-distretti fi Kraków m'għandhomx drittijiet ta 'POWIAT, u għalhekk in-numri ta' reġistrazzjoni fi Kraków huma tal-istess tip għad-distret"&amp;"ti kollha.")</f>
        <v>L-unità bażika tad-diviżjoni territorjali fil-Polonja hija komun (GMINA). Belt hija wkoll komun - iżda bil-charter tal-belt. Kemm il-bliet kif ukoll il-komuni huma rregolati minn sindku - iżda fil-komuni s-sindku huwa Vogt (wójt fil-Pollakk), madankollu fil-bliet - Burmistrz. Xi bliet ikbar jiksbu d-drittijiet, i.e. kompiti u privileġġi, li huma fil-pussess mill-unitajiet tat-tieni livell tad-diviżjoni territorjali - kontej jew powiats. Eżempju ta 'tali intitolament huwa reġistrazzjoni tal-karozzi: GMINA ma tistax tirreġistra karozzi, dan huwa kompitu ta' POWIAT (i.e. numru ta 'reġistrazzjoni jiddependi fuq dak li kien ġie rreġistrat karozza POWIAT, mhux GMINA). F'dan il-każ ngħidu dwar City County jew Powiat Grodzki. Bliet bħal dawn huma pereżempju Lublin, Kraków, Gdańsk, Poznań. F'Varsavja, id-distretti tagħha wkoll għandhom xi wħud mid-drittijiet ta 'Powiat - bħalma diġà semmew ir-reġistrazzjoni tal-karozzi. Pereżempju, id-Distrett Wola għandu l-evidenza tiegħu stess u d-distrett ta 'Ursynów - tiegħu stess (u l-karozzi minn Wola għandhom tip ieħor ta' numru ta 'reġistrazzjoni minn dawn minn Ursynów). Iżda pereżempju d-distretti fi Kraków m'għandhomx drittijiet ta 'POWIAT, u għalhekk in-numri ta' reġistrazzjoni fi Kraków huma tal-istess tip għad-distretti kollha.</v>
      </c>
    </row>
    <row r="5823" ht="15.75" customHeight="1">
      <c r="A5823" s="2" t="s">
        <v>5823</v>
      </c>
      <c r="B5823" s="2" t="str">
        <f>IFERROR(__xludf.DUMMYFUNCTION("GOOGLETRANSLATE(A5823, ""en"", ""mt"")"),"turbina diga")</f>
        <v>turbina diga</v>
      </c>
    </row>
    <row r="5824" ht="15.75" customHeight="1">
      <c r="A5824" s="2" t="s">
        <v>5824</v>
      </c>
      <c r="B5824" s="2" t="str">
        <f>IFERROR(__xludf.DUMMYFUNCTION("GOOGLETRANSLATE(A5824, ""en"", ""mt"")"),"Konsegwenza proċedurali tat-twaqqif tal-Parlament Skoċċiż hija li l-membri parlamentari Skoċċiżi li joqogħdu fil-House of Commons tar-Renju Unit huma kapaċi jivvutaw fuq leġislazzjoni domestika li tapplika biss għall-Ingilterra, Wales u l-Irlanda ta 'Fuq "&amp;"- waqt li l-MPs tal-Westminster Ingliżi, Skoċċiżi u Welsh u tat-Tramuntana Irlandiżi ma jistgħux jivvutaw fuq il-leġislazzjoni domestika tal-Parlament Skoċċiż. Dan il-fenomenu huwa magħruf bħala l-Mistoqsija Lothian tal-Punent u wassal għal kritika. Wara "&amp;"r-rebħa konservattiva fl-elezzjoni tar-Renju Unit tal-2015, ordnijiet permanenti tal-House of Commons inbidlu biex jagħtu lill-membri parlamentari li jirrappreżentaw lill-kostitwenzi Ingliżi ""veto"" ġdid fuq liġijiet li jaffettwaw biss l-Ingilterra.")</f>
        <v>Konsegwenza proċedurali tat-twaqqif tal-Parlament Skoċċiż hija li l-membri parlamentari Skoċċiżi li joqogħdu fil-House of Commons tar-Renju Unit huma kapaċi jivvutaw fuq leġislazzjoni domestika li tapplika biss għall-Ingilterra, Wales u l-Irlanda ta 'Fuq - waqt li l-MPs tal-Westminster Ingliżi, Skoċċiżi u Welsh u tat-Tramuntana Irlandiżi ma jistgħux jivvutaw fuq il-leġislazzjoni domestika tal-Parlament Skoċċiż. Dan il-fenomenu huwa magħruf bħala l-Mistoqsija Lothian tal-Punent u wassal għal kritika. Wara r-rebħa konservattiva fl-elezzjoni tar-Renju Unit tal-2015, ordnijiet permanenti tal-House of Commons inbidlu biex jagħtu lill-membri parlamentari li jirrappreżentaw lill-kostitwenzi Ingliżi "veto" ġdid fuq liġijiet li jaffettwaw biss l-Ingilterra.</v>
      </c>
    </row>
    <row r="5825" ht="15.75" customHeight="1">
      <c r="A5825" s="2" t="s">
        <v>5825</v>
      </c>
      <c r="B5825" s="2" t="str">
        <f>IFERROR(__xludf.DUMMYFUNCTION("GOOGLETRANSLATE(A5825, ""en"", ""mt"")"),"X'inhi l-inqas temperatura rreġistrata fir-Rabat?")</f>
        <v>X'inhi l-inqas temperatura rreġistrata fir-Rabat?</v>
      </c>
    </row>
    <row r="5826" ht="15.75" customHeight="1">
      <c r="A5826" s="2" t="s">
        <v>5826</v>
      </c>
      <c r="B5826" s="2" t="str">
        <f>IFERROR(__xludf.DUMMYFUNCTION("GOOGLETRANSLATE(A5826, ""en"", ""mt"")"),"fuq il-waterfront tal-belt")</f>
        <v>fuq il-waterfront tal-belt</v>
      </c>
    </row>
    <row r="5827" ht="15.75" customHeight="1">
      <c r="A5827" s="2" t="s">
        <v>5827</v>
      </c>
      <c r="B5827" s="2" t="str">
        <f>IFERROR(__xludf.DUMMYFUNCTION("GOOGLETRANSLATE(A5827, ""en"", ""mt"")"),"Fuq xiex ħadmet Tesla fl-1888?")</f>
        <v>Fuq xiex ħadmet Tesla fl-1888?</v>
      </c>
    </row>
    <row r="5828" ht="15.75" customHeight="1">
      <c r="A5828" s="2" t="s">
        <v>5828</v>
      </c>
      <c r="B5828" s="2" t="str">
        <f>IFERROR(__xludf.DUMMYFUNCTION("GOOGLETRANSLATE(A5828, ""en"", ""mt"")"),"cricket, rally, futbol, ​​unjoni tar-rugby u boxing")</f>
        <v>cricket, rally, futbol, ​​unjoni tar-rugby u boxing</v>
      </c>
    </row>
    <row r="5829" ht="15.75" customHeight="1">
      <c r="A5829" s="2" t="s">
        <v>5829</v>
      </c>
      <c r="B5829" s="2" t="str">
        <f>IFERROR(__xludf.DUMMYFUNCTION("GOOGLETRANSLATE(A5829, ""en"", ""mt"")"),"Fejn għexu l-kolonizzaturi Ingliżi?")</f>
        <v>Fejn għexu l-kolonizzaturi Ingliżi?</v>
      </c>
    </row>
    <row r="5830" ht="15.75" customHeight="1">
      <c r="A5830" s="2" t="s">
        <v>5830</v>
      </c>
      <c r="B5830" s="2" t="str">
        <f>IFERROR(__xludf.DUMMYFUNCTION("GOOGLETRANSLATE(A5830, ""en"", ""mt"")"),"Kif iddeskriva Der Sturmer Luther's fuq il-Lhud u l-gideb tagħhom")</f>
        <v>Kif iddeskriva Der Sturmer Luther's fuq il-Lhud u l-gideb tagħhom</v>
      </c>
    </row>
    <row r="5831" ht="15.75" customHeight="1">
      <c r="A5831" s="2" t="s">
        <v>5831</v>
      </c>
      <c r="B5831" s="2" t="str">
        <f>IFERROR(__xludf.DUMMYFUNCTION("GOOGLETRANSLATE(A5831, ""en"", ""mt"")"),"Il-ħatriet kollha tal-kleru a")</f>
        <v>Il-ħatriet kollha tal-kleru a</v>
      </c>
    </row>
    <row r="5832" ht="15.75" customHeight="1">
      <c r="A5832" s="2" t="s">
        <v>5832</v>
      </c>
      <c r="B5832" s="2" t="str">
        <f>IFERROR(__xludf.DUMMYFUNCTION("GOOGLETRANSLATE(A5832, ""en"", ""mt"")"),"Sal-ftuħ tal-Konferenza Ġenerali tal-2008, x'kienet is-sħubija totali tal-UMC fl-Istati Uniti?")</f>
        <v>Sal-ftuħ tal-Konferenza Ġenerali tal-2008, x'kienet is-sħubija totali tal-UMC fl-Istati Uniti?</v>
      </c>
    </row>
    <row r="5833" ht="15.75" customHeight="1">
      <c r="A5833" s="2" t="s">
        <v>5833</v>
      </c>
      <c r="B5833" s="2" t="str">
        <f>IFERROR(__xludf.DUMMYFUNCTION("GOOGLETRANSLATE(A5833, ""en"", ""mt"")"),"Iċ-Ċina tan-Nofsinhar")</f>
        <v>Iċ-Ċina tan-Nofsinhar</v>
      </c>
    </row>
    <row r="5834" ht="15.75" customHeight="1">
      <c r="A5834" s="2" t="s">
        <v>5834</v>
      </c>
      <c r="B5834" s="2" t="str">
        <f>IFERROR(__xludf.DUMMYFUNCTION("GOOGLETRANSLATE(A5834, ""en"", ""mt"")"),"100 biljun dollaru")</f>
        <v>100 biljun dollaru</v>
      </c>
    </row>
    <row r="5835" ht="15.75" customHeight="1">
      <c r="A5835" s="2" t="s">
        <v>5835</v>
      </c>
      <c r="B5835" s="2" t="str">
        <f>IFERROR(__xludf.DUMMYFUNCTION("GOOGLETRANSLATE(A5835, ""en"", ""mt"")"),"Melatonin waqt l-irqad jista 'jikkumbatti b'mod attiv il-produzzjoni ta' xiex?")</f>
        <v>Melatonin waqt l-irqad jista 'jikkumbatti b'mod attiv il-produzzjoni ta' xiex?</v>
      </c>
    </row>
    <row r="5836" ht="15.75" customHeight="1">
      <c r="A5836" s="2" t="s">
        <v>5836</v>
      </c>
      <c r="B5836" s="2" t="str">
        <f>IFERROR(__xludf.DUMMYFUNCTION("GOOGLETRANSLATE(A5836, ""en"", ""mt"")"),"Kif jissejjaħ id-derivattiv tal-momentum li jinbidel ta 'oġġett?")</f>
        <v>Kif jissejjaħ id-derivattiv tal-momentum li jinbidel ta 'oġġett?</v>
      </c>
    </row>
    <row r="5837" ht="15.75" customHeight="1">
      <c r="A5837" s="2" t="s">
        <v>5837</v>
      </c>
      <c r="B5837" s="2" t="str">
        <f>IFERROR(__xludf.DUMMYFUNCTION("GOOGLETRANSLATE(A5837, ""en"", ""mt"")"),"Kważi ċ-ċtenofori kollha huma predaturi, li jieħdu priża li jvarjaw minn larva mikroskopika u rotifers għall-adulti ta 'krustaċji żgħar; L-eċċezzjonijiet huma minorenni ta 'żewġ speċi, li jgħixu bħala parassiti fuq is-salps li fuqhom jitimgħu adulti ta' l"&amp;"-ispeċi tagħhom. F’ċirkostanzi favorevoli, iċ-ctenophores jistgħu jieklu għaxar darbiet il-piż tagħhom stess f’ġurnata. 100-150 speċi biss ġew ivvalidati, u possibbilment 25 oħra ma ġewx deskritti u msemmija għal kollox. L-eżempji tal-ktieb tat-test huma "&amp;"cydippids b'korpi b'forma ta 'bajd u par ta' tentakli li jistgħu jinġibdu lura bil-fringed bit-tentilla (""ftit tentakli"") li huma miksija bil-kolloblasti, ċelloli li jwaħħlu li jaqbdu l-priża. Il-phylum għandu firxa wiesgħa ta 'forom tal-ġisem, inklużi "&amp;"l-plattenids iċċattjati, fil-fond tal-baħar, li fihom l-adulti tal-biċċa l-kbira tal-ispeċi m'għandhomx pettnijiet, u l-beroids kostali, li m'għandhomx tentakli u priża fuq ctenophores oħra billi jużaw ħalq enormi armati bi gruppi ta' Ċili kbar u mwebbsa "&amp;"li jaġixxu bħala snien. Dawn il-varjazzjonijiet jippermettu speċi differenti biex jibnu popolazzjonijiet kbar fl-istess żona, minħabba li jispeċjalizzaw f'tipi differenti ta 'priża, li huma jaqbdu b'firxa wiesgħa ta' metodi kif jużaw il-brimb.")</f>
        <v>Kważi ċ-ċtenofori kollha huma predaturi, li jieħdu priża li jvarjaw minn larva mikroskopika u rotifers għall-adulti ta 'krustaċji żgħar; L-eċċezzjonijiet huma minorenni ta 'żewġ speċi, li jgħixu bħala parassiti fuq is-salps li fuqhom jitimgħu adulti ta' l-ispeċi tagħhom. F’ċirkostanzi favorevoli, iċ-ctenophores jistgħu jieklu għaxar darbiet il-piż tagħhom stess f’ġurnata. 100-150 speċi biss ġew ivvalidati, u possibbilment 25 oħra ma ġewx deskritti u msemmija għal kollox. L-eżempji tal-ktieb tat-test huma cydippids b'korpi b'forma ta 'bajd u par ta' tentakli li jistgħu jinġibdu lura bil-fringed bit-tentilla ("ftit tentakli") li huma miksija bil-kolloblasti, ċelloli li jwaħħlu li jaqbdu l-priża. Il-phylum għandu firxa wiesgħa ta 'forom tal-ġisem, inklużi l-plattenids iċċattjati, fil-fond tal-baħar, li fihom l-adulti tal-biċċa l-kbira tal-ispeċi m'għandhomx pettnijiet, u l-beroids kostali, li m'għandhomx tentakli u priża fuq ctenophores oħra billi jużaw ħalq enormi armati bi gruppi ta' Ċili kbar u mwebbsa li jaġixxu bħala snien. Dawn il-varjazzjonijiet jippermettu speċi differenti biex jibnu popolazzjonijiet kbar fl-istess żona, minħabba li jispeċjalizzaw f'tipi differenti ta 'priża, li huma jaqbdu b'firxa wiesgħa ta' metodi kif jużaw il-brimb.</v>
      </c>
    </row>
    <row r="5838" ht="15.75" customHeight="1">
      <c r="A5838" s="2" t="s">
        <v>5838</v>
      </c>
      <c r="B5838" s="2" t="str">
        <f>IFERROR(__xludf.DUMMYFUNCTION("GOOGLETRANSLATE(A5838, ""en"", ""mt"")"),"Klassi II MHC")</f>
        <v>Klassi II MHC</v>
      </c>
    </row>
    <row r="5839" ht="15.75" customHeight="1">
      <c r="A5839" s="2" t="s">
        <v>5839</v>
      </c>
      <c r="B5839" s="2" t="str">
        <f>IFERROR(__xludf.DUMMYFUNCTION("GOOGLETRANSLATE(A5839, ""en"", ""mt"")"),"żieda fir-riżultati tas-saħħa tal-pazjent u l-ispejjeż mnaqqsa")</f>
        <v>żieda fir-riżultati tas-saħħa tal-pazjent u l-ispejjeż mnaqqsa</v>
      </c>
    </row>
    <row r="5840" ht="15.75" customHeight="1">
      <c r="A5840" s="2" t="s">
        <v>5840</v>
      </c>
      <c r="B5840" s="2" t="str">
        <f>IFERROR(__xludf.DUMMYFUNCTION("GOOGLETRANSLATE(A5840, ""en"", ""mt"")"),"theddida tal-gwerra")</f>
        <v>theddida tal-gwerra</v>
      </c>
    </row>
    <row r="5841" ht="15.75" customHeight="1">
      <c r="A5841" s="2" t="s">
        <v>5841</v>
      </c>
      <c r="B5841" s="2" t="str">
        <f>IFERROR(__xludf.DUMMYFUNCTION("GOOGLETRANSLATE(A5841, ""en"", ""mt"")"),"Il-partiċelli tal-materja huma murija bħala x'tip ta 'linji fid-dijagramma ta' Feynman?")</f>
        <v>Il-partiċelli tal-materja huma murija bħala x'tip ta 'linji fid-dijagramma ta' Feynman?</v>
      </c>
    </row>
    <row r="5842" ht="15.75" customHeight="1">
      <c r="A5842" s="2" t="s">
        <v>5842</v>
      </c>
      <c r="B5842" s="2" t="str">
        <f>IFERROR(__xludf.DUMMYFUNCTION("GOOGLETRANSLATE(A5842, ""en"", ""mt"")"),"fl-erbgħa")</f>
        <v>fl-erbgħa</v>
      </c>
    </row>
    <row r="5843" ht="15.75" customHeight="1">
      <c r="A5843" s="2" t="s">
        <v>5843</v>
      </c>
      <c r="B5843" s="2" t="str">
        <f>IFERROR(__xludf.DUMMYFUNCTION("GOOGLETRANSLATE(A5843, ""en"", ""mt"")"),"Meraq tal-għeneb mhux iffermentat")</f>
        <v>Meraq tal-għeneb mhux iffermentat</v>
      </c>
    </row>
    <row r="5844" ht="15.75" customHeight="1">
      <c r="A5844" s="2" t="s">
        <v>5844</v>
      </c>
      <c r="B5844" s="2" t="str">
        <f>IFERROR(__xludf.DUMMYFUNCTION("GOOGLETRANSLATE(A5844, ""en"", ""mt"")"),"Liema industrija tal-Afrika t'Isfel niżlet mill-kolonizzaturi Huguenot?")</f>
        <v>Liema industrija tal-Afrika t'Isfel niżlet mill-kolonizzaturi Huguenot?</v>
      </c>
    </row>
    <row r="5845" ht="15.75" customHeight="1">
      <c r="A5845" s="2" t="s">
        <v>5845</v>
      </c>
      <c r="B5845" s="2" t="str">
        <f>IFERROR(__xludf.DUMMYFUNCTION("GOOGLETRANSLATE(A5845, ""en"", ""mt"")"),"It-tensjoni tal-istress")</f>
        <v>It-tensjoni tal-istress</v>
      </c>
    </row>
    <row r="5846" ht="15.75" customHeight="1">
      <c r="A5846" s="2" t="s">
        <v>5846</v>
      </c>
      <c r="B5846" s="2" t="str">
        <f>IFERROR(__xludf.DUMMYFUNCTION("GOOGLETRANSLATE(A5846, ""en"", ""mt"")"),"X'għandhom il-kloroplasti ħodor minflok il-phycobilisomes?")</f>
        <v>X'għandhom il-kloroplasti ħodor minflok il-phycobilisomes?</v>
      </c>
    </row>
    <row r="5847" ht="15.75" customHeight="1">
      <c r="A5847" s="2" t="s">
        <v>5847</v>
      </c>
      <c r="B5847" s="2" t="str">
        <f>IFERROR(__xludf.DUMMYFUNCTION("GOOGLETRANSLATE(A5847, ""en"", ""mt"")"),"Fost stati fl-Istati Uniti b'inugwaljanzi ta 'dħul akbar")</f>
        <v>Fost stati fl-Istati Uniti b'inugwaljanzi ta 'dħul akbar</v>
      </c>
    </row>
    <row r="5848" ht="15.75" customHeight="1">
      <c r="A5848" s="2" t="s">
        <v>5848</v>
      </c>
      <c r="B5848" s="2" t="str">
        <f>IFERROR(__xludf.DUMMYFUNCTION("GOOGLETRANSLATE(A5848, ""en"", ""mt"")"),"indirizzi")</f>
        <v>indirizzi</v>
      </c>
    </row>
    <row r="5849" ht="15.75" customHeight="1">
      <c r="A5849" s="2" t="s">
        <v>5849</v>
      </c>
      <c r="B5849" s="2" t="str">
        <f>IFERROR(__xludf.DUMMYFUNCTION("GOOGLETRANSLATE(A5849, ""en"", ""mt"")"),"Min iġġieled fil-Gwerra Franċiża u Indjana?")</f>
        <v>Min iġġieled fil-Gwerra Franċiża u Indjana?</v>
      </c>
    </row>
    <row r="5850" ht="15.75" customHeight="1">
      <c r="A5850" s="2" t="s">
        <v>5850</v>
      </c>
      <c r="B5850" s="2" t="str">
        <f>IFERROR(__xludf.DUMMYFUNCTION("GOOGLETRANSLATE(A5850, ""en"", ""mt"")"),"X.25 juża liema tip ta 'netwerk tat-tip")</f>
        <v>X.25 juża liema tip ta 'netwerk tat-tip</v>
      </c>
    </row>
    <row r="5851" ht="15.75" customHeight="1">
      <c r="A5851" s="2" t="s">
        <v>5851</v>
      </c>
      <c r="B5851" s="2" t="str">
        <f>IFERROR(__xludf.DUMMYFUNCTION("GOOGLETRANSLATE(A5851, ""en"", ""mt"")"),"Monarka")</f>
        <v>Monarka</v>
      </c>
    </row>
    <row r="5852" ht="15.75" customHeight="1">
      <c r="A5852" s="2" t="s">
        <v>5852</v>
      </c>
      <c r="B5852" s="2" t="str">
        <f>IFERROR(__xludf.DUMMYFUNCTION("GOOGLETRANSLATE(A5852, ""en"", ""mt"")"),"Liema armi kienu qed jużaw iż-Żulus matul il-Gwerra Anglo-Żulu tal-1879?")</f>
        <v>Liema armi kienu qed jużaw iż-Żulus matul il-Gwerra Anglo-Żulu tal-1879?</v>
      </c>
    </row>
    <row r="5853" ht="15.75" customHeight="1">
      <c r="A5853" s="2" t="s">
        <v>5853</v>
      </c>
      <c r="B5853" s="2" t="str">
        <f>IFERROR(__xludf.DUMMYFUNCTION("GOOGLETRANSLATE(A5853, ""en"", ""mt"")"),"Bosta pitturi Franċiżi daħlu fil-kollezzjoni bħala parti mill-260 pitturi u miniatures (mhux ix-xogħlijiet kollha kienu Franċiżi, pereżempju l-verġni u t-tifel ta 'Carlo Crivelli) li ffurmaw parti mill-Bequest Jones tal-1882 u bħala tali huma murija fil-g"&amp;"alleriji ta' l-Art Kontinentali 1600-1800, inkluż ir-ritratt ta 'François, Duc d'Alençon minn François Clouet, Gaspard Dughet u xogħlijiet minn François Boucher inkluż ir-ritratt tiegħu ta' Madame de Pompadour datat 1758, Jean François de Troy, Jean-Bapti"&amp;"ste Pater u l-kontemporanji tagħhom.")</f>
        <v>Bosta pitturi Franċiżi daħlu fil-kollezzjoni bħala parti mill-260 pitturi u miniatures (mhux ix-xogħlijiet kollha kienu Franċiżi, pereżempju l-verġni u t-tifel ta 'Carlo Crivelli) li ffurmaw parti mill-Bequest Jones tal-1882 u bħala tali huma murija fil-galleriji ta' l-Art Kontinentali 1600-1800, inkluż ir-ritratt ta 'François, Duc d'Alençon minn François Clouet, Gaspard Dughet u xogħlijiet minn François Boucher inkluż ir-ritratt tiegħu ta' Madame de Pompadour datat 1758, Jean François de Troy, Jean-Baptiste Pater u l-kontemporanji tagħhom.</v>
      </c>
    </row>
    <row r="5854" ht="15.75" customHeight="1">
      <c r="A5854" s="2" t="s">
        <v>5854</v>
      </c>
      <c r="B5854" s="2" t="str">
        <f>IFERROR(__xludf.DUMMYFUNCTION("GOOGLETRANSLATE(A5854, ""en"", ""mt"")"),"Wara l-indipendenza tal-Malasja fl-1957, il-gvern ta struzzjonijiet lill-iskejjel kollha biex iċedu l-proprjetajiet tagħhom u jiġu assimilati fis-sistema tal-iskejjel nazzjonali. Dan ikkawża tħawwil fost iċ-Ċiniżi u nkiseb kompromess billi l-iskejjel minf"&amp;"lok isiru skejjel tat-tip ""nazzjonali"". Taħt sistema bħal din, il-gvern huwa inkarigat biss mill-kurrikulu tal-iskola u l-persunal tat-tagħlim waqt li l-artijiet għadhom jappartjenu għall-iskejjel. Filwaqt li l-iskejjel primarji Ċiniżi tħallew iżommu ċ-"&amp;"Ċiniż bħala l-mezz ta 'struzzjoni, l-iskejjel sekondarji Ċiniżi huma meħtieġa jinbidlu fi skejjel tal-medja Ingliża. Aktar minn 60 skola kkonvertiti biex isiru skejjel tat-tip nazzjonali.")</f>
        <v>Wara l-indipendenza tal-Malasja fl-1957, il-gvern ta struzzjonijiet lill-iskejjel kollha biex iċedu l-proprjetajiet tagħhom u jiġu assimilati fis-sistema tal-iskejjel nazzjonali. Dan ikkawża tħawwil fost iċ-Ċiniżi u nkiseb kompromess billi l-iskejjel minflok isiru skejjel tat-tip "nazzjonali". Taħt sistema bħal din, il-gvern huwa inkarigat biss mill-kurrikulu tal-iskola u l-persunal tat-tagħlim waqt li l-artijiet għadhom jappartjenu għall-iskejjel. Filwaqt li l-iskejjel primarji Ċiniżi tħallew iżommu ċ-Ċiniż bħala l-mezz ta 'struzzjoni, l-iskejjel sekondarji Ċiniżi huma meħtieġa jinbidlu fi skejjel tal-medja Ingliża. Aktar minn 60 skola kkonvertiti biex isiru skejjel tat-tip nazzjonali.</v>
      </c>
    </row>
    <row r="5855" ht="15.75" customHeight="1">
      <c r="A5855" s="2" t="s">
        <v>5855</v>
      </c>
      <c r="B5855" s="2" t="str">
        <f>IFERROR(__xludf.DUMMYFUNCTION("GOOGLETRANSLATE(A5855, ""en"", ""mt"")"),"Il-proċess tal-IPCC dwar it-tibdil fil-klima u l-effiċjenza u s-suċċess tiegħu ġie mqabbel ma 'trattamenti ma' sfidi ambjentali oħra (qabbel it-tnaqqis tal-ożonu u t-tisħin globali). Fil-każ tar-regolament globali tat-tnaqqis tal-ożonu bbażat fuq il-proto"&amp;"koll ta 'Montreal kien suċċess, f'każ ta' bidla fil-klima, il-protokoll ta 'Kyoto falla. Il-każ tal-ożonu ntuża biex tevalwa l-effiċjenza tal-proċess IPCC. Is-sitwazzjoni tal-lockstep tal-IPCC qed tibni kunsens wiesa 'tax-xjenza filwaqt li l-istati u l-gv"&amp;"ernijiet għadhom isegwu għanijiet differenti, jekk mhux opposti. Il-mudell lineari sottostanti tat-tfassil tal-politika ta 'aktar għarfien li għandna, aħjar tkun qed tiġi ddubita r-rispons politiku.")</f>
        <v>Il-proċess tal-IPCC dwar it-tibdil fil-klima u l-effiċjenza u s-suċċess tiegħu ġie mqabbel ma 'trattamenti ma' sfidi ambjentali oħra (qabbel it-tnaqqis tal-ożonu u t-tisħin globali). Fil-każ tar-regolament globali tat-tnaqqis tal-ożonu bbażat fuq il-protokoll ta 'Montreal kien suċċess, f'każ ta' bidla fil-klima, il-protokoll ta 'Kyoto falla. Il-każ tal-ożonu ntuża biex tevalwa l-effiċjenza tal-proċess IPCC. Is-sitwazzjoni tal-lockstep tal-IPCC qed tibni kunsens wiesa 'tax-xjenza filwaqt li l-istati u l-gvernijiet għadhom isegwu għanijiet differenti, jekk mhux opposti. Il-mudell lineari sottostanti tat-tfassil tal-politika ta 'aktar għarfien li għandna, aħjar tkun qed tiġi ddubita r-rispons politiku.</v>
      </c>
    </row>
    <row r="5856" ht="15.75" customHeight="1">
      <c r="A5856" s="2" t="s">
        <v>5856</v>
      </c>
      <c r="B5856" s="2" t="str">
        <f>IFERROR(__xludf.DUMMYFUNCTION("GOOGLETRANSLATE(A5856, ""en"", ""mt"")"),"20% sa 25%")</f>
        <v>20% sa 25%</v>
      </c>
    </row>
    <row r="5857" ht="15.75" customHeight="1">
      <c r="A5857" s="2" t="s">
        <v>5857</v>
      </c>
      <c r="B5857" s="2" t="str">
        <f>IFERROR(__xludf.DUMMYFUNCTION("GOOGLETRANSLATE(A5857, ""en"", ""mt"")"),"X'jista 'jagħmel il-fwar tal-egżost meta l-avveniment tal-egżost ma jkunx twil biżżejjed?")</f>
        <v>X'jista 'jagħmel il-fwar tal-egżost meta l-avveniment tal-egżost ma jkunx twil biżżejjed?</v>
      </c>
    </row>
    <row r="5858" ht="15.75" customHeight="1">
      <c r="A5858" s="2" t="s">
        <v>5858</v>
      </c>
      <c r="B5858" s="2" t="str">
        <f>IFERROR(__xludf.DUMMYFUNCTION("GOOGLETRANSLATE(A5858, ""en"", ""mt"")"),"Il-Katekiżmu huwa wieħed mill-aktar xogħlijiet personali ta 'Luther. ""Fir-rigward tal-pjan li niġbor il-kitbiet tiegħi f'volumi,"" kiteb, ""Jiena pjuttost frisk u xejn ħerqan dwar dan għaliex, imqajjem minn ġuħ Saturnjan, nixtieq narahom kollha devorati."&amp;" Għax ma nirrikonoxxi l-ebda wieħed minnhom Kun verament ktieb tiegħi, ħlief forsi l-jasar tar-rieda u tal-katekiżmu. "" Il-katekiżmu żgħir kiseb reputazzjoni bħala mudell ta ’tagħlim reliġjuż ċar. Jibqa 'jintuża llum, flimkien ma' l-innijiet ta 'Luther u"&amp;" t-traduzzjoni tiegħu tal-Bibbja.")</f>
        <v>Il-Katekiżmu huwa wieħed mill-aktar xogħlijiet personali ta 'Luther. "Fir-rigward tal-pjan li niġbor il-kitbiet tiegħi f'volumi," kiteb, "Jiena pjuttost frisk u xejn ħerqan dwar dan għaliex, imqajjem minn ġuħ Saturnjan, nixtieq narahom kollha devorati. Għax ma nirrikonoxxi l-ebda wieħed minnhom Kun verament ktieb tiegħi, ħlief forsi l-jasar tar-rieda u tal-katekiżmu. " Il-katekiżmu żgħir kiseb reputazzjoni bħala mudell ta ’tagħlim reliġjuż ċar. Jibqa 'jintuża llum, flimkien ma' l-innijiet ta 'Luther u t-traduzzjoni tiegħu tal-Bibbja.</v>
      </c>
    </row>
    <row r="5859" ht="15.75" customHeight="1">
      <c r="A5859" s="2" t="s">
        <v>5859</v>
      </c>
      <c r="B5859" s="2" t="str">
        <f>IFERROR(__xludf.DUMMYFUNCTION("GOOGLETRANSLATE(A5859, ""en"", ""mt"")"),"kostruzzjoni ta 'xogħlijiet ta' delta")</f>
        <v>kostruzzjoni ta 'xogħlijiet ta' delta</v>
      </c>
    </row>
    <row r="5860" ht="15.75" customHeight="1">
      <c r="A5860" s="2" t="s">
        <v>5860</v>
      </c>
      <c r="B5860" s="2" t="str">
        <f>IFERROR(__xludf.DUMMYFUNCTION("GOOGLETRANSLATE(A5860, ""en"", ""mt"")"),"fuq il-web")</f>
        <v>fuq il-web</v>
      </c>
    </row>
    <row r="5861" ht="15.75" customHeight="1">
      <c r="A5861" s="2" t="s">
        <v>5861</v>
      </c>
      <c r="B5861" s="2" t="str">
        <f>IFERROR(__xludf.DUMMYFUNCTION("GOOGLETRANSLATE(A5861, ""en"", ""mt"")"),"Il-preżenza ta 'min huwa probabbli ħafna anke fi proġetti żgħar?")</f>
        <v>Il-preżenza ta 'min huwa probabbli ħafna anke fi proġetti żgħar?</v>
      </c>
    </row>
    <row r="5862" ht="15.75" customHeight="1">
      <c r="A5862" s="2" t="s">
        <v>5862</v>
      </c>
      <c r="B5862" s="2" t="str">
        <f>IFERROR(__xludf.DUMMYFUNCTION("GOOGLETRANSLATE(A5862, ""en"", ""mt"")"),"Hemm ħafna primes infinitament, kif muri mill-Ewklide madwar 300 QK. M'hemm l-ebda formula sempliċi magħrufa li tifred in-numri ewlenin minn numri komposti. Madankollu, id-distribuzzjoni tal-primes, jiġifieri, l-imġieba statistika tal-primes fil-kbir, tis"&amp;"ta 'tkun immudellata. L-ewwel riżultat f'dik id-direzzjoni huwa t-teorema tan-numru ewlieni, ippruvat fl-aħħar tas-seklu 19, li jgħid li l-probabbiltà li n-numru magħżul mogħti bl-addoċċ huwa prim huwa inversament proporzjonali għan-numru ta 'ċifri tiegħu"&amp;", jew għall-logaritmu ta' n.")</f>
        <v>Hemm ħafna primes infinitament, kif muri mill-Ewklide madwar 300 QK. M'hemm l-ebda formula sempliċi magħrufa li tifred in-numri ewlenin minn numri komposti. Madankollu, id-distribuzzjoni tal-primes, jiġifieri, l-imġieba statistika tal-primes fil-kbir, tista 'tkun immudellata. L-ewwel riżultat f'dik id-direzzjoni huwa t-teorema tan-numru ewlieni, ippruvat fl-aħħar tas-seklu 19, li jgħid li l-probabbiltà li n-numru magħżul mogħti bl-addoċċ huwa prim huwa inversament proporzjonali għan-numru ta 'ċifri tiegħu, jew għall-logaritmu ta' n.</v>
      </c>
    </row>
    <row r="5863" ht="15.75" customHeight="1">
      <c r="A5863" s="2" t="s">
        <v>5863</v>
      </c>
      <c r="B5863" s="2" t="str">
        <f>IFERROR(__xludf.DUMMYFUNCTION("GOOGLETRANSLATE(A5863, ""en"", ""mt"")"),"Liema entità tinforza l-karta tad-drittijiet fundamentali tal-Unjoni Ewropea?")</f>
        <v>Liema entità tinforza l-karta tad-drittijiet fundamentali tal-Unjoni Ewropea?</v>
      </c>
    </row>
    <row r="5864" ht="15.75" customHeight="1">
      <c r="A5864" s="2" t="s">
        <v>5864</v>
      </c>
      <c r="B5864" s="2" t="str">
        <f>IFERROR(__xludf.DUMMYFUNCTION("GOOGLETRANSLATE(A5864, ""en"", ""mt"")"),"Min kienet preġudikata Tesla?")</f>
        <v>Min kienet preġudikata Tesla?</v>
      </c>
    </row>
    <row r="5865" ht="15.75" customHeight="1">
      <c r="A5865" s="2" t="s">
        <v>5865</v>
      </c>
      <c r="B5865" s="2" t="str">
        <f>IFERROR(__xludf.DUMMYFUNCTION("GOOGLETRANSLATE(A5865, ""en"", ""mt"")"),"Kuntratt ta '""Disinn Ibni""")</f>
        <v>Kuntratt ta '"Disinn Ibni"</v>
      </c>
    </row>
    <row r="5866" ht="15.75" customHeight="1">
      <c r="A5866" s="2" t="s">
        <v>5866</v>
      </c>
      <c r="B5866" s="2" t="str">
        <f>IFERROR(__xludf.DUMMYFUNCTION("GOOGLETRANSLATE(A5866, ""en"", ""mt"")"),"Internet2 irtirat uffiċjalment Abilene u issa jirreferi għan-netwerk ġdid u ta 'kapaċità ogħla tiegħu bħala n-netwerk Internet2")</f>
        <v>Internet2 irtirat uffiċjalment Abilene u issa jirreferi għan-netwerk ġdid u ta 'kapaċità ogħla tiegħu bħala n-netwerk Internet2</v>
      </c>
    </row>
    <row r="5867" ht="15.75" customHeight="1">
      <c r="A5867" s="2" t="s">
        <v>5867</v>
      </c>
      <c r="B5867" s="2" t="str">
        <f>IFERROR(__xludf.DUMMYFUNCTION("GOOGLETRANSLATE(A5867, ""en"", ""mt"")"),"Meta Setanta Sports qal li se tniedi bħala servizz ta 'abbonament?")</f>
        <v>Meta Setanta Sports qal li se tniedi bħala servizz ta 'abbonament?</v>
      </c>
    </row>
    <row r="5868" ht="15.75" customHeight="1">
      <c r="A5868" s="2" t="s">
        <v>5868</v>
      </c>
      <c r="B5868" s="2" t="str">
        <f>IFERROR(__xludf.DUMMYFUNCTION("GOOGLETRANSLATE(A5868, ""en"", ""mt"")"),"Għal xiex ġie arrestat Joseph Haas?")</f>
        <v>Għal xiex ġie arrestat Joseph Haas?</v>
      </c>
    </row>
    <row r="5869" ht="15.75" customHeight="1">
      <c r="A5869" s="2" t="s">
        <v>5869</v>
      </c>
      <c r="B5869" s="2" t="str">
        <f>IFERROR(__xludf.DUMMYFUNCTION("GOOGLETRANSLATE(A5869, ""en"", ""mt"")"),"Fertilizzazzjoni interna u żomm il-bajd fil-kmamar tan-nixxiegħa sakemm ifaqqsu.")</f>
        <v>Fertilizzazzjoni interna u żomm il-bajd fil-kmamar tan-nixxiegħa sakemm ifaqqsu.</v>
      </c>
    </row>
    <row r="5870" ht="15.75" customHeight="1">
      <c r="A5870" s="2" t="s">
        <v>5870</v>
      </c>
      <c r="B5870" s="2" t="str">
        <f>IFERROR(__xludf.DUMMYFUNCTION("GOOGLETRANSLATE(A5870, ""en"", ""mt"")"),"tagħlim")</f>
        <v>tagħlim</v>
      </c>
    </row>
    <row r="5871" ht="15.75" customHeight="1">
      <c r="A5871" s="2" t="s">
        <v>5871</v>
      </c>
      <c r="B5871" s="2" t="str">
        <f>IFERROR(__xludf.DUMMYFUNCTION("GOOGLETRANSLATE(A5871, ""en"", ""mt"")"),"Għal xiex huwa l-itwal żmien li ċ-ċertifikat tat-tagħlim huwa tajjeb għalih?")</f>
        <v>Għal xiex huwa l-itwal żmien li ċ-ċertifikat tat-tagħlim huwa tajjeb għalih?</v>
      </c>
    </row>
    <row r="5872" ht="15.75" customHeight="1">
      <c r="A5872" s="2" t="s">
        <v>5872</v>
      </c>
      <c r="B5872" s="2" t="str">
        <f>IFERROR(__xludf.DUMMYFUNCTION("GOOGLETRANSLATE(A5872, ""en"", ""mt"")"),"Minn liema ktieb tal-Bibbja qara l-ekwipaġġ ta 'Apollo 8 matul dan il-fluss ta' immaġini?")</f>
        <v>Minn liema ktieb tal-Bibbja qara l-ekwipaġġ ta 'Apollo 8 matul dan il-fluss ta' immaġini?</v>
      </c>
    </row>
    <row r="5873" ht="15.75" customHeight="1">
      <c r="A5873" s="2" t="s">
        <v>5873</v>
      </c>
      <c r="B5873" s="2" t="str">
        <f>IFERROR(__xludf.DUMMYFUNCTION("GOOGLETRANSLATE(A5873, ""en"", ""mt"")"),"skola sekondarja")</f>
        <v>skola sekondarja</v>
      </c>
    </row>
    <row r="5874" ht="15.75" customHeight="1">
      <c r="A5874" s="2" t="s">
        <v>5874</v>
      </c>
      <c r="B5874" s="2" t="str">
        <f>IFERROR(__xludf.DUMMYFUNCTION("GOOGLETRANSLATE(A5874, ""en"", ""mt"")"),"Min hu fil-kontroll tal-poter leġiżlattiv?")</f>
        <v>Min hu fil-kontroll tal-poter leġiżlattiv?</v>
      </c>
    </row>
    <row r="5875" ht="15.75" customHeight="1">
      <c r="A5875" s="2" t="s">
        <v>5875</v>
      </c>
      <c r="B5875" s="2" t="str">
        <f>IFERROR(__xludf.DUMMYFUNCTION("GOOGLETRANSLATE(A5875, ""en"", ""mt"")"),"Ir-riżultat kien wieħed mill-iżviluppi l-aktar sinifikanti f'seklu ta 'kunflitt Anglo-Franċiż. Franza ċediet it-territorju tagħha fil-lvant tal-Mississippi lill-Gran Brittanja. Huwa ċedew il-Louisiana Franċiża fil-punent tax-Xmara Mississippi (inkluż New "&amp;"Orleans) lill-alleat tagħha Spanja, bħala kumpens għat-telfa ta ’Spanja kontra l-Gran Brittanja ta’ Florida (Spanja kienet ċediet dan lill-Gran Brittanja bi skambju għar-ritorn ta ’Havana, Kuba). Il-preżenza kolonjali ta 'Franza fit-tramuntana tal-Karibew"&amp;" tnaqqset għall-gżejjer ta' San Pierre u Miquelon, li kkonfermat il-pożizzjoni tal-Gran Brittanja bħala l-poter kolonjali dominanti fil-Lvant ta 'l-Amerika ta' Fuq.")</f>
        <v>Ir-riżultat kien wieħed mill-iżviluppi l-aktar sinifikanti f'seklu ta 'kunflitt Anglo-Franċiż. Franza ċediet it-territorju tagħha fil-lvant tal-Mississippi lill-Gran Brittanja. Huwa ċedew il-Louisiana Franċiża fil-punent tax-Xmara Mississippi (inkluż New Orleans) lill-alleat tagħha Spanja, bħala kumpens għat-telfa ta ’Spanja kontra l-Gran Brittanja ta’ Florida (Spanja kienet ċediet dan lill-Gran Brittanja bi skambju għar-ritorn ta ’Havana, Kuba). Il-preżenza kolonjali ta 'Franza fit-tramuntana tal-Karibew tnaqqset għall-gżejjer ta' San Pierre u Miquelon, li kkonfermat il-pożizzjoni tal-Gran Brittanja bħala l-poter kolonjali dominanti fil-Lvant ta 'l-Amerika ta' Fuq.</v>
      </c>
    </row>
    <row r="5876" ht="15.75" customHeight="1">
      <c r="A5876" s="2" t="s">
        <v>5876</v>
      </c>
      <c r="B5876" s="2" t="str">
        <f>IFERROR(__xludf.DUMMYFUNCTION("GOOGLETRANSLATE(A5876, ""en"", ""mt"")"),"sfurzat lil Tesla joħroġ lilu bla penniless")</f>
        <v>sfurzat lil Tesla joħroġ lilu bla penniless</v>
      </c>
    </row>
    <row r="5877" ht="15.75" customHeight="1">
      <c r="A5877" s="2" t="s">
        <v>5877</v>
      </c>
      <c r="B5877" s="2" t="str">
        <f>IFERROR(__xludf.DUMMYFUNCTION("GOOGLETRANSLATE(A5877, ""en"", ""mt"")"),"Triq Fulton fid-downtown Fresno kienet id-distrett finanzjarju u kummerċjali ewlieni ta 'Fresno qabel ma ġiet konvertita f'wieħed mill-ewwel malls pedonali tan-nazzjon fl-1964. Semmiet mill-ġdid il-Mall Fulton, iż-żona fiha l-aktar ġabra densa ta' bini st"&amp;"oriku fi Fresno. Filwaqt li l-kuritur tal-Mall Fulton sofra tnaqqis qawwi mill-għoli tiegħu, il-Mall jinkludi wħud mill-ifjen biċċiet tal-arti pubblika fil-pajjiż, inkluża l-unika biċċa Pierre-Auguste Renoir fid-dinja li wieħed jista 'jimxi sa u jmissu. I"&amp;"l-pjanijiet attwali jitolbu l-ftuħ mill-ġdid tal-Mall Fulton għat-traffiku tal-karozzi. Il-biċċiet tal-arti pubblika se jiġu rrestawrati u mqiegħda ħdejn il-lokalitajiet attwali tagħhom u se jkollhom bankini wiesgħa (sa 28 'fuq in-naħa tal-lvant tat-triq)"&amp;" biex ikomplu bl-ambjent ta' ħbiberija pedonali tad-distrett.")</f>
        <v>Triq Fulton fid-downtown Fresno kienet id-distrett finanzjarju u kummerċjali ewlieni ta 'Fresno qabel ma ġiet konvertita f'wieħed mill-ewwel malls pedonali tan-nazzjon fl-1964. Semmiet mill-ġdid il-Mall Fulton, iż-żona fiha l-aktar ġabra densa ta' bini storiku fi Fresno. Filwaqt li l-kuritur tal-Mall Fulton sofra tnaqqis qawwi mill-għoli tiegħu, il-Mall jinkludi wħud mill-ifjen biċċiet tal-arti pubblika fil-pajjiż, inkluża l-unika biċċa Pierre-Auguste Renoir fid-dinja li wieħed jista 'jimxi sa u jmissu. Il-pjanijiet attwali jitolbu l-ftuħ mill-ġdid tal-Mall Fulton għat-traffiku tal-karozzi. Il-biċċiet tal-arti pubblika se jiġu rrestawrati u mqiegħda ħdejn il-lokalitajiet attwali tagħhom u se jkollhom bankini wiesgħa (sa 28 'fuq in-naħa tal-lvant tat-triq) biex ikomplu bl-ambjent ta' ħbiberija pedonali tad-distrett.</v>
      </c>
    </row>
    <row r="5878" ht="15.75" customHeight="1">
      <c r="A5878" s="2" t="s">
        <v>5878</v>
      </c>
      <c r="B5878" s="2" t="str">
        <f>IFERROR(__xludf.DUMMYFUNCTION("GOOGLETRANSLATE(A5878, ""en"", ""mt"")"),"L-ewwel oġġett ta 'negozju nhar ta' Erbgħa normalment huwa l-ħin għar-riflessjoni, li fih kelliem jindirizza lill-membri sa erba 'minuti, jaqsam perspettiva dwar kwistjonijiet ta' fidi. Dan jikkuntrasta mal-istil formali ta '""talb"", li huwa l-ewwel oġġe"&amp;"tt ta' negozju fil-laqgħat tal-House of Commons. Il-kelliema huma meħuda minn madwar l-Iskozja u huma magħżula biex jirrappreżentaw il-bilanċ tat-twemmin reliġjuż skont iċ-ċensiment Skoċċiż. Stediniet biex jindirizzaw il-Parlament b'dan il-mod huma determ"&amp;"inati mill-uffiċjal li jippresiedi dwar il-parir tal-Uffiċċju Parlamentari. Gruppi ta 'fidi jistgħu jagħmlu rappreżentazzjonijiet diretti lill-uffiċjal li jippresiedi biex jinnomina l-kelliema.")</f>
        <v>L-ewwel oġġett ta 'negozju nhar ta' Erbgħa normalment huwa l-ħin għar-riflessjoni, li fih kelliem jindirizza lill-membri sa erba 'minuti, jaqsam perspettiva dwar kwistjonijiet ta' fidi. Dan jikkuntrasta mal-istil formali ta '"talb", li huwa l-ewwel oġġett ta' negozju fil-laqgħat tal-House of Commons. Il-kelliema huma meħuda minn madwar l-Iskozja u huma magħżula biex jirrappreżentaw il-bilanċ tat-twemmin reliġjuż skont iċ-ċensiment Skoċċiż. Stediniet biex jindirizzaw il-Parlament b'dan il-mod huma determinati mill-uffiċjal li jippresiedi dwar il-parir tal-Uffiċċju Parlamentari. Gruppi ta 'fidi jistgħu jagħmlu rappreżentazzjonijiet diretti lill-uffiċjal li jippresiedi biex jinnomina l-kelliema.</v>
      </c>
    </row>
    <row r="5879" ht="15.75" customHeight="1">
      <c r="A5879" s="2" t="s">
        <v>5879</v>
      </c>
      <c r="B5879" s="2" t="str">
        <f>IFERROR(__xludf.DUMMYFUNCTION("GOOGLETRANSLATE(A5879, ""en"", ""mt"")"),"Ħsara fil-ġilda")</f>
        <v>Ħsara fil-ġilda</v>
      </c>
    </row>
    <row r="5880" ht="15.75" customHeight="1">
      <c r="A5880" s="2" t="s">
        <v>5880</v>
      </c>
      <c r="B5880" s="2" t="str">
        <f>IFERROR(__xludf.DUMMYFUNCTION("GOOGLETRANSLATE(A5880, ""en"", ""mt"")"),"Rivoluzzjoni Dinjija")</f>
        <v>Rivoluzzjoni Dinjija</v>
      </c>
    </row>
    <row r="5881" ht="15.75" customHeight="1">
      <c r="A5881" s="2" t="s">
        <v>5881</v>
      </c>
      <c r="B5881" s="2" t="str">
        <f>IFERROR(__xludf.DUMMYFUNCTION("GOOGLETRANSLATE(A5881, ""en"", ""mt"")"),"qatlu ħafna mill-Kanadiżi, inkluż l-uffiċjal kmandant tagħhom, Joseph Coulon de Jumonville")</f>
        <v>qatlu ħafna mill-Kanadiżi, inkluż l-uffiċjal kmandant tagħhom, Joseph Coulon de Jumonville</v>
      </c>
    </row>
    <row r="5882" ht="15.75" customHeight="1">
      <c r="A5882" s="2" t="s">
        <v>5882</v>
      </c>
      <c r="B5882" s="2" t="str">
        <f>IFERROR(__xludf.DUMMYFUNCTION("GOOGLETRANSLATE(A5882, ""en"", ""mt"")"),"Toroq ewlenin fiż-żona jinkludu l-A1 (Gateshead Newcastle Western Bypass), li jġebbdu lejn it-tramuntana lejn Edinburgh u fin-nofsinhar għal Londra; l-A19 imexxi lejn in-nofsinhar ta 'Sunderland u Middlesbrough għal York u Doncaster; l-A69 miexi lejn il-p"&amp;"unent lejn Carlisle; L-A696, li jsir l-A68 imexxi l-ajruport ta 'Newcastle u' l fuq mill-fruntieri Ċentrali ta 'Northumberland u Ċentrali Skoċċiżi, l-A167, l-antika ""Great North Road"", titlu lejn in-nofsinhar lejn Gateshead, Chester-le-street, Durham u "&amp;"Darlington; u l-A1058 ""Triq il-Kosta"", li tmur minn Jesmond sal-Kosta tal-Lvant bejn Tynemouth u Cullercoats. Ħafna minn dawn id-denominazzjonijiet huma reċenti - it-tlestija tal-bypass tal-Punent, u l-ħatra tagħha bħala l-linja l-ġdida tal-A1, it-toroq"&amp;" bejn dan u l-allinjament preċedenti tal-A1 permezz tal-mina Tyne ġew innumerati mill-ġdid, b'ħafna toroq taċ-ċentru tal-belt jinbidlu minn 6 -PREFIX għan-numri preżenti tagħhom ta '1-prefix. F’Novembru 2011 il-kapaċità tal-mina Tyne żdiedet meta l-proġet"&amp;"t biex jibni mina tat-tieni triq u rranġa l-ewwel mina tlesta.")</f>
        <v>Toroq ewlenin fiż-żona jinkludu l-A1 (Gateshead Newcastle Western Bypass), li jġebbdu lejn it-tramuntana lejn Edinburgh u fin-nofsinhar għal Londra; l-A19 imexxi lejn in-nofsinhar ta 'Sunderland u Middlesbrough għal York u Doncaster; l-A69 miexi lejn il-punent lejn Carlisle; L-A696, li jsir l-A68 imexxi l-ajruport ta 'Newcastle u' l fuq mill-fruntieri Ċentrali ta 'Northumberland u Ċentrali Skoċċiżi, l-A167, l-antika "Great North Road", titlu lejn in-nofsinhar lejn Gateshead, Chester-le-street, Durham u Darlington; u l-A1058 "Triq il-Kosta", li tmur minn Jesmond sal-Kosta tal-Lvant bejn Tynemouth u Cullercoats. Ħafna minn dawn id-denominazzjonijiet huma reċenti - it-tlestija tal-bypass tal-Punent, u l-ħatra tagħha bħala l-linja l-ġdida tal-A1, it-toroq bejn dan u l-allinjament preċedenti tal-A1 permezz tal-mina Tyne ġew innumerati mill-ġdid, b'ħafna toroq taċ-ċentru tal-belt jinbidlu minn 6 -PREFIX għan-numri preżenti tagħhom ta '1-prefix. F’Novembru 2011 il-kapaċità tal-mina Tyne żdiedet meta l-proġett biex jibni mina tat-tieni triq u rranġa l-ewwel mina tlesta.</v>
      </c>
    </row>
    <row r="5883" ht="15.75" customHeight="1">
      <c r="A5883" s="2" t="s">
        <v>5883</v>
      </c>
      <c r="B5883" s="2" t="str">
        <f>IFERROR(__xludf.DUMMYFUNCTION("GOOGLETRANSLATE(A5883, ""en"", ""mt"")"),"Mhux unità u ma tistax tinkiteb bħala prodott ta 'żewġ elementi taċ-ċirku li mhumiex unitajiet.")</f>
        <v>Mhux unità u ma tistax tinkiteb bħala prodott ta 'żewġ elementi taċ-ċirku li mhumiex unitajiet.</v>
      </c>
    </row>
    <row r="5884" ht="15.75" customHeight="1">
      <c r="A5884" s="2" t="s">
        <v>5884</v>
      </c>
      <c r="B5884" s="2" t="str">
        <f>IFERROR(__xludf.DUMMYFUNCTION("GOOGLETRANSLATE(A5884, ""en"", ""mt"")"),"Il-Ġnien Ċentrali mfassal mill-ġdid infetaħ fl-2005 b'liema moniker ġdid?")</f>
        <v>Il-Ġnien Ċentrali mfassal mill-ġdid infetaħ fl-2005 b'liema moniker ġdid?</v>
      </c>
    </row>
    <row r="5885" ht="15.75" customHeight="1">
      <c r="A5885" s="2" t="s">
        <v>5885</v>
      </c>
      <c r="B5885" s="2" t="str">
        <f>IFERROR(__xludf.DUMMYFUNCTION("GOOGLETRANSLATE(A5885, ""en"", ""mt"")"),"Dak li eventwalment ġara fil-programm Block I wara l-inċident?")</f>
        <v>Dak li eventwalment ġara fil-programm Block I wara l-inċident?</v>
      </c>
    </row>
    <row r="5886" ht="15.75" customHeight="1">
      <c r="A5886" s="2" t="s">
        <v>5886</v>
      </c>
      <c r="B5886" s="2" t="str">
        <f>IFERROR(__xludf.DUMMYFUNCTION("GOOGLETRANSLATE(A5886, ""en"", ""mt"")"),"ċirku ta 'kommutattiv Noetherjan")</f>
        <v>ċirku ta 'kommutattiv Noetherjan</v>
      </c>
    </row>
    <row r="5887" ht="15.75" customHeight="1">
      <c r="A5887" s="2" t="s">
        <v>5887</v>
      </c>
      <c r="B5887" s="2" t="str">
        <f>IFERROR(__xludf.DUMMYFUNCTION("GOOGLETRANSLATE(A5887, ""en"", ""mt"")"),"mużikali")</f>
        <v>mużikali</v>
      </c>
    </row>
    <row r="5888" ht="15.75" customHeight="1">
      <c r="A5888" s="2" t="s">
        <v>5888</v>
      </c>
      <c r="B5888" s="2" t="str">
        <f>IFERROR(__xludf.DUMMYFUNCTION("GOOGLETRANSLATE(A5888, ""en"", ""mt"")"),"X'inhu l-Wied Alpin li jgħaddi r-Rhine?")</f>
        <v>X'inhu l-Wied Alpin li jgħaddi r-Rhine?</v>
      </c>
    </row>
    <row r="5889" ht="15.75" customHeight="1">
      <c r="A5889" s="2" t="s">
        <v>5889</v>
      </c>
      <c r="B5889" s="2" t="str">
        <f>IFERROR(__xludf.DUMMYFUNCTION("GOOGLETRANSLATE(A5889, ""en"", ""mt"")"),"L-ispettaklu rċieva rikonoxximent bħala wieħed mill-ifjen programmi televiżivi tal-Gran Brittanja, li rebaħ il-Premju British Academy Television tal-2006 għall-Aħjar Drama Series u l-Premjijiet Konsekuttivi (2005-2010) fil-Premjijiet Nazzjonali tat-Televi"&amp;"żjoni waqt il-mandat ta 'Russell T Davies bħala produttur eżekuttiv. Fl-2011, Matt Smith sar l-ewwel tabib li ġie nominat għal Premju tat-Televiżjoni BAFTA għall-Aħjar Attur u fl-2016, Michelle Gomez saret l-ewwel mara li rċeviet nomina BAFTA għas-serje, "&amp;"li qed tikseb l-Aħjar Attriċi ta 'Appoġġ Nomina għall-Ħidma tagħha bħala Missy bħala Missy -")</f>
        <v>L-ispettaklu rċieva rikonoxximent bħala wieħed mill-ifjen programmi televiżivi tal-Gran Brittanja, li rebaħ il-Premju British Academy Television tal-2006 għall-Aħjar Drama Series u l-Premjijiet Konsekuttivi (2005-2010) fil-Premjijiet Nazzjonali tat-Televiżjoni waqt il-mandat ta 'Russell T Davies bħala produttur eżekuttiv. Fl-2011, Matt Smith sar l-ewwel tabib li ġie nominat għal Premju tat-Televiżjoni BAFTA għall-Aħjar Attur u fl-2016, Michelle Gomez saret l-ewwel mara li rċeviet nomina BAFTA għas-serje, li qed tikseb l-Aħjar Attriċi ta 'Appoġġ Nomina għall-Ħidma tagħha bħala Missy bħala Missy -</v>
      </c>
    </row>
    <row r="5890" ht="15.75" customHeight="1">
      <c r="A5890" s="2" t="s">
        <v>5890</v>
      </c>
      <c r="B5890" s="2" t="str">
        <f>IFERROR(__xludf.DUMMYFUNCTION("GOOGLETRANSLATE(A5890, ""en"", ""mt"")"),"Flimkien ma 'individwi u organizzazzjonijiet privati, liema gruppi kultant imexxi ErgänZungsschulen?")</f>
        <v>Flimkien ma 'individwi u organizzazzjonijiet privati, liema gruppi kultant imexxi ErgänZungsschulen?</v>
      </c>
    </row>
    <row r="5891" ht="15.75" customHeight="1">
      <c r="A5891" s="2" t="s">
        <v>5891</v>
      </c>
      <c r="B5891" s="2" t="str">
        <f>IFERROR(__xludf.DUMMYFUNCTION("GOOGLETRANSLATE(A5891, ""en"", ""mt"")"),"Maniġer tal-Kostruzzjoni, Inġinier tad-Disinn, Inġinier tal-Kostruzzjoni jew Maniġer tal-Proġett")</f>
        <v>Maniġer tal-Kostruzzjoni, Inġinier tad-Disinn, Inġinier tal-Kostruzzjoni jew Maniġer tal-Proġett</v>
      </c>
    </row>
    <row r="5892" ht="15.75" customHeight="1">
      <c r="A5892" s="2" t="s">
        <v>5892</v>
      </c>
      <c r="B5892" s="2" t="str">
        <f>IFERROR(__xludf.DUMMYFUNCTION("GOOGLETRANSLATE(A5892, ""en"", ""mt"")"),"L-analiżi bir-reqqa tal-medikazzjoni kollha (preskrizzjoni, nuqqas ta 'preskrizzjoni, u herbals) bħalissa qed tittieħed minn individwu")</f>
        <v>L-analiżi bir-reqqa tal-medikazzjoni kollha (preskrizzjoni, nuqqas ta 'preskrizzjoni, u herbals) bħalissa qed tittieħed minn individwu</v>
      </c>
    </row>
    <row r="5893" ht="15.75" customHeight="1">
      <c r="A5893" s="2" t="s">
        <v>5893</v>
      </c>
      <c r="B5893" s="2" t="str">
        <f>IFERROR(__xludf.DUMMYFUNCTION("GOOGLETRANSLATE(A5893, ""en"", ""mt"")"),"X'tip ta 'sensittività eċċessiva hija assoċjata ma' allerġiji?")</f>
        <v>X'tip ta 'sensittività eċċessiva hija assoċjata ma' allerġiji?</v>
      </c>
    </row>
    <row r="5894" ht="15.75" customHeight="1">
      <c r="A5894" s="2" t="s">
        <v>5894</v>
      </c>
      <c r="B5894" s="2" t="str">
        <f>IFERROR(__xludf.DUMMYFUNCTION("GOOGLETRANSLATE(A5894, ""en"", ""mt"")"),"Sa wara t-tmiem tal-Gwerra tal-Messiku")</f>
        <v>Sa wara t-tmiem tal-Gwerra tal-Messiku</v>
      </c>
    </row>
    <row r="5895" ht="15.75" customHeight="1">
      <c r="A5895" s="2" t="s">
        <v>5895</v>
      </c>
      <c r="B5895" s="2" t="str">
        <f>IFERROR(__xludf.DUMMYFUNCTION("GOOGLETRANSLATE(A5895, ""en"", ""mt"")"),"Ma 'min għamel l-internet2 ma'")</f>
        <v>Ma 'min għamel l-internet2 ma'</v>
      </c>
    </row>
    <row r="5896" ht="15.75" customHeight="1">
      <c r="A5896" s="2" t="s">
        <v>5896</v>
      </c>
      <c r="B5896" s="2" t="str">
        <f>IFERROR(__xludf.DUMMYFUNCTION("GOOGLETRANSLATE(A5896, ""en"", ""mt"")"),"Ir-rekord uffiċjali ta 'temperatura għolja għal Fresno huwa 115 ° F (46.1 ° C), imwaqqaf fit-8 ta' Lulju, 1905, filwaqt li r-rekord uffiċjali baxx huwa 17 ° F (−8 ° C), issettjat fis-6 ta 'Jannar, 1913. Għal 100 ° F (37.8 ° C) +, 90 ° F (32.2 ° C) +, u t-"&amp;"temperaturi tal-iffriżar huma l-1 ta 'Ġunju sat-13 ta' Settembru, 26 ta 'April sad-9 ta' Ottubru, u l-10 ta 'Diċembru sat-28 ta' Jannar, rispettivament, u l-ebda iffriżar ma seħħ Bejn fl-istaġun 1983/1984. Ix-xita annwali kienet tvarja minn 23.57 pulzier "&amp;"(598.7 mm) fis- “sena tax-xita” minn Lulju 1982 sa Ġunju 1983 sa 4.43 pulzieri (112.5 mm) minn Lulju 1933 sa Ġunju 1934. L-iktar xita f’xahar kienet 9.54 pulzieri (242.3 mm (242.3 mm ) f'Novembru 1885 u l-iktar xita f'24 siegħa 3.55 pulzier (90.2 mm) fit-"&amp;"18 ta 'Novembru, 1885. Il-preċipitazzjoni li tista' titkejjel taqa 'fuq medja ta '48 jum kull sena. Il-borra hija rarità; L-itqal borra fl-ajruport kienet ta ’2.2 pulzieri (0.06 m) fil-21 ta’ Jannar, 1962.")</f>
        <v>Ir-rekord uffiċjali ta 'temperatura għolja għal Fresno huwa 115 ° F (46.1 ° C), imwaqqaf fit-8 ta' Lulju, 1905, filwaqt li r-rekord uffiċjali baxx huwa 17 ° F (−8 ° C), issettjat fis-6 ta 'Jannar, 1913. Għal 100 ° F (37.8 ° C) +, 90 ° F (32.2 ° C) +, u t-temperaturi tal-iffriżar huma l-1 ta 'Ġunju sat-13 ta' Settembru, 26 ta 'April sad-9 ta' Ottubru, u l-10 ta 'Diċembru sat-28 ta' Jannar, rispettivament, u l-ebda iffriżar ma seħħ Bejn fl-istaġun 1983/1984. Ix-xita annwali kienet tvarja minn 23.57 pulzier (598.7 mm) fis- “sena tax-xita” minn Lulju 1982 sa Ġunju 1983 sa 4.43 pulzieri (112.5 mm) minn Lulju 1933 sa Ġunju 1934. L-iktar xita f’xahar kienet 9.54 pulzieri (242.3 mm (242.3 mm ) f'Novembru 1885 u l-iktar xita f'24 siegħa 3.55 pulzier (90.2 mm) fit-18 ta 'Novembru, 1885. Il-preċipitazzjoni li tista' titkejjel taqa 'fuq medja ta '48 jum kull sena. Il-borra hija rarità; L-itqal borra fl-ajruport kienet ta ’2.2 pulzieri (0.06 m) fil-21 ta’ Jannar, 1962.</v>
      </c>
    </row>
    <row r="5897" ht="15.75" customHeight="1">
      <c r="A5897" s="2" t="s">
        <v>5897</v>
      </c>
      <c r="B5897" s="2" t="str">
        <f>IFERROR(__xludf.DUMMYFUNCTION("GOOGLETRANSLATE(A5897, ""en"", ""mt"")"),"""L-Istituzzjonijiet Komprensivi tal-Yuan il-Kbir""")</f>
        <v>"L-Istituzzjonijiet Komprensivi tal-Yuan il-Kbir"</v>
      </c>
    </row>
    <row r="5898" ht="15.75" customHeight="1">
      <c r="A5898" s="2" t="s">
        <v>5898</v>
      </c>
      <c r="B5898" s="2" t="str">
        <f>IFERROR(__xludf.DUMMYFUNCTION("GOOGLETRANSLATE(A5898, ""en"", ""mt"")"),"Liema problema tikkonsisti kemm f'impatti inflazzjonarji u deflazzjonarji?")</f>
        <v>Liema problema tikkonsisti kemm f'impatti inflazzjonarji u deflazzjonarji?</v>
      </c>
    </row>
    <row r="5899" ht="15.75" customHeight="1">
      <c r="A5899" s="2" t="s">
        <v>5899</v>
      </c>
      <c r="B5899" s="2" t="str">
        <f>IFERROR(__xludf.DUMMYFUNCTION("GOOGLETRANSLATE(A5899, ""en"", ""mt"")"),"John il-kostanti,")</f>
        <v>John il-kostanti,</v>
      </c>
    </row>
    <row r="5900" ht="15.75" customHeight="1">
      <c r="A5900" s="2" t="s">
        <v>5900</v>
      </c>
      <c r="B5900" s="2" t="str">
        <f>IFERROR(__xludf.DUMMYFUNCTION("GOOGLETRANSLATE(A5900, ""en"", ""mt"")"),"X'inspire l-indirizz Allahabad ta 'Iqbal?")</f>
        <v>X'inspire l-indirizz Allahabad ta 'Iqbal?</v>
      </c>
    </row>
    <row r="5901" ht="15.75" customHeight="1">
      <c r="A5901" s="2" t="s">
        <v>5901</v>
      </c>
      <c r="B5901" s="2" t="str">
        <f>IFERROR(__xludf.DUMMYFUNCTION("GOOGLETRANSLATE(A5901, ""en"", ""mt"")"),"Tesla aktar tard avviċinat lil Morgan biex titlob aktar fondi biex tibni trasmettitur aktar qawwi. Meta mistoqsi fejn marru l-flus kollha, Tesla wieġbet billi qalet li kien affettwat mill-paniku tal-1901, li hu (Morgan) kien ikkawża. Morgan kien ixxukkjat"&amp;" bit-tifkira tal-parti tiegħu fil-ħabta tas-suq tal-ishma u bil-ksur tal-kuntratt ta 'Tesla billi talab aktar fondi. Tesla kitbet motiv ieħor lil Morgan, iżda kien ukoll mingħajr frott. Morgan xorta kien dovut flus Tesla fuq il-ftehim oriġinali, u Tesla k"&amp;"ienet qed tiffaċċja esklużjoni anki qabel ma bdiet il-kostruzzjoni tat-torri.")</f>
        <v>Tesla aktar tard avviċinat lil Morgan biex titlob aktar fondi biex tibni trasmettitur aktar qawwi. Meta mistoqsi fejn marru l-flus kollha, Tesla wieġbet billi qalet li kien affettwat mill-paniku tal-1901, li hu (Morgan) kien ikkawża. Morgan kien ixxukkjat bit-tifkira tal-parti tiegħu fil-ħabta tas-suq tal-ishma u bil-ksur tal-kuntratt ta 'Tesla billi talab aktar fondi. Tesla kitbet motiv ieħor lil Morgan, iżda kien ukoll mingħajr frott. Morgan xorta kien dovut flus Tesla fuq il-ftehim oriġinali, u Tesla kienet qed tiffaċċja esklużjoni anki qabel ma bdiet il-kostruzzjoni tat-torri.</v>
      </c>
    </row>
    <row r="5902" ht="15.75" customHeight="1">
      <c r="A5902" s="2" t="s">
        <v>5902</v>
      </c>
      <c r="B5902" s="2" t="str">
        <f>IFERROR(__xludf.DUMMYFUNCTION("GOOGLETRANSLATE(A5902, ""en"", ""mt"")"),"Turkija,")</f>
        <v>Turkija,</v>
      </c>
    </row>
    <row r="5903" ht="15.75" customHeight="1">
      <c r="A5903" s="2" t="s">
        <v>5903</v>
      </c>
      <c r="B5903" s="2" t="str">
        <f>IFERROR(__xludf.DUMMYFUNCTION("GOOGLETRANSLATE(A5903, ""en"", ""mt"")"),"profezija")</f>
        <v>profezija</v>
      </c>
    </row>
    <row r="5904" ht="15.75" customHeight="1">
      <c r="A5904" s="2" t="s">
        <v>5904</v>
      </c>
      <c r="B5904" s="2" t="str">
        <f>IFERROR(__xludf.DUMMYFUNCTION("GOOGLETRANSLATE(A5904, ""en"", ""mt"")"),"Interkonnessjoni b'veloċità għolja")</f>
        <v>Interkonnessjoni b'veloċità għolja</v>
      </c>
    </row>
    <row r="5905" ht="15.75" customHeight="1">
      <c r="A5905" s="2" t="s">
        <v>5905</v>
      </c>
      <c r="B5905" s="2" t="str">
        <f>IFERROR(__xludf.DUMMYFUNCTION("GOOGLETRANSLATE(A5905, ""en"", ""mt"")"),"Liema sustanza tintuża biex tagħmel O2 likwidu ta 'kwalità għolja?")</f>
        <v>Liema sustanza tintuża biex tagħmel O2 likwidu ta 'kwalità għolja?</v>
      </c>
    </row>
    <row r="5906" ht="15.75" customHeight="1">
      <c r="A5906" s="2" t="s">
        <v>5906</v>
      </c>
      <c r="B5906" s="2" t="str">
        <f>IFERROR(__xludf.DUMMYFUNCTION("GOOGLETRANSLATE(A5906, ""en"", ""mt"")"),"Luther kif iddeskriviet l-Università ta 'Erfurt?")</f>
        <v>Luther kif iddeskriviet l-Università ta 'Erfurt?</v>
      </c>
    </row>
    <row r="5907" ht="15.75" customHeight="1">
      <c r="A5907" s="2" t="s">
        <v>5907</v>
      </c>
      <c r="B5907" s="2" t="str">
        <f>IFERROR(__xludf.DUMMYFUNCTION("GOOGLETRANSLATE(A5907, ""en"", ""mt"")"),"X'inhuma żewġ molekuli anti-infjammatorji li l-quċċata matul is-sigħat imqajmin?")</f>
        <v>X'inhuma żewġ molekuli anti-infjammatorji li l-quċċata matul is-sigħat imqajmin?</v>
      </c>
    </row>
    <row r="5908" ht="15.75" customHeight="1">
      <c r="A5908" s="2" t="s">
        <v>5908</v>
      </c>
      <c r="B5908" s="2" t="str">
        <f>IFERROR(__xludf.DUMMYFUNCTION("GOOGLETRANSLATE(A5908, ""en"", ""mt"")"),"Huma jipproduċu sekrezzjonijiet (linka) li jdawwru ħafna bl-istess tul ta 'mewġ bħall-korpi tagħhom")</f>
        <v>Huma jipproduċu sekrezzjonijiet (linka) li jdawwru ħafna bl-istess tul ta 'mewġ bħall-korpi tagħhom</v>
      </c>
    </row>
    <row r="5909" ht="15.75" customHeight="1">
      <c r="A5909" s="2" t="s">
        <v>5909</v>
      </c>
      <c r="B5909" s="2" t="str">
        <f>IFERROR(__xludf.DUMMYFUNCTION("GOOGLETRANSLATE(A5909, ""en"", ""mt"")"),"2 miljun")</f>
        <v>2 miljun</v>
      </c>
    </row>
    <row r="5910" ht="15.75" customHeight="1">
      <c r="A5910" s="2" t="s">
        <v>5910</v>
      </c>
      <c r="B5910" s="2" t="str">
        <f>IFERROR(__xludf.DUMMYFUNCTION("GOOGLETRANSLATE(A5910, ""en"", ""mt"")"),"Huma meħtieġa inqas ħaddiema")</f>
        <v>Huma meħtieġa inqas ħaddiema</v>
      </c>
    </row>
    <row r="5911" ht="15.75" customHeight="1">
      <c r="A5911" s="2" t="s">
        <v>5911</v>
      </c>
      <c r="B5911" s="2" t="str">
        <f>IFERROR(__xludf.DUMMYFUNCTION("GOOGLETRANSLATE(A5911, ""en"", ""mt"")"),"passiv")</f>
        <v>passiv</v>
      </c>
    </row>
    <row r="5912" ht="15.75" customHeight="1">
      <c r="A5912" s="2" t="s">
        <v>5912</v>
      </c>
      <c r="B5912" s="2" t="str">
        <f>IFERROR(__xludf.DUMMYFUNCTION("GOOGLETRANSLATE(A5912, ""en"", ""mt"")"),"Min kienu responsabbli għad-dekorazzjonijiet ta 'ġewwa tal-kamra tal-pranzu aħdar?")</f>
        <v>Min kienu responsabbli għad-dekorazzjonijiet ta 'ġewwa tal-kamra tal-pranzu aħdar?</v>
      </c>
    </row>
    <row r="5913" ht="15.75" customHeight="1">
      <c r="A5913" s="2" t="s">
        <v>5913</v>
      </c>
      <c r="B5913" s="2" t="str">
        <f>IFERROR(__xludf.DUMMYFUNCTION("GOOGLETRANSLATE(A5913, ""en"", ""mt"")"),"kienet forma ta 'antrax")</f>
        <v>kienet forma ta 'antrax</v>
      </c>
    </row>
    <row r="5914" ht="15.75" customHeight="1">
      <c r="A5914" s="2" t="s">
        <v>5914</v>
      </c>
      <c r="B5914" s="2" t="str">
        <f>IFERROR(__xludf.DUMMYFUNCTION("GOOGLETRANSLATE(A5914, ""en"", ""mt"")"),"Bejn liema żewġ toroq tul Kearney Boulevard kienu residenti Afrikani-Amerikani għonja?")</f>
        <v>Bejn liema żewġ toroq tul Kearney Boulevard kienu residenti Afrikani-Amerikani għonja?</v>
      </c>
    </row>
    <row r="5915" ht="15.75" customHeight="1">
      <c r="A5915" s="2" t="s">
        <v>5915</v>
      </c>
      <c r="B5915" s="2" t="str">
        <f>IFERROR(__xludf.DUMMYFUNCTION("GOOGLETRANSLATE(A5915, ""en"", ""mt"")"),"ex monasteru,")</f>
        <v>ex monasteru,</v>
      </c>
    </row>
    <row r="5916" ht="15.75" customHeight="1">
      <c r="A5916" s="2" t="s">
        <v>5916</v>
      </c>
      <c r="B5916" s="2" t="str">
        <f>IFERROR(__xludf.DUMMYFUNCTION("GOOGLETRANSLATE(A5916, ""en"", ""mt"")"),"Ħaxix naturali")</f>
        <v>Ħaxix naturali</v>
      </c>
    </row>
    <row r="5917" ht="15.75" customHeight="1">
      <c r="A5917" s="2" t="s">
        <v>5917</v>
      </c>
      <c r="B5917" s="2" t="str">
        <f>IFERROR(__xludf.DUMMYFUNCTION("GOOGLETRANSLATE(A5917, ""en"", ""mt"")"),"Diatom (heterokontophye) derivat")</f>
        <v>Diatom (heterokontophye) derivat</v>
      </c>
    </row>
    <row r="5918" ht="15.75" customHeight="1">
      <c r="A5918" s="2" t="s">
        <v>5918</v>
      </c>
      <c r="B5918" s="2" t="str">
        <f>IFERROR(__xludf.DUMMYFUNCTION("GOOGLETRANSLATE(A5918, ""en"", ""mt"")"),"Kapaċità tat-tagħbija tat-tagħbija")</f>
        <v>Kapaċità tat-tagħbija tat-tagħbija</v>
      </c>
    </row>
    <row r="5919" ht="15.75" customHeight="1">
      <c r="A5919" s="2" t="s">
        <v>5919</v>
      </c>
      <c r="B5919" s="2" t="str">
        <f>IFERROR(__xludf.DUMMYFUNCTION("GOOGLETRANSLATE(A5919, ""en"", ""mt"")"),"ramifikata, lineari, jew strutturi kumplessi oħra")</f>
        <v>ramifikata, lineari, jew strutturi kumplessi oħra</v>
      </c>
    </row>
    <row r="5920" ht="15.75" customHeight="1">
      <c r="A5920" s="2" t="s">
        <v>5920</v>
      </c>
      <c r="B5920" s="2" t="str">
        <f>IFERROR(__xludf.DUMMYFUNCTION("GOOGLETRANSLATE(A5920, ""en"", ""mt"")"),"Immunodefiċjenzi")</f>
        <v>Immunodefiċjenzi</v>
      </c>
    </row>
    <row r="5921" ht="15.75" customHeight="1">
      <c r="A5921" s="2" t="s">
        <v>5921</v>
      </c>
      <c r="B5921" s="2" t="str">
        <f>IFERROR(__xludf.DUMMYFUNCTION("GOOGLETRANSLATE(A5921, ""en"", ""mt"")"),"Integers Gaussjani")</f>
        <v>Integers Gaussjani</v>
      </c>
    </row>
    <row r="5922" ht="15.75" customHeight="1">
      <c r="A5922" s="2" t="s">
        <v>5922</v>
      </c>
      <c r="B5922" s="2" t="str">
        <f>IFERROR(__xludf.DUMMYFUNCTION("GOOGLETRANSLATE(A5922, ""en"", ""mt"")"),"X'inhuma t-tliet espressjonijiet primarji użati biex jirrappreżentaw il-kumplessità tal-każijiet?")</f>
        <v>X'inhuma t-tliet espressjonijiet primarji użati biex jirrappreżentaw il-kumplessità tal-każijiet?</v>
      </c>
    </row>
    <row r="5923" ht="15.75" customHeight="1">
      <c r="A5923" s="2" t="s">
        <v>5923</v>
      </c>
      <c r="B5923" s="2" t="str">
        <f>IFERROR(__xludf.DUMMYFUNCTION("GOOGLETRANSLATE(A5923, ""en"", ""mt"")"),"Fejn daqqet il-Kenja fuq l-iskala tas-CPI?")</f>
        <v>Fejn daqqet il-Kenja fuq l-iskala tas-CPI?</v>
      </c>
    </row>
    <row r="5924" ht="15.75" customHeight="1">
      <c r="A5924" s="2" t="s">
        <v>5924</v>
      </c>
      <c r="B5924" s="2" t="str">
        <f>IFERROR(__xludf.DUMMYFUNCTION("GOOGLETRANSLATE(A5924, ""en"", ""mt"")"),"Bidla tal-Qalb")</f>
        <v>Bidla tal-Qalb</v>
      </c>
    </row>
    <row r="5925" ht="15.75" customHeight="1">
      <c r="A5925" s="2" t="s">
        <v>5925</v>
      </c>
      <c r="B5925" s="2" t="str">
        <f>IFERROR(__xludf.DUMMYFUNCTION("GOOGLETRANSLATE(A5925, ""en"", ""mt"")"),"Kronikament sottovalutat")</f>
        <v>Kronikament sottovalutat</v>
      </c>
    </row>
    <row r="5926" ht="15.75" customHeight="1">
      <c r="A5926" s="2" t="s">
        <v>5926</v>
      </c>
      <c r="B5926" s="2" t="str">
        <f>IFERROR(__xludf.DUMMYFUNCTION("GOOGLETRANSLATE(A5926, ""en"", ""mt"")"),"Louisiana Franċiża fil-punent tax-Xmara Mississippi (inkluża New Orleans) għall-alleat tagħha Spanja")</f>
        <v>Louisiana Franċiża fil-punent tax-Xmara Mississippi (inkluża New Orleans) għall-alleat tagħha Spanja</v>
      </c>
    </row>
    <row r="5927" ht="15.75" customHeight="1">
      <c r="A5927" s="2" t="s">
        <v>5927</v>
      </c>
      <c r="B5927" s="2" t="str">
        <f>IFERROR(__xludf.DUMMYFUNCTION("GOOGLETRANSLATE(A5927, ""en"", ""mt"")"),"X'għandu l-ilma li ħiereġ lejn il-Paċifiku kellu joħroġ matul in-nofs l-Eoken?")</f>
        <v>X'għandu l-ilma li ħiereġ lejn il-Paċifiku kellu joħroġ matul in-nofs l-Eoken?</v>
      </c>
    </row>
    <row r="5928" ht="15.75" customHeight="1">
      <c r="A5928" s="2" t="s">
        <v>5928</v>
      </c>
      <c r="B5928" s="2" t="str">
        <f>IFERROR(__xludf.DUMMYFUNCTION("GOOGLETRANSLATE(A5928, ""en"", ""mt"")"),"X'inhu l-korp eżekuttiv ewlieni tal-UE?")</f>
        <v>X'inhu l-korp eżekuttiv ewlieni tal-UE?</v>
      </c>
    </row>
    <row r="5929" ht="15.75" customHeight="1">
      <c r="A5929" s="2" t="s">
        <v>5929</v>
      </c>
      <c r="B5929" s="2" t="str">
        <f>IFERROR(__xludf.DUMMYFUNCTION("GOOGLETRANSLATE(A5929, ""en"", ""mt"")"),"Liema livell ta 'mobilità ekonomika l-ekonomija ta' l-Istati Uniti qabbel ma 'pajjiżi Ewropej?")</f>
        <v>Liema livell ta 'mobilità ekonomika l-ekonomija ta' l-Istati Uniti qabbel ma 'pajjiżi Ewropej?</v>
      </c>
    </row>
    <row r="5930" ht="15.75" customHeight="1">
      <c r="A5930" s="2" t="s">
        <v>5930</v>
      </c>
      <c r="B5930" s="2" t="str">
        <f>IFERROR(__xludf.DUMMYFUNCTION("GOOGLETRANSLATE(A5930, ""en"", ""mt"")"),"Stress fuq ix-xogħol")</f>
        <v>Stress fuq ix-xogħol</v>
      </c>
    </row>
    <row r="5931" ht="15.75" customHeight="1">
      <c r="A5931" s="2" t="s">
        <v>5931</v>
      </c>
      <c r="B5931" s="2" t="str">
        <f>IFERROR(__xludf.DUMMYFUNCTION("GOOGLETRANSLATE(A5931, ""en"", ""mt"")"),"nisa")</f>
        <v>nisa</v>
      </c>
    </row>
    <row r="5932" ht="15.75" customHeight="1">
      <c r="A5932" s="2" t="s">
        <v>5932</v>
      </c>
      <c r="B5932" s="2" t="str">
        <f>IFERROR(__xludf.DUMMYFUNCTION("GOOGLETRANSLATE(A5932, ""en"", ""mt"")"),"maqtula f'inċident ta 'rkib taż-żwiemel")</f>
        <v>maqtula f'inċident ta 'rkib taż-żwiemel</v>
      </c>
    </row>
    <row r="5933" ht="15.75" customHeight="1">
      <c r="A5933" s="2" t="s">
        <v>5933</v>
      </c>
      <c r="B5933" s="2" t="str">
        <f>IFERROR(__xludf.DUMMYFUNCTION("GOOGLETRANSLATE(A5933, ""en"", ""mt"")"),"Xlokk tal-Ġnien")</f>
        <v>Xlokk tal-Ġnien</v>
      </c>
    </row>
    <row r="5934" ht="15.75" customHeight="1">
      <c r="A5934" s="2" t="s">
        <v>5934</v>
      </c>
      <c r="B5934" s="2" t="str">
        <f>IFERROR(__xludf.DUMMYFUNCTION("GOOGLETRANSLATE(A5934, ""en"", ""mt"")"),"Dikjarazzjonijiet kwantitattivi")</f>
        <v>Dikjarazzjonijiet kwantitattivi</v>
      </c>
    </row>
    <row r="5935" ht="15.75" customHeight="1">
      <c r="A5935" s="2" t="s">
        <v>5935</v>
      </c>
      <c r="B5935" s="2" t="str">
        <f>IFERROR(__xludf.DUMMYFUNCTION("GOOGLETRANSLATE(A5935, ""en"", ""mt"")"),"Wettaq fotosintesi")</f>
        <v>Wettaq fotosintesi</v>
      </c>
    </row>
    <row r="5936" ht="15.75" customHeight="1">
      <c r="A5936" s="2" t="s">
        <v>5936</v>
      </c>
      <c r="B5936" s="2" t="str">
        <f>IFERROR(__xludf.DUMMYFUNCTION("GOOGLETRANSLATE(A5936, ""en"", ""mt"")"),"Meta pajjiżi sinjuri jinnegozjaw ma 'pajjiżi foqra, li l-pagi tagħhom jiżdiedu?")</f>
        <v>Meta pajjiżi sinjuri jinnegozjaw ma 'pajjiżi foqra, li l-pagi tagħhom jiżdiedu?</v>
      </c>
    </row>
    <row r="5937" ht="15.75" customHeight="1">
      <c r="A5937" s="2" t="s">
        <v>5937</v>
      </c>
      <c r="B5937" s="2" t="str">
        <f>IFERROR(__xludf.DUMMYFUNCTION("GOOGLETRANSLATE(A5937, ""en"", ""mt"")"),"il-metodu ewlieni tagħhom ta 'lokomozzjoni")</f>
        <v>il-metodu ewlieni tagħhom ta 'lokomozzjoni</v>
      </c>
    </row>
    <row r="5938" ht="15.75" customHeight="1">
      <c r="A5938" s="2" t="s">
        <v>5938</v>
      </c>
      <c r="B5938" s="2" t="str">
        <f>IFERROR(__xludf.DUMMYFUNCTION("GOOGLETRANSLATE(A5938, ""en"", ""mt"")"),"L-elezzjoni tal-Partit Laburista tar-Renju Unit għall-Gvern fl-1997")</f>
        <v>L-elezzjoni tal-Partit Laburista tar-Renju Unit għall-Gvern fl-1997</v>
      </c>
    </row>
    <row r="5939" ht="15.75" customHeight="1">
      <c r="A5939" s="2" t="s">
        <v>5939</v>
      </c>
      <c r="B5939" s="2" t="str">
        <f>IFERROR(__xludf.DUMMYFUNCTION("GOOGLETRANSLATE(A5939, ""en"", ""mt"")"),"Ordnijiet reliġjużi medjevali")</f>
        <v>Ordnijiet reliġjużi medjevali</v>
      </c>
    </row>
    <row r="5940" ht="15.75" customHeight="1">
      <c r="A5940" s="2" t="s">
        <v>5940</v>
      </c>
      <c r="B5940" s="2" t="str">
        <f>IFERROR(__xludf.DUMMYFUNCTION("GOOGLETRANSLATE(A5940, ""en"", ""mt"")"),"Varsavja")</f>
        <v>Varsavja</v>
      </c>
    </row>
    <row r="5941" ht="15.75" customHeight="1">
      <c r="A5941" s="2" t="s">
        <v>5941</v>
      </c>
      <c r="B5941" s="2" t="str">
        <f>IFERROR(__xludf.DUMMYFUNCTION("GOOGLETRANSLATE(A5941, ""en"", ""mt"")"),"Barra minn hekk, il-Knisja Metodista Magħquda tipprojbixxi ċ-ċelebrazzjoni tal-għaqdiet tal-istess sess. Rev Jimmy Creech ġie mneħħi wara prova tal-knisja ppubbliċizzata ħafna fl-1999 minħabba l-parteċipazzjoni tiegħu f'ċerimonji tal-unjoni tal-istess ses"&amp;"s. Huwa jipprojbixxi kwalunkwe bord Metodist, aġenzija, kumitat, kummissjoni, jew kunsill biex jagħti fondi Metodisti magħquda lil kwalunkwe organizzazzjoni jew grupp omosesswali, jew inkella juża dawn il-fondi biex jippromwovi l-aċċettazzjoni tal-omosess"&amp;"walità. Ministri oħra ġew imneħħija għall-uffiċjal fi tiġijiet tal-istess sess u diversi provi ta 'oħrajn huma skedati. Xorta, xi kongregazzjonijiet fittxew modi oħra kif jirrikonoxxu koppji tal-istess sess. Pereżempju, kongregazzjoni waħda ospitat propos"&amp;"ta għal koppja tal-istess sess li ħabbret l-impenn tagħhom. Barra minn hekk, xi knejjes, speċjalment fl-2016 wara li ż-żwieġ tal-istess sess kien legalizzat fuq livell nazzjonali, ipprovdew barkiet għal żwiġijiet tal-istess sess. F'April tal-2016, isqof M"&amp;"etodist Magħqud għamel dikjarazzjoni kuraġġuża billi wettaq żwieġ tal-istess sess fil-knisja bħala sinjal ċar tal-promozzjoni tiegħu għall-bidla.")</f>
        <v>Barra minn hekk, il-Knisja Metodista Magħquda tipprojbixxi ċ-ċelebrazzjoni tal-għaqdiet tal-istess sess. Rev Jimmy Creech ġie mneħħi wara prova tal-knisja ppubbliċizzata ħafna fl-1999 minħabba l-parteċipazzjoni tiegħu f'ċerimonji tal-unjoni tal-istess sess. Huwa jipprojbixxi kwalunkwe bord Metodist, aġenzija, kumitat, kummissjoni, jew kunsill biex jagħti fondi Metodisti magħquda lil kwalunkwe organizzazzjoni jew grupp omosesswali, jew inkella juża dawn il-fondi biex jippromwovi l-aċċettazzjoni tal-omosesswalità. Ministri oħra ġew imneħħija għall-uffiċjal fi tiġijiet tal-istess sess u diversi provi ta 'oħrajn huma skedati. Xorta, xi kongregazzjonijiet fittxew modi oħra kif jirrikonoxxu koppji tal-istess sess. Pereżempju, kongregazzjoni waħda ospitat proposta għal koppja tal-istess sess li ħabbret l-impenn tagħhom. Barra minn hekk, xi knejjes, speċjalment fl-2016 wara li ż-żwieġ tal-istess sess kien legalizzat fuq livell nazzjonali, ipprovdew barkiet għal żwiġijiet tal-istess sess. F'April tal-2016, isqof Metodist Magħqud għamel dikjarazzjoni kuraġġuża billi wettaq żwieġ tal-istess sess fil-knisja bħala sinjal ċar tal-promozzjoni tiegħu għall-bidla.</v>
      </c>
    </row>
    <row r="5942" ht="15.75" customHeight="1">
      <c r="A5942" s="2" t="s">
        <v>5942</v>
      </c>
      <c r="B5942" s="2" t="str">
        <f>IFERROR(__xludf.DUMMYFUNCTION("GOOGLETRANSLATE(A5942, ""en"", ""mt"")"),"Lampi elettriċi mingħajr fili")</f>
        <v>Lampi elettriċi mingħajr fili</v>
      </c>
    </row>
    <row r="5943" ht="15.75" customHeight="1">
      <c r="A5943" s="2" t="s">
        <v>5943</v>
      </c>
      <c r="B5943" s="2" t="str">
        <f>IFERROR(__xludf.DUMMYFUNCTION("GOOGLETRANSLATE(A5943, ""en"", ""mt"")"),"pagi u profitti")</f>
        <v>pagi u profitti</v>
      </c>
    </row>
    <row r="5944" ht="15.75" customHeight="1">
      <c r="A5944" s="2" t="s">
        <v>5944</v>
      </c>
      <c r="B5944" s="2" t="str">
        <f>IFERROR(__xludf.DUMMYFUNCTION("GOOGLETRANSLATE(A5944, ""en"", ""mt"")"),"""In-nuqqasijiet jeżistu fid-disinn tal-modulu tal-kmand, l-abbilità u l-kontroll tal-kwalità.""")</f>
        <v>"In-nuqqasijiet jeżistu fid-disinn tal-modulu tal-kmand, l-abbilità u l-kontroll tal-kwalità."</v>
      </c>
    </row>
    <row r="5945" ht="15.75" customHeight="1">
      <c r="A5945" s="2" t="s">
        <v>5945</v>
      </c>
      <c r="B5945" s="2" t="str">
        <f>IFERROR(__xludf.DUMMYFUNCTION("GOOGLETRANSLATE(A5945, ""en"", ""mt"")"),"Ħlas ta 'kull xahar")</f>
        <v>Ħlas ta 'kull xahar</v>
      </c>
    </row>
    <row r="5946" ht="15.75" customHeight="1">
      <c r="A5946" s="2" t="s">
        <v>5946</v>
      </c>
      <c r="B5946" s="2" t="str">
        <f>IFERROR(__xludf.DUMMYFUNCTION("GOOGLETRANSLATE(A5946, ""en"", ""mt"")"),"Liema studjużi legali prestiġjużi huma membri tal-fakultà f'Harvard?")</f>
        <v>Liema studjużi legali prestiġjużi huma membri tal-fakultà f'Harvard?</v>
      </c>
    </row>
    <row r="5947" ht="15.75" customHeight="1">
      <c r="A5947" s="2" t="s">
        <v>5947</v>
      </c>
      <c r="B5947" s="2" t="str">
        <f>IFERROR(__xludf.DUMMYFUNCTION("GOOGLETRANSLATE(A5947, ""en"", ""mt"")"),"Il-problema ta 'fatturizzazzjoni sħiħa hija l-problema tal-komputazzjoni li tiddetermina l-fatturizzazzjoni ewlenija ta' numru sħiħ partikolari. Frased bħala problema ta 'deċiżjoni, hija l-problema li tiddeċiedi jekk l-input għandux fattur inqas minn k. L"&amp;"-ebda algoritmu ta 'fatturizzazzjoni sħiħ effiċjenti mhu magħruf, u dan il-fatt jifforma l-bażi ta' bosta sistemi kriptografiċi moderni, bħall-algoritmu RSA. Il-problema ta 'fatturizzazzjoni sħiħa hija f'NP u f'CO-NP (u anke f'UP u CO-UP). Jekk il-problem"&amp;"a hija kompluta NP, il-ġerarkija tal-ħin polinomjali se tiġġarraf għall-ewwel livell tagħha (i.e., NP se jkun indaqs ko-NP). L-aħjar algoritmu magħruf għall-fatturizzazzjoni sħiħa huwa l-passatur tal-qasam tan-numru ġenerali, li jieħu ż-żmien O (E (64/9) "&amp;"1/3 (n.log 2) 1/3 (log (n.log 2)) 2/3) Biex tiffranka numru sħiħ ta 'n-bit. Madankollu, l-iktar algoritmu kwantistiku magħruf għal din il-problema, l-algoritmu ta 'Shor, jaħdem fi żmien polinomjali. Sfortunatament, dan il-fatt ma jgħidx ħafna dwar fejn ti"&amp;"nsab il-problema fir-rigward ta 'klassijiet ta' kumplessità mhux kwanti.")</f>
        <v>Il-problema ta 'fatturizzazzjoni sħiħa hija l-problema tal-komputazzjoni li tiddetermina l-fatturizzazzjoni ewlenija ta' numru sħiħ partikolari. Frased bħala problema ta 'deċiżjoni, hija l-problema li tiddeċiedi jekk l-input għandux fattur inqas minn k. L-ebda algoritmu ta 'fatturizzazzjoni sħiħ effiċjenti mhu magħruf, u dan il-fatt jifforma l-bażi ta' bosta sistemi kriptografiċi moderni, bħall-algoritmu RSA. Il-problema ta 'fatturizzazzjoni sħiħa hija f'NP u f'CO-NP (u anke f'UP u CO-UP). Jekk il-problema hija kompluta NP, il-ġerarkija tal-ħin polinomjali se tiġġarraf għall-ewwel livell tagħha (i.e., NP se jkun indaqs ko-NP). L-aħjar algoritmu magħruf għall-fatturizzazzjoni sħiħa huwa l-passatur tal-qasam tan-numru ġenerali, li jieħu ż-żmien O (E (64/9) 1/3 (n.log 2) 1/3 (log (n.log 2)) 2/3) Biex tiffranka numru sħiħ ta 'n-bit. Madankollu, l-iktar algoritmu kwantistiku magħruf għal din il-problema, l-algoritmu ta 'Shor, jaħdem fi żmien polinomjali. Sfortunatament, dan il-fatt ma jgħidx ħafna dwar fejn tinsab il-problema fir-rigward ta 'klassijiet ta' kumplessità mhux kwanti.</v>
      </c>
    </row>
    <row r="5948" ht="15.75" customHeight="1">
      <c r="A5948" s="2" t="s">
        <v>5948</v>
      </c>
      <c r="B5948" s="2" t="str">
        <f>IFERROR(__xludf.DUMMYFUNCTION("GOOGLETRANSLATE(A5948, ""en"", ""mt"")"),"Id-dibattiti dwar id-diżubbidjenza ċivili jinkludu jew jeskludu liema prattika ewlenija?")</f>
        <v>Id-dibattiti dwar id-diżubbidjenza ċivili jinkludu jew jeskludu liema prattika ewlenija?</v>
      </c>
    </row>
    <row r="5949" ht="15.75" customHeight="1">
      <c r="A5949" s="2" t="s">
        <v>5949</v>
      </c>
      <c r="B5949" s="2" t="str">
        <f>IFERROR(__xludf.DUMMYFUNCTION("GOOGLETRANSLATE(A5949, ""en"", ""mt"")"),"Kif jidhru t-tweġibiet iva / le ta 'problema ta' kumpliment ta 'NP?")</f>
        <v>Kif jidhru t-tweġibiet iva / le ta 'problema ta' kumpliment ta 'NP?</v>
      </c>
    </row>
    <row r="5950" ht="15.75" customHeight="1">
      <c r="A5950" s="2" t="s">
        <v>5950</v>
      </c>
      <c r="B5950" s="2" t="str">
        <f>IFERROR(__xludf.DUMMYFUNCTION("GOOGLETRANSLATE(A5950, ""en"", ""mt"")"),"jirritorna d-dar")</f>
        <v>jirritorna d-dar</v>
      </c>
    </row>
    <row r="5951" ht="15.75" customHeight="1">
      <c r="A5951" s="2" t="s">
        <v>5951</v>
      </c>
      <c r="B5951" s="2" t="str">
        <f>IFERROR(__xludf.DUMMYFUNCTION("GOOGLETRANSLATE(A5951, ""en"", ""mt"")"),"Seklu 20")</f>
        <v>Seklu 20</v>
      </c>
    </row>
    <row r="5952" ht="15.75" customHeight="1">
      <c r="A5952" s="2" t="s">
        <v>5952</v>
      </c>
      <c r="B5952" s="2" t="str">
        <f>IFERROR(__xludf.DUMMYFUNCTION("GOOGLETRANSLATE(A5952, ""en"", ""mt"")"),"Qalba ta 'barra u qalba ta' ġewwa")</f>
        <v>Qalba ta 'barra u qalba ta' ġewwa</v>
      </c>
    </row>
    <row r="5953" ht="15.75" customHeight="1">
      <c r="A5953" s="2" t="s">
        <v>5953</v>
      </c>
      <c r="B5953" s="2" t="str">
        <f>IFERROR(__xludf.DUMMYFUNCTION("GOOGLETRANSLATE(A5953, ""en"", ""mt"")"),"Flashs ta 'dawl li jdawwal")</f>
        <v>Flashs ta 'dawl li jdawwal</v>
      </c>
    </row>
    <row r="5954" ht="15.75" customHeight="1">
      <c r="A5954" s="2" t="s">
        <v>5954</v>
      </c>
      <c r="B5954" s="2" t="str">
        <f>IFERROR(__xludf.DUMMYFUNCTION("GOOGLETRANSLATE(A5954, ""en"", ""mt"")"),"Il-pubblikazzjonijiet ostili ta 'Luther lejn il-Lhud")</f>
        <v>Il-pubblikazzjonijiet ostili ta 'Luther lejn il-Lhud</v>
      </c>
    </row>
    <row r="5955" ht="15.75" customHeight="1">
      <c r="A5955" s="2" t="s">
        <v>5955</v>
      </c>
      <c r="B5955" s="2" t="str">
        <f>IFERROR(__xludf.DUMMYFUNCTION("GOOGLETRANSLATE(A5955, ""en"", ""mt"")"),"Blat sedimentarji")</f>
        <v>Blat sedimentarji</v>
      </c>
    </row>
    <row r="5956" ht="15.75" customHeight="1">
      <c r="A5956" s="2" t="s">
        <v>5956</v>
      </c>
      <c r="B5956" s="2" t="str">
        <f>IFERROR(__xludf.DUMMYFUNCTION("GOOGLETRANSLATE(A5956, ""en"", ""mt"")"),"It-Trattat dwar l-Unjoni Ewropea (TEU) u t-Trattat dwar il-Funzjonament tal-Unjoni Ewropea (TFEU)")</f>
        <v>It-Trattat dwar l-Unjoni Ewropea (TEU) u t-Trattat dwar il-Funzjonament tal-Unjoni Ewropea (TFEU)</v>
      </c>
    </row>
    <row r="5957" ht="15.75" customHeight="1">
      <c r="A5957" s="2" t="s">
        <v>5957</v>
      </c>
      <c r="B5957" s="2" t="str">
        <f>IFERROR(__xludf.DUMMYFUNCTION("GOOGLETRANSLATE(A5957, ""en"", ""mt"")"),"stmat $ 200,000")</f>
        <v>stmat $ 200,000</v>
      </c>
    </row>
    <row r="5958" ht="15.75" customHeight="1">
      <c r="A5958" s="2" t="s">
        <v>5958</v>
      </c>
      <c r="B5958" s="2" t="str">
        <f>IFERROR(__xludf.DUMMYFUNCTION("GOOGLETRANSLATE(A5958, ""en"", ""mt"")"),"piramidi ta 'rjus maqtugħin")</f>
        <v>piramidi ta 'rjus maqtugħin</v>
      </c>
    </row>
    <row r="5959" ht="15.75" customHeight="1">
      <c r="A5959" s="2" t="s">
        <v>5959</v>
      </c>
      <c r="B5959" s="2" t="str">
        <f>IFERROR(__xludf.DUMMYFUNCTION("GOOGLETRANSLATE(A5959, ""en"", ""mt"")"),"Tentattiv biex tirriforma l-liġi kostituzzjonali tal-Unjoni Ewropea u tagħmilha aktar trasparenti")</f>
        <v>Tentattiv biex tirriforma l-liġi kostituzzjonali tal-Unjoni Ewropea u tagħmilha aktar trasparenti</v>
      </c>
    </row>
    <row r="5960" ht="15.75" customHeight="1">
      <c r="A5960" s="2" t="s">
        <v>5960</v>
      </c>
      <c r="B5960" s="2" t="str">
        <f>IFERROR(__xludf.DUMMYFUNCTION("GOOGLETRANSLATE(A5960, ""en"", ""mt"")"),"il-partijiet tan-Nofsinhar u Ċentrali ta 'Franza")</f>
        <v>il-partijiet tan-Nofsinhar u Ċentrali ta 'Franza</v>
      </c>
    </row>
    <row r="5961" ht="15.75" customHeight="1">
      <c r="A5961" s="2" t="s">
        <v>5961</v>
      </c>
      <c r="B5961" s="2" t="str">
        <f>IFERROR(__xludf.DUMMYFUNCTION("GOOGLETRANSLATE(A5961, ""en"", ""mt"")"),"Keck u Mithouard")</f>
        <v>Keck u Mithouard</v>
      </c>
    </row>
    <row r="5962" ht="15.75" customHeight="1">
      <c r="A5962" s="2" t="s">
        <v>5962</v>
      </c>
      <c r="B5962" s="2" t="str">
        <f>IFERROR(__xludf.DUMMYFUNCTION("GOOGLETRANSLATE(A5962, ""en"", ""mt"")"),"il-perjodu tan-nofs tal-antikità klassika")</f>
        <v>il-perjodu tan-nofs tal-antikità klassika</v>
      </c>
    </row>
    <row r="5963" ht="15.75" customHeight="1">
      <c r="A5963" s="2" t="s">
        <v>5963</v>
      </c>
      <c r="B5963" s="2" t="str">
        <f>IFERROR(__xludf.DUMMYFUNCTION("GOOGLETRANSLATE(A5963, ""en"", ""mt"")"),"Ġunju u Settembru")</f>
        <v>Ġunju u Settembru</v>
      </c>
    </row>
    <row r="5964" ht="15.75" customHeight="1">
      <c r="A5964" s="2" t="s">
        <v>5964</v>
      </c>
      <c r="B5964" s="2" t="str">
        <f>IFERROR(__xludf.DUMMYFUNCTION("GOOGLETRANSLATE(A5964, ""en"", ""mt"")"),"Applikazzjonijiet tat-Trasport")</f>
        <v>Applikazzjonijiet tat-Trasport</v>
      </c>
    </row>
    <row r="5965" ht="15.75" customHeight="1">
      <c r="A5965" s="2" t="s">
        <v>5965</v>
      </c>
      <c r="B5965" s="2" t="str">
        <f>IFERROR(__xludf.DUMMYFUNCTION("GOOGLETRANSLATE(A5965, ""en"", ""mt"")"),"Prinċep Frederick III")</f>
        <v>Prinċep Frederick III</v>
      </c>
    </row>
    <row r="5966" ht="15.75" customHeight="1">
      <c r="A5966" s="2" t="s">
        <v>5966</v>
      </c>
      <c r="B5966" s="2" t="str">
        <f>IFERROR(__xludf.DUMMYFUNCTION("GOOGLETRANSLATE(A5966, ""en"", ""mt"")"),"Kunjomijiet tal-Fruntiera Reiver")</f>
        <v>Kunjomijiet tal-Fruntiera Reiver</v>
      </c>
    </row>
    <row r="5967" ht="15.75" customHeight="1">
      <c r="A5967" s="2" t="s">
        <v>5967</v>
      </c>
      <c r="B5967" s="2" t="str">
        <f>IFERROR(__xludf.DUMMYFUNCTION("GOOGLETRANSLATE(A5967, ""en"", ""mt"")"),"eżegwit")</f>
        <v>eżegwit</v>
      </c>
    </row>
    <row r="5968" ht="15.75" customHeight="1">
      <c r="A5968" s="2" t="s">
        <v>5968</v>
      </c>
      <c r="B5968" s="2" t="str">
        <f>IFERROR(__xludf.DUMMYFUNCTION("GOOGLETRANSLATE(A5968, ""en"", ""mt"")"),"kontrogrammazzjoni")</f>
        <v>kontrogrammazzjoni</v>
      </c>
    </row>
    <row r="5969" ht="15.75" customHeight="1">
      <c r="A5969" s="2" t="s">
        <v>5969</v>
      </c>
      <c r="B5969" s="2" t="str">
        <f>IFERROR(__xludf.DUMMYFUNCTION("GOOGLETRANSLATE(A5969, ""en"", ""mt"")"),"Paleoklimatologi")</f>
        <v>Paleoklimatologi</v>
      </c>
    </row>
    <row r="5970" ht="15.75" customHeight="1">
      <c r="A5970" s="2" t="s">
        <v>5970</v>
      </c>
      <c r="B5970" s="2" t="str">
        <f>IFERROR(__xludf.DUMMYFUNCTION("GOOGLETRANSLATE(A5970, ""en"", ""mt"")"),"L-OPEC malajr tilfet il-pożizzjoni preeminenti tagħha, u fl-1981, il-produzzjoni tagħha nqabżet minn dik ta 'pajjiżi oħra. Barra minn hekk, in-nazzjonijiet membri tagħha stess ġew maqsuma. L-Arabja Sawdita, tipprova tirkupra s-sehem tas-suq, żieda fil-pro"&amp;"duzzjoni, timbotta l-prezzijiet 'l isfel, tonqos jew telimina l-profitti għal produtturi bi prezz għoli. Il-prezz dinji, li kien laħaq il-quċċata matul il-kriżi tal-enerġija tal-1979 għal kważi $ 40 kull barmil, naqas matul is-snin 1980 għal inqas minn $ "&amp;"10 kull barmil. Aġġustat għall-inflazzjoni, iż-żejt waqa 'fil-qosor lura għal-livelli ta' qabel l-1973. Dan il-prezz ta '""bejgħ"" kien windfall għan-nazzjonijiet li jimportaw iż-żejt, kemm żviluppati kif ukoll żviluppati.")</f>
        <v>L-OPEC malajr tilfet il-pożizzjoni preeminenti tagħha, u fl-1981, il-produzzjoni tagħha nqabżet minn dik ta 'pajjiżi oħra. Barra minn hekk, in-nazzjonijiet membri tagħha stess ġew maqsuma. L-Arabja Sawdita, tipprova tirkupra s-sehem tas-suq, żieda fil-produzzjoni, timbotta l-prezzijiet 'l isfel, tonqos jew telimina l-profitti għal produtturi bi prezz għoli. Il-prezz dinji, li kien laħaq il-quċċata matul il-kriżi tal-enerġija tal-1979 għal kważi $ 40 kull barmil, naqas matul is-snin 1980 għal inqas minn $ 10 kull barmil. Aġġustat għall-inflazzjoni, iż-żejt waqa 'fil-qosor lura għal-livelli ta' qabel l-1973. Dan il-prezz ta '"bejgħ" kien windfall għan-nazzjonijiet li jimportaw iż-żejt, kemm żviluppati kif ukoll żviluppati.</v>
      </c>
    </row>
    <row r="5971" ht="15.75" customHeight="1">
      <c r="A5971" s="2" t="s">
        <v>5971</v>
      </c>
      <c r="B5971" s="2" t="str">
        <f>IFERROR(__xludf.DUMMYFUNCTION("GOOGLETRANSLATE(A5971, ""en"", ""mt"")"),"parteċipant fl-IPCC u jikkoordina l-awtur ewlieni tal-ħames rapport ta 'valutazzjoni")</f>
        <v>parteċipant fl-IPCC u jikkoordina l-awtur ewlieni tal-ħames rapport ta 'valutazzjoni</v>
      </c>
    </row>
    <row r="5972" ht="15.75" customHeight="1">
      <c r="A5972" s="2" t="s">
        <v>5972</v>
      </c>
      <c r="B5972" s="2" t="str">
        <f>IFERROR(__xludf.DUMMYFUNCTION("GOOGLETRANSLATE(A5972, ""en"", ""mt"")"),"Ming u Qing")</f>
        <v>Ming u Qing</v>
      </c>
    </row>
    <row r="5973" ht="15.75" customHeight="1">
      <c r="A5973" s="2" t="s">
        <v>5973</v>
      </c>
      <c r="B5973" s="2" t="str">
        <f>IFERROR(__xludf.DUMMYFUNCTION("GOOGLETRANSLATE(A5973, ""en"", ""mt"")"),"Fi ħdan il-Maria u ċ-ċinturin tal-ġibda")</f>
        <v>Fi ħdan il-Maria u ċ-ċinturin tal-ġibda</v>
      </c>
    </row>
    <row r="5974" ht="15.75" customHeight="1">
      <c r="A5974" s="2" t="s">
        <v>5974</v>
      </c>
      <c r="B5974" s="2" t="str">
        <f>IFERROR(__xludf.DUMMYFUNCTION("GOOGLETRANSLATE(A5974, ""en"", ""mt"")"),"Dak li pprovda inċentiv lill-imperi tal-Punent biex jikkolonizzaw l-Afrika?")</f>
        <v>Dak li pprovda inċentiv lill-imperi tal-Punent biex jikkolonizzaw l-Afrika?</v>
      </c>
    </row>
    <row r="5975" ht="15.75" customHeight="1">
      <c r="A5975" s="2" t="s">
        <v>5975</v>
      </c>
      <c r="B5975" s="2" t="str">
        <f>IFERROR(__xludf.DUMMYFUNCTION("GOOGLETRANSLATE(A5975, ""en"", ""mt"")"),"infurmaw lil Céloron li huma kellhom il-pajjiż ta 'Ohio u li kienu jinnegozjaw mal-Ingliżi")</f>
        <v>infurmaw lil Céloron li huma kellhom il-pajjiż ta 'Ohio u li kienu jinnegozjaw mal-Ingliżi</v>
      </c>
    </row>
    <row r="5976" ht="15.75" customHeight="1">
      <c r="A5976" s="2" t="s">
        <v>5976</v>
      </c>
      <c r="B5976" s="2" t="str">
        <f>IFERROR(__xludf.DUMMYFUNCTION("GOOGLETRANSLATE(A5976, ""en"", ""mt"")"),"lura lejn id-Dinja.")</f>
        <v>lura lejn id-Dinja.</v>
      </c>
    </row>
    <row r="5977" ht="15.75" customHeight="1">
      <c r="A5977" s="2" t="s">
        <v>5977</v>
      </c>
      <c r="B5977" s="2" t="str">
        <f>IFERROR(__xludf.DUMMYFUNCTION("GOOGLETRANSLATE(A5977, ""en"", ""mt"")"),"L-omm, li għaliha tista 'tirriżulta ħsara devastanti minn tqala mhux aċċettabbli")</f>
        <v>L-omm, li għaliha tista 'tirriżulta ħsara devastanti minn tqala mhux aċċettabbli</v>
      </c>
    </row>
    <row r="5978" ht="15.75" customHeight="1">
      <c r="A5978" s="2" t="s">
        <v>5978</v>
      </c>
      <c r="B5978" s="2" t="str">
        <f>IFERROR(__xludf.DUMMYFUNCTION("GOOGLETRANSLATE(A5978, ""en"", ""mt"")"),"L-ewwel erba 'titjiriet ta' test Saturn I ġew imnedija minn LC-34, bl-ewwel stadji ħajjin biss, li jġorru stadji ta 'fuq finta mimlijin ilma. L-ewwel titjira bi S-IV ħaj tnediet minn LC-37. Dan kien segwit minn ħames tnedijiet ta 'Boilerplate CSMs (magħżu"&amp;"la AS-101 sa AS-105) fl-orbita fl-1964 u fl-1965. L-aħħar tlieta minn dawn appoġġjaw aktar il-programm Apollo billi wettqu wkoll satelliti Pegasus, li vverifikaw is-sigurtà tal-ambjent tat-traslunar Billi tkejjel il-frekwenza u s-severità tal-impatti tal-"&amp;"mikrometeoriti.")</f>
        <v>L-ewwel erba 'titjiriet ta' test Saturn I ġew imnedija minn LC-34, bl-ewwel stadji ħajjin biss, li jġorru stadji ta 'fuq finta mimlijin ilma. L-ewwel titjira bi S-IV ħaj tnediet minn LC-37. Dan kien segwit minn ħames tnedijiet ta 'Boilerplate CSMs (magħżula AS-101 sa AS-105) fl-orbita fl-1964 u fl-1965. L-aħħar tlieta minn dawn appoġġjaw aktar il-programm Apollo billi wettqu wkoll satelliti Pegasus, li vverifikaw is-sigurtà tal-ambjent tat-traslunar Billi tkejjel il-frekwenza u s-severità tal-impatti tal-mikrometeoriti.</v>
      </c>
    </row>
    <row r="5979" ht="15.75" customHeight="1">
      <c r="A5979" s="2" t="s">
        <v>5979</v>
      </c>
      <c r="B5979" s="2" t="str">
        <f>IFERROR(__xludf.DUMMYFUNCTION("GOOGLETRANSLATE(A5979, ""en"", ""mt"")"),"Fi żminijiet imgħoddija, il-kastig korporali (spanking jew paddling jew bott jew strapping jew li jdaħħal l-istudent sabiex jikkawża uġigħ fiżiku) kienet waħda mill-aktar forom komuni ta 'dixxiplina tal-iskola matul ħafna mid-dinja. Il-biċċa l-kbira tal-p"&amp;"ajjiżi tal-Punent, u xi oħrajn, issa pprojbixxewha, iżda tibqa 'legali fl-Istati Uniti wara deċiżjoni tal-Qorti Suprema ta' l-Istati Uniti fl-1977 li ddeċidiet li l-paddling ma kiserx il-Kostituzzjoni ta 'l-Istati Uniti.")</f>
        <v>Fi żminijiet imgħoddija, il-kastig korporali (spanking jew paddling jew bott jew strapping jew li jdaħħal l-istudent sabiex jikkawża uġigħ fiżiku) kienet waħda mill-aktar forom komuni ta 'dixxiplina tal-iskola matul ħafna mid-dinja. Il-biċċa l-kbira tal-pajjiżi tal-Punent, u xi oħrajn, issa pprojbixxewha, iżda tibqa 'legali fl-Istati Uniti wara deċiżjoni tal-Qorti Suprema ta' l-Istati Uniti fl-1977 li ddeċidiet li l-paddling ma kiserx il-Kostituzzjoni ta 'l-Istati Uniti.</v>
      </c>
    </row>
    <row r="5980" ht="15.75" customHeight="1">
      <c r="A5980" s="2" t="s">
        <v>5980</v>
      </c>
      <c r="B5980" s="2" t="str">
        <f>IFERROR(__xludf.DUMMYFUNCTION("GOOGLETRANSLATE(A5980, ""en"", ""mt"")"),"Browlee japplika wkoll li d-diżubbidjenza ċivili hija tajba rigward?")</f>
        <v>Browlee japplika wkoll li d-diżubbidjenza ċivili hija tajba rigward?</v>
      </c>
    </row>
    <row r="5981" ht="15.75" customHeight="1">
      <c r="A5981" s="2" t="s">
        <v>5981</v>
      </c>
      <c r="B5981" s="2" t="str">
        <f>IFERROR(__xludf.DUMMYFUNCTION("GOOGLETRANSLATE(A5981, ""en"", ""mt"")"),"L-Iskejjel tax-Xjenza")</f>
        <v>L-Iskejjel tax-Xjenza</v>
      </c>
    </row>
    <row r="5982" ht="15.75" customHeight="1">
      <c r="A5982" s="2" t="s">
        <v>5982</v>
      </c>
      <c r="B5982" s="2" t="str">
        <f>IFERROR(__xludf.DUMMYFUNCTION("GOOGLETRANSLATE(A5982, ""en"", ""mt"")"),"Televiżjoni sewda u bajda")</f>
        <v>Televiżjoni sewda u bajda</v>
      </c>
    </row>
    <row r="5983" ht="15.75" customHeight="1">
      <c r="A5983" s="2" t="s">
        <v>5983</v>
      </c>
      <c r="B5983" s="2" t="str">
        <f>IFERROR(__xludf.DUMMYFUNCTION("GOOGLETRANSLATE(A5983, ""en"", ""mt"")"),"Kien mitlub regolament tar-Rhine, b'kanal ta 'fuq ħdejn Diepoldsau u kanal aktar baxx f'Fußach, sabiex tiġi miġġielda l-għargħar kostanti u s-sedimentazzjoni qawwija fid-delta tar-Renu tal-Punent. Id-Dornbirner ACh kellu jiġi ddevjat ukoll, u issa joħroġ "&amp;"paralleli mar-Rhine kanalizzata fil-lag. L-ilma tiegħu għandu kulur iktar skur mir-Rhine; It-tagħbija sospiża eħfef ta 'dan tal-aħħar ġejja minn ogħla' l fuq mill-muntanji. Huwa mistenni li l-input kontinwu tas-sediment fil-lag se joħroġ il-lag. Dan diġà "&amp;"ġara lill-eks Lag Tuggenersee.")</f>
        <v>Kien mitlub regolament tar-Rhine, b'kanal ta 'fuq ħdejn Diepoldsau u kanal aktar baxx f'Fußach, sabiex tiġi miġġielda l-għargħar kostanti u s-sedimentazzjoni qawwija fid-delta tar-Renu tal-Punent. Id-Dornbirner ACh kellu jiġi ddevjat ukoll, u issa joħroġ paralleli mar-Rhine kanalizzata fil-lag. L-ilma tiegħu għandu kulur iktar skur mir-Rhine; It-tagħbija sospiża eħfef ta 'dan tal-aħħar ġejja minn ogħla' l fuq mill-muntanji. Huwa mistenni li l-input kontinwu tas-sediment fil-lag se joħroġ il-lag. Dan diġà ġara lill-eks Lag Tuggenersee.</v>
      </c>
    </row>
    <row r="5984" ht="15.75" customHeight="1">
      <c r="A5984" s="2" t="s">
        <v>5984</v>
      </c>
      <c r="B5984" s="2" t="str">
        <f>IFERROR(__xludf.DUMMYFUNCTION("GOOGLETRANSLATE(A5984, ""en"", ""mt"")"),"X'kienet Newcastle imsemmi bħala l-iktar tip ta 'belt fir-Renju Unit?")</f>
        <v>X'kienet Newcastle imsemmi bħala l-iktar tip ta 'belt fir-Renju Unit?</v>
      </c>
    </row>
    <row r="5985" ht="15.75" customHeight="1">
      <c r="A5985" s="2" t="s">
        <v>5985</v>
      </c>
      <c r="B5985" s="2" t="str">
        <f>IFERROR(__xludf.DUMMYFUNCTION("GOOGLETRANSLATE(A5985, ""en"", ""mt"")"),"Aġenti ta ’S.H.I.E.L.D.")</f>
        <v>Aġenti ta ’S.H.I.E.L.D.</v>
      </c>
    </row>
    <row r="5986" ht="15.75" customHeight="1">
      <c r="A5986" s="2" t="s">
        <v>5986</v>
      </c>
      <c r="B5986" s="2" t="str">
        <f>IFERROR(__xludf.DUMMYFUNCTION("GOOGLETRANSLATE(A5986, ""en"", ""mt"")"),"Stadji ta ’fuq finta mimlijin ilma.")</f>
        <v>Stadji ta ’fuq finta mimlijin ilma.</v>
      </c>
    </row>
    <row r="5987" ht="15.75" customHeight="1">
      <c r="A5987" s="2" t="s">
        <v>5987</v>
      </c>
      <c r="B5987" s="2" t="str">
        <f>IFERROR(__xludf.DUMMYFUNCTION("GOOGLETRANSLATE(A5987, ""en"", ""mt"")"),"Fejn intwera l-indikatur tal-magna tal-istim Charles Porter?")</f>
        <v>Fejn intwera l-indikatur tal-magna tal-istim Charles Porter?</v>
      </c>
    </row>
    <row r="5988" ht="15.75" customHeight="1">
      <c r="A5988" s="2" t="s">
        <v>5988</v>
      </c>
      <c r="B5988" s="2" t="str">
        <f>IFERROR(__xludf.DUMMYFUNCTION("GOOGLETRANSLATE(A5988, ""en"", ""mt"")"),"Biex iġġiegħel lill-Ġappun ikun aktar involut fil-kriżi, x’għamlu l-gvern Sawdi u Kuwajt?")</f>
        <v>Biex iġġiegħel lill-Ġappun ikun aktar involut fil-kriżi, x’għamlu l-gvern Sawdi u Kuwajt?</v>
      </c>
    </row>
    <row r="5989" ht="15.75" customHeight="1">
      <c r="A5989" s="2" t="s">
        <v>5989</v>
      </c>
      <c r="B5989" s="2" t="str">
        <f>IFERROR(__xludf.DUMMYFUNCTION("GOOGLETRANSLATE(A5989, ""en"", ""mt"")"),"Meta bdiet tiżdied l-inugwaljanza fid-dħul fl-Istati Uniti?")</f>
        <v>Meta bdiet tiżdied l-inugwaljanza fid-dħul fl-Istati Uniti?</v>
      </c>
    </row>
    <row r="5990" ht="15.75" customHeight="1">
      <c r="A5990" s="2" t="s">
        <v>5990</v>
      </c>
      <c r="B5990" s="2" t="str">
        <f>IFERROR(__xludf.DUMMYFUNCTION("GOOGLETRANSLATE(A5990, ""en"", ""mt"")"),"Biex tirrimedja l-kawżi tan-nar, saru bidliet fil-vettura spazjali tal-blokka II u l-proċeduri operattivi, li l-iktar importanti minnhom kienu l-użu ta 'taħlita ta' nitroġenu / ossiġenu minflok ossiġnu pur qabel u waqt it-tnedija, u t-tneħħija ta 'kabina "&amp;"u libsa ta' l-ispazju fjammabbli materjali. Id-disinn tal-Blokk II diġà talab għas-sostituzzjoni tal-kopertura tal-bokkaporti tat-tip Plug Blokk I b'bieb ta 'ftuħ ta' barra, li jinħeles malajr. In-NASA waqqfet il-programm tal-Block I bl-ekwipaġġ, billi tu"&amp;"ża l-vettura spazjali Blokk I biss għal titjiriet Saturn V mingħajr ekwipaġġ. Il-membri tal-ekwipaġġ jilbsu wkoll esklussivament ilbiesi spazjali modifikati, reżistenti għan-nar, u jkunu magħżula bit-titli tal-Blokk II, irrispettivament minn jekk LM kienx"&amp;" preżenti fit-titjira jew le.")</f>
        <v>Biex tirrimedja l-kawżi tan-nar, saru bidliet fil-vettura spazjali tal-blokka II u l-proċeduri operattivi, li l-iktar importanti minnhom kienu l-użu ta 'taħlita ta' nitroġenu / ossiġenu minflok ossiġnu pur qabel u waqt it-tnedija, u t-tneħħija ta 'kabina u libsa ta' l-ispazju fjammabbli materjali. Id-disinn tal-Blokk II diġà talab għas-sostituzzjoni tal-kopertura tal-bokkaporti tat-tip Plug Blokk I b'bieb ta 'ftuħ ta' barra, li jinħeles malajr. In-NASA waqqfet il-programm tal-Block I bl-ekwipaġġ, billi tuża l-vettura spazjali Blokk I biss għal titjiriet Saturn V mingħajr ekwipaġġ. Il-membri tal-ekwipaġġ jilbsu wkoll esklussivament ilbiesi spazjali modifikati, reżistenti għan-nar, u jkunu magħżula bit-titli tal-Blokk II, irrispettivament minn jekk LM kienx preżenti fit-titjira jew le.</v>
      </c>
    </row>
    <row r="5991" ht="15.75" customHeight="1">
      <c r="A5991" s="2" t="s">
        <v>5991</v>
      </c>
      <c r="B5991" s="2" t="str">
        <f>IFERROR(__xludf.DUMMYFUNCTION("GOOGLETRANSLATE(A5991, ""en"", ""mt"")"),"konnessjonijiet dial-up jew konnessjonijiet dedikati async")</f>
        <v>konnessjonijiet dial-up jew konnessjonijiet dedikati async</v>
      </c>
    </row>
    <row r="5992" ht="15.75" customHeight="1">
      <c r="A5992" s="2" t="s">
        <v>5992</v>
      </c>
      <c r="B5992" s="2" t="str">
        <f>IFERROR(__xludf.DUMMYFUNCTION("GOOGLETRANSLATE(A5992, ""en"", ""mt"")"),"X'kien il-prezz taż-żejt f'Marzu tal-1974?")</f>
        <v>X'kien il-prezz taż-żejt f'Marzu tal-1974?</v>
      </c>
    </row>
    <row r="5993" ht="15.75" customHeight="1">
      <c r="A5993" s="2" t="s">
        <v>5993</v>
      </c>
      <c r="B5993" s="2" t="str">
        <f>IFERROR(__xludf.DUMMYFUNCTION("GOOGLETRANSLATE(A5993, ""en"", ""mt"")"),"taċċetta kastig")</f>
        <v>taċċetta kastig</v>
      </c>
    </row>
    <row r="5994" ht="15.75" customHeight="1">
      <c r="A5994" s="2" t="s">
        <v>5994</v>
      </c>
      <c r="B5994" s="2" t="str">
        <f>IFERROR(__xludf.DUMMYFUNCTION("GOOGLETRANSLATE(A5994, ""en"", ""mt"")"),"Kemm kellu tifel Turkana?")</f>
        <v>Kemm kellu tifel Turkana?</v>
      </c>
    </row>
    <row r="5995" ht="15.75" customHeight="1">
      <c r="A5995" s="2" t="s">
        <v>5995</v>
      </c>
      <c r="B5995" s="2" t="str">
        <f>IFERROR(__xludf.DUMMYFUNCTION("GOOGLETRANSLATE(A5995, ""en"", ""mt"")"),"vakwu")</f>
        <v>vakwu</v>
      </c>
    </row>
    <row r="5996" ht="15.75" customHeight="1">
      <c r="A5996" s="2" t="s">
        <v>5996</v>
      </c>
      <c r="B5996" s="2" t="str">
        <f>IFERROR(__xludf.DUMMYFUNCTION("GOOGLETRANSLATE(A5996, ""en"", ""mt"")"),"teatru.")</f>
        <v>teatru.</v>
      </c>
    </row>
    <row r="5997" ht="15.75" customHeight="1">
      <c r="A5997" s="2" t="s">
        <v>5997</v>
      </c>
      <c r="B5997" s="2" t="str">
        <f>IFERROR(__xludf.DUMMYFUNCTION("GOOGLETRANSLATE(A5997, ""en"", ""mt"")"),"X'taħseb li Dalton il-proporzjonijiet atomiċi kienu bejn l-atomi fil-komposti?")</f>
        <v>X'taħseb li Dalton il-proporzjonijiet atomiċi kienu bejn l-atomi fil-komposti?</v>
      </c>
    </row>
    <row r="5998" ht="15.75" customHeight="1">
      <c r="A5998" s="2" t="s">
        <v>5998</v>
      </c>
      <c r="B5998" s="2" t="str">
        <f>IFERROR(__xludf.DUMMYFUNCTION("GOOGLETRANSLATE(A5998, ""en"", ""mt"")"),"Hemm rabtiet kuntrattwali diretti bejn min?")</f>
        <v>Hemm rabtiet kuntrattwali diretti bejn min?</v>
      </c>
    </row>
    <row r="5999" ht="15.75" customHeight="1">
      <c r="A5999" s="2" t="s">
        <v>5999</v>
      </c>
      <c r="B5999" s="2" t="str">
        <f>IFERROR(__xludf.DUMMYFUNCTION("GOOGLETRANSLATE(A5999, ""en"", ""mt"")"),"Liema nofs maratona popolari globalment bdiet fl-1981?")</f>
        <v>Liema nofs maratona popolari globalment bdiet fl-1981?</v>
      </c>
    </row>
    <row r="6000" ht="15.75" customHeight="1">
      <c r="A6000" s="2" t="s">
        <v>6000</v>
      </c>
      <c r="B6000" s="2" t="str">
        <f>IFERROR(__xludf.DUMMYFUNCTION("GOOGLETRANSLATE(A6000, ""en"", ""mt"")"),"Robert Lane u Benjamin Vail")</f>
        <v>Robert Lane u Benjamin Vail</v>
      </c>
    </row>
    <row r="6001" ht="15.75" customHeight="1">
      <c r="A6001" s="2" t="s">
        <v>6001</v>
      </c>
      <c r="B6001" s="2" t="str">
        <f>IFERROR(__xludf.DUMMYFUNCTION("GOOGLETRANSLATE(A6001, ""en"", ""mt"")"),"Liema ipoteżi hija assoċjata mal-klassi ta 'kumplessità ta' P meqjusa bħala astrazzjoni matematika b'funzjonalità algoritmika effiċjenti?")</f>
        <v>Liema ipoteżi hija assoċjata mal-klassi ta 'kumplessità ta' P meqjusa bħala astrazzjoni matematika b'funzjonalità algoritmika effiċjenti?</v>
      </c>
    </row>
    <row r="6002" ht="15.75" customHeight="1">
      <c r="A6002" s="2" t="s">
        <v>6002</v>
      </c>
      <c r="B6002" s="2" t="str">
        <f>IFERROR(__xludf.DUMMYFUNCTION("GOOGLETRANSLATE(A6002, ""en"", ""mt"")"),"9 ta ’Ottubru 2006")</f>
        <v>9 ta ’Ottubru 2006</v>
      </c>
    </row>
    <row r="6003" ht="15.75" customHeight="1">
      <c r="A6003" s="2" t="s">
        <v>6003</v>
      </c>
      <c r="B6003" s="2" t="str">
        <f>IFERROR(__xludf.DUMMYFUNCTION("GOOGLETRANSLATE(A6003, ""en"", ""mt"")"),"Kanzunetta Imperatur")</f>
        <v>Kanzunetta Imperatur</v>
      </c>
    </row>
    <row r="6004" ht="15.75" customHeight="1">
      <c r="A6004" s="2" t="s">
        <v>6004</v>
      </c>
      <c r="B6004" s="2" t="str">
        <f>IFERROR(__xludf.DUMMYFUNCTION("GOOGLETRANSLATE(A6004, ""en"", ""mt"")"),"Id-Direttiva tal-Kunsill tax-Xogħlijiet tal-1994")</f>
        <v>Id-Direttiva tal-Kunsill tax-Xogħlijiet tal-1994</v>
      </c>
    </row>
    <row r="6005" ht="15.75" customHeight="1">
      <c r="A6005" s="2" t="s">
        <v>6005</v>
      </c>
      <c r="B6005" s="2" t="str">
        <f>IFERROR(__xludf.DUMMYFUNCTION("GOOGLETRANSLATE(A6005, ""en"", ""mt"")"),"Min għelbu l-Panthers fil-logħba tal-kampjonat NFC?")</f>
        <v>Min għelbu l-Panthers fil-logħba tal-kampjonat NFC?</v>
      </c>
    </row>
    <row r="6006" ht="15.75" customHeight="1">
      <c r="A6006" s="2" t="s">
        <v>6006</v>
      </c>
      <c r="B6006" s="2" t="str">
        <f>IFERROR(__xludf.DUMMYFUNCTION("GOOGLETRANSLATE(A6006, ""en"", ""mt"")"),"Liema artikoli tar-regolament tal-moviment liberu tal-ħaddiema stabbilixxew id-dispożizzjonijiet primarji dwar trattament ugwali tal-ħaddiema?")</f>
        <v>Liema artikoli tar-regolament tal-moviment liberu tal-ħaddiema stabbilixxew id-dispożizzjonijiet primarji dwar trattament ugwali tal-ħaddiema?</v>
      </c>
    </row>
    <row r="6007" ht="15.75" customHeight="1">
      <c r="A6007" s="2" t="s">
        <v>6007</v>
      </c>
      <c r="B6007" s="2" t="str">
        <f>IFERROR(__xludf.DUMMYFUNCTION("GOOGLETRANSLATE(A6007, ""en"", ""mt"")"),"Prezzijiet għoljin tal-fjuwil u kompetizzjoni ġdida minn servizzi ta 'l-ajru bi prezz baxx")</f>
        <v>Prezzijiet għoljin tal-fjuwil u kompetizzjoni ġdida minn servizzi ta 'l-ajru bi prezz baxx</v>
      </c>
    </row>
    <row r="6008" ht="15.75" customHeight="1">
      <c r="A6008" s="2" t="s">
        <v>6008</v>
      </c>
      <c r="B6008" s="2" t="str">
        <f>IFERROR(__xludf.DUMMYFUNCTION("GOOGLETRANSLATE(A6008, ""en"", ""mt"")"),"Gvernijiet inkompetenti, ineffiċjenti, jew negliċi")</f>
        <v>Gvernijiet inkompetenti, ineffiċjenti, jew negliċi</v>
      </c>
    </row>
    <row r="6009" ht="15.75" customHeight="1">
      <c r="A6009" s="2" t="s">
        <v>6009</v>
      </c>
      <c r="B6009" s="2" t="str">
        <f>IFERROR(__xludf.DUMMYFUNCTION("GOOGLETRANSLATE(A6009, ""en"", ""mt"")"),"Kemm hemm speċi differenti ta 'ctenohore?")</f>
        <v>Kemm hemm speċi differenti ta 'ctenohore?</v>
      </c>
    </row>
    <row r="6010" ht="15.75" customHeight="1">
      <c r="A6010" s="2" t="s">
        <v>6010</v>
      </c>
      <c r="B6010" s="2" t="str">
        <f>IFERROR(__xludf.DUMMYFUNCTION("GOOGLETRANSLATE(A6010, ""en"", ""mt"")"),"Avenue Columbus u West 66th Street")</f>
        <v>Avenue Columbus u West 66th Street</v>
      </c>
    </row>
    <row r="6011" ht="15.75" customHeight="1">
      <c r="A6011" s="2" t="s">
        <v>6011</v>
      </c>
      <c r="B6011" s="2" t="str">
        <f>IFERROR(__xludf.DUMMYFUNCTION("GOOGLETRANSLATE(A6011, ""en"", ""mt"")"),"Xi tixbah il-parti ta ’barra tat-TARDIS?")</f>
        <v>Xi tixbah il-parti ta ’barra tat-TARDIS?</v>
      </c>
    </row>
    <row r="6012" ht="15.75" customHeight="1">
      <c r="A6012" s="2" t="s">
        <v>6012</v>
      </c>
      <c r="B6012" s="2" t="str">
        <f>IFERROR(__xludf.DUMMYFUNCTION("GOOGLETRANSLATE(A6012, ""en"", ""mt"")"),"Minħabba li baqa 'ħaj minn bosta gwerer, kunflitti u invażjonijiet matul l-istorja twila tiegħu")</f>
        <v>Minħabba li baqa 'ħaj minn bosta gwerer, kunflitti u invażjonijiet matul l-istorja twila tiegħu</v>
      </c>
    </row>
    <row r="6013" ht="15.75" customHeight="1">
      <c r="A6013" s="2" t="s">
        <v>6013</v>
      </c>
      <c r="B6013" s="2" t="str">
        <f>IFERROR(__xludf.DUMMYFUNCTION("GOOGLETRANSLATE(A6013, ""en"", ""mt"")"),"Fejn intbagħtu l-irmied?")</f>
        <v>Fejn intbagħtu l-irmied?</v>
      </c>
    </row>
    <row r="6014" ht="15.75" customHeight="1">
      <c r="A6014" s="2" t="s">
        <v>6014</v>
      </c>
      <c r="B6014" s="2" t="str">
        <f>IFERROR(__xludf.DUMMYFUNCTION("GOOGLETRANSLATE(A6014, ""en"", ""mt"")"),"Idroġenu likwidu maħruq")</f>
        <v>Idroġenu likwidu maħruq</v>
      </c>
    </row>
    <row r="6015" ht="15.75" customHeight="1">
      <c r="A6015" s="2" t="s">
        <v>6015</v>
      </c>
      <c r="B6015" s="2" t="str">
        <f>IFERROR(__xludf.DUMMYFUNCTION("GOOGLETRANSLATE(A6015, ""en"", ""mt"")"),"Doc Films")</f>
        <v>Doc Films</v>
      </c>
    </row>
    <row r="6016" ht="15.75" customHeight="1">
      <c r="A6016" s="2" t="s">
        <v>6016</v>
      </c>
      <c r="B6016" s="2" t="str">
        <f>IFERROR(__xludf.DUMMYFUNCTION("GOOGLETRANSLATE(A6016, ""en"", ""mt"")"),"Fil-kloroplasti tal-pjanti C4")</f>
        <v>Fil-kloroplasti tal-pjanti C4</v>
      </c>
    </row>
    <row r="6017" ht="15.75" customHeight="1">
      <c r="A6017" s="2" t="s">
        <v>6017</v>
      </c>
      <c r="B6017" s="2" t="str">
        <f>IFERROR(__xludf.DUMMYFUNCTION("GOOGLETRANSLATE(A6017, ""en"", ""mt"")"),"ġid u dħul")</f>
        <v>ġid u dħul</v>
      </c>
    </row>
    <row r="6018" ht="15.75" customHeight="1">
      <c r="A6018" s="2" t="s">
        <v>6018</v>
      </c>
      <c r="B6018" s="2" t="str">
        <f>IFERROR(__xludf.DUMMYFUNCTION("GOOGLETRANSLATE(A6018, ""en"", ""mt"")"),"Ikkastiga lill-poplu Miami ta 'Pickawillany")</f>
        <v>Ikkastiga lill-poplu Miami ta 'Pickawillany</v>
      </c>
    </row>
    <row r="6019" ht="15.75" customHeight="1">
      <c r="A6019" s="2" t="s">
        <v>6019</v>
      </c>
      <c r="B6019" s="2" t="str">
        <f>IFERROR(__xludf.DUMMYFUNCTION("GOOGLETRANSLATE(A6019, ""en"", ""mt"")"),"Dinosawri")</f>
        <v>Dinosawri</v>
      </c>
    </row>
    <row r="6020" ht="15.75" customHeight="1">
      <c r="A6020" s="2" t="s">
        <v>6020</v>
      </c>
      <c r="B6020" s="2" t="str">
        <f>IFERROR(__xludf.DUMMYFUNCTION("GOOGLETRANSLATE(A6020, ""en"", ""mt"")"),"Teorema ta 'Chen")</f>
        <v>Teorema ta 'Chen</v>
      </c>
    </row>
    <row r="6021" ht="15.75" customHeight="1">
      <c r="A6021" s="2" t="s">
        <v>6021</v>
      </c>
      <c r="B6021" s="2" t="str">
        <f>IFERROR(__xludf.DUMMYFUNCTION("GOOGLETRANSLATE(A6021, ""en"", ""mt"")"),"Kien hemm ħafna Ċiniżi b'liema status mhux mistenni?")</f>
        <v>Kien hemm ħafna Ċiniżi b'liema status mhux mistenni?</v>
      </c>
    </row>
    <row r="6022" ht="15.75" customHeight="1">
      <c r="A6022" s="2" t="s">
        <v>6022</v>
      </c>
      <c r="B6022" s="2" t="str">
        <f>IFERROR(__xludf.DUMMYFUNCTION("GOOGLETRANSLATE(A6022, ""en"", ""mt"")"),"Ftit qtar")</f>
        <v>Ftit qtar</v>
      </c>
    </row>
    <row r="6023" ht="15.75" customHeight="1">
      <c r="A6023" s="2" t="s">
        <v>6023</v>
      </c>
      <c r="B6023" s="2" t="str">
        <f>IFERROR(__xludf.DUMMYFUNCTION("GOOGLETRANSLATE(A6023, ""en"", ""mt"")"),"L-użu ta 'liema apparat kien jirrappreżenta l-aħħar evoluzzjoni ewlenija tal-magna tal-fwar?")</f>
        <v>L-użu ta 'liema apparat kien jirrappreżenta l-aħħar evoluzzjoni ewlenija tal-magna tal-fwar?</v>
      </c>
    </row>
    <row r="6024" ht="15.75" customHeight="1">
      <c r="A6024" s="2" t="s">
        <v>6024</v>
      </c>
      <c r="B6024" s="2" t="str">
        <f>IFERROR(__xludf.DUMMYFUNCTION("GOOGLETRANSLATE(A6024, ""en"", ""mt"")"),"X'inhi xibka kumplessa ta 'kuntratti u obbligi legali oħra?")</f>
        <v>X'inhi xibka kumplessa ta 'kuntratti u obbligi legali oħra?</v>
      </c>
    </row>
    <row r="6025" ht="15.75" customHeight="1">
      <c r="A6025" s="2" t="s">
        <v>6025</v>
      </c>
      <c r="B6025" s="2" t="str">
        <f>IFERROR(__xludf.DUMMYFUNCTION("GOOGLETRANSLATE(A6025, ""en"", ""mt"")"),"Is-sistemi immuni ta 'batterji għandhom enzimi li jipproteġu kontra l-infezzjoni minn x'tip ta' ċelloli?")</f>
        <v>Is-sistemi immuni ta 'batterji għandhom enzimi li jipproteġu kontra l-infezzjoni minn x'tip ta' ċelloli?</v>
      </c>
    </row>
    <row r="6026" ht="15.75" customHeight="1">
      <c r="A6026" s="2" t="s">
        <v>6026</v>
      </c>
      <c r="B6026" s="2" t="str">
        <f>IFERROR(__xludf.DUMMYFUNCTION("GOOGLETRANSLATE(A6026, ""en"", ""mt"")"),"is-seklu 12")</f>
        <v>is-seklu 12</v>
      </c>
    </row>
    <row r="6027" ht="15.75" customHeight="1">
      <c r="A6027" s="2" t="s">
        <v>6027</v>
      </c>
      <c r="B6027" s="2" t="str">
        <f>IFERROR(__xludf.DUMMYFUNCTION("GOOGLETRANSLATE(A6027, ""en"", ""mt"")"),"L-ewwel sitt snin")</f>
        <v>L-ewwel sitt snin</v>
      </c>
    </row>
    <row r="6028" ht="15.75" customHeight="1">
      <c r="A6028" s="2" t="s">
        <v>6028</v>
      </c>
      <c r="B6028" s="2" t="str">
        <f>IFERROR(__xludf.DUMMYFUNCTION("GOOGLETRANSLATE(A6028, ""en"", ""mt"")"),"Liema fazzjoni tan-NASA waslet l-ewwel biex tappoġġja l-LOR?")</f>
        <v>Liema fazzjoni tan-NASA waslet l-ewwel biex tappoġġja l-LOR?</v>
      </c>
    </row>
    <row r="6029" ht="15.75" customHeight="1">
      <c r="A6029" s="2" t="s">
        <v>6029</v>
      </c>
      <c r="B6029" s="2" t="str">
        <f>IFERROR(__xludf.DUMMYFUNCTION("GOOGLETRANSLATE(A6029, ""en"", ""mt"")"),"Żewġ CSMs tal-Blokk I tnedew minn LC-34 fuq titjiriet suborbitali fl-1966 ma 'Saturn IB. L-ewwel, AS-201 imnediet fis-26 ta 'Frar, laħqet altitudni ta' 265.7 mili nawtiċi (492.1 km) u splashed 'l isfel 4,577 mili nawtiċi (8,477 km)' l isfel fl-Oċean Atlan"&amp;"tiku. It-tieni, AS-202 fil-25 ta 'Awwissu, laħqu l-altitudni 617.1 mili nawtiċi (1,142.9 km) u ġie rkuprat 13,900 mil nawtiku (25,700 km)' l isfel fl-Oċean Paċifiku. Dawn it-titjiriet ivvalidaw il-magna tal-modulu tas-servizz u l-modulu tal-kmand Shield H"&amp;"eat.")</f>
        <v>Żewġ CSMs tal-Blokk I tnedew minn LC-34 fuq titjiriet suborbitali fl-1966 ma 'Saturn IB. L-ewwel, AS-201 imnediet fis-26 ta 'Frar, laħqet altitudni ta' 265.7 mili nawtiċi (492.1 km) u splashed 'l isfel 4,577 mili nawtiċi (8,477 km)' l isfel fl-Oċean Atlantiku. It-tieni, AS-202 fil-25 ta 'Awwissu, laħqu l-altitudni 617.1 mili nawtiċi (1,142.9 km) u ġie rkuprat 13,900 mil nawtiku (25,700 km)' l isfel fl-Oċean Paċifiku. Dawn it-titjiriet ivvalidaw il-magna tal-modulu tas-servizz u l-modulu tal-kmand Shield Heat.</v>
      </c>
    </row>
    <row r="6030" ht="15.75" customHeight="1">
      <c r="A6030" s="2" t="s">
        <v>6030</v>
      </c>
      <c r="B6030" s="2" t="str">
        <f>IFERROR(__xludf.DUMMYFUNCTION("GOOGLETRANSLATE(A6030, ""en"", ""mt"")"),"X'kien il-baġit medju għall-films tal-ABC Movie of the Week?")</f>
        <v>X'kien il-baġit medju għall-films tal-ABC Movie of the Week?</v>
      </c>
    </row>
    <row r="6031" ht="15.75" customHeight="1">
      <c r="A6031" s="2" t="s">
        <v>6031</v>
      </c>
      <c r="B6031" s="2" t="str">
        <f>IFERROR(__xludf.DUMMYFUNCTION("GOOGLETRANSLATE(A6031, ""en"", ""mt"")"),"Liema tubu tal-vakwu tat-terminal ta 'enerġija għolja ta' Tesla mħaddma?")</f>
        <v>Liema tubu tal-vakwu tat-terminal ta 'enerġija għolja ta' Tesla mħaddma?</v>
      </c>
    </row>
    <row r="6032" ht="15.75" customHeight="1">
      <c r="A6032" s="2" t="s">
        <v>6032</v>
      </c>
      <c r="B6032" s="2" t="str">
        <f>IFERROR(__xludf.DUMMYFUNCTION("GOOGLETRANSLATE(A6032, ""en"", ""mt"")"),"erba 'snin")</f>
        <v>erba 'snin</v>
      </c>
    </row>
    <row r="6033" ht="15.75" customHeight="1">
      <c r="A6033" s="2" t="s">
        <v>6033</v>
      </c>
      <c r="B6033" s="2" t="str">
        <f>IFERROR(__xludf.DUMMYFUNCTION("GOOGLETRANSLATE(A6033, ""en"", ""mt"")"),"X'kien l-għan ta 'John Sheepshanks konsiderevoli għall-mużew?")</f>
        <v>X'kien l-għan ta 'John Sheepshanks konsiderevoli għall-mużew?</v>
      </c>
    </row>
    <row r="6034" ht="15.75" customHeight="1">
      <c r="A6034" s="2" t="s">
        <v>6034</v>
      </c>
      <c r="B6034" s="2" t="str">
        <f>IFERROR(__xludf.DUMMYFUNCTION("GOOGLETRANSLATE(A6034, ""en"", ""mt"")"),"X'tip ta 'test huwa l-Quran?")</f>
        <v>X'tip ta 'test huwa l-Quran?</v>
      </c>
    </row>
    <row r="6035" ht="15.75" customHeight="1">
      <c r="A6035" s="2" t="s">
        <v>6035</v>
      </c>
      <c r="B6035" s="2" t="str">
        <f>IFERROR(__xludf.DUMMYFUNCTION("GOOGLETRANSLATE(A6035, ""en"", ""mt"")"),"Radjazzjoni ultravjola")</f>
        <v>Radjazzjoni ultravjola</v>
      </c>
    </row>
    <row r="6036" ht="15.75" customHeight="1">
      <c r="A6036" s="2" t="s">
        <v>6036</v>
      </c>
      <c r="B6036" s="2" t="str">
        <f>IFERROR(__xludf.DUMMYFUNCTION("GOOGLETRANSLATE(A6036, ""en"", ""mt"")"),"Wara l-kampanji Brittaniċi diżastrużi tal-1757 (li rriżultaw fi spedizzjoni falluta kontra Louisbourg u l-assedju tal-Fort William Henry, li kienet segwita minn tortura Indjana u massakri ta 'vittmi Ingliżi), il-gvern Ingliż waqa'. William Pitt daħal fil-"&amp;"poter u żied b'mod sinifikanti r-riżorsi militari Ingliżi fil-kolonji fi żmien meta Franza ma riedx tirriskja konvojs kbar biex tgħin il-forzi limitati li kellha fi Franza l-ġdida. Franza kkonċentrat il-forzi tagħha kontra l-Prussja u l-alleati tagħha fit"&amp;"-Teatru Ewropew tal-Gwerra. Bejn l-1758 u l-1760, il-militar Ingliż nediet kampanja biex taqbad il-kolonja tal-Kanada. Huma rnexxielhom jaqbdu territorju fil-kolonji tal-madwar u fl-aħħar mill-Quebec. Għalkemm l-Ingliżi aktar tard ġew megħluba f'Sainte Fo"&amp;"y fil-Quebec, il-Franċiżi ċedew il-Kanada skont it-Trattat tal-1763.")</f>
        <v>Wara l-kampanji Brittaniċi diżastrużi tal-1757 (li rriżultaw fi spedizzjoni falluta kontra Louisbourg u l-assedju tal-Fort William Henry, li kienet segwita minn tortura Indjana u massakri ta 'vittmi Ingliżi), il-gvern Ingliż waqa'. William Pitt daħal fil-poter u żied b'mod sinifikanti r-riżorsi militari Ingliżi fil-kolonji fi żmien meta Franza ma riedx tirriskja konvojs kbar biex tgħin il-forzi limitati li kellha fi Franza l-ġdida. Franza kkonċentrat il-forzi tagħha kontra l-Prussja u l-alleati tagħha fit-Teatru Ewropew tal-Gwerra. Bejn l-1758 u l-1760, il-militar Ingliż nediet kampanja biex taqbad il-kolonja tal-Kanada. Huma rnexxielhom jaqbdu territorju fil-kolonji tal-madwar u fl-aħħar mill-Quebec. Għalkemm l-Ingliżi aktar tard ġew megħluba f'Sainte Foy fil-Quebec, il-Franċiżi ċedew il-Kanada skont it-Trattat tal-1763.</v>
      </c>
    </row>
    <row r="6037" ht="15.75" customHeight="1">
      <c r="A6037" s="2" t="s">
        <v>6037</v>
      </c>
      <c r="B6037" s="2" t="str">
        <f>IFERROR(__xludf.DUMMYFUNCTION("GOOGLETRANSLATE(A6037, ""en"", ""mt"")"),"Marzu 1974")</f>
        <v>Marzu 1974</v>
      </c>
    </row>
    <row r="6038" ht="15.75" customHeight="1">
      <c r="A6038" s="2" t="s">
        <v>6038</v>
      </c>
      <c r="B6038" s="2" t="str">
        <f>IFERROR(__xludf.DUMMYFUNCTION("GOOGLETRANSLATE(A6038, ""en"", ""mt"")"),"Fejn huma ċ-ċelloli speċjalizzati li jeliminaw iċ-ċelloli li jirrikonoxxu l-antiġeni tal-awto?")</f>
        <v>Fejn huma ċ-ċelloli speċjalizzati li jeliminaw iċ-ċelloli li jirrikonoxxu l-antiġeni tal-awto?</v>
      </c>
    </row>
    <row r="6039" ht="15.75" customHeight="1">
      <c r="A6039" s="2" t="s">
        <v>6039</v>
      </c>
      <c r="B6039" s="2" t="str">
        <f>IFERROR(__xludf.DUMMYFUNCTION("GOOGLETRANSLATE(A6039, ""en"", ""mt"")"),"Il-Kunsill Leġiżlattiv")</f>
        <v>Il-Kunsill Leġiżlattiv</v>
      </c>
    </row>
    <row r="6040" ht="15.75" customHeight="1">
      <c r="A6040" s="2" t="s">
        <v>6040</v>
      </c>
      <c r="B6040" s="2" t="str">
        <f>IFERROR(__xludf.DUMMYFUNCTION("GOOGLETRANSLATE(A6040, ""en"", ""mt"")"),"Meta l-Ġermanja bdiet tibni l-imperu kolonjali tagħha stess.")</f>
        <v>Meta l-Ġermanja bdiet tibni l-imperu kolonjali tagħha stess.</v>
      </c>
    </row>
    <row r="6041" ht="15.75" customHeight="1">
      <c r="A6041" s="2" t="s">
        <v>6041</v>
      </c>
      <c r="B6041" s="2" t="str">
        <f>IFERROR(__xludf.DUMMYFUNCTION("GOOGLETRANSLATE(A6041, ""en"", ""mt"")"),"Jacksonville hija l-akbar belt skont il-popolazzjoni fl-Istat ta ’Florida tal-Istati Uniti, u l-akbar belt b’żona fl-Istati Uniti kontigwi. Hija s-sede tal-kontea tal-Kontea ta 'Duval, li magħha l-gvern tal-belt ikkonsolida fl-1968. Il-konsolidazzjoni tat"&amp;" lil Jacksonville id-daqs kbir tagħha u poġġiet il-biċċa l-kbira tal-popolazzjoni metropolitana tagħha fil-limiti tal-belt; B'popolazzjoni stmata ta '853,382 fl-2014, hija l-iktar belt popolata xierqa fi Florida u fix-Xlokk, u t-12-il l-iktar popolata fl-"&amp;"Istati Uniti. Jacksonville hija l-belt prinċipali fiż-żona metropolitana ta 'Jacksonville, b'popolazzjoni ta' 1,345,596 fl-2010.")</f>
        <v>Jacksonville hija l-akbar belt skont il-popolazzjoni fl-Istat ta ’Florida tal-Istati Uniti, u l-akbar belt b’żona fl-Istati Uniti kontigwi. Hija s-sede tal-kontea tal-Kontea ta 'Duval, li magħha l-gvern tal-belt ikkonsolida fl-1968. Il-konsolidazzjoni tat lil Jacksonville id-daqs kbir tagħha u poġġiet il-biċċa l-kbira tal-popolazzjoni metropolitana tagħha fil-limiti tal-belt; B'popolazzjoni stmata ta '853,382 fl-2014, hija l-iktar belt popolata xierqa fi Florida u fix-Xlokk, u t-12-il l-iktar popolata fl-Istati Uniti. Jacksonville hija l-belt prinċipali fiż-żona metropolitana ta 'Jacksonville, b'popolazzjoni ta' 1,345,596 fl-2010.</v>
      </c>
    </row>
    <row r="6042" ht="15.75" customHeight="1">
      <c r="A6042" s="2" t="s">
        <v>6042</v>
      </c>
      <c r="B6042" s="2" t="str">
        <f>IFERROR(__xludf.DUMMYFUNCTION("GOOGLETRANSLATE(A6042, ""en"", ""mt"")"),"1888 sa madwar l-1926")</f>
        <v>1888 sa madwar l-1926</v>
      </c>
    </row>
    <row r="6043" ht="15.75" customHeight="1">
      <c r="A6043" s="2" t="s">
        <v>6043</v>
      </c>
      <c r="B6043" s="2" t="str">
        <f>IFERROR(__xludf.DUMMYFUNCTION("GOOGLETRANSLATE(A6043, ""en"", ""mt"")"),"vjolenza")</f>
        <v>vjolenza</v>
      </c>
    </row>
    <row r="6044" ht="15.75" customHeight="1">
      <c r="A6044" s="2" t="s">
        <v>6044</v>
      </c>
      <c r="B6044" s="2" t="str">
        <f>IFERROR(__xludf.DUMMYFUNCTION("GOOGLETRANSLATE(A6044, ""en"", ""mt"")"),"Minn liema pajjiż ġiet l-ewwel persuna fl-ispazju?")</f>
        <v>Minn liema pajjiż ġiet l-ewwel persuna fl-ispazju?</v>
      </c>
    </row>
    <row r="6045" ht="15.75" customHeight="1">
      <c r="A6045" s="2" t="s">
        <v>6045</v>
      </c>
      <c r="B6045" s="2" t="str">
        <f>IFERROR(__xludf.DUMMYFUNCTION("GOOGLETRANSLATE(A6045, ""en"", ""mt"")"),"il-Paċifiku t'Isfel")</f>
        <v>il-Paċifiku t'Isfel</v>
      </c>
    </row>
    <row r="6046" ht="15.75" customHeight="1">
      <c r="A6046" s="2" t="s">
        <v>6046</v>
      </c>
      <c r="B6046" s="2" t="str">
        <f>IFERROR(__xludf.DUMMYFUNCTION("GOOGLETRANSLATE(A6046, ""en"", ""mt"")"),"Tesla x’kienet bi żball li kienu jemmnu x-rays?")</f>
        <v>Tesla x’kienet bi żball li kienu jemmnu x-rays?</v>
      </c>
    </row>
    <row r="6047" ht="15.75" customHeight="1">
      <c r="A6047" s="2" t="s">
        <v>6047</v>
      </c>
      <c r="B6047" s="2" t="str">
        <f>IFERROR(__xludf.DUMMYFUNCTION("GOOGLETRANSLATE(A6047, ""en"", ""mt"")"),"Ikkonċentrat ħafna tul il-Wied tax-Xmara San Lawrenz, b'xi wħud ukoll f'Acadia")</f>
        <v>Ikkonċentrat ħafna tul il-Wied tax-Xmara San Lawrenz, b'xi wħud ukoll f'Acadia</v>
      </c>
    </row>
    <row r="6048" ht="15.75" customHeight="1">
      <c r="A6048" s="2" t="s">
        <v>6048</v>
      </c>
      <c r="B6048" s="2" t="str">
        <f>IFERROR(__xludf.DUMMYFUNCTION("GOOGLETRANSLATE(A6048, ""en"", ""mt"")"),"Min għelbu l-Panthers biex isiru l-Champs NFC?")</f>
        <v>Min għelbu l-Panthers biex isiru l-Champs NFC?</v>
      </c>
    </row>
    <row r="6049" ht="15.75" customHeight="1">
      <c r="A6049" s="2" t="s">
        <v>6049</v>
      </c>
      <c r="B6049" s="2" t="str">
        <f>IFERROR(__xludf.DUMMYFUNCTION("GOOGLETRANSLATE(A6049, ""en"", ""mt"")"),"l-ekwipaġġ ta 'Apollo 1")</f>
        <v>l-ekwipaġġ ta 'Apollo 1</v>
      </c>
    </row>
    <row r="6050" ht="15.75" customHeight="1">
      <c r="A6050" s="2" t="s">
        <v>6050</v>
      </c>
      <c r="B6050" s="2" t="str">
        <f>IFERROR(__xludf.DUMMYFUNCTION("GOOGLETRANSLATE(A6050, ""en"", ""mt"")"),"Molekuli ta 'tliet karbonji msejħa aċidu 3-fosfogliċeriku")</f>
        <v>Molekuli ta 'tliet karbonji msejħa aċidu 3-fosfogliċeriku</v>
      </c>
    </row>
    <row r="6051" ht="15.75" customHeight="1">
      <c r="A6051" s="2" t="s">
        <v>6051</v>
      </c>
      <c r="B6051" s="2" t="str">
        <f>IFERROR(__xludf.DUMMYFUNCTION("GOOGLETRANSLATE(A6051, ""en"", ""mt"")"),"Liema ktieb kiteb Luther bi tweġiba għal Agricola u l-Antinomjani?")</f>
        <v>Liema ktieb kiteb Luther bi tweġiba għal Agricola u l-Antinomjani?</v>
      </c>
    </row>
    <row r="6052" ht="15.75" customHeight="1">
      <c r="A6052" s="2" t="s">
        <v>6052</v>
      </c>
      <c r="B6052" s="2" t="str">
        <f>IFERROR(__xludf.DUMMYFUNCTION("GOOGLETRANSLATE(A6052, ""en"", ""mt"")"),"it-tribujiet Mongoljani u Turkiċi")</f>
        <v>it-tribujiet Mongoljani u Turkiċi</v>
      </c>
    </row>
    <row r="6053" ht="15.75" customHeight="1">
      <c r="A6053" s="2" t="s">
        <v>6053</v>
      </c>
      <c r="B6053" s="2" t="str">
        <f>IFERROR(__xludf.DUMMYFUNCTION("GOOGLETRANSLATE(A6053, ""en"", ""mt"")"),"il-monarka")</f>
        <v>il-monarka</v>
      </c>
    </row>
    <row r="6054" ht="15.75" customHeight="1">
      <c r="A6054" s="2" t="s">
        <v>6054</v>
      </c>
      <c r="B6054" s="2" t="str">
        <f>IFERROR(__xludf.DUMMYFUNCTION("GOOGLETRANSLATE(A6054, ""en"", ""mt"")"),"ewforiku")</f>
        <v>ewforiku</v>
      </c>
    </row>
    <row r="6055" ht="15.75" customHeight="1">
      <c r="A6055" s="2" t="s">
        <v>6055</v>
      </c>
      <c r="B6055" s="2" t="str">
        <f>IFERROR(__xludf.DUMMYFUNCTION("GOOGLETRANSLATE(A6055, ""en"", ""mt"")"),"X’kienet il-fergħa ta ’Rhine biex tifforma fl-Awstrija?")</f>
        <v>X’kienet il-fergħa ta ’Rhine biex tifforma fl-Awstrija?</v>
      </c>
    </row>
    <row r="6056" ht="15.75" customHeight="1">
      <c r="A6056" s="2" t="s">
        <v>6056</v>
      </c>
      <c r="B6056" s="2" t="str">
        <f>IFERROR(__xludf.DUMMYFUNCTION("GOOGLETRANSLATE(A6056, ""en"", ""mt"")"),"X’kienu jagħmlu l-pajjiżi Ewropej matul is-1700?")</f>
        <v>X’kienu jagħmlu l-pajjiżi Ewropej matul is-1700?</v>
      </c>
    </row>
    <row r="6057" ht="15.75" customHeight="1">
      <c r="A6057" s="2" t="s">
        <v>6057</v>
      </c>
      <c r="B6057" s="2" t="str">
        <f>IFERROR(__xludf.DUMMYFUNCTION("GOOGLETRANSLATE(A6057, ""en"", ""mt"")"),"Liema żona Huguenot hija magħżula bħala monument storiku?")</f>
        <v>Liema żona Huguenot hija magħżula bħala monument storiku?</v>
      </c>
    </row>
    <row r="6058" ht="15.75" customHeight="1">
      <c r="A6058" s="2" t="s">
        <v>6058</v>
      </c>
      <c r="B6058" s="2" t="str">
        <f>IFERROR(__xludf.DUMMYFUNCTION("GOOGLETRANSLATE(A6058, ""en"", ""mt"")"),"Dynamo Electric Machine Commutaturi")</f>
        <v>Dynamo Electric Machine Commutaturi</v>
      </c>
    </row>
    <row r="6059" ht="15.75" customHeight="1">
      <c r="A6059" s="2" t="s">
        <v>6059</v>
      </c>
      <c r="B6059" s="2" t="str">
        <f>IFERROR(__xludf.DUMMYFUNCTION("GOOGLETRANSLATE(A6059, ""en"", ""mt"")"),"Wara s-suċċess inizjali ta 'dawn is-serje, ABC reġgħet reġgħet l-iskeda tal-Ġimgħa bil-lejl madwar kummiedji favur il-familja fl-aħħar tas-snin 1980, li kkonkludiet fid-debutt tal-1989 tal-blokka ""TGIF"" (li l-promozzjonijiet referenzjati kienu għal ""gr"&amp;"azzi għat-tjubija li hija umoristika""). Ħafna mis-serje dehru matul il-ġirja tal-blokka ġew prodotti minn Miller-Boyett Productions, studju bbażat fuq Warner Bros. li pprogramma fil-qosor il-formazzjoni tal-Ġimgħa kollha matul l-istaġun 1990-1991 (b'post"&amp;"ijiet li jmorru jingħaqdu ma 'Family Matters, Full House u Strangers perfetti fuq l-iskeda ""TGIF"") u permezz tal-ftehim ta 'żvilupp tagħha ma' Paramount Television qabel l-1986 (bħala Miller-Milkis, u aktar tard, Miller-Milkis-Toppor in-netwerk.")</f>
        <v>Wara s-suċċess inizjali ta 'dawn is-serje, ABC reġgħet reġgħet l-iskeda tal-Ġimgħa bil-lejl madwar kummiedji favur il-familja fl-aħħar tas-snin 1980, li kkonkludiet fid-debutt tal-1989 tal-blokka "TGIF" (li l-promozzjonijiet referenzjati kienu għal "grazzi għat-tjubija li hija umoristika"). Ħafna mis-serje dehru matul il-ġirja tal-blokka ġew prodotti minn Miller-Boyett Productions, studju bbażat fuq Warner Bros. li pprogramma fil-qosor il-formazzjoni tal-Ġimgħa kollha matul l-istaġun 1990-1991 (b'postijiet li jmorru jingħaqdu ma 'Family Matters, Full House u Strangers perfetti fuq l-iskeda "TGIF") u permezz tal-ftehim ta 'żvilupp tagħha ma' Paramount Television qabel l-1986 (bħala Miller-Milkis, u aktar tard, Miller-Milkis-Toppor in-netwerk.</v>
      </c>
    </row>
    <row r="6060" ht="15.75" customHeight="1">
      <c r="A6060" s="2" t="s">
        <v>6060</v>
      </c>
      <c r="B6060" s="2" t="str">
        <f>IFERROR(__xludf.DUMMYFUNCTION("GOOGLETRANSLATE(A6060, ""en"", ""mt"")"),"Kolonji tal-Amerika Ingliża u Franza l-ġdida")</f>
        <v>Kolonji tal-Amerika Ingliża u Franza l-ġdida</v>
      </c>
    </row>
    <row r="6061" ht="15.75" customHeight="1">
      <c r="A6061" s="2" t="s">
        <v>6061</v>
      </c>
      <c r="B6061" s="2" t="str">
        <f>IFERROR(__xludf.DUMMYFUNCTION("GOOGLETRANSLATE(A6061, ""en"", ""mt"")"),"Università ta ’Chicago Press")</f>
        <v>Università ta ’Chicago Press</v>
      </c>
    </row>
    <row r="6062" ht="15.75" customHeight="1">
      <c r="A6062" s="2" t="s">
        <v>6062</v>
      </c>
      <c r="B6062" s="2" t="str">
        <f>IFERROR(__xludf.DUMMYFUNCTION("GOOGLETRANSLATE(A6062, ""en"", ""mt"")"),"F'liema kontinent minbarra l-Asja kien magħmul mill-imperu Ingliż fl-aħħar tas-seklu 19?")</f>
        <v>F'liema kontinent minbarra l-Asja kien magħmul mill-imperu Ingliż fl-aħħar tas-seklu 19?</v>
      </c>
    </row>
    <row r="6063" ht="15.75" customHeight="1">
      <c r="A6063" s="2" t="s">
        <v>6063</v>
      </c>
      <c r="B6063" s="2" t="str">
        <f>IFERROR(__xludf.DUMMYFUNCTION("GOOGLETRANSLATE(A6063, ""en"", ""mt"")"),"Liema kontinenti huma rappreżentati fil-kollezzjoni tat-tessuti V&amp;A?")</f>
        <v>Liema kontinenti huma rappreżentati fil-kollezzjoni tat-tessuti V&amp;A?</v>
      </c>
    </row>
    <row r="6064" ht="15.75" customHeight="1">
      <c r="A6064" s="2" t="s">
        <v>6064</v>
      </c>
      <c r="B6064" s="2" t="str">
        <f>IFERROR(__xludf.DUMMYFUNCTION("GOOGLETRANSLATE(A6064, ""en"", ""mt"")"),"Il-liġi tal-kompetizzjoni tal-UE għandha l-oriġini tagħha fil-ftehim Ewropew tal-Komunità tal-Faħam u l-Azzar (ECSC) bejn Franza, l-Italja, il-Belġju, l-Olanda, il-Lussemburgu u l-Ġermanja fl-1951 wara t-Tieni Gwerra Dinjija. Il-ftehim kellu l-għan li jip"&amp;"prevjeni lill-Ġermanja milli terġa 'tistabbilixxi d-dominanza fil-produzzjoni tal-faħam u l-azzar hekk kif il-membri ħassew li d-dominanza tagħha kkontribwixxiet għat-tifqigħa tal-gwerra. L-Artikolu 65 tal-Ftehim ipprojbixxa kartelli u l-Artikolu 66 għame"&amp;"l dispożizzjonijiet għal konċentrazzjonijiet, jew għaqdiet, u l-abbuż ta 'pożizzjoni dominanti mill-kumpaniji. Din kienet l-ewwel darba li l-prinċipji tal-liġi tal-kompetizzjoni ġew inklużi fi ftehim reġjonali plurilaterali u stabbilixxew il-mudell trans-"&amp;"Ewropew tal-liġi tal-kompetizzjoni. Fl-1957 ir-regoli tal-kompetizzjoni ġew inklużi fit-Trattat ta 'Ruma, magħruf ukoll bħala t-Trattat tal-KE, li stabbilixxa l-Komunità Ekonomika Ewropea (KEE). It-Trattat ta 'Ruma stabbilixxa l-promulgazzjoni tal-liġi ta"&amp;"l-kompetizzjoni bħala wieħed mill-għanijiet ewlenin tal-KEE permezz ta' ""l-istituzzjoni ta 'sistema li tiżgura li l-kompetizzjoni fis-suq komuni ma tkunx mgħawġa"". Iż-żewġ dispożizzjonijiet ċentrali dwar il-liġi tal-kompetizzjoni tal-UE dwar il-kumpanij"&amp;"i ġew stabbiliti fl-Artikolu 85, li pprojbixxa ftehim anti-kompetittivi, soġġett għal xi eżenzjonijiet, u l-Artikolu 86 li jipprojbixxi l-abbuż ta 'pożizzjoni dominanti. It-trattat stabbilixxa wkoll prinċipji dwar il-liġi tal-kompetizzjoni għall-istati me"&amp;"mbri, bl-Artikolu 90 li jkopri impriżi pubbliċi, u l-Artikolu 92 jagħmel dispożizzjonijiet dwar l-għajnuna mill-Istat. Ir-regolamenti dwar l-għaqdiet ma kinux inklużi minħabba li l-Istati Membri ma setgħux jistabbilixxu kunsens dwar il-kwistjoni dak iż-żm"&amp;"ien.")</f>
        <v>Il-liġi tal-kompetizzjoni tal-UE għandha l-oriġini tagħha fil-ftehim Ewropew tal-Komunità tal-Faħam u l-Azzar (ECSC) bejn Franza, l-Italja, il-Belġju, l-Olanda, il-Lussemburgu u l-Ġermanja fl-1951 wara t-Tieni Gwerra Dinjija. Il-ftehim kellu l-għan li jipprevjeni lill-Ġermanja milli terġa 'tistabbilixxi d-dominanza fil-produzzjoni tal-faħam u l-azzar hekk kif il-membri ħassew li d-dominanza tagħha kkontribwixxiet għat-tifqigħa tal-gwerra. L-Artikolu 65 tal-Ftehim ipprojbixxa kartelli u l-Artikolu 66 għamel dispożizzjonijiet għal konċentrazzjonijiet, jew għaqdiet, u l-abbuż ta 'pożizzjoni dominanti mill-kumpaniji. Din kienet l-ewwel darba li l-prinċipji tal-liġi tal-kompetizzjoni ġew inklużi fi ftehim reġjonali plurilaterali u stabbilixxew il-mudell trans-Ewropew tal-liġi tal-kompetizzjoni. Fl-1957 ir-regoli tal-kompetizzjoni ġew inklużi fit-Trattat ta 'Ruma, magħruf ukoll bħala t-Trattat tal-KE, li stabbilixxa l-Komunità Ekonomika Ewropea (KEE). It-Trattat ta 'Ruma stabbilixxa l-promulgazzjoni tal-liġi tal-kompetizzjoni bħala wieħed mill-għanijiet ewlenin tal-KEE permezz ta' "l-istituzzjoni ta 'sistema li tiżgura li l-kompetizzjoni fis-suq komuni ma tkunx mgħawġa". Iż-żewġ dispożizzjonijiet ċentrali dwar il-liġi tal-kompetizzjoni tal-UE dwar il-kumpaniji ġew stabbiliti fl-Artikolu 85, li pprojbixxa ftehim anti-kompetittivi, soġġett għal xi eżenzjonijiet, u l-Artikolu 86 li jipprojbixxi l-abbuż ta 'pożizzjoni dominanti. It-trattat stabbilixxa wkoll prinċipji dwar il-liġi tal-kompetizzjoni għall-istati membri, bl-Artikolu 90 li jkopri impriżi pubbliċi, u l-Artikolu 92 jagħmel dispożizzjonijiet dwar l-għajnuna mill-Istat. Ir-regolamenti dwar l-għaqdiet ma kinux inklużi minħabba li l-Istati Membri ma setgħux jistabbilixxu kunsens dwar il-kwistjoni dak iż-żmien.</v>
      </c>
    </row>
    <row r="6065" ht="15.75" customHeight="1">
      <c r="A6065" s="2" t="s">
        <v>6065</v>
      </c>
      <c r="B6065" s="2" t="str">
        <f>IFERROR(__xludf.DUMMYFUNCTION("GOOGLETRANSLATE(A6065, ""en"", ""mt"")"),"Il-qoxra tad-Dinja")</f>
        <v>Il-qoxra tad-Dinja</v>
      </c>
    </row>
    <row r="6066" ht="15.75" customHeight="1">
      <c r="A6066" s="2" t="s">
        <v>6066</v>
      </c>
      <c r="B6066" s="2" t="str">
        <f>IFERROR(__xludf.DUMMYFUNCTION("GOOGLETRANSLATE(A6066, ""en"", ""mt"")"),"45,000 lira")</f>
        <v>45,000 lira</v>
      </c>
    </row>
    <row r="6067" ht="15.75" customHeight="1">
      <c r="A6067" s="2" t="s">
        <v>6067</v>
      </c>
      <c r="B6067" s="2" t="str">
        <f>IFERROR(__xludf.DUMMYFUNCTION("GOOGLETRANSLATE(A6067, ""en"", ""mt"")"),"tistenna l-mewt ta 'eretiku")</f>
        <v>tistenna l-mewt ta 'eretiku</v>
      </c>
    </row>
    <row r="6068" ht="15.75" customHeight="1">
      <c r="A6068" s="2" t="s">
        <v>6068</v>
      </c>
      <c r="B6068" s="2" t="str">
        <f>IFERROR(__xludf.DUMMYFUNCTION("GOOGLETRANSLATE(A6068, ""en"", ""mt"")"),"Kavallier jirbaħ bout")</f>
        <v>Kavallier jirbaħ bout</v>
      </c>
    </row>
    <row r="6069" ht="15.75" customHeight="1">
      <c r="A6069" s="2" t="s">
        <v>6069</v>
      </c>
      <c r="B6069" s="2" t="str">
        <f>IFERROR(__xludf.DUMMYFUNCTION("GOOGLETRANSLATE(A6069, ""en"", ""mt"")"),"Genghis_khan")</f>
        <v>Genghis_khan</v>
      </c>
    </row>
    <row r="6070" ht="15.75" customHeight="1">
      <c r="A6070" s="2" t="s">
        <v>6070</v>
      </c>
      <c r="B6070" s="2" t="str">
        <f>IFERROR(__xludf.DUMMYFUNCTION("GOOGLETRANSLATE(A6070, ""en"", ""mt"")"),"Reġjun ta 'Upper Rhine")</f>
        <v>Reġjun ta 'Upper Rhine</v>
      </c>
    </row>
    <row r="6071" ht="15.75" customHeight="1">
      <c r="A6071" s="2" t="s">
        <v>6071</v>
      </c>
      <c r="B6071" s="2" t="str">
        <f>IFERROR(__xludf.DUMMYFUNCTION("GOOGLETRANSLATE(A6071, ""en"", ""mt"")"),"X'jista 'jimblokka leġislazzjoni?")</f>
        <v>X'jista 'jimblokka leġislazzjoni?</v>
      </c>
    </row>
    <row r="6072" ht="15.75" customHeight="1">
      <c r="A6072" s="2" t="s">
        <v>6072</v>
      </c>
      <c r="B6072" s="2" t="str">
        <f>IFERROR(__xludf.DUMMYFUNCTION("GOOGLETRANSLATE(A6072, ""en"", ""mt"")"),"esperjenza")</f>
        <v>esperjenza</v>
      </c>
    </row>
    <row r="6073" ht="15.75" customHeight="1">
      <c r="A6073" s="2" t="s">
        <v>6073</v>
      </c>
      <c r="B6073" s="2" t="str">
        <f>IFERROR(__xludf.DUMMYFUNCTION("GOOGLETRANSLATE(A6073, ""en"", ""mt"")"),"X'ġara lill-ekwipaġġ abbord waqt it-test tal-plugs-out?")</f>
        <v>X'ġara lill-ekwipaġġ abbord waqt it-test tal-plugs-out?</v>
      </c>
    </row>
    <row r="6074" ht="15.75" customHeight="1">
      <c r="A6074" s="2" t="s">
        <v>6074</v>
      </c>
      <c r="B6074" s="2" t="str">
        <f>IFERROR(__xludf.DUMMYFUNCTION("GOOGLETRANSLATE(A6074, ""en"", ""mt"")"),"Watt x’għamel il-magna ta ’Newcomen bejn l-1763 u l-1775?")</f>
        <v>Watt x’għamel il-magna ta ’Newcomen bejn l-1763 u l-1775?</v>
      </c>
    </row>
    <row r="6075" ht="15.75" customHeight="1">
      <c r="A6075" s="2" t="s">
        <v>6075</v>
      </c>
      <c r="B6075" s="2" t="str">
        <f>IFERROR(__xludf.DUMMYFUNCTION("GOOGLETRANSLATE(A6075, ""en"", ""mt"")"),"b’saħħtu,")</f>
        <v>b’saħħtu,</v>
      </c>
    </row>
    <row r="6076" ht="15.75" customHeight="1">
      <c r="A6076" s="2" t="s">
        <v>6076</v>
      </c>
      <c r="B6076" s="2" t="str">
        <f>IFERROR(__xludf.DUMMYFUNCTION("GOOGLETRANSLATE(A6076, ""en"", ""mt"")"),"ossiġnu gassuż.")</f>
        <v>ossiġnu gassuż.</v>
      </c>
    </row>
    <row r="6077" ht="15.75" customHeight="1">
      <c r="A6077" s="2" t="s">
        <v>6077</v>
      </c>
      <c r="B6077" s="2" t="str">
        <f>IFERROR(__xludf.DUMMYFUNCTION("GOOGLETRANSLATE(A6077, ""en"", ""mt"")"),"X'tip ta 'lentijiet kienu meħtieġa biex tara l-effetti 3D fid-dimensjoni fil-ħin?")</f>
        <v>X'tip ta 'lentijiet kienu meħtieġa biex tara l-effetti 3D fid-dimensjoni fil-ħin?</v>
      </c>
    </row>
    <row r="6078" ht="15.75" customHeight="1">
      <c r="A6078" s="2" t="s">
        <v>6078</v>
      </c>
      <c r="B6078" s="2" t="str">
        <f>IFERROR(__xludf.DUMMYFUNCTION("GOOGLETRANSLATE(A6078, ""en"", ""mt"")"),"Klassijiet ta 'kumplessità")</f>
        <v>Klassijiet ta 'kumplessità</v>
      </c>
    </row>
    <row r="6079" ht="15.75" customHeight="1">
      <c r="A6079" s="2" t="s">
        <v>6079</v>
      </c>
      <c r="B6079" s="2" t="str">
        <f>IFERROR(__xludf.DUMMYFUNCTION("GOOGLETRANSLATE(A6079, ""en"", ""mt"")"),"L-ekonomista Korean Hoesung Lee huwa l-president tal-IPCC mit-8 ta 'Ottubru, 2015, wara l-elezzjoni tal-Uffiċċju l-ġdid tal-IPCC. Qabel din l-elezzjoni, l-IPCC kien immexxi mill-viċi-president tiegħu Ismail El Gizouli, li ġie nominat li jaġixxi president "&amp;"wara r-riżenja ta 'Rajendra K. Pachauri fi Frar 2015. Is-siġġijiet preċedenti kienu Rajendra K. Pachauri, eletti f'Mejju 2002; Robert Watson fl-1997; u Bert Bolin fl-1988. Is-siġġu huwa megħjun minn Bureau Elett inkluż il-Viċi-Chairs, il-Ko-Presidenti tal"&amp;"-Grupp ta ’Ħidma, u Segretarjat.")</f>
        <v>L-ekonomista Korean Hoesung Lee huwa l-president tal-IPCC mit-8 ta 'Ottubru, 2015, wara l-elezzjoni tal-Uffiċċju l-ġdid tal-IPCC. Qabel din l-elezzjoni, l-IPCC kien immexxi mill-viċi-president tiegħu Ismail El Gizouli, li ġie nominat li jaġixxi president wara r-riżenja ta 'Rajendra K. Pachauri fi Frar 2015. Is-siġġijiet preċedenti kienu Rajendra K. Pachauri, eletti f'Mejju 2002; Robert Watson fl-1997; u Bert Bolin fl-1988. Is-siġġu huwa megħjun minn Bureau Elett inkluż il-Viċi-Chairs, il-Ko-Presidenti tal-Grupp ta ’Ħidma, u Segretarjat.</v>
      </c>
    </row>
    <row r="6080" ht="15.75" customHeight="1">
      <c r="A6080" s="2" t="s">
        <v>6080</v>
      </c>
      <c r="B6080" s="2" t="str">
        <f>IFERROR(__xludf.DUMMYFUNCTION("GOOGLETRANSLATE(A6080, ""en"", ""mt"")"),"Uħud mill-Huguenots kienu nobbli li jippruvaw jistabbilixxu ċentri ta 'poter separati fin-Nofsinhar ta' Franza")</f>
        <v>Uħud mill-Huguenots kienu nobbli li jippruvaw jistabbilixxu ċentri ta 'poter separati fin-Nofsinhar ta' Franza</v>
      </c>
    </row>
    <row r="6081" ht="15.75" customHeight="1">
      <c r="A6081" s="2" t="s">
        <v>6081</v>
      </c>
      <c r="B6081" s="2" t="str">
        <f>IFERROR(__xludf.DUMMYFUNCTION("GOOGLETRANSLATE(A6081, ""en"", ""mt"")"),"gass ​​ossiġnu")</f>
        <v>gass ​​ossiġnu</v>
      </c>
    </row>
    <row r="6082" ht="15.75" customHeight="1">
      <c r="A6082" s="2" t="s">
        <v>6082</v>
      </c>
      <c r="B6082" s="2" t="str">
        <f>IFERROR(__xludf.DUMMYFUNCTION("GOOGLETRANSLATE(A6082, ""en"", ""mt"")"),"X'kien l-avveniment sekondarju endosymbiotiku?")</f>
        <v>X'kien l-avveniment sekondarju endosymbiotiku?</v>
      </c>
    </row>
    <row r="6083" ht="15.75" customHeight="1">
      <c r="A6083" s="2" t="s">
        <v>6083</v>
      </c>
      <c r="B6083" s="2" t="str">
        <f>IFERROR(__xludf.DUMMYFUNCTION("GOOGLETRANSLATE(A6083, ""en"", ""mt"")"),"radjatur tal-karozzi")</f>
        <v>radjatur tal-karozzi</v>
      </c>
    </row>
    <row r="6084" ht="15.75" customHeight="1">
      <c r="A6084" s="2" t="s">
        <v>6084</v>
      </c>
      <c r="B6084" s="2" t="str">
        <f>IFERROR(__xludf.DUMMYFUNCTION("GOOGLETRANSLATE(A6084, ""en"", ""mt"")"),"L-avvanzi li saru fil-Lvant Nofsani fil-Botanika u l-Kimika wasslu l-mediċina fl-Iżlam medjevali sostanzjalment biex tiżviluppa farmakoloġija. Muhammad Ibn Zakarīya Rāzi (Rhazes) (865-915), pereżempju, aġixxa biex jippromwovi l-użi mediċi ta 'komposti kim"&amp;"iċi. Abu al-Qasim al-Zahrawi (abulcasis) (936-1013) pijunier fil-preparazzjoni ta 'mediċini permezz ta' sublimazzjoni u distillazzjoni. Il-libertà tiegħu huwa ta 'interess partikolari, peress li jipprovdi lill-qarrej b'riċetti u jispjega kif iħejji l-'fle"&amp;"s' li minnu ġew aggravati l-mediċini kumplessi li mbagħad jintużaw ġeneralment. Sabur Ibn Sahl (D 869), kien, madankollu, l-ewwel tabib li beda l-farmakopoedija, li jiddeskrivi varjetà kbira ta 'mediċini u rimedji għall-mard. Al-Biruni (973-1050) kiteb wa"&amp;"ħda mill-iktar xogħlijiet Iżlamiċi siewja fuq il-farmakoloġija, intitolata Kitab al-Saydalah (il-Ktieb tad-Drogi), li fih iddettalja l-proprjetajiet tad-drogi u ddeskriva r-rwol tal-ispiżerija u l-funzjonijiet u d-dmirijiet tal-ispiżjar. Avicenna wkoll id"&amp;"deskriviet xejn inqas minn 700 preparazzjoni, il-proprjetajiet tagħhom, modi ta 'azzjoni, u l-indikazzjonijiet tagħhom. Huwa ddedika fil-fatt volum sħiħ għal mediċini sempliċi fil-kanon tal-mediċina. Ta 'impatt kbir kienu wkoll ix-xogħlijiet minn al-Marid"&amp;"ini ta' Bagdad u l-Kajr, u Ibn al-Wafid (1008-1074), it-tnejn li t-tnejn ġew stampati bil-Latin aktar minn ħamsin darba, li jidhru bħala de mediciinis universalibus et partikolaribus minn ""mesue"" l-iżgħar, u l-medicamentis sempliċibus minn 'Abenguefit'."&amp;" Peter ta 'Abano (1250-1316) tradotta u żied suppliment għax-xogħol ta' Al-Maridini taħt it-Titolu de Veneris. Il-kontribuzzjonijiet ta 'Al-Muwaffaq fil-qasam huma wkoll pijunieri. Jgħix fis-seklu 10, huwa kiteb il-pedamenti tal-proprjetajiet veri tar-rim"&amp;"edji, fost oħrajn li jiddeskrivu l-ossidu arsenious, u li kienu midħla tal-aċidu siliku. Huwa għamel distinzjoni ċara bejn il-karbonat tas-sodju u l-karbonat tal-potassju, u ġibed l-attenzjoni għan-natura velenuża tal-komposti tar-ram, speċjalment il-vitr"&amp;"iol tar-ram, u wkoll il-komposti taċ-ċomb. Huwa jiddeskrivi wkoll id-distillazzjoni tal-ilma tal-baħar għax-xorb. [Verifika meħtieġa]")</f>
        <v>L-avvanzi li saru fil-Lvant Nofsani fil-Botanika u l-Kimika wasslu l-mediċina fl-Iżlam medjevali sostanzjalment biex tiżviluppa farmakoloġija. Muhammad Ibn Zakarīya Rāzi (Rhazes) (865-915), pereżempju, aġixxa biex jippromwovi l-użi mediċi ta 'komposti kimiċi. Abu al-Qasim al-Zahrawi (abulcasis) (936-1013) pijunier fil-preparazzjoni ta 'mediċini permezz ta' sublimazzjoni u distillazzjoni. Il-libertà tiegħu huwa ta 'interess partikolari, peress li jipprovdi lill-qarrej b'riċetti u jispjega kif iħejji l-'fles' li minnu ġew aggravati l-mediċini kumplessi li mbagħad jintużaw ġeneralment. Sabur Ibn Sahl (D 869), kien, madankollu, l-ewwel tabib li beda l-farmakopoedija, li jiddeskrivi varjetà kbira ta 'mediċini u rimedji għall-mard. Al-Biruni (973-1050) kiteb waħda mill-iktar xogħlijiet Iżlamiċi siewja fuq il-farmakoloġija, intitolata Kitab al-Saydalah (il-Ktieb tad-Drogi), li fih iddettalja l-proprjetajiet tad-drogi u ddeskriva r-rwol tal-ispiżerija u l-funzjonijiet u d-dmirijiet tal-ispiżjar. Avicenna wkoll iddeskriviet xejn inqas minn 700 preparazzjoni, il-proprjetajiet tagħhom, modi ta 'azzjoni, u l-indikazzjonijiet tagħhom. Huwa ddedika fil-fatt volum sħiħ għal mediċini sempliċi fil-kanon tal-mediċina. Ta 'impatt kbir kienu wkoll ix-xogħlijiet minn al-Maridini ta' Bagdad u l-Kajr, u Ibn al-Wafid (1008-1074), it-tnejn li t-tnejn ġew stampati bil-Latin aktar minn ħamsin darba, li jidhru bħala de mediciinis universalibus et partikolaribus minn "mesue" l-iżgħar, u l-medicamentis sempliċibus minn 'Abenguefit'. Peter ta 'Abano (1250-1316) tradotta u żied suppliment għax-xogħol ta' Al-Maridini taħt it-Titolu de Veneris. Il-kontribuzzjonijiet ta 'Al-Muwaffaq fil-qasam huma wkoll pijunieri. Jgħix fis-seklu 10, huwa kiteb il-pedamenti tal-proprjetajiet veri tar-rimedji, fost oħrajn li jiddeskrivu l-ossidu arsenious, u li kienu midħla tal-aċidu siliku. Huwa għamel distinzjoni ċara bejn il-karbonat tas-sodju u l-karbonat tal-potassju, u ġibed l-attenzjoni għan-natura velenuża tal-komposti tar-ram, speċjalment il-vitriol tar-ram, u wkoll il-komposti taċ-ċomb. Huwa jiddeskrivi wkoll id-distillazzjoni tal-ilma tal-baħar għax-xorb. [Verifika meħtieġa]</v>
      </c>
    </row>
    <row r="6085" ht="15.75" customHeight="1">
      <c r="A6085" s="2" t="s">
        <v>6085</v>
      </c>
      <c r="B6085" s="2" t="str">
        <f>IFERROR(__xludf.DUMMYFUNCTION("GOOGLETRANSLATE(A6085, ""en"", ""mt"")"),"Varsavja (Pollakk: Warszawa [varˈʂava] (Isma); ara wkoll ismijiet oħra) hija l-kapitali u l-ikbar belt tal-Polonja. Tinsab fuq ix-Xmara Vistula fil-Lvant-Ċentrali tal-Polonja, bejn wieħed u ieħor 260 kilometru (160 mi) mill-Baħar Baltiku u 300 kilometru ("&amp;"190 mi) mill-Muntanji tal-Karpazji. Il-popolazzjoni tagħha hija stmata għal 1.740 miljun resident f'żona metropolitana akbar ta '2.666 miljun resident, li tagħmel Varsavja l-iktar belt kapitali l-iktar popolata fl-Unjoni Ewropea. Il-limiti tal-belt ikopru"&amp;" 516.9 kilometri kwadri (199.6 sq mi), filwaqt li ż-żona metropolitana tkopri 6,100.43 kilometri kwadri (2,355.39 sq mi).")</f>
        <v>Varsavja (Pollakk: Warszawa [varˈʂava] (Isma); ara wkoll ismijiet oħra) hija l-kapitali u l-ikbar belt tal-Polonja. Tinsab fuq ix-Xmara Vistula fil-Lvant-Ċentrali tal-Polonja, bejn wieħed u ieħor 260 kilometru (160 mi) mill-Baħar Baltiku u 300 kilometru (190 mi) mill-Muntanji tal-Karpazji. Il-popolazzjoni tagħha hija stmata għal 1.740 miljun resident f'żona metropolitana akbar ta '2.666 miljun resident, li tagħmel Varsavja l-iktar belt kapitali l-iktar popolata fl-Unjoni Ewropea. Il-limiti tal-belt ikopru 516.9 kilometri kwadri (199.6 sq mi), filwaqt li ż-żona metropolitana tkopri 6,100.43 kilometri kwadri (2,355.39 sq mi).</v>
      </c>
    </row>
    <row r="6086" ht="15.75" customHeight="1">
      <c r="A6086" s="2" t="s">
        <v>6086</v>
      </c>
      <c r="B6086" s="2" t="str">
        <f>IFERROR(__xludf.DUMMYFUNCTION("GOOGLETRANSLATE(A6086, ""en"", ""mt"")"),"Minn Nova Scotia u Newfoundland fit-Tramuntana, sa Georgia fin-Nofsinhar")</f>
        <v>Minn Nova Scotia u Newfoundland fit-Tramuntana, sa Georgia fin-Nofsinhar</v>
      </c>
    </row>
    <row r="6087" ht="15.75" customHeight="1">
      <c r="A6087" s="2" t="s">
        <v>6087</v>
      </c>
      <c r="B6087" s="2" t="str">
        <f>IFERROR(__xludf.DUMMYFUNCTION("GOOGLETRANSLATE(A6087, ""en"", ""mt"")"),"Fejn jaħdmu l-ispiżjara kliniċi mal-pazjenti?")</f>
        <v>Fejn jaħdmu l-ispiżjara kliniċi mal-pazjenti?</v>
      </c>
    </row>
    <row r="6088" ht="15.75" customHeight="1">
      <c r="A6088" s="2" t="s">
        <v>6088</v>
      </c>
      <c r="B6088" s="2" t="str">
        <f>IFERROR(__xludf.DUMMYFUNCTION("GOOGLETRANSLATE(A6088, ""en"", ""mt"")"),"Fil-forma tripletta, o
2 molekuli huma paramagnetiċi. Jiġifieri, jagħtu karattru manjetiku lill-ossiġnu meta jkun fil-preżenza ta 'kamp manjetiku, minħabba l-mumenti manjetiċi spin ta' l-elettroni mhux imqabbla fil-molekula, u l-enerġija negattiva tal-isk"&amp;"ambju bejn l-O ġirien
2 molekuli. L-ossiġnu likwidu huwa attirat minn kalamita sa ċertu punt li, f'dimostrazzjonijiet tal-laboratorju, pont ta 'ossiġnu likwidu jista' jkun sostnut kontra l-piż tiegħu stess bejn l-arbli ta 'kalamita qawwija. [C]")</f>
        <v>Fil-forma tripletta, o
2 molekuli huma paramagnetiċi. Jiġifieri, jagħtu karattru manjetiku lill-ossiġnu meta jkun fil-preżenza ta 'kamp manjetiku, minħabba l-mumenti manjetiċi spin ta' l-elettroni mhux imqabbla fil-molekula, u l-enerġija negattiva tal-iskambju bejn l-O ġirien
2 molekuli. L-ossiġnu likwidu huwa attirat minn kalamita sa ċertu punt li, f'dimostrazzjonijiet tal-laboratorju, pont ta 'ossiġnu likwidu jista' jkun sostnut kontra l-piż tiegħu stess bejn l-arbli ta 'kalamita qawwija. [C]</v>
      </c>
    </row>
    <row r="6089" ht="15.75" customHeight="1">
      <c r="A6089" s="2" t="s">
        <v>6089</v>
      </c>
      <c r="B6089" s="2" t="str">
        <f>IFERROR(__xludf.DUMMYFUNCTION("GOOGLETRANSLATE(A6089, ""en"", ""mt"")"),"X'tagħmel il-membrana tal-mitokondrija ta 'ġewwa?")</f>
        <v>X'tagħmel il-membrana tal-mitokondrija ta 'ġewwa?</v>
      </c>
    </row>
    <row r="6090" ht="15.75" customHeight="1">
      <c r="A6090" s="2" t="s">
        <v>6090</v>
      </c>
      <c r="B6090" s="2" t="str">
        <f>IFERROR(__xludf.DUMMYFUNCTION("GOOGLETRANSLATE(A6090, ""en"", ""mt"")"),"1.4 darbiet")</f>
        <v>1.4 darbiet</v>
      </c>
    </row>
    <row r="6091" ht="15.75" customHeight="1">
      <c r="A6091" s="2" t="s">
        <v>6091</v>
      </c>
      <c r="B6091" s="2" t="str">
        <f>IFERROR(__xludf.DUMMYFUNCTION("GOOGLETRANSLATE(A6091, ""en"", ""mt"")"),"Savanna fit-Tramuntana u l-Lvant")</f>
        <v>Savanna fit-Tramuntana u l-Lvant</v>
      </c>
    </row>
    <row r="6092" ht="15.75" customHeight="1">
      <c r="A6092" s="2" t="s">
        <v>6092</v>
      </c>
      <c r="B6092" s="2" t="str">
        <f>IFERROR(__xludf.DUMMYFUNCTION("GOOGLETRANSLATE(A6092, ""en"", ""mt"")"),"Rows moxt")</f>
        <v>Rows moxt</v>
      </c>
    </row>
    <row r="6093" ht="15.75" customHeight="1">
      <c r="A6093" s="2" t="s">
        <v>6093</v>
      </c>
      <c r="B6093" s="2" t="str">
        <f>IFERROR(__xludf.DUMMYFUNCTION("GOOGLETRANSLATE(A6093, ""en"", ""mt"")"),"ortogonali")</f>
        <v>ortogonali</v>
      </c>
    </row>
    <row r="6094" ht="15.75" customHeight="1">
      <c r="A6094" s="2" t="s">
        <v>6094</v>
      </c>
      <c r="B6094" s="2" t="str">
        <f>IFERROR(__xludf.DUMMYFUNCTION("GOOGLETRANSLATE(A6094, ""en"", ""mt"")"),"Kolonjali")</f>
        <v>Kolonjali</v>
      </c>
    </row>
    <row r="6095" ht="15.75" customHeight="1">
      <c r="A6095" s="2" t="s">
        <v>6095</v>
      </c>
      <c r="B6095" s="2" t="str">
        <f>IFERROR(__xludf.DUMMYFUNCTION("GOOGLETRANSLATE(A6095, ""en"", ""mt"")"),"Liema tip ta 'arkitettura ġie qabel Norman fl-Ingilterra?")</f>
        <v>Liema tip ta 'arkitettura ġie qabel Norman fl-Ingilterra?</v>
      </c>
    </row>
    <row r="6096" ht="15.75" customHeight="1">
      <c r="A6096" s="2" t="s">
        <v>6096</v>
      </c>
      <c r="B6096" s="2" t="str">
        <f>IFERROR(__xludf.DUMMYFUNCTION("GOOGLETRANSLATE(A6096, ""en"", ""mt"")"),"bħala gluons")</f>
        <v>bħala gluons</v>
      </c>
    </row>
    <row r="6097" ht="15.75" customHeight="1">
      <c r="A6097" s="2" t="s">
        <v>6097</v>
      </c>
      <c r="B6097" s="2" t="str">
        <f>IFERROR(__xludf.DUMMYFUNCTION("GOOGLETRANSLATE(A6097, ""en"", ""mt"")"),"L-użu tal-flus")</f>
        <v>L-użu tal-flus</v>
      </c>
    </row>
    <row r="6098" ht="15.75" customHeight="1">
      <c r="A6098" s="2" t="s">
        <v>6098</v>
      </c>
      <c r="B6098" s="2" t="str">
        <f>IFERROR(__xludf.DUMMYFUNCTION("GOOGLETRANSLATE(A6098, ""en"", ""mt"")"),"flus mitlufa")</f>
        <v>flus mitlufa</v>
      </c>
    </row>
    <row r="6099" ht="15.75" customHeight="1">
      <c r="A6099" s="2" t="s">
        <v>6099</v>
      </c>
      <c r="B6099" s="2" t="str">
        <f>IFERROR(__xludf.DUMMYFUNCTION("GOOGLETRANSLATE(A6099, ""en"", ""mt"")"),"Id-diżubbidjenza ċivili hija ġġustifikata biss kontra entitajiet governattivi.")</f>
        <v>Id-diżubbidjenza ċivili hija ġġustifikata biss kontra entitajiet governattivi.</v>
      </c>
    </row>
    <row r="6100" ht="15.75" customHeight="1">
      <c r="A6100" s="2" t="s">
        <v>6100</v>
      </c>
      <c r="B6100" s="2" t="str">
        <f>IFERROR(__xludf.DUMMYFUNCTION("GOOGLETRANSLATE(A6100, ""en"", ""mt"")"),"In-Normanni kellhom effett profond fuq il-kultura u l-istorja Irlandiża wara l-invażjoni tagħhom fil-Bajja ta 'Bannow fl-1169. Inizjalment in-Normanni żammew kultura u etniċità distinta. Madankollu, maż-żmien, huma daħlu fil-kultura Irlandiża sal-punt li "&amp;"ntqal li saru ""aktar Irlandiżi mill-Irlandiżi nfushom."" In-Normanni stabbilixxew l-aktar f'żona fil-lvant ta 'l-Irlanda, aktar tard magħrufa bħala Pale, u bnew ukoll bosta kastelli u insedjamenti fini, inklużi Trim Castle u Dublin Castle. Iż-żewġ kultur"&amp;"i mħallta, jissellfu mil-lingwa, il-kultura u l-prospetti ta 'xulxin. Id-dixxendenti Norman illum jistgħu jiġu rikonoxxuti mill-kunjomijiet tagħhom. Ismijiet bħall-Franċiż, (de) Roche, Devereux, D'Arcy, Treacy u Lacy huma partikolarment komuni fix-Xlokk t"&amp;"a 'l-Irlanda, speċjalment fil-parti tan-nofsinhar tal-Kontea ta' Wexford fejn ġew stabbiliti l-ewwel insedjamenti Norman. Ismijiet Norman oħra bħal furlong jiddominaw hemmhekk. Isem komuni ieħor Norman-Irlandiż kien Morell (Murrell) derivat mill-isem Norm"&amp;"an Franċiż Morel. Ismijiet oħra li jibdew bi Fitz (min-Norman għat-tifel) jindikaw antenati Norman. Dawn kienu jinkludu dinastija Fitzgerald, Fitzgibbons (Gibbons), Fitzmaurice. Familji oħra li għandhom kunjomijiet bħal Barry (de Barra) u de búrca (Burke)"&amp;" huma wkoll ta 'estrazzjoni Norman.")</f>
        <v>In-Normanni kellhom effett profond fuq il-kultura u l-istorja Irlandiża wara l-invażjoni tagħhom fil-Bajja ta 'Bannow fl-1169. Inizjalment in-Normanni żammew kultura u etniċità distinta. Madankollu, maż-żmien, huma daħlu fil-kultura Irlandiża sal-punt li ntqal li saru "aktar Irlandiżi mill-Irlandiżi nfushom." In-Normanni stabbilixxew l-aktar f'żona fil-lvant ta 'l-Irlanda, aktar tard magħrufa bħala Pale, u bnew ukoll bosta kastelli u insedjamenti fini, inklużi Trim Castle u Dublin Castle. Iż-żewġ kulturi mħallta, jissellfu mil-lingwa, il-kultura u l-prospetti ta 'xulxin. Id-dixxendenti Norman illum jistgħu jiġu rikonoxxuti mill-kunjomijiet tagħhom. Ismijiet bħall-Franċiż, (de) Roche, Devereux, D'Arcy, Treacy u Lacy huma partikolarment komuni fix-Xlokk ta 'l-Irlanda, speċjalment fil-parti tan-nofsinhar tal-Kontea ta' Wexford fejn ġew stabbiliti l-ewwel insedjamenti Norman. Ismijiet Norman oħra bħal furlong jiddominaw hemmhekk. Isem komuni ieħor Norman-Irlandiż kien Morell (Murrell) derivat mill-isem Norman Franċiż Morel. Ismijiet oħra li jibdew bi Fitz (min-Norman għat-tifel) jindikaw antenati Norman. Dawn kienu jinkludu dinastija Fitzgerald, Fitzgibbons (Gibbons), Fitzmaurice. Familji oħra li għandhom kunjomijiet bħal Barry (de Barra) u de búrca (Burke) huma wkoll ta 'estrazzjoni Norman.</v>
      </c>
    </row>
    <row r="6101" ht="15.75" customHeight="1">
      <c r="A6101" s="2" t="s">
        <v>6101</v>
      </c>
      <c r="B6101" s="2" t="str">
        <f>IFERROR(__xludf.DUMMYFUNCTION("GOOGLETRANSLATE(A6101, ""en"", ""mt"")"),"Minbarra r-rapporti tal-valutazzjoni tal-klima, l-IPCC qed tippubblika rapporti speċjali dwar suġġetti speċifiċi. Il-proċess ta 'preparazzjoni u approvazzjoni għar-rapporti speċjali kollha tal-IPCC isegwi l-istess proċeduri bħal għar-rapporti ta' valutazz"&amp;"joni tal-IPCC. Fis-sena 2011 ġew finalizzati żewġ rapport speċjali tal-IPCC, ir-Rapport Speċjali dwar is-Sorsi tal-Enerġija Rinnovabbli u l-Mitigazzjoni tat-Tibdil fil-Klima (SREN) u r-Rapport Speċjali dwar il-Ġestjoni tar-Riskji ta 'Avvenimenti u Diżastr"&amp;"i estremi biex javvanzaw l-Adattament tal-Bidla fil-Klima (SREX). Iż-żewġ rapporti speċjali ntalbu mill-gvernijiet.")</f>
        <v>Minbarra r-rapporti tal-valutazzjoni tal-klima, l-IPCC qed tippubblika rapporti speċjali dwar suġġetti speċifiċi. Il-proċess ta 'preparazzjoni u approvazzjoni għar-rapporti speċjali kollha tal-IPCC isegwi l-istess proċeduri bħal għar-rapporti ta' valutazzjoni tal-IPCC. Fis-sena 2011 ġew finalizzati żewġ rapport speċjali tal-IPCC, ir-Rapport Speċjali dwar is-Sorsi tal-Enerġija Rinnovabbli u l-Mitigazzjoni tat-Tibdil fil-Klima (SREN) u r-Rapport Speċjali dwar il-Ġestjoni tar-Riskji ta 'Avvenimenti u Diżastri estremi biex javvanzaw l-Adattament tal-Bidla fil-Klima (SREX). Iż-żewġ rapporti speċjali ntalbu mill-gvernijiet.</v>
      </c>
    </row>
    <row r="6102" ht="15.75" customHeight="1">
      <c r="A6102" s="2" t="s">
        <v>6102</v>
      </c>
      <c r="B6102" s="2" t="str">
        <f>IFERROR(__xludf.DUMMYFUNCTION("GOOGLETRANSLATE(A6102, ""en"", ""mt"")"),"pakketti")</f>
        <v>pakketti</v>
      </c>
    </row>
    <row r="6103" ht="15.75" customHeight="1">
      <c r="A6103" s="2" t="s">
        <v>6103</v>
      </c>
      <c r="B6103" s="2" t="str">
        <f>IFERROR(__xludf.DUMMYFUNCTION("GOOGLETRANSLATE(A6103, ""en"", ""mt"")"),"X'jistgħu jaġixxu l-forzi gravitazzjonali?")</f>
        <v>X'jistgħu jaġixxu l-forzi gravitazzjonali?</v>
      </c>
    </row>
    <row r="6104" ht="15.75" customHeight="1">
      <c r="A6104" s="2" t="s">
        <v>6104</v>
      </c>
      <c r="B6104" s="2" t="str">
        <f>IFERROR(__xludf.DUMMYFUNCTION("GOOGLETRANSLATE(A6104, ""en"", ""mt"")"),"Kemm huma kbar il-filamenti taċ-ċirku PD ta 'barra?")</f>
        <v>Kemm huma kbar il-filamenti taċ-ċirku PD ta 'barra?</v>
      </c>
    </row>
    <row r="6105" ht="15.75" customHeight="1">
      <c r="A6105" s="2" t="s">
        <v>6105</v>
      </c>
      <c r="B6105" s="2" t="str">
        <f>IFERROR(__xludf.DUMMYFUNCTION("GOOGLETRANSLATE(A6105, ""en"", ""mt"")"),"Paċifiku")</f>
        <v>Paċifiku</v>
      </c>
    </row>
    <row r="6106" ht="15.75" customHeight="1">
      <c r="A6106" s="2" t="s">
        <v>6106</v>
      </c>
      <c r="B6106" s="2" t="str">
        <f>IFERROR(__xludf.DUMMYFUNCTION("GOOGLETRANSLATE(A6106, ""en"", ""mt"")"),"L-ex president tal-IPCC Robert Watson qal li ""l-iżbalji kollha jidhru li marru fid-direzzjoni li jidhru li t-tibdil fil-klima huwa iktar serju billi jnissel l-impatt. Dan huwa inkwetanti. L-IPCC jeħtieġ li jħares lejn din ix-xejra fl-iżbalji u jistaqsu G"&amp;"ħaliex ġara "". Martin Parry, espert fil-klima li kien ko-president tal-Grupp ta 'Ħidma II tal-IPCC, qal li ""dak li beda bi żball wieħed sfortunat fuq il-glaċieri tal-Ħimalaja sar clamor mingħajr sustanza"" u l-IPCC kien investiga l-allegati żbalji l-oħr"&amp;"a l-oħra, li kienu ""ġeneralment infondati u marġinali wkoll għall-valutazzjoni"".")</f>
        <v>L-ex president tal-IPCC Robert Watson qal li "l-iżbalji kollha jidhru li marru fid-direzzjoni li jidhru li t-tibdil fil-klima huwa iktar serju billi jnissel l-impatt. Dan huwa inkwetanti. L-IPCC jeħtieġ li jħares lejn din ix-xejra fl-iżbalji u jistaqsu Għaliex ġara ". Martin Parry, espert fil-klima li kien ko-president tal-Grupp ta 'Ħidma II tal-IPCC, qal li "dak li beda bi żball wieħed sfortunat fuq il-glaċieri tal-Ħimalaja sar clamor mingħajr sustanza" u l-IPCC kien investiga l-allegati żbalji l-oħra l-oħra, li kienu "ġeneralment infondati u marġinali wkoll għall-valutazzjoni".</v>
      </c>
    </row>
    <row r="6107" ht="15.75" customHeight="1">
      <c r="A6107" s="2" t="s">
        <v>6107</v>
      </c>
      <c r="B6107" s="2" t="str">
        <f>IFERROR(__xludf.DUMMYFUNCTION("GOOGLETRANSLATE(A6107, ""en"", ""mt"")"),"proċess mhux magħruf")</f>
        <v>proċess mhux magħruf</v>
      </c>
    </row>
    <row r="6108" ht="15.75" customHeight="1">
      <c r="A6108" s="2" t="s">
        <v>6108</v>
      </c>
      <c r="B6108" s="2" t="str">
        <f>IFERROR(__xludf.DUMMYFUNCTION("GOOGLETRANSLATE(A6108, ""en"", ""mt"")"),"Xi tfisser l-ożonu li jikkawża effett ta 'ħsara?")</f>
        <v>Xi tfisser l-ożonu li jikkawża effett ta 'ħsara?</v>
      </c>
    </row>
    <row r="6109" ht="15.75" customHeight="1">
      <c r="A6109" s="2" t="s">
        <v>6109</v>
      </c>
      <c r="B6109" s="2" t="str">
        <f>IFERROR(__xludf.DUMMYFUNCTION("GOOGLETRANSLATE(A6109, ""en"", ""mt"")"),"Problemi tekniċi u dewmien fit-titjira")</f>
        <v>Problemi tekniċi u dewmien fit-titjira</v>
      </c>
    </row>
    <row r="6110" ht="15.75" customHeight="1">
      <c r="A6110" s="2" t="s">
        <v>6110</v>
      </c>
      <c r="B6110" s="2" t="str">
        <f>IFERROR(__xludf.DUMMYFUNCTION("GOOGLETRANSLATE(A6110, ""en"", ""mt"")"),"ivarjaw")</f>
        <v>ivarjaw</v>
      </c>
    </row>
    <row r="6111" ht="15.75" customHeight="1">
      <c r="A6111" s="2" t="s">
        <v>6111</v>
      </c>
      <c r="B6111" s="2" t="str">
        <f>IFERROR(__xludf.DUMMYFUNCTION("GOOGLETRANSLATE(A6111, ""en"", ""mt"")"),"Etajiet tas-silġ")</f>
        <v>Etajiet tas-silġ</v>
      </c>
    </row>
    <row r="6112" ht="15.75" customHeight="1">
      <c r="A6112" s="2" t="s">
        <v>6112</v>
      </c>
      <c r="B6112" s="2" t="str">
        <f>IFERROR(__xludf.DUMMYFUNCTION("GOOGLETRANSLATE(A6112, ""en"", ""mt"")"),"Fejn f'Dundee se tinsab il-gallerija?")</f>
        <v>Fejn f'Dundee se tinsab il-gallerija?</v>
      </c>
    </row>
    <row r="6113" ht="15.75" customHeight="1">
      <c r="A6113" s="2" t="s">
        <v>6113</v>
      </c>
      <c r="B6113" s="2" t="str">
        <f>IFERROR(__xludf.DUMMYFUNCTION("GOOGLETRANSLATE(A6113, ""en"", ""mt"")"),"Żvilupp, Skjerament u Ottimizzazzjoni tas-Sistema ta 'Ġestjoni tal-Medikazzjoni")</f>
        <v>Żvilupp, Skjerament u Ottimizzazzjoni tas-Sistema ta 'Ġestjoni tal-Medikazzjoni</v>
      </c>
    </row>
    <row r="6114" ht="15.75" customHeight="1">
      <c r="A6114" s="2" t="s">
        <v>6114</v>
      </c>
      <c r="B6114" s="2" t="str">
        <f>IFERROR(__xludf.DUMMYFUNCTION("GOOGLETRANSLATE(A6114, ""en"", ""mt"")"),"Splużjoni tat-tank tal-ossiġnu fi tranżitu lejn il-qamar")</f>
        <v>Splużjoni tat-tank tal-ossiġnu fi tranżitu lejn il-qamar</v>
      </c>
    </row>
    <row r="6115" ht="15.75" customHeight="1">
      <c r="A6115" s="2" t="s">
        <v>6115</v>
      </c>
      <c r="B6115" s="2" t="str">
        <f>IFERROR(__xludf.DUMMYFUNCTION("GOOGLETRANSLATE(A6115, ""en"", ""mt"")"),"Fejn huma permessi xi tobba li jippreskrivu u jagħtu mediċini fil-prattiki tagħhom?")</f>
        <v>Fejn huma permessi xi tobba li jippreskrivu u jagħtu mediċini fil-prattiki tagħhom?</v>
      </c>
    </row>
    <row r="6116" ht="15.75" customHeight="1">
      <c r="A6116" s="2" t="s">
        <v>6116</v>
      </c>
      <c r="B6116" s="2" t="str">
        <f>IFERROR(__xludf.DUMMYFUNCTION("GOOGLETRANSLATE(A6116, ""en"", ""mt"")"),"Tibdil fil-klima minbarra d-deforestazzjoni")</f>
        <v>Tibdil fil-klima minbarra d-deforestazzjoni</v>
      </c>
    </row>
    <row r="6117" ht="15.75" customHeight="1">
      <c r="A6117" s="2" t="s">
        <v>6117</v>
      </c>
      <c r="B6117" s="2" t="str">
        <f>IFERROR(__xludf.DUMMYFUNCTION("GOOGLETRANSLATE(A6117, ""en"", ""mt"")"),"It-triq lura lejn Samarkand")</f>
        <v>It-triq lura lejn Samarkand</v>
      </c>
    </row>
    <row r="6118" ht="15.75" customHeight="1">
      <c r="A6118" s="2" t="s">
        <v>6118</v>
      </c>
      <c r="B6118" s="2" t="str">
        <f>IFERROR(__xludf.DUMMYFUNCTION("GOOGLETRANSLATE(A6118, ""en"", ""mt"")"),"X'inhu sekretat mill-passaġġ respiratorju biex jaqbad il-mikro-organiżmi?")</f>
        <v>X'inhu sekretat mill-passaġġ respiratorju biex jaqbad il-mikro-organiżmi?</v>
      </c>
    </row>
    <row r="6119" ht="15.75" customHeight="1">
      <c r="A6119" s="2" t="s">
        <v>6119</v>
      </c>
      <c r="B6119" s="2" t="str">
        <f>IFERROR(__xludf.DUMMYFUNCTION("GOOGLETRANSLATE(A6119, ""en"", ""mt"")"),"monostrata tal-lipidi")</f>
        <v>monostrata tal-lipidi</v>
      </c>
    </row>
    <row r="6120" ht="15.75" customHeight="1">
      <c r="A6120" s="2" t="s">
        <v>6120</v>
      </c>
      <c r="B6120" s="2" t="str">
        <f>IFERROR(__xludf.DUMMYFUNCTION("GOOGLETRANSLATE(A6120, ""en"", ""mt"")"),"f'munzelli ta 'tnejn")</f>
        <v>f'munzelli ta 'tnejn</v>
      </c>
    </row>
    <row r="6121" ht="15.75" customHeight="1">
      <c r="A6121" s="2" t="s">
        <v>6121</v>
      </c>
      <c r="B6121" s="2" t="str">
        <f>IFERROR(__xludf.DUMMYFUNCTION("GOOGLETRANSLATE(A6121, ""en"", ""mt"")"),"1294 sa 1307")</f>
        <v>1294 sa 1307</v>
      </c>
    </row>
    <row r="6122" ht="15.75" customHeight="1">
      <c r="A6122" s="2" t="s">
        <v>6122</v>
      </c>
      <c r="B6122" s="2" t="str">
        <f>IFERROR(__xludf.DUMMYFUNCTION("GOOGLETRANSLATE(A6122, ""en"", ""mt"")"),"Ara l-ebda ħtieġa li taċċetta kastig għal ksur tal-liġi kriminali li ma tikserx id-drittijiet ta 'ħaddieħor")</f>
        <v>Ara l-ebda ħtieġa li taċċetta kastig għal ksur tal-liġi kriminali li ma tikserx id-drittijiet ta 'ħaddieħor</v>
      </c>
    </row>
    <row r="6123" ht="15.75" customHeight="1">
      <c r="A6123" s="2" t="s">
        <v>6123</v>
      </c>
      <c r="B6123" s="2" t="str">
        <f>IFERROR(__xludf.DUMMYFUNCTION("GOOGLETRANSLATE(A6123, ""en"", ""mt"")"),"tħeġġeġ")</f>
        <v>tħeġġeġ</v>
      </c>
    </row>
    <row r="6124" ht="15.75" customHeight="1">
      <c r="A6124" s="2" t="s">
        <v>6124</v>
      </c>
      <c r="B6124" s="2" t="str">
        <f>IFERROR(__xludf.DUMMYFUNCTION("GOOGLETRANSLATE(A6124, ""en"", ""mt"")"),"Kemm bliet fin-Nofsinhar tal-Kalifornja għandhom aktar minn 200,000 resident?")</f>
        <v>Kemm bliet fin-Nofsinhar tal-Kalifornja għandhom aktar minn 200,000 resident?</v>
      </c>
    </row>
    <row r="6125" ht="15.75" customHeight="1">
      <c r="A6125" s="2" t="s">
        <v>6125</v>
      </c>
      <c r="B6125" s="2" t="str">
        <f>IFERROR(__xludf.DUMMYFUNCTION("GOOGLETRANSLATE(A6125, ""en"", ""mt"")"),"Dak li kiber fuq skala globali bħala riżultat tal-imperjalizmu?")</f>
        <v>Dak li kiber fuq skala globali bħala riżultat tal-imperjalizmu?</v>
      </c>
    </row>
    <row r="6126" ht="15.75" customHeight="1">
      <c r="A6126" s="2" t="s">
        <v>6126</v>
      </c>
      <c r="B6126" s="2" t="str">
        <f>IFERROR(__xludf.DUMMYFUNCTION("GOOGLETRANSLATE(A6126, ""en"", ""mt"")"),"Teorija tas-Sistemi Dinjija")</f>
        <v>Teorija tas-Sistemi Dinjija</v>
      </c>
    </row>
    <row r="6127" ht="15.75" customHeight="1">
      <c r="A6127" s="2" t="s">
        <v>6127</v>
      </c>
      <c r="B6127" s="2" t="str">
        <f>IFERROR(__xludf.DUMMYFUNCTION("GOOGLETRANSLATE(A6127, ""en"", ""mt"")"),"X'ġara mill-biċċa l-kbira tax-xogħol ta 'Tesla minn dan iż-żmien?")</f>
        <v>X'ġara mill-biċċa l-kbira tax-xogħol ta 'Tesla minn dan iż-żmien?</v>
      </c>
    </row>
    <row r="6128" ht="15.75" customHeight="1">
      <c r="A6128" s="2" t="s">
        <v>6128</v>
      </c>
      <c r="B6128" s="2" t="str">
        <f>IFERROR(__xludf.DUMMYFUNCTION("GOOGLETRANSLATE(A6128, ""en"", ""mt"")"),"X'kienet Tesla tibża 'li xi ħadd kien qed jipprova jagħmel bl-invenzjoni tiegħu?")</f>
        <v>X'kienet Tesla tibża 'li xi ħadd kien qed jipprova jagħmel bl-invenzjoni tiegħu?</v>
      </c>
    </row>
    <row r="6129" ht="15.75" customHeight="1">
      <c r="A6129" s="2" t="s">
        <v>6129</v>
      </c>
      <c r="B6129" s="2" t="str">
        <f>IFERROR(__xludf.DUMMYFUNCTION("GOOGLETRANSLATE(A6129, ""en"", ""mt"")"),"F'liema data ħabbret l-ESPN il-ftehim tagħhom ma 'CBS u l-NFL?")</f>
        <v>F'liema data ħabbret l-ESPN il-ftehim tagħhom ma 'CBS u l-NFL?</v>
      </c>
    </row>
    <row r="6130" ht="15.75" customHeight="1">
      <c r="A6130" s="2" t="s">
        <v>6130</v>
      </c>
      <c r="B6130" s="2" t="str">
        <f>IFERROR(__xludf.DUMMYFUNCTION("GOOGLETRANSLATE(A6130, ""en"", ""mt"")"),"X'inhu l-kumitat ta 'tmexxija li vvota favur proposta li tippermetti lill-ministri biex jorganizzaw tiġijiet tal-istess sess?")</f>
        <v>X'inhu l-kumitat ta 'tmexxija li vvota favur proposta li tippermetti lill-ministri biex jorganizzaw tiġijiet tal-istess sess?</v>
      </c>
    </row>
    <row r="6131" ht="15.75" customHeight="1">
      <c r="A6131" s="2" t="s">
        <v>6131</v>
      </c>
      <c r="B6131" s="2" t="str">
        <f>IFERROR(__xludf.DUMMYFUNCTION("GOOGLETRANSLATE(A6131, ""en"", ""mt"")"),"X'inhu mod alternattiv biex tagħmel il-lamtu?")</f>
        <v>X'inhu mod alternattiv biex tagħmel il-lamtu?</v>
      </c>
    </row>
    <row r="6132" ht="15.75" customHeight="1">
      <c r="A6132" s="2" t="s">
        <v>6132</v>
      </c>
      <c r="B6132" s="2" t="str">
        <f>IFERROR(__xludf.DUMMYFUNCTION("GOOGLETRANSLATE(A6132, ""en"", ""mt"")"),"Fis-snin bikrin, ħafna Huguenots stabbilixxew ukoll fl-inħawi tal-lum Charleston, South Carolina. Fl-1685, Rev Elie Prioleau mill-belt ta ’Pons fi Franza, kienet fost l-ewwel li toqgħod hemm. Huwa sar ragħaj tal-Ewwel Knisja Huguenot fl-Amerika ta ’Fuq f’"&amp;"dik il-belt. Wara r-revoka tal-editt ta 'Nantes fl-1685, diversi familji Huguenot ta' Norman u n-nobbil u d-dixxendenza Karolingjana, inkluż Edmund Bohun ta 'Suffolk l-Ingilterra mil-linja ta' Humphrey de Bohun ta 'royalties Franċiżi imnissla minn Charlem"&amp;"agne, Jean Postell ta' Dippe France, Alexander Pepin, Antoine Poitevin ta 'Orsement France, u Jacques de Bordeaux ta' Grenoble, immigraw lejn id-Distrett ta 'Charleston Orange. Kienu suċċess kbir fiż-żwieġ u l-ispekulazzjoni tal-propjetà. Wara li għamlu p"&amp;"etizzjoni lill-Kuruna Ingliża fl-1697 għad-dritt li għandhom art fil-baronies, huma rnexxew bħala sidien ta 'skjavi fuq il-pjantaġġuni ta' Cooper, Ashepoo, Ashley u Santee River li xtraw mill-landgrave Ingliża Edmund Bellinger. Uħud mid-dixxendenti tagħho"&amp;"m marru fil-Deep South u Texas, fejn żviluppaw pjantaġġuni ġodda.")</f>
        <v>Fis-snin bikrin, ħafna Huguenots stabbilixxew ukoll fl-inħawi tal-lum Charleston, South Carolina. Fl-1685, Rev Elie Prioleau mill-belt ta ’Pons fi Franza, kienet fost l-ewwel li toqgħod hemm. Huwa sar ragħaj tal-Ewwel Knisja Huguenot fl-Amerika ta ’Fuq f’dik il-belt. Wara r-revoka tal-editt ta 'Nantes fl-1685, diversi familji Huguenot ta' Norman u n-nobbil u d-dixxendenza Karolingjana, inkluż Edmund Bohun ta 'Suffolk l-Ingilterra mil-linja ta' Humphrey de Bohun ta 'royalties Franċiżi imnissla minn Charlemagne, Jean Postell ta' Dippe France, Alexander Pepin, Antoine Poitevin ta 'Orsement France, u Jacques de Bordeaux ta' Grenoble, immigraw lejn id-Distrett ta 'Charleston Orange. Kienu suċċess kbir fiż-żwieġ u l-ispekulazzjoni tal-propjetà. Wara li għamlu petizzjoni lill-Kuruna Ingliża fl-1697 għad-dritt li għandhom art fil-baronies, huma rnexxew bħala sidien ta 'skjavi fuq il-pjantaġġuni ta' Cooper, Ashepoo, Ashley u Santee River li xtraw mill-landgrave Ingliża Edmund Bellinger. Uħud mid-dixxendenti tagħhom marru fil-Deep South u Texas, fejn żviluppaw pjantaġġuni ġodda.</v>
      </c>
    </row>
    <row r="6133" ht="15.75" customHeight="1">
      <c r="A6133" s="2" t="s">
        <v>6133</v>
      </c>
      <c r="B6133" s="2" t="str">
        <f>IFERROR(__xludf.DUMMYFUNCTION("GOOGLETRANSLATE(A6133, ""en"", ""mt"")"),"tlieta.")</f>
        <v>tlieta.</v>
      </c>
    </row>
    <row r="6134" ht="15.75" customHeight="1">
      <c r="A6134" s="2" t="s">
        <v>6134</v>
      </c>
      <c r="B6134" s="2" t="str">
        <f>IFERROR(__xludf.DUMMYFUNCTION("GOOGLETRANSLATE(A6134, ""en"", ""mt"")"),"Ġew introdotti trakkijiet kompatti, bħalma huma t-Toyota Hilux u t-trakk Datsun, segwit mit-trakk Mazda (mibjugħ bħala l-Ford Courier), u l-Chevrolet Luv tal-Isuzu mibni. Mitsubishi rebranded il-forte tiegħu bħala d-Dodge D-50 ftit snin wara l-kriżi taż-ż"&amp;"ejt. Mazda, Mitsushi u Isuzu kellhom sħubijiet konġunti ma 'Ford, Chrysler, u GM, rispettivament. Aktar tard il-produtturi Amerikani introduċew is-sostituzzjonijiet domestiċi tagħhom (Ford Ranger, Dodge Dakota u l-Chevrolet S10 / GMC S-15), u temmew il-po"&amp;"litika ta 'importazzjoni magħżula tagħhom.")</f>
        <v>Ġew introdotti trakkijiet kompatti, bħalma huma t-Toyota Hilux u t-trakk Datsun, segwit mit-trakk Mazda (mibjugħ bħala l-Ford Courier), u l-Chevrolet Luv tal-Isuzu mibni. Mitsubishi rebranded il-forte tiegħu bħala d-Dodge D-50 ftit snin wara l-kriżi taż-żejt. Mazda, Mitsushi u Isuzu kellhom sħubijiet konġunti ma 'Ford, Chrysler, u GM, rispettivament. Aktar tard il-produtturi Amerikani introduċew is-sostituzzjonijiet domestiċi tagħhom (Ford Ranger, Dodge Dakota u l-Chevrolet S10 / GMC S-15), u temmew il-politika ta 'importazzjoni magħżula tagħhom.</v>
      </c>
    </row>
    <row r="6135" ht="15.75" customHeight="1">
      <c r="A6135" s="2" t="s">
        <v>6135</v>
      </c>
      <c r="B6135" s="2" t="str">
        <f>IFERROR(__xludf.DUMMYFUNCTION("GOOGLETRANSLATE(A6135, ""en"", ""mt"")"),"Il-konġettura ta 'Goldbach")</f>
        <v>Il-konġettura ta 'Goldbach</v>
      </c>
    </row>
    <row r="6136" ht="15.75" customHeight="1">
      <c r="A6136" s="2" t="s">
        <v>6136</v>
      </c>
      <c r="B6136" s="2" t="str">
        <f>IFERROR(__xludf.DUMMYFUNCTION("GOOGLETRANSLATE(A6136, ""en"", ""mt"")"),"Għal xiex huwa QED qasir?")</f>
        <v>Għal xiex huwa QED qasir?</v>
      </c>
    </row>
    <row r="6137" ht="15.75" customHeight="1">
      <c r="A6137" s="2" t="s">
        <v>6137</v>
      </c>
      <c r="B6137" s="2" t="str">
        <f>IFERROR(__xludf.DUMMYFUNCTION("GOOGLETRANSLATE(A6137, ""en"", ""mt"")"),"Xi jpinġi l-istorja tal-Mużew tal-Armata Pollakka?")</f>
        <v>Xi jpinġi l-istorja tal-Mużew tal-Armata Pollakka?</v>
      </c>
    </row>
    <row r="6138" ht="15.75" customHeight="1">
      <c r="A6138" s="2" t="s">
        <v>6138</v>
      </c>
      <c r="B6138" s="2" t="str">
        <f>IFERROR(__xludf.DUMMYFUNCTION("GOOGLETRANSLATE(A6138, ""en"", ""mt"")"),"sajjetti")</f>
        <v>sajjetti</v>
      </c>
    </row>
    <row r="6139" ht="15.75" customHeight="1">
      <c r="A6139" s="2" t="s">
        <v>6139</v>
      </c>
      <c r="B6139" s="2" t="str">
        <f>IFERROR(__xludf.DUMMYFUNCTION("GOOGLETRANSLATE(A6139, ""en"", ""mt"")"),"Titjiriet bla ekwipaġġ ta 'Saturn V")</f>
        <v>Titjiriet bla ekwipaġġ ta 'Saturn V</v>
      </c>
    </row>
    <row r="6140" ht="15.75" customHeight="1">
      <c r="A6140" s="2" t="s">
        <v>6140</v>
      </c>
      <c r="B6140" s="2" t="str">
        <f>IFERROR(__xludf.DUMMYFUNCTION("GOOGLETRANSLATE(A6140, ""en"", ""mt"")"),"Magna tat-Turing probabilistiċi")</f>
        <v>Magna tat-Turing probabilistiċi</v>
      </c>
    </row>
    <row r="6141" ht="15.75" customHeight="1">
      <c r="A6141" s="2" t="s">
        <v>6141</v>
      </c>
      <c r="B6141" s="2" t="str">
        <f>IFERROR(__xludf.DUMMYFUNCTION("GOOGLETRANSLATE(A6141, ""en"", ""mt"")"),"Ingħaqad ma 'Politeknika jew Kulleġġ Tekniku ieħor")</f>
        <v>Ingħaqad ma 'Politeknika jew Kulleġġ Tekniku ieħor</v>
      </c>
    </row>
    <row r="6142" ht="15.75" customHeight="1">
      <c r="A6142" s="2" t="s">
        <v>6142</v>
      </c>
      <c r="B6142" s="2" t="str">
        <f>IFERROR(__xludf.DUMMYFUNCTION("GOOGLETRANSLATE(A6142, ""en"", ""mt"")"),"Tpoġġihom fuq il-fidi profetika")</f>
        <v>Tpoġġihom fuq il-fidi profetika</v>
      </c>
    </row>
    <row r="6143" ht="15.75" customHeight="1">
      <c r="A6143" s="2" t="s">
        <v>6143</v>
      </c>
      <c r="B6143" s="2" t="str">
        <f>IFERROR(__xludf.DUMMYFUNCTION("GOOGLETRANSLATE(A6143, ""en"", ""mt"")"),"Kumpless ta 'ġewwa")</f>
        <v>Kumpless ta 'ġewwa</v>
      </c>
    </row>
    <row r="6144" ht="15.75" customHeight="1">
      <c r="A6144" s="2" t="s">
        <v>6144</v>
      </c>
      <c r="B6144" s="2" t="str">
        <f>IFERROR(__xludf.DUMMYFUNCTION("GOOGLETRANSLATE(A6144, ""en"", ""mt"")"),"Meded opportunistiċi ta 'Normans stabbilixxew b'suċċess pedament fin-Nofsinhar tal-Italja (il-Mezzogiorno). Probabbilment bħala riżultat tar-ritorn tal-istejjer tal-pellegrini, in-Normanni daħlu fil-mezzogiorno bħala ġellieda fl-1017 l-aktar tard. Fl-999,"&amp;" skond Amatus ta 'Montecassino, il-pellegrini Norman jirritornaw minn Ġerusalemm imsejħa fil-port ta' Salerno meta seħħ attakk ta 'Saraċen. In-Normanni ġġieldu b’tali mod li l-Prinċep Guimar III talabhom biex jibqgħu, iżda huma rrifjutaw u minflok offrew "&amp;"li jgħidu lil oħrajn lura d-dar tat-talba tal-Prinċep. William ta 'Apulia jirrakkonta li, fl-1016, pellegrini Norman lejn is-santwarju ta' l-Arkanġlu Michael f'Monte Gargano ġew milqugħa minn Melus ta 'Bari, nobbli u Rebel Lombard, li kkonvinċewhom biex j"&amp;"irritornaw ma' aktar ġellieda biex jgħinu jitfgħu l-ħakma Biżantina, li għamlu.")</f>
        <v>Meded opportunistiċi ta 'Normans stabbilixxew b'suċċess pedament fin-Nofsinhar tal-Italja (il-Mezzogiorno). Probabbilment bħala riżultat tar-ritorn tal-istejjer tal-pellegrini, in-Normanni daħlu fil-mezzogiorno bħala ġellieda fl-1017 l-aktar tard. Fl-999, skond Amatus ta 'Montecassino, il-pellegrini Norman jirritornaw minn Ġerusalemm imsejħa fil-port ta' Salerno meta seħħ attakk ta 'Saraċen. In-Normanni ġġieldu b’tali mod li l-Prinċep Guimar III talabhom biex jibqgħu, iżda huma rrifjutaw u minflok offrew li jgħidu lil oħrajn lura d-dar tat-talba tal-Prinċep. William ta 'Apulia jirrakkonta li, fl-1016, pellegrini Norman lejn is-santwarju ta' l-Arkanġlu Michael f'Monte Gargano ġew milqugħa minn Melus ta 'Bari, nobbli u Rebel Lombard, li kkonvinċewhom biex jirritornaw ma' aktar ġellieda biex jgħinu jitfgħu l-ħakma Biżantina, li għamlu.</v>
      </c>
    </row>
    <row r="6145" ht="15.75" customHeight="1">
      <c r="A6145" s="2" t="s">
        <v>6145</v>
      </c>
      <c r="B6145" s="2" t="str">
        <f>IFERROR(__xludf.DUMMYFUNCTION("GOOGLETRANSLATE(A6145, ""en"", ""mt"")"),"Tesla qatt ma żżewweġ; Huwa qal li l-kastità tiegħu kienet ta 'għajnuna kbira għall-abbiltajiet xjentifiċi tiegħu.: 33 Madankollu, lejn it-tmiem ta' ħajtu, huwa qal lil reporter, ""Kultant inħoss li billi ma jiżżewweġx, għamilt sagrifiċċju kbir wisq għax-"&amp;"xogħol tiegħi ..."" Kien hemm bosta kontijiet ta 'nisa li jaqbdu għall-affezzjoni ta' Tesla, anke xi wħud mill-ġenn fl-imħabba miegħu. [Ċitazzjoni meħtieġa] Tesla, għalkemm edukata u mitkellma, ma kellhiex relazzjonijiet magħrufa.")</f>
        <v>Tesla qatt ma żżewweġ; Huwa qal li l-kastità tiegħu kienet ta 'għajnuna kbira għall-abbiltajiet xjentifiċi tiegħu.: 33 Madankollu, lejn it-tmiem ta' ħajtu, huwa qal lil reporter, "Kultant inħoss li billi ma jiżżewweġx, għamilt sagrifiċċju kbir wisq għax-xogħol tiegħi ..." Kien hemm bosta kontijiet ta 'nisa li jaqbdu għall-affezzjoni ta' Tesla, anke xi wħud mill-ġenn fl-imħabba miegħu. [Ċitazzjoni meħtieġa] Tesla, għalkemm edukata u mitkellma, ma kellhiex relazzjonijiet magħrufa.</v>
      </c>
    </row>
    <row r="6146" ht="15.75" customHeight="1">
      <c r="A6146" s="2" t="s">
        <v>6146</v>
      </c>
      <c r="B6146" s="2" t="str">
        <f>IFERROR(__xludf.DUMMYFUNCTION("GOOGLETRANSLATE(A6146, ""en"", ""mt"")"),"The Late Show ma 'Stephen Colbert")</f>
        <v>The Late Show ma 'Stephen Colbert</v>
      </c>
    </row>
    <row r="6147" ht="15.75" customHeight="1">
      <c r="A6147" s="2" t="s">
        <v>6147</v>
      </c>
      <c r="B6147" s="2" t="str">
        <f>IFERROR(__xludf.DUMMYFUNCTION("GOOGLETRANSLATE(A6147, ""en"", ""mt"")"),"X'inhi r-rata ta 'mortalità tal-pesta bubonika moderna?")</f>
        <v>X'inhi r-rata ta 'mortalità tal-pesta bubonika moderna?</v>
      </c>
    </row>
    <row r="6148" ht="15.75" customHeight="1">
      <c r="A6148" s="2" t="s">
        <v>6148</v>
      </c>
      <c r="B6148" s="2" t="str">
        <f>IFERROR(__xludf.DUMMYFUNCTION("GOOGLETRANSLATE(A6148, ""en"", ""mt"")"),"it-tabella tal-konnessjoni")</f>
        <v>it-tabella tal-konnessjoni</v>
      </c>
    </row>
    <row r="6149" ht="15.75" customHeight="1">
      <c r="A6149" s="2" t="s">
        <v>6149</v>
      </c>
      <c r="B6149" s="2" t="str">
        <f>IFERROR(__xludf.DUMMYFUNCTION("GOOGLETRANSLATE(A6149, ""en"", ""mt"")"),"vjolenti")</f>
        <v>vjolenti</v>
      </c>
    </row>
    <row r="6150" ht="15.75" customHeight="1">
      <c r="A6150" s="2" t="s">
        <v>6150</v>
      </c>
      <c r="B6150" s="2" t="str">
        <f>IFERROR(__xludf.DUMMYFUNCTION("GOOGLETRANSLATE(A6150, ""en"", ""mt"")"),"Meta tuża algoritmu probabilistiku, kif inhi l-probabbiltà li n-numru jiġi espress kompost matematikament?")</f>
        <v>Meta tuża algoritmu probabilistiku, kif inhi l-probabbiltà li n-numru jiġi espress kompost matematikament?</v>
      </c>
    </row>
    <row r="6151" ht="15.75" customHeight="1">
      <c r="A6151" s="2" t="s">
        <v>6151</v>
      </c>
      <c r="B6151" s="2" t="str">
        <f>IFERROR(__xludf.DUMMYFUNCTION("GOOGLETRANSLATE(A6151, ""en"", ""mt"")"),"X'inhu terminu li jfisser temperatura kostanti?")</f>
        <v>X'inhu terminu li jfisser temperatura kostanti?</v>
      </c>
    </row>
    <row r="6152" ht="15.75" customHeight="1">
      <c r="A6152" s="2" t="s">
        <v>6152</v>
      </c>
      <c r="B6152" s="2" t="str">
        <f>IFERROR(__xludf.DUMMYFUNCTION("GOOGLETRANSLATE(A6152, ""en"", ""mt"")"),"Ħsara lill-ġilda ma kinitx ikkawżata mir-raġġi Roentgen, iżda mill-ożonu ġġenerat f'kuntatt mal-ġilda")</f>
        <v>Ħsara lill-ġilda ma kinitx ikkawżata mir-raġġi Roentgen, iżda mill-ożonu ġġenerat f'kuntatt mal-ġilda</v>
      </c>
    </row>
    <row r="6153" ht="15.75" customHeight="1">
      <c r="A6153" s="2" t="s">
        <v>6153</v>
      </c>
      <c r="B6153" s="2" t="str">
        <f>IFERROR(__xludf.DUMMYFUNCTION("GOOGLETRANSLATE(A6153, ""en"", ""mt"")"),"sospiż")</f>
        <v>sospiż</v>
      </c>
    </row>
    <row r="6154" ht="15.75" customHeight="1">
      <c r="A6154" s="2" t="s">
        <v>6154</v>
      </c>
      <c r="B6154" s="2" t="str">
        <f>IFERROR(__xludf.DUMMYFUNCTION("GOOGLETRANSLATE(A6154, ""en"", ""mt"")"),"il-Quran, Torah jew Bibbja")</f>
        <v>il-Quran, Torah jew Bibbja</v>
      </c>
    </row>
    <row r="6155" ht="15.75" customHeight="1">
      <c r="A6155" s="2" t="s">
        <v>6155</v>
      </c>
      <c r="B6155" s="2" t="str">
        <f>IFERROR(__xludf.DUMMYFUNCTION("GOOGLETRANSLATE(A6155, ""en"", ""mt"")"),"X'kien l-isem tas-serje fejn jidher il-Valeyard?")</f>
        <v>X'kien l-isem tas-serje fejn jidher il-Valeyard?</v>
      </c>
    </row>
    <row r="6156" ht="15.75" customHeight="1">
      <c r="A6156" s="2" t="s">
        <v>6156</v>
      </c>
      <c r="B6156" s="2" t="str">
        <f>IFERROR(__xludf.DUMMYFUNCTION("GOOGLETRANSLATE(A6156, ""en"", ""mt"")"),"servizz lill-proxxmu fil-komuni")</f>
        <v>servizz lill-proxxmu fil-komuni</v>
      </c>
    </row>
    <row r="6157" ht="15.75" customHeight="1">
      <c r="A6157" s="2" t="s">
        <v>6157</v>
      </c>
      <c r="B6157" s="2" t="str">
        <f>IFERROR(__xludf.DUMMYFUNCTION("GOOGLETRANSLATE(A6157, ""en"", ""mt"")"),"X’kienet il-biża ’Iqbal iddgħajjef il-pedamenti spiritwali tal-Iżlam u s-soċjetà Musulmana?")</f>
        <v>X’kienet il-biża ’Iqbal iddgħajjef il-pedamenti spiritwali tal-Iżlam u s-soċjetà Musulmana?</v>
      </c>
    </row>
    <row r="6158" ht="15.75" customHeight="1">
      <c r="A6158" s="2" t="s">
        <v>6158</v>
      </c>
      <c r="B6158" s="2" t="str">
        <f>IFERROR(__xludf.DUMMYFUNCTION("GOOGLETRANSLATE(A6158, ""en"", ""mt"")"),"Feudalism patrimonial")</f>
        <v>Feudalism patrimonial</v>
      </c>
    </row>
    <row r="6159" ht="15.75" customHeight="1">
      <c r="A6159" s="2" t="s">
        <v>6159</v>
      </c>
      <c r="B6159" s="2" t="str">
        <f>IFERROR(__xludf.DUMMYFUNCTION("GOOGLETRANSLATE(A6159, ""en"", ""mt"")"),"inċitament għat-terroriżmu")</f>
        <v>inċitament għat-terroriżmu</v>
      </c>
    </row>
    <row r="6160" ht="15.75" customHeight="1">
      <c r="A6160" s="2" t="s">
        <v>6160</v>
      </c>
      <c r="B6160" s="2" t="str">
        <f>IFERROR(__xludf.DUMMYFUNCTION("GOOGLETRANSLATE(A6160, ""en"", ""mt"")"),"Xi jfisser l-innu ta ’Luther Christ Unser Herr Zum Jordan Kam?")</f>
        <v>Xi jfisser l-innu ta ’Luther Christ Unser Herr Zum Jordan Kam?</v>
      </c>
    </row>
    <row r="6161" ht="15.75" customHeight="1">
      <c r="A6161" s="2" t="s">
        <v>6161</v>
      </c>
      <c r="B6161" s="2" t="str">
        <f>IFERROR(__xludf.DUMMYFUNCTION("GOOGLETRANSLATE(A6161, ""en"", ""mt"")"),"Liema film famuż tar-Raba 'Vaganza ta' Lulju ħallas Fox biex jirreklama segwiment ta 'matul is-Super Bowl?")</f>
        <v>Liema film famuż tar-Raba 'Vaganza ta' Lulju ħallas Fox biex jirreklama segwiment ta 'matul is-Super Bowl?</v>
      </c>
    </row>
    <row r="6162" ht="15.75" customHeight="1">
      <c r="A6162" s="2" t="s">
        <v>6162</v>
      </c>
      <c r="B6162" s="2" t="str">
        <f>IFERROR(__xludf.DUMMYFUNCTION("GOOGLETRANSLATE(A6162, ""en"", ""mt"")"),"L-Isqof Lloyd Kristu Wicke")</f>
        <v>L-Isqof Lloyd Kristu Wicke</v>
      </c>
    </row>
    <row r="6163" ht="15.75" customHeight="1">
      <c r="A6163" s="2" t="s">
        <v>6163</v>
      </c>
      <c r="B6163" s="2" t="str">
        <f>IFERROR(__xludf.DUMMYFUNCTION("GOOGLETRANSLATE(A6163, ""en"", ""mt"")"),"X'inhu Anda?")</f>
        <v>X'inhu Anda?</v>
      </c>
    </row>
    <row r="6164" ht="15.75" customHeight="1">
      <c r="A6164" s="2" t="s">
        <v>6164</v>
      </c>
      <c r="B6164" s="2" t="str">
        <f>IFERROR(__xludf.DUMMYFUNCTION("GOOGLETRANSLATE(A6164, ""en"", ""mt"")"),"Sedimentazzjoni qawwija fid-Delta tar-Renu tal-Punent")</f>
        <v>Sedimentazzjoni qawwija fid-Delta tar-Renu tal-Punent</v>
      </c>
    </row>
    <row r="6165" ht="15.75" customHeight="1">
      <c r="A6165" s="2" t="s">
        <v>6165</v>
      </c>
      <c r="B6165" s="2" t="str">
        <f>IFERROR(__xludf.DUMMYFUNCTION("GOOGLETRANSLATE(A6165, ""en"", ""mt"")"),"Eċċellenti")</f>
        <v>Eċċellenti</v>
      </c>
    </row>
    <row r="6166" ht="15.75" customHeight="1">
      <c r="A6166" s="2" t="s">
        <v>6166</v>
      </c>
      <c r="B6166" s="2" t="str">
        <f>IFERROR(__xludf.DUMMYFUNCTION("GOOGLETRANSLATE(A6166, ""en"", ""mt"")"),"Għaliex ried jagħmel il-lingwa aċċessibbli għan-nies?")</f>
        <v>Għaliex ried jagħmel il-lingwa aċċessibbli għan-nies?</v>
      </c>
    </row>
    <row r="6167" ht="15.75" customHeight="1">
      <c r="A6167" s="2" t="s">
        <v>6167</v>
      </c>
      <c r="B6167" s="2" t="str">
        <f>IFERROR(__xludf.DUMMYFUNCTION("GOOGLETRANSLATE(A6167, ""en"", ""mt"")"),"X'kien il-prinċipju gwida tal-Kodiċi ta 'Kondotta tal-Imperu Mongol?")</f>
        <v>X'kien il-prinċipju gwida tal-Kodiċi ta 'Kondotta tal-Imperu Mongol?</v>
      </c>
    </row>
    <row r="6168" ht="15.75" customHeight="1">
      <c r="A6168" s="2" t="s">
        <v>6168</v>
      </c>
      <c r="B6168" s="2" t="str">
        <f>IFERROR(__xludf.DUMMYFUNCTION("GOOGLETRANSLATE(A6168, ""en"", ""mt"")"),"X'inhu mwarrab għal perjodi ta 'mistoqsijiet fil-kamra tad-dibattitu?")</f>
        <v>X'inhu mwarrab għal perjodi ta 'mistoqsijiet fil-kamra tad-dibattitu?</v>
      </c>
    </row>
    <row r="6169" ht="15.75" customHeight="1">
      <c r="A6169" s="2" t="s">
        <v>6169</v>
      </c>
      <c r="B6169" s="2" t="str">
        <f>IFERROR(__xludf.DUMMYFUNCTION("GOOGLETRANSLATE(A6169, ""en"", ""mt"")"),"mod kif ikomplu l-protesta tagħhom")</f>
        <v>mod kif ikomplu l-protesta tagħhom</v>
      </c>
    </row>
    <row r="6170" ht="15.75" customHeight="1">
      <c r="A6170" s="2" t="s">
        <v>6170</v>
      </c>
      <c r="B6170" s="2" t="str">
        <f>IFERROR(__xludf.DUMMYFUNCTION("GOOGLETRANSLATE(A6170, ""en"", ""mt"")"),"Il-konġettura ta 'Polignac")</f>
        <v>Il-konġettura ta 'Polignac</v>
      </c>
    </row>
    <row r="6171" ht="15.75" customHeight="1">
      <c r="A6171" s="2" t="s">
        <v>6171</v>
      </c>
      <c r="B6171" s="2" t="str">
        <f>IFERROR(__xludf.DUMMYFUNCTION("GOOGLETRANSLATE(A6171, ""en"", ""mt"")"),"Fluttwazzjonijiet fil-klima matul l-aħħar 34 miljun sena")</f>
        <v>Fluttwazzjonijiet fil-klima matul l-aħħar 34 miljun sena</v>
      </c>
    </row>
    <row r="6172" ht="15.75" customHeight="1">
      <c r="A6172" s="2" t="s">
        <v>6172</v>
      </c>
      <c r="B6172" s="2" t="str">
        <f>IFERROR(__xludf.DUMMYFUNCTION("GOOGLETRANSLATE(A6172, ""en"", ""mt"")"),"Jones et al. u Rikostruzzjonijiet ta 'Briffa")</f>
        <v>Jones et al. u Rikostruzzjonijiet ta 'Briffa</v>
      </c>
    </row>
    <row r="6173" ht="15.75" customHeight="1">
      <c r="A6173" s="2" t="s">
        <v>6173</v>
      </c>
      <c r="B6173" s="2" t="str">
        <f>IFERROR(__xludf.DUMMYFUNCTION("GOOGLETRANSLATE(A6173, ""en"", ""mt"")"),"Schmalkaldic League")</f>
        <v>Schmalkaldic League</v>
      </c>
    </row>
    <row r="6174" ht="15.75" customHeight="1">
      <c r="A6174" s="2" t="s">
        <v>6174</v>
      </c>
      <c r="B6174" s="2" t="str">
        <f>IFERROR(__xludf.DUMMYFUNCTION("GOOGLETRANSLATE(A6174, ""en"", ""mt"")"),"eluf")</f>
        <v>eluf</v>
      </c>
    </row>
    <row r="6175" ht="15.75" customHeight="1">
      <c r="A6175" s="2" t="s">
        <v>6175</v>
      </c>
      <c r="B6175" s="2" t="str">
        <f>IFERROR(__xludf.DUMMYFUNCTION("GOOGLETRANSLATE(A6175, ""en"", ""mt"")"),"Vetra u jien Germanica u XX Valeria kienu ż-żewġ leġjuni għal xiex?")</f>
        <v>Vetra u jien Germanica u XX Valeria kienu ż-żewġ leġjuni għal xiex?</v>
      </c>
    </row>
    <row r="6176" ht="15.75" customHeight="1">
      <c r="A6176" s="2" t="s">
        <v>6176</v>
      </c>
      <c r="B6176" s="2" t="str">
        <f>IFERROR(__xludf.DUMMYFUNCTION("GOOGLETRANSLATE(A6176, ""en"", ""mt"")"),"Attakk fuq il-kapitali l-ġdida ta 'Franza, Quebec")</f>
        <v>Attakk fuq il-kapitali l-ġdida ta 'Franza, Quebec</v>
      </c>
    </row>
    <row r="6177" ht="15.75" customHeight="1">
      <c r="A6177" s="2" t="s">
        <v>6177</v>
      </c>
      <c r="B6177" s="2" t="str">
        <f>IFERROR(__xludf.DUMMYFUNCTION("GOOGLETRANSLATE(A6177, ""en"", ""mt"")"),"X’taħseb John Dalton li l-elementi kollha kienu preżenti fil-komposti?")</f>
        <v>X’taħseb John Dalton li l-elementi kollha kienu preżenti fil-komposti?</v>
      </c>
    </row>
    <row r="6178" ht="15.75" customHeight="1">
      <c r="A6178" s="2" t="s">
        <v>6178</v>
      </c>
      <c r="B6178" s="2" t="str">
        <f>IFERROR(__xludf.DUMMYFUNCTION("GOOGLETRANSLATE(A6178, ""en"", ""mt"")"),"L-ewwel oġġetti fil-kollezzjoni tal-ġojjelli ġejjin minn liema ċiviltà antika?")</f>
        <v>L-ewwel oġġetti fil-kollezzjoni tal-ġojjelli ġejjin minn liema ċiviltà antika?</v>
      </c>
    </row>
    <row r="6179" ht="15.75" customHeight="1">
      <c r="A6179" s="2" t="s">
        <v>6179</v>
      </c>
      <c r="B6179" s="2" t="str">
        <f>IFERROR(__xludf.DUMMYFUNCTION("GOOGLETRANSLATE(A6179, ""en"", ""mt"")"),"Il-ġirien")</f>
        <v>Il-ġirien</v>
      </c>
    </row>
    <row r="6180" ht="15.75" customHeight="1">
      <c r="A6180" s="2" t="s">
        <v>6180</v>
      </c>
      <c r="B6180" s="2" t="str">
        <f>IFERROR(__xludf.DUMMYFUNCTION("GOOGLETRANSLATE(A6180, ""en"", ""mt"")"),"Fl-iktar minn 220 sena mill-1784, il-Metodiżmu fl-Istati Uniti, bħal ħafna denominazzjonijiet Protestanti oħra, ra numru ta 'diviżjonijiet u għaqdiet. Fl-1830, il-Knisja Protestanta Metodista qasmet mill-knisja Episkopali Metodista fuq il-kwistjoni tal-la"&amp;"jċi li għandha vuċi u tivvota fl-amministrazzjoni tal-knisja, billi tinsisti li l-kleru m'għandux ikun l-uniku li jkollu xi determinazzjoni fil-mod kif kellha tkun il-knisja operat. Fl-1844, il-Konferenza Ġenerali tal-Knisja Episkopali Metodista qasmet f'"&amp;"żewġ konferenzi minħabba tensjonijiet fuq l-iskjavitù u l-qawwa tal-isqfijiet fid-denominazzjoni.")</f>
        <v>Fl-iktar minn 220 sena mill-1784, il-Metodiżmu fl-Istati Uniti, bħal ħafna denominazzjonijiet Protestanti oħra, ra numru ta 'diviżjonijiet u għaqdiet. Fl-1830, il-Knisja Protestanta Metodista qasmet mill-knisja Episkopali Metodista fuq il-kwistjoni tal-lajċi li għandha vuċi u tivvota fl-amministrazzjoni tal-knisja, billi tinsisti li l-kleru m'għandux ikun l-uniku li jkollu xi determinazzjoni fil-mod kif kellha tkun il-knisja operat. Fl-1844, il-Konferenza Ġenerali tal-Knisja Episkopali Metodista qasmet f'żewġ konferenzi minħabba tensjonijiet fuq l-iskjavitù u l-qawwa tal-isqfijiet fid-denominazzjoni.</v>
      </c>
    </row>
    <row r="6181" ht="15.75" customHeight="1">
      <c r="A6181" s="2" t="s">
        <v>6181</v>
      </c>
      <c r="B6181" s="2" t="str">
        <f>IFERROR(__xludf.DUMMYFUNCTION("GOOGLETRANSLATE(A6181, ""en"", ""mt"")"),"ċirkulari")</f>
        <v>ċirkulari</v>
      </c>
    </row>
    <row r="6182" ht="15.75" customHeight="1">
      <c r="A6182" s="2" t="s">
        <v>6182</v>
      </c>
      <c r="B6182" s="2" t="str">
        <f>IFERROR(__xludf.DUMMYFUNCTION("GOOGLETRANSLATE(A6182, ""en"", ""mt"")"),"Tanzanija")</f>
        <v>Tanzanija</v>
      </c>
    </row>
    <row r="6183" ht="15.75" customHeight="1">
      <c r="A6183" s="2" t="s">
        <v>6183</v>
      </c>
      <c r="B6183" s="2" t="str">
        <f>IFERROR(__xludf.DUMMYFUNCTION("GOOGLETRANSLATE(A6183, ""en"", ""mt"")"),"X'żieda li żdiedet iċ-ċittadinanza tal-UE?")</f>
        <v>X'żieda li żdiedet iċ-ċittadinanza tal-UE?</v>
      </c>
    </row>
    <row r="6184" ht="15.75" customHeight="1">
      <c r="A6184" s="2" t="s">
        <v>6184</v>
      </c>
      <c r="B6184" s="2" t="str">
        <f>IFERROR(__xludf.DUMMYFUNCTION("GOOGLETRANSLATE(A6184, ""en"", ""mt"")"),"X'għamlet l-infrastruttura matul l-aħħar snin?")</f>
        <v>X'għamlet l-infrastruttura matul l-aħħar snin?</v>
      </c>
    </row>
    <row r="6185" ht="15.75" customHeight="1">
      <c r="A6185" s="2" t="s">
        <v>6185</v>
      </c>
      <c r="B6185" s="2" t="str">
        <f>IFERROR(__xludf.DUMMYFUNCTION("GOOGLETRANSLATE(A6185, ""en"", ""mt"")"),"metamorfosed")</f>
        <v>metamorfosed</v>
      </c>
    </row>
    <row r="6186" ht="15.75" customHeight="1">
      <c r="A6186" s="2" t="s">
        <v>6186</v>
      </c>
      <c r="B6186" s="2" t="str">
        <f>IFERROR(__xludf.DUMMYFUNCTION("GOOGLETRANSLATE(A6186, ""en"", ""mt"")"),"Meta ġie skopert li n-numri ewlenin jistgħu jiġu applikati għall-ħolqien ta 'algoritmi ta' kriptografija ewlenija?")</f>
        <v>Meta ġie skopert li n-numri ewlenin jistgħu jiġu applikati għall-ħolqien ta 'algoritmi ta' kriptografija ewlenija?</v>
      </c>
    </row>
    <row r="6187" ht="15.75" customHeight="1">
      <c r="A6187" s="2" t="s">
        <v>6187</v>
      </c>
      <c r="B6187" s="2" t="str">
        <f>IFERROR(__xludf.DUMMYFUNCTION("GOOGLETRANSLATE(A6187, ""en"", ""mt"")"),"Il-kollezzjoni tal-iskultura fil-V &amp; A hija l-iktar azjenda komprensiva ta 'skultura Ewropea post-klassika fid-dinja. Hemm madwar 22,000 oġġett fil-kollezzjoni li jkopru l-perjodu minn madwar 400 AD sa l-1914. Dan ikopri fost perjodi oħra skulturi Biżanti"&amp;"ni u Anglo-Saxon Avorju, statwi u tinqix medjevali Ingliżi, Franċiżi u Spanjoli, ir-rinaxximent, barokk, neo-klassiku, Perjodi Vittorjani u Art Nouveau. L-użi kollha tal-iskultura huma rappreżentati, mill-qabar u t-tifkira, għal ritratt, allegoriċi, reliġ"&amp;"jużi, mitiċi, statwi għall-ġonna inklużi funtani, kif ukoll dekorazzjonijiet arkitettoniċi. Materjali użati jinkludu, irħam, alabastru, ġebla, terracotta, injam (storja ta 'tinqix tal-injam), avorju, gesso, ġibs, bronż, ċomb u ċeramika.")</f>
        <v>Il-kollezzjoni tal-iskultura fil-V &amp; A hija l-iktar azjenda komprensiva ta 'skultura Ewropea post-klassika fid-dinja. Hemm madwar 22,000 oġġett fil-kollezzjoni li jkopru l-perjodu minn madwar 400 AD sa l-1914. Dan ikopri fost perjodi oħra skulturi Biżantini u Anglo-Saxon Avorju, statwi u tinqix medjevali Ingliżi, Franċiżi u Spanjoli, ir-rinaxximent, barokk, neo-klassiku, Perjodi Vittorjani u Art Nouveau. L-użi kollha tal-iskultura huma rappreżentati, mill-qabar u t-tifkira, għal ritratt, allegoriċi, reliġjużi, mitiċi, statwi għall-ġonna inklużi funtani, kif ukoll dekorazzjonijiet arkitettoniċi. Materjali użati jinkludu, irħam, alabastru, ġebla, terracotta, injam (storja ta 'tinqix tal-injam), avorju, gesso, ġibs, bronż, ċomb u ċeramika.</v>
      </c>
    </row>
    <row r="6188" ht="15.75" customHeight="1">
      <c r="A6188" s="2" t="s">
        <v>6188</v>
      </c>
      <c r="B6188" s="2" t="str">
        <f>IFERROR(__xludf.DUMMYFUNCTION("GOOGLETRANSLATE(A6188, ""en"", ""mt"")"),"X'inhi l-akbar belt tal-Polonja?")</f>
        <v>X'inhi l-akbar belt tal-Polonja?</v>
      </c>
    </row>
    <row r="6189" ht="15.75" customHeight="1">
      <c r="A6189" s="2" t="s">
        <v>6189</v>
      </c>
      <c r="B6189" s="2" t="str">
        <f>IFERROR(__xludf.DUMMYFUNCTION("GOOGLETRANSLATE(A6189, ""en"", ""mt"")"),"Li żviluppa Datapac")</f>
        <v>Li żviluppa Datapac</v>
      </c>
    </row>
    <row r="6190" ht="15.75" customHeight="1">
      <c r="A6190" s="2" t="s">
        <v>6190</v>
      </c>
      <c r="B6190" s="2" t="str">
        <f>IFERROR(__xludf.DUMMYFUNCTION("GOOGLETRANSLATE(A6190, ""en"", ""mt"")"),"Blokk II reżistenti għan-nar")</f>
        <v>Blokk II reżistenti għan-nar</v>
      </c>
    </row>
    <row r="6191" ht="15.75" customHeight="1">
      <c r="A6191" s="2" t="s">
        <v>6191</v>
      </c>
      <c r="B6191" s="2" t="str">
        <f>IFERROR(__xludf.DUMMYFUNCTION("GOOGLETRANSLATE(A6191, ""en"", ""mt"")"),"Università Charles-Ferdinand")</f>
        <v>Università Charles-Ferdinand</v>
      </c>
    </row>
    <row r="6192" ht="15.75" customHeight="1">
      <c r="A6192" s="2" t="s">
        <v>6192</v>
      </c>
      <c r="B6192" s="2" t="str">
        <f>IFERROR(__xludf.DUMMYFUNCTION("GOOGLETRANSLATE(A6192, ""en"", ""mt"")"),"L-Università ta ’Chicago hija rregolata minn bord ta’ trustees. Il-Bord tal-Fiduċjarji jissorvelja l-iżvilupp u l-pjanijiet fit-tul tal-università u jimmaniġġja l-isforzi tal-ġbir ta 'fondi, u huwa magħmul minn 50 membru inkluż il-president tal-università"&amp;". Direttament taħt il-president hemm il-provost, erbatax-il viċi presidenti (inkluż l-uffiċjal finanzjarju kap, uffiċjal kap tal-investiment, u dekan tal-istudenti tal-università), id-diretturi tal-Laboratorju Nazzjonali Argonne u Fermilab, is-Segretarju "&amp;"tal-Università, u l-Istudenti Ombudsperson - Minn Awwissu 2009 [aġġornament], il-president tal-Bord tal-Fiduċjarji huwa Andrew Alper, u l-president tal-università huwa Robert Zimmer. F'Diċembru 2013 ġie mħabbar li d-direttur tal-Laboratorju Nazzjonali ta "&amp;"'Argonne, Eric Isaacs, se jsir provost. Isaacs ġie sostitwit bħala Provost f'Marzu 2016 minn Daniel Diermeier.")</f>
        <v>L-Università ta ’Chicago hija rregolata minn bord ta’ trustees. Il-Bord tal-Fiduċjarji jissorvelja l-iżvilupp u l-pjanijiet fit-tul tal-università u jimmaniġġja l-isforzi tal-ġbir ta 'fondi, u huwa magħmul minn 50 membru inkluż il-president tal-università. Direttament taħt il-president hemm il-provost, erbatax-il viċi presidenti (inkluż l-uffiċjal finanzjarju kap, uffiċjal kap tal-investiment, u dekan tal-istudenti tal-università), id-diretturi tal-Laboratorju Nazzjonali Argonne u Fermilab, is-Segretarju tal-Università, u l-Istudenti Ombudsperson - Minn Awwissu 2009 [aġġornament], il-president tal-Bord tal-Fiduċjarji huwa Andrew Alper, u l-president tal-università huwa Robert Zimmer. F'Diċembru 2013 ġie mħabbar li d-direttur tal-Laboratorju Nazzjonali ta 'Argonne, Eric Isaacs, se jsir provost. Isaacs ġie sostitwit bħala Provost f'Marzu 2016 minn Daniel Diermeier.</v>
      </c>
    </row>
    <row r="6193" ht="15.75" customHeight="1">
      <c r="A6193" s="2" t="s">
        <v>6193</v>
      </c>
      <c r="B6193" s="2" t="str">
        <f>IFERROR(__xludf.DUMMYFUNCTION("GOOGLETRANSLATE(A6193, ""en"", ""mt"")"),"Artiġjani u bdiewa")</f>
        <v>Artiġjani u bdiewa</v>
      </c>
    </row>
    <row r="6194" ht="15.75" customHeight="1">
      <c r="A6194" s="2" t="s">
        <v>6194</v>
      </c>
      <c r="B6194" s="2" t="str">
        <f>IFERROR(__xludf.DUMMYFUNCTION("GOOGLETRANSLATE(A6194, ""en"", ""mt"")"),"ħafna postijiet")</f>
        <v>ħafna postijiet</v>
      </c>
    </row>
    <row r="6195" ht="15.75" customHeight="1">
      <c r="A6195" s="2" t="s">
        <v>6195</v>
      </c>
      <c r="B6195" s="2" t="str">
        <f>IFERROR(__xludf.DUMMYFUNCTION("GOOGLETRANSLATE(A6195, ""en"", ""mt"")"),"sekwenza ta 'tipi ta' missjoni")</f>
        <v>sekwenza ta 'tipi ta' missjoni</v>
      </c>
    </row>
    <row r="6196" ht="15.75" customHeight="1">
      <c r="A6196" s="2" t="s">
        <v>6196</v>
      </c>
      <c r="B6196" s="2" t="str">
        <f>IFERROR(__xludf.DUMMYFUNCTION("GOOGLETRANSLATE(A6196, ""en"", ""mt"")"),"Bliet Kapitali / ABC, Inc.")</f>
        <v>Bliet Kapitali / ABC, Inc.</v>
      </c>
    </row>
    <row r="6197" ht="15.75" customHeight="1">
      <c r="A6197" s="2" t="s">
        <v>6197</v>
      </c>
      <c r="B6197" s="2" t="str">
        <f>IFERROR(__xludf.DUMMYFUNCTION("GOOGLETRANSLATE(A6197, ""en"", ""mt"")"),"Il-granari ġew ordnati mibnija madwar l-imperu")</f>
        <v>Il-granari ġew ordnati mibnija madwar l-imperu</v>
      </c>
    </row>
    <row r="6198" ht="15.75" customHeight="1">
      <c r="A6198" s="2" t="s">
        <v>6198</v>
      </c>
      <c r="B6198" s="2" t="str">
        <f>IFERROR(__xludf.DUMMYFUNCTION("GOOGLETRANSLATE(A6198, ""en"", ""mt"")"),"F'liema każijiet l-UE ma tistax twarrab il-liġi Ġermaniża?")</f>
        <v>F'liema każijiet l-UE ma tistax twarrab il-liġi Ġermaniża?</v>
      </c>
    </row>
    <row r="6199" ht="15.75" customHeight="1">
      <c r="A6199" s="2" t="s">
        <v>6199</v>
      </c>
      <c r="B6199" s="2" t="str">
        <f>IFERROR(__xludf.DUMMYFUNCTION("GOOGLETRANSLATE(A6199, ""en"", ""mt"")"),"Fl-aħħar tas-snin 1980")</f>
        <v>Fl-aħħar tas-snin 1980</v>
      </c>
    </row>
    <row r="6200" ht="15.75" customHeight="1">
      <c r="A6200" s="2" t="s">
        <v>6200</v>
      </c>
      <c r="B6200" s="2" t="str">
        <f>IFERROR(__xludf.DUMMYFUNCTION("GOOGLETRANSLATE(A6200, ""en"", ""mt"")"),"Kemm membrani għandu l-kloroplast ta 'Durinskia?")</f>
        <v>Kemm membrani għandu l-kloroplast ta 'Durinskia?</v>
      </c>
    </row>
    <row r="6201" ht="15.75" customHeight="1">
      <c r="A6201" s="2" t="s">
        <v>6201</v>
      </c>
      <c r="B6201" s="2" t="str">
        <f>IFERROR(__xludf.DUMMYFUNCTION("GOOGLETRANSLATE(A6201, ""en"", ""mt"")"),"$ 38,000")</f>
        <v>$ 38,000</v>
      </c>
    </row>
    <row r="6202" ht="15.75" customHeight="1">
      <c r="A6202" s="2" t="s">
        <v>6202</v>
      </c>
      <c r="B6202" s="2" t="str">
        <f>IFERROR(__xludf.DUMMYFUNCTION("GOOGLETRANSLATE(A6202, ""en"", ""mt"")"),"Il-kombustjoni hija kkawżata minn ossidant u fjuwil. X'irwol għandu l-ossiġnu fil-kombustjoni?")</f>
        <v>Il-kombustjoni hija kkawżata minn ossidant u fjuwil. X'irwol għandu l-ossiġnu fil-kombustjoni?</v>
      </c>
    </row>
    <row r="6203" ht="15.75" customHeight="1">
      <c r="A6203" s="2" t="s">
        <v>6203</v>
      </c>
      <c r="B6203" s="2" t="str">
        <f>IFERROR(__xludf.DUMMYFUNCTION("GOOGLETRANSLATE(A6203, ""en"", ""mt"")"),"X'inhi l-iktar interazzjoni ewlenija b'saħħitha?")</f>
        <v>X'inhi l-iktar interazzjoni ewlenija b'saħħitha?</v>
      </c>
    </row>
    <row r="6204" ht="15.75" customHeight="1">
      <c r="A6204" s="2" t="s">
        <v>6204</v>
      </c>
      <c r="B6204" s="2" t="str">
        <f>IFERROR(__xludf.DUMMYFUNCTION("GOOGLETRANSLATE(A6204, ""en"", ""mt"")"),"Bl-4: 51 fadal fir-regolament, Carolina kisbu l-ballun fuq il-linja ta '24 -yard tagħhom stess b'ċans li jintramaw sewqan rebbieħa tal-logħba, u malajr ffaċċjaw it-3 u d-9. Fid-dramm li jmiss, Miller imxekkel il-ballun 'il bogħod minn Newton, u wara li di"&amp;"versi plejers ħamiema għaliha, ħadu rebħa twila lura u ġie rkuprat minn Ward, li rritornah ħames tarzni lejn il-linja ta' 4-tarzna Panthers. Għalkemm diversi plejers jidħlu fil-munzell biex jippruvaw jirkuprawha, Newton ma kienx u n-nuqqas ta 'aggressjoni"&amp;" tiegħu aktar tard qalgħu kritika qawwija. Sadanittant, ir-reat ta 'Denver inżamm barra miż-żona finali għal tliet logħbiet, iżda penalty fuq il-kantuniera Josh Norman ta lill-Broncos sett ġdid ta' downs. Imbagħad Anderson skorja fuq ġirja ta '2-tarzna u "&amp;"Manning temm pass lil Bennie Fowler għal konverżjoni ta' 2 punti, u ta lil Denver vantaġġ ta '24 -10 bi 3:08 xellug u essenzjalment poġġa l-logħba 'l bogħod. Carolina kellha żewġ drives oħra, iżda naqset milli tikseb l-ewwel 'l isfel fuq kull wieħed.")</f>
        <v>Bl-4: 51 fadal fir-regolament, Carolina kisbu l-ballun fuq il-linja ta '24 -yard tagħhom stess b'ċans li jintramaw sewqan rebbieħa tal-logħba, u malajr ffaċċjaw it-3 u d-9. Fid-dramm li jmiss, Miller imxekkel il-ballun 'il bogħod minn Newton, u wara li diversi plejers ħamiema għaliha, ħadu rebħa twila lura u ġie rkuprat minn Ward, li rritornah ħames tarzni lejn il-linja ta' 4-tarzna Panthers. Għalkemm diversi plejers jidħlu fil-munzell biex jippruvaw jirkuprawha, Newton ma kienx u n-nuqqas ta 'aggressjoni tiegħu aktar tard qalgħu kritika qawwija. Sadanittant, ir-reat ta 'Denver inżamm barra miż-żona finali għal tliet logħbiet, iżda penalty fuq il-kantuniera Josh Norman ta lill-Broncos sett ġdid ta' downs. Imbagħad Anderson skorja fuq ġirja ta '2-tarzna u Manning temm pass lil Bennie Fowler għal konverżjoni ta' 2 punti, u ta lil Denver vantaġġ ta '24 -10 bi 3:08 xellug u essenzjalment poġġa l-logħba 'l bogħod. Carolina kellha żewġ drives oħra, iżda naqset milli tikseb l-ewwel 'l isfel fuq kull wieħed.</v>
      </c>
    </row>
    <row r="6205" ht="15.75" customHeight="1">
      <c r="A6205" s="2" t="s">
        <v>6205</v>
      </c>
      <c r="B6205" s="2" t="str">
        <f>IFERROR(__xludf.DUMMYFUNCTION("GOOGLETRANSLATE(A6205, ""en"", ""mt"")"),"X'għandhom jgħaddu n-nies għal popolazzjonijiet indiġeni?")</f>
        <v>X'għandhom jgħaddu n-nies għal popolazzjonijiet indiġeni?</v>
      </c>
    </row>
    <row r="6206" ht="15.75" customHeight="1">
      <c r="A6206" s="2" t="s">
        <v>6206</v>
      </c>
      <c r="B6206" s="2" t="str">
        <f>IFERROR(__xludf.DUMMYFUNCTION("GOOGLETRANSLATE(A6206, ""en"", ""mt"")"),"Istitut Franklin")</f>
        <v>Istitut Franklin</v>
      </c>
    </row>
    <row r="6207" ht="15.75" customHeight="1">
      <c r="A6207" s="2" t="s">
        <v>6207</v>
      </c>
      <c r="B6207" s="2" t="str">
        <f>IFERROR(__xludf.DUMMYFUNCTION("GOOGLETRANSLATE(A6207, ""en"", ""mt"")"),"Ippreserva t-tolleranza tas-soċjetà għad-diżubbidjenza ċivili")</f>
        <v>Ippreserva t-tolleranza tas-soċjetà għad-diżubbidjenza ċivili</v>
      </c>
    </row>
    <row r="6208" ht="15.75" customHeight="1">
      <c r="A6208" s="2" t="s">
        <v>6208</v>
      </c>
      <c r="B6208" s="2" t="str">
        <f>IFERROR(__xludf.DUMMYFUNCTION("GOOGLETRANSLATE(A6208, ""en"", ""mt"")"),"Liema skultura minn Rodin ma ġietx mogħtija mill-artist?")</f>
        <v>Liema skultura minn Rodin ma ġietx mogħtija mill-artist?</v>
      </c>
    </row>
    <row r="6209" ht="15.75" customHeight="1">
      <c r="A6209" s="2" t="s">
        <v>6209</v>
      </c>
      <c r="B6209" s="2" t="str">
        <f>IFERROR(__xludf.DUMMYFUNCTION("GOOGLETRANSLATE(A6209, ""en"", ""mt"")"),"Il-viċinat popolari magħruf bħala d-Distrett tat-Torri huwa ċċentrat madwar it-Teatru Storiku tat-Torri, li huwa inkluż fil-lista nazzjonali tal-postijiet storiċi. It-teatru nbena fl-1939 u jinsab fi Olive and Wishon Avenues fil-qalba tad-Distrett tat-Tor"&amp;"ri. (L-isem tat-teatru jirreferi għal torri tal-ilma tal-monument magħruf, li fil-fatt jinsab f'żona oħra fil-viċin). Il-viċinat tad-Distrett tat-Torri jinsab eżatt fit-tramuntana tad-downtown Fresno kif suppost, u nofs mil fin-nofsinhar tal-Kulleġġ tal-B"&amp;"elt ta 'Fresno. Għalkemm il-viċinat kien magħruf bħala żona residenzjali minn qabel, l-istabbilimenti kummerċjali bikrija tad-distrett tat-Torri bdew bi ħwienet u servizzi żgħar li ħarġu fiż-żona ftit wara t-Tieni Gwerra Dinjija. Il-karattru ta 'negozji l"&amp;"okali żgħar fil-biċċa l-kbira jibqa' llum. Sa ċertu punt, in-negozji tad-Distrett tat-Torri ġew żviluppati minħabba l-viċinanza tal-Iskola Normali Fresno oriġinali (aktar tard imsejħa California State University fi Fresno). Fl-1916 il-kulleġġ mar joqgħod "&amp;"għal dak li issa huwa s-sit ta 'Fresno City College nofs mil fit-tramuntana tad-distrett tat-torri.")</f>
        <v>Il-viċinat popolari magħruf bħala d-Distrett tat-Torri huwa ċċentrat madwar it-Teatru Storiku tat-Torri, li huwa inkluż fil-lista nazzjonali tal-postijiet storiċi. It-teatru nbena fl-1939 u jinsab fi Olive and Wishon Avenues fil-qalba tad-Distrett tat-Torri. (L-isem tat-teatru jirreferi għal torri tal-ilma tal-monument magħruf, li fil-fatt jinsab f'żona oħra fil-viċin). Il-viċinat tad-Distrett tat-Torri jinsab eżatt fit-tramuntana tad-downtown Fresno kif suppost, u nofs mil fin-nofsinhar tal-Kulleġġ tal-Belt ta 'Fresno. Għalkemm il-viċinat kien magħruf bħala żona residenzjali minn qabel, l-istabbilimenti kummerċjali bikrija tad-distrett tat-Torri bdew bi ħwienet u servizzi żgħar li ħarġu fiż-żona ftit wara t-Tieni Gwerra Dinjija. Il-karattru ta 'negozji lokali żgħar fil-biċċa l-kbira jibqa' llum. Sa ċertu punt, in-negozji tad-Distrett tat-Torri ġew żviluppati minħabba l-viċinanza tal-Iskola Normali Fresno oriġinali (aktar tard imsejħa California State University fi Fresno). Fl-1916 il-kulleġġ mar joqgħod għal dak li issa huwa s-sit ta 'Fresno City College nofs mil fit-tramuntana tad-distrett tat-torri.</v>
      </c>
    </row>
    <row r="6210" ht="15.75" customHeight="1">
      <c r="A6210" s="2" t="s">
        <v>6210</v>
      </c>
      <c r="B6210" s="2" t="str">
        <f>IFERROR(__xludf.DUMMYFUNCTION("GOOGLETRANSLATE(A6210, ""en"", ""mt"")"),"Elettur kbir Frederick William")</f>
        <v>Elettur kbir Frederick William</v>
      </c>
    </row>
    <row r="6211" ht="15.75" customHeight="1">
      <c r="A6211" s="2" t="s">
        <v>6211</v>
      </c>
      <c r="B6211" s="2" t="str">
        <f>IFERROR(__xludf.DUMMYFUNCTION("GOOGLETRANSLATE(A6211, ""en"", ""mt"")"),"imqassam")</f>
        <v>imqassam</v>
      </c>
    </row>
    <row r="6212" ht="15.75" customHeight="1">
      <c r="A6212" s="2" t="s">
        <v>6212</v>
      </c>
      <c r="B6212" s="2" t="str">
        <f>IFERROR(__xludf.DUMMYFUNCTION("GOOGLETRANSLATE(A6212, ""en"", ""mt"")"),"Dritt Divin tas-Slaten")</f>
        <v>Dritt Divin tas-Slaten</v>
      </c>
    </row>
    <row r="6213" ht="15.75" customHeight="1">
      <c r="A6213" s="2" t="s">
        <v>6213</v>
      </c>
      <c r="B6213" s="2" t="str">
        <f>IFERROR(__xludf.DUMMYFUNCTION("GOOGLETRANSLATE(A6213, ""en"", ""mt"")"),"bl-erożjoni")</f>
        <v>bl-erożjoni</v>
      </c>
    </row>
    <row r="6214" ht="15.75" customHeight="1">
      <c r="A6214" s="2" t="s">
        <v>6214</v>
      </c>
      <c r="B6214" s="2" t="str">
        <f>IFERROR(__xludf.DUMMYFUNCTION("GOOGLETRANSLATE(A6214, ""en"", ""mt"")"),"inqas minn 10")</f>
        <v>inqas minn 10</v>
      </c>
    </row>
    <row r="6215" ht="15.75" customHeight="1">
      <c r="A6215" s="2" t="s">
        <v>6215</v>
      </c>
      <c r="B6215" s="2" t="str">
        <f>IFERROR(__xludf.DUMMYFUNCTION("GOOGLETRANSLATE(A6215, ""en"", ""mt"")"),"In-netwerk kien imsaħħaħ")</f>
        <v>In-netwerk kien imsaħħaħ</v>
      </c>
    </row>
    <row r="6216" ht="15.75" customHeight="1">
      <c r="A6216" s="2" t="s">
        <v>6216</v>
      </c>
      <c r="B6216" s="2" t="str">
        <f>IFERROR(__xludf.DUMMYFUNCTION("GOOGLETRANSLATE(A6216, ""en"", ""mt"")"),"Rev Paul T. Stallsworth")</f>
        <v>Rev Paul T. Stallsworth</v>
      </c>
    </row>
    <row r="6217" ht="15.75" customHeight="1">
      <c r="A6217" s="2" t="s">
        <v>6217</v>
      </c>
      <c r="B6217" s="2" t="str">
        <f>IFERROR(__xludf.DUMMYFUNCTION("GOOGLETRANSLATE(A6217, ""en"", ""mt"")"),"mhux self")</f>
        <v>mhux self</v>
      </c>
    </row>
    <row r="6218" ht="15.75" customHeight="1">
      <c r="A6218" s="2" t="s">
        <v>6218</v>
      </c>
      <c r="B6218" s="2" t="str">
        <f>IFERROR(__xludf.DUMMYFUNCTION("GOOGLETRANSLATE(A6218, ""en"", ""mt"")"),"yin-yang u filosofija wuxing")</f>
        <v>yin-yang u filosofija wuxing</v>
      </c>
    </row>
    <row r="6219" ht="15.75" customHeight="1">
      <c r="A6219" s="2" t="s">
        <v>6219</v>
      </c>
      <c r="B6219" s="2" t="str">
        <f>IFERROR(__xludf.DUMMYFUNCTION("GOOGLETRANSLATE(A6219, ""en"", ""mt"")"),"firien u briegħed")</f>
        <v>firien u briegħed</v>
      </c>
    </row>
    <row r="6220" ht="15.75" customHeight="1">
      <c r="A6220" s="2" t="s">
        <v>6220</v>
      </c>
      <c r="B6220" s="2" t="str">
        <f>IFERROR(__xludf.DUMMYFUNCTION("GOOGLETRANSLATE(A6220, ""en"", ""mt"")"),"Żewġ differenzi fundamentali kienu jinvolvu d-diviżjoni tal-funzjonijiet u l-kompiti bejn l-ospiti fit-tarf tan-netwerk u l-qalba tan-netwerk")</f>
        <v>Żewġ differenzi fundamentali kienu jinvolvu d-diviżjoni tal-funzjonijiet u l-kompiti bejn l-ospiti fit-tarf tan-netwerk u l-qalba tan-netwerk</v>
      </c>
    </row>
    <row r="6221" ht="15.75" customHeight="1">
      <c r="A6221" s="2" t="s">
        <v>6221</v>
      </c>
      <c r="B6221" s="2" t="str">
        <f>IFERROR(__xludf.DUMMYFUNCTION("GOOGLETRANSLATE(A6221, ""en"", ""mt"")"),"Xi tissuġġerixxi l-kelma prim ġeneralment?")</f>
        <v>Xi tissuġġerixxi l-kelma prim ġeneralment?</v>
      </c>
    </row>
    <row r="6222" ht="15.75" customHeight="1">
      <c r="A6222" s="2" t="s">
        <v>6222</v>
      </c>
      <c r="B6222" s="2" t="str">
        <f>IFERROR(__xludf.DUMMYFUNCTION("GOOGLETRANSLATE(A6222, ""en"", ""mt"")"),"Il-belt hija s-sede ta 'Arċidjoċesi Kattolika Rumana (xellug tax-xellug tal-Vistula) u djoċesi (bank tal-lemin), u għandha diversi universitajiet, l-aktar l-aktar l-Akkademja tax-Xjenzi Pollakki u l-Università ta' Varsavja, żewġ djar tal-opra, teatri, muż"&amp;"ewijiet, libreriji u monumenti. Iċ-ċentru storiku tal-belt ta ’Varsavja bil-belt il-qadima pittoreska tagħha fl-1980 kien elenkat bħala sit tal-Wirt Dinji tal-UNESCO. Attrazzjonijiet arkitettoniċi ewlenin oħra jinkludu l-Pjazza tal-Kastell mal-Kastell Irj"&amp;"ali u l-kolonna emblematika tar-Re Sigismund, il-Katidral ta ’San Ġwann, il-Pjazza tas-Suq, il-Palazzi, il-Knejjes u l-Mansions kollha li juru rikkezza ta’ kulur u dettall arkitettoniku. Il-bini jirrappreżenta eżempji ta 'kważi kull stil arkitettoniku Ewr"&amp;"opew u perjodu storiku. Varsavja tipprovdi bosta eżempji ta ’arkitettura mill-perjodi Gotiċi, Rinaxximent, Barokk u Neoklasiku, u madwar kwart tal-belt hija mimlija parks lussużi u ġonna rjali.")</f>
        <v>Il-belt hija s-sede ta 'Arċidjoċesi Kattolika Rumana (xellug tax-xellug tal-Vistula) u djoċesi (bank tal-lemin), u għandha diversi universitajiet, l-aktar l-aktar l-Akkademja tax-Xjenzi Pollakki u l-Università ta' Varsavja, żewġ djar tal-opra, teatri, mużewijiet, libreriji u monumenti. Iċ-ċentru storiku tal-belt ta ’Varsavja bil-belt il-qadima pittoreska tagħha fl-1980 kien elenkat bħala sit tal-Wirt Dinji tal-UNESCO. Attrazzjonijiet arkitettoniċi ewlenin oħra jinkludu l-Pjazza tal-Kastell mal-Kastell Irjali u l-kolonna emblematika tar-Re Sigismund, il-Katidral ta ’San Ġwann, il-Pjazza tas-Suq, il-Palazzi, il-Knejjes u l-Mansions kollha li juru rikkezza ta’ kulur u dettall arkitettoniku. Il-bini jirrappreżenta eżempji ta 'kważi kull stil arkitettoniku Ewropew u perjodu storiku. Varsavja tipprovdi bosta eżempji ta ’arkitettura mill-perjodi Gotiċi, Rinaxximent, Barokk u Neoklasiku, u madwar kwart tal-belt hija mimlija parks lussużi u ġonna rjali.</v>
      </c>
    </row>
    <row r="6223" ht="15.75" customHeight="1">
      <c r="A6223" s="2" t="s">
        <v>6223</v>
      </c>
      <c r="B6223" s="2" t="str">
        <f>IFERROR(__xludf.DUMMYFUNCTION("GOOGLETRANSLATE(A6223, ""en"", ""mt"")"),"L-ewwel apparat kummerċjali li jaħdem bil-fwar kien pompa tal-ilma, żviluppata fl-1698 minn Thomas Savery. Huwa uża l-fwar tal-kondensazzjoni biex joħloq vakwu li ntuża biex jgħolli l-ilma minn taħt, imbagħad uża l-pressjoni tal-fwar biex tgħolliha ogħla."&amp;" Magni żgħar kienu effettivi għalkemm mudelli akbar kienu problematiċi. Huma wrew biss li kellhom għoli limitat tal-lift u kienu suxxettibbli għal splużjonijiet tal-bojler. Irċieva xi użu fil-minjieri, stazzjonijiet tal-ippumpjar u għall-forniment tar-rot"&amp;"i tal-ilma użati biex jitħaddmu makkinarju tat-tessuti. Karatteristika attraenti tal-magna tas-salvataġġ kienet l-ispiża baxxa tagħha. Il-Portugal ta 'Bento de Moura introduċa titjib inġenjuż tal-kostruzzjoni ta' SAVERY ""biex tirrendiha kapaċi taħdem inn"&amp;"ifsu"", kif deskritt minn John Smeaton fit-tranżazzjonijiet filosofiċi ppubblikati fl-1751. Kompla jiġi manifatturat sal-aħħar tas-seklu 18. Magna waħda kienet għadha magħrufa li qed topera fl-1820.")</f>
        <v>L-ewwel apparat kummerċjali li jaħdem bil-fwar kien pompa tal-ilma, żviluppata fl-1698 minn Thomas Savery. Huwa uża l-fwar tal-kondensazzjoni biex joħloq vakwu li ntuża biex jgħolli l-ilma minn taħt, imbagħad uża l-pressjoni tal-fwar biex tgħolliha ogħla. Magni żgħar kienu effettivi għalkemm mudelli akbar kienu problematiċi. Huma wrew biss li kellhom għoli limitat tal-lift u kienu suxxettibbli għal splużjonijiet tal-bojler. Irċieva xi użu fil-minjieri, stazzjonijiet tal-ippumpjar u għall-forniment tar-roti tal-ilma użati biex jitħaddmu makkinarju tat-tessuti. Karatteristika attraenti tal-magna tas-salvataġġ kienet l-ispiża baxxa tagħha. Il-Portugal ta 'Bento de Moura introduċa titjib inġenjuż tal-kostruzzjoni ta' SAVERY "biex tirrendiha kapaċi taħdem innifsu", kif deskritt minn John Smeaton fit-tranżazzjonijiet filosofiċi ppubblikati fl-1751. Kompla jiġi manifatturat sal-aħħar tas-seklu 18. Magna waħda kienet għadha magħrufa li qed topera fl-1820.</v>
      </c>
    </row>
    <row r="6224" ht="15.75" customHeight="1">
      <c r="A6224" s="2" t="s">
        <v>6224</v>
      </c>
      <c r="B6224" s="2" t="str">
        <f>IFERROR(__xludf.DUMMYFUNCTION("GOOGLETRANSLATE(A6224, ""en"", ""mt"")"),"Ma 'min ikkollabora l-Istati Uniti fuq missjoni ta' orbita tad-dinja fl-1975?")</f>
        <v>Ma 'min ikkollabora l-Istati Uniti fuq missjoni ta' orbita tad-dinja fl-1975?</v>
      </c>
    </row>
    <row r="6225" ht="15.75" customHeight="1">
      <c r="A6225" s="2" t="s">
        <v>6225</v>
      </c>
      <c r="B6225" s="2" t="str">
        <f>IFERROR(__xludf.DUMMYFUNCTION("GOOGLETRANSLATE(A6225, ""en"", ""mt"")"),"biex iżommu l-leġittimità tagħhom")</f>
        <v>biex iżommu l-leġittimità tagħhom</v>
      </c>
    </row>
    <row r="6226" ht="15.75" customHeight="1">
      <c r="A6226" s="2" t="s">
        <v>6226</v>
      </c>
      <c r="B6226" s="2" t="str">
        <f>IFERROR(__xludf.DUMMYFUNCTION("GOOGLETRANSLATE(A6226, ""en"", ""mt"")"),"Speċifiċità naturali tas-sistema immunitarja")</f>
        <v>Speċifiċità naturali tas-sistema immunitarja</v>
      </c>
    </row>
    <row r="6227" ht="15.75" customHeight="1">
      <c r="A6227" s="2" t="s">
        <v>6227</v>
      </c>
      <c r="B6227" s="2" t="str">
        <f>IFERROR(__xludf.DUMMYFUNCTION("GOOGLETRANSLATE(A6227, ""en"", ""mt"")"),"it-trattament")</f>
        <v>it-trattament</v>
      </c>
    </row>
    <row r="6228" ht="15.75" customHeight="1">
      <c r="A6228" s="2" t="s">
        <v>6228</v>
      </c>
      <c r="B6228" s="2" t="str">
        <f>IFERROR(__xludf.DUMMYFUNCTION("GOOGLETRANSLATE(A6228, ""en"", ""mt"")"),"taħt l-art")</f>
        <v>taħt l-art</v>
      </c>
    </row>
    <row r="6229" ht="15.75" customHeight="1">
      <c r="A6229" s="2" t="s">
        <v>6229</v>
      </c>
      <c r="B6229" s="2" t="str">
        <f>IFERROR(__xludf.DUMMYFUNCTION("GOOGLETRANSLATE(A6229, ""en"", ""mt"")"),"In-nies x’votaw is-serje Doctor Who bħal fil-vot onlajn tal-2011?")</f>
        <v>In-nies x’votaw is-serje Doctor Who bħal fil-vot onlajn tal-2011?</v>
      </c>
    </row>
    <row r="6230" ht="15.75" customHeight="1">
      <c r="A6230" s="2" t="s">
        <v>6230</v>
      </c>
      <c r="B6230" s="2" t="str">
        <f>IFERROR(__xludf.DUMMYFUNCTION("GOOGLETRANSLATE(A6230, ""en"", ""mt"")"),"Kunsill tal-Belt")</f>
        <v>Kunsill tal-Belt</v>
      </c>
    </row>
    <row r="6231" ht="15.75" customHeight="1">
      <c r="A6231" s="2" t="s">
        <v>6231</v>
      </c>
      <c r="B6231" s="2" t="str">
        <f>IFERROR(__xludf.DUMMYFUNCTION("GOOGLETRANSLATE(A6231, ""en"", ""mt"")"),"injorat it-twissija")</f>
        <v>injorat it-twissija</v>
      </c>
    </row>
    <row r="6232" ht="15.75" customHeight="1">
      <c r="A6232" s="2" t="s">
        <v>6232</v>
      </c>
      <c r="B6232" s="2" t="str">
        <f>IFERROR(__xludf.DUMMYFUNCTION("GOOGLETRANSLATE(A6232, ""en"", ""mt"")"),"Mill-inqas is-seklu 14")</f>
        <v>Mill-inqas is-seklu 14</v>
      </c>
    </row>
    <row r="6233" ht="15.75" customHeight="1">
      <c r="A6233" s="2" t="s">
        <v>6233</v>
      </c>
      <c r="B6233" s="2" t="str">
        <f>IFERROR(__xludf.DUMMYFUNCTION("GOOGLETRANSLATE(A6233, ""en"", ""mt"")"),"Ibbażat fuq l-osservazzjoni tiegħu ta 'qxur ta' annimali fossili fi stratum ġeoloġiku f'muntanja mijiet ta 'mili mill-oċean")</f>
        <v>Ibbażat fuq l-osservazzjoni tiegħu ta 'qxur ta' annimali fossili fi stratum ġeoloġiku f'muntanja mijiet ta 'mili mill-oċean</v>
      </c>
    </row>
    <row r="6234" ht="15.75" customHeight="1">
      <c r="A6234" s="2" t="s">
        <v>6234</v>
      </c>
      <c r="B6234" s="2" t="str">
        <f>IFERROR(__xludf.DUMMYFUNCTION("GOOGLETRANSLATE(A6234, ""en"", ""mt"")"),"Li tillimita")</f>
        <v>Li tillimita</v>
      </c>
    </row>
    <row r="6235" ht="15.75" customHeight="1">
      <c r="A6235" s="2" t="s">
        <v>6235</v>
      </c>
      <c r="B6235" s="2" t="str">
        <f>IFERROR(__xludf.DUMMYFUNCTION("GOOGLETRANSLATE(A6235, ""en"", ""mt"")"),"Gwerra tal-Gwerillieri")</f>
        <v>Gwerra tal-Gwerillieri</v>
      </c>
    </row>
    <row r="6236" ht="15.75" customHeight="1">
      <c r="A6236" s="2" t="s">
        <v>6236</v>
      </c>
      <c r="B6236" s="2" t="str">
        <f>IFERROR(__xludf.DUMMYFUNCTION("GOOGLETRANSLATE(A6236, ""en"", ""mt"")"),"Kemm ilu Cyanobacteria daħal f'ċellula?")</f>
        <v>Kemm ilu Cyanobacteria daħal f'ċellula?</v>
      </c>
    </row>
    <row r="6237" ht="15.75" customHeight="1">
      <c r="A6237" s="2" t="s">
        <v>6237</v>
      </c>
      <c r="B6237" s="2" t="str">
        <f>IFERROR(__xludf.DUMMYFUNCTION("GOOGLETRANSLATE(A6237, ""en"", ""mt"")"),"1980s")</f>
        <v>1980s</v>
      </c>
    </row>
    <row r="6238" ht="15.75" customHeight="1">
      <c r="A6238" s="2" t="s">
        <v>6238</v>
      </c>
      <c r="B6238" s="2" t="str">
        <f>IFERROR(__xludf.DUMMYFUNCTION("GOOGLETRANSLATE(A6238, ""en"", ""mt"")"),"It-triq tal-vjolenza u l-ġlieda militari mbagħad ġiet meħuda mill-organizzazzjoni tal-jihad Iżlamiku Eġizzjan responsabbli għall-qtil ta 'Anwar Sadat fl-1981. B'differenza mill-movimenti anti-kolonjali preċedenti, il-grupp estremist indirizza l-attakki ti"&amp;"egħu kontra dak li kien jemmen li kienu mexxejja ""apostati"" tal-Musulmani Stati, mexxejja li kellhom tluq sekulari jew li kienu introduċew jew ippromwovu ideat u prattiki tal-Punent / barranin fis-soċjetajiet Iżlamiċi. Il-fehmiet tagħha ġew deskritti fi"&amp;"l-fuljett miktub minn Muhammad Abd al-Salaam Farag, li fih jiddikjara:")</f>
        <v>It-triq tal-vjolenza u l-ġlieda militari mbagħad ġiet meħuda mill-organizzazzjoni tal-jihad Iżlamiku Eġizzjan responsabbli għall-qtil ta 'Anwar Sadat fl-1981. B'differenza mill-movimenti anti-kolonjali preċedenti, il-grupp estremist indirizza l-attakki tiegħu kontra dak li kien jemmen li kienu mexxejja "apostati" tal-Musulmani Stati, mexxejja li kellhom tluq sekulari jew li kienu introduċew jew ippromwovu ideat u prattiki tal-Punent / barranin fis-soċjetajiet Iżlamiċi. Il-fehmiet tagħha ġew deskritti fil-fuljett miktub minn Muhammad Abd al-Salaam Farag, li fih jiddikjara:</v>
      </c>
    </row>
    <row r="6239" ht="15.75" customHeight="1">
      <c r="A6239" s="2" t="s">
        <v>6239</v>
      </c>
      <c r="B6239" s="2" t="str">
        <f>IFERROR(__xludf.DUMMYFUNCTION("GOOGLETRANSLATE(A6239, ""en"", ""mt"")"),"Fil-bidu tas-seklu 13, id-dinastija Khwarazmian kienet regolata minn Shah Ala Ad-Din Muhammad. Genghis Khan ra l-vantaġġ potenzjali f'Khwarezmia bħala sieħeb kummerċjali kummerċjali bl-użu tat-Triq tal-Ħarir, u inizjalment bagħat karavana ta '500 raġel bi"&amp;"ex jistabbilixxi rabtiet kummerċjali uffiċjali mal-imperu. Madankollu, Inalchuq, il-gvernatur tal-belt ta 'Otrar Khwarezmian, attakka l-karavana li kienet ġejja mill-Mongolja, fejn sostniet li l-karavana kien fiha spiji u għalhekk kienet konspirazzjoni ko"&amp;"ntra Khwarezmia. Is-sitwazzjoni saret aktar ikkumplikata minħabba li l-gvernatur aktar tard irrifjuta li jagħmel ħlasijiet lura għall-sakkeġġi tal-karavans u l-għoti ta 'dawk li jwettqu. Genghis Khan imbagħad bagħat mill-ġdid it-tieni grupp ta 'tliet amba"&amp;"xxaturi (żewġ Mongoli u Musulmani) biex jiltaqgħu max-Shah innifsu minflok il-Gvernatur Inalchuq. Ix-Shah kellu l-irġiel kollha mqaxxra u l-Musulmani ktiehem u bagħat rasu lura maż-żewġ ambaxxaturi li fadal. Dan kien meqjus bħala affront u insult lil Geng"&amp;"his Khan. Għaddej, Genghis Khan ippjana waħda mill-ikbar kampanji ta 'invażjoni tiegħu billi organizza flimkien madwar 100,000 suldat (10 tumens), l-iktar ġeneral tiegħu kapaċi u wħud minn wliedu. Huwa ħalla kmandant u numru ta 'truppi fiċ-Ċina, innominaw"&amp;" is-suċċessuri tiegħu biex ikunu l-membri tal-familja tiegħu u x'aktarx ħatru lil Ögedei biex ikun is-suċċessur immedjat tiegħu u mbagħad ħareġ għand Khwarezmia.")</f>
        <v>Fil-bidu tas-seklu 13, id-dinastija Khwarazmian kienet regolata minn Shah Ala Ad-Din Muhammad. Genghis Khan ra l-vantaġġ potenzjali f'Khwarezmia bħala sieħeb kummerċjali kummerċjali bl-użu tat-Triq tal-Ħarir, u inizjalment bagħat karavana ta '500 raġel biex jistabbilixxi rabtiet kummerċjali uffiċjali mal-imperu. Madankollu, Inalchuq, il-gvernatur tal-belt ta 'Otrar Khwarezmian, attakka l-karavana li kienet ġejja mill-Mongolja, fejn sostniet li l-karavana kien fiha spiji u għalhekk kienet konspirazzjoni kontra Khwarezmia. Is-sitwazzjoni saret aktar ikkumplikata minħabba li l-gvernatur aktar tard irrifjuta li jagħmel ħlasijiet lura għall-sakkeġġi tal-karavans u l-għoti ta 'dawk li jwettqu. Genghis Khan imbagħad bagħat mill-ġdid it-tieni grupp ta 'tliet ambaxxaturi (żewġ Mongoli u Musulmani) biex jiltaqgħu max-Shah innifsu minflok il-Gvernatur Inalchuq. Ix-Shah kellu l-irġiel kollha mqaxxra u l-Musulmani ktiehem u bagħat rasu lura maż-żewġ ambaxxaturi li fadal. Dan kien meqjus bħala affront u insult lil Genghis Khan. Għaddej, Genghis Khan ippjana waħda mill-ikbar kampanji ta 'invażjoni tiegħu billi organizza flimkien madwar 100,000 suldat (10 tumens), l-iktar ġeneral tiegħu kapaċi u wħud minn wliedu. Huwa ħalla kmandant u numru ta 'truppi fiċ-Ċina, innominaw is-suċċessuri tiegħu biex ikunu l-membri tal-familja tiegħu u x'aktarx ħatru lil Ögedei biex ikun is-suċċessur immedjat tiegħu u mbagħad ħareġ għand Khwarezmia.</v>
      </c>
    </row>
    <row r="6240" ht="15.75" customHeight="1">
      <c r="A6240" s="2" t="s">
        <v>6240</v>
      </c>
      <c r="B6240" s="2" t="str">
        <f>IFERROR(__xludf.DUMMYFUNCTION("GOOGLETRANSLATE(A6240, ""en"", ""mt"")"),"Il-Kumpanija E. W. Scripps")</f>
        <v>Il-Kumpanija E. W. Scripps</v>
      </c>
    </row>
    <row r="6241" ht="15.75" customHeight="1">
      <c r="A6241" s="2" t="s">
        <v>6241</v>
      </c>
      <c r="B6241" s="2" t="str">
        <f>IFERROR(__xludf.DUMMYFUNCTION("GOOGLETRANSLATE(A6241, ""en"", ""mt"")"),"Min waqqaf l-uffiċċju tal-mediċina tal-Punent?")</f>
        <v>Min waqqaf l-uffiċċju tal-mediċina tal-Punent?</v>
      </c>
    </row>
    <row r="6242" ht="15.75" customHeight="1">
      <c r="A6242" s="2" t="s">
        <v>6242</v>
      </c>
      <c r="B6242" s="2" t="str">
        <f>IFERROR(__xludf.DUMMYFUNCTION("GOOGLETRANSLATE(A6242, ""en"", ""mt"")"),"Ftit millimetri għal 1.5 m (4 ft 11 in) fid-daqs")</f>
        <v>Ftit millimetri għal 1.5 m (4 ft 11 in) fid-daqs</v>
      </c>
    </row>
    <row r="6243" ht="15.75" customHeight="1">
      <c r="A6243" s="2" t="s">
        <v>6243</v>
      </c>
      <c r="B6243" s="2" t="str">
        <f>IFERROR(__xludf.DUMMYFUNCTION("GOOGLETRANSLATE(A6243, ""en"", ""mt"")"),"kumpanji")</f>
        <v>kumpanji</v>
      </c>
    </row>
    <row r="6244" ht="15.75" customHeight="1">
      <c r="A6244" s="2" t="s">
        <v>6244</v>
      </c>
      <c r="B6244" s="2" t="str">
        <f>IFERROR(__xludf.DUMMYFUNCTION("GOOGLETRANSLATE(A6244, ""en"", ""mt"")"),"Chagatai u Jochi)")</f>
        <v>Chagatai u Jochi)</v>
      </c>
    </row>
    <row r="6245" ht="15.75" customHeight="1">
      <c r="A6245" s="2" t="s">
        <v>6245</v>
      </c>
      <c r="B6245" s="2" t="str">
        <f>IFERROR(__xludf.DUMMYFUNCTION("GOOGLETRANSLATE(A6245, ""en"", ""mt"")"),"Migrazzjoni interna u urbanizzazzjoni.")</f>
        <v>Migrazzjoni interna u urbanizzazzjoni.</v>
      </c>
    </row>
    <row r="6246" ht="15.75" customHeight="1">
      <c r="A6246" s="2" t="s">
        <v>6246</v>
      </c>
      <c r="B6246" s="2" t="str">
        <f>IFERROR(__xludf.DUMMYFUNCTION("GOOGLETRANSLATE(A6246, ""en"", ""mt"")"),"Kemm ilu abitat ir-reġjun Afrikan tal-Lagi l-Kbar?")</f>
        <v>Kemm ilu abitat ir-reġjun Afrikan tal-Lagi l-Kbar?</v>
      </c>
    </row>
    <row r="6247" ht="15.75" customHeight="1">
      <c r="A6247" s="2" t="s">
        <v>6247</v>
      </c>
      <c r="B6247" s="2" t="str">
        <f>IFERROR(__xludf.DUMMYFUNCTION("GOOGLETRANSLATE(A6247, ""en"", ""mt"")"),"X'għandhom l-ispeċi kollha tal-platycenida kollha ħlief waħda?")</f>
        <v>X'għandhom l-ispeċi kollha tal-platycenida kollha ħlief waħda?</v>
      </c>
    </row>
    <row r="6248" ht="15.75" customHeight="1">
      <c r="A6248" s="2" t="s">
        <v>6248</v>
      </c>
      <c r="B6248" s="2" t="str">
        <f>IFERROR(__xludf.DUMMYFUNCTION("GOOGLETRANSLATE(A6248, ""en"", ""mt"")"),"Ċittadini")</f>
        <v>Ċittadini</v>
      </c>
    </row>
    <row r="6249" ht="15.75" customHeight="1">
      <c r="A6249" s="2" t="s">
        <v>6249</v>
      </c>
      <c r="B6249" s="2" t="str">
        <f>IFERROR(__xludf.DUMMYFUNCTION("GOOGLETRANSLATE(A6249, ""en"", ""mt"")"),"Għaliex il-korpi tal-ilma polari jappoġġjaw ammont ogħla ta 'ħajja?")</f>
        <v>Għaliex il-korpi tal-ilma polari jappoġġjaw ammont ogħla ta 'ħajja?</v>
      </c>
    </row>
    <row r="6250" ht="15.75" customHeight="1">
      <c r="A6250" s="2" t="s">
        <v>6250</v>
      </c>
      <c r="B6250" s="2" t="str">
        <f>IFERROR(__xludf.DUMMYFUNCTION("GOOGLETRANSLATE(A6250, ""en"", ""mt"")"),"Bidliet ambjentali fit-tul")</f>
        <v>Bidliet ambjentali fit-tul</v>
      </c>
    </row>
    <row r="6251" ht="15.75" customHeight="1">
      <c r="A6251" s="2" t="s">
        <v>6251</v>
      </c>
      <c r="B6251" s="2" t="str">
        <f>IFERROR(__xludf.DUMMYFUNCTION("GOOGLETRANSLATE(A6251, ""en"", ""mt"")"),"F'liema ħin Tesla ħadet il-pranzu?")</f>
        <v>F'liema ħin Tesla ħadet il-pranzu?</v>
      </c>
    </row>
    <row r="6252" ht="15.75" customHeight="1">
      <c r="A6252" s="2" t="s">
        <v>6252</v>
      </c>
      <c r="B6252" s="2" t="str">
        <f>IFERROR(__xludf.DUMMYFUNCTION("GOOGLETRANSLATE(A6252, ""en"", ""mt"")"),"Min japplika għarfien espert biex jirrelata x-xogħol u l-materjali involuti ma 'valutazzjoni xierqa?")</f>
        <v>Min japplika għarfien espert biex jirrelata x-xogħol u l-materjali involuti ma 'valutazzjoni xierqa?</v>
      </c>
    </row>
    <row r="6253" ht="15.75" customHeight="1">
      <c r="A6253" s="2" t="s">
        <v>6253</v>
      </c>
      <c r="B6253" s="2" t="str">
        <f>IFERROR(__xludf.DUMMYFUNCTION("GOOGLETRANSLATE(A6253, ""en"", ""mt"")"),"fortuni akbar")</f>
        <v>fortuni akbar</v>
      </c>
    </row>
    <row r="6254" ht="15.75" customHeight="1">
      <c r="A6254" s="2" t="s">
        <v>6254</v>
      </c>
      <c r="B6254" s="2" t="str">
        <f>IFERROR(__xludf.DUMMYFUNCTION("GOOGLETRANSLATE(A6254, ""en"", ""mt"")"),"Xi jfisser meta serje armonika tvarja?")</f>
        <v>Xi jfisser meta serje armonika tvarja?</v>
      </c>
    </row>
    <row r="6255" ht="15.75" customHeight="1">
      <c r="A6255" s="2" t="s">
        <v>6255</v>
      </c>
      <c r="B6255" s="2" t="str">
        <f>IFERROR(__xludf.DUMMYFUNCTION("GOOGLETRANSLATE(A6255, ""en"", ""mt"")"),"Xi Huguenots ġġieldu fil-pajjiżi baxxi flimkien mal-Olandiżi kontra Spanja matul l-ewwel snin tar-rewwixta Olandiża (1568-1609). Ir-Repubblika Olandiża malajr saret destinazzjoni għal Huguenot Exiles. Ir-rabtiet bikrija kienu diġà viżibbli fl- ""apologie"&amp;""" ta 'William is-siekta, li kkundanna l-Inkwiżizzjoni Spanjola, li kienet miktuba mill-ministru tal-qorti tiegħu, il-Huguenot Pierre L'Oyseleur, Lord of Villiers. Louise de Coligny, bint il-mexxej tal-Huguenot maqtul Gaspard de Coligny, iżżewġet lil Will"&amp;"iam is-Silent, mexxej tar-rewwixta Olandiża (Kalvinista) kontra l-ħakma Spanjola (Kattolika). Hekk kif it-tnejn tkellmu bil-Franċiż fil-ħajja ta ’kuljum, il-knisja tal-qorti tagħhom fil-Prinsenhof f’Delft kellha servizzi bil-Franċiż. Il-prattika kompliet "&amp;"sal-ġurnata tal-lum. Il-Prinsenhof hija waħda mill-14-il knisja attiva tal-walloon tal-Knisja Riformata Olandiża. Ir-rabtiet bejn Huguenots u t-tmexxija militari u politika tar-Repubblika Olandiża, il-Kamra ta 'Orange-Nassau, li kienet teżisti mill-jiem b"&amp;"ikrija tar-rewwixta Olandiża, għenu biex jappoġġjaw il-bosta insedjamenti bikrija ta' Huguenots fil-kolonji tar-Repubblika Olandiża. Huma stabbilixxew fil-Kap ta ’Tama Tajba fl-Afrika t'Isfel u l-Olanda Ġdida fl-Amerika ta’ Fuq.")</f>
        <v>Xi Huguenots ġġieldu fil-pajjiżi baxxi flimkien mal-Olandiżi kontra Spanja matul l-ewwel snin tar-rewwixta Olandiża (1568-1609). Ir-Repubblika Olandiża malajr saret destinazzjoni għal Huguenot Exiles. Ir-rabtiet bikrija kienu diġà viżibbli fl- "apologie" ta 'William is-siekta, li kkundanna l-Inkwiżizzjoni Spanjola, li kienet miktuba mill-ministru tal-qorti tiegħu, il-Huguenot Pierre L'Oyseleur, Lord of Villiers. Louise de Coligny, bint il-mexxej tal-Huguenot maqtul Gaspard de Coligny, iżżewġet lil William is-Silent, mexxej tar-rewwixta Olandiża (Kalvinista) kontra l-ħakma Spanjola (Kattolika). Hekk kif it-tnejn tkellmu bil-Franċiż fil-ħajja ta ’kuljum, il-knisja tal-qorti tagħhom fil-Prinsenhof f’Delft kellha servizzi bil-Franċiż. Il-prattika kompliet sal-ġurnata tal-lum. Il-Prinsenhof hija waħda mill-14-il knisja attiva tal-walloon tal-Knisja Riformata Olandiża. Ir-rabtiet bejn Huguenots u t-tmexxija militari u politika tar-Repubblika Olandiża, il-Kamra ta 'Orange-Nassau, li kienet teżisti mill-jiem bikrija tar-rewwixta Olandiża, għenu biex jappoġġjaw il-bosta insedjamenti bikrija ta' Huguenots fil-kolonji tar-Repubblika Olandiża. Huma stabbilixxew fil-Kap ta ’Tama Tajba fl-Afrika t'Isfel u l-Olanda Ġdida fl-Amerika ta’ Fuq.</v>
      </c>
    </row>
    <row r="6256" ht="15.75" customHeight="1">
      <c r="A6256" s="2" t="s">
        <v>6256</v>
      </c>
      <c r="B6256" s="2" t="str">
        <f>IFERROR(__xludf.DUMMYFUNCTION("GOOGLETRANSLATE(A6256, ""en"", ""mt"")"),"L-imperjalizmu huwa definit bħala ""politika li testendi l-poter u l-influwenza ta 'pajjiż permezz tad-diplomazija jew il-forza militari."" L-imperjalizmu huwa partikolarment iffokat fuq il-kontroll li grupp wieħed, ħafna drabi għandu poter statali, għand"&amp;"u fuq grupp ieħor ta 'nies. Dan ħafna drabi permezz ta 'diversi forom ta' ""oħrajn"" (ara oħrajn) ibbażati fuq sterjotipi razzjali, reliġjużi, jew kulturali. Hemm imperjaliżmi ""formali"" jew ""informali"". ""Imperjalizmu formali"" huwa definit bħala ""ko"&amp;"ntroll fiżiku jew regola kolonjali sħiħa"". ""Imperjalizmu informali"" huwa inqas dirett; Madankollu, għadha forma qawwija ta 'dominanza.")</f>
        <v>L-imperjalizmu huwa definit bħala "politika li testendi l-poter u l-influwenza ta 'pajjiż permezz tad-diplomazija jew il-forza militari." L-imperjalizmu huwa partikolarment iffokat fuq il-kontroll li grupp wieħed, ħafna drabi għandu poter statali, għandu fuq grupp ieħor ta 'nies. Dan ħafna drabi permezz ta 'diversi forom ta' "oħrajn" (ara oħrajn) ibbażati fuq sterjotipi razzjali, reliġjużi, jew kulturali. Hemm imperjaliżmi "formali" jew "informali". "Imperjalizmu formali" huwa definit bħala "kontroll fiżiku jew regola kolonjali sħiħa". "Imperjalizmu informali" huwa inqas dirett; Madankollu, għadha forma qawwija ta 'dominanza.</v>
      </c>
    </row>
    <row r="6257" ht="15.75" customHeight="1">
      <c r="A6257" s="2" t="s">
        <v>6257</v>
      </c>
      <c r="B6257" s="2" t="str">
        <f>IFERROR(__xludf.DUMMYFUNCTION("GOOGLETRANSLATE(A6257, ""en"", ""mt"")"),"34 miljun")</f>
        <v>34 miljun</v>
      </c>
    </row>
    <row r="6258" ht="15.75" customHeight="1">
      <c r="A6258" s="2" t="s">
        <v>6258</v>
      </c>
      <c r="B6258" s="2" t="str">
        <f>IFERROR(__xludf.DUMMYFUNCTION("GOOGLETRANSLATE(A6258, ""en"", ""mt"")"),"Tarka tas-sħana.")</f>
        <v>Tarka tas-sħana.</v>
      </c>
    </row>
    <row r="6259" ht="15.75" customHeight="1">
      <c r="A6259" s="2" t="s">
        <v>6259</v>
      </c>
      <c r="B6259" s="2" t="str">
        <f>IFERROR(__xludf.DUMMYFUNCTION("GOOGLETRANSLATE(A6259, ""en"", ""mt"")"),"Uħud iddeskrivew il-konflitti interni bejn diversi gruppi ta ’nies bħala forma ta’ imperjalizmu jew kolonjaliżmu. Din il-forma interna hija distinta mill-imperjalizmu informali tal-Istati Uniti fil-forma ta 'eġemonija politika u finanzjarja. Din il-forma "&amp;"interna ta 'imperjalizmu hija wkoll distinta mill-formazzjoni ta' ""kolonji"" ta 'l-Istati Uniti barra mill-pajjiż. Permezz tat-trattament tal-popli indiġeni tagħha waqt l-espansjoni tal-punent, l-Istati Uniti ħadu l-forma ta 'poter imperjali qabel kull t"&amp;"entattiv ta' imperjalizmu estern. Din il-forma interna ta 'imperu ġiet imsejħa ""kolonjaliżmu intern"". Il-parteċipazzjoni fil-kummerċ tal-iskjavi Afrikani u t-trattament sussegwenti tat-12 sa 15-il miljun Afrikan tagħha hija meqjusa minn uħud bħala esten"&amp;"sjoni aktar moderna tal- ""kolonjaliżmu intern"" tal-Amerika. Madankollu, dan il-kolonjaliżmu intern ffaċċja r-reżistenza, kif għamel il-kolonjaliżmu estern, iżda l-preżenza anti-kolonjali kienet ferm inqas prominenti minħabba d-dominanza kważi kompluta l"&amp;"i l-Istati Uniti kienu kapaċi jaffermaw kemm fuq il-popli indiġeni kif ukoll fuq l-Afrikani-Amerikani. Fit-taħdita tiegħu fis-16 ta 'April, 2003, Edward qal għamel dikjarazzjoni kuraġġuża dwar l-imperjalizmu modern fl-Istati Uniti, li huwa ddeskriva bħala"&amp;" li juża mezzi aggressivi ta' attakk lejn l-Orjent Kontemporanju, ""minħabba l-għajxien lura tagħhom, in-nuqqas ta 'demokrazija u l-ksur tad-drittijiet tan-nisa. Id-dinja tal-Punent tinsa matul dan il-proċess li tikkonverti lill-ieħor li l-kjarifika u d-d"&amp;"emokrazija huma kunċetti li mhux kollha jaqblu dwarhom "".")</f>
        <v>Uħud iddeskrivew il-konflitti interni bejn diversi gruppi ta ’nies bħala forma ta’ imperjalizmu jew kolonjaliżmu. Din il-forma interna hija distinta mill-imperjalizmu informali tal-Istati Uniti fil-forma ta 'eġemonija politika u finanzjarja. Din il-forma interna ta 'imperjalizmu hija wkoll distinta mill-formazzjoni ta' "kolonji" ta 'l-Istati Uniti barra mill-pajjiż. Permezz tat-trattament tal-popli indiġeni tagħha waqt l-espansjoni tal-punent, l-Istati Uniti ħadu l-forma ta 'poter imperjali qabel kull tentattiv ta' imperjalizmu estern. Din il-forma interna ta 'imperu ġiet imsejħa "kolonjaliżmu intern". Il-parteċipazzjoni fil-kummerċ tal-iskjavi Afrikani u t-trattament sussegwenti tat-12 sa 15-il miljun Afrikan tagħha hija meqjusa minn uħud bħala estensjoni aktar moderna tal- "kolonjaliżmu intern" tal-Amerika. Madankollu, dan il-kolonjaliżmu intern ffaċċja r-reżistenza, kif għamel il-kolonjaliżmu estern, iżda l-preżenza anti-kolonjali kienet ferm inqas prominenti minħabba d-dominanza kważi kompluta li l-Istati Uniti kienu kapaċi jaffermaw kemm fuq il-popli indiġeni kif ukoll fuq l-Afrikani-Amerikani. Fit-taħdita tiegħu fis-16 ta 'April, 2003, Edward qal għamel dikjarazzjoni kuraġġuża dwar l-imperjalizmu modern fl-Istati Uniti, li huwa ddeskriva bħala li juża mezzi aggressivi ta' attakk lejn l-Orjent Kontemporanju, "minħabba l-għajxien lura tagħhom, in-nuqqas ta 'demokrazija u l-ksur tad-drittijiet tan-nisa. Id-dinja tal-Punent tinsa matul dan il-proċess li tikkonverti lill-ieħor li l-kjarifika u d-demokrazija huma kunċetti li mhux kollha jaqblu dwarhom ".</v>
      </c>
    </row>
    <row r="6260" ht="15.75" customHeight="1">
      <c r="A6260" s="2" t="s">
        <v>6260</v>
      </c>
      <c r="B6260" s="2" t="str">
        <f>IFERROR(__xludf.DUMMYFUNCTION("GOOGLETRANSLATE(A6260, ""en"", ""mt"")"),"Evita u l-Wiz")</f>
        <v>Evita u l-Wiz</v>
      </c>
    </row>
    <row r="6261" ht="15.75" customHeight="1">
      <c r="A6261" s="2" t="s">
        <v>6261</v>
      </c>
      <c r="B6261" s="2" t="str">
        <f>IFERROR(__xludf.DUMMYFUNCTION("GOOGLETRANSLATE(A6261, ""en"", ""mt"")"),"Madwar 90,790")</f>
        <v>Madwar 90,790</v>
      </c>
    </row>
    <row r="6262" ht="15.75" customHeight="1">
      <c r="A6262" s="2" t="s">
        <v>6262</v>
      </c>
      <c r="B6262" s="2" t="str">
        <f>IFERROR(__xludf.DUMMYFUNCTION("GOOGLETRANSLATE(A6262, ""en"", ""mt"")"),"Interferenza RNA")</f>
        <v>Interferenza RNA</v>
      </c>
    </row>
    <row r="6263" ht="15.75" customHeight="1">
      <c r="A6263" s="2" t="s">
        <v>6263</v>
      </c>
      <c r="B6263" s="2" t="str">
        <f>IFERROR(__xludf.DUMMYFUNCTION("GOOGLETRANSLATE(A6263, ""en"", ""mt"")"),"Żoni Episkopali,")</f>
        <v>Żoni Episkopali,</v>
      </c>
    </row>
    <row r="6264" ht="15.75" customHeight="1">
      <c r="A6264" s="2" t="s">
        <v>6264</v>
      </c>
      <c r="B6264" s="2" t="str">
        <f>IFERROR(__xludf.DUMMYFUNCTION("GOOGLETRANSLATE(A6264, ""en"", ""mt"")"),"identifikazzjoni ta 'għanijiet ta' terapija")</f>
        <v>identifikazzjoni ta 'għanijiet ta' terapija</v>
      </c>
    </row>
    <row r="6265" ht="15.75" customHeight="1">
      <c r="A6265" s="2" t="s">
        <v>6265</v>
      </c>
      <c r="B6265" s="2" t="str">
        <f>IFERROR(__xludf.DUMMYFUNCTION("GOOGLETRANSLATE(A6265, ""en"", ""mt"")"),"Minbarra l-magħmudija, dak li juri l-futur tas-sema lill-insara?")</f>
        <v>Minbarra l-magħmudija, dak li juri l-futur tas-sema lill-insara?</v>
      </c>
    </row>
    <row r="6266" ht="15.75" customHeight="1">
      <c r="A6266" s="2" t="s">
        <v>6266</v>
      </c>
      <c r="B6266" s="2" t="str">
        <f>IFERROR(__xludf.DUMMYFUNCTION("GOOGLETRANSLATE(A6266, ""en"", ""mt"")"),"Jumejn wara, l-FBI ordna lill-kustodju tal-propjetà aljena biex jaħtaf l-affarijiet ta 'Tesla, minkejja li Tesla kienet ċittadin Amerikan. Il-propjetà kollha ta 'Tesla mil-lukanda New Yorker u lukandi oħra ta' New York City ġiet ittrasportata lejn il-Manh"&amp;"attan Storage u l-Warehouse Company taħt l-Uffiċċju tal-Propjetà Alien (OAP). John G. Trump, professur fil-M.I.T. U inġinier elettriku magħruf li jservi bħala għajnuna teknika għall-Kumitat Nazzjonali tar-Riċerka dwar id-Difiża, ġie msejjaħ biex janalizza"&amp;" l-punti ta 'Tesla fil-kustodja tal-OAP. Wara investigazzjoni ta 'tlett ijiem, ir-rapport ta' Trump ikkonkluda li ma kien hemm xejn li jikkostitwixxi periklu f'idejn mhux ħbieb, u jiddikjara:")</f>
        <v>Jumejn wara, l-FBI ordna lill-kustodju tal-propjetà aljena biex jaħtaf l-affarijiet ta 'Tesla, minkejja li Tesla kienet ċittadin Amerikan. Il-propjetà kollha ta 'Tesla mil-lukanda New Yorker u lukandi oħra ta' New York City ġiet ittrasportata lejn il-Manhattan Storage u l-Warehouse Company taħt l-Uffiċċju tal-Propjetà Alien (OAP). John G. Trump, professur fil-M.I.T. U inġinier elettriku magħruf li jservi bħala għajnuna teknika għall-Kumitat Nazzjonali tar-Riċerka dwar id-Difiża, ġie msejjaħ biex janalizza l-punti ta 'Tesla fil-kustodja tal-OAP. Wara investigazzjoni ta 'tlett ijiem, ir-rapport ta' Trump ikkonkluda li ma kien hemm xejn li jikkostitwixxi periklu f'idejn mhux ħbieb, u jiddikjara:</v>
      </c>
    </row>
    <row r="6267" ht="15.75" customHeight="1">
      <c r="A6267" s="2" t="s">
        <v>6267</v>
      </c>
      <c r="B6267" s="2" t="str">
        <f>IFERROR(__xludf.DUMMYFUNCTION("GOOGLETRANSLATE(A6267, ""en"", ""mt"")"),"Min kien Alfred i Brown?")</f>
        <v>Min kien Alfred i Brown?</v>
      </c>
    </row>
    <row r="6268" ht="15.75" customHeight="1">
      <c r="A6268" s="2" t="s">
        <v>6268</v>
      </c>
      <c r="B6268" s="2" t="str">
        <f>IFERROR(__xludf.DUMMYFUNCTION("GOOGLETRANSLATE(A6268, ""en"", ""mt"")"),"il-kummerċ tas-suf")</f>
        <v>il-kummerċ tas-suf</v>
      </c>
    </row>
    <row r="6269" ht="15.75" customHeight="1">
      <c r="A6269" s="2" t="s">
        <v>6269</v>
      </c>
      <c r="B6269" s="2" t="str">
        <f>IFERROR(__xludf.DUMMYFUNCTION("GOOGLETRANSLATE(A6269, ""en"", ""mt"")"),"X'inhi kelma oħra għal intrużjonijiet igneous fit-tul?")</f>
        <v>X'inhi kelma oħra għal intrużjonijiet igneous fit-tul?</v>
      </c>
    </row>
    <row r="6270" ht="15.75" customHeight="1">
      <c r="A6270" s="2" t="s">
        <v>6270</v>
      </c>
      <c r="B6270" s="2" t="str">
        <f>IFERROR(__xludf.DUMMYFUNCTION("GOOGLETRANSLATE(A6270, ""en"", ""mt"")"),"Il-popolazzjoni tal-far ma kinitx biżżejjed biex tagħti kont ta 'pandemija tal-pesta bubonika")</f>
        <v>Il-popolazzjoni tal-far ma kinitx biżżejjed biex tagħti kont ta 'pandemija tal-pesta bubonika</v>
      </c>
    </row>
    <row r="6271" ht="15.75" customHeight="1">
      <c r="A6271" s="2" t="s">
        <v>6271</v>
      </c>
      <c r="B6271" s="2" t="str">
        <f>IFERROR(__xludf.DUMMYFUNCTION("GOOGLETRANSLATE(A6271, ""en"", ""mt"")"),"X'inhu meħtieġ biex tospita popolazzjoni akbar?")</f>
        <v>X'inhu meħtieġ biex tospita popolazzjoni akbar?</v>
      </c>
    </row>
    <row r="6272" ht="15.75" customHeight="1">
      <c r="A6272" s="2" t="s">
        <v>6272</v>
      </c>
      <c r="B6272" s="2" t="str">
        <f>IFERROR(__xludf.DUMMYFUNCTION("GOOGLETRANSLATE(A6272, ""en"", ""mt"")"),"kull sekwenza")</f>
        <v>kull sekwenza</v>
      </c>
    </row>
    <row r="6273" ht="15.75" customHeight="1">
      <c r="A6273" s="2" t="s">
        <v>6273</v>
      </c>
      <c r="B6273" s="2" t="str">
        <f>IFERROR(__xludf.DUMMYFUNCTION("GOOGLETRANSLATE(A6273, ""en"", ""mt"")"),"min iħaddem")</f>
        <v>min iħaddem</v>
      </c>
    </row>
    <row r="6274" ht="15.75" customHeight="1">
      <c r="A6274" s="2" t="s">
        <v>6274</v>
      </c>
      <c r="B6274" s="2" t="str">
        <f>IFERROR(__xludf.DUMMYFUNCTION("GOOGLETRANSLATE(A6274, ""en"", ""mt"")"),"Ir-Re Gilgamesh ta 'Uruk u Atilla l-Hun")</f>
        <v>Ir-Re Gilgamesh ta 'Uruk u Atilla l-Hun</v>
      </c>
    </row>
    <row r="6275" ht="15.75" customHeight="1">
      <c r="A6275" s="2" t="s">
        <v>6275</v>
      </c>
      <c r="B6275" s="2" t="str">
        <f>IFERROR(__xludf.DUMMYFUNCTION("GOOGLETRANSLATE(A6275, ""en"", ""mt"")"),"X'inhu l-effett tat-tħassir beta?")</f>
        <v>X'inhu l-effett tat-tħassir beta?</v>
      </c>
    </row>
    <row r="6276" ht="15.75" customHeight="1">
      <c r="A6276" s="2" t="s">
        <v>6276</v>
      </c>
      <c r="B6276" s="2" t="str">
        <f>IFERROR(__xludf.DUMMYFUNCTION("GOOGLETRANSLATE(A6276, ""en"", ""mt"")"),"Ma nemminx fil-leġittimità ta 'xi gvern")</f>
        <v>Ma nemminx fil-leġittimità ta 'xi gvern</v>
      </c>
    </row>
    <row r="6277" ht="15.75" customHeight="1">
      <c r="A6277" s="2" t="s">
        <v>6277</v>
      </c>
      <c r="B6277" s="2" t="str">
        <f>IFERROR(__xludf.DUMMYFUNCTION("GOOGLETRANSLATE(A6277, ""en"", ""mt"")"),"Mark Woods")</f>
        <v>Mark Woods</v>
      </c>
    </row>
    <row r="6278" ht="15.75" customHeight="1">
      <c r="A6278" s="2" t="s">
        <v>6278</v>
      </c>
      <c r="B6278" s="2" t="str">
        <f>IFERROR(__xludf.DUMMYFUNCTION("GOOGLETRANSLATE(A6278, ""en"", ""mt"")"),"Meta mqabbel mal-kumplament ta 'Florida, kif il-popolazzjoni Filippina ta' Jacksonville tikklassifika?")</f>
        <v>Meta mqabbel mal-kumplament ta 'Florida, kif il-popolazzjoni Filippina ta' Jacksonville tikklassifika?</v>
      </c>
    </row>
    <row r="6279" ht="15.75" customHeight="1">
      <c r="A6279" s="2" t="s">
        <v>6279</v>
      </c>
      <c r="B6279" s="2" t="str">
        <f>IFERROR(__xludf.DUMMYFUNCTION("GOOGLETRANSLATE(A6279, ""en"", ""mt"")"),"Il-modulu Lunar (LM) kien iddisinjat biex jinżel mill-orbita lunari biex jillandja żewġ astronawti fuq il-qamar u jeħodhom lura lejn l-orbita biex joħorġu mal-modulu tal-kmand. Mhux iddisinjat biex itir fl-atmosfera tad-Dinja jew jirritorna lejn id-Dinja,"&amp;" il-fuselage tagħha kien iddisinjat totalment mingħajr kunsiderazzjonijiet ajrudinamiċi, u kien ta 'kostruzzjoni estremament ħafifa. Kien jikkonsisti fi stadji separati ta 'dixxendenza u ta' tlugħ, kull wieħed bil-magna tiegħu stess. L-istadju tad-dixxend"&amp;"enza kien fih ħażna għall-propellant tad-dixxendenza, konsumabbli tal-wiċċ, u tagħmir għall-esplorazzjoni tal-wiċċ. L-istadju ta ’tlugħ kien fih il-kabina tal-ekwipaġġ, il-propellant tat-tlugħ, u sistema ta’ kontroll ta ’reazzjoni. Il-mudell inizjali LM j"&amp;"iżen madwar 33,300 lira (15,100 kg), u ppermetta l-wiċċ jibqa 'sa madwar 34 siegħa. Modulu lunari estiż jiżen aktar minn 36,200 lira (16,400 kg), u ppermetta waqfiet tal-wiċċ ta 'aktar minn 3 ijiem.")</f>
        <v>Il-modulu Lunar (LM) kien iddisinjat biex jinżel mill-orbita lunari biex jillandja żewġ astronawti fuq il-qamar u jeħodhom lura lejn l-orbita biex joħorġu mal-modulu tal-kmand. Mhux iddisinjat biex itir fl-atmosfera tad-Dinja jew jirritorna lejn id-Dinja, il-fuselage tagħha kien iddisinjat totalment mingħajr kunsiderazzjonijiet ajrudinamiċi, u kien ta 'kostruzzjoni estremament ħafifa. Kien jikkonsisti fi stadji separati ta 'dixxendenza u ta' tlugħ, kull wieħed bil-magna tiegħu stess. L-istadju tad-dixxendenza kien fih ħażna għall-propellant tad-dixxendenza, konsumabbli tal-wiċċ, u tagħmir għall-esplorazzjoni tal-wiċċ. L-istadju ta ’tlugħ kien fih il-kabina tal-ekwipaġġ, il-propellant tat-tlugħ, u sistema ta’ kontroll ta ’reazzjoni. Il-mudell inizjali LM jiżen madwar 33,300 lira (15,100 kg), u ppermetta l-wiċċ jibqa 'sa madwar 34 siegħa. Modulu lunari estiż jiżen aktar minn 36,200 lira (16,400 kg), u ppermetta waqfiet tal-wiċċ ta 'aktar minn 3 ijiem.</v>
      </c>
    </row>
    <row r="6280" ht="15.75" customHeight="1">
      <c r="A6280" s="2" t="s">
        <v>6280</v>
      </c>
      <c r="B6280" s="2" t="str">
        <f>IFERROR(__xludf.DUMMYFUNCTION("GOOGLETRANSLATE(A6280, ""en"", ""mt"")"),"X'kien l-ewwel bini pubbliku li kien mixgħul bid-dawl elettriku fi Newcastle?")</f>
        <v>X'kien l-ewwel bini pubbliku li kien mixgħul bid-dawl elettriku fi Newcastle?</v>
      </c>
    </row>
    <row r="6281" ht="15.75" customHeight="1">
      <c r="A6281" s="2" t="s">
        <v>6281</v>
      </c>
      <c r="B6281" s="2" t="str">
        <f>IFERROR(__xludf.DUMMYFUNCTION("GOOGLETRANSLATE(A6281, ""en"", ""mt"")"),"ħafna drabi tagħmel ħsara")</f>
        <v>ħafna drabi tagħmel ħsara</v>
      </c>
    </row>
    <row r="6282" ht="15.75" customHeight="1">
      <c r="A6282" s="2" t="s">
        <v>6282</v>
      </c>
      <c r="B6282" s="2" t="str">
        <f>IFERROR(__xludf.DUMMYFUNCTION("GOOGLETRANSLATE(A6282, ""en"", ""mt"")"),"Għalkemm mhux imqabbad, liema huma l-aktar attributi attribwiti komunement ta 'L f'relazzjoni ma' p")</f>
        <v>Għalkemm mhux imqabbad, liema huma l-aktar attributi attribwiti komunement ta 'L f'relazzjoni ma' p</v>
      </c>
    </row>
    <row r="6283" ht="15.75" customHeight="1">
      <c r="A6283" s="2" t="s">
        <v>6283</v>
      </c>
      <c r="B6283" s="2" t="str">
        <f>IFERROR(__xludf.DUMMYFUNCTION("GOOGLETRANSLATE(A6283, ""en"", ""mt"")"),"Alġebra polinomjali")</f>
        <v>Alġebra polinomjali</v>
      </c>
    </row>
    <row r="6284" ht="15.75" customHeight="1">
      <c r="A6284" s="2" t="s">
        <v>6284</v>
      </c>
      <c r="B6284" s="2" t="str">
        <f>IFERROR(__xludf.DUMMYFUNCTION("GOOGLETRANSLATE(A6284, ""en"", ""mt"")"),"X'inhu terminu ieħor għas-Sena 12 tal-edukazzjoni?")</f>
        <v>X'inhu terminu ieħor għas-Sena 12 tal-edukazzjoni?</v>
      </c>
    </row>
    <row r="6285" ht="15.75" customHeight="1">
      <c r="A6285" s="2" t="s">
        <v>6285</v>
      </c>
      <c r="B6285" s="2" t="str">
        <f>IFERROR(__xludf.DUMMYFUNCTION("GOOGLETRANSLATE(A6285, ""en"", ""mt"")"),"Il-50 Super Bowl")</f>
        <v>Il-50 Super Bowl</v>
      </c>
    </row>
    <row r="6286" ht="15.75" customHeight="1">
      <c r="A6286" s="2" t="s">
        <v>6286</v>
      </c>
      <c r="B6286" s="2" t="str">
        <f>IFERROR(__xludf.DUMMYFUNCTION("GOOGLETRANSLATE(A6286, ""en"", ""mt"")"),"X'inhi l-ordni tal-bond ta 'molekuli ta' dijossiġnu?")</f>
        <v>X'inhi l-ordni tal-bond ta 'molekuli ta' dijossiġnu?</v>
      </c>
    </row>
    <row r="6287" ht="15.75" customHeight="1">
      <c r="A6287" s="2" t="s">
        <v>6287</v>
      </c>
      <c r="B6287" s="2" t="str">
        <f>IFERROR(__xludf.DUMMYFUNCTION("GOOGLETRANSLATE(A6287, ""en"", ""mt"")"),"Esperimenti analogi u numeriċi")</f>
        <v>Esperimenti analogi u numeriċi</v>
      </c>
    </row>
    <row r="6288" ht="15.75" customHeight="1">
      <c r="A6288" s="2" t="s">
        <v>6288</v>
      </c>
      <c r="B6288" s="2" t="str">
        <f>IFERROR(__xludf.DUMMYFUNCTION("GOOGLETRANSLATE(A6288, ""en"", ""mt"")"),"Doctor Who u d-Daleks fis-Seba 'Ċwievet għal Doomsday")</f>
        <v>Doctor Who u d-Daleks fis-Seba 'Ċwievet għal Doomsday</v>
      </c>
    </row>
    <row r="6289" ht="15.75" customHeight="1">
      <c r="A6289" s="2" t="s">
        <v>6289</v>
      </c>
      <c r="B6289" s="2" t="str">
        <f>IFERROR(__xludf.DUMMYFUNCTION("GOOGLETRANSLATE(A6289, ""en"", ""mt"")"),"forza strutturali")</f>
        <v>forza strutturali</v>
      </c>
    </row>
    <row r="6290" ht="15.75" customHeight="1">
      <c r="A6290" s="2" t="s">
        <v>6290</v>
      </c>
      <c r="B6290" s="2" t="str">
        <f>IFERROR(__xludf.DUMMYFUNCTION("GOOGLETRANSLATE(A6290, ""en"", ""mt"")"),"Applikazzjoni tal-elettriku fil-moħħ")</f>
        <v>Applikazzjoni tal-elettriku fil-moħħ</v>
      </c>
    </row>
    <row r="6291" ht="15.75" customHeight="1">
      <c r="A6291" s="2" t="s">
        <v>6291</v>
      </c>
      <c r="B6291" s="2" t="str">
        <f>IFERROR(__xludf.DUMMYFUNCTION("GOOGLETRANSLATE(A6291, ""en"", ""mt"")"),"sfida akbar għas-sistema legali li tippermetti li jittieħdu dawk id-deċiżjonijiet")</f>
        <v>sfida akbar għas-sistema legali li tippermetti li jittieħdu dawk id-deċiżjonijiet</v>
      </c>
    </row>
    <row r="6292" ht="15.75" customHeight="1">
      <c r="A6292" s="2" t="s">
        <v>6292</v>
      </c>
      <c r="B6292" s="2" t="str">
        <f>IFERROR(__xludf.DUMMYFUNCTION("GOOGLETRANSLATE(A6292, ""en"", ""mt"")"),"Tneħħija ta 'impedimenti u diffikultajiet sabiex nies oħra jkunu jistgħu jaqrawha mingħajr xkiel")</f>
        <v>Tneħħija ta 'impedimenti u diffikultajiet sabiex nies oħra jkunu jistgħu jaqrawha mingħajr xkiel</v>
      </c>
    </row>
    <row r="6293" ht="15.75" customHeight="1">
      <c r="A6293" s="2" t="s">
        <v>6293</v>
      </c>
      <c r="B6293" s="2" t="str">
        <f>IFERROR(__xludf.DUMMYFUNCTION("GOOGLETRANSLATE(A6293, ""en"", ""mt"")"),"fuq l-art")</f>
        <v>fuq l-art</v>
      </c>
    </row>
    <row r="6294" ht="15.75" customHeight="1">
      <c r="A6294" s="2" t="s">
        <v>6294</v>
      </c>
      <c r="B6294" s="2" t="str">
        <f>IFERROR(__xludf.DUMMYFUNCTION("GOOGLETRANSLATE(A6294, ""en"", ""mt"")"),"tradizzjonijiet kulturali, drawwiet soċjali, twemmin reliġjuż")</f>
        <v>tradizzjonijiet kulturali, drawwiet soċjali, twemmin reliġjuż</v>
      </c>
    </row>
    <row r="6295" ht="15.75" customHeight="1">
      <c r="A6295" s="2" t="s">
        <v>6295</v>
      </c>
      <c r="B6295" s="2" t="str">
        <f>IFERROR(__xludf.DUMMYFUNCTION("GOOGLETRANSLATE(A6295, ""en"", ""mt"")"),"Liema miżura għandha tiġi adottata meta jkun hemm għażla bejn bosta?")</f>
        <v>Liema miżura għandha tiġi adottata meta jkun hemm għażla bejn bosta?</v>
      </c>
    </row>
    <row r="6296" ht="15.75" customHeight="1">
      <c r="A6296" s="2" t="s">
        <v>6296</v>
      </c>
      <c r="B6296" s="2" t="str">
        <f>IFERROR(__xludf.DUMMYFUNCTION("GOOGLETRANSLATE(A6296, ""en"", ""mt"")"),"Kemm iċ-ċelloli B kif ukoll iċ-ċelloli T iġorru molekuli tar-riċetturi li jirrikonoxxu miri speċifiċi. Iċ-ċelloli T jirrikonoxxu mira ""mhux self"", bħal patoġen, biss wara li l-antiġeni (frammenti żgħar tal-patoġen) ġew ipproċessati u ppreżentati flimkie"&amp;"n ma 'riċettur ""awto"" msejjaħ molekula ta' kumpless ta 'istokompatibilità maġġuri (MHC). Hemm żewġ sottotipi ewlenin ta 'ċelloli T: iċ-ċellula T qattiel u ċ-ċellula T helper. Barra minn hekk hemm ċelloli T regolatorji li għandhom rwol fil-modulazzjoni t"&amp;"ar-rispons immuni. Iċ-ċelloli T qattiel jirrikonoxxu biss antiġeni akkoppjati mal-molekuli MHC tal-klassi I, filwaqt li ċelloli T helper u ċelloli T regolatorji jirrikonoxxu biss antiġeni akkoppjati mal-molekuli tal-klassi II MHC. Dawn iż-żewġ mekkaniżmi "&amp;"ta 'preżentazzjoni ta' l-antiġen jirriflettu r-rwoli differenti taż-żewġ tipi ta 'ċelluli T. Terz, sottotip minuri huma ċ-ċelloli T γδ li jirrikonoxxu antiġeni intatti li mhumiex marbuta mar-riċetturi MHC.")</f>
        <v>Kemm iċ-ċelloli B kif ukoll iċ-ċelloli T iġorru molekuli tar-riċetturi li jirrikonoxxu miri speċifiċi. Iċ-ċelloli T jirrikonoxxu mira "mhux self", bħal patoġen, biss wara li l-antiġeni (frammenti żgħar tal-patoġen) ġew ipproċessati u ppreżentati flimkien ma 'riċettur "awto" msejjaħ molekula ta' kumpless ta 'istokompatibilità maġġuri (MHC). Hemm żewġ sottotipi ewlenin ta 'ċelloli T: iċ-ċellula T qattiel u ċ-ċellula T helper. Barra minn hekk hemm ċelloli T regolatorji li għandhom rwol fil-modulazzjoni tar-rispons immuni. Iċ-ċelloli T qattiel jirrikonoxxu biss antiġeni akkoppjati mal-molekuli MHC tal-klassi I, filwaqt li ċelloli T helper u ċelloli T regolatorji jirrikonoxxu biss antiġeni akkoppjati mal-molekuli tal-klassi II MHC. Dawn iż-żewġ mekkaniżmi ta 'preżentazzjoni ta' l-antiġen jirriflettu r-rwoli differenti taż-żewġ tipi ta 'ċelluli T. Terz, sottotip minuri huma ċ-ċelloli T γδ li jirrikonoxxu antiġeni intatti li mhumiex marbuta mar-riċetturi MHC.</v>
      </c>
    </row>
    <row r="6297" ht="15.75" customHeight="1">
      <c r="A6297" s="2" t="s">
        <v>6297</v>
      </c>
      <c r="B6297" s="2" t="str">
        <f>IFERROR(__xludf.DUMMYFUNCTION("GOOGLETRANSLATE(A6297, ""en"", ""mt"")"),"ħafna individwi")</f>
        <v>ħafna individwi</v>
      </c>
    </row>
    <row r="6298" ht="15.75" customHeight="1">
      <c r="A6298" s="2" t="s">
        <v>6298</v>
      </c>
      <c r="B6298" s="2" t="str">
        <f>IFERROR(__xludf.DUMMYFUNCTION("GOOGLETRANSLATE(A6298, ""en"", ""mt"")"),"konferenzi")</f>
        <v>konferenzi</v>
      </c>
    </row>
    <row r="6299" ht="15.75" customHeight="1">
      <c r="A6299" s="2" t="s">
        <v>6299</v>
      </c>
      <c r="B6299" s="2" t="str">
        <f>IFERROR(__xludf.DUMMYFUNCTION("GOOGLETRANSLATE(A6299, ""en"", ""mt"")"),"Il-liġi tan-nazzjonalizzazzjoni kienet mill-1962, u t-trattat kien fis-seħħ mill-1958")</f>
        <v>Il-liġi tan-nazzjonalizzazzjoni kienet mill-1962, u t-trattat kien fis-seħħ mill-1958</v>
      </c>
    </row>
    <row r="6300" ht="15.75" customHeight="1">
      <c r="A6300" s="2" t="s">
        <v>6300</v>
      </c>
      <c r="B6300" s="2" t="str">
        <f>IFERROR(__xludf.DUMMYFUNCTION("GOOGLETRANSLATE(A6300, ""en"", ""mt"")"),"X'inhu kważi identiku bejn in-nazzjonijiet u l-ġurisdizzjonijiet kollha?")</f>
        <v>X'inhu kważi identiku bejn in-nazzjonijiet u l-ġurisdizzjonijiet kollha?</v>
      </c>
    </row>
    <row r="6301" ht="15.75" customHeight="1">
      <c r="A6301" s="2" t="s">
        <v>6301</v>
      </c>
      <c r="B6301" s="2" t="str">
        <f>IFERROR(__xludf.DUMMYFUNCTION("GOOGLETRANSLATE(A6301, ""en"", ""mt"")"),"huwa inferjuri")</f>
        <v>huwa inferjuri</v>
      </c>
    </row>
    <row r="6302" ht="15.75" customHeight="1">
      <c r="A6302" s="2" t="s">
        <v>6302</v>
      </c>
      <c r="B6302" s="2" t="str">
        <f>IFERROR(__xludf.DUMMYFUNCTION("GOOGLETRANSLATE(A6302, ""en"", ""mt"")"),"Frar 2015")</f>
        <v>Frar 2015</v>
      </c>
    </row>
    <row r="6303" ht="15.75" customHeight="1">
      <c r="A6303" s="2" t="s">
        <v>6303</v>
      </c>
      <c r="B6303" s="2" t="str">
        <f>IFERROR(__xludf.DUMMYFUNCTION("GOOGLETRANSLATE(A6303, ""en"", ""mt"")"),"Itfi d-difiżi ospitanti")</f>
        <v>Itfi d-difiżi ospitanti</v>
      </c>
    </row>
    <row r="6304" ht="15.75" customHeight="1">
      <c r="A6304" s="2" t="s">
        <v>6304</v>
      </c>
      <c r="B6304" s="2" t="str">
        <f>IFERROR(__xludf.DUMMYFUNCTION("GOOGLETRANSLATE(A6304, ""en"", ""mt"")"),"X'tip ta 'diviżjoni tal-poter kellu l-gvern ta' Kublai?")</f>
        <v>X'tip ta 'diviżjoni tal-poter kellu l-gvern ta' Kublai?</v>
      </c>
    </row>
    <row r="6305" ht="15.75" customHeight="1">
      <c r="A6305" s="2" t="s">
        <v>6305</v>
      </c>
      <c r="B6305" s="2" t="str">
        <f>IFERROR(__xludf.DUMMYFUNCTION("GOOGLETRANSLATE(A6305, ""en"", ""mt"")"),"Liema marda kkuntratt Tesla fl-1873?")</f>
        <v>Liema marda kkuntratt Tesla fl-1873?</v>
      </c>
    </row>
    <row r="6306" ht="15.75" customHeight="1">
      <c r="A6306" s="2" t="s">
        <v>6306</v>
      </c>
      <c r="B6306" s="2" t="str">
        <f>IFERROR(__xludf.DUMMYFUNCTION("GOOGLETRANSLATE(A6306, ""en"", ""mt"")"),"professjonisti")</f>
        <v>professjonisti</v>
      </c>
    </row>
    <row r="6307" ht="15.75" customHeight="1">
      <c r="A6307" s="2" t="s">
        <v>6307</v>
      </c>
      <c r="B6307" s="2" t="str">
        <f>IFERROR(__xludf.DUMMYFUNCTION("GOOGLETRANSLATE(A6307, ""en"", ""mt"")"),"X'inhuma żewġ eżempji ta 'mediċini ċitotossiċi jew immunosoppressivi?")</f>
        <v>X'inhuma żewġ eżempji ta 'mediċini ċitotossiċi jew immunosoppressivi?</v>
      </c>
    </row>
    <row r="6308" ht="15.75" customHeight="1">
      <c r="A6308" s="2" t="s">
        <v>6308</v>
      </c>
      <c r="B6308" s="2" t="str">
        <f>IFERROR(__xludf.DUMMYFUNCTION("GOOGLETRANSLATE(A6308, ""en"", ""mt"")"),"Fil-ħin ta 'Martin Luther x'kien fid-domanda?")</f>
        <v>Fil-ħin ta 'Martin Luther x'kien fid-domanda?</v>
      </c>
    </row>
    <row r="6309" ht="15.75" customHeight="1">
      <c r="A6309" s="2" t="s">
        <v>6309</v>
      </c>
      <c r="B6309" s="2" t="str">
        <f>IFERROR(__xludf.DUMMYFUNCTION("GOOGLETRANSLATE(A6309, ""en"", ""mt"")"),"X'jista 'jżomm oġġett milli jiċċaqlaq meta jkun qed jiġi mbuttat fuq wiċċ?")</f>
        <v>X'jista 'jżomm oġġett milli jiċċaqlaq meta jkun qed jiġi mbuttat fuq wiċċ?</v>
      </c>
    </row>
    <row r="6310" ht="15.75" customHeight="1">
      <c r="A6310" s="2" t="s">
        <v>6310</v>
      </c>
      <c r="B6310" s="2" t="str">
        <f>IFERROR(__xludf.DUMMYFUNCTION("GOOGLETRANSLATE(A6310, ""en"", ""mt"")"),"Spjegazzjoni tal-Kredu tal-Appostli")</f>
        <v>Spjegazzjoni tal-Kredu tal-Appostli</v>
      </c>
    </row>
    <row r="6311" ht="15.75" customHeight="1">
      <c r="A6311" s="2" t="s">
        <v>6311</v>
      </c>
      <c r="B6311" s="2" t="str">
        <f>IFERROR(__xludf.DUMMYFUNCTION("GOOGLETRANSLATE(A6311, ""en"", ""mt"")"),"Bojkottjar, li tirrifjuta li tħallas it-taxxi, ipoġġu ins, u l-abbozzi li dodging kollha jagħmlu dak li hu diffiċli?")</f>
        <v>Bojkottjar, li tirrifjuta li tħallas it-taxxi, ipoġġu ins, u l-abbozzi li dodging kollha jagħmlu dak li hu diffiċli?</v>
      </c>
    </row>
    <row r="6312" ht="15.75" customHeight="1">
      <c r="A6312" s="2" t="s">
        <v>6312</v>
      </c>
      <c r="B6312" s="2" t="str">
        <f>IFERROR(__xludf.DUMMYFUNCTION("GOOGLETRANSLATE(A6312, ""en"", ""mt"")"),"teknoloġiji u ideat.")</f>
        <v>teknoloġiji u ideat.</v>
      </c>
    </row>
    <row r="6313" ht="15.75" customHeight="1">
      <c r="A6313" s="2" t="s">
        <v>6313</v>
      </c>
      <c r="B6313" s="2" t="str">
        <f>IFERROR(__xludf.DUMMYFUNCTION("GOOGLETRANSLATE(A6313, ""en"", ""mt"")"),"Liema triq tintefa 'ballun' il fuq u 'l isfel f'vettura li tiċċaqlaq meta tidher minn osservatur ta' barra?")</f>
        <v>Liema triq tintefa 'ballun' il fuq u 'l isfel f'vettura li tiċċaqlaq meta tidher minn osservatur ta' barra?</v>
      </c>
    </row>
    <row r="6314" ht="15.75" customHeight="1">
      <c r="A6314" s="2" t="s">
        <v>6314</v>
      </c>
      <c r="B6314" s="2" t="str">
        <f>IFERROR(__xludf.DUMMYFUNCTION("GOOGLETRANSLATE(A6314, ""en"", ""mt"")"),"X'inhu t-tieni aspett tal-entużjażmu tal-għalliema?")</f>
        <v>X'inhu t-tieni aspett tal-entużjażmu tal-għalliema?</v>
      </c>
    </row>
    <row r="6315" ht="15.75" customHeight="1">
      <c r="A6315" s="2" t="s">
        <v>6315</v>
      </c>
      <c r="B6315" s="2" t="str">
        <f>IFERROR(__xludf.DUMMYFUNCTION("GOOGLETRANSLATE(A6315, ""en"", ""mt"")"),"Storiċi Mongoljani moderni jgħidu li lejn it-tmiem ta ’ħajtu, Genghis Khan ipprova joħloq stat ċivili taħt il-Yassa l-kbira li kien stabbilixxa l-ugwaljanza legali tal-individwi kollha, inklużi n-nisa. Madankollu, m'hemm l-ebda evidenza ta 'dan, jew ta' l"&amp;"-irfigħ ta 'politiki diskriminatorji lejn popli sedentarji bħaċ-Ċiniżi. In-nisa kellhom rwol relattivament importanti fl-Imperu Mongoljan u fil-familja, pereżempju Töregene Khatun kien fil-qosor inkarigat mill-imperu Mongoljan meta kien qed jintgħażel Kha"&amp;"gan maskili li jmiss. L-istudjużi moderni jirreferu għall-allegata politika li jinkoraġġixxu l-kummerċ u l-komunikazzjoni bħala l-Pax Mongolica (Paċi Mongolja).")</f>
        <v>Storiċi Mongoljani moderni jgħidu li lejn it-tmiem ta ’ħajtu, Genghis Khan ipprova joħloq stat ċivili taħt il-Yassa l-kbira li kien stabbilixxa l-ugwaljanza legali tal-individwi kollha, inklużi n-nisa. Madankollu, m'hemm l-ebda evidenza ta 'dan, jew ta' l-irfigħ ta 'politiki diskriminatorji lejn popli sedentarji bħaċ-Ċiniżi. In-nisa kellhom rwol relattivament importanti fl-Imperu Mongoljan u fil-familja, pereżempju Töregene Khatun kien fil-qosor inkarigat mill-imperu Mongoljan meta kien qed jintgħażel Khagan maskili li jmiss. L-istudjużi moderni jirreferu għall-allegata politika li jinkoraġġixxu l-kummerċ u l-komunikazzjoni bħala l-Pax Mongolica (Paċi Mongolja).</v>
      </c>
    </row>
    <row r="6316" ht="15.75" customHeight="1">
      <c r="A6316" s="2" t="s">
        <v>6316</v>
      </c>
      <c r="B6316" s="2" t="str">
        <f>IFERROR(__xludf.DUMMYFUNCTION("GOOGLETRANSLATE(A6316, ""en"", ""mt"")"),"Liema parti ta 'manutenzjoni għolja ma teħtieġx il-mutur AC ta' Tesla?")</f>
        <v>Liema parti ta 'manutenzjoni għolja ma teħtieġx il-mutur AC ta' Tesla?</v>
      </c>
    </row>
    <row r="6317" ht="15.75" customHeight="1">
      <c r="A6317" s="2" t="s">
        <v>6317</v>
      </c>
      <c r="B6317" s="2" t="str">
        <f>IFERROR(__xludf.DUMMYFUNCTION("GOOGLETRANSLATE(A6317, ""en"", ""mt"")"),"Amazon_rainforest")</f>
        <v>Amazon_rainforest</v>
      </c>
    </row>
    <row r="6318" ht="15.75" customHeight="1">
      <c r="A6318" s="2" t="s">
        <v>6318</v>
      </c>
      <c r="B6318" s="2" t="str">
        <f>IFERROR(__xludf.DUMMYFUNCTION("GOOGLETRANSLATE(A6318, ""en"", ""mt"")"),"mibjugħa sentejn wara")</f>
        <v>mibjugħa sentejn wara</v>
      </c>
    </row>
    <row r="6319" ht="15.75" customHeight="1">
      <c r="A6319" s="2" t="s">
        <v>6319</v>
      </c>
      <c r="B6319" s="2" t="str">
        <f>IFERROR(__xludf.DUMMYFUNCTION("GOOGLETRANSLATE(A6319, ""en"", ""mt"")"),"Liema entità tesla emmnet ma tkunx tista 'ssolvi l-problemi tal-ħin?")</f>
        <v>Liema entità tesla emmnet ma tkunx tista 'ssolvi l-problemi tal-ħin?</v>
      </c>
    </row>
    <row r="6320" ht="15.75" customHeight="1">
      <c r="A6320" s="2" t="s">
        <v>6320</v>
      </c>
      <c r="B6320" s="2" t="str">
        <f>IFERROR(__xludf.DUMMYFUNCTION("GOOGLETRANSLATE(A6320, ""en"", ""mt"")"),"X'tip ta 'kamera kienet użata biex tirreġistra l-inżul tal-qamar?")</f>
        <v>X'tip ta 'kamera kienet użata biex tirreġistra l-inżul tal-qamar?</v>
      </c>
    </row>
    <row r="6321" ht="15.75" customHeight="1">
      <c r="A6321" s="2" t="s">
        <v>6321</v>
      </c>
      <c r="B6321" s="2" t="str">
        <f>IFERROR(__xludf.DUMMYFUNCTION("GOOGLETRANSLATE(A6321, ""en"", ""mt"")"),"vjaġġ bir-ritorn mis-siti kollha f'Milan")</f>
        <v>vjaġġ bir-ritorn mis-siti kollha f'Milan</v>
      </c>
    </row>
    <row r="6322" ht="15.75" customHeight="1">
      <c r="A6322" s="2" t="s">
        <v>6322</v>
      </c>
      <c r="B6322" s="2" t="str">
        <f>IFERROR(__xludf.DUMMYFUNCTION("GOOGLETRANSLATE(A6322, ""en"", ""mt"")"),"Importazzjonijiet Ġappuniżi")</f>
        <v>Importazzjonijiet Ġappuniżi</v>
      </c>
    </row>
    <row r="6323" ht="15.75" customHeight="1">
      <c r="A6323" s="2" t="s">
        <v>6323</v>
      </c>
      <c r="B6323" s="2" t="str">
        <f>IFERROR(__xludf.DUMMYFUNCTION("GOOGLETRANSLATE(A6323, ""en"", ""mt"")"),"għexieren")</f>
        <v>għexieren</v>
      </c>
    </row>
    <row r="6324" ht="15.75" customHeight="1">
      <c r="A6324" s="2" t="s">
        <v>6324</v>
      </c>
      <c r="B6324" s="2" t="str">
        <f>IFERROR(__xludf.DUMMYFUNCTION("GOOGLETRANSLATE(A6324, ""en"", ""mt"")"),"L-innijiet ta 'Luther ġew inklużi fl-innijiet tal-Luterani bikrija u xerrdu l-ideat tar-Riforma. Huwa pprovda erba 'minn tmien kanzunetti tal-ewwel innu Luteran Achtliederbuch, 18 minn 26 kanzunetta ta' l-Erfurt Enchiridion, u 24 mit-32 kanzunetta fl-Ewwe"&amp;"l Innu Korali bl-issettjar minn Johann Walter, Eyn Geystlich Gesangk Buchleyn, kollha ppubblikati fl-1524.")</f>
        <v>L-innijiet ta 'Luther ġew inklużi fl-innijiet tal-Luterani bikrija u xerrdu l-ideat tar-Riforma. Huwa pprovda erba 'minn tmien kanzunetti tal-ewwel innu Luteran Achtliederbuch, 18 minn 26 kanzunetta ta' l-Erfurt Enchiridion, u 24 mit-32 kanzunetta fl-Ewwel Innu Korali bl-issettjar minn Johann Walter, Eyn Geystlich Gesangk Buchleyn, kollha ppubblikati fl-1524.</v>
      </c>
    </row>
    <row r="6325" ht="15.75" customHeight="1">
      <c r="A6325" s="2" t="s">
        <v>6325</v>
      </c>
      <c r="B6325" s="2" t="str">
        <f>IFERROR(__xludf.DUMMYFUNCTION("GOOGLETRANSLATE(A6325, ""en"", ""mt"")"),"Min jgħix m'għadux bħala medja minn Griegi u New Zealanders?")</f>
        <v>Min jgħix m'għadux bħala medja minn Griegi u New Zealanders?</v>
      </c>
    </row>
    <row r="6326" ht="15.75" customHeight="1">
      <c r="A6326" s="2" t="s">
        <v>6326</v>
      </c>
      <c r="B6326" s="2" t="str">
        <f>IFERROR(__xludf.DUMMYFUNCTION("GOOGLETRANSLATE(A6326, ""en"", ""mt"")"),"Kampanji fuq il-Lag Ontario")</f>
        <v>Kampanji fuq il-Lag Ontario</v>
      </c>
    </row>
    <row r="6327" ht="15.75" customHeight="1">
      <c r="A6327" s="2" t="s">
        <v>6327</v>
      </c>
      <c r="B6327" s="2" t="str">
        <f>IFERROR(__xludf.DUMMYFUNCTION("GOOGLETRANSLATE(A6327, ""en"", ""mt"")"),"Dak li huwa komunement maħsub li huwa r-relazzjoni ta 'valur bejn p u ko-np")</f>
        <v>Dak li huwa komunement maħsub li huwa r-relazzjoni ta 'valur bejn p u ko-np</v>
      </c>
    </row>
    <row r="6328" ht="15.75" customHeight="1">
      <c r="A6328" s="2" t="s">
        <v>6328</v>
      </c>
      <c r="B6328" s="2" t="str">
        <f>IFERROR(__xludf.DUMMYFUNCTION("GOOGLETRANSLATE(A6328, ""en"", ""mt"")"),"X'inhu meħtieġ li ma jobdix?")</f>
        <v>X'inhu meħtieġ li ma jobdix?</v>
      </c>
    </row>
    <row r="6329" ht="15.75" customHeight="1">
      <c r="A6329" s="2" t="s">
        <v>6329</v>
      </c>
      <c r="B6329" s="2" t="str">
        <f>IFERROR(__xludf.DUMMYFUNCTION("GOOGLETRANSLATE(A6329, ""en"", ""mt"")"),"Viċi President")</f>
        <v>Viċi President</v>
      </c>
    </row>
    <row r="6330" ht="15.75" customHeight="1">
      <c r="A6330" s="2" t="s">
        <v>6330</v>
      </c>
      <c r="B6330" s="2" t="str">
        <f>IFERROR(__xludf.DUMMYFUNCTION("GOOGLETRANSLATE(A6330, ""en"", ""mt"")"),"Il-Bord Ġenerali tal-Knisja u s-Soċjetà, u n-Nisa Metodisti Magħquda")</f>
        <v>Il-Bord Ġenerali tal-Knisja u s-Soċjetà, u n-Nisa Metodisti Magħquda</v>
      </c>
    </row>
    <row r="6331" ht="15.75" customHeight="1">
      <c r="A6331" s="2" t="s">
        <v>6331</v>
      </c>
      <c r="B6331" s="2" t="str">
        <f>IFERROR(__xludf.DUMMYFUNCTION("GOOGLETRANSLATE(A6331, ""en"", ""mt"")"),"L-immuni innata")</f>
        <v>L-immuni innata</v>
      </c>
    </row>
    <row r="6332" ht="15.75" customHeight="1">
      <c r="A6332" s="2" t="s">
        <v>6332</v>
      </c>
      <c r="B6332" s="2" t="str">
        <f>IFERROR(__xludf.DUMMYFUNCTION("GOOGLETRANSLATE(A6332, ""en"", ""mt"")"),"Algoritmu tal-Ħin Polinomjali")</f>
        <v>Algoritmu tal-Ħin Polinomjali</v>
      </c>
    </row>
    <row r="6333" ht="15.75" customHeight="1">
      <c r="A6333" s="2" t="s">
        <v>6333</v>
      </c>
      <c r="B6333" s="2" t="str">
        <f>IFERROR(__xludf.DUMMYFUNCTION("GOOGLETRANSLATE(A6333, ""en"", ""mt"")"),"Fit-tieni liġi ta 'Newton, x'inhuma l-unitajiet tal-massa u l-forza fir-rigward tal-mikroskali?")</f>
        <v>Fit-tieni liġi ta 'Newton, x'inhuma l-unitajiet tal-massa u l-forza fir-rigward tal-mikroskali?</v>
      </c>
    </row>
    <row r="6334" ht="15.75" customHeight="1">
      <c r="A6334" s="2" t="s">
        <v>6334</v>
      </c>
      <c r="B6334" s="2" t="str">
        <f>IFERROR(__xludf.DUMMYFUNCTION("GOOGLETRANSLATE(A6334, ""en"", ""mt"")"),"raħal")</f>
        <v>raħal</v>
      </c>
    </row>
    <row r="6335" ht="15.75" customHeight="1">
      <c r="A6335" s="2" t="s">
        <v>6335</v>
      </c>
      <c r="B6335" s="2" t="str">
        <f>IFERROR(__xludf.DUMMYFUNCTION("GOOGLETRANSLATE(A6335, ""en"", ""mt"")"),"tankers iżolati")</f>
        <v>tankers iżolati</v>
      </c>
    </row>
    <row r="6336" ht="15.75" customHeight="1">
      <c r="A6336" s="2" t="s">
        <v>6336</v>
      </c>
      <c r="B6336" s="2" t="str">
        <f>IFERROR(__xludf.DUMMYFUNCTION("GOOGLETRANSLATE(A6336, ""en"", ""mt"")"),"il-park")</f>
        <v>il-park</v>
      </c>
    </row>
    <row r="6337" ht="15.75" customHeight="1">
      <c r="A6337" s="2" t="s">
        <v>6337</v>
      </c>
      <c r="B6337" s="2" t="str">
        <f>IFERROR(__xludf.DUMMYFUNCTION("GOOGLETRANSLATE(A6337, ""en"", ""mt"")"),"8 sa 10 mili")</f>
        <v>8 sa 10 mili</v>
      </c>
    </row>
    <row r="6338" ht="15.75" customHeight="1">
      <c r="A6338" s="2" t="s">
        <v>6338</v>
      </c>
      <c r="B6338" s="2" t="str">
        <f>IFERROR(__xludf.DUMMYFUNCTION("GOOGLETRANSLATE(A6338, ""en"", ""mt"")"),"Patrijiet Agostinjani")</f>
        <v>Patrijiet Agostinjani</v>
      </c>
    </row>
    <row r="6339" ht="15.75" customHeight="1">
      <c r="A6339" s="2" t="s">
        <v>6339</v>
      </c>
      <c r="B6339" s="2" t="str">
        <f>IFERROR(__xludf.DUMMYFUNCTION("GOOGLETRANSLATE(A6339, ""en"", ""mt"")"),"Dak li jqisu li huma inġusti")</f>
        <v>Dak li jqisu li huma inġusti</v>
      </c>
    </row>
    <row r="6340" ht="15.75" customHeight="1">
      <c r="A6340" s="2" t="s">
        <v>6340</v>
      </c>
      <c r="B6340" s="2" t="str">
        <f>IFERROR(__xludf.DUMMYFUNCTION("GOOGLETRANSLATE(A6340, ""en"", ""mt"")"),"Il-biċċa l-kbira tal-impjiegi tal-kostruzzjoni tal-bini huma xiex?")</f>
        <v>Il-biċċa l-kbira tal-impjiegi tal-kostruzzjoni tal-bini huma xiex?</v>
      </c>
    </row>
    <row r="6341" ht="15.75" customHeight="1">
      <c r="A6341" s="2" t="s">
        <v>6341</v>
      </c>
      <c r="B6341" s="2" t="str">
        <f>IFERROR(__xludf.DUMMYFUNCTION("GOOGLETRANSLATE(A6341, ""en"", ""mt"")"),"X'inhu t-terminu għall-arranġament ta 'żewġ elettroni mhux imqabbla f'Dioxygen?")</f>
        <v>X'inhu t-terminu għall-arranġament ta 'żewġ elettroni mhux imqabbla f'Dioxygen?</v>
      </c>
    </row>
    <row r="6342" ht="15.75" customHeight="1">
      <c r="A6342" s="2" t="s">
        <v>6342</v>
      </c>
      <c r="B6342" s="2" t="str">
        <f>IFERROR(__xludf.DUMMYFUNCTION("GOOGLETRANSLATE(A6342, ""en"", ""mt"")"),"X'tip ta 'organiżmu huwa Cyanophora?")</f>
        <v>X'tip ta 'organiżmu huwa Cyanophora?</v>
      </c>
    </row>
    <row r="6343" ht="15.75" customHeight="1">
      <c r="A6343" s="2" t="s">
        <v>6343</v>
      </c>
      <c r="B6343" s="2" t="str">
        <f>IFERROR(__xludf.DUMMYFUNCTION("GOOGLETRANSLATE(A6343, ""en"", ""mt"")"),"tletin")</f>
        <v>tletin</v>
      </c>
    </row>
    <row r="6344" ht="15.75" customHeight="1">
      <c r="A6344" s="2" t="s">
        <v>6344</v>
      </c>
      <c r="B6344" s="2" t="str">
        <f>IFERROR(__xludf.DUMMYFUNCTION("GOOGLETRANSLATE(A6344, ""en"", ""mt"")"),"Liema proporzjon tal-popolazzjoni ġenerali fiż-żona milli sar l-Iran Genghis Khan qatel?")</f>
        <v>Liema proporzjon tal-popolazzjoni ġenerali fiż-żona milli sar l-Iran Genghis Khan qatel?</v>
      </c>
    </row>
    <row r="6345" ht="15.75" customHeight="1">
      <c r="A6345" s="2" t="s">
        <v>6345</v>
      </c>
      <c r="B6345" s="2" t="str">
        <f>IFERROR(__xludf.DUMMYFUNCTION("GOOGLETRANSLATE(A6345, ""en"", ""mt"")"),"Id-Dipartiment għall-Kultura, il-Midja u l-Isport.")</f>
        <v>Id-Dipartiment għall-Kultura, il-Midja u l-Isport.</v>
      </c>
    </row>
    <row r="6346" ht="15.75" customHeight="1">
      <c r="A6346" s="2" t="s">
        <v>6346</v>
      </c>
      <c r="B6346" s="2" t="str">
        <f>IFERROR(__xludf.DUMMYFUNCTION("GOOGLETRANSLATE(A6346, ""en"", ""mt"")"),"Operazzjoni ewlenija waħda")</f>
        <v>Operazzjoni ewlenija waħda</v>
      </c>
    </row>
    <row r="6347" ht="15.75" customHeight="1">
      <c r="A6347" s="2" t="s">
        <v>6347</v>
      </c>
      <c r="B6347" s="2" t="str">
        <f>IFERROR(__xludf.DUMMYFUNCTION("GOOGLETRANSLATE(A6347, ""en"", ""mt"")"),"ħafif u xemxi.")</f>
        <v>ħafif u xemxi.</v>
      </c>
    </row>
    <row r="6348" ht="15.75" customHeight="1">
      <c r="A6348" s="2" t="s">
        <v>6348</v>
      </c>
      <c r="B6348" s="2" t="str">
        <f>IFERROR(__xludf.DUMMYFUNCTION("GOOGLETRANSLATE(A6348, ""en"", ""mt"")"),"Minn fejn kien jemmen Tesla t-talenti tiegħu?")</f>
        <v>Minn fejn kien jemmen Tesla t-talenti tiegħu?</v>
      </c>
    </row>
    <row r="6349" ht="15.75" customHeight="1">
      <c r="A6349" s="2" t="s">
        <v>6349</v>
      </c>
      <c r="B6349" s="2" t="str">
        <f>IFERROR(__xludf.DUMMYFUNCTION("GOOGLETRANSLATE(A6349, ""en"", ""mt"")"),"maqtula permezz ta 'xogħol żejjed")</f>
        <v>maqtula permezz ta 'xogħol żejjed</v>
      </c>
    </row>
    <row r="6350" ht="15.75" customHeight="1">
      <c r="A6350" s="2" t="s">
        <v>6350</v>
      </c>
      <c r="B6350" s="2" t="str">
        <f>IFERROR(__xludf.DUMMYFUNCTION("GOOGLETRANSLATE(A6350, ""en"", ""mt"")"),"megħjuna")</f>
        <v>megħjuna</v>
      </c>
    </row>
    <row r="6351" ht="15.75" customHeight="1">
      <c r="A6351" s="2" t="s">
        <v>6351</v>
      </c>
      <c r="B6351" s="2" t="str">
        <f>IFERROR(__xludf.DUMMYFUNCTION("GOOGLETRANSLATE(A6351, ""en"", ""mt"")"),"Tnaqqis fil-prezz tax-xogħol tas-sengħa")</f>
        <v>Tnaqqis fil-prezz tax-xogħol tas-sengħa</v>
      </c>
    </row>
    <row r="6352" ht="15.75" customHeight="1">
      <c r="A6352" s="2" t="s">
        <v>6352</v>
      </c>
      <c r="B6352" s="2" t="str">
        <f>IFERROR(__xludf.DUMMYFUNCTION("GOOGLETRANSLATE(A6352, ""en"", ""mt"")"),"Il-knisja tenfasizza l-ħtieġa li tkun fil-ministeru ta 'appoġġ ta' liema grupp?")</f>
        <v>Il-knisja tenfasizza l-ħtieġa li tkun fil-ministeru ta 'appoġġ ta' liema grupp?</v>
      </c>
    </row>
    <row r="6353" ht="15.75" customHeight="1">
      <c r="A6353" s="2" t="s">
        <v>6353</v>
      </c>
      <c r="B6353" s="2" t="str">
        <f>IFERROR(__xludf.DUMMYFUNCTION("GOOGLETRANSLATE(A6353, ""en"", ""mt"")"),"Termini ta 'pressjoni assoċjati ma' forzi li jaġixxu normali għaż-żona ta 'sezzjoni trasversali (id-djagonali tal-matriċi tat-tensjoni) kif ukoll termini ta' shear")</f>
        <v>Termini ta 'pressjoni assoċjati ma' forzi li jaġixxu normali għaż-żona ta 'sezzjoni trasversali (id-djagonali tal-matriċi tat-tensjoni) kif ukoll termini ta' shear</v>
      </c>
    </row>
    <row r="6354" ht="15.75" customHeight="1">
      <c r="A6354" s="2" t="s">
        <v>6354</v>
      </c>
      <c r="B6354" s="2" t="str">
        <f>IFERROR(__xludf.DUMMYFUNCTION("GOOGLETRANSLATE(A6354, ""en"", ""mt"")"),"F'liema kompost huwa l-ossiġnu parti ta 'arranġament ta' ċirku?")</f>
        <v>F'liema kompost huwa l-ossiġnu parti ta 'arranġament ta' ċirku?</v>
      </c>
    </row>
    <row r="6355" ht="15.75" customHeight="1">
      <c r="A6355" s="2" t="s">
        <v>6355</v>
      </c>
      <c r="B6355" s="2" t="str">
        <f>IFERROR(__xludf.DUMMYFUNCTION("GOOGLETRANSLATE(A6355, ""en"", ""mt"")"),"Teorija waħda hija li, filwaqt li d-diżubbidjenza tista 'tkun ta' għajnuna, kwalunkwe ammont kbir minnha jista 'jdgħajjef il-liġi billi jinkoraġġixxi diżubbidjenza ġenerali li la hija kuxjenzjuża u lanqas ta' benefiċċju soċjali. Għalhekk, il-liġijiet tal-"&amp;"liġijiet kuxjenzjużi għandhom jiġu kkastigati. Michael Bayles jargumenta li jekk persuna tikser liġi sabiex toħloq każ ta 'test dwar il-kostituzzjonalità ta' liġi, u mbagħad jirbaħ il-każ tiegħu, allura dak l-att ma jikkostitwixxix diżubbidjenza ċivili. Ġ"&amp;"ie argumentat ukoll li t-tkissir tal-liġi għall-awto-sodisfazzjon, bħal fil-każ ta 'utent omosesswali jew tal-kannabis li ma jidderieġix l-att tiegħu biex jiżgura r-revoka ta' emenda tal-liġi, mhix diżubbidjenza ċivili. Bl-istess mod, protestant li jippro"&amp;"va jaħrab mill-kastig billi wettaq ir-reat bil-moħbi u jevita l-attribuzzjoni, jew billi jiċħad li wettaq ir-reat, jew billi jaħarbu mill-ġurisdizzjoni, ġeneralment huwa meqjus bħala li mhux bħala diżubbidjenti ċivili.")</f>
        <v>Teorija waħda hija li, filwaqt li d-diżubbidjenza tista 'tkun ta' għajnuna, kwalunkwe ammont kbir minnha jista 'jdgħajjef il-liġi billi jinkoraġġixxi diżubbidjenza ġenerali li la hija kuxjenzjuża u lanqas ta' benefiċċju soċjali. Għalhekk, il-liġijiet tal-liġijiet kuxjenzjużi għandhom jiġu kkastigati. Michael Bayles jargumenta li jekk persuna tikser liġi sabiex toħloq każ ta 'test dwar il-kostituzzjonalità ta' liġi, u mbagħad jirbaħ il-każ tiegħu, allura dak l-att ma jikkostitwixxix diżubbidjenza ċivili. Ġie argumentat ukoll li t-tkissir tal-liġi għall-awto-sodisfazzjon, bħal fil-każ ta 'utent omosesswali jew tal-kannabis li ma jidderieġix l-att tiegħu biex jiżgura r-revoka ta' emenda tal-liġi, mhix diżubbidjenza ċivili. Bl-istess mod, protestant li jipprova jaħrab mill-kastig billi wettaq ir-reat bil-moħbi u jevita l-attribuzzjoni, jew billi jiċħad li wettaq ir-reat, jew billi jaħarbu mill-ġurisdizzjoni, ġeneralment huwa meqjus bħala li mhux bħala diżubbidjenti ċivili.</v>
      </c>
    </row>
    <row r="6356" ht="15.75" customHeight="1">
      <c r="A6356" s="2" t="s">
        <v>6356</v>
      </c>
      <c r="B6356" s="2" t="str">
        <f>IFERROR(__xludf.DUMMYFUNCTION("GOOGLETRANSLATE(A6356, ""en"", ""mt"")"),"Kemm jiswa l-Istitut Milton Friedman bejn wieħed u ieħor?")</f>
        <v>Kemm jiswa l-Istitut Milton Friedman bejn wieħed u ieħor?</v>
      </c>
    </row>
    <row r="6357" ht="15.75" customHeight="1">
      <c r="A6357" s="2" t="s">
        <v>6357</v>
      </c>
      <c r="B6357" s="2" t="str">
        <f>IFERROR(__xludf.DUMMYFUNCTION("GOOGLETRANSLATE(A6357, ""en"", ""mt"")"),"Il-liġijiet ta 'Newton u l-mekkanika Newtonjana b'mod ġenerali ġew żviluppati l-ewwel biex jiddeskrivu kif il-forzi jaffettwaw partiċelli ta' punt idealizzati aktar milli oġġetti tridimensjonali. Madankollu, fil-ħajja reali, il-materja estendiet l-istrutt"&amp;"ura u l-forzi li jaġixxu fuq parti waħda ta 'oġġett jistgħu jaffettwaw partijiet oħra ta' oġġett. Għal sitwazzjonijiet fejn il-kannizzata li żżomm flimkien l-atomi f'oġġett tkun kapaċi tiċċirkola, tikkuntratta, jew tibdel b'xi mod ieħor il-forma, it-teori"&amp;"ji tal-mekkanika kontinwa jiddeskrivu l-mod kif il-forzi jaffettwaw il-materjal. Pereżempju, fi fluwidi estiżi, id-differenzi fil-pressjoni jirriżultaw fil-forzi li jkunu diretti tul il-gradjenti tal-pressjoni kif ġej:")</f>
        <v>Il-liġijiet ta 'Newton u l-mekkanika Newtonjana b'mod ġenerali ġew żviluppati l-ewwel biex jiddeskrivu kif il-forzi jaffettwaw partiċelli ta' punt idealizzati aktar milli oġġetti tridimensjonali. Madankollu, fil-ħajja reali, il-materja estendiet l-istruttura u l-forzi li jaġixxu fuq parti waħda ta 'oġġett jistgħu jaffettwaw partijiet oħra ta' oġġett. Għal sitwazzjonijiet fejn il-kannizzata li żżomm flimkien l-atomi f'oġġett tkun kapaċi tiċċirkola, tikkuntratta, jew tibdel b'xi mod ieħor il-forma, it-teoriji tal-mekkanika kontinwa jiddeskrivu l-mod kif il-forzi jaffettwaw il-materjal. Pereżempju, fi fluwidi estiżi, id-differenzi fil-pressjoni jirriżultaw fil-forzi li jkunu diretti tul il-gradjenti tal-pressjoni kif ġej:</v>
      </c>
    </row>
    <row r="6358" ht="15.75" customHeight="1">
      <c r="A6358" s="2" t="s">
        <v>6358</v>
      </c>
      <c r="B6358" s="2" t="str">
        <f>IFERROR(__xludf.DUMMYFUNCTION("GOOGLETRANSLATE(A6358, ""en"", ""mt"")"),"Lulju")</f>
        <v>Lulju</v>
      </c>
    </row>
    <row r="6359" ht="15.75" customHeight="1">
      <c r="A6359" s="2" t="s">
        <v>6359</v>
      </c>
      <c r="B6359" s="2" t="str">
        <f>IFERROR(__xludf.DUMMYFUNCTION("GOOGLETRANSLATE(A6359, ""en"", ""mt"")"),"Forza nukleari")</f>
        <v>Forza nukleari</v>
      </c>
    </row>
    <row r="6360" ht="15.75" customHeight="1">
      <c r="A6360" s="2" t="s">
        <v>6360</v>
      </c>
      <c r="B6360" s="2" t="str">
        <f>IFERROR(__xludf.DUMMYFUNCTION("GOOGLETRANSLATE(A6360, ""en"", ""mt"")"),"Gvernijiet ta 'l-Istati Uniti, il-Gran Brittanja, il-Ġermanja u Franza")</f>
        <v>Gvernijiet ta 'l-Istati Uniti, il-Gran Brittanja, il-Ġermanja u Franza</v>
      </c>
    </row>
    <row r="6361" ht="15.75" customHeight="1">
      <c r="A6361" s="2" t="s">
        <v>6361</v>
      </c>
      <c r="B6361" s="2" t="str">
        <f>IFERROR(__xludf.DUMMYFUNCTION("GOOGLETRANSLATE(A6361, ""en"", ""mt"")"),"Minbarra l-problema tal-bejjiegħ li jivvjaġġa, x'inhu eżempju ieħor ta 'problema ta' funzjoni?")</f>
        <v>Minbarra l-problema tal-bejjiegħ li jivvjaġġa, x'inhu eżempju ieħor ta 'problema ta' funzjoni?</v>
      </c>
    </row>
    <row r="6362" ht="15.75" customHeight="1">
      <c r="A6362" s="2" t="s">
        <v>6362</v>
      </c>
      <c r="B6362" s="2" t="str">
        <f>IFERROR(__xludf.DUMMYFUNCTION("GOOGLETRANSLATE(A6362, ""en"", ""mt"")"),"Wieħed minn kull ħamsa")</f>
        <v>Wieħed minn kull ħamsa</v>
      </c>
    </row>
    <row r="6363" ht="15.75" customHeight="1">
      <c r="A6363" s="2" t="s">
        <v>6363</v>
      </c>
      <c r="B6363" s="2" t="str">
        <f>IFERROR(__xludf.DUMMYFUNCTION("GOOGLETRANSLATE(A6363, ""en"", ""mt"")"),"Bankiera, accountants u inġiniera tal-ispejjeż ipoteki x'aktarx huma parteċipanti fil-ħolqien ta 'pjan ġenerali għall-ġestjoni finanzjarja tal-proġett tal-kostruzzjoni tal-bini. Il-preżenza tal-bankier tal-ipoteki hija probabbli ħafna, anke fi proġetti re"&amp;"lattivament żgħar peress li l-ekwità tas-sid fil-propjetà hija l-iktar sors ovvju ta 'finanzjament għal proġett ta' bini. Il-kontabilisti jaġixxu biex jistudjaw il-fluss monetarju mistenni matul il-ħajja tal-proġett u jimmonitorja l-ħlasijiet matul il-pro"&amp;"ċess. Inġiniera tal-ispejjeż u estimaturi japplikaw għarfien espert biex jirrelataw ix-xogħol u l-materjali involuti ma 'valutazzjoni xierqa. L-ispejjeż żejda ma 'proġetti tal-gvern seħħew meta l-kuntrattur identifika ordnijiet ta' bidla jew bidliet fil-p"&amp;"roġett li żiedu l-ispejjeż, li mhumiex soġġetti għal kompetizzjoni minn ditti oħra peress li diġà ġew eliminati mill-konsiderazzjoni wara l-offerta inizjali.")</f>
        <v>Bankiera, accountants u inġiniera tal-ispejjeż ipoteki x'aktarx huma parteċipanti fil-ħolqien ta 'pjan ġenerali għall-ġestjoni finanzjarja tal-proġett tal-kostruzzjoni tal-bini. Il-preżenza tal-bankier tal-ipoteki hija probabbli ħafna, anke fi proġetti relattivament żgħar peress li l-ekwità tas-sid fil-propjetà hija l-iktar sors ovvju ta 'finanzjament għal proġett ta' bini. Il-kontabilisti jaġixxu biex jistudjaw il-fluss monetarju mistenni matul il-ħajja tal-proġett u jimmonitorja l-ħlasijiet matul il-proċess. Inġiniera tal-ispejjeż u estimaturi japplikaw għarfien espert biex jirrelataw ix-xogħol u l-materjali involuti ma 'valutazzjoni xierqa. L-ispejjeż żejda ma 'proġetti tal-gvern seħħew meta l-kuntrattur identifika ordnijiet ta' bidla jew bidliet fil-proġett li żiedu l-ispejjeż, li mhumiex soġġetti għal kompetizzjoni minn ditti oħra peress li diġà ġew eliminati mill-konsiderazzjoni wara l-offerta inizjali.</v>
      </c>
    </row>
    <row r="6364" ht="15.75" customHeight="1">
      <c r="A6364" s="2" t="s">
        <v>6364</v>
      </c>
      <c r="B6364" s="2" t="str">
        <f>IFERROR(__xludf.DUMMYFUNCTION("GOOGLETRANSLATE(A6364, ""en"", ""mt"")"),"Tribujiet Ġermaniċi qasmu r-Renu fil-perjodu ta 'migrazzjoni, sas-seklu 5 stabbilixxew ir-renji ta' Francia fuq ir-Renu t'isfel, Burgundy fuq ir-Renu ta 'Fuq u l-Alemannia fuq ir-Renu għoli. Din l- ""Età Erojka Ġermanika"" hija riflessa fil-leġġenda medje"&amp;"vali, bħalma huma n-Nibelungenelied li jirrakkonta lill-eroj Siegfried joqtol dragun fuq id-Drachenfels (Siebengebirge) (""Dragons Rock""), ħdejn Bonn fir-Rhine u fil-Burgundians u l-qorti tagħhom fi Worms, fit-Teżor tad-Deheb tar-Renu u Kriemhild, li ġie"&amp;" mitfugħ fir-Renu minn Hagen.")</f>
        <v>Tribujiet Ġermaniċi qasmu r-Renu fil-perjodu ta 'migrazzjoni, sas-seklu 5 stabbilixxew ir-renji ta' Francia fuq ir-Renu t'isfel, Burgundy fuq ir-Renu ta 'Fuq u l-Alemannia fuq ir-Renu għoli. Din l- "Età Erojka Ġermanika" hija riflessa fil-leġġenda medjevali, bħalma huma n-Nibelungenelied li jirrakkonta lill-eroj Siegfried joqtol dragun fuq id-Drachenfels (Siebengebirge) ("Dragons Rock"), ħdejn Bonn fir-Rhine u fil-Burgundians u l-qorti tagħhom fi Worms, fit-Teżor tad-Deheb tar-Renu u Kriemhild, li ġie mitfugħ fir-Renu minn Hagen.</v>
      </c>
    </row>
    <row r="6365" ht="15.75" customHeight="1">
      <c r="A6365" s="2" t="s">
        <v>6365</v>
      </c>
      <c r="B6365" s="2" t="str">
        <f>IFERROR(__xludf.DUMMYFUNCTION("GOOGLETRANSLATE(A6365, ""en"", ""mt"")"),"It-terz l-ieħor tal-ilma jgħaddi minn ġol-Pannerdens Kanaal u jqassam mill-ġdid fl-IJSSEL u Nederrijn. Il-fergħa IJSSEL ġġorr disa 'mill-fluss tal-ilma tar-Rhine fit-tramuntana lejn l-ijsselmeer (ex-bajja), filwaqt li n-Nederrijn iġorr madwar żewġ disa' t"&amp;"ad-disa 'tal-fluss lejn il-punent tul rotta parallela mal-waal. Madankollu, f'Wijk Bij Duurstede, in-Nederrijn jibdel isimha u jsir il-lek. Jidher 'il bogħod lejn il-punent, biex jerġa' jerġa 'jmur ix-Xmara Noord lejn in-Nieuwe Maas u lejn il-Baħar tat-Tr"&amp;"amuntana.")</f>
        <v>It-terz l-ieħor tal-ilma jgħaddi minn ġol-Pannerdens Kanaal u jqassam mill-ġdid fl-IJSSEL u Nederrijn. Il-fergħa IJSSEL ġġorr disa 'mill-fluss tal-ilma tar-Rhine fit-tramuntana lejn l-ijsselmeer (ex-bajja), filwaqt li n-Nederrijn iġorr madwar żewġ disa' tad-disa 'tal-fluss lejn il-punent tul rotta parallela mal-waal. Madankollu, f'Wijk Bij Duurstede, in-Nederrijn jibdel isimha u jsir il-lek. Jidher 'il bogħod lejn il-punent, biex jerġa' jerġa 'jmur ix-Xmara Noord lejn in-Nieuwe Maas u lejn il-Baħar tat-Tramuntana.</v>
      </c>
    </row>
    <row r="6366" ht="15.75" customHeight="1">
      <c r="A6366" s="2" t="s">
        <v>6366</v>
      </c>
      <c r="B6366" s="2" t="str">
        <f>IFERROR(__xludf.DUMMYFUNCTION("GOOGLETRANSLATE(A6366, ""en"", ""mt"")"),"limfoċiti")</f>
        <v>limfoċiti</v>
      </c>
    </row>
    <row r="6367" ht="15.75" customHeight="1">
      <c r="A6367" s="2" t="s">
        <v>6367</v>
      </c>
      <c r="B6367" s="2" t="str">
        <f>IFERROR(__xludf.DUMMYFUNCTION("GOOGLETRANSLATE(A6367, ""en"", ""mt"")"),"X'inhu t-terminu għas-sett tal-graffs konnessi kollha relatati ma 'din il-problema ta' deċiżjoni?")</f>
        <v>X'inhu t-terminu għas-sett tal-graffs konnessi kollha relatati ma 'din il-problema ta' deċiżjoni?</v>
      </c>
    </row>
    <row r="6368" ht="15.75" customHeight="1">
      <c r="A6368" s="2" t="s">
        <v>6368</v>
      </c>
      <c r="B6368" s="2" t="str">
        <f>IFERROR(__xludf.DUMMYFUNCTION("GOOGLETRANSLATE(A6368, ""en"", ""mt"")"),"L-antikorpi ttrasportati mill-omm lejn tarbija permezz tal-plaċenta huwa eżempju ta 'liema tip ta' immunità ta 'ħajja qasira?")</f>
        <v>L-antikorpi ttrasportati mill-omm lejn tarbija permezz tal-plaċenta huwa eżempju ta 'liema tip ta' immunità ta 'ħajja qasira?</v>
      </c>
    </row>
    <row r="6369" ht="15.75" customHeight="1">
      <c r="A6369" s="2" t="s">
        <v>6369</v>
      </c>
      <c r="B6369" s="2" t="str">
        <f>IFERROR(__xludf.DUMMYFUNCTION("GOOGLETRANSLATE(A6369, ""en"", ""mt"")"),"Fejn jintużaw xi kliem mid-djalett ta 'Geordia?")</f>
        <v>Fejn jintużaw xi kliem mid-djalett ta 'Geordia?</v>
      </c>
    </row>
    <row r="6370" ht="15.75" customHeight="1">
      <c r="A6370" s="2" t="s">
        <v>6370</v>
      </c>
      <c r="B6370" s="2" t="str">
        <f>IFERROR(__xludf.DUMMYFUNCTION("GOOGLETRANSLATE(A6370, ""en"", ""mt"")"),"Warraghgey, li jfisser ""Hu li jagħmel affarijiet kbar.""")</f>
        <v>Warraghgey, li jfisser "Hu li jagħmel affarijiet kbar."</v>
      </c>
    </row>
    <row r="6371" ht="15.75" customHeight="1">
      <c r="A6371" s="2" t="s">
        <v>6371</v>
      </c>
      <c r="B6371" s="2" t="str">
        <f>IFERROR(__xludf.DUMMYFUNCTION("GOOGLETRANSLATE(A6371, ""en"", ""mt"")"),"maġġoranza")</f>
        <v>maġġoranza</v>
      </c>
    </row>
    <row r="6372" ht="15.75" customHeight="1">
      <c r="A6372" s="2" t="s">
        <v>6372</v>
      </c>
      <c r="B6372" s="2" t="str">
        <f>IFERROR(__xludf.DUMMYFUNCTION("GOOGLETRANSLATE(A6372, ""en"", ""mt"")"),"Papa")</f>
        <v>Papa</v>
      </c>
    </row>
    <row r="6373" ht="15.75" customHeight="1">
      <c r="A6373" s="2" t="s">
        <v>6373</v>
      </c>
      <c r="B6373" s="2" t="str">
        <f>IFERROR(__xludf.DUMMYFUNCTION("GOOGLETRANSLATE(A6373, ""en"", ""mt"")"),"X'tip ta 'proċess kien involut fit-tnaqqis tal-ossiġnu tax-xemx 16?")</f>
        <v>X'tip ta 'proċess kien involut fit-tnaqqis tal-ossiġnu tax-xemx 16?</v>
      </c>
    </row>
    <row r="6374" ht="15.75" customHeight="1">
      <c r="A6374" s="2" t="s">
        <v>6374</v>
      </c>
      <c r="B6374" s="2" t="str">
        <f>IFERROR(__xludf.DUMMYFUNCTION("GOOGLETRANSLATE(A6374, ""en"", ""mt"")"),"Bini tal-vapuri")</f>
        <v>Bini tal-vapuri</v>
      </c>
    </row>
    <row r="6375" ht="15.75" customHeight="1">
      <c r="A6375" s="2" t="s">
        <v>6375</v>
      </c>
      <c r="B6375" s="2" t="str">
        <f>IFERROR(__xludf.DUMMYFUNCTION("GOOGLETRANSLATE(A6375, ""en"", ""mt"")"),"Is-servizzi ta 'fejqan jinvolvu t-tqegħid ta' l-idejn u x'iktar?")</f>
        <v>Is-servizzi ta 'fejqan jinvolvu t-tqegħid ta' l-idejn u x'iktar?</v>
      </c>
    </row>
    <row r="6376" ht="15.75" customHeight="1">
      <c r="A6376" s="2" t="s">
        <v>6376</v>
      </c>
      <c r="B6376" s="2" t="str">
        <f>IFERROR(__xludf.DUMMYFUNCTION("GOOGLETRANSLATE(A6376, ""en"", ""mt"")"),"Lollipop tar-radju")</f>
        <v>Lollipop tar-radju</v>
      </c>
    </row>
    <row r="6377" ht="15.75" customHeight="1">
      <c r="A6377" s="2" t="s">
        <v>6377</v>
      </c>
      <c r="B6377" s="2" t="str">
        <f>IFERROR(__xludf.DUMMYFUNCTION("GOOGLETRANSLATE(A6377, ""en"", ""mt"")"),"riċevituri")</f>
        <v>riċevituri</v>
      </c>
    </row>
    <row r="6378" ht="15.75" customHeight="1">
      <c r="A6378" s="2" t="s">
        <v>6378</v>
      </c>
      <c r="B6378" s="2" t="str">
        <f>IFERROR(__xludf.DUMMYFUNCTION("GOOGLETRANSLATE(A6378, ""en"", ""mt"")"),"Liema denominazzjoni topera l-Kulleġġ ta 'San Ġużepp?")</f>
        <v>Liema denominazzjoni topera l-Kulleġġ ta 'San Ġużepp?</v>
      </c>
    </row>
    <row r="6379" ht="15.75" customHeight="1">
      <c r="A6379" s="2" t="s">
        <v>6379</v>
      </c>
      <c r="B6379" s="2" t="str">
        <f>IFERROR(__xludf.DUMMYFUNCTION("GOOGLETRANSLATE(A6379, ""en"", ""mt"")"),"L-astronawti Apollo ġew magħżula mill-proġett Mercury u Gemini Veterans, flimkien ma 'żewġ gruppi ta' astronawti aktar tard. Il-missjonijiet kollha ġew ikkmandati minn Gemini jew Veterani tal-Merkurju. Ekwipaġġi fuq it-titjiriet kollha ta 'żvilupp (minbar"&amp;"ra t-titjiriet ta' żvilupp CSM Orbit tad-Dinja) permezz tal-ewwel żewġ inżul fuq Apollo 11 u Apollo 12, inkludew mill-inqas żewġ (xi kultant tliet) veterani tal-Gemini. Dr Harrison Schmitt, ġeologu, kien l-ewwel astronawt xjentist tan-NASA li ttir fl-ispa"&amp;"zju, u żbarka fuq il-qamar fl-aħħar missjoni, Apollo 17. Schmitt ipparteċipa fit-taħriġ tal-ġeoloġija lunari tal-ekwipaġġi kollha tal-inżul ta 'Apollo.")</f>
        <v>L-astronawti Apollo ġew magħżula mill-proġett Mercury u Gemini Veterans, flimkien ma 'żewġ gruppi ta' astronawti aktar tard. Il-missjonijiet kollha ġew ikkmandati minn Gemini jew Veterani tal-Merkurju. Ekwipaġġi fuq it-titjiriet kollha ta 'żvilupp (minbarra t-titjiriet ta' żvilupp CSM Orbit tad-Dinja) permezz tal-ewwel żewġ inżul fuq Apollo 11 u Apollo 12, inkludew mill-inqas żewġ (xi kultant tliet) veterani tal-Gemini. Dr Harrison Schmitt, ġeologu, kien l-ewwel astronawt xjentist tan-NASA li ttir fl-ispazju, u żbarka fuq il-qamar fl-aħħar missjoni, Apollo 17. Schmitt ipparteċipa fit-taħriġ tal-ġeoloġija lunari tal-ekwipaġġi kollha tal-inżul ta 'Apollo.</v>
      </c>
    </row>
    <row r="6380" ht="15.75" customHeight="1">
      <c r="A6380" s="2" t="s">
        <v>6380</v>
      </c>
      <c r="B6380" s="2" t="str">
        <f>IFERROR(__xludf.DUMMYFUNCTION("GOOGLETRANSLATE(A6380, ""en"", ""mt"")"),"16 ta ’Ottubru, 1973")</f>
        <v>16 ta ’Ottubru, 1973</v>
      </c>
    </row>
    <row r="6381" ht="15.75" customHeight="1">
      <c r="A6381" s="2" t="s">
        <v>6381</v>
      </c>
      <c r="B6381" s="2" t="str">
        <f>IFERROR(__xludf.DUMMYFUNCTION("GOOGLETRANSLATE(A6381, ""en"", ""mt"")"),"Ctenophores jistgħu jkunu abbundanti matul ix-xhur tas-sajf f'xi postijiet kostali, iżda f'postijiet oħra mhumiex komuni u diffiċli biex jinstabu. Fil-bajjiet fejn iseħħu f'numri għoljin ħafna, il-predazzjoni minn ctenophores tista 'tikkontrolla l-popolaz"&amp;"zjonijiet ta' organiżmi zooplanktoniċi żgħar bħal copepods, li altrimenti jistgħu jħassru l-fitoplankton (pjanti planktoniċi), li huma parti vitali tal-katini tal-ikel tal-baħar. Ctenophore wieħed, Mnemiopsis, ġie introdott aċċidentalment fil-Baħar l-Iswe"&amp;"d, fejn huwa akkużat li kkawża li l-ħażniet tal-ħut jiġġarrfu billi jieklu kemm larva tal-ħut kif ukoll organiżmi li altrimenti kienu jkunu mitmugħa l-ħut. Is-sitwazzjoni kienet aggravata minn fatturi oħra, bħalma huma s-sajd żejjed u bidliet ambjentali f"&amp;"it-tul li ppromwovew it-tkabbir tal-popolazzjoni Mnemiopsis. L-introduzzjoni aċċidentali aktar tard ta 'Beroe għenet biex tittaffa l-problema, hekk kif Beroe jippriża fuq ctenophores oħra.")</f>
        <v>Ctenophores jistgħu jkunu abbundanti matul ix-xhur tas-sajf f'xi postijiet kostali, iżda f'postijiet oħra mhumiex komuni u diffiċli biex jinstabu. Fil-bajjiet fejn iseħħu f'numri għoljin ħafna, il-predazzjoni minn ctenophores tista 'tikkontrolla l-popolazzjonijiet ta' organiżmi zooplanktoniċi żgħar bħal copepods, li altrimenti jistgħu jħassru l-fitoplankton (pjanti planktoniċi), li huma parti vitali tal-katini tal-ikel tal-baħar. Ctenophore wieħed, Mnemiopsis, ġie introdott aċċidentalment fil-Baħar l-Iswed, fejn huwa akkużat li kkawża li l-ħażniet tal-ħut jiġġarrfu billi jieklu kemm larva tal-ħut kif ukoll organiżmi li altrimenti kienu jkunu mitmugħa l-ħut. Is-sitwazzjoni kienet aggravata minn fatturi oħra, bħalma huma s-sajd żejjed u bidliet ambjentali fit-tul li ppromwovew it-tkabbir tal-popolazzjoni Mnemiopsis. L-introduzzjoni aċċidentali aktar tard ta 'Beroe għenet biex tittaffa l-problema, hekk kif Beroe jippriża fuq ctenophores oħra.</v>
      </c>
    </row>
    <row r="6382" ht="15.75" customHeight="1">
      <c r="A6382" s="2" t="s">
        <v>6382</v>
      </c>
      <c r="B6382" s="2" t="str">
        <f>IFERROR(__xludf.DUMMYFUNCTION("GOOGLETRANSLATE(A6382, ""en"", ""mt"")"),"Fl-edizzjoni ta 'Awwissu 1917 tar-rivista Elettrical Experint Tesla postulat li l-elettriku jista' jintuża biex jinstab sottomarini permezz tal-użu tar-riflessjoni ta '""raġġ elettriku"" ta' ""frekwenza tremenda"", bis-sinjal li qed jitqies fuq skrin fluw"&amp;"orexxenti (sistema li għandha ġie nnutat li kellu xebh superfiċjali ma 'radar modern). Tesla ma kinitx korretta fis-suppożizzjoni tiegħu li l-mewġ tar-radju ta 'frekwenza għolja jippenetra l-ilma iżda Émile Girardeau, li għen biex tiżviluppa l-ewwel siste"&amp;"ma ta' radar ta 'Franza fis-snin 30, innotat fl-1953 li l-ispekulazzjoni ġenerali ta' Tesla li sinjal ta 'frekwenza għolja ħafna kienet meħtieġa li tiddikjara "" (Tesla) kien profeti jew joħlom, peress li kellu għad-dispożizzjoni tiegħu l-ebda mezz biex i"&amp;"ġorrhom, iżda wieħed irid iżid li jekk kien joħlom, għall-inqas kien joħlom sewwa. "": 266")</f>
        <v>Fl-edizzjoni ta 'Awwissu 1917 tar-rivista Elettrical Experint Tesla postulat li l-elettriku jista' jintuża biex jinstab sottomarini permezz tal-użu tar-riflessjoni ta '"raġġ elettriku" ta' "frekwenza tremenda", bis-sinjal li qed jitqies fuq skrin fluworexxenti (sistema li għandha ġie nnutat li kellu xebh superfiċjali ma 'radar modern). Tesla ma kinitx korretta fis-suppożizzjoni tiegħu li l-mewġ tar-radju ta 'frekwenza għolja jippenetra l-ilma iżda Émile Girardeau, li għen biex tiżviluppa l-ewwel sistema ta' radar ta 'Franza fis-snin 30, innotat fl-1953 li l-ispekulazzjoni ġenerali ta' Tesla li sinjal ta 'frekwenza għolja ħafna kienet meħtieġa li tiddikjara " (Tesla) kien profeti jew joħlom, peress li kellu għad-dispożizzjoni tiegħu l-ebda mezz biex iġorrhom, iżda wieħed irid iżid li jekk kien joħlom, għall-inqas kien joħlom sewwa. ": 266</v>
      </c>
    </row>
    <row r="6383" ht="15.75" customHeight="1">
      <c r="A6383" s="2" t="s">
        <v>6383</v>
      </c>
      <c r="B6383" s="2" t="str">
        <f>IFERROR(__xludf.DUMMYFUNCTION("GOOGLETRANSLATE(A6383, ""en"", ""mt"")"),"Wara s-suċċess tas-serje tal-2005 prodotta minn Russell T Davies, il-BBC ikkummissjona lil Davies biex jipproduċi serje spin-off ta '13 -il parti bit-titlu Torchwood (anagramma ta '""Doctor Who""), imwaqqfa fil-moderna ta' Cardiff u li tinvestiga attivita"&amp;"jiet aljeni u reat. Is-serje ddebutta fuq BBC Three fit-22 ta 'Ottubru 2006. John Barrowman rarizza r-rwol tiegħu ta' Jack Harkness mis-serje tal-2005 ta 'Doctor Who. Żewġ attriċi oħra li dehru fit-Tabib Min ukoll stilla fis-serje; Eve Myles bħala Gwen Co"&amp;"oper, li wkoll kellha l-qaddej bl-istess mod Gwyneth fl-episodju ta 'Doctor Who ta' l-2005 ""The Unquiet Dead"", u Naoko Mori li rrifjutaw ir-rwol tagħha bħala Toshiko Sato l-ewwel rajna f '""Aljeni ta' Londra"". It-tieni serje ta 'Torchwood imxandra fl-2"&amp;"008; Għal tliet episodji, il-kast ingħaqad minn Freema Agyeman li rriżerva r-rwol tat-tabib tagħha ta 'Martha Jones. It-tielet serje ġiet imxandra mis-6 sal-10 ta 'Lulju 2009, u kienet tikkonsisti fi storja waħda ta' ħames partijiet imsejħa Children of Ea"&amp;"rth li kienet stabbilita fil-biċċa l-kbira f'Londra. Ir-raba 'serje, Torchwood: Miracle Day prodott b'mod konġunt minn BBC Wales, BBC Worldwide u l-kumpanija Amerikana tad-divertiment Starz iddebutta fl-2011. Is-serje kienet imwaqqfa prinċipalment fl-Ista"&amp;"ti Uniti, għalkemm Wales baqgħet parti mill-istabbiliment tal-ispettaklu.")</f>
        <v>Wara s-suċċess tas-serje tal-2005 prodotta minn Russell T Davies, il-BBC ikkummissjona lil Davies biex jipproduċi serje spin-off ta '13 -il parti bit-titlu Torchwood (anagramma ta '"Doctor Who"), imwaqqfa fil-moderna ta' Cardiff u li tinvestiga attivitajiet aljeni u reat. Is-serje ddebutta fuq BBC Three fit-22 ta 'Ottubru 2006. John Barrowman rarizza r-rwol tiegħu ta' Jack Harkness mis-serje tal-2005 ta 'Doctor Who. Żewġ attriċi oħra li dehru fit-Tabib Min ukoll stilla fis-serje; Eve Myles bħala Gwen Cooper, li wkoll kellha l-qaddej bl-istess mod Gwyneth fl-episodju ta 'Doctor Who ta' l-2005 "The Unquiet Dead", u Naoko Mori li rrifjutaw ir-rwol tagħha bħala Toshiko Sato l-ewwel rajna f '"Aljeni ta' Londra". It-tieni serje ta 'Torchwood imxandra fl-2008; Għal tliet episodji, il-kast ingħaqad minn Freema Agyeman li rriżerva r-rwol tat-tabib tagħha ta 'Martha Jones. It-tielet serje ġiet imxandra mis-6 sal-10 ta 'Lulju 2009, u kienet tikkonsisti fi storja waħda ta' ħames partijiet imsejħa Children of Earth li kienet stabbilita fil-biċċa l-kbira f'Londra. Ir-raba 'serje, Torchwood: Miracle Day prodott b'mod konġunt minn BBC Wales, BBC Worldwide u l-kumpanija Amerikana tad-divertiment Starz iddebutta fl-2011. Is-serje kienet imwaqqfa prinċipalment fl-Istati Uniti, għalkemm Wales baqgħet parti mill-istabbiliment tal-ispettaklu.</v>
      </c>
    </row>
    <row r="6384" ht="15.75" customHeight="1">
      <c r="A6384" s="2" t="s">
        <v>6384</v>
      </c>
      <c r="B6384" s="2" t="str">
        <f>IFERROR(__xludf.DUMMYFUNCTION("GOOGLETRANSLATE(A6384, ""en"", ""mt"")"),"Uighurs ċedew b'mod paċifiku mingħajr ma jirreżistu b'mod vjolenti")</f>
        <v>Uighurs ċedew b'mod paċifiku mingħajr ma jirreżistu b'mod vjolenti</v>
      </c>
    </row>
    <row r="6385" ht="15.75" customHeight="1">
      <c r="A6385" s="2" t="s">
        <v>6385</v>
      </c>
      <c r="B6385" s="2" t="str">
        <f>IFERROR(__xludf.DUMMYFUNCTION("GOOGLETRANSLATE(A6385, ""en"", ""mt"")"),"Matul liema era l-aztek u l-imperi incan jirnexxu?")</f>
        <v>Matul liema era l-aztek u l-imperi incan jirnexxu?</v>
      </c>
    </row>
    <row r="6386" ht="15.75" customHeight="1">
      <c r="A6386" s="2" t="s">
        <v>6386</v>
      </c>
      <c r="B6386" s="2" t="str">
        <f>IFERROR(__xludf.DUMMYFUNCTION("GOOGLETRANSLATE(A6386, ""en"", ""mt"")"),"Imperu Ruman Qaddis.")</f>
        <v>Imperu Ruman Qaddis.</v>
      </c>
    </row>
    <row r="6387" ht="15.75" customHeight="1">
      <c r="A6387" s="2" t="s">
        <v>6387</v>
      </c>
      <c r="B6387" s="2" t="str">
        <f>IFERROR(__xludf.DUMMYFUNCTION("GOOGLETRANSLATE(A6387, ""en"", ""mt"")"),"Għaliex Berlin Huguenots qalbu għall-Ġermaniż mill-Franċiż fis-servizzi tagħhom?")</f>
        <v>Għaliex Berlin Huguenots qalbu għall-Ġermaniż mill-Franċiż fis-servizzi tagħhom?</v>
      </c>
    </row>
    <row r="6388" ht="15.75" customHeight="1">
      <c r="A6388" s="2" t="s">
        <v>6388</v>
      </c>
      <c r="B6388" s="2" t="str">
        <f>IFERROR(__xludf.DUMMYFUNCTION("GOOGLETRANSLATE(A6388, ""en"", ""mt"")"),"Kompjuter imqassam")</f>
        <v>Kompjuter imqassam</v>
      </c>
    </row>
    <row r="6389" ht="15.75" customHeight="1">
      <c r="A6389" s="2" t="s">
        <v>6389</v>
      </c>
      <c r="B6389" s="2" t="str">
        <f>IFERROR(__xludf.DUMMYFUNCTION("GOOGLETRANSLATE(A6389, ""en"", ""mt"")"),"livell fond")</f>
        <v>livell fond</v>
      </c>
    </row>
    <row r="6390" ht="15.75" customHeight="1">
      <c r="A6390" s="2" t="s">
        <v>6390</v>
      </c>
      <c r="B6390" s="2" t="str">
        <f>IFERROR(__xludf.DUMMYFUNCTION("GOOGLETRANSLATE(A6390, ""en"", ""mt"")"),"spiża għolja tal-mediċini")</f>
        <v>spiża għolja tal-mediċini</v>
      </c>
    </row>
    <row r="6391" ht="15.75" customHeight="1">
      <c r="A6391" s="2" t="s">
        <v>6391</v>
      </c>
      <c r="B6391" s="2" t="str">
        <f>IFERROR(__xludf.DUMMYFUNCTION("GOOGLETRANSLATE(A6391, ""en"", ""mt"")"),"L-Ewwel Liġi ta 'Newton")</f>
        <v>L-Ewwel Liġi ta 'Newton</v>
      </c>
    </row>
    <row r="6392" ht="15.75" customHeight="1">
      <c r="A6392" s="2" t="s">
        <v>6392</v>
      </c>
      <c r="B6392" s="2" t="str">
        <f>IFERROR(__xludf.DUMMYFUNCTION("GOOGLETRANSLATE(A6392, ""en"", ""mt"")"),"Il-Golf tal-Kampjonat Miftuħ u t-Tournaments tat-Tennis ta 'Wimbledon")</f>
        <v>Il-Golf tal-Kampjonat Miftuħ u t-Tournaments tat-Tennis ta 'Wimbledon</v>
      </c>
    </row>
    <row r="6393" ht="15.75" customHeight="1">
      <c r="A6393" s="2" t="s">
        <v>6393</v>
      </c>
      <c r="B6393" s="2" t="str">
        <f>IFERROR(__xludf.DUMMYFUNCTION("GOOGLETRANSLATE(A6393, ""en"", ""mt"")"),"Qal, ""Fir-rigward tat-taħrika li tibgħatli biex nirtira, ma naħsibx lili nnifsi obbligat li nobdiha.""")</f>
        <v>Qal, "Fir-rigward tat-taħrika li tibgħatli biex nirtira, ma naħsibx lili nnifsi obbligat li nobdiha."</v>
      </c>
    </row>
    <row r="6394" ht="15.75" customHeight="1">
      <c r="A6394" s="2" t="s">
        <v>6394</v>
      </c>
      <c r="B6394" s="2" t="str">
        <f>IFERROR(__xludf.DUMMYFUNCTION("GOOGLETRANSLATE(A6394, ""en"", ""mt"")"),"Fil-bidu tas-snin sebgħin, ABC temm it-tranżizzjoni tagħha għall-kulur; Id-deċennju kollu kemm hu kien jimmarka żvolta għal ABC, peress li beda jgħaddi CBS u NBC fil-klassifikazzjonijiet biex isiru l-ewwel post tan-netwerk. Beda wkoll juża dejta ta 'mġieb"&amp;"a u demografika biex jiddetermina aħjar liema tipi ta' sponsors ibigħu slots ta 'reklamar lil u jipprovdu programmazzjoni li tappella lejn ċerti udjenzi. Il-qligħ ta 'ABC fis-sehem tal-udjenza ġew megħjuna ħafna mill-fatt li diversi swieq iżgħar kibru kba"&amp;"r biżżejjed biex jippermettu affiljazzjonijiet full-time mit-tliet netwerks kollha.")</f>
        <v>Fil-bidu tas-snin sebgħin, ABC temm it-tranżizzjoni tagħha għall-kulur; Id-deċennju kollu kemm hu kien jimmarka żvolta għal ABC, peress li beda jgħaddi CBS u NBC fil-klassifikazzjonijiet biex isiru l-ewwel post tan-netwerk. Beda wkoll juża dejta ta 'mġieba u demografika biex jiddetermina aħjar liema tipi ta' sponsors ibigħu slots ta 'reklamar lil u jipprovdu programmazzjoni li tappella lejn ċerti udjenzi. Il-qligħ ta 'ABC fis-sehem tal-udjenza ġew megħjuna ħafna mill-fatt li diversi swieq iżgħar kibru kbar biżżejjed biex jippermettu affiljazzjonijiet full-time mit-tliet netwerks kollha.</v>
      </c>
    </row>
    <row r="6395" ht="15.75" customHeight="1">
      <c r="A6395" s="2" t="s">
        <v>6395</v>
      </c>
      <c r="B6395" s="2" t="str">
        <f>IFERROR(__xludf.DUMMYFUNCTION("GOOGLETRANSLATE(A6395, ""en"", ""mt"")"),"Problemi makroekonomiċi")</f>
        <v>Problemi makroekonomiċi</v>
      </c>
    </row>
    <row r="6396" ht="15.75" customHeight="1">
      <c r="A6396" s="2" t="s">
        <v>6396</v>
      </c>
      <c r="B6396" s="2" t="str">
        <f>IFERROR(__xludf.DUMMYFUNCTION("GOOGLETRANSLATE(A6396, ""en"", ""mt"")"),"titjira bajda")</f>
        <v>titjira bajda</v>
      </c>
    </row>
    <row r="6397" ht="15.75" customHeight="1">
      <c r="A6397" s="2" t="s">
        <v>6397</v>
      </c>
      <c r="B6397" s="2" t="str">
        <f>IFERROR(__xludf.DUMMYFUNCTION("GOOGLETRANSLATE(A6397, ""en"", ""mt"")"),"il-vokazzjonijiet tiegħu jew tagħha kuljum")</f>
        <v>il-vokazzjonijiet tiegħu jew tagħha kuljum</v>
      </c>
    </row>
    <row r="6398" ht="15.75" customHeight="1">
      <c r="A6398" s="2" t="s">
        <v>6398</v>
      </c>
      <c r="B6398" s="2" t="str">
        <f>IFERROR(__xludf.DUMMYFUNCTION("GOOGLETRANSLATE(A6398, ""en"", ""mt"")"),"Liema persuni ma tħallewx joqgħodu fi Franza l-ġdida?")</f>
        <v>Liema persuni ma tħallewx joqgħodu fi Franza l-ġdida?</v>
      </c>
    </row>
    <row r="6399" ht="15.75" customHeight="1">
      <c r="A6399" s="2" t="s">
        <v>6399</v>
      </c>
      <c r="B6399" s="2" t="str">
        <f>IFERROR(__xludf.DUMMYFUNCTION("GOOGLETRANSLATE(A6399, ""en"", ""mt"")"),"Fejn jinsabu l-Appostli?")</f>
        <v>Fejn jinsabu l-Appostli?</v>
      </c>
    </row>
    <row r="6400" ht="15.75" customHeight="1">
      <c r="A6400" s="2" t="s">
        <v>6400</v>
      </c>
      <c r="B6400" s="2" t="str">
        <f>IFERROR(__xludf.DUMMYFUNCTION("GOOGLETRANSLATE(A6400, ""en"", ""mt"")"),"Doctor Who and the Pescatons")</f>
        <v>Doctor Who and the Pescatons</v>
      </c>
    </row>
    <row r="6401" ht="15.75" customHeight="1">
      <c r="A6401" s="2" t="s">
        <v>6401</v>
      </c>
      <c r="B6401" s="2" t="str">
        <f>IFERROR(__xludf.DUMMYFUNCTION("GOOGLETRANSLATE(A6401, ""en"", ""mt"")"),"Battalja ta 'Bạch ằng")</f>
        <v>Battalja ta 'Bạch ằng</v>
      </c>
    </row>
    <row r="6402" ht="15.75" customHeight="1">
      <c r="A6402" s="2" t="s">
        <v>6402</v>
      </c>
      <c r="B6402" s="2" t="str">
        <f>IFERROR(__xludf.DUMMYFUNCTION("GOOGLETRANSLATE(A6402, ""en"", ""mt"")"),"tobba u professjonisti oħra tal-kura tas-saħħa")</f>
        <v>tobba u professjonisti oħra tal-kura tas-saħħa</v>
      </c>
    </row>
    <row r="6403" ht="15.75" customHeight="1">
      <c r="A6403" s="2" t="s">
        <v>6403</v>
      </c>
      <c r="B6403" s="2" t="str">
        <f>IFERROR(__xludf.DUMMYFUNCTION("GOOGLETRANSLATE(A6403, ""en"", ""mt"")"),"Liema kategorija ewlenija ta 'konservazzjoni tirriżulta f'oġġett li huwa aktar attraenti u li jinftiehem aktar għat-telespettatur?")</f>
        <v>Liema kategorija ewlenija ta 'konservazzjoni tirriżulta f'oġġett li huwa aktar attraenti u li jinftiehem aktar għat-telespettatur?</v>
      </c>
    </row>
    <row r="6404" ht="15.75" customHeight="1">
      <c r="A6404" s="2" t="s">
        <v>6404</v>
      </c>
      <c r="B6404" s="2" t="str">
        <f>IFERROR(__xludf.DUMMYFUNCTION("GOOGLETRANSLATE(A6404, ""en"", ""mt"")"),"Meta gruppi kbar ta 'nies jibbojkottjaw sistema kollha jew ma jħallsux taxxi jista' jiġi kkunsidrat?")</f>
        <v>Meta gruppi kbar ta 'nies jibbojkottjaw sistema kollha jew ma jħallsux taxxi jista' jiġi kkunsidrat?</v>
      </c>
    </row>
    <row r="6405" ht="15.75" customHeight="1">
      <c r="A6405" s="2" t="s">
        <v>6405</v>
      </c>
      <c r="B6405" s="2" t="str">
        <f>IFERROR(__xludf.DUMMYFUNCTION("GOOGLETRANSLATE(A6405, ""en"", ""mt"")"),"X'dritt għandhom skejjel privati ​​li l-iskejjel pubbliċi m'għandhomx?")</f>
        <v>X'dritt għandhom skejjel privati ​​li l-iskejjel pubbliċi m'għandhomx?</v>
      </c>
    </row>
    <row r="6406" ht="15.75" customHeight="1">
      <c r="A6406" s="2" t="s">
        <v>6406</v>
      </c>
      <c r="B6406" s="2" t="str">
        <f>IFERROR(__xludf.DUMMYFUNCTION("GOOGLETRANSLATE(A6406, ""en"", ""mt"")"),"Riservat")</f>
        <v>Riservat</v>
      </c>
    </row>
    <row r="6407" ht="15.75" customHeight="1">
      <c r="A6407" s="2" t="s">
        <v>6407</v>
      </c>
      <c r="B6407" s="2" t="str">
        <f>IFERROR(__xludf.DUMMYFUNCTION("GOOGLETRANSLATE(A6407, ""en"", ""mt"")"),"invażjoni tal-Gran Brittanja")</f>
        <v>invażjoni tal-Gran Brittanja</v>
      </c>
    </row>
    <row r="6408" ht="15.75" customHeight="1">
      <c r="A6408" s="2" t="s">
        <v>6408</v>
      </c>
      <c r="B6408" s="2" t="str">
        <f>IFERROR(__xludf.DUMMYFUNCTION("GOOGLETRANSLATE(A6408, ""en"", ""mt"")"),"X'ġara mill-affarijiet ġewwa l-laboratorju wara li ġie mqatta '?")</f>
        <v>X'ġara mill-affarijiet ġewwa l-laboratorju wara li ġie mqatta '?</v>
      </c>
    </row>
    <row r="6409" ht="15.75" customHeight="1">
      <c r="A6409" s="2" t="s">
        <v>6409</v>
      </c>
      <c r="B6409" s="2" t="str">
        <f>IFERROR(__xludf.DUMMYFUNCTION("GOOGLETRANSLATE(A6409, ""en"", ""mt"")"),"Medjevali")</f>
        <v>Medjevali</v>
      </c>
    </row>
    <row r="6410" ht="15.75" customHeight="1">
      <c r="A6410" s="2" t="s">
        <v>6410</v>
      </c>
      <c r="B6410" s="2" t="str">
        <f>IFERROR(__xludf.DUMMYFUNCTION("GOOGLETRANSLATE(A6410, ""en"", ""mt"")"),"Il-ħin parlamentari huwa wkoll imwarrab għal perjodi ta 'mistoqsijiet fil-kamra tad-dibattitu. ""Ħin ta 'Mistoqsija Ġenerali"" iseħħ nhar il-Ħamis bejn il-11: 40 a.m. u t-12 p.m. fejn il-membri jistgħu jidderieġu mistoqsijiet lil kwalunkwe membru tal-gver"&amp;"n Skoċċiż. Fis-2.30pm, iseħħ ""ħin ta 'mistoqsija"" b'tema ta '40 minuta, fejn il-membri jistgħu jistaqsu mistoqsijiet ta' ministri fid-dipartimenti li huma magħżula biex jiddubitaw dik il-ġurnata tas-seduta, bħas-saħħa u l-ġustizzja jew l-edukazzjoni u t"&amp;"-trasport. Bejn it-12 p.m. u 12.30 p.m. Nhar il-Ħamis, meta l-Parlament ikun bilqiegħda, iseħħ il-ħin tal-mistoqsijiet tal-ewwel ministru. Dan jagħti lill-membri l-opportunità li jiddubitaw lill-ewwel ministru direttament fuq kwistjonijiet taħt il-ġurisdi"&amp;"zzjoni tagħhom. Il-mexxejja tal-oppożizzjoni jistaqsu mistoqsija ġenerali tal-ewwel ministru u mbagħad mistoqsijiet supplimentari. Prattika bħal din tippermetti ""ċomb"" lill-interpellant, li mbagħad juża l-mistoqsija supplimentari tagħhom biex jistaqsi l"&amp;"ill-ewwel ministru kwalunkwe kwistjoni. L-erba 'mistoqsijiet ġenerali disponibbli għall-mexxejja tal-oppożizzjoni huma:")</f>
        <v>Il-ħin parlamentari huwa wkoll imwarrab għal perjodi ta 'mistoqsijiet fil-kamra tad-dibattitu. "Ħin ta 'Mistoqsija Ġenerali" iseħħ nhar il-Ħamis bejn il-11: 40 a.m. u t-12 p.m. fejn il-membri jistgħu jidderieġu mistoqsijiet lil kwalunkwe membru tal-gvern Skoċċiż. Fis-2.30pm, iseħħ "ħin ta 'mistoqsija" b'tema ta '40 minuta, fejn il-membri jistgħu jistaqsu mistoqsijiet ta' ministri fid-dipartimenti li huma magħżula biex jiddubitaw dik il-ġurnata tas-seduta, bħas-saħħa u l-ġustizzja jew l-edukazzjoni u t-trasport. Bejn it-12 p.m. u 12.30 p.m. Nhar il-Ħamis, meta l-Parlament ikun bilqiegħda, iseħħ il-ħin tal-mistoqsijiet tal-ewwel ministru. Dan jagħti lill-membri l-opportunità li jiddubitaw lill-ewwel ministru direttament fuq kwistjonijiet taħt il-ġurisdizzjoni tagħhom. Il-mexxejja tal-oppożizzjoni jistaqsu mistoqsija ġenerali tal-ewwel ministru u mbagħad mistoqsijiet supplimentari. Prattika bħal din tippermetti "ċomb" lill-interpellant, li mbagħad juża l-mistoqsija supplimentari tagħhom biex jistaqsi lill-ewwel ministru kwalunkwe kwistjoni. L-erba 'mistoqsijiet ġenerali disponibbli għall-mexxejja tal-oppożizzjoni huma:</v>
      </c>
    </row>
    <row r="6411" ht="15.75" customHeight="1">
      <c r="A6411" s="2" t="s">
        <v>6411</v>
      </c>
      <c r="B6411" s="2" t="str">
        <f>IFERROR(__xludf.DUMMYFUNCTION("GOOGLETRANSLATE(A6411, ""en"", ""mt"")"),"Il-park tan-negozju tal-watermark")</f>
        <v>Il-park tan-negozju tal-watermark</v>
      </c>
    </row>
    <row r="6412" ht="15.75" customHeight="1">
      <c r="A6412" s="2" t="s">
        <v>6412</v>
      </c>
      <c r="B6412" s="2" t="str">
        <f>IFERROR(__xludf.DUMMYFUNCTION("GOOGLETRANSLATE(A6412, ""en"", ""mt"")"),"X'inhu l-isem tas-sistema skolastika tal-gvern ta 'wara l-indipendenza fil-Malasja?")</f>
        <v>X'inhu l-isem tas-sistema skolastika tal-gvern ta 'wara l-indipendenza fil-Malasja?</v>
      </c>
    </row>
    <row r="6413" ht="15.75" customHeight="1">
      <c r="A6413" s="2" t="s">
        <v>6413</v>
      </c>
      <c r="B6413" s="2" t="str">
        <f>IFERROR(__xludf.DUMMYFUNCTION("GOOGLETRANSLATE(A6413, ""en"", ""mt"")"),"F’liema għandu għalliem jiggwida student?")</f>
        <v>F’liema għandu għalliem jiggwida student?</v>
      </c>
    </row>
    <row r="6414" ht="15.75" customHeight="1">
      <c r="A6414" s="2" t="s">
        <v>6414</v>
      </c>
      <c r="B6414" s="2" t="str">
        <f>IFERROR(__xludf.DUMMYFUNCTION("GOOGLETRANSLATE(A6414, ""en"", ""mt"")"),"Xi jfisser kull pakkett inkluż fil-modalità mingħajr konnessjoni")</f>
        <v>Xi jfisser kull pakkett inkluż fil-modalità mingħajr konnessjoni</v>
      </c>
    </row>
    <row r="6415" ht="15.75" customHeight="1">
      <c r="A6415" s="2" t="s">
        <v>6415</v>
      </c>
      <c r="B6415" s="2" t="str">
        <f>IFERROR(__xludf.DUMMYFUNCTION("GOOGLETRANSLATE(A6415, ""en"", ""mt"")"),"jekk hux se jagħmel iktar ħsara milli ġid")</f>
        <v>jekk hux se jagħmel iktar ħsara milli ġid</v>
      </c>
    </row>
    <row r="6416" ht="15.75" customHeight="1">
      <c r="A6416" s="2" t="s">
        <v>6416</v>
      </c>
      <c r="B6416" s="2" t="str">
        <f>IFERROR(__xludf.DUMMYFUNCTION("GOOGLETRANSLATE(A6416, ""en"", ""mt"")"),"Björn Waldegård, Hannu Mikkola, Tommi Mäkinen, Shekhar Mehta, Carlos Sainz u Colin McRae")</f>
        <v>Björn Waldegård, Hannu Mikkola, Tommi Mäkinen, Shekhar Mehta, Carlos Sainz u Colin McRae</v>
      </c>
    </row>
    <row r="6417" ht="15.75" customHeight="1">
      <c r="A6417" s="2" t="s">
        <v>6417</v>
      </c>
      <c r="B6417" s="2" t="str">
        <f>IFERROR(__xludf.DUMMYFUNCTION("GOOGLETRANSLATE(A6417, ""en"", ""mt"")")," Liema entità għamlet il-fehma li l-għanijiet tal-kummerċ ħieles huma sostnuti mill-għanijiet li jtejbu l-benesseri tan-nies?")</f>
        <v> Liema entità għamlet il-fehma li l-għanijiet tal-kummerċ ħieles huma sostnuti mill-għanijiet li jtejbu l-benesseri tan-nies?</v>
      </c>
    </row>
    <row r="6418" ht="15.75" customHeight="1">
      <c r="A6418" s="2" t="s">
        <v>6418</v>
      </c>
      <c r="B6418" s="2" t="str">
        <f>IFERROR(__xludf.DUMMYFUNCTION("GOOGLETRANSLATE(A6418, ""en"", ""mt"")"),"Organu Aboral")</f>
        <v>Organu Aboral</v>
      </c>
    </row>
    <row r="6419" ht="15.75" customHeight="1">
      <c r="A6419" s="2" t="s">
        <v>6419</v>
      </c>
      <c r="B6419" s="2" t="str">
        <f>IFERROR(__xludf.DUMMYFUNCTION("GOOGLETRANSLATE(A6419, ""en"", ""mt"")"),"F'Ġunju tal-1978, Arledge ħoloq il-Newsmagazine 20/20; Wara l-ewwel episodju tiegħu rċieva reviżjonijiet negattivi bl-aħrax, il-programm - li ddebutta bħala serje tas-sajf, qabel ma sar programm tas-sena kollha fl-1979 - ġie mġedded immedjatament biex jin"&amp;"kludi taħlita ta 'stejjer u intervisti fil-fond, ma' Hugh Downs maħtur bħala tiegħu Ankra (aktar tard imqabbad flimkien mal-eks kollega tiegħu tal-lum Barbara Walters). Fi Frar 1979, ABC biegħ id-diviżjoni tar-reġistrazzjoni tagħha lil MCA Inc. għal $ 20 "&amp;"miljun; It-tikketta twaqqfet sal-5 ta 'Marzu ta' dik is-sena, u t-300 impjegat tagħha ġew stabbiliti (id-drittijiet għax-xogħlijiet ta 'ABC Records u t-tikketti l-oħra kollha tal-MCA minn dakinhar ġew akkwistati minn Universal Music Group).")</f>
        <v>F'Ġunju tal-1978, Arledge ħoloq il-Newsmagazine 20/20; Wara l-ewwel episodju tiegħu rċieva reviżjonijiet negattivi bl-aħrax, il-programm - li ddebutta bħala serje tas-sajf, qabel ma sar programm tas-sena kollha fl-1979 - ġie mġedded immedjatament biex jinkludi taħlita ta 'stejjer u intervisti fil-fond, ma' Hugh Downs maħtur bħala tiegħu Ankra (aktar tard imqabbad flimkien mal-eks kollega tiegħu tal-lum Barbara Walters). Fi Frar 1979, ABC biegħ id-diviżjoni tar-reġistrazzjoni tagħha lil MCA Inc. għal $ 20 miljun; It-tikketta twaqqfet sal-5 ta 'Marzu ta' dik is-sena, u t-300 impjegat tagħha ġew stabbiliti (id-drittijiet għax-xogħlijiet ta 'ABC Records u t-tikketti l-oħra kollha tal-MCA minn dakinhar ġew akkwistati minn Universal Music Group).</v>
      </c>
    </row>
    <row r="6420" ht="15.75" customHeight="1">
      <c r="A6420" s="2" t="s">
        <v>6420</v>
      </c>
      <c r="B6420" s="2" t="str">
        <f>IFERROR(__xludf.DUMMYFUNCTION("GOOGLETRANSLATE(A6420, ""en"", ""mt"")"),"Liema mużew fi Newcastle huwa ddedikat għall-kotba tat-tfal?")</f>
        <v>Liema mużew fi Newcastle huwa ddedikat għall-kotba tat-tfal?</v>
      </c>
    </row>
    <row r="6421" ht="15.75" customHeight="1">
      <c r="A6421" s="2" t="s">
        <v>6421</v>
      </c>
      <c r="B6421" s="2" t="str">
        <f>IFERROR(__xludf.DUMMYFUNCTION("GOOGLETRANSLATE(A6421, ""en"", ""mt"")"),"Kemm Panthers ġew innominati All-Pro?")</f>
        <v>Kemm Panthers ġew innominati All-Pro?</v>
      </c>
    </row>
    <row r="6422" ht="15.75" customHeight="1">
      <c r="A6422" s="2" t="s">
        <v>6422</v>
      </c>
      <c r="B6422" s="2" t="str">
        <f>IFERROR(__xludf.DUMMYFUNCTION("GOOGLETRANSLATE(A6422, ""en"", ""mt"")"),"Filwaqt li l-produzzjoni interna kienet waqfet, il-BBC jittama li jsib kumpanija tal-produzzjoni indipendenti biex terġa 'tibda l-ispettaklu. Philip Segal, espatrijat Ingliż li ħadem għad-driegħ televiżiv ta 'Columbia Pictures fl-Istati Uniti, kien avviċi"&amp;"na l-BBC dwar tali impriża sa Lulju 1989, filwaqt li s-26 serje kienet għadha fil-produzzjoni. In-negozjati ta 'Segal eventwalment wasslu għal film tat-televiżjoni Doctor Who, imxandar fuq in-Netwerk Fox fl-1996 bħala koproduzzjoni bejn Fox, Universal Pic"&amp;"tures, il-BBC u l-BBC Worldwide. Għalkemm il-film kien suċċess fir-Renju Unit (b'9.1 miljun telespettatur), kien inqas fl-Istati Uniti u ma wassalx għal serje.")</f>
        <v>Filwaqt li l-produzzjoni interna kienet waqfet, il-BBC jittama li jsib kumpanija tal-produzzjoni indipendenti biex terġa 'tibda l-ispettaklu. Philip Segal, espatrijat Ingliż li ħadem għad-driegħ televiżiv ta 'Columbia Pictures fl-Istati Uniti, kien avviċina l-BBC dwar tali impriża sa Lulju 1989, filwaqt li s-26 serje kienet għadha fil-produzzjoni. In-negozjati ta 'Segal eventwalment wasslu għal film tat-televiżjoni Doctor Who, imxandar fuq in-Netwerk Fox fl-1996 bħala koproduzzjoni bejn Fox, Universal Pictures, il-BBC u l-BBC Worldwide. Għalkemm il-film kien suċċess fir-Renju Unit (b'9.1 miljun telespettatur), kien inqas fl-Istati Uniti u ma wassalx għal serje.</v>
      </c>
    </row>
    <row r="6423" ht="15.75" customHeight="1">
      <c r="A6423" s="2" t="s">
        <v>6423</v>
      </c>
      <c r="B6423" s="2" t="str">
        <f>IFERROR(__xludf.DUMMYFUNCTION("GOOGLETRANSLATE(A6423, ""en"", ""mt"")"),"1870 sa 1939")</f>
        <v>1870 sa 1939</v>
      </c>
    </row>
    <row r="6424" ht="15.75" customHeight="1">
      <c r="A6424" s="2" t="s">
        <v>6424</v>
      </c>
      <c r="B6424" s="2" t="str">
        <f>IFERROR(__xludf.DUMMYFUNCTION("GOOGLETRANSLATE(A6424, ""en"", ""mt"")"),"sorgu")</f>
        <v>sorgu</v>
      </c>
    </row>
    <row r="6425" ht="15.75" customHeight="1">
      <c r="A6425" s="2" t="s">
        <v>6425</v>
      </c>
      <c r="B6425" s="2" t="str">
        <f>IFERROR(__xludf.DUMMYFUNCTION("GOOGLETRANSLATE(A6425, ""en"", ""mt"")"),"Iddetermina l-limiti prattiċi fuq dak li l-kompjuters jistgħu u ma jistgħux jagħmlu")</f>
        <v>Iddetermina l-limiti prattiċi fuq dak li l-kompjuters jistgħu u ma jistgħux jagħmlu</v>
      </c>
    </row>
    <row r="6426" ht="15.75" customHeight="1">
      <c r="A6426" s="2" t="s">
        <v>6426</v>
      </c>
      <c r="B6426" s="2" t="str">
        <f>IFERROR(__xludf.DUMMYFUNCTION("GOOGLETRANSLATE(A6426, ""en"", ""mt"")"),"Il-kastig ta ’Alla għad-dnub")</f>
        <v>Il-kastig ta ’Alla għad-dnub</v>
      </c>
    </row>
    <row r="6427" ht="15.75" customHeight="1">
      <c r="A6427" s="2" t="s">
        <v>6427</v>
      </c>
      <c r="B6427" s="2" t="str">
        <f>IFERROR(__xludf.DUMMYFUNCTION("GOOGLETRANSLATE(A6427, ""en"", ""mt"")"),"Kemm stadji ta 'espansjoni jintużaw mill-magna ta' espansjoni tripla?")</f>
        <v>Kemm stadji ta 'espansjoni jintużaw mill-magna ta' espansjoni tripla?</v>
      </c>
    </row>
    <row r="6428" ht="15.75" customHeight="1">
      <c r="A6428" s="2" t="s">
        <v>6428</v>
      </c>
      <c r="B6428" s="2" t="str">
        <f>IFERROR(__xludf.DUMMYFUNCTION("GOOGLETRANSLATE(A6428, ""en"", ""mt"")"),"eċċentrika")</f>
        <v>eċċentrika</v>
      </c>
    </row>
    <row r="6429" ht="15.75" customHeight="1">
      <c r="A6429" s="2" t="s">
        <v>6429</v>
      </c>
      <c r="B6429" s="2" t="str">
        <f>IFERROR(__xludf.DUMMYFUNCTION("GOOGLETRANSLATE(A6429, ""en"", ""mt"")"),"X'jista 'jagħmel xi ħadd lil Martin Luther mingħajr konsegwenza legali?")</f>
        <v>X'jista 'jagħmel xi ħadd lil Martin Luther mingħajr konsegwenza legali?</v>
      </c>
    </row>
    <row r="6430" ht="15.75" customHeight="1">
      <c r="A6430" s="2" t="s">
        <v>6430</v>
      </c>
      <c r="B6430" s="2" t="str">
        <f>IFERROR(__xludf.DUMMYFUNCTION("GOOGLETRANSLATE(A6430, ""en"", ""mt"")"),"Għal xiex tfisser Fota?")</f>
        <v>Għal xiex tfisser Fota?</v>
      </c>
    </row>
    <row r="6431" ht="15.75" customHeight="1">
      <c r="A6431" s="2" t="s">
        <v>6431</v>
      </c>
      <c r="B6431" s="2" t="str">
        <f>IFERROR(__xludf.DUMMYFUNCTION("GOOGLETRANSLATE(A6431, ""en"", ""mt"")"),"Ministri differenti tal-Istati Membri")</f>
        <v>Ministri differenti tal-Istati Membri</v>
      </c>
    </row>
    <row r="6432" ht="15.75" customHeight="1">
      <c r="A6432" s="2" t="s">
        <v>6432</v>
      </c>
      <c r="B6432" s="2" t="str">
        <f>IFERROR(__xludf.DUMMYFUNCTION("GOOGLETRANSLATE(A6432, ""en"", ""mt"")"),"Liema istituzzjoni l-V &amp; A ssieħeb ma 'biex tiftaħ l-ewwel gallerija ta' l-istorja arkitettonika permanenti fir-Renju Unit?")</f>
        <v>Liema istituzzjoni l-V &amp; A ssieħeb ma 'biex tiftaħ l-ewwel gallerija ta' l-istorja arkitettonika permanenti fir-Renju Unit?</v>
      </c>
    </row>
    <row r="6433" ht="15.75" customHeight="1">
      <c r="A6433" s="2" t="s">
        <v>6433</v>
      </c>
      <c r="B6433" s="2" t="str">
        <f>IFERROR(__xludf.DUMMYFUNCTION("GOOGLETRANSLATE(A6433, ""en"", ""mt"")"),"Teorija tal-kumplessità tal-komputazzjoni")</f>
        <v>Teorija tal-kumplessità tal-komputazzjoni</v>
      </c>
    </row>
    <row r="6434" ht="15.75" customHeight="1">
      <c r="A6434" s="2" t="s">
        <v>6434</v>
      </c>
      <c r="B6434" s="2" t="str">
        <f>IFERROR(__xludf.DUMMYFUNCTION("GOOGLETRANSLATE(A6434, ""en"", ""mt"")"),"Liġi primarja, liġi sekondarja u liġi supplimentari.")</f>
        <v>Liġi primarja, liġi sekondarja u liġi supplimentari.</v>
      </c>
    </row>
    <row r="6435" ht="15.75" customHeight="1">
      <c r="A6435" s="2" t="s">
        <v>6435</v>
      </c>
      <c r="B6435" s="2" t="str">
        <f>IFERROR(__xludf.DUMMYFUNCTION("GOOGLETRANSLATE(A6435, ""en"", ""mt"")"),"Biex testendi l-benefiċċji tan-netwerking, għal dipartimenti tax-xjenza tal-kompjuter f'istituzzjonijiet akkademiċi u ta 'riċerka li ma jistgħux ikunu konnessi direttament ma' arpanet")</f>
        <v>Biex testendi l-benefiċċji tan-netwerking, għal dipartimenti tax-xjenza tal-kompjuter f'istituzzjonijiet akkademiċi u ta 'riċerka li ma jistgħux ikunu konnessi direttament ma' arpanet</v>
      </c>
    </row>
    <row r="6436" ht="15.75" customHeight="1">
      <c r="A6436" s="2" t="s">
        <v>6436</v>
      </c>
      <c r="B6436" s="2" t="str">
        <f>IFERROR(__xludf.DUMMYFUNCTION("GOOGLETRANSLATE(A6436, ""en"", ""mt"")"),"Reviżjoni tar-Reġim tal-Medikazzjoni")</f>
        <v>Reviżjoni tar-Reġim tal-Medikazzjoni</v>
      </c>
    </row>
    <row r="6437" ht="15.75" customHeight="1">
      <c r="A6437" s="2" t="s">
        <v>6437</v>
      </c>
      <c r="B6437" s="2" t="str">
        <f>IFERROR(__xludf.DUMMYFUNCTION("GOOGLETRANSLATE(A6437, ""en"", ""mt"")"),"X'kien hemm minoranza sinifikanti ta 'Varsavja?")</f>
        <v>X'kien hemm minoranza sinifikanti ta 'Varsavja?</v>
      </c>
    </row>
    <row r="6438" ht="15.75" customHeight="1">
      <c r="A6438" s="2" t="s">
        <v>6438</v>
      </c>
      <c r="B6438" s="2" t="str">
        <f>IFERROR(__xludf.DUMMYFUNCTION("GOOGLETRANSLATE(A6438, ""en"", ""mt"")"),"Kemm-il darba jiltaqa 'l-kunsill?")</f>
        <v>Kemm-il darba jiltaqa 'l-kunsill?</v>
      </c>
    </row>
    <row r="6439" ht="15.75" customHeight="1">
      <c r="A6439" s="2" t="s">
        <v>6439</v>
      </c>
      <c r="B6439" s="2" t="str">
        <f>IFERROR(__xludf.DUMMYFUNCTION("GOOGLETRANSLATE(A6439, ""en"", ""mt"")"),"X'ammont ta 'ħin kien l-itwal li Tesla qattgħet taħdem mingħajr ma waqfet biex tistrieħ?")</f>
        <v>X'ammont ta 'ħin kien l-itwal li Tesla qattgħet taħdem mingħajr ma waqfet biex tistrieħ?</v>
      </c>
    </row>
    <row r="6440" ht="15.75" customHeight="1">
      <c r="A6440" s="2" t="s">
        <v>6440</v>
      </c>
      <c r="B6440" s="2" t="str">
        <f>IFERROR(__xludf.DUMMYFUNCTION("GOOGLETRANSLATE(A6440, ""en"", ""mt"")"),"Ortodossija Kattolika")</f>
        <v>Ortodossija Kattolika</v>
      </c>
    </row>
    <row r="6441" ht="15.75" customHeight="1">
      <c r="A6441" s="2" t="s">
        <v>6441</v>
      </c>
      <c r="B6441" s="2" t="str">
        <f>IFERROR(__xludf.DUMMYFUNCTION("GOOGLETRANSLATE(A6441, ""en"", ""mt"")"),"ippubblika s-sejbiet tiegħu l-ewwel")</f>
        <v>ippubblika s-sejbiet tiegħu l-ewwel</v>
      </c>
    </row>
    <row r="6442" ht="15.75" customHeight="1">
      <c r="A6442" s="2" t="s">
        <v>6442</v>
      </c>
      <c r="B6442" s="2" t="str">
        <f>IFERROR(__xludf.DUMMYFUNCTION("GOOGLETRANSLATE(A6442, ""en"", ""mt"")"),"X'inhu t-terminu għal sistema immuni iperattiva li tattakka tessuti normali?")</f>
        <v>X'inhu t-terminu għal sistema immuni iperattiva li tattakka tessuti normali?</v>
      </c>
    </row>
    <row r="6443" ht="15.75" customHeight="1">
      <c r="A6443" s="2" t="s">
        <v>6443</v>
      </c>
      <c r="B6443" s="2" t="str">
        <f>IFERROR(__xludf.DUMMYFUNCTION("GOOGLETRANSLATE(A6443, ""en"", ""mt"")"),"Għaliex xi tribujiet jużaw teknoloġija ta 'telerilevament?")</f>
        <v>Għaliex xi tribujiet jużaw teknoloġija ta 'telerilevament?</v>
      </c>
    </row>
    <row r="6444" ht="15.75" customHeight="1">
      <c r="A6444" s="2" t="s">
        <v>6444</v>
      </c>
      <c r="B6444" s="2" t="str">
        <f>IFERROR(__xludf.DUMMYFUNCTION("GOOGLETRANSLATE(A6444, ""en"", ""mt"")"),"$ 2 miljun")</f>
        <v>$ 2 miljun</v>
      </c>
    </row>
    <row r="6445" ht="15.75" customHeight="1">
      <c r="A6445" s="2" t="s">
        <v>6445</v>
      </c>
      <c r="B6445" s="2" t="str">
        <f>IFERROR(__xludf.DUMMYFUNCTION("GOOGLETRANSLATE(A6445, ""en"", ""mt"")"),"is-seba '")</f>
        <v>is-seba '</v>
      </c>
    </row>
    <row r="6446" ht="15.75" customHeight="1">
      <c r="A6446" s="2" t="s">
        <v>6446</v>
      </c>
      <c r="B6446" s="2" t="str">
        <f>IFERROR(__xludf.DUMMYFUNCTION("GOOGLETRANSLATE(A6446, ""en"", ""mt"")"),"żewġ arbli")</f>
        <v>żewġ arbli</v>
      </c>
    </row>
    <row r="6447" ht="15.75" customHeight="1">
      <c r="A6447" s="2" t="s">
        <v>6447</v>
      </c>
      <c r="B6447" s="2" t="str">
        <f>IFERROR(__xludf.DUMMYFUNCTION("GOOGLETRANSLATE(A6447, ""en"", ""mt"")"),"Drogi ċitotossiċi jew immunosoppressivi")</f>
        <v>Drogi ċitotossiċi jew immunosoppressivi</v>
      </c>
    </row>
    <row r="6448" ht="15.75" customHeight="1">
      <c r="A6448" s="2" t="s">
        <v>6448</v>
      </c>
      <c r="B6448" s="2" t="str">
        <f>IFERROR(__xludf.DUMMYFUNCTION("GOOGLETRANSLATE(A6448, ""en"", ""mt"")"),"Xi jħossu Rosenfield għandu l-iktar rwol sinifikanti fl-espansjoni tad-distakk fid-dħul?")</f>
        <v>Xi jħossu Rosenfield għandu l-iktar rwol sinifikanti fl-espansjoni tad-distakk fid-dħul?</v>
      </c>
    </row>
    <row r="6449" ht="15.75" customHeight="1">
      <c r="A6449" s="2" t="s">
        <v>6449</v>
      </c>
      <c r="B6449" s="2" t="str">
        <f>IFERROR(__xludf.DUMMYFUNCTION("GOOGLETRANSLATE(A6449, ""en"", ""mt"")"),"Moting Pictures, Petroleum u Aircraft Manufacturing kienu industriji ewlenin minn liema għaxar snin?")</f>
        <v>Moting Pictures, Petroleum u Aircraft Manufacturing kienu industriji ewlenin minn liema għaxar snin?</v>
      </c>
    </row>
    <row r="6450" ht="15.75" customHeight="1">
      <c r="A6450" s="2" t="s">
        <v>6450</v>
      </c>
      <c r="B6450" s="2" t="str">
        <f>IFERROR(__xludf.DUMMYFUNCTION("GOOGLETRANSLATE(A6450, ""en"", ""mt"")"),"Għaliex kien maħsub li ċ-ctenophores kienu dieta ħażina għal annimali oħra?")</f>
        <v>Għaliex kien maħsub li ċ-ctenophores kienu dieta ħażina għal annimali oħra?</v>
      </c>
    </row>
    <row r="6451" ht="15.75" customHeight="1">
      <c r="A6451" s="2" t="s">
        <v>6451</v>
      </c>
      <c r="B6451" s="2" t="str">
        <f>IFERROR(__xludf.DUMMYFUNCTION("GOOGLETRANSLATE(A6451, ""en"", ""mt"")"),"Meta Upt Bough ABC, kif kienet tissejjaħ il-kumpanija magħquda?")</f>
        <v>Meta Upt Bough ABC, kif kienet tissejjaħ il-kumpanija magħquda?</v>
      </c>
    </row>
    <row r="6452" ht="15.75" customHeight="1">
      <c r="A6452" s="2" t="s">
        <v>6452</v>
      </c>
      <c r="B6452" s="2" t="str">
        <f>IFERROR(__xludf.DUMMYFUNCTION("GOOGLETRANSLATE(A6452, ""en"", ""mt"")"),"Meta huma l-irmied issa?")</f>
        <v>Meta huma l-irmied issa?</v>
      </c>
    </row>
    <row r="6453" ht="15.75" customHeight="1">
      <c r="A6453" s="2" t="s">
        <v>6453</v>
      </c>
      <c r="B6453" s="2" t="str">
        <f>IFERROR(__xludf.DUMMYFUNCTION("GOOGLETRANSLATE(A6453, ""en"", ""mt"")"),"Islam politiku")</f>
        <v>Islam politiku</v>
      </c>
    </row>
    <row r="6454" ht="15.75" customHeight="1">
      <c r="A6454" s="2" t="s">
        <v>6454</v>
      </c>
      <c r="B6454" s="2" t="str">
        <f>IFERROR(__xludf.DUMMYFUNCTION("GOOGLETRANSLATE(A6454, ""en"", ""mt"")"),"Sistemi immuni innati")</f>
        <v>Sistemi immuni innati</v>
      </c>
    </row>
    <row r="6455" ht="15.75" customHeight="1">
      <c r="A6455" s="2" t="s">
        <v>6455</v>
      </c>
      <c r="B6455" s="2" t="str">
        <f>IFERROR(__xludf.DUMMYFUNCTION("GOOGLETRANSLATE(A6455, ""en"", ""mt"")"),"Darbtejn iċ-ċifra għall-professjoni medja")</f>
        <v>Darbtejn iċ-ċifra għall-professjoni medja</v>
      </c>
    </row>
    <row r="6456" ht="15.75" customHeight="1">
      <c r="A6456" s="2" t="s">
        <v>6456</v>
      </c>
      <c r="B6456" s="2" t="str">
        <f>IFERROR(__xludf.DUMMYFUNCTION("GOOGLETRANSLATE(A6456, ""en"", ""mt"")"),"Il-ġurnata preżenti upstate New York u l-pajjiż Ohio")</f>
        <v>Il-ġurnata preżenti upstate New York u l-pajjiż Ohio</v>
      </c>
    </row>
    <row r="6457" ht="15.75" customHeight="1">
      <c r="A6457" s="2" t="s">
        <v>6457</v>
      </c>
      <c r="B6457" s="2" t="str">
        <f>IFERROR(__xludf.DUMMYFUNCTION("GOOGLETRANSLATE(A6457, ""en"", ""mt"")"),"Xi tieħu pajjiż b'inugwaljanza għolja itwal biex tinkiseb?")</f>
        <v>Xi tieħu pajjiż b'inugwaljanza għolja itwal biex tinkiseb?</v>
      </c>
    </row>
    <row r="6458" ht="15.75" customHeight="1">
      <c r="A6458" s="2" t="s">
        <v>6458</v>
      </c>
      <c r="B6458" s="2" t="str">
        <f>IFERROR(__xludf.DUMMYFUNCTION("GOOGLETRANSLATE(A6458, ""en"", ""mt"")"),"Biex tevita li tfixkel jew tfixkel lin-nies, Luther evita bidla estrema. Huwa wkoll ma riedx jissostitwixxi sistema ta 'kontroll waħda ma' oħra. Huwa kkonċentra fuq il-knisja fl-elettorat tas-Sassonja, li jaġixxi biss bħala konsulent għall-knejjes f'terri"&amp;"torji ġodda, li ħafna minnhom segwew il-mudell Sassonu tiegħu. Huwa ħadem mill-qrib mal-elettur il-ġdid, John the Staadfast, li miegħu rrikorra għal tmexxija sekulari u fondi f'isem knisja fil-biċċa l-kbira ta 'l-assi u d-dħul tagħha wara l-waqfa ma' Ruma"&amp;". Għall-bijografu ta 'Luther Martin Brecht, din is-sħubija ""kienet il-bidu ta' żvilupp dubjuż u oriġinarjament mhux intenzjonat lejn gvern tal-knisja taħt is-sovran temporali"". L-elettur awtorizza żjara tal-knisja, poter li qabel kien eżerċitat mill-isq"&amp;"fijiet. Xi drabi, ir-riformi prattiċi ta 'Luther ma kinux qosra mill-pronunzji radikali preċedenti tiegħu. Pereżempju, l-istruzzjonijiet għall-viżitaturi tar-ragħajja parrokkjali fis-Sassonja Elettorali (1528), abbozzati minn Melanchthon bl-approvazzjoni "&amp;"ta 'Luther, enfasizzaw ir-rwol tal-indiema fil-maħfra tad-dnubiet, minkejja l-pożizzjoni ta' Luther li l-fidi waħedha tiżgura l-ġustifikazzjoni. Ir-riformatur ta 'Eisleben Johannes Agricola kkontesta dan il-kompromess, u Luther ikkundannah għat-tagħlim li"&amp;" l-fidi hija separata mix-xogħlijiet. L-istruzzjoni hija dokument problematiku għal dawk li jfittxu evoluzzjoni konsistenti fil-ħsieb u l-prattika ta 'Luther.")</f>
        <v>Biex tevita li tfixkel jew tfixkel lin-nies, Luther evita bidla estrema. Huwa wkoll ma riedx jissostitwixxi sistema ta 'kontroll waħda ma' oħra. Huwa kkonċentra fuq il-knisja fl-elettorat tas-Sassonja, li jaġixxi biss bħala konsulent għall-knejjes f'territorji ġodda, li ħafna minnhom segwew il-mudell Sassonu tiegħu. Huwa ħadem mill-qrib mal-elettur il-ġdid, John the Staadfast, li miegħu rrikorra għal tmexxija sekulari u fondi f'isem knisja fil-biċċa l-kbira ta 'l-assi u d-dħul tagħha wara l-waqfa ma' Ruma. Għall-bijografu ta 'Luther Martin Brecht, din is-sħubija "kienet il-bidu ta' żvilupp dubjuż u oriġinarjament mhux intenzjonat lejn gvern tal-knisja taħt is-sovran temporali". L-elettur awtorizza żjara tal-knisja, poter li qabel kien eżerċitat mill-isqfijiet. Xi drabi, ir-riformi prattiċi ta 'Luther ma kinux qosra mill-pronunzji radikali preċedenti tiegħu. Pereżempju, l-istruzzjonijiet għall-viżitaturi tar-ragħajja parrokkjali fis-Sassonja Elettorali (1528), abbozzati minn Melanchthon bl-approvazzjoni ta 'Luther, enfasizzaw ir-rwol tal-indiema fil-maħfra tad-dnubiet, minkejja l-pożizzjoni ta' Luther li l-fidi waħedha tiżgura l-ġustifikazzjoni. Ir-riformatur ta 'Eisleben Johannes Agricola kkontesta dan il-kompromess, u Luther ikkundannah għat-tagħlim li l-fidi hija separata mix-xogħlijiet. L-istruzzjoni hija dokument problematiku għal dawk li jfittxu evoluzzjoni konsistenti fil-ħsieb u l-prattika ta 'Luther.</v>
      </c>
    </row>
    <row r="6459" ht="15.75" customHeight="1">
      <c r="A6459" s="2" t="s">
        <v>6459</v>
      </c>
      <c r="B6459" s="2" t="str">
        <f>IFERROR(__xludf.DUMMYFUNCTION("GOOGLETRANSLATE(A6459, ""en"", ""mt"")"),"Liema status kiseb il-fratellanza fid-dinja Iżlamika?")</f>
        <v>Liema status kiseb il-fratellanza fid-dinja Iżlamika?</v>
      </c>
    </row>
    <row r="6460" ht="15.75" customHeight="1">
      <c r="A6460" s="2" t="s">
        <v>6460</v>
      </c>
      <c r="B6460" s="2" t="str">
        <f>IFERROR(__xludf.DUMMYFUNCTION("GOOGLETRANSLATE(A6460, ""en"", ""mt"")"),"X'inhu eżempju ta 'karozzi li jaħdmu bil-fwar?")</f>
        <v>X'inhu eżempju ta 'karozzi li jaħdmu bil-fwar?</v>
      </c>
    </row>
    <row r="6461" ht="15.75" customHeight="1">
      <c r="A6461" s="2" t="s">
        <v>6461</v>
      </c>
      <c r="B6461" s="2" t="str">
        <f>IFERROR(__xludf.DUMMYFUNCTION("GOOGLETRANSLATE(A6461, ""en"", ""mt"")"),"Qabel ma Genghis Khan miet, huwa assenja lil Ögedei Khan bħala s-suċċessur tiegħu u qassam l-imperu tiegħu f'Khanates fost uliedu u neputijiet. Huwa miet fl-1227 wara li għeleb lill-Punent Xia. Huwa ndifen f'qabar mhux immarkat x'imkien fil-Mongolja f'pos"&amp;"t mhux magħruf. Id-dixxendenti tiegħu estendew l-imperu Mongoljan madwar il-biċċa l-kbira tal-Eurasja billi jirbħu jew joħolqu stati vassali barra miċ-Ċina moderna kollha, il-Korea, il-Kawkasu, l-Asja Ċentrali, u porzjonijiet sostanzjali tal-Ewropa modern"&amp;"a tal-Lvant, ir-Russja, u l-Asja tal-Lbiċ. Ħafna minn dawn l-invażjonijiet irrepetew il-qatla fuq skala kbira ta 'popolazzjonijiet lokali. Bħala riżultat, Genghis Khan u l-imperu tiegħu għandhom reputazzjoni tal-biża 'fl-istoriji lokali.")</f>
        <v>Qabel ma Genghis Khan miet, huwa assenja lil Ögedei Khan bħala s-suċċessur tiegħu u qassam l-imperu tiegħu f'Khanates fost uliedu u neputijiet. Huwa miet fl-1227 wara li għeleb lill-Punent Xia. Huwa ndifen f'qabar mhux immarkat x'imkien fil-Mongolja f'post mhux magħruf. Id-dixxendenti tiegħu estendew l-imperu Mongoljan madwar il-biċċa l-kbira tal-Eurasja billi jirbħu jew joħolqu stati vassali barra miċ-Ċina moderna kollha, il-Korea, il-Kawkasu, l-Asja Ċentrali, u porzjonijiet sostanzjali tal-Ewropa moderna tal-Lvant, ir-Russja, u l-Asja tal-Lbiċ. Ħafna minn dawn l-invażjonijiet irrepetew il-qatla fuq skala kbira ta 'popolazzjonijiet lokali. Bħala riżultat, Genghis Khan u l-imperu tiegħu għandhom reputazzjoni tal-biża 'fl-istoriji lokali.</v>
      </c>
    </row>
    <row r="6462" ht="15.75" customHeight="1">
      <c r="A6462" s="2" t="s">
        <v>6462</v>
      </c>
      <c r="B6462" s="2" t="str">
        <f>IFERROR(__xludf.DUMMYFUNCTION("GOOGLETRANSLATE(A6462, ""en"", ""mt"")"),"Netwerk ta 'Komunikazzjonijiet ta' Dejta Internazzjonali")</f>
        <v>Netwerk ta 'Komunikazzjonijiet ta' Dejta Internazzjonali</v>
      </c>
    </row>
    <row r="6463" ht="15.75" customHeight="1">
      <c r="A6463" s="2" t="s">
        <v>6463</v>
      </c>
      <c r="B6463" s="2" t="str">
        <f>IFERROR(__xludf.DUMMYFUNCTION("GOOGLETRANSLATE(A6463, ""en"", ""mt"")"),"Liema korriment sofra Thomas Davis fil-Kampjonat NFC?")</f>
        <v>Liema korriment sofra Thomas Davis fil-Kampjonat NFC?</v>
      </c>
    </row>
    <row r="6464" ht="15.75" customHeight="1">
      <c r="A6464" s="2" t="s">
        <v>6464</v>
      </c>
      <c r="B6464" s="2" t="str">
        <f>IFERROR(__xludf.DUMMYFUNCTION("GOOGLETRANSLATE(A6464, ""en"", ""mt"")"),"Liema satellita ppermettiet lil Sky Digital biex tniedi servizz diġitali ġdid kollu?")</f>
        <v>Liema satellita ppermettiet lil Sky Digital biex tniedi servizz diġitali ġdid kollu?</v>
      </c>
    </row>
    <row r="6465" ht="15.75" customHeight="1">
      <c r="A6465" s="2" t="s">
        <v>6465</v>
      </c>
      <c r="B6465" s="2" t="str">
        <f>IFERROR(__xludf.DUMMYFUNCTION("GOOGLETRANSLATE(A6465, ""en"", ""mt"")"),"X'ġara mill-missjoni AS-205 oriġinarjament?")</f>
        <v>X'ġara mill-missjoni AS-205 oriġinarjament?</v>
      </c>
    </row>
    <row r="6466" ht="15.75" customHeight="1">
      <c r="A6466" s="2" t="s">
        <v>6466</v>
      </c>
      <c r="B6466" s="2" t="str">
        <f>IFERROR(__xludf.DUMMYFUNCTION("GOOGLETRANSLATE(A6466, ""en"", ""mt"")"),"Kemm molekuli G3P jitilqu ċ-ċiklu?")</f>
        <v>Kemm molekuli G3P jitilqu ċ-ċiklu?</v>
      </c>
    </row>
    <row r="6467" ht="15.75" customHeight="1">
      <c r="A6467" s="2" t="s">
        <v>6467</v>
      </c>
      <c r="B6467" s="2" t="str">
        <f>IFERROR(__xludf.DUMMYFUNCTION("GOOGLETRANSLATE(A6467, ""en"", ""mt"")"),"glowed anke meta tintefa")</f>
        <v>glowed anke meta tintefa</v>
      </c>
    </row>
    <row r="6468" ht="15.75" customHeight="1">
      <c r="A6468" s="2" t="s">
        <v>6468</v>
      </c>
      <c r="B6468" s="2" t="str">
        <f>IFERROR(__xludf.DUMMYFUNCTION("GOOGLETRANSLATE(A6468, ""en"", ""mt"")"),"Jappartjeni lil Warsz")</f>
        <v>Jappartjeni lil Warsz</v>
      </c>
    </row>
    <row r="6469" ht="15.75" customHeight="1">
      <c r="A6469" s="2" t="s">
        <v>6469</v>
      </c>
      <c r="B6469" s="2" t="str">
        <f>IFERROR(__xludf.DUMMYFUNCTION("GOOGLETRANSLATE(A6469, ""en"", ""mt"")"),"Fl-2005, partijiet tal-baċin tal-Amażonja esperjenzaw l-agħar nixfa f'mitt sena, u kien hemm indikazzjonijiet li l-2006 setgħu kienu t-tieni sena suċċessiva ta 'nixfa. Artiklu tat-23 ta 'Lulju 2006 fil-gazzetta tar-Renju Unit The Independent irrapporta r-"&amp;"riżultati taċ-Ċentru ta' Riċerka dwar il-Woods Hole li juri li l-foresta fil-forma preżenti tagħha tista 'tibqa' ħajja biss ta 'tliet snin ta' nixfa. Ix-xjentisti fl-Istitut Nazzjonali Brażiljan tar-Riċerka tal-Amażonja jargumentaw fl-artikolu li din ir-r"&amp;"ispons għan-nixfa, flimkien mal-effetti tad-deforestazzjoni fuq il-klima reġjonali, qed jimbuttaw il-foresta tropikali lejn ""punt li jxerred"" fejn se jibda b'mod irriversibbli. Jikkonkludi li l-foresta tinsab f'xifer li tinbidel fi savanna jew deżert, b"&amp;"'konsegwenzi katastrofiċi għall-klima tad-dinja.")</f>
        <v>Fl-2005, partijiet tal-baċin tal-Amażonja esperjenzaw l-agħar nixfa f'mitt sena, u kien hemm indikazzjonijiet li l-2006 setgħu kienu t-tieni sena suċċessiva ta 'nixfa. Artiklu tat-23 ta 'Lulju 2006 fil-gazzetta tar-Renju Unit The Independent irrapporta r-riżultati taċ-Ċentru ta' Riċerka dwar il-Woods Hole li juri li l-foresta fil-forma preżenti tagħha tista 'tibqa' ħajja biss ta 'tliet snin ta' nixfa. Ix-xjentisti fl-Istitut Nazzjonali Brażiljan tar-Riċerka tal-Amażonja jargumentaw fl-artikolu li din ir-rispons għan-nixfa, flimkien mal-effetti tad-deforestazzjoni fuq il-klima reġjonali, qed jimbuttaw il-foresta tropikali lejn "punt li jxerred" fejn se jibda b'mod irriversibbli. Jikkonkludi li l-foresta tinsab f'xifer li tinbidel fi savanna jew deżert, b'konsegwenzi katastrofiċi għall-klima tad-dinja.</v>
      </c>
    </row>
    <row r="6470" ht="15.75" customHeight="1">
      <c r="A6470" s="2" t="s">
        <v>6470</v>
      </c>
      <c r="B6470" s="2" t="str">
        <f>IFERROR(__xludf.DUMMYFUNCTION("GOOGLETRANSLATE(A6470, ""en"", ""mt"")"),"Kura tas-Saħħa tal-Ispiżerija")</f>
        <v>Kura tas-Saħħa tal-Ispiżerija</v>
      </c>
    </row>
    <row r="6471" ht="15.75" customHeight="1">
      <c r="A6471" s="2" t="s">
        <v>6471</v>
      </c>
      <c r="B6471" s="2" t="str">
        <f>IFERROR(__xludf.DUMMYFUNCTION("GOOGLETRANSLATE(A6471, ""en"", ""mt"")"),"Ħafna nies anzjani issa qed jieħdu bosta mediċini iżda jkomplu jgħixu barra minn settings istituzzjonali")</f>
        <v>Ħafna nies anzjani issa qed jieħdu bosta mediċini iżda jkomplu jgħixu barra minn settings istituzzjonali</v>
      </c>
    </row>
    <row r="6472" ht="15.75" customHeight="1">
      <c r="A6472" s="2" t="s">
        <v>6472</v>
      </c>
      <c r="B6472" s="2" t="str">
        <f>IFERROR(__xludf.DUMMYFUNCTION("GOOGLETRANSLATE(A6472, ""en"", ""mt"")"),"Liema żona preżenti kienet din is-soluzzjoni qrib?")</f>
        <v>Liema żona preżenti kienet din is-soluzzjoni qrib?</v>
      </c>
    </row>
    <row r="6473" ht="15.75" customHeight="1">
      <c r="A6473" s="2" t="s">
        <v>6473</v>
      </c>
      <c r="B6473" s="2" t="str">
        <f>IFERROR(__xludf.DUMMYFUNCTION("GOOGLETRANSLATE(A6473, ""en"", ""mt"")"),"X'inhuma l-attakki fuq l-għalliema li jikkawżaw?")</f>
        <v>X'inhuma l-attakki fuq l-għalliema li jikkawżaw?</v>
      </c>
    </row>
    <row r="6474" ht="15.75" customHeight="1">
      <c r="A6474" s="2" t="s">
        <v>6474</v>
      </c>
      <c r="B6474" s="2" t="str">
        <f>IFERROR(__xludf.DUMMYFUNCTION("GOOGLETRANSLATE(A6474, ""en"", ""mt"")"),"ismijiet")</f>
        <v>ismijiet</v>
      </c>
    </row>
    <row r="6475" ht="15.75" customHeight="1">
      <c r="A6475" s="2" t="s">
        <v>6475</v>
      </c>
      <c r="B6475" s="2" t="str">
        <f>IFERROR(__xludf.DUMMYFUNCTION("GOOGLETRANSLATE(A6475, ""en"", ""mt"")"),"taħt is-sovran temporali")</f>
        <v>taħt is-sovran temporali</v>
      </c>
    </row>
    <row r="6476" ht="15.75" customHeight="1">
      <c r="A6476" s="2" t="s">
        <v>6476</v>
      </c>
      <c r="B6476" s="2" t="str">
        <f>IFERROR(__xludf.DUMMYFUNCTION("GOOGLETRANSLATE(A6476, ""en"", ""mt"")"),"Fl-1749 il-gvern Ingliż ta art lill-Kumpanija ta ’Ohio ta’ Virginia bil-għan li tiżviluppa kummerċ u insedjamenti fil-pajjiż ta ’Ohio. L-għotja kienet teħtieġ li tissetilja 100 familja fit-territorju, u tibni fort għall-protezzjoni tagħhom. Iżda, hekk kif"&amp;" it-territorju kien iddikjarat ukoll minn Pennsylvania, iż-żewġ kolonji bdew jimbuttaw għall-azzjoni biex itejbu t-talbiet rispettivi tagħhom. Fl-1750 Christopher Gist, li jaġixxi f'isem Virginia kif ukoll tal-kumpanija, esplora t-territorju ta 'Ohio u fe"&amp;"taħ negozjati mat-tribujiet Indjani f'Logstown. Huwa temm it-Trattat ta 'Logstown tal-1752 li fih l-Indjani lokali, permezz ta' ""nofs ir-re"" tagħhom ta 'Tanacharison u rappreżentant ta' Iroquois, qablu ma 'termini li kienu jinkludu permess biex jibnu """&amp;"dar b'saħħitha"" fil-bokka tax-xmara Monongahela (is-sit ta' Pittsburgh preżenti, Pennsylvania). Sal-aħħar tas-seklu 17, l-Iroquois kien imbuttat ħafna tribujiet 'il barra mill-wied ta' Ohio, u żammha bħala l-art tal-kaċċa bid-dritt tal-konkwista.")</f>
        <v>Fl-1749 il-gvern Ingliż ta art lill-Kumpanija ta ’Ohio ta’ Virginia bil-għan li tiżviluppa kummerċ u insedjamenti fil-pajjiż ta ’Ohio. L-għotja kienet teħtieġ li tissetilja 100 familja fit-territorju, u tibni fort għall-protezzjoni tagħhom. Iżda, hekk kif it-territorju kien iddikjarat ukoll minn Pennsylvania, iż-żewġ kolonji bdew jimbuttaw għall-azzjoni biex itejbu t-talbiet rispettivi tagħhom. Fl-1750 Christopher Gist, li jaġixxi f'isem Virginia kif ukoll tal-kumpanija, esplora t-territorju ta 'Ohio u fetaħ negozjati mat-tribujiet Indjani f'Logstown. Huwa temm it-Trattat ta 'Logstown tal-1752 li fih l-Indjani lokali, permezz ta' "nofs ir-re" tagħhom ta 'Tanacharison u rappreżentant ta' Iroquois, qablu ma 'termini li kienu jinkludu permess biex jibnu "dar b'saħħitha" fil-bokka tax-xmara Monongahela (is-sit ta' Pittsburgh preżenti, Pennsylvania). Sal-aħħar tas-seklu 17, l-Iroquois kien imbuttat ħafna tribujiet 'il barra mill-wied ta' Ohio, u żammha bħala l-art tal-kaċċa bid-dritt tal-konkwista.</v>
      </c>
    </row>
    <row r="6477" ht="15.75" customHeight="1">
      <c r="A6477" s="2" t="s">
        <v>6477</v>
      </c>
      <c r="B6477" s="2" t="str">
        <f>IFERROR(__xludf.DUMMYFUNCTION("GOOGLETRANSLATE(A6477, ""en"", ""mt"")"),"Knisja Metodista Magħquda (UMC)")</f>
        <v>Knisja Metodista Magħquda (UMC)</v>
      </c>
    </row>
    <row r="6478" ht="15.75" customHeight="1">
      <c r="A6478" s="2" t="s">
        <v>6478</v>
      </c>
      <c r="B6478" s="2" t="str">
        <f>IFERROR(__xludf.DUMMYFUNCTION("GOOGLETRANSLATE(A6478, ""en"", ""mt"")"),"Storja mqallba tal-belt u pajjiż")</f>
        <v>Storja mqallba tal-belt u pajjiż</v>
      </c>
    </row>
    <row r="6479" ht="15.75" customHeight="1">
      <c r="A6479" s="2" t="s">
        <v>6479</v>
      </c>
      <c r="B6479" s="2" t="str">
        <f>IFERROR(__xludf.DUMMYFUNCTION("GOOGLETRANSLATE(A6479, ""en"", ""mt"")"),"X'inhu d-dmir ewlieni tal-GPHC?")</f>
        <v>X'inhu d-dmir ewlieni tal-GPHC?</v>
      </c>
    </row>
    <row r="6480" ht="15.75" customHeight="1">
      <c r="A6480" s="2" t="s">
        <v>6480</v>
      </c>
      <c r="B6480" s="2" t="str">
        <f>IFERROR(__xludf.DUMMYFUNCTION("GOOGLETRANSLATE(A6480, ""en"", ""mt"")"),"Settembru 1971")</f>
        <v>Settembru 1971</v>
      </c>
    </row>
    <row r="6481" ht="15.75" customHeight="1">
      <c r="A6481" s="2" t="s">
        <v>6481</v>
      </c>
      <c r="B6481" s="2" t="str">
        <f>IFERROR(__xludf.DUMMYFUNCTION("GOOGLETRANSLATE(A6481, ""en"", ""mt"")"),"Il-foresta tropikali fiha diversi speċi li jistgħu joħolqu periklu. Fost l-akbar kreaturi predatorji hemm il-Caiman Iswed, Jaguar, Cougar, u Anaconda. Fix-xmara, is-sallur elettriku jista 'jipproduċi xokk elettriku li jista' jinqata 'jew joqtol, filwaqt l"&amp;"i Piranha huma magħrufa li gidma u jweġġgħu lill-bnedmin. Diversi speċi ta 'żrinġijiet tal-velenu jnixxu tossini alkalojdi lipofiliċi minn laħamhom. Hemm ukoll bosta parassiti u vettori tal-mard. Il-friefet il-lejl tal-vampire joqogħdu fil-foresta tropika"&amp;"li u jistgħu jxerrdu l-virus tar-rabbja. Il-malarja, id-deni isfar u d-deni tad-dengue jistgħu wkoll jiġu kkuntrattati fir-reġjun tal-Amażonja.")</f>
        <v>Il-foresta tropikali fiha diversi speċi li jistgħu joħolqu periklu. Fost l-akbar kreaturi predatorji hemm il-Caiman Iswed, Jaguar, Cougar, u Anaconda. Fix-xmara, is-sallur elettriku jista 'jipproduċi xokk elettriku li jista' jinqata 'jew joqtol, filwaqt li Piranha huma magħrufa li gidma u jweġġgħu lill-bnedmin. Diversi speċi ta 'żrinġijiet tal-velenu jnixxu tossini alkalojdi lipofiliċi minn laħamhom. Hemm ukoll bosta parassiti u vettori tal-mard. Il-friefet il-lejl tal-vampire joqogħdu fil-foresta tropikali u jistgħu jxerrdu l-virus tar-rabbja. Il-malarja, id-deni isfar u d-deni tad-dengue jistgħu wkoll jiġu kkuntrattati fir-reġjun tal-Amażonja.</v>
      </c>
    </row>
    <row r="6482" ht="15.75" customHeight="1">
      <c r="A6482" s="2" t="s">
        <v>6482</v>
      </c>
      <c r="B6482" s="2" t="str">
        <f>IFERROR(__xludf.DUMMYFUNCTION("GOOGLETRANSLATE(A6482, ""en"", ""mt"")"),"aktar minn nofs")</f>
        <v>aktar minn nofs</v>
      </c>
    </row>
    <row r="6483" ht="15.75" customHeight="1">
      <c r="A6483" s="2" t="s">
        <v>6483</v>
      </c>
      <c r="B6483" s="2" t="str">
        <f>IFERROR(__xludf.DUMMYFUNCTION("GOOGLETRANSLATE(A6483, ""en"", ""mt"")"),"Sistema immuni innata kontra s-sistema immuni adatta")</f>
        <v>Sistema immuni innata kontra s-sistema immuni adatta</v>
      </c>
    </row>
    <row r="6484" ht="15.75" customHeight="1">
      <c r="A6484" s="2" t="s">
        <v>6484</v>
      </c>
      <c r="B6484" s="2" t="str">
        <f>IFERROR(__xludf.DUMMYFUNCTION("GOOGLETRANSLATE(A6484, ""en"", ""mt"")"),"Flora commensali")</f>
        <v>Flora commensali</v>
      </c>
    </row>
    <row r="6485" ht="15.75" customHeight="1">
      <c r="A6485" s="2" t="s">
        <v>6485</v>
      </c>
      <c r="B6485" s="2" t="str">
        <f>IFERROR(__xludf.DUMMYFUNCTION("GOOGLETRANSLATE(A6485, ""en"", ""mt"")"),"kemm il-gvern kif ukoll l-Assemblea Nazzjonali u s-Senat")</f>
        <v>kemm il-gvern kif ukoll l-Assemblea Nazzjonali u s-Senat</v>
      </c>
    </row>
    <row r="6486" ht="15.75" customHeight="1">
      <c r="A6486" s="2" t="s">
        <v>6486</v>
      </c>
      <c r="B6486" s="2" t="str">
        <f>IFERROR(__xludf.DUMMYFUNCTION("GOOGLETRANSLATE(A6486, ""en"", ""mt"")"),"ixxukkjat")</f>
        <v>ixxukkjat</v>
      </c>
    </row>
    <row r="6487" ht="15.75" customHeight="1">
      <c r="A6487" s="2" t="s">
        <v>6487</v>
      </c>
      <c r="B6487" s="2" t="str">
        <f>IFERROR(__xludf.DUMMYFUNCTION("GOOGLETRANSLATE(A6487, ""en"", ""mt"")"),"driegħ miksur")</f>
        <v>driegħ miksur</v>
      </c>
    </row>
    <row r="6488" ht="15.75" customHeight="1">
      <c r="A6488" s="2" t="s">
        <v>6488</v>
      </c>
      <c r="B6488" s="2" t="str">
        <f>IFERROR(__xludf.DUMMYFUNCTION("GOOGLETRANSLATE(A6488, ""en"", ""mt"")"),"Alka ħamra derivata")</f>
        <v>Alka ħamra derivata</v>
      </c>
    </row>
    <row r="6489" ht="15.75" customHeight="1">
      <c r="A6489" s="2" t="s">
        <v>6489</v>
      </c>
      <c r="B6489" s="2" t="str">
        <f>IFERROR(__xludf.DUMMYFUNCTION("GOOGLETRANSLATE(A6489, ""en"", ""mt"")"),"Sitt kwadrangles")</f>
        <v>Sitt kwadrangles</v>
      </c>
    </row>
    <row r="6490" ht="15.75" customHeight="1">
      <c r="A6490" s="2" t="s">
        <v>6490</v>
      </c>
      <c r="B6490" s="2" t="str">
        <f>IFERROR(__xludf.DUMMYFUNCTION("GOOGLETRANSLATE(A6490, ""en"", ""mt"")"),"Gwerra u okkupazzjoni twila")</f>
        <v>Gwerra u okkupazzjoni twila</v>
      </c>
    </row>
    <row r="6491" ht="15.75" customHeight="1">
      <c r="A6491" s="2" t="s">
        <v>6491</v>
      </c>
      <c r="B6491" s="2" t="str">
        <f>IFERROR(__xludf.DUMMYFUNCTION("GOOGLETRANSLATE(A6491, ""en"", ""mt"")"),"Kull sena")</f>
        <v>Kull sena</v>
      </c>
    </row>
    <row r="6492" ht="15.75" customHeight="1">
      <c r="A6492" s="2" t="s">
        <v>6492</v>
      </c>
      <c r="B6492" s="2" t="str">
        <f>IFERROR(__xludf.DUMMYFUNCTION("GOOGLETRANSLATE(A6492, ""en"", ""mt"")"),"Għall-ewwel, x’għamlu l-ossiġnu u l-ħadid biex jiffurmaw?")</f>
        <v>Għall-ewwel, x’għamlu l-ossiġnu u l-ħadid biex jiffurmaw?</v>
      </c>
    </row>
    <row r="6493" ht="15.75" customHeight="1">
      <c r="A6493" s="2" t="s">
        <v>6493</v>
      </c>
      <c r="B6493" s="2" t="str">
        <f>IFERROR(__xludf.DUMMYFUNCTION("GOOGLETRANSLATE(A6493, ""en"", ""mt"")"),"X'inhu l-isem tal-akbar ajruport tal-Mongolja?")</f>
        <v>X'inhu l-isem tal-akbar ajruport tal-Mongolja?</v>
      </c>
    </row>
    <row r="6494" ht="15.75" customHeight="1">
      <c r="A6494" s="2" t="s">
        <v>6494</v>
      </c>
      <c r="B6494" s="2" t="str">
        <f>IFERROR(__xludf.DUMMYFUNCTION("GOOGLETRANSLATE(A6494, ""en"", ""mt"")"),"Algoritmu għal X li jnaqqas għal C kieku nagħmlu?")</f>
        <v>Algoritmu għal X li jnaqqas għal C kieku nagħmlu?</v>
      </c>
    </row>
    <row r="6495" ht="15.75" customHeight="1">
      <c r="A6495" s="2" t="s">
        <v>6495</v>
      </c>
      <c r="B6495" s="2" t="str">
        <f>IFERROR(__xludf.DUMMYFUNCTION("GOOGLETRANSLATE(A6495, ""en"", ""mt"")"),"Teorija taċ-ċirku")</f>
        <v>Teorija taċ-ċirku</v>
      </c>
    </row>
    <row r="6496" ht="15.75" customHeight="1">
      <c r="A6496" s="2" t="s">
        <v>6496</v>
      </c>
      <c r="B6496" s="2" t="str">
        <f>IFERROR(__xludf.DUMMYFUNCTION("GOOGLETRANSLATE(A6496, ""en"", ""mt"")"),"Wieħed mill-ewwel eżempji li għadhom ħajjin ta 'quilting Ewropew, l-aħħar tas-seklu 14 Tristan Quilt, huwa wkoll miżmum mill-kollezzjoni. Il-kollezzjoni għandha bosta eżempji ta 'diversi tipi ta' tessuti ddisinjati minn William Morris, inklużi, rakkmu, dr"&amp;"appijiet minsuġa, tapizzeriji (inklużi 'l-foresta' tapizzerija tal-1887), twapet u twapet, kif ukoll kotba tal-mudelli u disinji tal-karti. Il-perjodu Art Deco huwa kopert minn twapet u drappijiet iddisinjati minn Marion Dorn. Mill-istess perjodu hemm tap"&amp;"it iddisinjat minn Serge Chermayeff.")</f>
        <v>Wieħed mill-ewwel eżempji li għadhom ħajjin ta 'quilting Ewropew, l-aħħar tas-seklu 14 Tristan Quilt, huwa wkoll miżmum mill-kollezzjoni. Il-kollezzjoni għandha bosta eżempji ta 'diversi tipi ta' tessuti ddisinjati minn William Morris, inklużi, rakkmu, drappijiet minsuġa, tapizzeriji (inklużi 'l-foresta' tapizzerija tal-1887), twapet u twapet, kif ukoll kotba tal-mudelli u disinji tal-karti. Il-perjodu Art Deco huwa kopert minn twapet u drappijiet iddisinjati minn Marion Dorn. Mill-istess perjodu hemm tapit iddisinjat minn Serge Chermayeff.</v>
      </c>
    </row>
    <row r="6497" ht="15.75" customHeight="1">
      <c r="A6497" s="2" t="s">
        <v>6497</v>
      </c>
      <c r="B6497" s="2" t="str">
        <f>IFERROR(__xludf.DUMMYFUNCTION("GOOGLETRANSLATE(A6497, ""en"", ""mt"")"),"Newcastle_upon_tyne")</f>
        <v>Newcastle_upon_tyne</v>
      </c>
    </row>
    <row r="6498" ht="15.75" customHeight="1">
      <c r="A6498" s="2" t="s">
        <v>6498</v>
      </c>
      <c r="B6498" s="2" t="str">
        <f>IFERROR(__xludf.DUMMYFUNCTION("GOOGLETRANSLATE(A6498, ""en"", ""mt"")"),"prosperità")</f>
        <v>prosperità</v>
      </c>
    </row>
    <row r="6499" ht="15.75" customHeight="1">
      <c r="A6499" s="2" t="s">
        <v>6499</v>
      </c>
      <c r="B6499" s="2" t="str">
        <f>IFERROR(__xludf.DUMMYFUNCTION("GOOGLETRANSLATE(A6499, ""en"", ""mt"")"),"Fl-1993, għat-30 anniversarju tal-franchise, karità oħra speċjali, intitolata Dimensions in Time ġiet prodotta għal Children in Need, li jidhru l-atturi kollha superstiti li lagħbu t-tabib u numru ta 'kumpanji preċedenti. Dehru wkoll crossover mas-sapun t"&amp;"al-EastEnders, l-azzjoni li qed isseħħ fil-post ta 'Albert Square ta' dan tal-aħħar u madwar Greenwich. L-ispeċjal kien wieħed minn bosta programmi speċjali 3D li l-BBC ipproduċiet dak iż-żmien, bl-użu ta 'sistema 3D li għamlet użu mill-effett tal-pulfric"&amp;"h li teħtieġ nuċċalijiet b'lenti mudlama waħda; L-istampa tidher normali għal dawk it-telespettaturi li jaraw mingħajr il-ħġiġiet.")</f>
        <v>Fl-1993, għat-30 anniversarju tal-franchise, karità oħra speċjali, intitolata Dimensions in Time ġiet prodotta għal Children in Need, li jidhru l-atturi kollha superstiti li lagħbu t-tabib u numru ta 'kumpanji preċedenti. Dehru wkoll crossover mas-sapun tal-EastEnders, l-azzjoni li qed isseħħ fil-post ta 'Albert Square ta' dan tal-aħħar u madwar Greenwich. L-ispeċjal kien wieħed minn bosta programmi speċjali 3D li l-BBC ipproduċiet dak iż-żmien, bl-użu ta 'sistema 3D li għamlet użu mill-effett tal-pulfrich li teħtieġ nuċċalijiet b'lenti mudlama waħda; L-istampa tidher normali għal dawk it-telespettaturi li jaraw mingħajr il-ħġiġiet.</v>
      </c>
    </row>
    <row r="6500" ht="15.75" customHeight="1">
      <c r="A6500" s="2" t="s">
        <v>6500</v>
      </c>
      <c r="B6500" s="2" t="str">
        <f>IFERROR(__xludf.DUMMYFUNCTION("GOOGLETRANSLATE(A6500, ""en"", ""mt"")"),"X'jistgħu jsiru Proplastids?")</f>
        <v>X'jistgħu jsiru Proplastids?</v>
      </c>
    </row>
    <row r="6501" ht="15.75" customHeight="1">
      <c r="A6501" s="2" t="s">
        <v>6501</v>
      </c>
      <c r="B6501" s="2" t="str">
        <f>IFERROR(__xludf.DUMMYFUNCTION("GOOGLETRANSLATE(A6501, ""en"", ""mt"")"),"Żeoliti Molekulari Molekulari")</f>
        <v>Żeoliti Molekulari Molekulari</v>
      </c>
    </row>
    <row r="6502" ht="15.75" customHeight="1">
      <c r="A6502" s="2" t="s">
        <v>6502</v>
      </c>
      <c r="B6502" s="2" t="str">
        <f>IFERROR(__xludf.DUMMYFUNCTION("GOOGLETRANSLATE(A6502, ""en"", ""mt"")"),"X'inhi r-rata tal-ħin tal-bidla tal-ħlas elettriku?")</f>
        <v>X'inhi r-rata tal-ħin tal-bidla tal-ħlas elettriku?</v>
      </c>
    </row>
    <row r="6503" ht="15.75" customHeight="1">
      <c r="A6503" s="2" t="s">
        <v>6503</v>
      </c>
      <c r="B6503" s="2" t="str">
        <f>IFERROR(__xludf.DUMMYFUNCTION("GOOGLETRANSLATE(A6503, ""en"", ""mt"")"),"Tliet kuntratti ta 'studju")</f>
        <v>Tliet kuntratti ta 'studju</v>
      </c>
    </row>
    <row r="6504" ht="15.75" customHeight="1">
      <c r="A6504" s="2" t="s">
        <v>6504</v>
      </c>
      <c r="B6504" s="2" t="str">
        <f>IFERROR(__xludf.DUMMYFUNCTION("GOOGLETRANSLATE(A6504, ""en"", ""mt"")"),"il-flail ta ’Alla")</f>
        <v>il-flail ta ’Alla</v>
      </c>
    </row>
    <row r="6505" ht="15.75" customHeight="1">
      <c r="A6505" s="2" t="s">
        <v>6505</v>
      </c>
      <c r="B6505" s="2" t="str">
        <f>IFERROR(__xludf.DUMMYFUNCTION("GOOGLETRANSLATE(A6505, ""en"", ""mt"")"),"It-temperaturi medji ta 'kull xahar ivarjaw minn madwar 53 F f'Jannar għal 82 F f'Lulju. Temperaturi għoljin medja 64 sa 92 ° F (18 sa 33 ° C) matul is-sena. Indiċi tas-sħana għoljin huma komuni għax-xhur tas-sajf fiż-żona, b'indiċi 'l fuq minn 110 ° F (4"&amp;"3.3 ° C) possibbli. L-ogħla temperatura rreġistrata kienet ta ’104 ° F (40 ° C) fil-11 ta’ Lulju, 1879 u t-28 ta ’Lulju, 1872. Huwa komuni li l-maltempati jinqerdu matul wara nofsinhar tipiku tas-sajf. Dawn huma kkawżati mit-tisħin rapidu ta 'l-art relatt"&amp;"iva għall-ilma, flimkien ma' umdità estremament għolja.")</f>
        <v>It-temperaturi medji ta 'kull xahar ivarjaw minn madwar 53 F f'Jannar għal 82 F f'Lulju. Temperaturi għoljin medja 64 sa 92 ° F (18 sa 33 ° C) matul is-sena. Indiċi tas-sħana għoljin huma komuni għax-xhur tas-sajf fiż-żona, b'indiċi 'l fuq minn 110 ° F (43.3 ° C) possibbli. L-ogħla temperatura rreġistrata kienet ta ’104 ° F (40 ° C) fil-11 ta’ Lulju, 1879 u t-28 ta ’Lulju, 1872. Huwa komuni li l-maltempati jinqerdu matul wara nofsinhar tipiku tas-sajf. Dawn huma kkawżati mit-tisħin rapidu ta 'l-art relattiva għall-ilma, flimkien ma' umdità estremament għolja.</v>
      </c>
    </row>
    <row r="6506" ht="15.75" customHeight="1">
      <c r="A6506" s="2" t="s">
        <v>6506</v>
      </c>
      <c r="B6506" s="2" t="str">
        <f>IFERROR(__xludf.DUMMYFUNCTION("GOOGLETRANSLATE(A6506, ""en"", ""mt"")"),"Għal xi għexieren ta ’snin qabel l-ewwel Palestina Intifada fl-1987, il-Fratellanza Musulmana fil-Palestina ħadet pożizzjoni"" kwieti ”lejn l-Iżrael, li tiffoka fuq il-predikazzjoni, l-edukazzjoni u s-servizzi soċjali, u tibbenefika minn"" indulġenza ""ta"&amp;"l-Iżrael biex tibni netwerk ta 'moskej u Organizzazzjonijiet ta 'karità. Hekk kif l-ewwel intifada ġabret il-momentum u x-xerrejja Palestinjani għalqu l-ħwienet tagħhom b'appoġġ għar-rewwixta, il-fratellanza ħabbret il-formazzjoni tal-Ħamas (""Zeal""), id"&amp;"dedikata għall-jihad kontra l-Iżrael. Minflok ma kien aktar moderat mill-PLO, il-Karta tal-Hamas tal-1988 ħadet pożizzjoni aktar mingħajr kompromess, li talbet il-qerda ta 'l-Iżrael u t-twaqqif ta' stat Iżlamiku fil-Palestina. Malajr kien qed jikkompeti m"&amp;"a 'u mbagħad qabeż il-PLO għall-kontroll tal-intifada. Il-bażi tal-Fratellanza tal-klassi tan-nofs devota sabet kawża komuni maż-żgħażagħ fqar tal-Intifada fil-konservattiviżmu kulturali tagħhom u l-antipatija għal attivitajiet tal-klassi tan-nofs sekular"&amp;"i bħal tixrob l-alkoħol u għaddejjin mingħajr hijab.")</f>
        <v>Għal xi għexieren ta ’snin qabel l-ewwel Palestina Intifada fl-1987, il-Fratellanza Musulmana fil-Palestina ħadet pożizzjoni" kwieti ”lejn l-Iżrael, li tiffoka fuq il-predikazzjoni, l-edukazzjoni u s-servizzi soċjali, u tibbenefika minn" indulġenza "tal-Iżrael biex tibni netwerk ta 'moskej u Organizzazzjonijiet ta 'karità. Hekk kif l-ewwel intifada ġabret il-momentum u x-xerrejja Palestinjani għalqu l-ħwienet tagħhom b'appoġġ għar-rewwixta, il-fratellanza ħabbret il-formazzjoni tal-Ħamas ("Zeal"), iddedikata għall-jihad kontra l-Iżrael. Minflok ma kien aktar moderat mill-PLO, il-Karta tal-Hamas tal-1988 ħadet pożizzjoni aktar mingħajr kompromess, li talbet il-qerda ta 'l-Iżrael u t-twaqqif ta' stat Iżlamiku fil-Palestina. Malajr kien qed jikkompeti ma 'u mbagħad qabeż il-PLO għall-kontroll tal-intifada. Il-bażi tal-Fratellanza tal-klassi tan-nofs devota sabet kawża komuni maż-żgħażagħ fqar tal-Intifada fil-konservattiviżmu kulturali tagħhom u l-antipatija għal attivitajiet tal-klassi tan-nofs sekulari bħal tixrob l-alkoħol u għaddejjin mingħajr hijab.</v>
      </c>
    </row>
    <row r="6507" ht="15.75" customHeight="1">
      <c r="A6507" s="2" t="s">
        <v>6507</v>
      </c>
      <c r="B6507" s="2" t="str">
        <f>IFERROR(__xludf.DUMMYFUNCTION("GOOGLETRANSLATE(A6507, ""en"", ""mt"")"),"dixxipli")</f>
        <v>dixxipli</v>
      </c>
    </row>
    <row r="6508" ht="15.75" customHeight="1">
      <c r="A6508" s="2" t="s">
        <v>6508</v>
      </c>
      <c r="B6508" s="2" t="str">
        <f>IFERROR(__xludf.DUMMYFUNCTION("GOOGLETRANSLATE(A6508, ""en"", ""mt"")"),"X'inhu eżempju ta 'problema li tistrieħ fil-klassi tal-kumplessità NP?")</f>
        <v>X'inhu eżempju ta 'problema li tistrieħ fil-klassi tal-kumplessità NP?</v>
      </c>
    </row>
    <row r="6509" ht="15.75" customHeight="1">
      <c r="A6509" s="2" t="s">
        <v>6509</v>
      </c>
      <c r="B6509" s="2" t="str">
        <f>IFERROR(__xludf.DUMMYFUNCTION("GOOGLETRANSLATE(A6509, ""en"", ""mt"")"),"In-nazzjonijiet industrijalizzati żiedu r-riservi tagħhom")</f>
        <v>In-nazzjonijiet industrijalizzati żiedu r-riservi tagħhom</v>
      </c>
    </row>
    <row r="6510" ht="15.75" customHeight="1">
      <c r="A6510" s="2" t="s">
        <v>6510</v>
      </c>
      <c r="B6510" s="2" t="str">
        <f>IFERROR(__xludf.DUMMYFUNCTION("GOOGLETRANSLATE(A6510, ""en"", ""mt"")"),"Is-Soċjetà ta ’San Piju X")</f>
        <v>Is-Soċjetà ta ’San Piju X</v>
      </c>
    </row>
    <row r="6511" ht="15.75" customHeight="1">
      <c r="A6511" s="2" t="s">
        <v>6511</v>
      </c>
      <c r="B6511" s="2" t="str">
        <f>IFERROR(__xludf.DUMMYFUNCTION("GOOGLETRANSLATE(A6511, ""en"", ""mt"")"),"Dan kien l-ewwel Super Bowl li kien jidher quarterback fuq iż-żewġ timijiet li kien l-għażla # 1 fl-abbozz tal-klassijiet tagħhom. Manning kienet l-għażla # 1 tal-Abbozz tal-NFL tal-1998, filwaqt li Newton inqabad l-ewwel fl-2011. Il-partita wkoll tpoġġi "&amp;"l-aqwa żewġ għażliet tal-abbozz tal-2011 kontra xulxin: Newton għal Carolina u Von Miller għal Denver. Manning u Newton stabbilixxew ukoll ir-rekord għall-ikbar differenza fl-età bejn il-quarterbacks tas-Super Bowl opposti fit-13-il sena u 48 jum (Manning"&amp;" kien 39, Newton kien 26).")</f>
        <v>Dan kien l-ewwel Super Bowl li kien jidher quarterback fuq iż-żewġ timijiet li kien l-għażla # 1 fl-abbozz tal-klassijiet tagħhom. Manning kienet l-għażla # 1 tal-Abbozz tal-NFL tal-1998, filwaqt li Newton inqabad l-ewwel fl-2011. Il-partita wkoll tpoġġi l-aqwa żewġ għażliet tal-abbozz tal-2011 kontra xulxin: Newton għal Carolina u Von Miller għal Denver. Manning u Newton stabbilixxew ukoll ir-rekord għall-ikbar differenza fl-età bejn il-quarterbacks tas-Super Bowl opposti fit-13-il sena u 48 jum (Manning kien 39, Newton kien 26).</v>
      </c>
    </row>
    <row r="6512" ht="15.75" customHeight="1">
      <c r="A6512" s="2" t="s">
        <v>6512</v>
      </c>
      <c r="B6512" s="2" t="str">
        <f>IFERROR(__xludf.DUMMYFUNCTION("GOOGLETRANSLATE(A6512, ""en"", ""mt"")"),"Liema istituzzjoni ta 'Filadelfja tat Tesla tat dimostrazzjoni lil?")</f>
        <v>Liema istituzzjoni ta 'Filadelfja tat Tesla tat dimostrazzjoni lil?</v>
      </c>
    </row>
    <row r="6513" ht="15.75" customHeight="1">
      <c r="A6513" s="2" t="s">
        <v>6513</v>
      </c>
      <c r="B6513" s="2" t="str">
        <f>IFERROR(__xludf.DUMMYFUNCTION("GOOGLETRANSLATE(A6513, ""en"", ""mt"")"),"Folji tas-silġ")</f>
        <v>Folji tas-silġ</v>
      </c>
    </row>
    <row r="6514" ht="15.75" customHeight="1">
      <c r="A6514" s="2" t="s">
        <v>6514</v>
      </c>
      <c r="B6514" s="2" t="str">
        <f>IFERROR(__xludf.DUMMYFUNCTION("GOOGLETRANSLATE(A6514, ""en"", ""mt"")"),"X'jiġri Ctenophore biex jaqbad il-priża tagħhom?")</f>
        <v>X'jiġri Ctenophore biex jaqbad il-priża tagħhom?</v>
      </c>
    </row>
    <row r="6515" ht="15.75" customHeight="1">
      <c r="A6515" s="2" t="s">
        <v>6515</v>
      </c>
      <c r="B6515" s="2" t="str">
        <f>IFERROR(__xludf.DUMMYFUNCTION("GOOGLETRANSLATE(A6515, ""en"", ""mt"")"),"X'inhi l-librerija pubblika li tidher lill-Kenjani?")</f>
        <v>X'inhi l-librerija pubblika li tidher lill-Kenjani?</v>
      </c>
    </row>
    <row r="6516" ht="15.75" customHeight="1">
      <c r="A6516" s="2" t="s">
        <v>6516</v>
      </c>
      <c r="B6516" s="2" t="str">
        <f>IFERROR(__xludf.DUMMYFUNCTION("GOOGLETRANSLATE(A6516, ""en"", ""mt"")"),"Stabbilizza l-kumplament tal-kloroplast")</f>
        <v>Stabbilizza l-kumplament tal-kloroplast</v>
      </c>
    </row>
    <row r="6517" ht="15.75" customHeight="1">
      <c r="A6517" s="2" t="s">
        <v>6517</v>
      </c>
      <c r="B6517" s="2" t="str">
        <f>IFERROR(__xludf.DUMMYFUNCTION("GOOGLETRANSLATE(A6517, ""en"", ""mt"")"),"X’wassal biex jiġu interrogati s-sejbiet ta ’Oxfam?")</f>
        <v>X’wassal biex jiġu interrogati s-sejbiet ta ’Oxfam?</v>
      </c>
    </row>
    <row r="6518" ht="15.75" customHeight="1">
      <c r="A6518" s="2" t="s">
        <v>6518</v>
      </c>
      <c r="B6518" s="2" t="str">
        <f>IFERROR(__xludf.DUMMYFUNCTION("GOOGLETRANSLATE(A6518, ""en"", ""mt"")"),"Fl-1755, sitt gvernaturi kolonjali fl-Amerika ta ’Fuq iltaqgħu mal-Ġeneral Edward Braddock, il-kmandant tal-Armata Brittanika li għadu kif wasal, u ppjanaw attakk b’erba’ direzzjonijiet fuq il-Franċiżi. Xejn ma rnexxielu u l-isforz ewlieni minn Braddock k"&amp;"ien diżastru; Huwa ġie megħlub fil-battalja tal-Monongahela fid-9 ta 'Lulju, 1755 u miet ftit jiem wara. Operazzjonijiet Ingliżi fl-1755, 1756 u 1757 fiż-żoni tal-fruntiera ta ’Pennsylvania u New York kollha fallew, minħabba taħlita ta’ ġestjoni fqira, di"&amp;"viżjonijiet interni, u scouts Kanadiżi effettivi, forzi regolari Franċiżi, u alleati tal-gwerriera Indjani. Fl-1755, il-Brittaniċi qabdu Fort Beauséjour fuq il-fruntiera li jifred in-Nova Scotia minn Acadia; Ftit wara huma ordnaw it-tkeċċija tal-Akkadjani"&amp;". L-ordnijiet għad-deportazzjoni ngħataw minn William Shirley, Kmandant fil-Kap, l-Amerika ta ’Fuq, mingħajr direzzjoni mill-Gran Brittanja. L-Akkadjani, kemm dawk maqbuda fl-armi kif ukoll dawk li ħalef il-ġurament tal-lealtà lejn il-maestà Britannika ti"&amp;"egħu, ġew imkeċċija. L-Amerikani Nattivi kienu wkoll misjuqa mill-art tagħhom biex jagħmlu triq għall-kolonizzaturi minn New England.")</f>
        <v>Fl-1755, sitt gvernaturi kolonjali fl-Amerika ta ’Fuq iltaqgħu mal-Ġeneral Edward Braddock, il-kmandant tal-Armata Brittanika li għadu kif wasal, u ppjanaw attakk b’erba’ direzzjonijiet fuq il-Franċiżi. Xejn ma rnexxielu u l-isforz ewlieni minn Braddock kien diżastru; Huwa ġie megħlub fil-battalja tal-Monongahela fid-9 ta 'Lulju, 1755 u miet ftit jiem wara. Operazzjonijiet Ingliżi fl-1755, 1756 u 1757 fiż-żoni tal-fruntiera ta ’Pennsylvania u New York kollha fallew, minħabba taħlita ta’ ġestjoni fqira, diviżjonijiet interni, u scouts Kanadiżi effettivi, forzi regolari Franċiżi, u alleati tal-gwerriera Indjani. Fl-1755, il-Brittaniċi qabdu Fort Beauséjour fuq il-fruntiera li jifred in-Nova Scotia minn Acadia; Ftit wara huma ordnaw it-tkeċċija tal-Akkadjani. L-ordnijiet għad-deportazzjoni ngħataw minn William Shirley, Kmandant fil-Kap, l-Amerika ta ’Fuq, mingħajr direzzjoni mill-Gran Brittanja. L-Akkadjani, kemm dawk maqbuda fl-armi kif ukoll dawk li ħalef il-ġurament tal-lealtà lejn il-maestà Britannika tiegħu, ġew imkeċċija. L-Amerikani Nattivi kienu wkoll misjuqa mill-art tagħhom biex jagħmlu triq għall-kolonizzaturi minn New England.</v>
      </c>
    </row>
    <row r="6519" ht="15.75" customHeight="1">
      <c r="A6519" s="2" t="s">
        <v>6519</v>
      </c>
      <c r="B6519" s="2" t="str">
        <f>IFERROR(__xludf.DUMMYFUNCTION("GOOGLETRANSLATE(A6519, ""en"", ""mt"")"),"1 ta ’Ottubru 1998")</f>
        <v>1 ta ’Ottubru 1998</v>
      </c>
    </row>
    <row r="6520" ht="15.75" customHeight="1">
      <c r="A6520" s="2" t="s">
        <v>6520</v>
      </c>
      <c r="B6520" s="2" t="str">
        <f>IFERROR(__xludf.DUMMYFUNCTION("GOOGLETRANSLATE(A6520, ""en"", ""mt"")"),"Immunomodulaturi")</f>
        <v>Immunomodulaturi</v>
      </c>
    </row>
    <row r="6521" ht="15.75" customHeight="1">
      <c r="A6521" s="2" t="s">
        <v>6521</v>
      </c>
      <c r="B6521" s="2" t="str">
        <f>IFERROR(__xludf.DUMMYFUNCTION("GOOGLETRANSLATE(A6521, ""en"", ""mt"")"),"Luther kif iddeskriva l-ħin tiegħu fl-ordni?")</f>
        <v>Luther kif iddeskriva l-ħin tiegħu fl-ordni?</v>
      </c>
    </row>
    <row r="6522" ht="15.75" customHeight="1">
      <c r="A6522" s="2" t="s">
        <v>6522</v>
      </c>
      <c r="B6522" s="2" t="str">
        <f>IFERROR(__xludf.DUMMYFUNCTION("GOOGLETRANSLATE(A6522, ""en"", ""mt"")"),"Liema flussi bejn Bingen u Bonn?")</f>
        <v>Liema flussi bejn Bingen u Bonn?</v>
      </c>
    </row>
    <row r="6523" ht="15.75" customHeight="1">
      <c r="A6523" s="2" t="s">
        <v>6523</v>
      </c>
      <c r="B6523" s="2" t="str">
        <f>IFERROR(__xludf.DUMMYFUNCTION("GOOGLETRANSLATE(A6523, ""en"", ""mt"")"),"X'inhuma wħud mill-argumenti tax-xjenzati?")</f>
        <v>X'inhuma wħud mill-argumenti tax-xjenzati?</v>
      </c>
    </row>
    <row r="6524" ht="15.75" customHeight="1">
      <c r="A6524" s="2" t="s">
        <v>6524</v>
      </c>
      <c r="B6524" s="2" t="str">
        <f>IFERROR(__xludf.DUMMYFUNCTION("GOOGLETRANSLATE(A6524, ""en"", ""mt"")"),"Il-Konvenzjoni Qafas tan-Nazzjonijiet Uniti dwar it-Tibdil fil-Klima (UNFCCC),")</f>
        <v>Il-Konvenzjoni Qafas tan-Nazzjonijiet Uniti dwar it-Tibdil fil-Klima (UNFCCC),</v>
      </c>
    </row>
    <row r="6525" ht="15.75" customHeight="1">
      <c r="A6525" s="2" t="s">
        <v>6525</v>
      </c>
      <c r="B6525" s="2" t="str">
        <f>IFERROR(__xludf.DUMMYFUNCTION("GOOGLETRANSLATE(A6525, ""en"", ""mt"")"),"produzzjoni tal-massa")</f>
        <v>produzzjoni tal-massa</v>
      </c>
    </row>
    <row r="6526" ht="15.75" customHeight="1">
      <c r="A6526" s="2" t="s">
        <v>6526</v>
      </c>
      <c r="B6526" s="2" t="str">
        <f>IFERROR(__xludf.DUMMYFUNCTION("GOOGLETRANSLATE(A6526, ""en"", ""mt"")"),"Perjodu ta 'Cambrian.")</f>
        <v>Perjodu ta 'Cambrian.</v>
      </c>
    </row>
    <row r="6527" ht="15.75" customHeight="1">
      <c r="A6527" s="2" t="s">
        <v>6527</v>
      </c>
      <c r="B6527" s="2" t="str">
        <f>IFERROR(__xludf.DUMMYFUNCTION("GOOGLETRANSLATE(A6527, ""en"", ""mt"")"),"Fejn hu ospitat il-Jazz Jamboree?")</f>
        <v>Fejn hu ospitat il-Jazz Jamboree?</v>
      </c>
    </row>
    <row r="6528" ht="15.75" customHeight="1">
      <c r="A6528" s="2" t="s">
        <v>6528</v>
      </c>
      <c r="B6528" s="2" t="str">
        <f>IFERROR(__xludf.DUMMYFUNCTION("GOOGLETRANSLATE(A6528, ""en"", ""mt"")"),"X'ġara meta ċ-ċjanobatterji ġew assimilati?")</f>
        <v>X'ġara meta ċ-ċjanobatterji ġew assimilati?</v>
      </c>
    </row>
    <row r="6529" ht="15.75" customHeight="1">
      <c r="A6529" s="2" t="s">
        <v>6529</v>
      </c>
      <c r="B6529" s="2" t="str">
        <f>IFERROR(__xludf.DUMMYFUNCTION("GOOGLETRANSLATE(A6529, ""en"", ""mt"")"),"L-ipprogrammar sportiv huwa pprovdut ukoll f'xi wara nofsinhar ta 'tmiem il-ġimgħa fi kwalunkwe ħin minn 12:00 sas-6.00 p.m. Ħin tal-Lvant (mid-9.00 a.m. sat-3.00 p.m. il-Paċifiku) u, matul l-istaġun tal-futbol tal-kulleġġ, matul il-ħin ewlieni nhar is-Si"&amp;"bt filgħaxija bħala parti mill-pakkett tal-futbol tas-Sibt bil-lejl. Minħabba l-iskedar erratiku u (barra mill-istaġun tal-futbol tal-kulleġġ) inkonsistenti ħafna ta 'programmazzjoni sportiva fil-weekend wara nofsinhar minn meta ESPN ħa f'idejh ir-respons"&amp;"abbiltajiet għad-diviżjoni sportiva ta' ABC fl-2006, ABC iġġorr il-blokka tas-Sibt Sports ESPN nhar is-Sibt tard wara nofsinhar (li fih diversi ESPN Prodott Dokumentarji), u l-Ħdud jew Encores of Primetime Realit Biex tixxandar jew iktar reċentement, l-is"&amp;"kejjel tal-figura u l-ispeċjalitajiet tal-ġinnastika fornuti mill-iskejjar tad-Disson, meta l-ebda telekomunikazzjoni sportiva ma tkun skedata, ġeneralment tixxandar bejn l-4.00 u s-6.00 p.m. Ħin tal-Lvant u tal-Paċifiku. Matul is-sajf, ABC Airs ESPN ippr"&amp;"oduċiet programmi ta 'kumpilazzjoni għall-Open Championship Golf u t-tournaments tat-tennis ta' Wimbledon biex jipprovdu xi preżenza għaż-żewġ avvenimenti fuq it-televiżjoni tax-xandir Amerikan. ABC iġġorr ukoll diversi avvenimenti ta ’Logħob X ta’ tmiem "&amp;"il-ġimgħa mhux imxandra minn ESPN. ABC Airs NBA Games fil-Ħdud, normalment jibdew f'Jannar bħala ""NBA Sunday Showcase"" matul l-istaġun regolari, u juri logħob tal-Milied, regolarment bejn is-2-7 PM ET, u l-logħob tal-playoff tal-NBA matul il-ġimgħa, u d"&amp;"rittijiet esklussivi għall-NBA Finali.")</f>
        <v>L-ipprogrammar sportiv huwa pprovdut ukoll f'xi wara nofsinhar ta 'tmiem il-ġimgħa fi kwalunkwe ħin minn 12:00 sas-6.00 p.m. Ħin tal-Lvant (mid-9.00 a.m. sat-3.00 p.m. il-Paċifiku) u, matul l-istaġun tal-futbol tal-kulleġġ, matul il-ħin ewlieni nhar is-Sibt filgħaxija bħala parti mill-pakkett tal-futbol tas-Sibt bil-lejl. Minħabba l-iskedar erratiku u (barra mill-istaġun tal-futbol tal-kulleġġ) inkonsistenti ħafna ta 'programmazzjoni sportiva fil-weekend wara nofsinhar minn meta ESPN ħa f'idejh ir-responsabbiltajiet għad-diviżjoni sportiva ta' ABC fl-2006, ABC iġġorr il-blokka tas-Sibt Sports ESPN nhar is-Sibt tard wara nofsinhar (li fih diversi ESPN Prodott Dokumentarji), u l-Ħdud jew Encores of Primetime Realit Biex tixxandar jew iktar reċentement, l-iskejjel tal-figura u l-ispeċjalitajiet tal-ġinnastika fornuti mill-iskejjar tad-Disson, meta l-ebda telekomunikazzjoni sportiva ma tkun skedata, ġeneralment tixxandar bejn l-4.00 u s-6.00 p.m. Ħin tal-Lvant u tal-Paċifiku. Matul is-sajf, ABC Airs ESPN ipproduċiet programmi ta 'kumpilazzjoni għall-Open Championship Golf u t-tournaments tat-tennis ta' Wimbledon biex jipprovdu xi preżenza għaż-żewġ avvenimenti fuq it-televiżjoni tax-xandir Amerikan. ABC iġġorr ukoll diversi avvenimenti ta ’Logħob X ta’ tmiem il-ġimgħa mhux imxandra minn ESPN. ABC Airs NBA Games fil-Ħdud, normalment jibdew f'Jannar bħala "NBA Sunday Showcase" matul l-istaġun regolari, u juri logħob tal-Milied, regolarment bejn is-2-7 PM ET, u l-logħob tal-playoff tal-NBA matul il-ġimgħa, u drittijiet esklussivi għall-NBA Finali.</v>
      </c>
    </row>
    <row r="6530" ht="15.75" customHeight="1">
      <c r="A6530" s="2" t="s">
        <v>6530</v>
      </c>
      <c r="B6530" s="2" t="str">
        <f>IFERROR(__xludf.DUMMYFUNCTION("GOOGLETRANSLATE(A6530, ""en"", ""mt"")"),"Austpac kien netwerk pubbliku Awstraljan X.25 imħaddem minn Telstra")</f>
        <v>Austpac kien netwerk pubbliku Awstraljan X.25 imħaddem minn Telstra</v>
      </c>
    </row>
    <row r="6531" ht="15.75" customHeight="1">
      <c r="A6531" s="2" t="s">
        <v>6531</v>
      </c>
      <c r="B6531" s="2" t="str">
        <f>IFERROR(__xludf.DUMMYFUNCTION("GOOGLETRANSLATE(A6531, ""en"", ""mt"")"),"Kemm ikel jiekol ctenophora kuljum?")</f>
        <v>Kemm ikel jiekol ctenophora kuljum?</v>
      </c>
    </row>
    <row r="6532" ht="15.75" customHeight="1">
      <c r="A6532" s="2" t="s">
        <v>6532</v>
      </c>
      <c r="B6532" s="2" t="str">
        <f>IFERROR(__xludf.DUMMYFUNCTION("GOOGLETRANSLATE(A6532, ""en"", ""mt"")"),"Awwissu 1944")</f>
        <v>Awwissu 1944</v>
      </c>
    </row>
    <row r="6533" ht="15.75" customHeight="1">
      <c r="A6533" s="2" t="s">
        <v>6533</v>
      </c>
      <c r="B6533" s="2" t="str">
        <f>IFERROR(__xludf.DUMMYFUNCTION("GOOGLETRANSLATE(A6533, ""en"", ""mt"")"),"il-perspettiva bi tliet reġjuni")</f>
        <v>il-perspettiva bi tliet reġjuni</v>
      </c>
    </row>
    <row r="6534" ht="15.75" customHeight="1">
      <c r="A6534" s="2" t="s">
        <v>6534</v>
      </c>
      <c r="B6534" s="2" t="str">
        <f>IFERROR(__xludf.DUMMYFUNCTION("GOOGLETRANSLATE(A6534, ""en"", ""mt"")"),"Appoġġ għal attakk")</f>
        <v>Appoġġ għal attakk</v>
      </c>
    </row>
    <row r="6535" ht="15.75" customHeight="1">
      <c r="A6535" s="2" t="s">
        <v>6535</v>
      </c>
      <c r="B6535" s="2" t="str">
        <f>IFERROR(__xludf.DUMMYFUNCTION("GOOGLETRANSLATE(A6535, ""en"", ""mt"")"),"Il-kwistjonijiet ta 'liema era tkellmu dwar l-artiklu ta' Tesla?")</f>
        <v>Il-kwistjonijiet ta 'liema era tkellmu dwar l-artiklu ta' Tesla?</v>
      </c>
    </row>
    <row r="6536" ht="15.75" customHeight="1">
      <c r="A6536" s="2" t="s">
        <v>6536</v>
      </c>
      <c r="B6536" s="2" t="str">
        <f>IFERROR(__xludf.DUMMYFUNCTION("GOOGLETRANSLATE(A6536, ""en"", ""mt"")"),"Tarka tas-sħana")</f>
        <v>Tarka tas-sħana</v>
      </c>
    </row>
    <row r="6537" ht="15.75" customHeight="1">
      <c r="A6537" s="2" t="s">
        <v>6537</v>
      </c>
      <c r="B6537" s="2" t="str">
        <f>IFERROR(__xludf.DUMMYFUNCTION("GOOGLETRANSLATE(A6537, ""en"", ""mt"")"),"Ewropa nnifisha.")</f>
        <v>Ewropa nnifisha.</v>
      </c>
    </row>
    <row r="6538" ht="15.75" customHeight="1">
      <c r="A6538" s="2" t="s">
        <v>6538</v>
      </c>
      <c r="B6538" s="2" t="str">
        <f>IFERROR(__xludf.DUMMYFUNCTION("GOOGLETRANSLATE(A6538, ""en"", ""mt"")"),"Id-dinastija tal-kanzunetta")</f>
        <v>Id-dinastija tal-kanzunetta</v>
      </c>
    </row>
    <row r="6539" ht="15.75" customHeight="1">
      <c r="A6539" s="2" t="s">
        <v>6539</v>
      </c>
      <c r="B6539" s="2" t="str">
        <f>IFERROR(__xludf.DUMMYFUNCTION("GOOGLETRANSLATE(A6539, ""en"", ""mt"")"),"Min kunċettalizza l-aeolipile?")</f>
        <v>Min kunċettalizza l-aeolipile?</v>
      </c>
    </row>
    <row r="6540" ht="15.75" customHeight="1">
      <c r="A6540" s="2" t="s">
        <v>6540</v>
      </c>
      <c r="B6540" s="2" t="str">
        <f>IFERROR(__xludf.DUMMYFUNCTION("GOOGLETRANSLATE(A6540, ""en"", ""mt"")"),"il-qamar")</f>
        <v>il-qamar</v>
      </c>
    </row>
    <row r="6541" ht="15.75" customHeight="1">
      <c r="A6541" s="2" t="s">
        <v>6541</v>
      </c>
      <c r="B6541" s="2" t="str">
        <f>IFERROR(__xludf.DUMMYFUNCTION("GOOGLETRANSLATE(A6541, ""en"", ""mt"")"),"bl-esperjenza")</f>
        <v>bl-esperjenza</v>
      </c>
    </row>
    <row r="6542" ht="15.75" customHeight="1">
      <c r="A6542" s="2" t="s">
        <v>6542</v>
      </c>
      <c r="B6542" s="2" t="str">
        <f>IFERROR(__xludf.DUMMYFUNCTION("GOOGLETRANSLATE(A6542, ""en"", ""mt"")"),"20 ta 'Lulju, 1969")</f>
        <v>20 ta 'Lulju, 1969</v>
      </c>
    </row>
    <row r="6543" ht="15.75" customHeight="1">
      <c r="A6543" s="2" t="s">
        <v>6543</v>
      </c>
      <c r="B6543" s="2" t="str">
        <f>IFERROR(__xludf.DUMMYFUNCTION("GOOGLETRANSLATE(A6543, ""en"", ""mt"")"),"X'tip ta 'ekonomija bdiet tikber fit-Tramuntana ta' California fis-snin 2000?")</f>
        <v>X'tip ta 'ekonomija bdiet tikber fit-Tramuntana ta' California fis-snin 2000?</v>
      </c>
    </row>
    <row r="6544" ht="15.75" customHeight="1">
      <c r="A6544" s="2" t="s">
        <v>6544</v>
      </c>
      <c r="B6544" s="2" t="str">
        <f>IFERROR(__xludf.DUMMYFUNCTION("GOOGLETRANSLATE(A6544, ""en"", ""mt"")"),"dwar id-dispożizzjoni tal-effetti personali tal-priġunieri")</f>
        <v>dwar id-dispożizzjoni tal-effetti personali tal-priġunieri</v>
      </c>
    </row>
    <row r="6545" ht="15.75" customHeight="1">
      <c r="A6545" s="2" t="s">
        <v>6545</v>
      </c>
      <c r="B6545" s="2" t="str">
        <f>IFERROR(__xludf.DUMMYFUNCTION("GOOGLETRANSLATE(A6545, ""en"", ""mt"")"),"Inugwaljanza ekonomika ogħla")</f>
        <v>Inugwaljanza ekonomika ogħla</v>
      </c>
    </row>
    <row r="6546" ht="15.75" customHeight="1">
      <c r="A6546" s="2" t="s">
        <v>6546</v>
      </c>
      <c r="B6546" s="2" t="str">
        <f>IFERROR(__xludf.DUMMYFUNCTION("GOOGLETRANSLATE(A6546, ""en"", ""mt"")"),"It-trattati japplikaw malli jidħlu fis-seħħ, sakemm ma jingħadx mod ieħor, u ġeneralment jiġu konklużi għal perjodu illimitat")</f>
        <v>It-trattati japplikaw malli jidħlu fis-seħħ, sakemm ma jingħadx mod ieħor, u ġeneralment jiġu konklużi għal perjodu illimitat</v>
      </c>
    </row>
    <row r="6547" ht="15.75" customHeight="1">
      <c r="A6547" s="2" t="s">
        <v>6547</v>
      </c>
      <c r="B6547" s="2" t="str">
        <f>IFERROR(__xludf.DUMMYFUNCTION("GOOGLETRANSLATE(A6547, ""en"", ""mt"")"),"monomeri tal-glukożju")</f>
        <v>monomeri tal-glukożju</v>
      </c>
    </row>
    <row r="6548" ht="15.75" customHeight="1">
      <c r="A6548" s="2" t="s">
        <v>6548</v>
      </c>
      <c r="B6548" s="2" t="str">
        <f>IFERROR(__xludf.DUMMYFUNCTION("GOOGLETRANSLATE(A6548, ""en"", ""mt"")"),"Super Bowl 50 kienet logħba tal-futbol Amerikana biex tiddetermina ċ-ċampjin tal-Lega Nazzjonali tal-Futbol (NFL) għall-istaġun 2015. Iċ-champion Amerikan tal-Konferenza tal-Futbol (AFC) Denver Broncos għeleb iċ-champion Nazzjonali tal-Futbol (NFC) Caroli"&amp;"na Panthers 24-10 biex jaqilgħu t-tielet titlu tagħhom tas-Super Bowl. Il-logħba ntlagħbet fis-7 ta 'Frar, 2016, fil-Levi's Stadium fiż-Żona tal-Bajja ta' San Francisco f'Santa Clara, California. Peress li din kienet il-50 Super Bowl, il-kampjonat enfasiz"&amp;"za l- ""anniversarju tad-deheb"" b'diversi inizjattivi b'tema tad-deheb, kif ukoll li jissospendi temporanjament it-tradizzjoni li ssemmi kull logħba tas-Super Bowl b'numri Rumani (li taħthom il-logħba kienet tkun magħrufa bħala "" Super Bowl L ""), sabie"&amp;"x il-logo jista 'jkollu b'mod prominenti n-numri Għarbi 50.")</f>
        <v>Super Bowl 50 kienet logħba tal-futbol Amerikana biex tiddetermina ċ-ċampjin tal-Lega Nazzjonali tal-Futbol (NFL) għall-istaġun 2015. Iċ-champion Amerikan tal-Konferenza tal-Futbol (AFC) Denver Broncos għeleb iċ-champion Nazzjonali tal-Futbol (NFC) Carolina Panthers 24-10 biex jaqilgħu t-tielet titlu tagħhom tas-Super Bowl. Il-logħba ntlagħbet fis-7 ta 'Frar, 2016, fil-Levi's Stadium fiż-Żona tal-Bajja ta' San Francisco f'Santa Clara, California. Peress li din kienet il-50 Super Bowl, il-kampjonat enfasizza l- "anniversarju tad-deheb" b'diversi inizjattivi b'tema tad-deheb, kif ukoll li jissospendi temporanjament it-tradizzjoni li ssemmi kull logħba tas-Super Bowl b'numri Rumani (li taħthom il-logħba kienet tkun magħrufa bħala " Super Bowl L "), sabiex il-logo jista 'jkollu b'mod prominenti n-numri Għarbi 50.</v>
      </c>
    </row>
    <row r="6549" ht="15.75" customHeight="1">
      <c r="A6549" s="2" t="s">
        <v>6549</v>
      </c>
      <c r="B6549" s="2" t="str">
        <f>IFERROR(__xludf.DUMMYFUNCTION("GOOGLETRANSLATE(A6549, ""en"", ""mt"")"),"Għal xiex huwa magħruf il-Pedanius Dioscorides?")</f>
        <v>Għal xiex huwa magħruf il-Pedanius Dioscorides?</v>
      </c>
    </row>
    <row r="6550" ht="15.75" customHeight="1">
      <c r="A6550" s="2" t="s">
        <v>6550</v>
      </c>
      <c r="B6550" s="2" t="str">
        <f>IFERROR(__xludf.DUMMYFUNCTION("GOOGLETRANSLATE(A6550, ""en"", ""mt"")"),"L-Aħjar Għalliema")</f>
        <v>L-Aħjar Għalliema</v>
      </c>
    </row>
    <row r="6551" ht="15.75" customHeight="1">
      <c r="A6551" s="2" t="s">
        <v>6551</v>
      </c>
      <c r="B6551" s="2" t="str">
        <f>IFERROR(__xludf.DUMMYFUNCTION("GOOGLETRANSLATE(A6551, ""en"", ""mt"")"),"Fl-Istati Uniti, l-industrija fl-2014 għandha madwar $ 960 biljun fi dħul annwali skont l-istatistiċi segwiti mill-Uffiċċju taċ-Ċensiment, li $ 680 biljun huwa privat (maqsum indaqs bejn residenzjali u mhux residenzjali) u l-bqija huwa l-gvern. Mill-2005,"&amp;" kien hemm madwar 667,000 ditta li jimpjegaw 1 miljun kuntrattur (200,000 kuntrattur ġenerali, 38,000 tqil, u 432,000 speċjalità); Il-kuntrattur medju impjegat inqas minn 10 impjegati. B'mod ġenerali, l-industrija impjegat stima ta '5.8 miljun minn April "&amp;"2013, b'rata ta' qgħad ta '13.2%. Fl-Istati Uniti, madwar 828,000 mara kienu impjegati fl-industrija tal-kostruzzjoni mill-2011.")</f>
        <v>Fl-Istati Uniti, l-industrija fl-2014 għandha madwar $ 960 biljun fi dħul annwali skont l-istatistiċi segwiti mill-Uffiċċju taċ-Ċensiment, li $ 680 biljun huwa privat (maqsum indaqs bejn residenzjali u mhux residenzjali) u l-bqija huwa l-gvern. Mill-2005, kien hemm madwar 667,000 ditta li jimpjegaw 1 miljun kuntrattur (200,000 kuntrattur ġenerali, 38,000 tqil, u 432,000 speċjalità); Il-kuntrattur medju impjegat inqas minn 10 impjegati. B'mod ġenerali, l-industrija impjegat stima ta '5.8 miljun minn April 2013, b'rata ta' qgħad ta '13.2%. Fl-Istati Uniti, madwar 828,000 mara kienu impjegati fl-industrija tal-kostruzzjoni mill-2011.</v>
      </c>
    </row>
    <row r="6552" ht="15.75" customHeight="1">
      <c r="A6552" s="2" t="s">
        <v>6552</v>
      </c>
      <c r="B6552" s="2" t="str">
        <f>IFERROR(__xludf.DUMMYFUNCTION("GOOGLETRANSLATE(A6552, ""en"", ""mt"")"),"X'tip ta 'vot għandu jkollu l-Parlament biex jimblokka jew jissuġġerixxi bidliet fil-proposti tal-Kummissjoni?")</f>
        <v>X'tip ta 'vot għandu jkollu l-Parlament biex jimblokka jew jissuġġerixxi bidliet fil-proposti tal-Kummissjoni?</v>
      </c>
    </row>
    <row r="6553" ht="15.75" customHeight="1">
      <c r="A6553" s="2" t="s">
        <v>6553</v>
      </c>
      <c r="B6553" s="2" t="str">
        <f>IFERROR(__xludf.DUMMYFUNCTION("GOOGLETRANSLATE(A6553, ""en"", ""mt"")"),"Kull ġurnata tas-seduta, normalment fil-5 pm, l-MSPs jiddeċiedu dwar il-mozzjonijiet u l-emendi kollha li ġew imċaqalqa dak il-jum. Dan il- ""ħin ta 'deċiżjoni"" huwa mħabbar mill-ħoss tad-diviżjoni tal-qanpiena, li tinstema' fil-kampus parlamentari u twi"&amp;"ssijiet tal-MSPs li mhumiex fil-kamra biex jirritornaw u jivvutaw. Fil-ħin tad-deċiżjoni, l-uffiċjal li jippresiedi jpoġġi mistoqsijiet dwar il-mozzjonijiet u l-emendi billi jaqra l-isem tal-mozzjoni jew l-emenda kif ukoll il-proponent u jistaqsi ""aħna l"&amp;"koll miftiehma?"", Li l-ewwel kamra tivvota mill-ħalq. Jekk ikun hemm dissens li jinstema ', l-uffiċjal li jippresiedi jħabbar ""se jkun hemm diviżjoni"" u l-membri jivvutaw permezz ta' consoles elettroniċi fuq l-iskrivaniji tagħhom. Kull MSP għandu karta"&amp;" ta 'aċċess unika b'mikroċipp li, meta jiddaħħal fil-console, jidentifikahom u jippermettilhom jivvutaw. Bħala riżultat, ir-riżultat ta 'kull diviżjoni huwa magħruf f'sekondi.")</f>
        <v>Kull ġurnata tas-seduta, normalment fil-5 pm, l-MSPs jiddeċiedu dwar il-mozzjonijiet u l-emendi kollha li ġew imċaqalqa dak il-jum. Dan il- "ħin ta 'deċiżjoni" huwa mħabbar mill-ħoss tad-diviżjoni tal-qanpiena, li tinstema' fil-kampus parlamentari u twissijiet tal-MSPs li mhumiex fil-kamra biex jirritornaw u jivvutaw. Fil-ħin tad-deċiżjoni, l-uffiċjal li jippresiedi jpoġġi mistoqsijiet dwar il-mozzjonijiet u l-emendi billi jaqra l-isem tal-mozzjoni jew l-emenda kif ukoll il-proponent u jistaqsi "aħna lkoll miftiehma?", Li l-ewwel kamra tivvota mill-ħalq. Jekk ikun hemm dissens li jinstema ', l-uffiċjal li jippresiedi jħabbar "se jkun hemm diviżjoni" u l-membri jivvutaw permezz ta' consoles elettroniċi fuq l-iskrivaniji tagħhom. Kull MSP għandu karta ta 'aċċess unika b'mikroċipp li, meta jiddaħħal fil-console, jidentifikahom u jippermettilhom jivvutaw. Bħala riżultat, ir-riżultat ta 'kull diviżjoni huwa magħruf f'sekondi.</v>
      </c>
    </row>
    <row r="6554" ht="15.75" customHeight="1">
      <c r="A6554" s="2" t="s">
        <v>6554</v>
      </c>
      <c r="B6554" s="2" t="str">
        <f>IFERROR(__xludf.DUMMYFUNCTION("GOOGLETRANSLATE(A6554, ""en"", ""mt"")"),"relazzjoni mal-istat u l-liġijiet tiegħu")</f>
        <v>relazzjoni mal-istat u l-liġijiet tiegħu</v>
      </c>
    </row>
    <row r="6555" ht="15.75" customHeight="1">
      <c r="A6555" s="2" t="s">
        <v>6555</v>
      </c>
      <c r="B6555" s="2" t="str">
        <f>IFERROR(__xludf.DUMMYFUNCTION("GOOGLETRANSLATE(A6555, ""en"", ""mt"")"),"Min għelbu lil Carolina fil-logħba tal-kampjonat NFC?")</f>
        <v>Min għelbu lil Carolina fil-logħba tal-kampjonat NFC?</v>
      </c>
    </row>
    <row r="6556" ht="15.75" customHeight="1">
      <c r="A6556" s="2" t="s">
        <v>6556</v>
      </c>
      <c r="B6556" s="2" t="str">
        <f>IFERROR(__xludf.DUMMYFUNCTION("GOOGLETRANSLATE(A6556, ""en"", ""mt"")"),"X’sostni li l-arma kienet se tispiċċa?")</f>
        <v>X’sostni li l-arma kienet se tispiċċa?</v>
      </c>
    </row>
    <row r="6557" ht="15.75" customHeight="1">
      <c r="A6557" s="2" t="s">
        <v>6557</v>
      </c>
      <c r="B6557" s="2" t="str">
        <f>IFERROR(__xludf.DUMMYFUNCTION("GOOGLETRANSLATE(A6557, ""en"", ""mt"")"),"Ku Band")</f>
        <v>Ku Band</v>
      </c>
    </row>
    <row r="6558" ht="15.75" customHeight="1">
      <c r="A6558" s="2" t="s">
        <v>6558</v>
      </c>
      <c r="B6558" s="2" t="str">
        <f>IFERROR(__xludf.DUMMYFUNCTION("GOOGLETRANSLATE(A6558, ""en"", ""mt"")"),"Liema episodju deher ir-ritorn ta 'William Hartnell?")</f>
        <v>Liema episodju deher ir-ritorn ta 'William Hartnell?</v>
      </c>
    </row>
    <row r="6559" ht="15.75" customHeight="1">
      <c r="A6559" s="2" t="s">
        <v>6559</v>
      </c>
      <c r="B6559" s="2" t="str">
        <f>IFERROR(__xludf.DUMMYFUNCTION("GOOGLETRANSLATE(A6559, ""en"", ""mt"")"),"Deher ċar li l-immaniġġjar tal-programm Apollo jaqbeż il-kapaċitajiet tal-grupp ta 'kompiti spazjali ta' Robert R. Gilruth, li kien qed jidderieġi l-programm spazjali bl-ekwipaġġ tan-nazzjon miċ-Ċentru ta 'Riċerka Langley tan-NASA. Allura Gilruth ingħata "&amp;"l-awtorità biex tikber l-organizzazzjoni tiegħu f'ċentru ġdid tan-NASA, iċ-Ċentru tal-vettura spazjali bl-ekwipaġġ (MSC). Sit intgħażel fi Houston, Texas, fuq art mogħtija mill-Università tar-Ross, u l-Amministratur Webb ħabbar il-konverżjoni fid-19 ta 'S"&amp;"ettembru, 1961. Kien ċar ukoll li n-NASA dalwaqt kienet se taqbeż il-prattika tagħha ta' kontroll tal-missjonijiet mill-faċilitajiet tagħha ta 'tnedija tal-Forza tal-Ajru ta' Cape Canaveral tagħha Fi Florida, għalhekk ċentru ġdid ta 'kontroll tal-missjoni"&amp;" jkun inkluż fl-MSC.")</f>
        <v>Deher ċar li l-immaniġġjar tal-programm Apollo jaqbeż il-kapaċitajiet tal-grupp ta 'kompiti spazjali ta' Robert R. Gilruth, li kien qed jidderieġi l-programm spazjali bl-ekwipaġġ tan-nazzjon miċ-Ċentru ta 'Riċerka Langley tan-NASA. Allura Gilruth ingħata l-awtorità biex tikber l-organizzazzjoni tiegħu f'ċentru ġdid tan-NASA, iċ-Ċentru tal-vettura spazjali bl-ekwipaġġ (MSC). Sit intgħażel fi Houston, Texas, fuq art mogħtija mill-Università tar-Ross, u l-Amministratur Webb ħabbar il-konverżjoni fid-19 ta 'Settembru, 1961. Kien ċar ukoll li n-NASA dalwaqt kienet se taqbeż il-prattika tagħha ta' kontroll tal-missjonijiet mill-faċilitajiet tagħha ta 'tnedija tal-Forza tal-Ajru ta' Cape Canaveral tagħha Fi Florida, għalhekk ċentru ġdid ta 'kontroll tal-missjoni jkun inkluż fl-MSC.</v>
      </c>
    </row>
    <row r="6560" ht="15.75" customHeight="1">
      <c r="A6560" s="2" t="s">
        <v>6560</v>
      </c>
      <c r="B6560" s="2" t="str">
        <f>IFERROR(__xludf.DUMMYFUNCTION("GOOGLETRANSLATE(A6560, ""en"", ""mt"")"),"Skola għall-periti navali")</f>
        <v>Skola għall-periti navali</v>
      </c>
    </row>
    <row r="6561" ht="15.75" customHeight="1">
      <c r="A6561" s="2" t="s">
        <v>6561</v>
      </c>
      <c r="B6561" s="2" t="str">
        <f>IFERROR(__xludf.DUMMYFUNCTION("GOOGLETRANSLATE(A6561, ""en"", ""mt"")"),"Fielding H. Garrison jemmen li x-xjenza tal-ġeoloġija tista 'tiġi rintraċċata għal fejn?")</f>
        <v>Fielding H. Garrison jemmen li x-xjenza tal-ġeoloġija tista 'tiġi rintraċċata għal fejn?</v>
      </c>
    </row>
    <row r="6562" ht="15.75" customHeight="1">
      <c r="A6562" s="2" t="s">
        <v>6562</v>
      </c>
      <c r="B6562" s="2" t="str">
        <f>IFERROR(__xludf.DUMMYFUNCTION("GOOGLETRANSLATE(A6562, ""en"", ""mt"")"),"Ir-rivali lokali tagħhom, Polonia Warsaw, għandhom inqas partitarji, iżda rnexxielhom jirbħu l-Kampjonat Ekstraklasa fl-2000. Huma rebħu wkoll il-kampjonat tal-pajjiż fl-1946, u rebħu t-tazza darbtejn ukoll. Il-post tad-dar ta 'Polonia jinsab fi Triq Konw"&amp;"iktorska, għaxar minuti mixi fit-tramuntana mill-belt il-qadima. Polonia ġiet relegata mill-aqwa titjira tal-pajjiż fl-2013 minħabba s-sitwazzjoni finanzjarja diżastruża tagħhom. Issa qegħdin jilagħbu fir-4 kampjonat (il-5 livell fil-Polonja) - il-kampjon"&amp;"at professjonali tal-qiegħ fl-istruttura Nazzjonali - Pollakka tal-Futbol (PZPN).")</f>
        <v>Ir-rivali lokali tagħhom, Polonia Warsaw, għandhom inqas partitarji, iżda rnexxielhom jirbħu l-Kampjonat Ekstraklasa fl-2000. Huma rebħu wkoll il-kampjonat tal-pajjiż fl-1946, u rebħu t-tazza darbtejn ukoll. Il-post tad-dar ta 'Polonia jinsab fi Triq Konwiktorska, għaxar minuti mixi fit-tramuntana mill-belt il-qadima. Polonia ġiet relegata mill-aqwa titjira tal-pajjiż fl-2013 minħabba s-sitwazzjoni finanzjarja diżastruża tagħhom. Issa qegħdin jilagħbu fir-4 kampjonat (il-5 livell fil-Polonja) - il-kampjonat professjonali tal-qiegħ fl-istruttura Nazzjonali - Pollakka tal-Futbol (PZPN).</v>
      </c>
    </row>
    <row r="6563" ht="15.75" customHeight="1">
      <c r="A6563" s="2" t="s">
        <v>6563</v>
      </c>
      <c r="B6563" s="2" t="str">
        <f>IFERROR(__xludf.DUMMYFUNCTION("GOOGLETRANSLATE(A6563, ""en"", ""mt"")"),"Liema bidla fil-kundizzjonijiet tista 'tagħmel il-foresta tropikali tal-Amazon insostenibbli?")</f>
        <v>Liema bidla fil-kundizzjonijiet tista 'tagħmel il-foresta tropikali tal-Amazon insostenibbli?</v>
      </c>
    </row>
    <row r="6564" ht="15.75" customHeight="1">
      <c r="A6564" s="2" t="s">
        <v>6564</v>
      </c>
      <c r="B6564" s="2" t="str">
        <f>IFERROR(__xludf.DUMMYFUNCTION("GOOGLETRANSLATE(A6564, ""en"", ""mt"")"),"arbli")</f>
        <v>arbli</v>
      </c>
    </row>
    <row r="6565" ht="15.75" customHeight="1">
      <c r="A6565" s="2" t="s">
        <v>6565</v>
      </c>
      <c r="B6565" s="2" t="str">
        <f>IFERROR(__xludf.DUMMYFUNCTION("GOOGLETRANSLATE(A6565, ""en"", ""mt"")"),"Sistema immuni innata")</f>
        <v>Sistema immuni innata</v>
      </c>
    </row>
    <row r="6566" ht="15.75" customHeight="1">
      <c r="A6566" s="2" t="s">
        <v>6566</v>
      </c>
      <c r="B6566" s="2" t="str">
        <f>IFERROR(__xludf.DUMMYFUNCTION("GOOGLETRANSLATE(A6566, ""en"", ""mt"")"),"Membri ta 'liema organizzazzjonijiet huma skwalifikati milli joqogħdu fl-SP bħala MSPs eletti?")</f>
        <v>Membri ta 'liema organizzazzjonijiet huma skwalifikati milli joqogħdu fl-SP bħala MSPs eletti?</v>
      </c>
    </row>
    <row r="6567" ht="15.75" customHeight="1">
      <c r="A6567" s="2" t="s">
        <v>6567</v>
      </c>
      <c r="B6567" s="2" t="str">
        <f>IFERROR(__xludf.DUMMYFUNCTION("GOOGLETRANSLATE(A6567, ""en"", ""mt"")"),"L-Aħħar Missjoni,")</f>
        <v>L-Aħħar Missjoni,</v>
      </c>
    </row>
    <row r="6568" ht="15.75" customHeight="1">
      <c r="A6568" s="2" t="s">
        <v>6568</v>
      </c>
      <c r="B6568" s="2" t="str">
        <f>IFERROR(__xludf.DUMMYFUNCTION("GOOGLETRANSLATE(A6568, ""en"", ""mt"")"),"ħamrija moderna")</f>
        <v>ħamrija moderna</v>
      </c>
    </row>
    <row r="6569" ht="15.75" customHeight="1">
      <c r="A6569" s="2" t="s">
        <v>6569</v>
      </c>
      <c r="B6569" s="2" t="str">
        <f>IFERROR(__xludf.DUMMYFUNCTION("GOOGLETRANSLATE(A6569, ""en"", ""mt"")"),"tmienja")</f>
        <v>tmienja</v>
      </c>
    </row>
    <row r="6570" ht="15.75" customHeight="1">
      <c r="A6570" s="2" t="s">
        <v>6570</v>
      </c>
      <c r="B6570" s="2" t="str">
        <f>IFERROR(__xludf.DUMMYFUNCTION("GOOGLETRANSLATE(A6570, ""en"", ""mt"")"),"Il-Kunsill tal-Missjoni (ġeneralment jikkonsisti minn isqfijiet tal-knisja)")</f>
        <v>Il-Kunsill tal-Missjoni (ġeneralment jikkonsisti minn isqfijiet tal-knisja)</v>
      </c>
    </row>
    <row r="6571" ht="15.75" customHeight="1">
      <c r="A6571" s="2" t="s">
        <v>6571</v>
      </c>
      <c r="B6571" s="2" t="str">
        <f>IFERROR(__xludf.DUMMYFUNCTION("GOOGLETRANSLATE(A6571, ""en"", ""mt"")"),"X’għamlet Tesla fl-iskola antika tiegħu fl-1879?")</f>
        <v>X’għamlet Tesla fl-iskola antika tiegħu fl-1879?</v>
      </c>
    </row>
    <row r="6572" ht="15.75" customHeight="1">
      <c r="A6572" s="2" t="s">
        <v>6572</v>
      </c>
      <c r="B6572" s="2" t="str">
        <f>IFERROR(__xludf.DUMMYFUNCTION("GOOGLETRANSLATE(A6572, ""en"", ""mt"")"),"milli tagħti lil ħuha Polynices dfin xieraq")</f>
        <v>milli tagħti lil ħuha Polynices dfin xieraq</v>
      </c>
    </row>
    <row r="6573" ht="15.75" customHeight="1">
      <c r="A6573" s="2" t="s">
        <v>6573</v>
      </c>
      <c r="B6573" s="2" t="str">
        <f>IFERROR(__xludf.DUMMYFUNCTION("GOOGLETRANSLATE(A6573, ""en"", ""mt"")"),"Meta l-President Uhuru Kenyatta ffirma Abbozz ta ’Liġi dwar l-Emenda tas-Sigurtà?")</f>
        <v>Meta l-President Uhuru Kenyatta ffirma Abbozz ta ’Liġi dwar l-Emenda tas-Sigurtà?</v>
      </c>
    </row>
    <row r="6574" ht="15.75" customHeight="1">
      <c r="A6574" s="2" t="s">
        <v>6574</v>
      </c>
      <c r="B6574" s="2" t="str">
        <f>IFERROR(__xludf.DUMMYFUNCTION("GOOGLETRANSLATE(A6574, ""en"", ""mt"")"),"gżejjer żgħar")</f>
        <v>gżejjer żgħar</v>
      </c>
    </row>
    <row r="6575" ht="15.75" customHeight="1">
      <c r="A6575" s="2" t="s">
        <v>6575</v>
      </c>
      <c r="B6575" s="2" t="str">
        <f>IFERROR(__xludf.DUMMYFUNCTION("GOOGLETRANSLATE(A6575, ""en"", ""mt"")"),"X'inhuma l-Auricles?")</f>
        <v>X'inhuma l-Auricles?</v>
      </c>
    </row>
    <row r="6576" ht="15.75" customHeight="1">
      <c r="A6576" s="2" t="s">
        <v>6576</v>
      </c>
      <c r="B6576" s="2" t="str">
        <f>IFERROR(__xludf.DUMMYFUNCTION("GOOGLETRANSLATE(A6576, ""en"", ""mt"")"),"tagħmel it-teknoloġija arpanet pubblika")</f>
        <v>tagħmel it-teknoloġija arpanet pubblika</v>
      </c>
    </row>
    <row r="6577" ht="15.75" customHeight="1">
      <c r="A6577" s="2" t="s">
        <v>6577</v>
      </c>
      <c r="B6577" s="2" t="str">
        <f>IFERROR(__xludf.DUMMYFUNCTION("GOOGLETRANSLATE(A6577, ""en"", ""mt"")"),"Dynasty Song")</f>
        <v>Dynasty Song</v>
      </c>
    </row>
    <row r="6578" ht="15.75" customHeight="1">
      <c r="A6578" s="2" t="s">
        <v>6578</v>
      </c>
      <c r="B6578" s="2" t="str">
        <f>IFERROR(__xludf.DUMMYFUNCTION("GOOGLETRANSLATE(A6578, ""en"", ""mt"")"),"logħob tal-ażżard")</f>
        <v>logħob tal-ażżard</v>
      </c>
    </row>
    <row r="6579" ht="15.75" customHeight="1">
      <c r="A6579" s="2" t="s">
        <v>6579</v>
      </c>
      <c r="B6579" s="2" t="str">
        <f>IFERROR(__xludf.DUMMYFUNCTION("GOOGLETRANSLATE(A6579, ""en"", ""mt"")"),"Ċentru SAP f'San Jose.")</f>
        <v>Ċentru SAP f'San Jose.</v>
      </c>
    </row>
    <row r="6580" ht="15.75" customHeight="1">
      <c r="A6580" s="2" t="s">
        <v>6580</v>
      </c>
      <c r="B6580" s="2" t="str">
        <f>IFERROR(__xludf.DUMMYFUNCTION("GOOGLETRANSLATE(A6580, ""en"", ""mt"")"),"Applikazzjoni kontinwa ta 'forza")</f>
        <v>Applikazzjoni kontinwa ta 'forza</v>
      </c>
    </row>
    <row r="6581" ht="15.75" customHeight="1">
      <c r="A6581" s="2" t="s">
        <v>6581</v>
      </c>
      <c r="B6581" s="2" t="str">
        <f>IFERROR(__xludf.DUMMYFUNCTION("GOOGLETRANSLATE(A6581, ""en"", ""mt"")"),"id-dinastiji Ċiniżi fin-nofsinhar")</f>
        <v>id-dinastiji Ċiniżi fin-nofsinhar</v>
      </c>
    </row>
    <row r="6582" ht="15.75" customHeight="1">
      <c r="A6582" s="2" t="s">
        <v>6582</v>
      </c>
      <c r="B6582" s="2" t="str">
        <f>IFERROR(__xludf.DUMMYFUNCTION("GOOGLETRANSLATE(A6582, ""en"", ""mt"")"),"li huma metodiċi u dettaljati eċċezzjonalment fl-istudju tal-Bibbja tagħhom, opinjonijiet u stil ta 'ħajja dixxiplinat.")</f>
        <v>li huma metodiċi u dettaljati eċċezzjonalment fl-istudju tal-Bibbja tagħhom, opinjonijiet u stil ta 'ħajja dixxiplinat.</v>
      </c>
    </row>
    <row r="6583" ht="15.75" customHeight="1">
      <c r="A6583" s="2" t="s">
        <v>6583</v>
      </c>
      <c r="B6583" s="2" t="str">
        <f>IFERROR(__xludf.DUMMYFUNCTION("GOOGLETRANSLATE(A6583, ""en"", ""mt"")"),"Kunċert Rock")</f>
        <v>Kunċert Rock</v>
      </c>
    </row>
    <row r="6584" ht="15.75" customHeight="1">
      <c r="A6584" s="2" t="s">
        <v>6584</v>
      </c>
      <c r="B6584" s="2" t="str">
        <f>IFERROR(__xludf.DUMMYFUNCTION("GOOGLETRANSLATE(A6584, ""en"", ""mt"")"),"Tbaħħir ta 'skart tossiku")</f>
        <v>Tbaħħir ta 'skart tossiku</v>
      </c>
    </row>
    <row r="6585" ht="15.75" customHeight="1">
      <c r="A6585" s="2" t="s">
        <v>6585</v>
      </c>
      <c r="B6585" s="2" t="str">
        <f>IFERROR(__xludf.DUMMYFUNCTION("GOOGLETRANSLATE(A6585, ""en"", ""mt"")"),"X'inhi l-utilità marġinali tal-ġid għal kull dħul għal kull persuna hekk kif dik il-persuna ssir iktar sinjura?")</f>
        <v>X'inhi l-utilità marġinali tal-ġid għal kull dħul għal kull persuna hekk kif dik il-persuna ssir iktar sinjura?</v>
      </c>
    </row>
    <row r="6586" ht="15.75" customHeight="1">
      <c r="A6586" s="2" t="s">
        <v>6586</v>
      </c>
      <c r="B6586" s="2" t="str">
        <f>IFERROR(__xludf.DUMMYFUNCTION("GOOGLETRANSLATE(A6586, ""en"", ""mt"")"),"Min kien responsabbli għall-proġetti ta 'bini l-ġodda f'Jacksonville?")</f>
        <v>Min kien responsabbli għall-proġetti ta 'bini l-ġodda f'Jacksonville?</v>
      </c>
    </row>
    <row r="6587" ht="15.75" customHeight="1">
      <c r="A6587" s="2" t="s">
        <v>6587</v>
      </c>
      <c r="B6587" s="2" t="str">
        <f>IFERROR(__xludf.DUMMYFUNCTION("GOOGLETRANSLATE(A6587, ""en"", ""mt"")"),"li dewmien jiswa l-flus, u f'każijiet ta 'konġestjonijiet, id-dewmien jista' jiswa ħafna")</f>
        <v>li dewmien jiswa l-flus, u f'każijiet ta 'konġestjonijiet, id-dewmien jista' jiswa ħafna</v>
      </c>
    </row>
    <row r="6588" ht="15.75" customHeight="1">
      <c r="A6588" s="2" t="s">
        <v>6588</v>
      </c>
      <c r="B6588" s="2" t="str">
        <f>IFERROR(__xludf.DUMMYFUNCTION("GOOGLETRANSLATE(A6588, ""en"", ""mt"")"),"biex tattendi l-iskola")</f>
        <v>biex tattendi l-iskola</v>
      </c>
    </row>
    <row r="6589" ht="15.75" customHeight="1">
      <c r="A6589" s="2" t="s">
        <v>6589</v>
      </c>
      <c r="B6589" s="2" t="str">
        <f>IFERROR(__xludf.DUMMYFUNCTION("GOOGLETRANSLATE(A6589, ""en"", ""mt"")"),"X'inhuma żewġ korpi uffiċjali tal-Koalizzjoni Governattiva tal-UMC?")</f>
        <v>X'inhuma żewġ korpi uffiċjali tal-Koalizzjoni Governattiva tal-UMC?</v>
      </c>
    </row>
    <row r="6590" ht="15.75" customHeight="1">
      <c r="A6590" s="2" t="s">
        <v>6590</v>
      </c>
      <c r="B6590" s="2" t="str">
        <f>IFERROR(__xludf.DUMMYFUNCTION("GOOGLETRANSLATE(A6590, ""en"", ""mt"")"),"L-azzjonijiet kollha mill-istituzzjonijiet tal-UE jistgħu jkunu soġġetti għal reviżjoni ġudizzjarja")</f>
        <v>L-azzjonijiet kollha mill-istituzzjonijiet tal-UE jistgħu jkunu soġġetti għal reviżjoni ġudizzjarja</v>
      </c>
    </row>
    <row r="6591" ht="15.75" customHeight="1">
      <c r="A6591" s="2" t="s">
        <v>6591</v>
      </c>
      <c r="B6591" s="2" t="str">
        <f>IFERROR(__xludf.DUMMYFUNCTION("GOOGLETRANSLATE(A6591, ""en"", ""mt"")"),"Kultivazzjoni tal-kittien")</f>
        <v>Kultivazzjoni tal-kittien</v>
      </c>
    </row>
    <row r="6592" ht="15.75" customHeight="1">
      <c r="A6592" s="2" t="s">
        <v>6592</v>
      </c>
      <c r="B6592" s="2" t="str">
        <f>IFERROR(__xludf.DUMMYFUNCTION("GOOGLETRANSLATE(A6592, ""en"", ""mt"")"),"Ix-xita mnaqqsa severament u żieda fit-temperaturi")</f>
        <v>Ix-xita mnaqqsa severament u żieda fit-temperaturi</v>
      </c>
    </row>
    <row r="6593" ht="15.75" customHeight="1">
      <c r="A6593" s="2" t="s">
        <v>6593</v>
      </c>
      <c r="B6593" s="2" t="str">
        <f>IFERROR(__xludf.DUMMYFUNCTION("GOOGLETRANSLATE(A6593, ""en"", ""mt"")"),"Is-Sindku l-Qadim,")</f>
        <v>Is-Sindku l-Qadim,</v>
      </c>
    </row>
    <row r="6594" ht="15.75" customHeight="1">
      <c r="A6594" s="2" t="s">
        <v>6594</v>
      </c>
      <c r="B6594" s="2" t="str">
        <f>IFERROR(__xludf.DUMMYFUNCTION("GOOGLETRANSLATE(A6594, ""en"", ""mt"")"),"""ċellulari"" u ""umoriżmu""")</f>
        <v>"ċellulari" u "umoriżmu"</v>
      </c>
    </row>
    <row r="6595" ht="15.75" customHeight="1">
      <c r="A6595" s="2" t="s">
        <v>6595</v>
      </c>
      <c r="B6595" s="2" t="str">
        <f>IFERROR(__xludf.DUMMYFUNCTION("GOOGLETRANSLATE(A6595, ""en"", ""mt"")"),"Liema element jifforma kważi nofs il-qoxra tad-dinja bil-massa?")</f>
        <v>Liema element jifforma kważi nofs il-qoxra tad-dinja bil-massa?</v>
      </c>
    </row>
    <row r="6596" ht="15.75" customHeight="1">
      <c r="A6596" s="2" t="s">
        <v>6596</v>
      </c>
      <c r="B6596" s="2" t="str">
        <f>IFERROR(__xludf.DUMMYFUNCTION("GOOGLETRANSLATE(A6596, ""en"", ""mt"")"),"Ossiġnu likwidu")</f>
        <v>Ossiġnu likwidu</v>
      </c>
    </row>
    <row r="6597" ht="15.75" customHeight="1">
      <c r="A6597" s="2" t="s">
        <v>6597</v>
      </c>
      <c r="B6597" s="2" t="str">
        <f>IFERROR(__xludf.DUMMYFUNCTION("GOOGLETRANSLATE(A6597, ""en"", ""mt"")"),"L-ossiġnu jinħall aktar fl-ilma milli hu n-nitroġenu. L-ilma f'ekwilibriju bl-arja fih madwar 1 molekula ta 'o maħlula
2 għal kull 2 ​​molekuli ta 'n
2, meta mqabbel ma 'proporzjon atmosferiku ta' madwar 1: 4. Is-solubilità ta 'l-ossiġenu fl-ilma tiddepen"&amp;"di mit-temperatura, u madwar id-doppju ta' (14.6 mg · l - 1) tinħall f'0 ° C milli f'20 ° C (7.6 mg · L - 1). F'25 ° C u 1 atmosfera standard (101.3 kPa) ta 'l-arja, l-ilma ħelu fih madwar 6.04 millilitri (ml) ta' ossiġnu għal kull litru, filwaqt li l-ilm"&amp;"a baħar fih madwar 4.95 ml kull litru. F'5 ° C is-solubilità tiżdied għal 9.0 ml (50% aktar minn 25 ° C) għal kull litru għall-ilma u 7.2 ml (45% aktar) għal kull litru għall-ilma baħar.")</f>
        <v>L-ossiġnu jinħall aktar fl-ilma milli hu n-nitroġenu. L-ilma f'ekwilibriju bl-arja fih madwar 1 molekula ta 'o maħlula
2 għal kull 2 ​​molekuli ta 'n
2, meta mqabbel ma 'proporzjon atmosferiku ta' madwar 1: 4. Is-solubilità ta 'l-ossiġenu fl-ilma tiddependi mit-temperatura, u madwar id-doppju ta' (14.6 mg · l - 1) tinħall f'0 ° C milli f'20 ° C (7.6 mg · L - 1). F'25 ° C u 1 atmosfera standard (101.3 kPa) ta 'l-arja, l-ilma ħelu fih madwar 6.04 millilitri (ml) ta' ossiġnu għal kull litru, filwaqt li l-ilma baħar fih madwar 4.95 ml kull litru. F'5 ° C is-solubilità tiżdied għal 9.0 ml (50% aktar minn 25 ° C) għal kull litru għall-ilma u 7.2 ml (45% aktar) għal kull litru għall-ilma baħar.</v>
      </c>
    </row>
    <row r="6598" ht="15.75" customHeight="1">
      <c r="A6598" s="2" t="s">
        <v>6598</v>
      </c>
      <c r="B6598" s="2" t="str">
        <f>IFERROR(__xludf.DUMMYFUNCTION("GOOGLETRANSLATE(A6598, ""en"", ""mt"")"),"Elettriku Kap")</f>
        <v>Elettriku Kap</v>
      </c>
    </row>
    <row r="6599" ht="15.75" customHeight="1">
      <c r="A6599" s="2" t="s">
        <v>6599</v>
      </c>
      <c r="B6599" s="2" t="str">
        <f>IFERROR(__xludf.DUMMYFUNCTION("GOOGLETRANSLATE(A6599, ""en"", ""mt"")"),"X'inhuma ppreżentati lill-Parlament minbarra l-abbozz innifsu?")</f>
        <v>X'inhuma ppreżentati lill-Parlament minbarra l-abbozz innifsu?</v>
      </c>
    </row>
    <row r="6600" ht="15.75" customHeight="1">
      <c r="A6600" s="2" t="s">
        <v>6600</v>
      </c>
      <c r="B6600" s="2" t="str">
        <f>IFERROR(__xludf.DUMMYFUNCTION("GOOGLETRANSLATE(A6600, ""en"", ""mt"")"),"Wara t-Tieni Gwerra Dinjija, taħt reġim komunista mwaqqaf mis-Sovjetiċi li qed jirbħu, inbdiet il-kampanja ""Bricks for Varsav Belt, bħall-Palazz tal-Kultura u x-Xjenza, rigal mill-Unjoni Sovjetika. Il-belt reġgħet bdiet ir-rwol tagħha bħala l-kapitali ta"&amp;"l-Polonja u ċ-ċentru tal-ħajja politika u ekonomika tal-pajjiż. Ħafna mit-toroq storiċi, il-bini, u l-knejjes ġew restawrati għall-forma oriġinali tagħhom. Fl-1980, il-Belt il-Qadima Storika ta 'Varsavja kienet miktuba fil-lista tal-Wirt Dinji tal-UNESCO.")</f>
        <v>Wara t-Tieni Gwerra Dinjija, taħt reġim komunista mwaqqaf mis-Sovjetiċi li qed jirbħu, inbdiet il-kampanja "Bricks for Varsav Belt, bħall-Palazz tal-Kultura u x-Xjenza, rigal mill-Unjoni Sovjetika. Il-belt reġgħet bdiet ir-rwol tagħha bħala l-kapitali tal-Polonja u ċ-ċentru tal-ħajja politika u ekonomika tal-pajjiż. Ħafna mit-toroq storiċi, il-bini, u l-knejjes ġew restawrati għall-forma oriġinali tagħhom. Fl-1980, il-Belt il-Qadima Storika ta 'Varsavja kienet miktuba fil-lista tal-Wirt Dinji tal-UNESCO.</v>
      </c>
    </row>
    <row r="6601" ht="15.75" customHeight="1">
      <c r="A6601" s="2" t="s">
        <v>6601</v>
      </c>
      <c r="B6601" s="2" t="str">
        <f>IFERROR(__xludf.DUMMYFUNCTION("GOOGLETRANSLATE(A6601, ""en"", ""mt"")"),"Trinity-st. Knisja Episkopali ta ’Pawlu")</f>
        <v>Trinity-st. Knisja Episkopali ta ’Pawlu</v>
      </c>
    </row>
    <row r="6602" ht="15.75" customHeight="1">
      <c r="A6602" s="2" t="s">
        <v>6602</v>
      </c>
      <c r="B6602" s="2" t="str">
        <f>IFERROR(__xludf.DUMMYFUNCTION("GOOGLETRANSLATE(A6602, ""en"", ""mt"")"),"Liema kelma ġiet ikkritikata Luther talli żiedet fir-Rumans3: 28?")</f>
        <v>Liema kelma ġiet ikkritikata Luther talli żiedet fir-Rumans3: 28?</v>
      </c>
    </row>
    <row r="6603" ht="15.75" customHeight="1">
      <c r="A6603" s="2" t="s">
        <v>6603</v>
      </c>
      <c r="B6603" s="2" t="str">
        <f>IFERROR(__xludf.DUMMYFUNCTION("GOOGLETRANSLATE(A6603, ""en"", ""mt"")"),"X'se jkollha soċjetà b'aktar ugwaljanza?")</f>
        <v>X'se jkollha soċjetà b'aktar ugwaljanza?</v>
      </c>
    </row>
    <row r="6604" ht="15.75" customHeight="1">
      <c r="A6604" s="2" t="s">
        <v>6604</v>
      </c>
      <c r="B6604" s="2" t="str">
        <f>IFERROR(__xludf.DUMMYFUNCTION("GOOGLETRANSLATE(A6604, ""en"", ""mt"")"),"Stacked triplet")</f>
        <v>Stacked triplet</v>
      </c>
    </row>
    <row r="6605" ht="15.75" customHeight="1">
      <c r="A6605" s="2" t="s">
        <v>6605</v>
      </c>
      <c r="B6605" s="2" t="str">
        <f>IFERROR(__xludf.DUMMYFUNCTION("GOOGLETRANSLATE(A6605, ""en"", ""mt"")"),"klima tropikali sħuna u umda")</f>
        <v>klima tropikali sħuna u umda</v>
      </c>
    </row>
    <row r="6606" ht="15.75" customHeight="1">
      <c r="A6606" s="2" t="s">
        <v>6606</v>
      </c>
      <c r="B6606" s="2" t="str">
        <f>IFERROR(__xludf.DUMMYFUNCTION("GOOGLETRANSLATE(A6606, ""en"", ""mt"")"),"Għal xiex huwa responsabbli l-KNLS?")</f>
        <v>Għal xiex huwa responsabbli l-KNLS?</v>
      </c>
    </row>
    <row r="6607" ht="15.75" customHeight="1">
      <c r="A6607" s="2" t="s">
        <v>6607</v>
      </c>
      <c r="B6607" s="2" t="str">
        <f>IFERROR(__xludf.DUMMYFUNCTION("GOOGLETRANSLATE(A6607, ""en"", ""mt"")"),"Ħafna mix-xogħlijiet ta 'arti Ċiniżi fil-kollezzjonijiet tal-Lvant Imbiegħed imorru minn liema żewġ dinastiji?")</f>
        <v>Ħafna mix-xogħlijiet ta 'arti Ċiniżi fil-kollezzjonijiet tal-Lvant Imbiegħed imorru minn liema żewġ dinastiji?</v>
      </c>
    </row>
    <row r="6608" ht="15.75" customHeight="1">
      <c r="A6608" s="2" t="s">
        <v>6608</v>
      </c>
      <c r="B6608" s="2" t="str">
        <f>IFERROR(__xludf.DUMMYFUNCTION("GOOGLETRANSLATE(A6608, ""en"", ""mt"")"),"sekondi")</f>
        <v>sekondi</v>
      </c>
    </row>
    <row r="6609" ht="15.75" customHeight="1">
      <c r="A6609" s="2" t="s">
        <v>6609</v>
      </c>
      <c r="B6609" s="2" t="str">
        <f>IFERROR(__xludf.DUMMYFUNCTION("GOOGLETRANSLATE(A6609, ""en"", ""mt"")"),"is-seklu sittax")</f>
        <v>is-seklu sittax</v>
      </c>
    </row>
    <row r="6610" ht="15.75" customHeight="1">
      <c r="A6610" s="2" t="s">
        <v>6610</v>
      </c>
      <c r="B6610" s="2" t="str">
        <f>IFERROR(__xludf.DUMMYFUNCTION("GOOGLETRANSLATE(A6610, ""en"", ""mt"")"),"Il-Liao, Jin, u l-kanzunetta")</f>
        <v>Il-Liao, Jin, u l-kanzunetta</v>
      </c>
    </row>
    <row r="6611" ht="15.75" customHeight="1">
      <c r="A6611" s="2" t="s">
        <v>6611</v>
      </c>
      <c r="B6611" s="2" t="str">
        <f>IFERROR(__xludf.DUMMYFUNCTION("GOOGLETRANSLATE(A6611, ""en"", ""mt"")"),"X'inhu l-kejl konvenzjonali tar-Renu?")</f>
        <v>X'inhu l-kejl konvenzjonali tar-Renu?</v>
      </c>
    </row>
    <row r="6612" ht="15.75" customHeight="1">
      <c r="A6612" s="2" t="s">
        <v>6612</v>
      </c>
      <c r="B6612" s="2" t="str">
        <f>IFERROR(__xludf.DUMMYFUNCTION("GOOGLETRANSLATE(A6612, ""en"", ""mt"")"),"Min jiddeċiedi min ikellem fid-dibattiti tal-kamra?")</f>
        <v>Min jiddeċiedi min ikellem fid-dibattiti tal-kamra?</v>
      </c>
    </row>
    <row r="6613" ht="15.75" customHeight="1">
      <c r="A6613" s="2" t="s">
        <v>6613</v>
      </c>
      <c r="B6613" s="2" t="str">
        <f>IFERROR(__xludf.DUMMYFUNCTION("GOOGLETRANSLATE(A6613, ""en"", ""mt"")"),"Liema żewġ korpi ta 'tmexxija għandhom poter leġiżlattiv tal-veto?")</f>
        <v>Liema żewġ korpi ta 'tmexxija għandhom poter leġiżlattiv tal-veto?</v>
      </c>
    </row>
    <row r="6614" ht="15.75" customHeight="1">
      <c r="A6614" s="2" t="s">
        <v>6614</v>
      </c>
      <c r="B6614" s="2" t="str">
        <f>IFERROR(__xludf.DUMMYFUNCTION("GOOGLETRANSLATE(A6614, ""en"", ""mt"")"),"Wara t-tmiem tal-Gwerra tal-Messiku.")</f>
        <v>Wara t-tmiem tal-Gwerra tal-Messiku.</v>
      </c>
    </row>
    <row r="6615" ht="15.75" customHeight="1">
      <c r="A6615" s="2" t="s">
        <v>6615</v>
      </c>
      <c r="B6615" s="2" t="str">
        <f>IFERROR(__xludf.DUMMYFUNCTION("GOOGLETRANSLATE(A6615, ""en"", ""mt"")"),"L-Għaxar Kmandamenti, u l-bidu tal-ħajja mġedda ta 'Kristjani mogħtija lilhom mis-Sagrament tal-Magħmudija, huma previżjoni preżenti tal-ħajja futura ta' l-anġlu li jemmnu fil-Ġenna fil-qalba ta 'din il-ħajja. It-tagħlim ta 'Luther ta' l-Għaxar Kmandament"&amp;"i, għalhekk, għandu żvantaġġi eskatoloġiċi ċari, li, b'mod karatteristiku għal Luther, ma jħeġġux it-titjira dinjija iżda jidderieġi lill-Kristjan lejn is-servizz lill-proxxmu fil-vokazzjonijiet komuni u ta 'kuljum ta' din id-dinja li qed jitħassru.")</f>
        <v>L-Għaxar Kmandamenti, u l-bidu tal-ħajja mġedda ta 'Kristjani mogħtija lilhom mis-Sagrament tal-Magħmudija, huma previżjoni preżenti tal-ħajja futura ta' l-anġlu li jemmnu fil-Ġenna fil-qalba ta 'din il-ħajja. It-tagħlim ta 'Luther ta' l-Għaxar Kmandamenti, għalhekk, għandu żvantaġġi eskatoloġiċi ċari, li, b'mod karatteristiku għal Luther, ma jħeġġux it-titjira dinjija iżda jidderieġi lill-Kristjan lejn is-servizz lill-proxxmu fil-vokazzjonijiet komuni u ta 'kuljum ta' din id-dinja li qed jitħassru.</v>
      </c>
    </row>
    <row r="6616" ht="15.75" customHeight="1">
      <c r="A6616" s="2" t="s">
        <v>6616</v>
      </c>
      <c r="B6616" s="2" t="str">
        <f>IFERROR(__xludf.DUMMYFUNCTION("GOOGLETRANSLATE(A6616, ""en"", ""mt"")"),"Fejn hi l-fruntiera tal-Isvizzera u l-Awstrija?")</f>
        <v>Fejn hi l-fruntiera tal-Isvizzera u l-Awstrija?</v>
      </c>
    </row>
    <row r="6617" ht="15.75" customHeight="1">
      <c r="A6617" s="2" t="s">
        <v>6617</v>
      </c>
      <c r="B6617" s="2" t="str">
        <f>IFERROR(__xludf.DUMMYFUNCTION("GOOGLETRANSLATE(A6617, ""en"", ""mt"")"),"Parallel mar-Rhine kanalizzata fil-lag.")</f>
        <v>Parallel mar-Rhine kanalizzata fil-lag.</v>
      </c>
    </row>
    <row r="6618" ht="15.75" customHeight="1">
      <c r="A6618" s="2" t="s">
        <v>6618</v>
      </c>
      <c r="B6618" s="2" t="str">
        <f>IFERROR(__xludf.DUMMYFUNCTION("GOOGLETRANSLATE(A6618, ""en"", ""mt"")"),"deċimali rikurrenti")</f>
        <v>deċimali rikurrenti</v>
      </c>
    </row>
    <row r="6619" ht="15.75" customHeight="1">
      <c r="A6619" s="2" t="s">
        <v>6619</v>
      </c>
      <c r="B6619" s="2" t="str">
        <f>IFERROR(__xludf.DUMMYFUNCTION("GOOGLETRANSLATE(A6619, ""en"", ""mt"")"),"Il-kloroplasti ta 'xi hornworts u alka fihom strutturi msejħa pyrenoids. Ma jinstabux fi pjanti ogħla. Il-pirenojdi huma bejn wieħed u ieħor korpi sferiċi u rifrazzjoni ħafna li huma sit ta 'akkumulazzjoni ta' lamtu f'impjanti li fihomhom. Huma jikkonsist"&amp;"u minn matriċi opaka għal elettroni, imdawra minn żewġ pjanċi tal-lamtu emisferiċi. Il-lamtu huwa akkumulat hekk kif il-pyrenoids jimmaturaw. Fl-alka b'mekkaniżmi ta 'konċentrazzjoni tal-karbonju, l-enzima rubisco tinstab fil-pirenojdi. Il-lamtu jista 'wk"&amp;"oll jakkumula madwar il-pirenojdi meta s-CO2 huwa skars. Pirenoids jistgħu jaqsmu biex jiffurmaw pyrenoids ġodda, jew jiġu prodotti ""de novo"".")</f>
        <v>Il-kloroplasti ta 'xi hornworts u alka fihom strutturi msejħa pyrenoids. Ma jinstabux fi pjanti ogħla. Il-pirenojdi huma bejn wieħed u ieħor korpi sferiċi u rifrazzjoni ħafna li huma sit ta 'akkumulazzjoni ta' lamtu f'impjanti li fihomhom. Huma jikkonsistu minn matriċi opaka għal elettroni, imdawra minn żewġ pjanċi tal-lamtu emisferiċi. Il-lamtu huwa akkumulat hekk kif il-pyrenoids jimmaturaw. Fl-alka b'mekkaniżmi ta 'konċentrazzjoni tal-karbonju, l-enzima rubisco tinstab fil-pirenojdi. Il-lamtu jista 'wkoll jakkumula madwar il-pirenojdi meta s-CO2 huwa skars. Pirenoids jistgħu jaqsmu biex jiffurmaw pyrenoids ġodda, jew jiġu prodotti "de novo".</v>
      </c>
    </row>
    <row r="6620" ht="15.75" customHeight="1">
      <c r="A6620" s="2" t="s">
        <v>6620</v>
      </c>
      <c r="B6620" s="2" t="str">
        <f>IFERROR(__xludf.DUMMYFUNCTION("GOOGLETRANSLATE(A6620, ""en"", ""mt"")"),"Teoremi tal-Ġerarkija tal-Ħin u l-Ispazju")</f>
        <v>Teoremi tal-Ġerarkija tal-Ħin u l-Ispazju</v>
      </c>
    </row>
    <row r="6621" ht="15.75" customHeight="1">
      <c r="A6621" s="2" t="s">
        <v>6621</v>
      </c>
      <c r="B6621" s="2" t="str">
        <f>IFERROR(__xludf.DUMMYFUNCTION("GOOGLETRANSLATE(A6621, ""en"", ""mt"")"),"Fejn ħeba Temüjin waqt il-ħarba tiegħu mit-Tayichi'ud?")</f>
        <v>Fejn ħeba Temüjin waqt il-ħarba tiegħu mit-Tayichi'ud?</v>
      </c>
    </row>
    <row r="6622" ht="15.75" customHeight="1">
      <c r="A6622" s="2" t="s">
        <v>6622</v>
      </c>
      <c r="B6622" s="2" t="str">
        <f>IFERROR(__xludf.DUMMYFUNCTION("GOOGLETRANSLATE(A6622, ""en"", ""mt"")"),"Nuqqasijiet kienu jeżistu fid-disinn tal-modulu tal-kmand, l-abbilità u l-kontroll tal-kwalità")</f>
        <v>Nuqqasijiet kienu jeżistu fid-disinn tal-modulu tal-kmand, l-abbilità u l-kontroll tal-kwalità</v>
      </c>
    </row>
    <row r="6623" ht="15.75" customHeight="1">
      <c r="A6623" s="2" t="s">
        <v>6623</v>
      </c>
      <c r="B6623" s="2" t="str">
        <f>IFERROR(__xludf.DUMMYFUNCTION("GOOGLETRANSLATE(A6623, ""en"", ""mt"")"),"tnaqqis")</f>
        <v>tnaqqis</v>
      </c>
    </row>
    <row r="6624" ht="15.75" customHeight="1">
      <c r="A6624" s="2" t="s">
        <v>6624</v>
      </c>
      <c r="B6624" s="2" t="str">
        <f>IFERROR(__xludf.DUMMYFUNCTION("GOOGLETRANSLATE(A6624, ""en"", ""mt"")"),"Mhuwiex ċert kif ctenophores jikkontrollaw il-galleġġjatura tagħhom, iżda l-esperimenti wrew li xi speċi jiddependu fuq pressjoni osmotika biex jadattaw għall-ilma ta 'densitajiet differenti. Il-fluwidi tal-ġisem tagħhom huma normalment ikkonċentrati daqs"&amp;" l-ilma baħar. Jekk jidħlu f'ilma brackish inqas dens, il-rosettes ciliary fil-kavità tal-ġisem jistgħu jippompjaw dan fil-mesoglea biex iżidu l-massa tiegħu u jnaqqsu d-densità tiegħu, biex jevitaw l-għarqa. Bil-maqlub jekk jimxu minn salmura għal ilma b"&amp;"aħar b'saħħa sħiħa, ir-rosettes jistgħu jippompjaw l-ilma barra mill-mesoglea biex inaqqsu l-volum tiegħu u jżidu d-densità tiegħu.")</f>
        <v>Mhuwiex ċert kif ctenophores jikkontrollaw il-galleġġjatura tagħhom, iżda l-esperimenti wrew li xi speċi jiddependu fuq pressjoni osmotika biex jadattaw għall-ilma ta 'densitajiet differenti. Il-fluwidi tal-ġisem tagħhom huma normalment ikkonċentrati daqs l-ilma baħar. Jekk jidħlu f'ilma brackish inqas dens, il-rosettes ciliary fil-kavità tal-ġisem jistgħu jippompjaw dan fil-mesoglea biex iżidu l-massa tiegħu u jnaqqsu d-densità tiegħu, biex jevitaw l-għarqa. Bil-maqlub jekk jimxu minn salmura għal ilma baħar b'saħħa sħiħa, ir-rosettes jistgħu jippompjaw l-ilma barra mill-mesoglea biex inaqqsu l-volum tiegħu u jżidu d-densità tiegħu.</v>
      </c>
    </row>
    <row r="6625" ht="15.75" customHeight="1">
      <c r="A6625" s="2" t="s">
        <v>6625</v>
      </c>
      <c r="B6625" s="2" t="str">
        <f>IFERROR(__xludf.DUMMYFUNCTION("GOOGLETRANSLATE(A6625, ""en"", ""mt"")"),"stadji ta 'fuq finta mimlijin ilma")</f>
        <v>stadji ta 'fuq finta mimlijin ilma</v>
      </c>
    </row>
    <row r="6626" ht="15.75" customHeight="1">
      <c r="A6626" s="2" t="s">
        <v>6626</v>
      </c>
      <c r="B6626" s="2" t="str">
        <f>IFERROR(__xludf.DUMMYFUNCTION("GOOGLETRANSLATE(A6626, ""en"", ""mt"")"),"X'jagħmlu l-gvern li jaffettwa l-għalliema?")</f>
        <v>X'jagħmlu l-gvern li jaffettwa l-għalliema?</v>
      </c>
    </row>
    <row r="6627" ht="15.75" customHeight="1">
      <c r="A6627" s="2" t="s">
        <v>6627</v>
      </c>
      <c r="B6627" s="2" t="str">
        <f>IFERROR(__xludf.DUMMYFUNCTION("GOOGLETRANSLATE(A6627, ""en"", ""mt"")"),"It-Teorema tan-Numru Prim")</f>
        <v>It-Teorema tan-Numru Prim</v>
      </c>
    </row>
    <row r="6628" ht="15.75" customHeight="1">
      <c r="A6628" s="2" t="s">
        <v>6628</v>
      </c>
      <c r="B6628" s="2" t="str">
        <f>IFERROR(__xludf.DUMMYFUNCTION("GOOGLETRANSLATE(A6628, ""en"", ""mt"")"),"Meta jsir il-Festival Wianki?")</f>
        <v>Meta jsir il-Festival Wianki?</v>
      </c>
    </row>
    <row r="6629" ht="15.75" customHeight="1">
      <c r="A6629" s="2" t="s">
        <v>6629</v>
      </c>
      <c r="B6629" s="2" t="str">
        <f>IFERROR(__xludf.DUMMYFUNCTION("GOOGLETRANSLATE(A6629, ""en"", ""mt"")"),"Kemm hemm kloroplasti f'mm kwadru ta 'werqa?")</f>
        <v>Kemm hemm kloroplasti f'mm kwadru ta 'werqa?</v>
      </c>
    </row>
    <row r="6630" ht="15.75" customHeight="1">
      <c r="A6630" s="2" t="s">
        <v>6630</v>
      </c>
      <c r="B6630" s="2" t="str">
        <f>IFERROR(__xludf.DUMMYFUNCTION("GOOGLETRANSLATE(A6630, ""en"", ""mt"")"),"Liema kwistjoni pesta l-letteratura dwar id-diżubbidjenza ċivili?")</f>
        <v>Liema kwistjoni pesta l-letteratura dwar id-diżubbidjenza ċivili?</v>
      </c>
    </row>
    <row r="6631" ht="15.75" customHeight="1">
      <c r="A6631" s="2" t="s">
        <v>6631</v>
      </c>
      <c r="B6631" s="2" t="str">
        <f>IFERROR(__xludf.DUMMYFUNCTION("GOOGLETRANSLATE(A6631, ""en"", ""mt"")"),"b'mod sinifikanti aktar ħafif minn xi postijiet oħra")</f>
        <v>b'mod sinifikanti aktar ħafif minn xi postijiet oħra</v>
      </c>
    </row>
    <row r="6632" ht="15.75" customHeight="1">
      <c r="A6632" s="2" t="s">
        <v>6632</v>
      </c>
      <c r="B6632" s="2" t="str">
        <f>IFERROR(__xludf.DUMMYFUNCTION("GOOGLETRANSLATE(A6632, ""en"", ""mt"")"),"Mill-fondazzjoni tagħha")</f>
        <v>Mill-fondazzjoni tagħha</v>
      </c>
    </row>
    <row r="6633" ht="15.75" customHeight="1">
      <c r="A6633" s="2" t="s">
        <v>6633</v>
      </c>
      <c r="B6633" s="2" t="str">
        <f>IFERROR(__xludf.DUMMYFUNCTION("GOOGLETRANSLATE(A6633, ""en"", ""mt"")"),"ġwienaħ u sieq miksura")</f>
        <v>ġwienaħ u sieq miksura</v>
      </c>
    </row>
    <row r="6634" ht="15.75" customHeight="1">
      <c r="A6634" s="2" t="s">
        <v>6634</v>
      </c>
      <c r="B6634" s="2" t="str">
        <f>IFERROR(__xludf.DUMMYFUNCTION("GOOGLETRANSLATE(A6634, ""en"", ""mt"")"),"X'kien il-kunsens ġenerali li Johnson wasal fir-rigward tal-progress tal-Amerika dwar l-ispazju u jilħaq pożizzjoni ta 'tmexxija?")</f>
        <v>X'kien il-kunsens ġenerali li Johnson wasal fir-rigward tal-progress tal-Amerika dwar l-ispazju u jilħaq pożizzjoni ta 'tmexxija?</v>
      </c>
    </row>
    <row r="6635" ht="15.75" customHeight="1">
      <c r="A6635" s="2" t="s">
        <v>6635</v>
      </c>
      <c r="B6635" s="2" t="str">
        <f>IFERROR(__xludf.DUMMYFUNCTION("GOOGLETRANSLATE(A6635, ""en"", ""mt"")"),"X'inhu isem ieħor għal rispons imtejjeb ta 'sistema immuni?")</f>
        <v>X'inhu isem ieħor għal rispons imtejjeb ta 'sistema immuni?</v>
      </c>
    </row>
    <row r="6636" ht="15.75" customHeight="1">
      <c r="A6636" s="2" t="s">
        <v>6636</v>
      </c>
      <c r="B6636" s="2" t="str">
        <f>IFERROR(__xludf.DUMMYFUNCTION("GOOGLETRANSLATE(A6636, ""en"", ""mt"")"),"X'inhu l-assi ta 'Varsavja li jaqsamha f'żewġ partijiet?")</f>
        <v>X'inhu l-assi ta 'Varsavja li jaqsamha f'żewġ partijiet?</v>
      </c>
    </row>
    <row r="6637" ht="15.75" customHeight="1">
      <c r="A6637" s="2" t="s">
        <v>6637</v>
      </c>
      <c r="B6637" s="2" t="str">
        <f>IFERROR(__xludf.DUMMYFUNCTION("GOOGLETRANSLATE(A6637, ""en"", ""mt"")"),"Pompa tal-joni tal-idroġenu fl-ispazju tat-tilakoid")</f>
        <v>Pompa tal-joni tal-idroġenu fl-ispazju tat-tilakoid</v>
      </c>
    </row>
    <row r="6638" ht="15.75" customHeight="1">
      <c r="A6638" s="2" t="s">
        <v>6638</v>
      </c>
      <c r="B6638" s="2" t="str">
        <f>IFERROR(__xludf.DUMMYFUNCTION("GOOGLETRANSLATE(A6638, ""en"", ""mt"")"),"Liema approċċ kien favur Oppenheimer?")</f>
        <v>Liema approċċ kien favur Oppenheimer?</v>
      </c>
    </row>
    <row r="6639" ht="15.75" customHeight="1">
      <c r="A6639" s="2" t="s">
        <v>6639</v>
      </c>
      <c r="B6639" s="2" t="str">
        <f>IFERROR(__xludf.DUMMYFUNCTION("GOOGLETRANSLATE(A6639, ""en"", ""mt"")"),"Kif jiġi ddeterminat il-proċess tal-allokazzjoni tas-sedili sakemm ikunu ġew determinati s-sedili kollha disponibbli?")</f>
        <v>Kif jiġi ddeterminat il-proċess tal-allokazzjoni tas-sedili sakemm ikunu ġew determinati s-sedili kollha disponibbli?</v>
      </c>
    </row>
    <row r="6640" ht="15.75" customHeight="1">
      <c r="A6640" s="2" t="s">
        <v>6640</v>
      </c>
      <c r="B6640" s="2" t="str">
        <f>IFERROR(__xludf.DUMMYFUNCTION("GOOGLETRANSLATE(A6640, ""en"", ""mt"")"),"Fit-22 ta 'Mejju 2006")</f>
        <v>Fit-22 ta 'Mejju 2006</v>
      </c>
    </row>
    <row r="6641" ht="15.75" customHeight="1">
      <c r="A6641" s="2" t="s">
        <v>6641</v>
      </c>
      <c r="B6641" s="2" t="str">
        <f>IFERROR(__xludf.DUMMYFUNCTION("GOOGLETRANSLATE(A6641, ""en"", ""mt"")"),"L-isem ma kienx korrett")</f>
        <v>L-isem ma kienx korrett</v>
      </c>
    </row>
    <row r="6642" ht="15.75" customHeight="1">
      <c r="A6642" s="2" t="s">
        <v>6642</v>
      </c>
      <c r="B6642" s="2" t="str">
        <f>IFERROR(__xludf.DUMMYFUNCTION("GOOGLETRANSLATE(A6642, ""en"", ""mt"")"),"Dewmien jiswa l-flus")</f>
        <v>Dewmien jiswa l-flus</v>
      </c>
    </row>
    <row r="6643" ht="15.75" customHeight="1">
      <c r="A6643" s="2" t="s">
        <v>6643</v>
      </c>
      <c r="B6643" s="2" t="str">
        <f>IFERROR(__xludf.DUMMYFUNCTION("GOOGLETRANSLATE(A6643, ""en"", ""mt"")"),"Liema raġunijiet jikkawżaw falliment tad-diżubbidjenza mal-awtoritajiet?")</f>
        <v>Liema raġunijiet jikkawżaw falliment tad-diżubbidjenza mal-awtoritajiet?</v>
      </c>
    </row>
    <row r="6644" ht="15.75" customHeight="1">
      <c r="A6644" s="2" t="s">
        <v>6644</v>
      </c>
      <c r="B6644" s="2" t="str">
        <f>IFERROR(__xludf.DUMMYFUNCTION("GOOGLETRANSLATE(A6644, ""en"", ""mt"")"),"Faċilità ta 'Prattika tal-Istat ta' San Jose")</f>
        <v>Faċilità ta 'Prattika tal-Istat ta' San Jose</v>
      </c>
    </row>
    <row r="6645" ht="15.75" customHeight="1">
      <c r="A6645" s="2" t="s">
        <v>6645</v>
      </c>
      <c r="B6645" s="2" t="str">
        <f>IFERROR(__xludf.DUMMYFUNCTION("GOOGLETRANSLATE(A6645, ""en"", ""mt"")"),"Liema grad issa huwa obbligatorju fl-Istati Uniti sabiex ikun spiżjar liċenzjat?")</f>
        <v>Liema grad issa huwa obbligatorju fl-Istati Uniti sabiex ikun spiżjar liċenzjat?</v>
      </c>
    </row>
    <row r="6646" ht="15.75" customHeight="1">
      <c r="A6646" s="2" t="s">
        <v>6646</v>
      </c>
      <c r="B6646" s="2" t="str">
        <f>IFERROR(__xludf.DUMMYFUNCTION("GOOGLETRANSLATE(A6646, ""en"", ""mt"")"),"X'inhuma ż-żewġ simboli li jfissru l-ispiżerija f'pajjiżi li jitkellmu bl-Ingliż?")</f>
        <v>X'inhuma ż-żewġ simboli li jfissru l-ispiżerija f'pajjiżi li jitkellmu bl-Ingliż?</v>
      </c>
    </row>
    <row r="6647" ht="15.75" customHeight="1">
      <c r="A6647" s="2" t="s">
        <v>6647</v>
      </c>
      <c r="B6647" s="2" t="str">
        <f>IFERROR(__xludf.DUMMYFUNCTION("GOOGLETRANSLATE(A6647, ""en"", ""mt"")"),"mhux magħruf")</f>
        <v>mhux magħruf</v>
      </c>
    </row>
    <row r="6648" ht="15.75" customHeight="1">
      <c r="A6648" s="2" t="s">
        <v>6648</v>
      </c>
      <c r="B6648" s="2" t="str">
        <f>IFERROR(__xludf.DUMMYFUNCTION("GOOGLETRANSLATE(A6648, ""en"", ""mt"")"),"Liema sit jinsab fiż-Żona tal-Bajja ta 'San Francisco?")</f>
        <v>Liema sit jinsab fiż-Żona tal-Bajja ta 'San Francisco?</v>
      </c>
    </row>
    <row r="6649" ht="15.75" customHeight="1">
      <c r="A6649" s="2" t="s">
        <v>6649</v>
      </c>
      <c r="B6649" s="2" t="str">
        <f>IFERROR(__xludf.DUMMYFUNCTION("GOOGLETRANSLATE(A6649, ""en"", ""mt"")"),"Nitkellmu ma 'investigaturi kriminali")</f>
        <v>Nitkellmu ma 'investigaturi kriminali</v>
      </c>
    </row>
    <row r="6650" ht="15.75" customHeight="1">
      <c r="A6650" s="2" t="s">
        <v>6650</v>
      </c>
      <c r="B6650" s="2" t="str">
        <f>IFERROR(__xludf.DUMMYFUNCTION("GOOGLETRANSLATE(A6650, ""en"", ""mt"")"),"relazzjoni ta 'ċittadin mal-istat u l-liġijiet tiegħu")</f>
        <v>relazzjoni ta 'ċittadin mal-istat u l-liġijiet tiegħu</v>
      </c>
    </row>
    <row r="6651" ht="15.75" customHeight="1">
      <c r="A6651" s="2" t="s">
        <v>6651</v>
      </c>
      <c r="B6651" s="2" t="str">
        <f>IFERROR(__xludf.DUMMYFUNCTION("GOOGLETRANSLATE(A6651, ""en"", ""mt"")"),"Klassijiet oħra ta 'kumplessità importanti jinkludu BPP, ZPP u RP, li huma definiti bl-użu ta' magni tat-Turing probabilistiċi; AC u NC, li huma definiti bl-użu ta 'ċirkwiti Boolean; u BQP u QMA, li huma definiti bl-użu ta 'magni ta' Turing Quantum. #P hi"&amp;"ja klassi ta 'kumplessità importanti ta' problemi ta 'għadd (mhux problemi ta' deċiżjoni). Klassijiet bħal IP u AM huma definiti bl-użu ta 'sistemi ta' prova interattiva. Kollha hija l-klassi tal-problemi kollha ta 'deċiżjoni.")</f>
        <v>Klassijiet oħra ta 'kumplessità importanti jinkludu BPP, ZPP u RP, li huma definiti bl-użu ta' magni tat-Turing probabilistiċi; AC u NC, li huma definiti bl-użu ta 'ċirkwiti Boolean; u BQP u QMA, li huma definiti bl-użu ta 'magni ta' Turing Quantum. #P hija klassi ta 'kumplessità importanti ta' problemi ta 'għadd (mhux problemi ta' deċiżjoni). Klassijiet bħal IP u AM huma definiti bl-użu ta 'sistemi ta' prova interattiva. Kollha hija l-klassi tal-problemi kollha ta 'deċiżjoni.</v>
      </c>
    </row>
    <row r="6652" ht="15.75" customHeight="1">
      <c r="A6652" s="2" t="s">
        <v>6652</v>
      </c>
      <c r="B6652" s="2" t="str">
        <f>IFERROR(__xludf.DUMMYFUNCTION("GOOGLETRANSLATE(A6652, ""en"", ""mt"")"),"Fejn jista 'l-interess innifsu tat-tabib ikun f'kontradizzjoni ma' l-interess innifsu tal-pazjent?")</f>
        <v>Fejn jista 'l-interess innifsu tat-tabib ikun f'kontradizzjoni ma' l-interess innifsu tal-pazjent?</v>
      </c>
    </row>
    <row r="6653" ht="15.75" customHeight="1">
      <c r="A6653" s="2" t="s">
        <v>6653</v>
      </c>
      <c r="B6653" s="2" t="str">
        <f>IFERROR(__xludf.DUMMYFUNCTION("GOOGLETRANSLATE(A6653, ""en"", ""mt"")"),"Fejn hu d-detentur tar-rekord tad-Doctor Who għall-iktar serje ta ’suċċess ta’ fantaxjenza ta ’kull żmien?")</f>
        <v>Fejn hu d-detentur tar-rekord tad-Doctor Who għall-iktar serje ta ’suċċess ta’ fantaxjenza ta ’kull żmien?</v>
      </c>
    </row>
    <row r="6654" ht="15.75" customHeight="1">
      <c r="A6654" s="2" t="s">
        <v>6654</v>
      </c>
      <c r="B6654" s="2" t="str">
        <f>IFERROR(__xludf.DUMMYFUNCTION("GOOGLETRANSLATE(A6654, ""en"", ""mt"")"),"L-iktar xhur sħan minn Mejju sa Settembru")</f>
        <v>L-iktar xhur sħan minn Mejju sa Settembru</v>
      </c>
    </row>
    <row r="6655" ht="15.75" customHeight="1">
      <c r="A6655" s="2" t="s">
        <v>6655</v>
      </c>
      <c r="B6655" s="2" t="str">
        <f>IFERROR(__xludf.DUMMYFUNCTION("GOOGLETRANSLATE(A6655, ""en"", ""mt"")"),"Bidu kemm snin ilu l-Amazon Rainforest estendiet 45 grad fin-nofsinhar?")</f>
        <v>Bidu kemm snin ilu l-Amazon Rainforest estendiet 45 grad fin-nofsinhar?</v>
      </c>
    </row>
    <row r="6656" ht="15.75" customHeight="1">
      <c r="A6656" s="2" t="s">
        <v>6656</v>
      </c>
      <c r="B6656" s="2" t="str">
        <f>IFERROR(__xludf.DUMMYFUNCTION("GOOGLETRANSLATE(A6656, ""en"", ""mt"")"),"X'tip ta 'difiża xi kultant jintuża fil-qorti minn dimostranti?")</f>
        <v>X'tip ta 'difiża xi kultant jintuża fil-qorti minn dimostranti?</v>
      </c>
    </row>
    <row r="6657" ht="15.75" customHeight="1">
      <c r="A6657" s="2" t="s">
        <v>6657</v>
      </c>
      <c r="B6657" s="2" t="str">
        <f>IFERROR(__xludf.DUMMYFUNCTION("GOOGLETRANSLATE(A6657, ""en"", ""mt"")"),"X'inhuma l-għalliema mistennija li jagħtu lill-istudenti tagħhom?")</f>
        <v>X'inhuma l-għalliema mistennija li jagħtu lill-istudenti tagħhom?</v>
      </c>
    </row>
    <row r="6658" ht="15.75" customHeight="1">
      <c r="A6658" s="2" t="s">
        <v>6658</v>
      </c>
      <c r="B6658" s="2" t="str">
        <f>IFERROR(__xludf.DUMMYFUNCTION("GOOGLETRANSLATE(A6658, ""en"", ""mt"")"),"Partit tal-Poplu Ewropew")</f>
        <v>Partit tal-Poplu Ewropew</v>
      </c>
    </row>
    <row r="6659" ht="15.75" customHeight="1">
      <c r="A6659" s="2" t="s">
        <v>6659</v>
      </c>
      <c r="B6659" s="2" t="str">
        <f>IFERROR(__xludf.DUMMYFUNCTION("GOOGLETRANSLATE(A6659, ""en"", ""mt"")"),"Edukazzjoni formali")</f>
        <v>Edukazzjoni formali</v>
      </c>
    </row>
    <row r="6660" ht="15.75" customHeight="1">
      <c r="A6660" s="2" t="s">
        <v>6660</v>
      </c>
      <c r="B6660" s="2" t="str">
        <f>IFERROR(__xludf.DUMMYFUNCTION("GOOGLETRANSLATE(A6660, ""en"", ""mt"")"),"Uffiċjali tal-Gvern u Esperti tat-Tibdil fil-Klima")</f>
        <v>Uffiċjali tal-Gvern u Esperti tat-Tibdil fil-Klima</v>
      </c>
    </row>
    <row r="6661" ht="15.75" customHeight="1">
      <c r="A6661" s="2" t="s">
        <v>6661</v>
      </c>
      <c r="B6661" s="2" t="str">
        <f>IFERROR(__xludf.DUMMYFUNCTION("GOOGLETRANSLATE(A6661, ""en"", ""mt"")"),"Monasteru Kummum jew Ta'er Shi ħdejn Xining")</f>
        <v>Monasteru Kummum jew Ta'er Shi ħdejn Xining</v>
      </c>
    </row>
    <row r="6662" ht="15.75" customHeight="1">
      <c r="A6662" s="2" t="s">
        <v>6662</v>
      </c>
      <c r="B6662" s="2" t="str">
        <f>IFERROR(__xludf.DUMMYFUNCTION("GOOGLETRANSLATE(A6662, ""en"", ""mt"")"),"Min huma l-eqdem villains mis-serje Doctor Who?")</f>
        <v>Min huma l-eqdem villains mis-serje Doctor Who?</v>
      </c>
    </row>
    <row r="6663" ht="15.75" customHeight="1">
      <c r="A6663" s="2" t="s">
        <v>6663</v>
      </c>
      <c r="B6663" s="2" t="str">
        <f>IFERROR(__xludf.DUMMYFUNCTION("GOOGLETRANSLATE(A6663, ""en"", ""mt"")"),"Liema hija waħda mill-karatteristiċi tal-park li jinsabu fit-Tramuntana ta 'Fresno?")</f>
        <v>Liema hija waħda mill-karatteristiċi tal-park li jinsabu fit-Tramuntana ta 'Fresno?</v>
      </c>
    </row>
    <row r="6664" ht="15.75" customHeight="1">
      <c r="A6664" s="2" t="s">
        <v>6664</v>
      </c>
      <c r="B6664" s="2" t="str">
        <f>IFERROR(__xludf.DUMMYFUNCTION("GOOGLETRANSLATE(A6664, ""en"", ""mt"")"),"suf")</f>
        <v>suf</v>
      </c>
    </row>
    <row r="6665" ht="15.75" customHeight="1">
      <c r="A6665" s="2" t="s">
        <v>6665</v>
      </c>
      <c r="B6665" s="2" t="str">
        <f>IFERROR(__xludf.DUMMYFUNCTION("GOOGLETRANSLATE(A6665, ""en"", ""mt"")"),"X'inhu t-tort għall-piżijiet fil-kura tas-saħħa fil-Kenja?")</f>
        <v>X'inhu t-tort għall-piżijiet fil-kura tas-saħħa fil-Kenja?</v>
      </c>
    </row>
    <row r="6666" ht="15.75" customHeight="1">
      <c r="A6666" s="2" t="s">
        <v>6666</v>
      </c>
      <c r="B6666" s="2" t="str">
        <f>IFERROR(__xludf.DUMMYFUNCTION("GOOGLETRANSLATE(A6666, ""en"", ""mt"")"),"X'inhuma xi proposti biex jgħaqqdu l-kampus?")</f>
        <v>X'inhuma xi proposti biex jgħaqqdu l-kampus?</v>
      </c>
    </row>
    <row r="6667" ht="15.75" customHeight="1">
      <c r="A6667" s="2" t="s">
        <v>6667</v>
      </c>
      <c r="B6667" s="2" t="str">
        <f>IFERROR(__xludf.DUMMYFUNCTION("GOOGLETRANSLATE(A6667, ""en"", ""mt"")"),"Università Santa Clara")</f>
        <v>Università Santa Clara</v>
      </c>
    </row>
    <row r="6668" ht="15.75" customHeight="1">
      <c r="A6668" s="2" t="s">
        <v>6668</v>
      </c>
      <c r="B6668" s="2" t="str">
        <f>IFERROR(__xludf.DUMMYFUNCTION("GOOGLETRANSLATE(A6668, ""en"", ""mt"")"),"F'liema proċess ġeneralment ikun iffurmat l-ossiġnu singlet?")</f>
        <v>F'liema proċess ġeneralment ikun iffurmat l-ossiġnu singlet?</v>
      </c>
    </row>
    <row r="6669" ht="15.75" customHeight="1">
      <c r="A6669" s="2" t="s">
        <v>6669</v>
      </c>
      <c r="B6669" s="2" t="str">
        <f>IFERROR(__xludf.DUMMYFUNCTION("GOOGLETRANSLATE(A6669, ""en"", ""mt"")"),"Tassazzjoni ridistributtiva")</f>
        <v>Tassazzjoni ridistributtiva</v>
      </c>
    </row>
    <row r="6670" ht="15.75" customHeight="1">
      <c r="A6670" s="2" t="s">
        <v>6670</v>
      </c>
      <c r="B6670" s="2" t="str">
        <f>IFERROR(__xludf.DUMMYFUNCTION("GOOGLETRANSLATE(A6670, ""en"", ""mt"")"),"studenti")</f>
        <v>studenti</v>
      </c>
    </row>
    <row r="6671" ht="15.75" customHeight="1">
      <c r="A6671" s="2" t="s">
        <v>6671</v>
      </c>
      <c r="B6671" s="2" t="str">
        <f>IFERROR(__xludf.DUMMYFUNCTION("GOOGLETRANSLATE(A6671, ""en"", ""mt"")"),"mużiċisti")</f>
        <v>mużiċisti</v>
      </c>
    </row>
    <row r="6672" ht="15.75" customHeight="1">
      <c r="A6672" s="2" t="s">
        <v>6672</v>
      </c>
      <c r="B6672" s="2" t="str">
        <f>IFERROR(__xludf.DUMMYFUNCTION("GOOGLETRANSLATE(A6672, ""en"", ""mt"")"),"Raġuni umana")</f>
        <v>Raġuni umana</v>
      </c>
    </row>
    <row r="6673" ht="15.75" customHeight="1">
      <c r="A6673" s="2" t="s">
        <v>6673</v>
      </c>
      <c r="B6673" s="2" t="str">
        <f>IFERROR(__xludf.DUMMYFUNCTION("GOOGLETRANSLATE(A6673, ""en"", ""mt"")"),"vot")</f>
        <v>vot</v>
      </c>
    </row>
    <row r="6674" ht="15.75" customHeight="1">
      <c r="A6674" s="2" t="s">
        <v>6674</v>
      </c>
      <c r="B6674" s="2" t="str">
        <f>IFERROR(__xludf.DUMMYFUNCTION("GOOGLETRANSLATE(A6674, ""en"", ""mt"")"),"X'se tbiddel l-inerzja rotazzjonali ta 'korp taħt l-ewwel liġi ta' mozzjoni ta 'Newton?")</f>
        <v>X'se tbiddel l-inerzja rotazzjonali ta 'korp taħt l-ewwel liġi ta' mozzjoni ta 'Newton?</v>
      </c>
    </row>
    <row r="6675" ht="15.75" customHeight="1">
      <c r="A6675" s="2" t="s">
        <v>6675</v>
      </c>
      <c r="B6675" s="2" t="str">
        <f>IFERROR(__xludf.DUMMYFUNCTION("GOOGLETRANSLATE(A6675, ""en"", ""mt"")"),"Għalliema reliġjużi u spiritwali, bħal gurus, mullahs, rabbis, ragħajja / ragħajja taż-żgħażagħ u lamas, jistgħu jgħallmu testi reliġjużi bħall-Quran, Torah jew il-Bibbja.")</f>
        <v>Għalliema reliġjużi u spiritwali, bħal gurus, mullahs, rabbis, ragħajja / ragħajja taż-żgħażagħ u lamas, jistgħu jgħallmu testi reliġjużi bħall-Quran, Torah jew il-Bibbja.</v>
      </c>
    </row>
    <row r="6676" ht="15.75" customHeight="1">
      <c r="A6676" s="2" t="s">
        <v>6676</v>
      </c>
      <c r="B6676" s="2" t="str">
        <f>IFERROR(__xludf.DUMMYFUNCTION("GOOGLETRANSLATE(A6676, ""en"", ""mt"")"),"Liema skultura C1622-23 minn Bernini huma inklużi fil-kollezzjoni tal-iskultura?")</f>
        <v>Liema skultura C1622-23 minn Bernini huma inklużi fil-kollezzjoni tal-iskultura?</v>
      </c>
    </row>
    <row r="6677" ht="15.75" customHeight="1">
      <c r="A6677" s="2" t="s">
        <v>6677</v>
      </c>
      <c r="B6677" s="2" t="str">
        <f>IFERROR(__xludf.DUMMYFUNCTION("GOOGLETRANSLATE(A6677, ""en"", ""mt"")"),"Fl-1872, il-Ferrovija Ċentrali tal-Paċifiku stabbilixxiet stazzjon qrib l-Easterby - minn issa razzett tal-qamħ immensament produttiv - għal-linja l-ġdida tagħha tan-Nofsinhar tal-Paċifiku. Hekk kien hemm maħżen madwar l-istazzjon u l-maħżen kiber il-belt"&amp;" ta 'Fresno Station, aktar tard imsejjaħ Fresno. Ħafna residenti ta 'Millerton, imfassla mill-konvenjenza tal-ferrovija u inkwetati dwar l-għargħar, marru jgħixu fil-komunità l-ġdida. Fresno sar belt inkorporata fl-1885. Sal-1931 il-Kumpanija ta 'Trazzjon"&amp;"i Fresno operat 47 streetcars fuq 49 mil ta' korsa.")</f>
        <v>Fl-1872, il-Ferrovija Ċentrali tal-Paċifiku stabbilixxiet stazzjon qrib l-Easterby - minn issa razzett tal-qamħ immensament produttiv - għal-linja l-ġdida tagħha tan-Nofsinhar tal-Paċifiku. Hekk kien hemm maħżen madwar l-istazzjon u l-maħżen kiber il-belt ta 'Fresno Station, aktar tard imsejjaħ Fresno. Ħafna residenti ta 'Millerton, imfassla mill-konvenjenza tal-ferrovija u inkwetati dwar l-għargħar, marru jgħixu fil-komunità l-ġdida. Fresno sar belt inkorporata fl-1885. Sal-1931 il-Kumpanija ta 'Trazzjoni Fresno operat 47 streetcars fuq 49 mil ta' korsa.</v>
      </c>
    </row>
    <row r="6678" ht="15.75" customHeight="1">
      <c r="A6678" s="2" t="s">
        <v>6678</v>
      </c>
      <c r="B6678" s="2" t="str">
        <f>IFERROR(__xludf.DUMMYFUNCTION("GOOGLETRANSLATE(A6678, ""en"", ""mt"")"),"Ċeramika Ċiniża u Ġappuniża")</f>
        <v>Ċeramika Ċiniża u Ġappuniża</v>
      </c>
    </row>
    <row r="6679" ht="15.75" customHeight="1">
      <c r="A6679" s="2" t="s">
        <v>6679</v>
      </c>
      <c r="B6679" s="2" t="str">
        <f>IFERROR(__xludf.DUMMYFUNCTION("GOOGLETRANSLATE(A6679, ""en"", ""mt"")"),"Newcastle serva bħala fortizza tat-tramuntana għal liema pajjiż matul il-Medju Evu?")</f>
        <v>Newcastle serva bħala fortizza tat-tramuntana għal liema pajjiż matul il-Medju Evu?</v>
      </c>
    </row>
    <row r="6680" ht="15.75" customHeight="1">
      <c r="A6680" s="2" t="s">
        <v>6680</v>
      </c>
      <c r="B6680" s="2" t="str">
        <f>IFERROR(__xludf.DUMMYFUNCTION("GOOGLETRANSLATE(A6680, ""en"", ""mt"")"),"L-elezzjoni pproduċiet gvern ta 'SNP b'maġġoranza, u għamel dan l-ewwel darba fil-Parlament Skoċċiż fejn partit ikkmanda maġġoranza parlamentari. L-SNP ħa 16-il siġġu mix-xogħol, b'ħafna mill-figuri ewlenin tagħhom ma rritornawx lill-Parlament, għalkemm i"&amp;"l-Mexxej Laburista Iain Gray żamm Lvant Lothian bi 151 vot. L-SNP ħa tmien siġġijiet oħra mid-Demokratiċi Liberali u siġġu wieħed mill-Konservattivi. Il-maġġoranza ġenerali tal-SNP fissret li kien hemm biżżejjed appoġġ fil-Parlament Skoċċiż biex iżomm ref"&amp;"erendum dwar l-indipendenza Skoċċiża.")</f>
        <v>L-elezzjoni pproduċiet gvern ta 'SNP b'maġġoranza, u għamel dan l-ewwel darba fil-Parlament Skoċċiż fejn partit ikkmanda maġġoranza parlamentari. L-SNP ħa 16-il siġġu mix-xogħol, b'ħafna mill-figuri ewlenin tagħhom ma rritornawx lill-Parlament, għalkemm il-Mexxej Laburista Iain Gray żamm Lvant Lothian bi 151 vot. L-SNP ħa tmien siġġijiet oħra mid-Demokratiċi Liberali u siġġu wieħed mill-Konservattivi. Il-maġġoranza ġenerali tal-SNP fissret li kien hemm biżżejjed appoġġ fil-Parlament Skoċċiż biex iżomm referendum dwar l-indipendenza Skoċċiża.</v>
      </c>
    </row>
    <row r="6681" ht="15.75" customHeight="1">
      <c r="A6681" s="2" t="s">
        <v>6681</v>
      </c>
      <c r="B6681" s="2" t="str">
        <f>IFERROR(__xludf.DUMMYFUNCTION("GOOGLETRANSLATE(A6681, ""en"", ""mt"")"),"Bħal sponoż u cnidarians, ctenophores għandhom żewġ saffi ewlenin ta 'ċelloli li sandwich saff tan-nofs ta' materjal li jixbah il-ġelatina, li jissejjaħ il-mesoglea f'Cnidarians u ctenophores; Annimali aktar kumplessi għandhom tliet saffi taċ-ċelloli ewle"&amp;"nin u l-ebda saff intermedju simili tal-ġelatina. Għalhekk ctenophores u cnidarians tradizzjonalment ġew ittikkettjati diplobastic, flimkien ma 'sponoż. Kemm ctenophores kif ukoll cnidarians għandhom tip ta 'muskolu li, f'annimali aktar kumplessi, joħroġ "&amp;"mis-saff taċ-ċellula tan-nofs, u bħala riżultat xi kotba ta' test riċenti jikklassifikaw Ctenophores bħala triploblastic, filwaqt li oħrajn għadhom iqisuhom bħala diploBlastic.")</f>
        <v>Bħal sponoż u cnidarians, ctenophores għandhom żewġ saffi ewlenin ta 'ċelloli li sandwich saff tan-nofs ta' materjal li jixbah il-ġelatina, li jissejjaħ il-mesoglea f'Cnidarians u ctenophores; Annimali aktar kumplessi għandhom tliet saffi taċ-ċelloli ewlenin u l-ebda saff intermedju simili tal-ġelatina. Għalhekk ctenophores u cnidarians tradizzjonalment ġew ittikkettjati diplobastic, flimkien ma 'sponoż. Kemm ctenophores kif ukoll cnidarians għandhom tip ta 'muskolu li, f'annimali aktar kumplessi, joħroġ mis-saff taċ-ċellula tan-nofs, u bħala riżultat xi kotba ta' test riċenti jikklassifikaw Ctenophores bħala triploblastic, filwaqt li oħrajn għadhom iqisuhom bħala diploBlastic.</v>
      </c>
    </row>
    <row r="6682" ht="15.75" customHeight="1">
      <c r="A6682" s="2" t="s">
        <v>6682</v>
      </c>
      <c r="B6682" s="2" t="str">
        <f>IFERROR(__xludf.DUMMYFUNCTION("GOOGLETRANSLATE(A6682, ""en"", ""mt"")"),"darbtejn daqs")</f>
        <v>darbtejn daqs</v>
      </c>
    </row>
    <row r="6683" ht="15.75" customHeight="1">
      <c r="A6683" s="2" t="s">
        <v>6683</v>
      </c>
      <c r="B6683" s="2" t="str">
        <f>IFERROR(__xludf.DUMMYFUNCTION("GOOGLETRANSLATE(A6683, ""en"", ""mt"")"),"mod wieħed")</f>
        <v>mod wieħed</v>
      </c>
    </row>
    <row r="6684" ht="15.75" customHeight="1">
      <c r="A6684" s="2" t="s">
        <v>6684</v>
      </c>
      <c r="B6684" s="2" t="str">
        <f>IFERROR(__xludf.DUMMYFUNCTION("GOOGLETRANSLATE(A6684, ""en"", ""mt"")"),"X'tipi ta 'organizzazzjonijiet qegħdin jonqsu fl-Istati Uniti li jaffettwa ħażin il-mobilità ekonomika?")</f>
        <v>X'tipi ta 'organizzazzjonijiet qegħdin jonqsu fl-Istati Uniti li jaffettwa ħażin il-mobilità ekonomika?</v>
      </c>
    </row>
    <row r="6685" ht="15.75" customHeight="1">
      <c r="A6685" s="2" t="s">
        <v>6685</v>
      </c>
      <c r="B6685" s="2" t="str">
        <f>IFERROR(__xludf.DUMMYFUNCTION("GOOGLETRANSLATE(A6685, ""en"", ""mt"")"),"Liema Ġermaniżi jistgħu jifhmu l-lingwa użata li Luther?")</f>
        <v>Liema Ġermaniżi jistgħu jifhmu l-lingwa użata li Luther?</v>
      </c>
    </row>
    <row r="6686" ht="15.75" customHeight="1">
      <c r="A6686" s="2" t="s">
        <v>6686</v>
      </c>
      <c r="B6686" s="2" t="str">
        <f>IFERROR(__xludf.DUMMYFUNCTION("GOOGLETRANSLATE(A6686, ""en"", ""mt"")"),"L-aħħar massimu glaċjali")</f>
        <v>L-aħħar massimu glaċjali</v>
      </c>
    </row>
    <row r="6687" ht="15.75" customHeight="1">
      <c r="A6687" s="2" t="s">
        <v>6687</v>
      </c>
      <c r="B6687" s="2" t="str">
        <f>IFERROR(__xludf.DUMMYFUNCTION("GOOGLETRANSLATE(A6687, ""en"", ""mt"")"),"Mozzjoni kontinwa tul it-tort")</f>
        <v>Mozzjoni kontinwa tul it-tort</v>
      </c>
    </row>
    <row r="6688" ht="15.75" customHeight="1">
      <c r="A6688" s="2" t="s">
        <v>6688</v>
      </c>
      <c r="B6688" s="2" t="str">
        <f>IFERROR(__xludf.DUMMYFUNCTION("GOOGLETRANSLATE(A6688, ""en"", ""mt"")"),"Dwar il-kumplessità tal-komputazzjoni tal-algoritmi")</f>
        <v>Dwar il-kumplessità tal-komputazzjoni tal-algoritmi</v>
      </c>
    </row>
    <row r="6689" ht="15.75" customHeight="1">
      <c r="A6689" s="2" t="s">
        <v>6689</v>
      </c>
      <c r="B6689" s="2" t="str">
        <f>IFERROR(__xludf.DUMMYFUNCTION("GOOGLETRANSLATE(A6689, ""en"", ""mt"")"),"orfni")</f>
        <v>orfni</v>
      </c>
    </row>
    <row r="6690" ht="15.75" customHeight="1">
      <c r="A6690" s="2" t="s">
        <v>6690</v>
      </c>
      <c r="B6690" s="2" t="str">
        <f>IFERROR(__xludf.DUMMYFUNCTION("GOOGLETRANSLATE(A6690, ""en"", ""mt"")"),"Kien l-użu tal-isem DataNet 1 korrett")</f>
        <v>Kien l-użu tal-isem DataNet 1 korrett</v>
      </c>
    </row>
    <row r="6691" ht="15.75" customHeight="1">
      <c r="A6691" s="2" t="s">
        <v>6691</v>
      </c>
      <c r="B6691" s="2" t="str">
        <f>IFERROR(__xludf.DUMMYFUNCTION("GOOGLETRANSLATE(A6691, ""en"", ""mt"")"),"Kull stadju tal-fotosintesi")</f>
        <v>Kull stadju tal-fotosintesi</v>
      </c>
    </row>
    <row r="6692" ht="15.75" customHeight="1">
      <c r="A6692" s="2" t="s">
        <v>6692</v>
      </c>
      <c r="B6692" s="2" t="str">
        <f>IFERROR(__xludf.DUMMYFUNCTION("GOOGLETRANSLATE(A6692, ""en"", ""mt"")"),"René-Robert Cavelier, Sieur de la Salle esplora l-pajjiż ta 'Ohio kważi seklu qabel")</f>
        <v>René-Robert Cavelier, Sieur de la Salle esplora l-pajjiż ta 'Ohio kważi seklu qabel</v>
      </c>
    </row>
    <row r="6693" ht="15.75" customHeight="1">
      <c r="A6693" s="2" t="s">
        <v>6693</v>
      </c>
      <c r="B6693" s="2" t="str">
        <f>IFERROR(__xludf.DUMMYFUNCTION("GOOGLETRANSLATE(A6693, ""en"", ""mt"")"),"Victoria (imqassar bħala Vic) hija stat fix-Xlokk tal-Awstralja. Ir-Rabat huwa l-iktar stat popolat tal-Awstralja u t-tieni l-iktar stat popolat tagħha b’mod ġenerali. Il-biċċa l-kbira tal-popolazzjoni tagħha hija kkonċentrata fiż-żona li tdawwar Port Phi"&amp;"llip Bay, li tinkludi ż-żona metropolitana tal-kapitali tagħha u l-ikbar belt, Melbourne, li hija t-tieni l-akbar belt tal-Awstralja. Ġeografikament l-iżgħar stat fuq il-kontinent Awstraljan, ir-Rabat hija mdawra minn Strada Bass u Tasmanja fin-nofsinhar,"&amp;" [nota 1] New South Wales fit-tramuntana, il-Baħar Tasman lejn il-lvant, u l-Awstralja t'Isfel lejn il-punent.")</f>
        <v>Victoria (imqassar bħala Vic) hija stat fix-Xlokk tal-Awstralja. Ir-Rabat huwa l-iktar stat popolat tal-Awstralja u t-tieni l-iktar stat popolat tagħha b’mod ġenerali. Il-biċċa l-kbira tal-popolazzjoni tagħha hija kkonċentrata fiż-żona li tdawwar Port Phillip Bay, li tinkludi ż-żona metropolitana tal-kapitali tagħha u l-ikbar belt, Melbourne, li hija t-tieni l-akbar belt tal-Awstralja. Ġeografikament l-iżgħar stat fuq il-kontinent Awstraljan, ir-Rabat hija mdawra minn Strada Bass u Tasmanja fin-nofsinhar, [nota 1] New South Wales fit-tramuntana, il-Baħar Tasman lejn il-lvant, u l-Awstralja t'Isfel lejn il-punent.</v>
      </c>
    </row>
    <row r="6694" ht="15.75" customHeight="1">
      <c r="A6694" s="2" t="s">
        <v>6694</v>
      </c>
      <c r="B6694" s="2" t="str">
        <f>IFERROR(__xludf.DUMMYFUNCTION("GOOGLETRANSLATE(A6694, ""en"", ""mt"")"),"Antenna ta 'faxxa S ta' qligħ għoli")</f>
        <v>Antenna ta 'faxxa S ta' qligħ għoli</v>
      </c>
    </row>
    <row r="6695" ht="15.75" customHeight="1">
      <c r="A6695" s="2" t="s">
        <v>6695</v>
      </c>
      <c r="B6695" s="2" t="str">
        <f>IFERROR(__xludf.DUMMYFUNCTION("GOOGLETRANSLATE(A6695, ""en"", ""mt"")"),"Kemm it-trab tal-windblown iħalli s-Saħara kull sena?")</f>
        <v>Kemm it-trab tal-windblown iħalli s-Saħara kull sena?</v>
      </c>
    </row>
    <row r="6696" ht="15.75" customHeight="1">
      <c r="A6696" s="2" t="s">
        <v>6696</v>
      </c>
      <c r="B6696" s="2" t="str">
        <f>IFERROR(__xludf.DUMMYFUNCTION("GOOGLETRANSLATE(A6696, ""en"", ""mt"")"),"speċifiku")</f>
        <v>speċifiku</v>
      </c>
    </row>
    <row r="6697" ht="15.75" customHeight="1">
      <c r="A6697" s="2" t="s">
        <v>6697</v>
      </c>
      <c r="B6697" s="2" t="str">
        <f>IFERROR(__xludf.DUMMYFUNCTION("GOOGLETRANSLATE(A6697, ""en"", ""mt"")"),"Kunsill tal-Missjoni")</f>
        <v>Kunsill tal-Missjoni</v>
      </c>
    </row>
    <row r="6698" ht="15.75" customHeight="1">
      <c r="A6698" s="2" t="s">
        <v>6698</v>
      </c>
      <c r="B6698" s="2" t="str">
        <f>IFERROR(__xludf.DUMMYFUNCTION("GOOGLETRANSLATE(A6698, ""en"", ""mt"")"),"Min approva dan il-pjan?")</f>
        <v>Min approva dan il-pjan?</v>
      </c>
    </row>
    <row r="6699" ht="15.75" customHeight="1">
      <c r="A6699" s="2" t="s">
        <v>6699</v>
      </c>
      <c r="B6699" s="2" t="str">
        <f>IFERROR(__xludf.DUMMYFUNCTION("GOOGLETRANSLATE(A6699, ""en"", ""mt"")"),"X'inhu eżempju ta 'problema intermedjata ta' NP mhux magħrufa li teżisti f'P jew NP-Complete?")</f>
        <v>X'inhu eżempju ta 'problema intermedjata ta' NP mhux magħrufa li teżisti f'P jew NP-Complete?</v>
      </c>
    </row>
    <row r="6700" ht="15.75" customHeight="1">
      <c r="A6700" s="2" t="s">
        <v>6700</v>
      </c>
      <c r="B6700" s="2" t="str">
        <f>IFERROR(__xludf.DUMMYFUNCTION("GOOGLETRANSLATE(A6700, ""en"", ""mt"")"),"L-ipprogrammar bi nhar huwa pprovdut ukoll mill-11: 00 a.m. sat-3.00 p.m. Il-ġimgħa (bi waqfa ta 'siegħa f'12: 00 p.m. Lvant / Paċifiku għall-Istazzjonijiet għall-Ajru Newscasts, programmazzjoni oħra prodotti lokalment bħalma huma l-ispettakli, jew progra"&amp;"mmi sindikati) li jidhru l-veduta / l-istil ta' ħajja juru The View and the Chew u The Soap Opera Sptar Ġenerali. L-ipprogrammar tal-aħbarijiet ABC jinkludi Good Morning America mis-7.00 sad-9.00 a.m. matul il-ġimgħa (flimkien ma 'edizzjonijiet ta' siegħa"&amp;" ta 'tmiem il-ġimgħa); Edizzjonijiet ta 'bil-lejl ta' ABC World News Tonight (li l-edizzjonijiet ta 'tmiem il-ġimgħa huma kultant soġġetti għal abbrevjazzjoni jew preenzjoni minħabba telekomunikazzjoni sportivi li jinbidlu fit-timelot tal-programm), it-ta"&amp;"lk show politiku tal-Ħadd din il-ġimgħa, programmi ta' aħbarijiet bikrija ta 'l-aħbarijiet bikrija issa u l-Amerika dalgħodu u Late Nightline Newsmagazine. Late Nights jidhru l-ispettaklu talk matul il-lejl Jimmy Kimmel Live!.")</f>
        <v>L-ipprogrammar bi nhar huwa pprovdut ukoll mill-11: 00 a.m. sat-3.00 p.m. Il-ġimgħa (bi waqfa ta 'siegħa f'12: 00 p.m. Lvant / Paċifiku għall-Istazzjonijiet għall-Ajru Newscasts, programmazzjoni oħra prodotti lokalment bħalma huma l-ispettakli, jew programmi sindikati) li jidhru l-veduta / l-istil ta' ħajja juru The View and the Chew u The Soap Opera Sptar Ġenerali. L-ipprogrammar tal-aħbarijiet ABC jinkludi Good Morning America mis-7.00 sad-9.00 a.m. matul il-ġimgħa (flimkien ma 'edizzjonijiet ta' siegħa ta 'tmiem il-ġimgħa); Edizzjonijiet ta 'bil-lejl ta' ABC World News Tonight (li l-edizzjonijiet ta 'tmiem il-ġimgħa huma kultant soġġetti għal abbrevjazzjoni jew preenzjoni minħabba telekomunikazzjoni sportivi li jinbidlu fit-timelot tal-programm), it-talk show politiku tal-Ħadd din il-ġimgħa, programmi ta' aħbarijiet bikrija ta 'l-aħbarijiet bikrija issa u l-Amerika dalgħodu u Late Nightline Newsmagazine. Late Nights jidhru l-ispettaklu talk matul il-lejl Jimmy Kimmel Live!.</v>
      </c>
    </row>
    <row r="6701" ht="15.75" customHeight="1">
      <c r="A6701" s="2" t="s">
        <v>6701</v>
      </c>
      <c r="B6701" s="2" t="str">
        <f>IFERROR(__xludf.DUMMYFUNCTION("GOOGLETRANSLATE(A6701, ""en"", ""mt"")"),"inkwiet soċjali u vjolenza")</f>
        <v>inkwiet soċjali u vjolenza</v>
      </c>
    </row>
    <row r="6702" ht="15.75" customHeight="1">
      <c r="A6702" s="2" t="s">
        <v>6702</v>
      </c>
      <c r="B6702" s="2" t="str">
        <f>IFERROR(__xludf.DUMMYFUNCTION("GOOGLETRANSLATE(A6702, ""en"", ""mt"")"),"Filantropija")</f>
        <v>Filantropija</v>
      </c>
    </row>
    <row r="6703" ht="15.75" customHeight="1">
      <c r="A6703" s="2" t="s">
        <v>6703</v>
      </c>
      <c r="B6703" s="2" t="str">
        <f>IFERROR(__xludf.DUMMYFUNCTION("GOOGLETRANSLATE(A6703, ""en"", ""mt"")"),"Università tar-Ross")</f>
        <v>Università tar-Ross</v>
      </c>
    </row>
    <row r="6704" ht="15.75" customHeight="1">
      <c r="A6704" s="2" t="s">
        <v>6704</v>
      </c>
      <c r="B6704" s="2" t="str">
        <f>IFERROR(__xludf.DUMMYFUNCTION("GOOGLETRANSLATE(A6704, ""en"", ""mt"")"),"madwar $ 200 miljun")</f>
        <v>madwar $ 200 miljun</v>
      </c>
    </row>
    <row r="6705" ht="15.75" customHeight="1">
      <c r="A6705" s="2" t="s">
        <v>6705</v>
      </c>
      <c r="B6705" s="2" t="str">
        <f>IFERROR(__xludf.DUMMYFUNCTION("GOOGLETRANSLATE(A6705, ""en"", ""mt"")"),"Avveniment ewlieni")</f>
        <v>Avveniment ewlieni</v>
      </c>
    </row>
    <row r="6706" ht="15.75" customHeight="1">
      <c r="A6706" s="2" t="s">
        <v>6706</v>
      </c>
      <c r="B6706" s="2" t="str">
        <f>IFERROR(__xludf.DUMMYFUNCTION("GOOGLETRANSLATE(A6706, ""en"", ""mt"")"),"Liema mekkaniżmu jista 'jintuża biex jagħmel l-ossiġnu?")</f>
        <v>Liema mekkaniżmu jista 'jintuża biex jagħmel l-ossiġnu?</v>
      </c>
    </row>
    <row r="6707" ht="15.75" customHeight="1">
      <c r="A6707" s="2" t="s">
        <v>6707</v>
      </c>
      <c r="B6707" s="2" t="str">
        <f>IFERROR(__xludf.DUMMYFUNCTION("GOOGLETRANSLATE(A6707, ""en"", ""mt"")"),"Fejn kompliet id-dinastija tal-kanzunetta tikkawża problemi għal Kublai?")</f>
        <v>Fejn kompliet id-dinastija tal-kanzunetta tikkawża problemi għal Kublai?</v>
      </c>
    </row>
    <row r="6708" ht="15.75" customHeight="1">
      <c r="A6708" s="2" t="s">
        <v>6708</v>
      </c>
      <c r="B6708" s="2" t="str">
        <f>IFERROR(__xludf.DUMMYFUNCTION("GOOGLETRANSLATE(A6708, ""en"", ""mt"")"),"38–41 ° C.")</f>
        <v>38–41 ° C.</v>
      </c>
    </row>
    <row r="6709" ht="15.75" customHeight="1">
      <c r="A6709" s="2" t="s">
        <v>6709</v>
      </c>
      <c r="B6709" s="2" t="str">
        <f>IFERROR(__xludf.DUMMYFUNCTION("GOOGLETRANSLATE(A6709, ""en"", ""mt"")"),"Liema qasam jinvolvi l-istudju tas-sistema immuni?")</f>
        <v>Liema qasam jinvolvi l-istudju tas-sistema immuni?</v>
      </c>
    </row>
    <row r="6710" ht="15.75" customHeight="1">
      <c r="A6710" s="2" t="s">
        <v>6710</v>
      </c>
      <c r="B6710" s="2" t="str">
        <f>IFERROR(__xludf.DUMMYFUNCTION("GOOGLETRANSLATE(A6710, ""en"", ""mt"")"),"fejn il-votanti suppost kellhom jallinjaw wara l-kandidati favoriti tagħhom minflok vot sigriet")</f>
        <v>fejn il-votanti suppost kellhom jallinjaw wara l-kandidati favoriti tagħhom minflok vot sigriet</v>
      </c>
    </row>
    <row r="6711" ht="15.75" customHeight="1">
      <c r="A6711" s="2" t="s">
        <v>6711</v>
      </c>
      <c r="B6711" s="2" t="str">
        <f>IFERROR(__xludf.DUMMYFUNCTION("GOOGLETRANSLATE(A6711, ""en"", ""mt"")"),"Is-servizz tas-satellita dirett għad-dar tal-BSKYB sar disponibbli f'10 miljun djar fl-2010, l-ewwel pjattaforma tat-TV bi ħlas tal-Ewropa biex tinkiseb dak il-pass importanti. Meta kkonferma li kienet laħqet il-mira tagħha, ix-xandar qal li l-firxa tagħh"&amp;"a f'36% tad-djar fir-Renju Unit kienet tirrappreżenta udjenza ta 'aktar minn 25m persuna. Il-mira ġiet imħabbra għall-ewwel darba f'Awwissu 2004, minn dakinhar, klijenti addizzjonali ta '2.4M kienu ssottoskrivu għas-servizz dirett għad-dar ta' BSKYB. Il-k"&amp;"ummentaturi tal-midja kienu ddiskutew jekk iċ-ċifra tistax tintlaħaq hekk kif it-tkabbir fin-numri tal-abbonati x'imkien ieħor fl-Ewropa ċċattjat.")</f>
        <v>Is-servizz tas-satellita dirett għad-dar tal-BSKYB sar disponibbli f'10 miljun djar fl-2010, l-ewwel pjattaforma tat-TV bi ħlas tal-Ewropa biex tinkiseb dak il-pass importanti. Meta kkonferma li kienet laħqet il-mira tagħha, ix-xandar qal li l-firxa tagħha f'36% tad-djar fir-Renju Unit kienet tirrappreżenta udjenza ta 'aktar minn 25m persuna. Il-mira ġiet imħabbra għall-ewwel darba f'Awwissu 2004, minn dakinhar, klijenti addizzjonali ta '2.4M kienu ssottoskrivu għas-servizz dirett għad-dar ta' BSKYB. Il-kummentaturi tal-midja kienu ddiskutew jekk iċ-ċifra tistax tintlaħaq hekk kif it-tkabbir fin-numri tal-abbonati x'imkien ieħor fl-Ewropa ċċattjat.</v>
      </c>
    </row>
    <row r="6712" ht="15.75" customHeight="1">
      <c r="A6712" s="2" t="s">
        <v>6712</v>
      </c>
      <c r="B6712" s="2" t="str">
        <f>IFERROR(__xludf.DUMMYFUNCTION("GOOGLETRANSLATE(A6712, ""en"", ""mt"")"),"Wara s-sufan")</f>
        <v>Wara s-sufan</v>
      </c>
    </row>
    <row r="6713" ht="15.75" customHeight="1">
      <c r="A6713" s="2" t="s">
        <v>6713</v>
      </c>
      <c r="B6713" s="2" t="str">
        <f>IFERROR(__xludf.DUMMYFUNCTION("GOOGLETRANSLATE(A6713, ""en"", ""mt"")"),"X'inhu terminu ieħor għat-tqassir tal-avveniment tad-dħul?")</f>
        <v>X'inhu terminu ieħor għat-tqassir tal-avveniment tad-dħul?</v>
      </c>
    </row>
    <row r="6714" ht="15.75" customHeight="1">
      <c r="A6714" s="2" t="s">
        <v>6714</v>
      </c>
      <c r="B6714" s="2" t="str">
        <f>IFERROR(__xludf.DUMMYFUNCTION("GOOGLETRANSLATE(A6714, ""en"", ""mt"")"),"Silver u intarsjat bid-deheb")</f>
        <v>Silver u intarsjat bid-deheb</v>
      </c>
    </row>
    <row r="6715" ht="15.75" customHeight="1">
      <c r="A6715" s="2" t="s">
        <v>6715</v>
      </c>
      <c r="B6715" s="2" t="str">
        <f>IFERROR(__xludf.DUMMYFUNCTION("GOOGLETRANSLATE(A6715, ""en"", ""mt"")"),"lokali")</f>
        <v>lokali</v>
      </c>
    </row>
    <row r="6716" ht="15.75" customHeight="1">
      <c r="A6716" s="2" t="s">
        <v>6716</v>
      </c>
      <c r="B6716" s="2" t="str">
        <f>IFERROR(__xludf.DUMMYFUNCTION("GOOGLETRANSLATE(A6716, ""en"", ""mt"")"),"X'inhi l-iktar borra li qatt kellu Fresno?")</f>
        <v>X'inhi l-iktar borra li qatt kellu Fresno?</v>
      </c>
    </row>
    <row r="6717" ht="15.75" customHeight="1">
      <c r="A6717" s="2" t="s">
        <v>6717</v>
      </c>
      <c r="B6717" s="2" t="str">
        <f>IFERROR(__xludf.DUMMYFUNCTION("GOOGLETRANSLATE(A6717, ""en"", ""mt"")"),"L-eżekuzzjoni ta 'Müntzer,")</f>
        <v>L-eżekuzzjoni ta 'Müntzer,</v>
      </c>
    </row>
    <row r="6718" ht="15.75" customHeight="1">
      <c r="A6718" s="2" t="s">
        <v>6718</v>
      </c>
      <c r="B6718" s="2" t="str">
        <f>IFERROR(__xludf.DUMMYFUNCTION("GOOGLETRANSLATE(A6718, ""en"", ""mt"")"),"Tnaqqis tal-ħin polinomjali huwa eżempju ta 'xiex?")</f>
        <v>Tnaqqis tal-ħin polinomjali huwa eżempju ta 'xiex?</v>
      </c>
    </row>
    <row r="6719" ht="15.75" customHeight="1">
      <c r="A6719" s="2" t="s">
        <v>6719</v>
      </c>
      <c r="B6719" s="2" t="str">
        <f>IFERROR(__xludf.DUMMYFUNCTION("GOOGLETRANSLATE(A6719, ""en"", ""mt"")"),"bejn l-1621 u l-1629")</f>
        <v>bejn l-1621 u l-1629</v>
      </c>
    </row>
    <row r="6720" ht="15.75" customHeight="1">
      <c r="A6720" s="2" t="s">
        <v>6720</v>
      </c>
      <c r="B6720" s="2" t="str">
        <f>IFERROR(__xludf.DUMMYFUNCTION("GOOGLETRANSLATE(A6720, ""en"", ""mt"")"),"Daniel 8: 9–12, 23–25")</f>
        <v>Daniel 8: 9–12, 23–25</v>
      </c>
    </row>
    <row r="6721" ht="15.75" customHeight="1">
      <c r="A6721" s="2" t="s">
        <v>6721</v>
      </c>
      <c r="B6721" s="2" t="str">
        <f>IFERROR(__xludf.DUMMYFUNCTION("GOOGLETRANSLATE(A6721, ""en"", ""mt"")"),"Il-Knisja ta ’San Tumas")</f>
        <v>Il-Knisja ta ’San Tumas</v>
      </c>
    </row>
    <row r="6722" ht="15.75" customHeight="1">
      <c r="A6722" s="2" t="s">
        <v>6722</v>
      </c>
      <c r="B6722" s="2" t="str">
        <f>IFERROR(__xludf.DUMMYFUNCTION("GOOGLETRANSLATE(A6722, ""en"", ""mt"")"),"omiċidi")</f>
        <v>omiċidi</v>
      </c>
    </row>
    <row r="6723" ht="15.75" customHeight="1">
      <c r="A6723" s="2" t="s">
        <v>6723</v>
      </c>
      <c r="B6723" s="2" t="str">
        <f>IFERROR(__xludf.DUMMYFUNCTION("GOOGLETRANSLATE(A6723, ""en"", ""mt"")"),"għandu ftit pedament fil-verità")</f>
        <v>għandu ftit pedament fil-verità</v>
      </c>
    </row>
    <row r="6724" ht="15.75" customHeight="1">
      <c r="A6724" s="2" t="s">
        <v>6724</v>
      </c>
      <c r="B6724" s="2" t="str">
        <f>IFERROR(__xludf.DUMMYFUNCTION("GOOGLETRANSLATE(A6724, ""en"", ""mt"")"),"X'inhu t-terminu mogħti lill-algoritmi li jużaw bits bl-addoċċ?")</f>
        <v>X'inhu t-terminu mogħti lill-algoritmi li jużaw bits bl-addoċċ?</v>
      </c>
    </row>
    <row r="6725" ht="15.75" customHeight="1">
      <c r="A6725" s="2" t="s">
        <v>6725</v>
      </c>
      <c r="B6725" s="2" t="str">
        <f>IFERROR(__xludf.DUMMYFUNCTION("GOOGLETRANSLATE(A6725, ""en"", ""mt"")"),"31 ta 'Diċembru, 1999")</f>
        <v>31 ta 'Diċembru, 1999</v>
      </c>
    </row>
    <row r="6726" ht="15.75" customHeight="1">
      <c r="A6726" s="2" t="s">
        <v>6726</v>
      </c>
      <c r="B6726" s="2" t="str">
        <f>IFERROR(__xludf.DUMMYFUNCTION("GOOGLETRANSLATE(A6726, ""en"", ""mt"")"),"Liema xahar, jum u sena seħħet Super Bowl 50?")</f>
        <v>Liema xahar, jum u sena seħħet Super Bowl 50?</v>
      </c>
    </row>
    <row r="6727" ht="15.75" customHeight="1">
      <c r="A6727" s="2" t="s">
        <v>6727</v>
      </c>
      <c r="B6727" s="2" t="str">
        <f>IFERROR(__xludf.DUMMYFUNCTION("GOOGLETRANSLATE(A6727, ""en"", ""mt"")"),"plastidi mimlijin pigment responsabbli għall-kuluri brillanti li jidhru fil-fjuri u frott misjur")</f>
        <v>plastidi mimlijin pigment responsabbli għall-kuluri brillanti li jidhru fil-fjuri u frott misjur</v>
      </c>
    </row>
    <row r="6728" ht="15.75" customHeight="1">
      <c r="A6728" s="2" t="s">
        <v>6728</v>
      </c>
      <c r="B6728" s="2" t="str">
        <f>IFERROR(__xludf.DUMMYFUNCTION("GOOGLETRANSLATE(A6728, ""en"", ""mt"")"),"il-fluss tal-Għid")</f>
        <v>il-fluss tal-Għid</v>
      </c>
    </row>
    <row r="6729" ht="15.75" customHeight="1">
      <c r="A6729" s="2" t="s">
        <v>6729</v>
      </c>
      <c r="B6729" s="2" t="str">
        <f>IFERROR(__xludf.DUMMYFUNCTION("GOOGLETRANSLATE(A6729, ""en"", ""mt"")"),"aktar minn 40,000 lira")</f>
        <v>aktar minn 40,000 lira</v>
      </c>
    </row>
    <row r="6730" ht="15.75" customHeight="1">
      <c r="A6730" s="2" t="s">
        <v>6730</v>
      </c>
      <c r="B6730" s="2" t="str">
        <f>IFERROR(__xludf.DUMMYFUNCTION("GOOGLETRANSLATE(A6730, ""en"", ""mt"")"),"X'inhu l-isem tal-kurrikulu ewlieni tal-università?")</f>
        <v>X'inhu l-isem tal-kurrikulu ewlieni tal-università?</v>
      </c>
    </row>
    <row r="6731" ht="15.75" customHeight="1">
      <c r="A6731" s="2" t="s">
        <v>6731</v>
      </c>
      <c r="B6731" s="2" t="str">
        <f>IFERROR(__xludf.DUMMYFUNCTION("GOOGLETRANSLATE(A6731, ""en"", ""mt"")"),"Wieħed mill-oġġetti tal-aġenda tal-FIS kien li jġiegħel lin-nisa jibdew jagħmlu xiex?")</f>
        <v>Wieħed mill-oġġetti tal-aġenda tal-FIS kien li jġiegħel lin-nisa jibdew jagħmlu xiex?</v>
      </c>
    </row>
    <row r="6732" ht="15.75" customHeight="1">
      <c r="A6732" s="2" t="s">
        <v>6732</v>
      </c>
      <c r="B6732" s="2" t="str">
        <f>IFERROR(__xludf.DUMMYFUNCTION("GOOGLETRANSLATE(A6732, ""en"", ""mt"")"),"Karboxysome")</f>
        <v>Karboxysome</v>
      </c>
    </row>
    <row r="6733" ht="15.75" customHeight="1">
      <c r="A6733" s="2" t="s">
        <v>6733</v>
      </c>
      <c r="B6733" s="2" t="str">
        <f>IFERROR(__xludf.DUMMYFUNCTION("GOOGLETRANSLATE(A6733, ""en"", ""mt"")"),"X'inhi xi ħaġa li l-għalliem huma f'riskju għoli?")</f>
        <v>X'inhi xi ħaġa li l-għalliem huma f'riskju għoli?</v>
      </c>
    </row>
    <row r="6734" ht="15.75" customHeight="1">
      <c r="A6734" s="2" t="s">
        <v>6734</v>
      </c>
      <c r="B6734" s="2" t="str">
        <f>IFERROR(__xludf.DUMMYFUNCTION("GOOGLETRANSLATE(A6734, ""en"", ""mt"")"),"il-membrana doppja mitokondrijali")</f>
        <v>il-membrana doppja mitokondrijali</v>
      </c>
    </row>
    <row r="6735" ht="15.75" customHeight="1">
      <c r="A6735" s="2" t="s">
        <v>6735</v>
      </c>
      <c r="B6735" s="2" t="str">
        <f>IFERROR(__xludf.DUMMYFUNCTION("GOOGLETRANSLATE(A6735, ""en"", ""mt"")"),"Fis-snin 1890, l-Università ta 'Chicago, jibżgħu li r-riżorsi vasti tagħha jweġġgħu skejjel iżgħar billi jiġbdu studenti tajbin, affiljati ma' bosta kulleġġi u universitajiet reġjonali: Des Moines College, Kalamazoo College, Butler University, u Stetson U"&amp;"niversity. Fl-1896, l-università affiljata mal-Kulleġġ Shimer f'Monte Carroll, Illinois. Taħt it-termini tal-affiljazzjoni, l-iskejjel kienu meħtieġa jkollhom korsijiet ta 'studju komparabbli ma' dawk fl-università, biex jinnotifikaw lill-università kmien"&amp;"i dwar kwalunkwe ħatriet jew tkeċċijiet tal-fakultà kkontemplati, biex ma jagħmlu l-ebda ħatra tal-fakultà mingħajr l-approvazzjoni tal-università, u jibagħtu kopji ta 'eżamijiet għal suġġerimenti. L-Università ta ’Chicago qablet li tagħti grad lil kull a"&amp;"nzjan li jiggradwa minn skola affiljata li għamlet grad ta’ A għall-erba ’snin kollha, u fuq kull gradwat ieħor li ħa tnax-il ġimgħa studju addizzjonali fl-Università ta’ Chicago. Student jew membru tal-fakultà ta 'skola affiljata kien intitolat għal tagħ"&amp;"lim b'xejn fl-Università ta' Chicago, u studenti ta 'Chicago kienu eliġibbli biex jattendu skola affiljata fuq l-istess termini u jirċievu kreditu għax-xogħol tagħhom. L-Università ta ’Chicago qablet ukoll li tipprovdi skejjel affiljati bi kotba u apparat"&amp;" xjentifiku u provvisti bi spejjeż; Għalliema speċjali u letturi mingħajr spejjeż ħlief spejjeż tal-ivvjaġġar; u kopja ta 'kull ktieb u ġurnal ippubblikat mill-University of Chicago Press bla ħlas. Il-ftehim ipprovda li kwalunkwe parti tista 'tittermina l"&amp;"-affiljazzjoni fuq avviż xieraq. Bosta professuri tal-Università ta ’Chicago ma qalux il-programm, peress li kienu jinvolvu xogħol addizzjonali mhux ikkumpensat min-naħa tagħhom, u jemmnu li rħas ir-reputazzjoni akkademika tal-università. Il-programm għad"&amp;"da fl-istorja sal-1910.")</f>
        <v>Fis-snin 1890, l-Università ta 'Chicago, jibżgħu li r-riżorsi vasti tagħha jweġġgħu skejjel iżgħar billi jiġbdu studenti tajbin, affiljati ma' bosta kulleġġi u universitajiet reġjonali: Des Moines College, Kalamazoo College, Butler University, u Stetson University. Fl-1896, l-università affiljata mal-Kulleġġ Shimer f'Monte Carroll, Illinois. Taħt it-termini tal-affiljazzjoni, l-iskejjel kienu meħtieġa jkollhom korsijiet ta 'studju komparabbli ma' dawk fl-università, biex jinnotifikaw lill-università kmieni dwar kwalunkwe ħatriet jew tkeċċijiet tal-fakultà kkontemplati, biex ma jagħmlu l-ebda ħatra tal-fakultà mingħajr l-approvazzjoni tal-università, u jibagħtu kopji ta 'eżamijiet għal suġġerimenti. L-Università ta ’Chicago qablet li tagħti grad lil kull anzjan li jiggradwa minn skola affiljata li għamlet grad ta’ A għall-erba ’snin kollha, u fuq kull gradwat ieħor li ħa tnax-il ġimgħa studju addizzjonali fl-Università ta’ Chicago. Student jew membru tal-fakultà ta 'skola affiljata kien intitolat għal tagħlim b'xejn fl-Università ta' Chicago, u studenti ta 'Chicago kienu eliġibbli biex jattendu skola affiljata fuq l-istess termini u jirċievu kreditu għax-xogħol tagħhom. L-Università ta ’Chicago qablet ukoll li tipprovdi skejjel affiljati bi kotba u apparat xjentifiku u provvisti bi spejjeż; Għalliema speċjali u letturi mingħajr spejjeż ħlief spejjeż tal-ivvjaġġar; u kopja ta 'kull ktieb u ġurnal ippubblikat mill-University of Chicago Press bla ħlas. Il-ftehim ipprovda li kwalunkwe parti tista 'tittermina l-affiljazzjoni fuq avviż xieraq. Bosta professuri tal-Università ta ’Chicago ma qalux il-programm, peress li kienu jinvolvu xogħol addizzjonali mhux ikkumpensat min-naħa tagħhom, u jemmnu li rħas ir-reputazzjoni akkademika tal-università. Il-programm għadda fl-istorja sal-1910.</v>
      </c>
    </row>
    <row r="6736" ht="15.75" customHeight="1">
      <c r="A6736" s="2" t="s">
        <v>6736</v>
      </c>
      <c r="B6736" s="2" t="str">
        <f>IFERROR(__xludf.DUMMYFUNCTION("GOOGLETRANSLATE(A6736, ""en"", ""mt"")"),"X’għamel l-editt għal Huguenots fi Franza?")</f>
        <v>X’għamel l-editt għal Huguenots fi Franza?</v>
      </c>
    </row>
    <row r="6737" ht="15.75" customHeight="1">
      <c r="A6737" s="2" t="s">
        <v>6737</v>
      </c>
      <c r="B6737" s="2" t="str">
        <f>IFERROR(__xludf.DUMMYFUNCTION("GOOGLETRANSLATE(A6737, ""en"", ""mt"")"),"F'liema każ ingħataw il-vjeġġi tal-viġilanti Franċiżi ta 'frawli Spanjoli?")</f>
        <v>F'liema każ ingħataw il-vjeġġi tal-viġilanti Franċiżi ta 'frawli Spanjoli?</v>
      </c>
    </row>
    <row r="6738" ht="15.75" customHeight="1">
      <c r="A6738" s="2" t="s">
        <v>6738</v>
      </c>
      <c r="B6738" s="2" t="str">
        <f>IFERROR(__xludf.DUMMYFUNCTION("GOOGLETRANSLATE(A6738, ""en"", ""mt"")"),"Is-sopravivenza hija fil-qalba ta 'liema kunċett għall-ħaddiema?")</f>
        <v>Is-sopravivenza hija fil-qalba ta 'liema kunċett għall-ħaddiema?</v>
      </c>
    </row>
    <row r="6739" ht="15.75" customHeight="1">
      <c r="A6739" s="2" t="s">
        <v>6739</v>
      </c>
      <c r="B6739" s="2" t="str">
        <f>IFERROR(__xludf.DUMMYFUNCTION("GOOGLETRANSLATE(A6739, ""en"", ""mt"")"),"Espansjoni termali")</f>
        <v>Espansjoni termali</v>
      </c>
    </row>
    <row r="6740" ht="15.75" customHeight="1">
      <c r="A6740" s="2" t="s">
        <v>6740</v>
      </c>
      <c r="B6740" s="2" t="str">
        <f>IFERROR(__xludf.DUMMYFUNCTION("GOOGLETRANSLATE(A6740, ""en"", ""mt"")"),"L-UMC jappoġġja l-finanzjament federali għar-riċerka dwar l-embrijuni maħluqa għall-IVF li jibqgħu wara li l-isforzi prokreattivi waqfu, jekk l-embrijuni ġew ipprovduti għar-riċerka minflok ma jinqerdu, ma kinux miksuba bil-bejgħ, u dawk li jagħtu d-donaz"&amp;"zjoni kienu taw il-kunsens infurmat minn qabel għar-riċerka skopijiet. L-UMC tinsab f '""oppożizzjoni għall-ħolqien ta' embrijuni għall-fini tar-riċerka"" bħala ""embrijun uman, anke fl-ewwel stadji tiegħu, jikkmanda r-reverenza tagħna."" Huwa jappoġġja r"&amp;"iċerka fuq ċelloli staminali miġbura minn kurduni umbilikali u ċelloli staminali adulti, u jiddikjara li hemm ""ftit mistoqsijiet morali"" mqajma minn din il-kwistjoni.")</f>
        <v>L-UMC jappoġġja l-finanzjament federali għar-riċerka dwar l-embrijuni maħluqa għall-IVF li jibqgħu wara li l-isforzi prokreattivi waqfu, jekk l-embrijuni ġew ipprovduti għar-riċerka minflok ma jinqerdu, ma kinux miksuba bil-bejgħ, u dawk li jagħtu d-donazzjoni kienu taw il-kunsens infurmat minn qabel għar-riċerka skopijiet. L-UMC tinsab f '"oppożizzjoni għall-ħolqien ta' embrijuni għall-fini tar-riċerka" bħala "embrijun uman, anke fl-ewwel stadji tiegħu, jikkmanda r-reverenza tagħna." Huwa jappoġġja riċerka fuq ċelloli staminali miġbura minn kurduni umbilikali u ċelloli staminali adulti, u jiddikjara li hemm "ftit mistoqsijiet morali" mqajma minn din il-kwistjoni.</v>
      </c>
    </row>
    <row r="6741" ht="15.75" customHeight="1">
      <c r="A6741" s="2" t="s">
        <v>6741</v>
      </c>
      <c r="B6741" s="2" t="str">
        <f>IFERROR(__xludf.DUMMYFUNCTION("GOOGLETRANSLATE(A6741, ""en"", ""mt"")"),"Tittrasforma")</f>
        <v>Tittrasforma</v>
      </c>
    </row>
    <row r="6742" ht="15.75" customHeight="1">
      <c r="A6742" s="2" t="s">
        <v>6742</v>
      </c>
      <c r="B6742" s="2" t="str">
        <f>IFERROR(__xludf.DUMMYFUNCTION("GOOGLETRANSLATE(A6742, ""en"", ""mt"")"),"F’Settembru 1760, u qabel ma faqqgħet xi ostilitajiet, il-Gvernatur Vaudreuil innegozja minn Montreal a kapitolazzjoni mal-Ġeneral Amherst. Amherst ingħatat it-talba ta 'Vaudreuil li kull resident Franċiż li għażel li jibqa' fil-kolonja jingħata l-libertà"&amp;" li jkompli jadura fit-tradizzjoni Kattolika Rumana tagħhom, kompla s-sjieda tal-propjetà tagħhom, u d-dritt li jibqgħu mhux disturbati fi djarhom. Il-Brittaniċi pprovdew trattament mediku għas-suldati Franċiżi morda u midruba u truppi regolari Franċiżi ġ"&amp;"ew mibgħuta lura lejn Franza abbord il-vapuri Ingliżi bi ftehim li ma kellhomx iservu mill-ġdid fil-gwerra preżenti.")</f>
        <v>F’Settembru 1760, u qabel ma faqqgħet xi ostilitajiet, il-Gvernatur Vaudreuil innegozja minn Montreal a kapitolazzjoni mal-Ġeneral Amherst. Amherst ingħatat it-talba ta 'Vaudreuil li kull resident Franċiż li għażel li jibqa' fil-kolonja jingħata l-libertà li jkompli jadura fit-tradizzjoni Kattolika Rumana tagħhom, kompla s-sjieda tal-propjetà tagħhom, u d-dritt li jibqgħu mhux disturbati fi djarhom. Il-Brittaniċi pprovdew trattament mediku għas-suldati Franċiżi morda u midruba u truppi regolari Franċiżi ġew mibgħuta lura lejn Franza abbord il-vapuri Ingliżi bi ftehim li ma kellhomx iservu mill-ġdid fil-gwerra preżenti.</v>
      </c>
    </row>
    <row r="6743" ht="15.75" customHeight="1">
      <c r="A6743" s="2" t="s">
        <v>6743</v>
      </c>
      <c r="B6743" s="2" t="str">
        <f>IFERROR(__xludf.DUMMYFUNCTION("GOOGLETRANSLATE(A6743, ""en"", ""mt"")"),"Grad ta 'Baċellerat Post-Sekondarju")</f>
        <v>Grad ta 'Baċellerat Post-Sekondarju</v>
      </c>
    </row>
    <row r="6744" ht="15.75" customHeight="1">
      <c r="A6744" s="2" t="s">
        <v>6744</v>
      </c>
      <c r="B6744" s="2" t="str">
        <f>IFERROR(__xludf.DUMMYFUNCTION("GOOGLETRANSLATE(A6744, ""en"", ""mt"")"),"Liema virus Walter Reed skopra?")</f>
        <v>Liema virus Walter Reed skopra?</v>
      </c>
    </row>
    <row r="6745" ht="15.75" customHeight="1">
      <c r="A6745" s="2" t="s">
        <v>6745</v>
      </c>
      <c r="B6745" s="2" t="str">
        <f>IFERROR(__xludf.DUMMYFUNCTION("GOOGLETRANSLATE(A6745, ""en"", ""mt"")"),"Molekuli bi tliet karbonji msejħa aċidu 3-fosfogliċeriku, jew 3-PGA")</f>
        <v>Molekuli bi tliet karbonji msejħa aċidu 3-fosfogliċeriku, jew 3-PGA</v>
      </c>
    </row>
    <row r="6746" ht="15.75" customHeight="1">
      <c r="A6746" s="2" t="s">
        <v>6746</v>
      </c>
      <c r="B6746" s="2" t="str">
        <f>IFERROR(__xludf.DUMMYFUNCTION("GOOGLETRANSLATE(A6746, ""en"", ""mt"")"),"Ġunju 1862")</f>
        <v>Ġunju 1862</v>
      </c>
    </row>
    <row r="6747" ht="15.75" customHeight="1">
      <c r="A6747" s="2" t="s">
        <v>6747</v>
      </c>
      <c r="B6747" s="2" t="str">
        <f>IFERROR(__xludf.DUMMYFUNCTION("GOOGLETRANSLATE(A6747, ""en"", ""mt"")"),"X'kienet it-teorija tal-ħbieb ta 'Tesla dwar x'sar minnu?")</f>
        <v>X'kienet it-teorija tal-ħbieb ta 'Tesla dwar x'sar minnu?</v>
      </c>
    </row>
    <row r="6748" ht="15.75" customHeight="1">
      <c r="A6748" s="2" t="s">
        <v>6748</v>
      </c>
      <c r="B6748" s="2" t="str">
        <f>IFERROR(__xludf.DUMMYFUNCTION("GOOGLETRANSLATE(A6748, ""en"", ""mt"")"),"Flora commensali tista 'tbiddel liema kundizzjonijiet speċifiċi ta' l-ambjent tagħhom fil-passaġġ gastro-intestinali?")</f>
        <v>Flora commensali tista 'tbiddel liema kundizzjonijiet speċifiċi ta' l-ambjent tagħhom fil-passaġġ gastro-intestinali?</v>
      </c>
    </row>
    <row r="6749" ht="15.75" customHeight="1">
      <c r="A6749" s="2" t="s">
        <v>6749</v>
      </c>
      <c r="B6749" s="2" t="str">
        <f>IFERROR(__xludf.DUMMYFUNCTION("GOOGLETRANSLATE(A6749, ""en"", ""mt"")"),"il-lamprey u l-hagfish")</f>
        <v>il-lamprey u l-hagfish</v>
      </c>
    </row>
    <row r="6750" ht="15.75" customHeight="1">
      <c r="A6750" s="2" t="s">
        <v>6750</v>
      </c>
      <c r="B6750" s="2" t="str">
        <f>IFERROR(__xludf.DUMMYFUNCTION("GOOGLETRANSLATE(A6750, ""en"", ""mt"")"),"F'liema każ il-Qorti tal-Ġustizzja kienet tgħid li qorti Ġermaniża ma setgħetx tiċħad lil kumpanija tal-bini Olandiża d-dritt li tinforza kuntratt ibbażat fil-Ġermanja?")</f>
        <v>F'liema każ il-Qorti tal-Ġustizzja kienet tgħid li qorti Ġermaniża ma setgħetx tiċħad lil kumpanija tal-bini Olandiża d-dritt li tinforza kuntratt ibbażat fil-Ġermanja?</v>
      </c>
    </row>
    <row r="6751" ht="15.75" customHeight="1">
      <c r="A6751" s="2" t="s">
        <v>6751</v>
      </c>
      <c r="B6751" s="2" t="str">
        <f>IFERROR(__xludf.DUMMYFUNCTION("GOOGLETRANSLATE(A6751, ""en"", ""mt"")"),"torque żbilanċjat")</f>
        <v>torque żbilanċjat</v>
      </c>
    </row>
    <row r="6752" ht="15.75" customHeight="1">
      <c r="A6752" s="2" t="s">
        <v>6752</v>
      </c>
      <c r="B6752" s="2" t="str">
        <f>IFERROR(__xludf.DUMMYFUNCTION("GOOGLETRANSLATE(A6752, ""en"", ""mt"")"),"Stadji ta 'fuq finta")</f>
        <v>Stadji ta 'fuq finta</v>
      </c>
    </row>
    <row r="6753" ht="15.75" customHeight="1">
      <c r="A6753" s="2" t="s">
        <v>6753</v>
      </c>
      <c r="B6753" s="2" t="str">
        <f>IFERROR(__xludf.DUMMYFUNCTION("GOOGLETRANSLATE(A6753, ""en"", ""mt"")"),"Liema kunsilli jassenjaw kompiti lill-IPCC?")</f>
        <v>Liema kunsilli jassenjaw kompiti lill-IPCC?</v>
      </c>
    </row>
    <row r="6754" ht="15.75" customHeight="1">
      <c r="A6754" s="2" t="s">
        <v>6754</v>
      </c>
      <c r="B6754" s="2" t="str">
        <f>IFERROR(__xludf.DUMMYFUNCTION("GOOGLETRANSLATE(A6754, ""en"", ""mt"")"),"Flimkien ma 'l-ammissjoni, l-exhaust u l-kompressjoni, x'inhu avveniment fiċ-ċiklu tal-magna?")</f>
        <v>Flimkien ma 'l-ammissjoni, l-exhaust u l-kompressjoni, x'inhu avveniment fiċ-ċiklu tal-magna?</v>
      </c>
    </row>
    <row r="6755" ht="15.75" customHeight="1">
      <c r="A6755" s="2" t="s">
        <v>6755</v>
      </c>
      <c r="B6755" s="2" t="str">
        <f>IFERROR(__xludf.DUMMYFUNCTION("GOOGLETRANSLATE(A6755, ""en"", ""mt"")"),"Id-Diviżjoni Kolleġġjata l-Ġdida")</f>
        <v>Id-Diviżjoni Kolleġġjata l-Ġdida</v>
      </c>
    </row>
    <row r="6756" ht="15.75" customHeight="1">
      <c r="A6756" s="2" t="s">
        <v>6756</v>
      </c>
      <c r="B6756" s="2" t="str">
        <f>IFERROR(__xludf.DUMMYFUNCTION("GOOGLETRANSLATE(A6756, ""en"", ""mt"")"),"Flimkien mal-ġugarelli, fejn tipikament jintużaw magni tal-fwar taċ-ċilindru li joxxillaw?")</f>
        <v>Flimkien mal-ġugarelli, fejn tipikament jintużaw magni tal-fwar taċ-ċilindru li joxxillaw?</v>
      </c>
    </row>
    <row r="6757" ht="15.75" customHeight="1">
      <c r="A6757" s="2" t="s">
        <v>6757</v>
      </c>
      <c r="B6757" s="2" t="str">
        <f>IFERROR(__xludf.DUMMYFUNCTION("GOOGLETRANSLATE(A6757, ""en"", ""mt"")"),"Sekwenza stratigrafika")</f>
        <v>Sekwenza stratigrafika</v>
      </c>
    </row>
    <row r="6758" ht="15.75" customHeight="1">
      <c r="A6758" s="2" t="s">
        <v>6758</v>
      </c>
      <c r="B6758" s="2" t="str">
        <f>IFERROR(__xludf.DUMMYFUNCTION("GOOGLETRANSLATE(A6758, ""en"", ""mt"")"),"il-Baħar tat-Tramuntana fl-Olanda")</f>
        <v>il-Baħar tat-Tramuntana fl-Olanda</v>
      </c>
    </row>
    <row r="6759" ht="15.75" customHeight="1">
      <c r="A6759" s="2" t="s">
        <v>6759</v>
      </c>
      <c r="B6759" s="2" t="str">
        <f>IFERROR(__xludf.DUMMYFUNCTION("GOOGLETRANSLATE(A6759, ""en"", ""mt"")"),"stufi taċ-ċeramika")</f>
        <v>stufi taċ-ċeramika</v>
      </c>
    </row>
    <row r="6760" ht="15.75" customHeight="1">
      <c r="A6760" s="2" t="s">
        <v>6760</v>
      </c>
      <c r="B6760" s="2" t="str">
        <f>IFERROR(__xludf.DUMMYFUNCTION("GOOGLETRANSLATE(A6760, ""en"", ""mt"")"),"jissupplimentah")</f>
        <v>jissupplimentah</v>
      </c>
    </row>
    <row r="6761" ht="15.75" customHeight="1">
      <c r="A6761" s="2" t="s">
        <v>6761</v>
      </c>
      <c r="B6761" s="2" t="str">
        <f>IFERROR(__xludf.DUMMYFUNCTION("GOOGLETRANSLATE(A6761, ""en"", ""mt"")"),"Matul liema snin kienet preżenti l-pesta fil-pajjiżi Iżlamiċi?")</f>
        <v>Matul liema snin kienet preżenti l-pesta fil-pajjiżi Iżlamiċi?</v>
      </c>
    </row>
    <row r="6762" ht="15.75" customHeight="1">
      <c r="A6762" s="2" t="s">
        <v>6762</v>
      </c>
      <c r="B6762" s="2" t="str">
        <f>IFERROR(__xludf.DUMMYFUNCTION("GOOGLETRANSLATE(A6762, ""en"", ""mt"")"),"effetti elettriċi")</f>
        <v>effetti elettriċi</v>
      </c>
    </row>
    <row r="6763" ht="15.75" customHeight="1">
      <c r="A6763" s="2" t="s">
        <v>6763</v>
      </c>
      <c r="B6763" s="2" t="str">
        <f>IFERROR(__xludf.DUMMYFUNCTION("GOOGLETRANSLATE(A6763, ""en"", ""mt"")"),"il-ħorn żgħir")</f>
        <v>il-ħorn żgħir</v>
      </c>
    </row>
    <row r="6764" ht="15.75" customHeight="1">
      <c r="A6764" s="2" t="s">
        <v>6764</v>
      </c>
      <c r="B6764" s="2" t="str">
        <f>IFERROR(__xludf.DUMMYFUNCTION("GOOGLETRANSLATE(A6764, ""en"", ""mt"")"),"Jacksonville, bħall-biċċa l-kbira tal-bliet kbar fl-Istati Uniti, sofra minn effetti negattivi ta 'tifrix urban rapidu wara t-Tieni Gwerra Dinjija. Il-kostruzzjoni ta 'awtostradi wasslu lir-residenti biex imorru għal akkomodazzjoni aktar ġdida fis-subborg"&amp;"i. Wara t-Tieni Gwerra Dinjija, il-gvern tal-belt ta 'Jacksonville beda jżid l-infiq biex jiffinanzja proġetti ġodda ta' bini pubbliku fil-boom li seħħ wara l-gwerra. L-istorja tas-Sindku W. Haydon Burns ta ’Jacksonville irriżultat fil-kostruzzjoni ta’ Ci"&amp;"ty Hall, awditorju ċiviku, librerija pubblika u proġetti oħra li ħolqu sens dinamiku ta ’kburija ċivika. Madankollu, l-iżvilupp ta 'subborgi u mewġa sussegwenti ta' klassi tan-nofs ""titjira bajda"" ħallew lil Jacksonville b'popolazzjoni ferm aktar fqira "&amp;"minn qabel. Il-grupp etniku l-iktar popolat tal-belt, mhux Spanjol White, naqas minn 75.8% fl-1970 għal 55.1% sal-2010.")</f>
        <v>Jacksonville, bħall-biċċa l-kbira tal-bliet kbar fl-Istati Uniti, sofra minn effetti negattivi ta 'tifrix urban rapidu wara t-Tieni Gwerra Dinjija. Il-kostruzzjoni ta 'awtostradi wasslu lir-residenti biex imorru għal akkomodazzjoni aktar ġdida fis-subborgi. Wara t-Tieni Gwerra Dinjija, il-gvern tal-belt ta 'Jacksonville beda jżid l-infiq biex jiffinanzja proġetti ġodda ta' bini pubbliku fil-boom li seħħ wara l-gwerra. L-istorja tas-Sindku W. Haydon Burns ta ’Jacksonville irriżultat fil-kostruzzjoni ta’ City Hall, awditorju ċiviku, librerija pubblika u proġetti oħra li ħolqu sens dinamiku ta ’kburija ċivika. Madankollu, l-iżvilupp ta 'subborgi u mewġa sussegwenti ta' klassi tan-nofs "titjira bajda" ħallew lil Jacksonville b'popolazzjoni ferm aktar fqira minn qabel. Il-grupp etniku l-iktar popolat tal-belt, mhux Spanjol White, naqas minn 75.8% fl-1970 għal 55.1% sal-2010.</v>
      </c>
    </row>
    <row r="6765" ht="15.75" customHeight="1">
      <c r="A6765" s="2" t="s">
        <v>6765</v>
      </c>
      <c r="B6765" s="2" t="str">
        <f>IFERROR(__xludf.DUMMYFUNCTION("GOOGLETRANSLATE(A6765, ""en"", ""mt"")"),"1330 Vjal tal-Amerika f'Manhattan")</f>
        <v>1330 Vjal tal-Amerika f'Manhattan</v>
      </c>
    </row>
    <row r="6766" ht="15.75" customHeight="1">
      <c r="A6766" s="2" t="s">
        <v>6766</v>
      </c>
      <c r="B6766" s="2" t="str">
        <f>IFERROR(__xludf.DUMMYFUNCTION("GOOGLETRANSLATE(A6766, ""en"", ""mt"")"),"Olimpiku")</f>
        <v>Olimpiku</v>
      </c>
    </row>
    <row r="6767" ht="15.75" customHeight="1">
      <c r="A6767" s="2" t="s">
        <v>6767</v>
      </c>
      <c r="B6767" s="2" t="str">
        <f>IFERROR(__xludf.DUMMYFUNCTION("GOOGLETRANSLATE(A6767, ""en"", ""mt"")"),"Kemm passiġġier fis-sena jġorr in-netwerk ferrovjarju fi Newcastle?")</f>
        <v>Kemm passiġġier fis-sena jġorr in-netwerk ferrovjarju fi Newcastle?</v>
      </c>
    </row>
    <row r="6768" ht="15.75" customHeight="1">
      <c r="A6768" s="2" t="s">
        <v>6768</v>
      </c>
      <c r="B6768" s="2" t="str">
        <f>IFERROR(__xludf.DUMMYFUNCTION("GOOGLETRANSLATE(A6768, ""en"", ""mt"")"),"X'inhu l-isem tal-propjetà fejn sar l-avveniment tal-midja għal Super Bowl 50?")</f>
        <v>X'inhu l-isem tal-propjetà fejn sar l-avveniment tal-midja għal Super Bowl 50?</v>
      </c>
    </row>
    <row r="6769" ht="15.75" customHeight="1">
      <c r="A6769" s="2" t="s">
        <v>6769</v>
      </c>
      <c r="B6769" s="2" t="str">
        <f>IFERROR(__xludf.DUMMYFUNCTION("GOOGLETRANSLATE(A6769, ""en"", ""mt"")"),"bażi gradwali")</f>
        <v>bażi gradwali</v>
      </c>
    </row>
    <row r="6770" ht="15.75" customHeight="1">
      <c r="A6770" s="2" t="s">
        <v>6770</v>
      </c>
      <c r="B6770" s="2" t="str">
        <f>IFERROR(__xludf.DUMMYFUNCTION("GOOGLETRANSLATE(A6770, ""en"", ""mt"")"),"Il-popolazzjoni tal-far ma kinitx biżżejjed")</f>
        <v>Il-popolazzjoni tal-far ma kinitx biżżejjed</v>
      </c>
    </row>
    <row r="6771" ht="15.75" customHeight="1">
      <c r="A6771" s="2" t="s">
        <v>6771</v>
      </c>
      <c r="B6771" s="2" t="str">
        <f>IFERROR(__xludf.DUMMYFUNCTION("GOOGLETRANSLATE(A6771, ""en"", ""mt"")"),"Liema impatt militari kellu l-immigrazzjoni Huguenot fuq l-armata ta 'Frederick?")</f>
        <v>Liema impatt militari kellu l-immigrazzjoni Huguenot fuq l-armata ta 'Frederick?</v>
      </c>
    </row>
    <row r="6772" ht="15.75" customHeight="1">
      <c r="A6772" s="2" t="s">
        <v>6772</v>
      </c>
      <c r="B6772" s="2" t="str">
        <f>IFERROR(__xludf.DUMMYFUNCTION("GOOGLETRANSLATE(A6772, ""en"", ""mt"")"),"Fi Frar 2010, bi tweġiba għal kontroversji rigward talbiet fir-Raba 'Rapport ta' Valutazzjoni, ħames xjenzati dwar il-klima - l-awturi kollha li jikkontribwixxu jew iwasslu għall-IPCC - kitbu fil-ġurnal Nature li jitolbu bidliet fl-IPCC. Huma ssuġġerew fi"&amp;"rxa ta 'għażliet organizzattivi ġodda, mill-issikkar tal-għażla ta' awturi ewlenin u kontributuri, biex jarmuha favur korp permanenti żgħir, jew saħansitra jibdlu l-proċess kollu ta 'valutazzjoni tax-xjenza dwar il-klima f'wikipedia-IPCC moderat ""ħaj"". "&amp;"Rakkomandazzjonijiet oħra inkludew li l-bord jimpjega persunal full-time u jneħħi s-sorveljanza tal-gvern mill-proċessi tiegħu biex tevita interferenza politika.")</f>
        <v>Fi Frar 2010, bi tweġiba għal kontroversji rigward talbiet fir-Raba 'Rapport ta' Valutazzjoni, ħames xjenzati dwar il-klima - l-awturi kollha li jikkontribwixxu jew iwasslu għall-IPCC - kitbu fil-ġurnal Nature li jitolbu bidliet fl-IPCC. Huma ssuġġerew firxa ta 'għażliet organizzattivi ġodda, mill-issikkar tal-għażla ta' awturi ewlenin u kontributuri, biex jarmuha favur korp permanenti żgħir, jew saħansitra jibdlu l-proċess kollu ta 'valutazzjoni tax-xjenza dwar il-klima f'wikipedia-IPCC moderat "ħaj". Rakkomandazzjonijiet oħra inkludew li l-bord jimpjega persunal full-time u jneħħi s-sorveljanza tal-gvern mill-proċessi tiegħu biex tevita interferenza politika.</v>
      </c>
    </row>
    <row r="6773" ht="15.75" customHeight="1">
      <c r="A6773" s="2" t="s">
        <v>6773</v>
      </c>
      <c r="B6773" s="2" t="str">
        <f>IFERROR(__xludf.DUMMYFUNCTION("GOOGLETRANSLATE(A6773, ""en"", ""mt"")"),"Brocard's")</f>
        <v>Brocard's</v>
      </c>
    </row>
    <row r="6774" ht="15.75" customHeight="1">
      <c r="A6774" s="2" t="s">
        <v>6774</v>
      </c>
      <c r="B6774" s="2" t="str">
        <f>IFERROR(__xludf.DUMMYFUNCTION("GOOGLETRANSLATE(A6774, ""en"", ""mt"")"),"£ 76 miljun")</f>
        <v>£ 76 miljun</v>
      </c>
    </row>
    <row r="6775" ht="15.75" customHeight="1">
      <c r="A6775" s="2" t="s">
        <v>6775</v>
      </c>
      <c r="B6775" s="2" t="str">
        <f>IFERROR(__xludf.DUMMYFUNCTION("GOOGLETRANSLATE(A6775, ""en"", ""mt"")"),"Kif jissejjaħ il-programm Super Bowl li jagħti lill-kumpaniji lokali opportunitajiet ta ’negozju għas-Super Bowl?")</f>
        <v>Kif jissejjaħ il-programm Super Bowl li jagħti lill-kumpaniji lokali opportunitajiet ta ’negozju għas-Super Bowl?</v>
      </c>
    </row>
    <row r="6776" ht="15.75" customHeight="1">
      <c r="A6776" s="2" t="s">
        <v>6776</v>
      </c>
      <c r="B6776" s="2" t="str">
        <f>IFERROR(__xludf.DUMMYFUNCTION("GOOGLETRANSLATE(A6776, ""en"", ""mt"")"),"Steam_engine")</f>
        <v>Steam_engine</v>
      </c>
    </row>
    <row r="6777" ht="15.75" customHeight="1">
      <c r="A6777" s="2" t="s">
        <v>6777</v>
      </c>
      <c r="B6777" s="2" t="str">
        <f>IFERROR(__xludf.DUMMYFUNCTION("GOOGLETRANSLATE(A6777, ""en"", ""mt"")"),"ix-Xlokk tal-Ġnien (is-sit tal- ""Boilers Brompton""),")</f>
        <v>ix-Xlokk tal-Ġnien (is-sit tal- "Boilers Brompton"),</v>
      </c>
    </row>
    <row r="6778" ht="15.75" customHeight="1">
      <c r="A6778" s="2" t="s">
        <v>6778</v>
      </c>
      <c r="B6778" s="2" t="str">
        <f>IFERROR(__xludf.DUMMYFUNCTION("GOOGLETRANSLATE(A6778, ""en"", ""mt"")"),"Strings ideali li huma bla massa, mingħajr frizzjoni, li ma jistgħux jinbdew, u li ma jistgħux")</f>
        <v>Strings ideali li huma bla massa, mingħajr frizzjoni, li ma jistgħux jinbdew, u li ma jistgħux</v>
      </c>
    </row>
    <row r="6779" ht="15.75" customHeight="1">
      <c r="A6779" s="2" t="s">
        <v>6779</v>
      </c>
      <c r="B6779" s="2" t="str">
        <f>IFERROR(__xludf.DUMMYFUNCTION("GOOGLETRANSLATE(A6779, ""en"", ""mt"")"),"X'għamlet il-bażi ta 'Bach għal kollox fuq Luther Chorales?")</f>
        <v>X'għamlet il-bażi ta 'Bach għal kollox fuq Luther Chorales?</v>
      </c>
    </row>
    <row r="6780" ht="15.75" customHeight="1">
      <c r="A6780" s="2" t="s">
        <v>6780</v>
      </c>
      <c r="B6780" s="2" t="str">
        <f>IFERROR(__xludf.DUMMYFUNCTION("GOOGLETRANSLATE(A6780, ""en"", ""mt"")"),"X'jista 'jikkontribwixxi b'mod sinifikanti għall-inugwaljanza kontinwa f'soċjetà maż-żmien?")</f>
        <v>X'jista 'jikkontribwixxi b'mod sinifikanti għall-inugwaljanza kontinwa f'soċjetà maż-żmien?</v>
      </c>
    </row>
    <row r="6781" ht="15.75" customHeight="1">
      <c r="A6781" s="2" t="s">
        <v>6781</v>
      </c>
      <c r="B6781" s="2" t="str">
        <f>IFERROR(__xludf.DUMMYFUNCTION("GOOGLETRANSLATE(A6781, ""en"", ""mt"")"),"Id-dritt li jinħolqu skejjel privati ​​fil-Ġermanja jinsab fl-Artikolu 7, il-paragrafu 4 tal-Grundgesetz u ma jistax jiġi sospiż anke fi stat ta 'emerġenza. Mhuwiex possibbli wkoll li jitneħħew dawn id-drittijiet. Din il-protezzjoni mhux tas-soltu ta 'ske"&amp;"jjel privati ​​ġiet implimentata biex tipproteġi dawn l-iskejjel mit-tieni Gleichschaltung jew avveniment simili fil-futur. Xorta, huma inqas komuni milli f'ħafna pajjiżi oħra. B'mod ġenerali, bejn l-1992 u l-2008 il-mija tal-istudenti fi skejjel bħal daw"&amp;"n fil-Ġermanja żdiedu minn 6.1% għal 7.8% (inkluż żieda minn 0.5% għal 6.1% fl-eks GDR). Perċentwali ta 'studenti fi skejjel għolja privati ​​laħqu 11.1%.")</f>
        <v>Id-dritt li jinħolqu skejjel privati ​​fil-Ġermanja jinsab fl-Artikolu 7, il-paragrafu 4 tal-Grundgesetz u ma jistax jiġi sospiż anke fi stat ta 'emerġenza. Mhuwiex possibbli wkoll li jitneħħew dawn id-drittijiet. Din il-protezzjoni mhux tas-soltu ta 'skejjel privati ​​ġiet implimentata biex tipproteġi dawn l-iskejjel mit-tieni Gleichschaltung jew avveniment simili fil-futur. Xorta, huma inqas komuni milli f'ħafna pajjiżi oħra. B'mod ġenerali, bejn l-1992 u l-2008 il-mija tal-istudenti fi skejjel bħal dawn fil-Ġermanja żdiedu minn 6.1% għal 7.8% (inkluż żieda minn 0.5% għal 6.1% fl-eks GDR). Perċentwali ta 'studenti fi skejjel għolja privati ​​laħqu 11.1%.</v>
      </c>
    </row>
    <row r="6782" ht="15.75" customHeight="1">
      <c r="A6782" s="2" t="s">
        <v>6782</v>
      </c>
      <c r="B6782" s="2" t="str">
        <f>IFERROR(__xludf.DUMMYFUNCTION("GOOGLETRANSLATE(A6782, ""en"", ""mt"")"),"tnaqqis fil-pagi")</f>
        <v>tnaqqis fil-pagi</v>
      </c>
    </row>
    <row r="6783" ht="15.75" customHeight="1">
      <c r="A6783" s="2" t="s">
        <v>6783</v>
      </c>
      <c r="B6783" s="2" t="str">
        <f>IFERROR(__xludf.DUMMYFUNCTION("GOOGLETRANSLATE(A6783, ""en"", ""mt"")"),"X'inhu mekkaniżmu li jista 'jgħin lill-pjanti jimblokkaw ir-replikazzjoni tal-virus?")</f>
        <v>X'inhu mekkaniżmu li jista 'jgħin lill-pjanti jimblokkaw ir-replikazzjoni tal-virus?</v>
      </c>
    </row>
    <row r="6784" ht="15.75" customHeight="1">
      <c r="A6784" s="2" t="s">
        <v>6784</v>
      </c>
      <c r="B6784" s="2" t="str">
        <f>IFERROR(__xludf.DUMMYFUNCTION("GOOGLETRANSLATE(A6784, ""en"", ""mt"")"),"X'jiġri mir-Riverside għal partijiet ogħla taċ-ċentru tal-belt?")</f>
        <v>X'jiġri mir-Riverside għal partijiet ogħla taċ-ċentru tal-belt?</v>
      </c>
    </row>
    <row r="6785" ht="15.75" customHeight="1">
      <c r="A6785" s="2" t="s">
        <v>6785</v>
      </c>
      <c r="B6785" s="2" t="str">
        <f>IFERROR(__xludf.DUMMYFUNCTION("GOOGLETRANSLATE(A6785, ""en"", ""mt"")"),"il-forzi fundamentali magħrufa bħalissa")</f>
        <v>il-forzi fundamentali magħrufa bħalissa</v>
      </c>
    </row>
    <row r="6786" ht="15.75" customHeight="1">
      <c r="A6786" s="2" t="s">
        <v>6786</v>
      </c>
      <c r="B6786" s="2" t="str">
        <f>IFERROR(__xludf.DUMMYFUNCTION("GOOGLETRANSLATE(A6786, ""en"", ""mt"")"),"San Ġwann")</f>
        <v>San Ġwann</v>
      </c>
    </row>
    <row r="6787" ht="15.75" customHeight="1">
      <c r="A6787" s="2" t="s">
        <v>6787</v>
      </c>
      <c r="B6787" s="2" t="str">
        <f>IFERROR(__xludf.DUMMYFUNCTION("GOOGLETRANSLATE(A6787, ""en"", ""mt"")"),"X'kien Galileo Ferraris?")</f>
        <v>X'kien Galileo Ferraris?</v>
      </c>
    </row>
    <row r="6788" ht="15.75" customHeight="1">
      <c r="A6788" s="2" t="s">
        <v>6788</v>
      </c>
      <c r="B6788" s="2" t="str">
        <f>IFERROR(__xludf.DUMMYFUNCTION("GOOGLETRANSLATE(A6788, ""en"", ""mt"")"),"ħafna drabi")</f>
        <v>ħafna drabi</v>
      </c>
    </row>
    <row r="6789" ht="15.75" customHeight="1">
      <c r="A6789" s="2" t="s">
        <v>6789</v>
      </c>
      <c r="B6789" s="2" t="str">
        <f>IFERROR(__xludf.DUMMYFUNCTION("GOOGLETRANSLATE(A6789, ""en"", ""mt"")"),"X'jiġri l-ewwel jekk l-iskadenza ta 'direttiva għall-implimentazzjoni ma tintlaħaqx?")</f>
        <v>X'jiġri l-ewwel jekk l-iskadenza ta 'direttiva għall-implimentazzjoni ma tintlaħaqx?</v>
      </c>
    </row>
    <row r="6790" ht="15.75" customHeight="1">
      <c r="A6790" s="2" t="s">
        <v>6790</v>
      </c>
      <c r="B6790" s="2" t="str">
        <f>IFERROR(__xludf.DUMMYFUNCTION("GOOGLETRANSLATE(A6790, ""en"", ""mt"")"),"Min kienet il-klassi dominanti qabel in-Normanni?")</f>
        <v>Min kienet il-klassi dominanti qabel in-Normanni?</v>
      </c>
    </row>
    <row r="6791" ht="15.75" customHeight="1">
      <c r="A6791" s="2" t="s">
        <v>6791</v>
      </c>
      <c r="B6791" s="2" t="str">
        <f>IFERROR(__xludf.DUMMYFUNCTION("GOOGLETRANSLATE(A6791, ""en"", ""mt"")"),"Liema nazzjonalità huma r-riċerkaturi Richard G. Wilkinson u Kate Pickett?")</f>
        <v>Liema nazzjonalità huma r-riċerkaturi Richard G. Wilkinson u Kate Pickett?</v>
      </c>
    </row>
    <row r="6792" ht="15.75" customHeight="1">
      <c r="A6792" s="2" t="s">
        <v>6792</v>
      </c>
      <c r="B6792" s="2" t="str">
        <f>IFERROR(__xludf.DUMMYFUNCTION("GOOGLETRANSLATE(A6792, ""en"", ""mt"")"),"Teoriji oħra tal-oriġini tal-kelma jistgħu ġeneralment jiġu kklassifikati bħala xiex?")</f>
        <v>Teoriji oħra tal-oriġini tal-kelma jistgħu ġeneralment jiġu kklassifikati bħala xiex?</v>
      </c>
    </row>
    <row r="6793" ht="15.75" customHeight="1">
      <c r="A6793" s="2" t="s">
        <v>6793</v>
      </c>
      <c r="B6793" s="2" t="str">
        <f>IFERROR(__xludf.DUMMYFUNCTION("GOOGLETRANSLATE(A6793, ""en"", ""mt"")"),"X’wassal għat-tixrid tan-nar ta ’Jacksonville fl-1901?")</f>
        <v>X’wassal għat-tixrid tan-nar ta ’Jacksonville fl-1901?</v>
      </c>
    </row>
    <row r="6794" ht="15.75" customHeight="1">
      <c r="A6794" s="2" t="s">
        <v>6794</v>
      </c>
      <c r="B6794" s="2" t="str">
        <f>IFERROR(__xludf.DUMMYFUNCTION("GOOGLETRANSLATE(A6794, ""en"", ""mt"")"),"zygote")</f>
        <v>zygote</v>
      </c>
    </row>
    <row r="6795" ht="15.75" customHeight="1">
      <c r="A6795" s="2" t="s">
        <v>6795</v>
      </c>
      <c r="B6795" s="2" t="str">
        <f>IFERROR(__xludf.DUMMYFUNCTION("GOOGLETRANSLATE(A6795, ""en"", ""mt"")"),"Min iħallas lill-ispiżjara Awstraljani talli għamlu reviżjonijiet ta 'mediċini għad-dar?")</f>
        <v>Min iħallas lill-ispiżjara Awstraljani talli għamlu reviżjonijiet ta 'mediċini għad-dar?</v>
      </c>
    </row>
    <row r="6796" ht="15.75" customHeight="1">
      <c r="A6796" s="2" t="s">
        <v>6796</v>
      </c>
      <c r="B6796" s="2" t="str">
        <f>IFERROR(__xludf.DUMMYFUNCTION("GOOGLETRANSLATE(A6796, ""en"", ""mt"")"),"Sewqan ix-xaft")</f>
        <v>Sewqan ix-xaft</v>
      </c>
    </row>
    <row r="6797" ht="15.75" customHeight="1">
      <c r="A6797" s="2" t="s">
        <v>6797</v>
      </c>
      <c r="B6797" s="2" t="str">
        <f>IFERROR(__xludf.DUMMYFUNCTION("GOOGLETRANSLATE(A6797, ""en"", ""mt"")"),"Tossiċità tal-ossiġnu għall-pulmuni u s-sistema nervuża ċentrali")</f>
        <v>Tossiċità tal-ossiġnu għall-pulmuni u s-sistema nervuża ċentrali</v>
      </c>
    </row>
    <row r="6798" ht="15.75" customHeight="1">
      <c r="A6798" s="2" t="s">
        <v>6798</v>
      </c>
      <c r="B6798" s="2" t="str">
        <f>IFERROR(__xludf.DUMMYFUNCTION("GOOGLETRANSLATE(A6798, ""en"", ""mt"")"),"Biex turi aħjar din l-idea, Bassett jiffoka l-analiżi tiegħu tar-rwol tal-mapep tas-seklu dsatax matul il- ""ġirja għall-Afrika"". Huwa jiddikjara li l-mapep ""ikkontribwew għall-Imperu billi jippromwovu, jassistu u jilleġittimizzaw l-estensjoni tal-poter"&amp;" Franċiż u Ingliż fl-Afrika tal-Punent"". Matul l-analiżi tiegħu ta 'tekniki kartografiċi tas-seklu dsatax, huwa jenfasizza l-użu ta' spazju vojt biex jindika territorju mhux magħruf jew mhux esplorat. Dan ipprovda inċentivi għall-poteri imperjali u kolon"&amp;"jali biex jiksbu ""informazzjoni biex timla spazji vojta fuq mapep kontemporanji"".")</f>
        <v>Biex turi aħjar din l-idea, Bassett jiffoka l-analiżi tiegħu tar-rwol tal-mapep tas-seklu dsatax matul il- "ġirja għall-Afrika". Huwa jiddikjara li l-mapep "ikkontribwew għall-Imperu billi jippromwovu, jassistu u jilleġittimizzaw l-estensjoni tal-poter Franċiż u Ingliż fl-Afrika tal-Punent". Matul l-analiżi tiegħu ta 'tekniki kartografiċi tas-seklu dsatax, huwa jenfasizza l-użu ta' spazju vojt biex jindika territorju mhux magħruf jew mhux esplorat. Dan ipprovda inċentivi għall-poteri imperjali u kolonjali biex jiksbu "informazzjoni biex timla spazji vojta fuq mapep kontemporanji".</v>
      </c>
    </row>
    <row r="6799" ht="15.75" customHeight="1">
      <c r="A6799" s="2" t="s">
        <v>6799</v>
      </c>
      <c r="B6799" s="2" t="str">
        <f>IFERROR(__xludf.DUMMYFUNCTION("GOOGLETRANSLATE(A6799, ""en"", ""mt"")"),"Teoloġija tas-Salib,")</f>
        <v>Teoloġija tas-Salib,</v>
      </c>
    </row>
    <row r="6800" ht="15.75" customHeight="1">
      <c r="A6800" s="2" t="s">
        <v>6800</v>
      </c>
      <c r="B6800" s="2" t="str">
        <f>IFERROR(__xludf.DUMMYFUNCTION("GOOGLETRANSLATE(A6800, ""en"", ""mt"")"),"Dak li jipproteġi l-istatocyst?")</f>
        <v>Dak li jipproteġi l-istatocyst?</v>
      </c>
    </row>
    <row r="6801" ht="15.75" customHeight="1">
      <c r="A6801" s="2" t="s">
        <v>6801</v>
      </c>
      <c r="B6801" s="2" t="str">
        <f>IFERROR(__xludf.DUMMYFUNCTION("GOOGLETRANSLATE(A6801, ""en"", ""mt"")"),"Gold Rushes")</f>
        <v>Gold Rushes</v>
      </c>
    </row>
    <row r="6802" ht="15.75" customHeight="1">
      <c r="A6802" s="2" t="s">
        <v>6802</v>
      </c>
      <c r="B6802" s="2" t="str">
        <f>IFERROR(__xludf.DUMMYFUNCTION("GOOGLETRANSLATE(A6802, ""en"", ""mt"")"),"is-siġġijiet tal-grupp ta 'ħidma")</f>
        <v>is-siġġijiet tal-grupp ta 'ħidma</v>
      </c>
    </row>
    <row r="6803" ht="15.75" customHeight="1">
      <c r="A6803" s="2" t="s">
        <v>6803</v>
      </c>
      <c r="B6803" s="2" t="str">
        <f>IFERROR(__xludf.DUMMYFUNCTION("GOOGLETRANSLATE(A6803, ""en"", ""mt"")"),"Klorofilla")</f>
        <v>Klorofilla</v>
      </c>
    </row>
    <row r="6804" ht="15.75" customHeight="1">
      <c r="A6804" s="2" t="s">
        <v>6804</v>
      </c>
      <c r="B6804" s="2" t="str">
        <f>IFERROR(__xludf.DUMMYFUNCTION("GOOGLETRANSLATE(A6804, ""en"", ""mt"")"),"A → G gradjenti ta 'deamination")</f>
        <v>A → G gradjenti ta 'deamination</v>
      </c>
    </row>
    <row r="6805" ht="15.75" customHeight="1">
      <c r="A6805" s="2" t="s">
        <v>6805</v>
      </c>
      <c r="B6805" s="2" t="str">
        <f>IFERROR(__xludf.DUMMYFUNCTION("GOOGLETRANSLATE(A6805, ""en"", ""mt"")"),"Min x'aktarx parteċipanti fil-ħolqien ta 'pjan ġenerali għall-ġestjoni finanzjarja tal-proġett tal-kostruzzjoni tal-bini?")</f>
        <v>Min x'aktarx parteċipanti fil-ħolqien ta 'pjan ġenerali għall-ġestjoni finanzjarja tal-proġett tal-kostruzzjoni tal-bini?</v>
      </c>
    </row>
    <row r="6806" ht="15.75" customHeight="1">
      <c r="A6806" s="2" t="s">
        <v>6806</v>
      </c>
      <c r="B6806" s="2" t="str">
        <f>IFERROR(__xludf.DUMMYFUNCTION("GOOGLETRANSLATE(A6806, ""en"", ""mt"")"),"Franza kif kienet differenti mill-Gran Brittanja fil-ġestjoni tal-kolonji tagħha?")</f>
        <v>Franza kif kienet differenti mill-Gran Brittanja fil-ġestjoni tal-kolonji tagħha?</v>
      </c>
    </row>
    <row r="6807" ht="15.75" customHeight="1">
      <c r="A6807" s="2" t="s">
        <v>6807</v>
      </c>
      <c r="B6807" s="2" t="str">
        <f>IFERROR(__xludf.DUMMYFUNCTION("GOOGLETRANSLATE(A6807, ""en"", ""mt"")"),"naqqas b'mod sinifikanti l-metaboliżmu tal-annimal")</f>
        <v>naqqas b'mod sinifikanti l-metaboliżmu tal-annimal</v>
      </c>
    </row>
    <row r="6808" ht="15.75" customHeight="1">
      <c r="A6808" s="2" t="s">
        <v>6808</v>
      </c>
      <c r="B6808" s="2" t="str">
        <f>IFERROR(__xludf.DUMMYFUNCTION("GOOGLETRANSLATE(A6808, ""en"", ""mt"")"),"Ir-Renu kanalizzat")</f>
        <v>Ir-Renu kanalizzat</v>
      </c>
    </row>
    <row r="6809" ht="15.75" customHeight="1">
      <c r="A6809" s="2" t="s">
        <v>6809</v>
      </c>
      <c r="B6809" s="2" t="str">
        <f>IFERROR(__xludf.DUMMYFUNCTION("GOOGLETRANSLATE(A6809, ""en"", ""mt"")"),"Kif jgħaddu l-kontijiet mill-Parlament?")</f>
        <v>Kif jgħaddu l-kontijiet mill-Parlament?</v>
      </c>
    </row>
    <row r="6810" ht="15.75" customHeight="1">
      <c r="A6810" s="2" t="s">
        <v>6810</v>
      </c>
      <c r="B6810" s="2" t="str">
        <f>IFERROR(__xludf.DUMMYFUNCTION("GOOGLETRANSLATE(A6810, ""en"", ""mt"")"),"tliet snin qabel")</f>
        <v>tliet snin qabel</v>
      </c>
    </row>
    <row r="6811" ht="15.75" customHeight="1">
      <c r="A6811" s="2" t="s">
        <v>6811</v>
      </c>
      <c r="B6811" s="2" t="str">
        <f>IFERROR(__xludf.DUMMYFUNCTION("GOOGLETRANSLATE(A6811, ""en"", ""mt"")"),"Konkwista fuq żona")</f>
        <v>Konkwista fuq żona</v>
      </c>
    </row>
    <row r="6812" ht="15.75" customHeight="1">
      <c r="A6812" s="2" t="s">
        <v>6812</v>
      </c>
      <c r="B6812" s="2" t="str">
        <f>IFERROR(__xludf.DUMMYFUNCTION("GOOGLETRANSLATE(A6812, ""en"", ""mt"")"),"Ċelloli T Vγ9 / Vδ2")</f>
        <v>Ċelloli T Vγ9 / Vδ2</v>
      </c>
    </row>
    <row r="6813" ht="15.75" customHeight="1">
      <c r="A6813" s="2" t="s">
        <v>6813</v>
      </c>
      <c r="B6813" s="2" t="str">
        <f>IFERROR(__xludf.DUMMYFUNCTION("GOOGLETRANSLATE(A6813, ""en"", ""mt"")"),"Dwar liema Super Bowl tkellem Roger Goodell?")</f>
        <v>Dwar liema Super Bowl tkellem Roger Goodell?</v>
      </c>
    </row>
    <row r="6814" ht="15.75" customHeight="1">
      <c r="A6814" s="2" t="s">
        <v>6814</v>
      </c>
      <c r="B6814" s="2" t="str">
        <f>IFERROR(__xludf.DUMMYFUNCTION("GOOGLETRANSLATE(A6814, ""en"", ""mt"")"),"Liema relay tal-qafas sostitwit u x.25")</f>
        <v>Liema relay tal-qafas sostitwit u x.25</v>
      </c>
    </row>
    <row r="6815" ht="15.75" customHeight="1">
      <c r="A6815" s="2" t="s">
        <v>6815</v>
      </c>
      <c r="B6815" s="2" t="str">
        <f>IFERROR(__xludf.DUMMYFUNCTION("GOOGLETRANSLATE(A6815, ""en"", ""mt"")"),"Ikklassifikat hawn fuq")</f>
        <v>Ikklassifikat hawn fuq</v>
      </c>
    </row>
    <row r="6816" ht="15.75" customHeight="1">
      <c r="A6816" s="2" t="s">
        <v>6816</v>
      </c>
      <c r="B6816" s="2" t="str">
        <f>IFERROR(__xludf.DUMMYFUNCTION("GOOGLETRANSLATE(A6816, ""en"", ""mt"")"),"importazzjoni maqbuda")</f>
        <v>importazzjoni maqbuda</v>
      </c>
    </row>
    <row r="6817" ht="15.75" customHeight="1">
      <c r="A6817" s="2" t="s">
        <v>6817</v>
      </c>
      <c r="B6817" s="2" t="str">
        <f>IFERROR(__xludf.DUMMYFUNCTION("GOOGLETRANSLATE(A6817, ""en"", ""mt"")"),"Intbagħat sitt reġimenti lejn Franza Ġdida taħt il-kmand tal-Baruni Dieskau fl-1755.")</f>
        <v>Intbagħat sitt reġimenti lejn Franza Ġdida taħt il-kmand tal-Baruni Dieskau fl-1755.</v>
      </c>
    </row>
    <row r="6818" ht="15.75" customHeight="1">
      <c r="A6818" s="2" t="s">
        <v>6818</v>
      </c>
      <c r="B6818" s="2" t="str">
        <f>IFERROR(__xludf.DUMMYFUNCTION("GOOGLETRANSLATE(A6818, ""en"", ""mt"")"),"Xi sottokuntrattur għandu relazzjoni kuntrattwali diretta ma 'min?")</f>
        <v>Xi sottokuntrattur għandu relazzjoni kuntrattwali diretta ma 'min?</v>
      </c>
    </row>
    <row r="6819" ht="15.75" customHeight="1">
      <c r="A6819" s="2" t="s">
        <v>6819</v>
      </c>
      <c r="B6819" s="2" t="str">
        <f>IFERROR(__xludf.DUMMYFUNCTION("GOOGLETRANSLATE(A6819, ""en"", ""mt"")"),"7 sa 10 fil-mija")</f>
        <v>7 sa 10 fil-mija</v>
      </c>
    </row>
    <row r="6820" ht="15.75" customHeight="1">
      <c r="A6820" s="2" t="s">
        <v>6820</v>
      </c>
      <c r="B6820" s="2" t="str">
        <f>IFERROR(__xludf.DUMMYFUNCTION("GOOGLETRANSLATE(A6820, ""en"", ""mt"")"),"Civil_disobedjenza")</f>
        <v>Civil_disobedjenza</v>
      </c>
    </row>
    <row r="6821" ht="15.75" customHeight="1">
      <c r="A6821" s="2" t="s">
        <v>6821</v>
      </c>
      <c r="B6821" s="2" t="str">
        <f>IFERROR(__xludf.DUMMYFUNCTION("GOOGLETRANSLATE(A6821, ""en"", ""mt"")"),"miljun")</f>
        <v>miljun</v>
      </c>
    </row>
    <row r="6822" ht="15.75" customHeight="1">
      <c r="A6822" s="2" t="s">
        <v>6822</v>
      </c>
      <c r="B6822" s="2" t="str">
        <f>IFERROR(__xludf.DUMMYFUNCTION("GOOGLETRANSLATE(A6822, ""en"", ""mt"")"),"Libertà Reliġjuża fil-Commonwealth Pollakka-Litwana")</f>
        <v>Libertà Reliġjuża fil-Commonwealth Pollakka-Litwana</v>
      </c>
    </row>
    <row r="6823" ht="15.75" customHeight="1">
      <c r="A6823" s="2" t="s">
        <v>6823</v>
      </c>
      <c r="B6823" s="2" t="str">
        <f>IFERROR(__xludf.DUMMYFUNCTION("GOOGLETRANSLATE(A6823, ""en"", ""mt"")"),"Id-Dikjarazzjoni Uffiċjali tal-Gwerra fl-1756 għall-iffirmar tat-Trattat tal-Paċi fl-1763")</f>
        <v>Id-Dikjarazzjoni Uffiċjali tal-Gwerra fl-1756 għall-iffirmar tat-Trattat tal-Paċi fl-1763</v>
      </c>
    </row>
    <row r="6824" ht="15.75" customHeight="1">
      <c r="A6824" s="2" t="s">
        <v>6824</v>
      </c>
      <c r="B6824" s="2" t="str">
        <f>IFERROR(__xludf.DUMMYFUNCTION("GOOGLETRANSLATE(A6824, ""en"", ""mt"")"),"L-isem Ingliż ""Normans"" ġej mill-kliem Franċiż Normans / Normanz, plural ta 'Normand Normant, modern Franċiż, li huwa nnifsu misluf minn Nortmann Old Low Franconian ""Northman"" jew direttament minn Old Norveġja Norðmaðr, Latinizzat differenti bħala Nor"&amp;"tmannus, Normannus, jew Nordmannus (irreġistrat fil-Latin medjevali, 9 seklu) biex ifisser ""Norseman, Viking"".")</f>
        <v>L-isem Ingliż "Normans" ġej mill-kliem Franċiż Normans / Normanz, plural ta 'Normand Normant, modern Franċiż, li huwa nnifsu misluf minn Nortmann Old Low Franconian "Northman" jew direttament minn Old Norveġja Norðmaðr, Latinizzat differenti bħala Nortmannus, Normannus, jew Nordmannus (irreġistrat fil-Latin medjevali, 9 seklu) biex ifisser "Norseman, Viking".</v>
      </c>
    </row>
    <row r="6825" ht="15.75" customHeight="1">
      <c r="A6825" s="2" t="s">
        <v>6825</v>
      </c>
      <c r="B6825" s="2" t="str">
        <f>IFERROR(__xludf.DUMMYFUNCTION("GOOGLETRANSLATE(A6825, ""en"", ""mt"")"),"1969")</f>
        <v>1969</v>
      </c>
    </row>
    <row r="6826" ht="15.75" customHeight="1">
      <c r="A6826" s="2" t="s">
        <v>6826</v>
      </c>
      <c r="B6826" s="2" t="str">
        <f>IFERROR(__xludf.DUMMYFUNCTION("GOOGLETRANSLATE(A6826, ""en"", ""mt"")"),"Minbarra l-pajjiżi ta 'oriġini u d-data tal-produzzjoni, kif huma kklassifikati t-tessuti?")</f>
        <v>Minbarra l-pajjiżi ta 'oriġini u d-data tal-produzzjoni, kif huma kklassifikati t-tessuti?</v>
      </c>
    </row>
    <row r="6827" ht="15.75" customHeight="1">
      <c r="A6827" s="2" t="s">
        <v>6827</v>
      </c>
      <c r="B6827" s="2" t="str">
        <f>IFERROR(__xludf.DUMMYFUNCTION("GOOGLETRANSLATE(A6827, ""en"", ""mt"")"),"Filwaqt li l-biċċa l-kbira tal-kloroplasti joriġinaw minn dak l-ewwel sett ta 'avvenimenti endosimbjotiċi, Paulinella Chromatophora hija eċċezzjoni li akkwistat endosymbiont cyanobacterial fotosintetiku aktar reċentement. Mhuwiex ċar jekk dak is-simbiont "&amp;"huwiex relatat mill-qrib mal-kloroplast antenat ta 'ewkarioti oħra. Billi fl-istadji bikrija ta 'l-endosimbjożi, Paulinella Chromatophora tista' toffri xi għarfien dwar kif evolvew il-kloroplasti. Iċ-ċelloli Paulinella fihom strutturi ta 'fotosintetizzazz"&amp;"joni ta' zalzett b'forma ta 'zalzett bl-aħdar imsejħa kromatofori, imnissla mis-Synechococcus Cyanobacterium. Il-kromatofori ma jistgħux jibqgħu ħajjin barra l-ospitanti tagħhom. Id-DNA tal-kromatofor huwa twil madwar miljun par bażi, li fih madwar 850 ġe"&amp;"ni li jikkodifikaw il-proteina - ferm inqas mill-ġenoma ta 'Synechococcus par ta' tliet miljun bażi, iżda ħafna akbar mill-ġenoma ta 'madwar 150,000 bażi tal-kloroplast aktar assimilati. Il-kromatofori ttrasferixxu ħafna inqas mid-DNA tagħhom għan-nukleu "&amp;"tal-ospitanti tagħhom. Madwar 0.3–0.8% tad-DNA nukleari f'Paulinella huwa mill-kromatofor, meta mqabbel ma '11 -14% mill-kloroplast fil-pjanti.")</f>
        <v>Filwaqt li l-biċċa l-kbira tal-kloroplasti joriġinaw minn dak l-ewwel sett ta 'avvenimenti endosimbjotiċi, Paulinella Chromatophora hija eċċezzjoni li akkwistat endosymbiont cyanobacterial fotosintetiku aktar reċentement. Mhuwiex ċar jekk dak is-simbiont huwiex relatat mill-qrib mal-kloroplast antenat ta 'ewkarioti oħra. Billi fl-istadji bikrija ta 'l-endosimbjożi, Paulinella Chromatophora tista' toffri xi għarfien dwar kif evolvew il-kloroplasti. Iċ-ċelloli Paulinella fihom strutturi ta 'fotosintetizzazzjoni ta' zalzett b'forma ta 'zalzett bl-aħdar imsejħa kromatofori, imnissla mis-Synechococcus Cyanobacterium. Il-kromatofori ma jistgħux jibqgħu ħajjin barra l-ospitanti tagħhom. Id-DNA tal-kromatofor huwa twil madwar miljun par bażi, li fih madwar 850 ġeni li jikkodifikaw il-proteina - ferm inqas mill-ġenoma ta 'Synechococcus par ta' tliet miljun bażi, iżda ħafna akbar mill-ġenoma ta 'madwar 150,000 bażi tal-kloroplast aktar assimilati. Il-kromatofori ttrasferixxu ħafna inqas mid-DNA tagħhom għan-nukleu tal-ospitanti tagħhom. Madwar 0.3–0.8% tad-DNA nukleari f'Paulinella huwa mill-kromatofor, meta mqabbel ma '11 -14% mill-kloroplast fil-pjanti.</v>
      </c>
    </row>
    <row r="6828" ht="15.75" customHeight="1">
      <c r="A6828" s="2" t="s">
        <v>6828</v>
      </c>
      <c r="B6828" s="2" t="str">
        <f>IFERROR(__xludf.DUMMYFUNCTION("GOOGLETRANSLATE(A6828, ""en"", ""mt"")"),"X'inhi nieqsa teorija dwar il-gravità kwantistika?")</f>
        <v>X'inhi nieqsa teorija dwar il-gravità kwantistika?</v>
      </c>
    </row>
    <row r="6829" ht="15.75" customHeight="1">
      <c r="A6829" s="2" t="s">
        <v>6829</v>
      </c>
      <c r="B6829" s="2" t="str">
        <f>IFERROR(__xludf.DUMMYFUNCTION("GOOGLETRANSLATE(A6829, ""en"", ""mt"")"),"Liema titlu taw lil Johnson Iroquois?")</f>
        <v>Liema titlu taw lil Johnson Iroquois?</v>
      </c>
    </row>
    <row r="6830" ht="15.75" customHeight="1">
      <c r="A6830" s="2" t="s">
        <v>6830</v>
      </c>
      <c r="B6830" s="2" t="str">
        <f>IFERROR(__xludf.DUMMYFUNCTION("GOOGLETRANSLATE(A6830, ""en"", ""mt"")"),"Hemm iktar nies foqra fl-Istati Uniti u fl-Ewropa tal-Punent milli fiċ-Ċina")</f>
        <v>Hemm iktar nies foqra fl-Istati Uniti u fl-Ewropa tal-Punent milli fiċ-Ċina</v>
      </c>
    </row>
    <row r="6831" ht="15.75" customHeight="1">
      <c r="A6831" s="2" t="s">
        <v>6831</v>
      </c>
      <c r="B6831" s="2" t="str">
        <f>IFERROR(__xludf.DUMMYFUNCTION("GOOGLETRANSLATE(A6831, ""en"", ""mt"")"),"id-deżert ta 'Mojave")</f>
        <v>id-deżert ta 'Mojave</v>
      </c>
    </row>
    <row r="6832" ht="15.75" customHeight="1">
      <c r="A6832" s="2" t="s">
        <v>6832</v>
      </c>
      <c r="B6832" s="2" t="str">
        <f>IFERROR(__xludf.DUMMYFUNCTION("GOOGLETRANSLATE(A6832, ""en"", ""mt"")"),"Innovazzjoni teknoloġika")</f>
        <v>Innovazzjoni teknoloġika</v>
      </c>
    </row>
    <row r="6833" ht="15.75" customHeight="1">
      <c r="A6833" s="2" t="s">
        <v>6833</v>
      </c>
      <c r="B6833" s="2" t="str">
        <f>IFERROR(__xludf.DUMMYFUNCTION("GOOGLETRANSLATE(A6833, ""en"", ""mt"")"),"illustrazzjoni tal-Għaxar Kmandamenti")</f>
        <v>illustrazzjoni tal-Għaxar Kmandamenti</v>
      </c>
    </row>
    <row r="6834" ht="15.75" customHeight="1">
      <c r="A6834" s="2" t="s">
        <v>6834</v>
      </c>
      <c r="B6834" s="2" t="str">
        <f>IFERROR(__xludf.DUMMYFUNCTION("GOOGLETRANSLATE(A6834, ""en"", ""mt"")"),"Sigurtà tal-ambjent tat-transtunar")</f>
        <v>Sigurtà tal-ambjent tat-transtunar</v>
      </c>
    </row>
    <row r="6835" ht="15.75" customHeight="1">
      <c r="A6835" s="2" t="s">
        <v>6835</v>
      </c>
      <c r="B6835" s="2" t="str">
        <f>IFERROR(__xludf.DUMMYFUNCTION("GOOGLETRANSLATE(A6835, ""en"", ""mt"")"),"Università ta ’Erfurt")</f>
        <v>Università ta ’Erfurt</v>
      </c>
    </row>
    <row r="6836" ht="15.75" customHeight="1">
      <c r="A6836" s="2" t="s">
        <v>6836</v>
      </c>
      <c r="B6836" s="2" t="str">
        <f>IFERROR(__xludf.DUMMYFUNCTION("GOOGLETRANSLATE(A6836, ""en"", ""mt"")"),"Ir-Royal Theatre")</f>
        <v>Ir-Royal Theatre</v>
      </c>
    </row>
    <row r="6837" ht="15.75" customHeight="1">
      <c r="A6837" s="2" t="s">
        <v>6837</v>
      </c>
      <c r="B6837" s="2" t="str">
        <f>IFERROR(__xludf.DUMMYFUNCTION("GOOGLETRANSLATE(A6837, ""en"", ""mt"")"),"X'inhi l-akbar skola medika fil-Polonja?")</f>
        <v>X'inhi l-akbar skola medika fil-Polonja?</v>
      </c>
    </row>
    <row r="6838" ht="15.75" customHeight="1">
      <c r="A6838" s="2" t="s">
        <v>6838</v>
      </c>
      <c r="B6838" s="2" t="str">
        <f>IFERROR(__xludf.DUMMYFUNCTION("GOOGLETRANSLATE(A6838, ""en"", ""mt"")"),"Torn isfel fl-1904")</f>
        <v>Torn isfel fl-1904</v>
      </c>
    </row>
    <row r="6839" ht="15.75" customHeight="1">
      <c r="A6839" s="2" t="s">
        <v>6839</v>
      </c>
      <c r="B6839" s="2" t="str">
        <f>IFERROR(__xludf.DUMMYFUNCTION("GOOGLETRANSLATE(A6839, ""en"", ""mt"")"),"Għaliex Tesla evitat billi taħrab minn Smiljan?")</f>
        <v>Għaliex Tesla evitat billi taħrab minn Smiljan?</v>
      </c>
    </row>
    <row r="6840" ht="15.75" customHeight="1">
      <c r="A6840" s="2" t="s">
        <v>6840</v>
      </c>
      <c r="B6840" s="2" t="str">
        <f>IFERROR(__xludf.DUMMYFUNCTION("GOOGLETRANSLATE(A6840, ""en"", ""mt"")"),"X'inhi kelma oħra għall-mantell ta 'fuq tad-dinja?")</f>
        <v>X'inhi kelma oħra għall-mantell ta 'fuq tad-dinja?</v>
      </c>
    </row>
    <row r="6841" ht="15.75" customHeight="1">
      <c r="A6841" s="2" t="s">
        <v>6841</v>
      </c>
      <c r="B6841" s="2" t="str">
        <f>IFERROR(__xludf.DUMMYFUNCTION("GOOGLETRANSLATE(A6841, ""en"", ""mt"")"),"Il-President Eġizzjan Anwar Sadat - li l-politiki tiegħu kienu jinkludu l-ftuħ tal-Eġittu għall-Investiment tal-Punent (Infitah); it-trasferiment tal-lealtà tal-Eġittu mill-Unjoni Sovjetika lejn l-Istati Uniti; U jagħmel il-paċi ma 'l-Iżrael - rilaxxat Iż"&amp;"lamisti mill-ħabs u laqgħu l-eżiljati tad-dar fl-iskambju taċitu għall-appoġġ politiku fit-taqbida tiegħu kontra x-xellugin. L- ""inkoraġġiment tal-emerġenza tal-moviment Iżlamista"" kien qal li kien ""imitat minn bosta mexxejja Musulmani oħra fis-snin li"&amp;" ġew wara."" Dan il- ""ftehim ta 'rġulija"" bejn Sadat u Iżlamisti kissru fl-1975 iżda mhux qabel l-Iżlamisti waslu biex jiddominaw kompletament l-għaqdiet ta' studenti universitarji. Sadat aktar tard ġie maqtul u ribelljoni formidabbli ġiet iffurmata fl-"&amp;"Eġittu fid-disgħinijiet. Il-gvern Franċiż ġie rrappurtat ukoll li ppromwova l-predikaturi Iżlamisti ""bit-tama li jwasslu l-enerġiji Musulmani f'żoni ta 'pjetà u karità.""")</f>
        <v>Il-President Eġizzjan Anwar Sadat - li l-politiki tiegħu kienu jinkludu l-ftuħ tal-Eġittu għall-Investiment tal-Punent (Infitah); it-trasferiment tal-lealtà tal-Eġittu mill-Unjoni Sovjetika lejn l-Istati Uniti; U jagħmel il-paċi ma 'l-Iżrael - rilaxxat Iżlamisti mill-ħabs u laqgħu l-eżiljati tad-dar fl-iskambju taċitu għall-appoġġ politiku fit-taqbida tiegħu kontra x-xellugin. L- "inkoraġġiment tal-emerġenza tal-moviment Iżlamista" kien qal li kien "imitat minn bosta mexxejja Musulmani oħra fis-snin li ġew wara." Dan il- "ftehim ta 'rġulija" bejn Sadat u Iżlamisti kissru fl-1975 iżda mhux qabel l-Iżlamisti waslu biex jiddominaw kompletament l-għaqdiet ta' studenti universitarji. Sadat aktar tard ġie maqtul u ribelljoni formidabbli ġiet iffurmata fl-Eġittu fid-disgħinijiet. Il-gvern Franċiż ġie rrappurtat ukoll li ppromwova l-predikaturi Iżlamisti "bit-tama li jwasslu l-enerġiji Musulmani f'żoni ta 'pjetà u karità."</v>
      </c>
    </row>
    <row r="6842" ht="15.75" customHeight="1">
      <c r="A6842" s="2" t="s">
        <v>6842</v>
      </c>
      <c r="B6842" s="2" t="str">
        <f>IFERROR(__xludf.DUMMYFUNCTION("GOOGLETRANSLATE(A6842, ""en"", ""mt"")"),"X'jagħmlu r-regoli dwar il-kunflitt ta 'interess li jinvolvu tobba li jiddijanjostikaw pazjenti?")</f>
        <v>X'jagħmlu r-regoli dwar il-kunflitt ta 'interess li jinvolvu tobba li jiddijanjostikaw pazjenti?</v>
      </c>
    </row>
    <row r="6843" ht="15.75" customHeight="1">
      <c r="A6843" s="2" t="s">
        <v>6843</v>
      </c>
      <c r="B6843" s="2" t="str">
        <f>IFERROR(__xludf.DUMMYFUNCTION("GOOGLETRANSLATE(A6843, ""en"", ""mt"")"),"Sistemi ta 'illuminazzjoni bbażati fuq dawl tal-ark elettriku installati ddisinjati minn Tesla u kellhom ukoll disinji għal dynamo elettriku tal-magni")</f>
        <v>Sistemi ta 'illuminazzjoni bbażati fuq dawl tal-ark elettriku installati ddisinjati minn Tesla u kellhom ukoll disinji għal dynamo elettriku tal-magni</v>
      </c>
    </row>
    <row r="6844" ht="15.75" customHeight="1">
      <c r="A6844" s="2" t="s">
        <v>6844</v>
      </c>
      <c r="B6844" s="2" t="str">
        <f>IFERROR(__xludf.DUMMYFUNCTION("GOOGLETRANSLATE(A6844, ""en"", ""mt"")"),"Is-settur tas-servizzi tal-Kenja, li jikkontribwixxi 61% tal-PDG, huwa ddominat mit-turiżmu. Is-settur tat-turiżmu wera tkabbir kostanti f'ħafna snin mill-indipendenza u sa l-aħħar tas-snin 1980 kien sar is-sors ewlieni tal-kambju barrani tal-pajjiż. It-t"&amp;"uristi, l-akbar numru li huma mill-Ġermanja u r-Renju Unit, huma attirati prinċipalment lejn il-bajjiet kostali u r-riservi tal-logħob, b’mod partikolari, il-Park Nazzjonali tal-Lvant u l-Punent Tsavo 20,808 kilometru kwadru (8,034 sq mi) fix-Xlokk. It-tu"&amp;"riżmu ra qawmien mill-ġdid sostanzjali matul l-aħħar bosta snin u huwa l-kontributur ewlieni għall-pick-up fit-tkabbir ekonomiku tal-pajjiż. It-turiżmu issa huwa l-akbar settur tal-qligħ tal-kambju barrani tal-Kenja, segwit minn fjuri, tè, u kafè. Fl-2006"&amp;" it-turiżmu ġġenera US $ 803 miljun, minn US $ 699 miljun is-sena ta ’qabel. Bħalissa, hemm ukoll bosta malls tax-xiri fil-Kenja. Barra minn hekk, hemm erba 'ktajjen ewlenin tal-ipermarket fil-Kenja.")</f>
        <v>Is-settur tas-servizzi tal-Kenja, li jikkontribwixxi 61% tal-PDG, huwa ddominat mit-turiżmu. Is-settur tat-turiżmu wera tkabbir kostanti f'ħafna snin mill-indipendenza u sa l-aħħar tas-snin 1980 kien sar is-sors ewlieni tal-kambju barrani tal-pajjiż. It-turisti, l-akbar numru li huma mill-Ġermanja u r-Renju Unit, huma attirati prinċipalment lejn il-bajjiet kostali u r-riservi tal-logħob, b’mod partikolari, il-Park Nazzjonali tal-Lvant u l-Punent Tsavo 20,808 kilometru kwadru (8,034 sq mi) fix-Xlokk. It-turiżmu ra qawmien mill-ġdid sostanzjali matul l-aħħar bosta snin u huwa l-kontributur ewlieni għall-pick-up fit-tkabbir ekonomiku tal-pajjiż. It-turiżmu issa huwa l-akbar settur tal-qligħ tal-kambju barrani tal-Kenja, segwit minn fjuri, tè, u kafè. Fl-2006 it-turiżmu ġġenera US $ 803 miljun, minn US $ 699 miljun is-sena ta ’qabel. Bħalissa, hemm ukoll bosta malls tax-xiri fil-Kenja. Barra minn hekk, hemm erba 'ktajjen ewlenin tal-ipermarket fil-Kenja.</v>
      </c>
    </row>
    <row r="6845" ht="15.75" customHeight="1">
      <c r="A6845" s="2" t="s">
        <v>6845</v>
      </c>
      <c r="B6845" s="2" t="str">
        <f>IFERROR(__xludf.DUMMYFUNCTION("GOOGLETRANSLATE(A6845, ""en"", ""mt"")"),"organiku")</f>
        <v>organiku</v>
      </c>
    </row>
    <row r="6846" ht="15.75" customHeight="1">
      <c r="A6846" s="2" t="s">
        <v>6846</v>
      </c>
      <c r="B6846" s="2" t="str">
        <f>IFERROR(__xludf.DUMMYFUNCTION("GOOGLETRANSLATE(A6846, ""en"", ""mt"")"),"Perjodu ta ’nofs il-Kambrian")</f>
        <v>Perjodu ta ’nofs il-Kambrian</v>
      </c>
    </row>
    <row r="6847" ht="15.75" customHeight="1">
      <c r="A6847" s="2" t="s">
        <v>6847</v>
      </c>
      <c r="B6847" s="2" t="str">
        <f>IFERROR(__xludf.DUMMYFUNCTION("GOOGLETRANSLATE(A6847, ""en"", ""mt"")"),"Liema effett sekondarju ta 'dawn it-tip ta' protesti huwa sfortunat?")</f>
        <v>Liema effett sekondarju ta 'dawn it-tip ta' protesti huwa sfortunat?</v>
      </c>
    </row>
    <row r="6848" ht="15.75" customHeight="1">
      <c r="A6848" s="2" t="s">
        <v>6848</v>
      </c>
      <c r="B6848" s="2" t="str">
        <f>IFERROR(__xludf.DUMMYFUNCTION("GOOGLETRANSLATE(A6848, ""en"", ""mt"")"),"il-magna tat-Turing")</f>
        <v>il-magna tat-Turing</v>
      </c>
    </row>
    <row r="6849" ht="15.75" customHeight="1">
      <c r="A6849" s="2" t="s">
        <v>6849</v>
      </c>
      <c r="B6849" s="2" t="str">
        <f>IFERROR(__xludf.DUMMYFUNCTION("GOOGLETRANSLATE(A6849, ""en"", ""mt"")"),"sjieda privata tal-mezzi ta 'produzzjoni")</f>
        <v>sjieda privata tal-mezzi ta 'produzzjoni</v>
      </c>
    </row>
    <row r="6850" ht="15.75" customHeight="1">
      <c r="A6850" s="2" t="s">
        <v>6850</v>
      </c>
      <c r="B6850" s="2" t="str">
        <f>IFERROR(__xludf.DUMMYFUNCTION("GOOGLETRANSLATE(A6850, ""en"", ""mt"")"),"fir-respirazzjoni ċellulari")</f>
        <v>fir-respirazzjoni ċellulari</v>
      </c>
    </row>
    <row r="6851" ht="15.75" customHeight="1">
      <c r="A6851" s="2" t="s">
        <v>6851</v>
      </c>
      <c r="B6851" s="2" t="str">
        <f>IFERROR(__xludf.DUMMYFUNCTION("GOOGLETRANSLATE(A6851, ""en"", ""mt"")"),"Ir-ringiela ta 'fuq tat-twieqi")</f>
        <v>Ir-ringiela ta 'fuq tat-twieqi</v>
      </c>
    </row>
    <row r="6852" ht="15.75" customHeight="1">
      <c r="A6852" s="2" t="s">
        <v>6852</v>
      </c>
      <c r="B6852" s="2" t="str">
        <f>IFERROR(__xludf.DUMMYFUNCTION("GOOGLETRANSLATE(A6852, ""en"", ""mt"")"),"membrana doppja")</f>
        <v>membrana doppja</v>
      </c>
    </row>
    <row r="6853" ht="15.75" customHeight="1">
      <c r="A6853" s="2" t="s">
        <v>6853</v>
      </c>
      <c r="B6853" s="2" t="str">
        <f>IFERROR(__xludf.DUMMYFUNCTION("GOOGLETRANSLATE(A6853, ""en"", ""mt"")"),"17")</f>
        <v>17</v>
      </c>
    </row>
    <row r="6854" ht="15.75" customHeight="1">
      <c r="A6854" s="2" t="s">
        <v>6854</v>
      </c>
      <c r="B6854" s="2" t="str">
        <f>IFERROR(__xludf.DUMMYFUNCTION("GOOGLETRANSLATE(A6854, ""en"", ""mt"")"),"Ġeografija immaġinattiva")</f>
        <v>Ġeografija immaġinattiva</v>
      </c>
    </row>
    <row r="6855" ht="15.75" customHeight="1">
      <c r="A6855" s="2" t="s">
        <v>6855</v>
      </c>
      <c r="B6855" s="2" t="str">
        <f>IFERROR(__xludf.DUMMYFUNCTION("GOOGLETRANSLATE(A6855, ""en"", ""mt"")"),"Elettriku atmosferiku")</f>
        <v>Elettriku atmosferiku</v>
      </c>
    </row>
    <row r="6856" ht="15.75" customHeight="1">
      <c r="A6856" s="2" t="s">
        <v>6856</v>
      </c>
      <c r="B6856" s="2" t="str">
        <f>IFERROR(__xludf.DUMMYFUNCTION("GOOGLETRANSLATE(A6856, ""en"", ""mt"")"),"X'inhuma magħrufa ċ-ċelloli bojod tad-demm?")</f>
        <v>X'inhuma magħrufa ċ-ċelloli bojod tad-demm?</v>
      </c>
    </row>
    <row r="6857" ht="15.75" customHeight="1">
      <c r="A6857" s="2" t="s">
        <v>6857</v>
      </c>
      <c r="B6857" s="2" t="str">
        <f>IFERROR(__xludf.DUMMYFUNCTION("GOOGLETRANSLATE(A6857, ""en"", ""mt"")"),"Ivvota biex tfittex l-istatus ta 'osservatur")</f>
        <v>Ivvota biex tfittex l-istatus ta 'osservatur</v>
      </c>
    </row>
    <row r="6858" ht="15.75" customHeight="1">
      <c r="A6858" s="2" t="s">
        <v>6858</v>
      </c>
      <c r="B6858" s="2" t="str">
        <f>IFERROR(__xludf.DUMMYFUNCTION("GOOGLETRANSLATE(A6858, ""en"", ""mt"")"),"General Electric")</f>
        <v>General Electric</v>
      </c>
    </row>
    <row r="6859" ht="15.75" customHeight="1">
      <c r="A6859" s="2" t="s">
        <v>6859</v>
      </c>
      <c r="B6859" s="2" t="str">
        <f>IFERROR(__xludf.DUMMYFUNCTION("GOOGLETRANSLATE(A6859, ""en"", ""mt"")"),"tespandi l-orizzonti")</f>
        <v>tespandi l-orizzonti</v>
      </c>
    </row>
    <row r="6860" ht="15.75" customHeight="1">
      <c r="A6860" s="2" t="s">
        <v>6860</v>
      </c>
      <c r="B6860" s="2" t="str">
        <f>IFERROR(__xludf.DUMMYFUNCTION("GOOGLETRANSLATE(A6860, ""en"", ""mt"")"),"Diversi gruppi alleati mill-Asja Ċentrali u t-tarf tal-punent tal-imperu")</f>
        <v>Diversi gruppi alleati mill-Asja Ċentrali u t-tarf tal-punent tal-imperu</v>
      </c>
    </row>
    <row r="6861" ht="15.75" customHeight="1">
      <c r="A6861" s="2" t="s">
        <v>6861</v>
      </c>
      <c r="B6861" s="2" t="str">
        <f>IFERROR(__xludf.DUMMYFUNCTION("GOOGLETRANSLATE(A6861, ""en"", ""mt"")"),"Fejn kien jinsab Evan Washburn waqt li ħabbar waqt il-logħba?")</f>
        <v>Fejn kien jinsab Evan Washburn waqt li ħabbar waqt il-logħba?</v>
      </c>
    </row>
    <row r="6862" ht="15.75" customHeight="1">
      <c r="A6862" s="2" t="s">
        <v>6862</v>
      </c>
      <c r="B6862" s="2" t="str">
        <f>IFERROR(__xludf.DUMMYFUNCTION("GOOGLETRANSLATE(A6862, ""en"", ""mt"")"),"Xi tfisser il-pressjoni politika biex testendi biex tikkumpensa għall-istaġnar tal-poter tax-xiri?")</f>
        <v>Xi tfisser il-pressjoni politika biex testendi biex tikkumpensa għall-istaġnar tal-poter tax-xiri?</v>
      </c>
    </row>
    <row r="6863" ht="15.75" customHeight="1">
      <c r="A6863" s="2" t="s">
        <v>6863</v>
      </c>
      <c r="B6863" s="2" t="str">
        <f>IFERROR(__xludf.DUMMYFUNCTION("GOOGLETRANSLATE(A6863, ""en"", ""mt"")"),"virus tad-deni isfar")</f>
        <v>virus tad-deni isfar</v>
      </c>
    </row>
    <row r="6864" ht="15.75" customHeight="1">
      <c r="A6864" s="2" t="s">
        <v>6864</v>
      </c>
      <c r="B6864" s="2" t="str">
        <f>IFERROR(__xludf.DUMMYFUNCTION("GOOGLETRANSLATE(A6864, ""en"", ""mt"")"),"patoġeni, allograft")</f>
        <v>patoġeni, allograft</v>
      </c>
    </row>
    <row r="6865" ht="15.75" customHeight="1">
      <c r="A6865" s="2" t="s">
        <v>6865</v>
      </c>
      <c r="B6865" s="2" t="str">
        <f>IFERROR(__xludf.DUMMYFUNCTION("GOOGLETRANSLATE(A6865, ""en"", ""mt"")"),"L-effetti ta 'l-inugwaljanza li r-riċerkaturi sabu jinkludu rati ogħla ta' problemi tas-saħħa u soċjali, u rati aktar baxxi ta 'oġġetti soċjali, livell aktar baxx ta' utilità ekonomika fis-soċjetà minn riżorsi ddedikati fuq konsum high-end, u anke livell "&amp;"aktar baxx ta 'tkabbir ekonomiku meta l-kapital uman huwa traskurat għal konsum high-end. Għall-aqwa 21 pajjiż industrijalizzat, billi tingħadd lil kull persuna bl-istess mod, l-istennija tal-ħajja hija inqas f'pajjiżi aktar inugwali (r = -.907). Relazzjo"&amp;"ni simili teżisti fost l-istati tal-Istati Uniti (r = -.620).")</f>
        <v>L-effetti ta 'l-inugwaljanza li r-riċerkaturi sabu jinkludu rati ogħla ta' problemi tas-saħħa u soċjali, u rati aktar baxxi ta 'oġġetti soċjali, livell aktar baxx ta' utilità ekonomika fis-soċjetà minn riżorsi ddedikati fuq konsum high-end, u anke livell aktar baxx ta 'tkabbir ekonomiku meta l-kapital uman huwa traskurat għal konsum high-end. Għall-aqwa 21 pajjiż industrijalizzat, billi tingħadd lil kull persuna bl-istess mod, l-istennija tal-ħajja hija inqas f'pajjiżi aktar inugwali (r = -.907). Relazzjoni simili teżisti fost l-istati tal-Istati Uniti (r = -.620).</v>
      </c>
    </row>
    <row r="6866" ht="15.75" customHeight="1">
      <c r="A6866" s="2" t="s">
        <v>6866</v>
      </c>
      <c r="B6866" s="2" t="str">
        <f>IFERROR(__xludf.DUMMYFUNCTION("GOOGLETRANSLATE(A6866, ""en"", ""mt"")"),"il-wieqfa")</f>
        <v>il-wieqfa</v>
      </c>
    </row>
    <row r="6867" ht="15.75" customHeight="1">
      <c r="A6867" s="2" t="s">
        <v>6867</v>
      </c>
      <c r="B6867" s="2" t="str">
        <f>IFERROR(__xludf.DUMMYFUNCTION("GOOGLETRANSLATE(A6867, ""en"", ""mt"")"),"Massachusetts Bay Colony")</f>
        <v>Massachusetts Bay Colony</v>
      </c>
    </row>
    <row r="6868" ht="15.75" customHeight="1">
      <c r="A6868" s="2" t="s">
        <v>6868</v>
      </c>
      <c r="B6868" s="2" t="str">
        <f>IFERROR(__xludf.DUMMYFUNCTION("GOOGLETRANSLATE(A6868, ""en"", ""mt"")"),"X'kienet ir-relazzjoni ta 'Kublai Khan ma' Genghis Khan?")</f>
        <v>X'kienet ir-relazzjoni ta 'Kublai Khan ma' Genghis Khan?</v>
      </c>
    </row>
    <row r="6869" ht="15.75" customHeight="1">
      <c r="A6869" s="2" t="s">
        <v>6869</v>
      </c>
      <c r="B6869" s="2" t="str">
        <f>IFERROR(__xludf.DUMMYFUNCTION("GOOGLETRANSLATE(A6869, ""en"", ""mt"")"),"Il-post ta 'mistrieħ ta' Alla")</f>
        <v>Il-post ta 'mistrieħ ta' Alla</v>
      </c>
    </row>
    <row r="6870" ht="15.75" customHeight="1">
      <c r="A6870" s="2" t="s">
        <v>6870</v>
      </c>
      <c r="B6870" s="2" t="str">
        <f>IFERROR(__xludf.DUMMYFUNCTION("GOOGLETRANSLATE(A6870, ""en"", ""mt"")"),"Belt ta 'Malindi")</f>
        <v>Belt ta 'Malindi</v>
      </c>
    </row>
    <row r="6871" ht="15.75" customHeight="1">
      <c r="A6871" s="2" t="s">
        <v>6871</v>
      </c>
      <c r="B6871" s="2" t="str">
        <f>IFERROR(__xludf.DUMMYFUNCTION("GOOGLETRANSLATE(A6871, ""en"", ""mt"")"),"Ir-rebbieħ tal-Premju Nobel tal-Ekonomija 2013 Robert J. Shiller qal li l-inugwaljanza dejjem tiżdied fl-Istati Uniti u bnadi oħra hija l-iktar problema importanti. L-inugwaljanza dejjem tiżdied tagħmel ħsara lit-tkabbir ekonomiku. Qgħad għoli u persisten"&amp;"ti, li fih l-inugwaljanza tiżdied, għandu effett negattiv fuq tkabbir ekonomiku sussegwenti fit-tul. Il-qgħad jista 'jagħmel ħsara lit-tkabbir mhux biss minħabba li huwa ħela ta' riżorsi, iżda wkoll minħabba li jiġġenera pressjonijiet ridistributtivi u di"&amp;"storsjonijiet sussegwenti, imexxi lin-nies għall-faqar, jillimita l-likwidità li tillimita l-mobilità tax-xogħol, u tnaqqas l-istima personali li tippromwovi d-diżlokazzjoni soċjali, l-inkwiet u l-kunflitt. Il-politiki li jimmiraw biex jikkontrollaw il-qg"&amp;"ħad u b'mod partikolari biex inaqqsu l-effetti assoċjati mal-inugwaljanza tiegħu jappoġġjaw it-tkabbir ekonomiku.")</f>
        <v>Ir-rebbieħ tal-Premju Nobel tal-Ekonomija 2013 Robert J. Shiller qal li l-inugwaljanza dejjem tiżdied fl-Istati Uniti u bnadi oħra hija l-iktar problema importanti. L-inugwaljanza dejjem tiżdied tagħmel ħsara lit-tkabbir ekonomiku. Qgħad għoli u persistenti, li fih l-inugwaljanza tiżdied, għandu effett negattiv fuq tkabbir ekonomiku sussegwenti fit-tul. Il-qgħad jista 'jagħmel ħsara lit-tkabbir mhux biss minħabba li huwa ħela ta' riżorsi, iżda wkoll minħabba li jiġġenera pressjonijiet ridistributtivi u distorsjonijiet sussegwenti, imexxi lin-nies għall-faqar, jillimita l-likwidità li tillimita l-mobilità tax-xogħol, u tnaqqas l-istima personali li tippromwovi d-diżlokazzjoni soċjali, l-inkwiet u l-kunflitt. Il-politiki li jimmiraw biex jikkontrollaw il-qgħad u b'mod partikolari biex inaqqsu l-effetti assoċjati mal-inugwaljanza tiegħu jappoġġjaw it-tkabbir ekonomiku.</v>
      </c>
    </row>
    <row r="6872" ht="15.75" customHeight="1">
      <c r="A6872" s="2" t="s">
        <v>6872</v>
      </c>
      <c r="B6872" s="2" t="str">
        <f>IFERROR(__xludf.DUMMYFUNCTION("GOOGLETRANSLATE(A6872, ""en"", ""mt"")"),"infinitament ħafna")</f>
        <v>infinitament ħafna</v>
      </c>
    </row>
    <row r="6873" ht="15.75" customHeight="1">
      <c r="A6873" s="2" t="s">
        <v>6873</v>
      </c>
      <c r="B6873" s="2" t="str">
        <f>IFERROR(__xludf.DUMMYFUNCTION("GOOGLETRANSLATE(A6873, ""en"", ""mt"")"),"Jekk id-dispożizzjonijiet tat-trattati għandhom effett dirett u huma ċari biżżejjed, preċiżi u inkondizzjonati.")</f>
        <v>Jekk id-dispożizzjonijiet tat-trattati għandhom effett dirett u huma ċari biżżejjed, preċiżi u inkondizzjonati.</v>
      </c>
    </row>
    <row r="6874" ht="15.75" customHeight="1">
      <c r="A6874" s="2" t="s">
        <v>6874</v>
      </c>
      <c r="B6874" s="2" t="str">
        <f>IFERROR(__xludf.DUMMYFUNCTION("GOOGLETRANSLATE(A6874, ""en"", ""mt"")"),"konvetti")</f>
        <v>konvetti</v>
      </c>
    </row>
    <row r="6875" ht="15.75" customHeight="1">
      <c r="A6875" s="2" t="s">
        <v>6875</v>
      </c>
      <c r="B6875" s="2" t="str">
        <f>IFERROR(__xludf.DUMMYFUNCTION("GOOGLETRANSLATE(A6875, ""en"", ""mt"")"),"edukazzjoni")</f>
        <v>edukazzjoni</v>
      </c>
    </row>
    <row r="6876" ht="15.75" customHeight="1">
      <c r="A6876" s="2" t="s">
        <v>6876</v>
      </c>
      <c r="B6876" s="2" t="str">
        <f>IFERROR(__xludf.DUMMYFUNCTION("GOOGLETRANSLATE(A6876, ""en"", ""mt"")"),"Huma tilfu l-flus mill-bidu, u Sinback, maniġer tal-kummerċ ta 'livell għoli, ingħata x-xogħol li jdawwar in-negozju")</f>
        <v>Huma tilfu l-flus mill-bidu, u Sinback, maniġer tal-kummerċ ta 'livell għoli, ingħata x-xogħol li jdawwar in-negozju</v>
      </c>
    </row>
    <row r="6877" ht="15.75" customHeight="1">
      <c r="A6877" s="2" t="s">
        <v>6877</v>
      </c>
      <c r="B6877" s="2" t="str">
        <f>IFERROR(__xludf.DUMMYFUNCTION("GOOGLETRANSLATE(A6877, ""en"", ""mt"")"),"X'uża Luther l-innu biex iħeġġeġ lill-kollegi jagħmlu?")</f>
        <v>X'uża Luther l-innu biex iħeġġeġ lill-kollegi jagħmlu?</v>
      </c>
    </row>
    <row r="6878" ht="15.75" customHeight="1">
      <c r="A6878" s="2" t="s">
        <v>6878</v>
      </c>
      <c r="B6878" s="2" t="str">
        <f>IFERROR(__xludf.DUMMYFUNCTION("GOOGLETRANSLATE(A6878, ""en"", ""mt"")"),"erba 'livelli")</f>
        <v>erba 'livelli</v>
      </c>
    </row>
    <row r="6879" ht="15.75" customHeight="1">
      <c r="A6879" s="2" t="s">
        <v>6879</v>
      </c>
      <c r="B6879" s="2" t="str">
        <f>IFERROR(__xludf.DUMMYFUNCTION("GOOGLETRANSLATE(A6879, ""en"", ""mt"")"),"F'liema post wieħed kien il-qari tal-istorbju fi Newcastle li ttieħdu?")</f>
        <v>F'liema post wieħed kien il-qari tal-istorbju fi Newcastle li ttieħdu?</v>
      </c>
    </row>
    <row r="6880" ht="15.75" customHeight="1">
      <c r="A6880" s="2" t="s">
        <v>6880</v>
      </c>
      <c r="B6880" s="2" t="str">
        <f>IFERROR(__xludf.DUMMYFUNCTION("GOOGLETRANSLATE(A6880, ""en"", ""mt"")"),"ġimgħa")</f>
        <v>ġimgħa</v>
      </c>
    </row>
    <row r="6881" ht="15.75" customHeight="1">
      <c r="A6881" s="2" t="s">
        <v>6881</v>
      </c>
      <c r="B6881" s="2" t="str">
        <f>IFERROR(__xludf.DUMMYFUNCTION("GOOGLETRANSLATE(A6881, ""en"", ""mt"")"),"aktar ugwaljanza")</f>
        <v>aktar ugwaljanza</v>
      </c>
    </row>
    <row r="6882" ht="15.75" customHeight="1">
      <c r="A6882" s="2" t="s">
        <v>6882</v>
      </c>
      <c r="B6882" s="2" t="str">
        <f>IFERROR(__xludf.DUMMYFUNCTION("GOOGLETRANSLATE(A6882, ""en"", ""mt"")"),"diffikultà perċepita ta 'l-intonazzjoni tagħha")</f>
        <v>diffikultà perċepita ta 'l-intonazzjoni tagħha</v>
      </c>
    </row>
    <row r="6883" ht="15.75" customHeight="1">
      <c r="A6883" s="2" t="s">
        <v>6883</v>
      </c>
      <c r="B6883" s="2" t="str">
        <f>IFERROR(__xludf.DUMMYFUNCTION("GOOGLETRANSLATE(A6883, ""en"", ""mt"")"),"Għaliex kien hemm kontroversja fl-atletika Kenjana?")</f>
        <v>Għaliex kien hemm kontroversja fl-atletika Kenjana?</v>
      </c>
    </row>
    <row r="6884" ht="15.75" customHeight="1">
      <c r="A6884" s="2" t="s">
        <v>6884</v>
      </c>
      <c r="B6884" s="2" t="str">
        <f>IFERROR(__xludf.DUMMYFUNCTION("GOOGLETRANSLATE(A6884, ""en"", ""mt"")"),"għalliem")</f>
        <v>għalliem</v>
      </c>
    </row>
    <row r="6885" ht="15.75" customHeight="1">
      <c r="A6885" s="2" t="s">
        <v>6885</v>
      </c>
      <c r="B6885" s="2" t="str">
        <f>IFERROR(__xludf.DUMMYFUNCTION("GOOGLETRANSLATE(A6885, ""en"", ""mt"")"),"erba 'varjanti")</f>
        <v>erba 'varjanti</v>
      </c>
    </row>
    <row r="6886" ht="15.75" customHeight="1">
      <c r="A6886" s="2" t="s">
        <v>6886</v>
      </c>
      <c r="B6886" s="2" t="str">
        <f>IFERROR(__xludf.DUMMYFUNCTION("GOOGLETRANSLATE(A6886, ""en"", ""mt"")"),"Id-Dinja trid tkun ferm ixjeħ milli suppost kien suppost")</f>
        <v>Id-Dinja trid tkun ferm ixjeħ milli suppost kien suppost</v>
      </c>
    </row>
    <row r="6887" ht="15.75" customHeight="1">
      <c r="A6887" s="2" t="s">
        <v>6887</v>
      </c>
      <c r="B6887" s="2" t="str">
        <f>IFERROR(__xludf.DUMMYFUNCTION("GOOGLETRANSLATE(A6887, ""en"", ""mt"")"),"jistgħu jinterpretaw it-trattati, iżda ma jistgħux jiddeċiedu fuq il-validità tagħhom")</f>
        <v>jistgħu jinterpretaw it-trattati, iżda ma jistgħux jiddeċiedu fuq il-validità tagħhom</v>
      </c>
    </row>
    <row r="6888" ht="15.75" customHeight="1">
      <c r="A6888" s="2" t="s">
        <v>6888</v>
      </c>
      <c r="B6888" s="2" t="str">
        <f>IFERROR(__xludf.DUMMYFUNCTION("GOOGLETRANSLATE(A6888, ""en"", ""mt"")"),"Ibgħat l-għajnuna u xi kultant imorru lilhom infushom biex jiġġieldu għall-fidi tagħhom")</f>
        <v>Ibgħat l-għajnuna u xi kultant imorru lilhom infushom biex jiġġieldu għall-fidi tagħhom</v>
      </c>
    </row>
    <row r="6889" ht="15.75" customHeight="1">
      <c r="A6889" s="2" t="s">
        <v>6889</v>
      </c>
      <c r="B6889" s="2" t="str">
        <f>IFERROR(__xludf.DUMMYFUNCTION("GOOGLETRANSLATE(A6889, ""en"", ""mt"")"),"Industrija tal-bjankerija Irlandiża")</f>
        <v>Industrija tal-bjankerija Irlandiża</v>
      </c>
    </row>
    <row r="6890" ht="15.75" customHeight="1">
      <c r="A6890" s="2" t="s">
        <v>6890</v>
      </c>
      <c r="B6890" s="2" t="str">
        <f>IFERROR(__xludf.DUMMYFUNCTION("GOOGLETRANSLATE(A6890, ""en"", ""mt"")"),"Liema serje ġdida tkompli l-plott tat-tabib oriġinali min?")</f>
        <v>Liema serje ġdida tkompli l-plott tat-tabib oriġinali min?</v>
      </c>
    </row>
    <row r="6891" ht="15.75" customHeight="1">
      <c r="A6891" s="2" t="s">
        <v>6891</v>
      </c>
      <c r="B6891" s="2" t="str">
        <f>IFERROR(__xludf.DUMMYFUNCTION("GOOGLETRANSLATE(A6891, ""en"", ""mt"")"),"prefabbrikat")</f>
        <v>prefabbrikat</v>
      </c>
    </row>
    <row r="6892" ht="15.75" customHeight="1">
      <c r="A6892" s="2" t="s">
        <v>6892</v>
      </c>
      <c r="B6892" s="2" t="str">
        <f>IFERROR(__xludf.DUMMYFUNCTION("GOOGLETRANSLATE(A6892, ""en"", ""mt"")"),"Meta kienet Operation Market Garden?")</f>
        <v>Meta kienet Operation Market Garden?</v>
      </c>
    </row>
    <row r="6893" ht="15.75" customHeight="1">
      <c r="A6893" s="2" t="s">
        <v>6893</v>
      </c>
      <c r="B6893" s="2" t="str">
        <f>IFERROR(__xludf.DUMMYFUNCTION("GOOGLETRANSLATE(A6893, ""en"", ""mt"")"),"il-fratellanza")</f>
        <v>il-fratellanza</v>
      </c>
    </row>
    <row r="6894" ht="15.75" customHeight="1">
      <c r="A6894" s="2" t="s">
        <v>6894</v>
      </c>
      <c r="B6894" s="2" t="str">
        <f>IFERROR(__xludf.DUMMYFUNCTION("GOOGLETRANSLATE(A6894, ""en"", ""mt"")"),"Il-Partit Konservattiv tal-Poplu Ewropew")</f>
        <v>Il-Partit Konservattiv tal-Poplu Ewropew</v>
      </c>
    </row>
    <row r="6895" ht="15.75" customHeight="1">
      <c r="A6895" s="2" t="s">
        <v>6895</v>
      </c>
      <c r="B6895" s="2" t="str">
        <f>IFERROR(__xludf.DUMMYFUNCTION("GOOGLETRANSLATE(A6895, ""en"", ""mt"")"),"X'inhu t-terminu komuni għat-telf tal-membri ewlenin tas-soċjetà Franċiża għall-emigrazzjoni Huguenot?")</f>
        <v>X'inhu t-terminu komuni għat-telf tal-membri ewlenin tas-soċjetà Franċiża għall-emigrazzjoni Huguenot?</v>
      </c>
    </row>
    <row r="6896" ht="15.75" customHeight="1">
      <c r="A6896" s="2" t="s">
        <v>6896</v>
      </c>
      <c r="B6896" s="2" t="str">
        <f>IFERROR(__xludf.DUMMYFUNCTION("GOOGLETRANSLATE(A6896, ""en"", ""mt"")"),"31 ta 'Lulju, 1995")</f>
        <v>31 ta 'Lulju, 1995</v>
      </c>
    </row>
    <row r="6897" ht="15.75" customHeight="1">
      <c r="A6897" s="2" t="s">
        <v>6897</v>
      </c>
      <c r="B6897" s="2" t="str">
        <f>IFERROR(__xludf.DUMMYFUNCTION("GOOGLETRANSLATE(A6897, ""en"", ""mt"")"),"Kontej tal-baqar")</f>
        <v>Kontej tal-baqar</v>
      </c>
    </row>
    <row r="6898" ht="15.75" customHeight="1">
      <c r="A6898" s="2" t="s">
        <v>6898</v>
      </c>
      <c r="B6898" s="2" t="str">
        <f>IFERROR(__xludf.DUMMYFUNCTION("GOOGLETRANSLATE(A6898, ""en"", ""mt"")"),"inċitament rewwixta interna fost il-partitarji ta 'Kuchlug")</f>
        <v>inċitament rewwixta interna fost il-partitarji ta 'Kuchlug</v>
      </c>
    </row>
    <row r="6899" ht="15.75" customHeight="1">
      <c r="A6899" s="2" t="s">
        <v>6899</v>
      </c>
      <c r="B6899" s="2" t="str">
        <f>IFERROR(__xludf.DUMMYFUNCTION("GOOGLETRANSLATE(A6899, ""en"", ""mt"")"),"razzjonali u progressiv")</f>
        <v>razzjonali u progressiv</v>
      </c>
    </row>
    <row r="6900" ht="15.75" customHeight="1">
      <c r="A6900" s="2" t="s">
        <v>6900</v>
      </c>
      <c r="B6900" s="2" t="str">
        <f>IFERROR(__xludf.DUMMYFUNCTION("GOOGLETRANSLATE(A6900, ""en"", ""mt"")"),"ċelloli bojod tad-demm")</f>
        <v>ċelloli bojod tad-demm</v>
      </c>
    </row>
    <row r="6901" ht="15.75" customHeight="1">
      <c r="A6901" s="2" t="s">
        <v>6901</v>
      </c>
      <c r="B6901" s="2" t="str">
        <f>IFERROR(__xludf.DUMMYFUNCTION("GOOGLETRANSLATE(A6901, ""en"", ""mt"")"),"$ 20,000")</f>
        <v>$ 20,000</v>
      </c>
    </row>
    <row r="6902" ht="15.75" customHeight="1">
      <c r="A6902" s="2" t="s">
        <v>6902</v>
      </c>
      <c r="B6902" s="2" t="str">
        <f>IFERROR(__xludf.DUMMYFUNCTION("GOOGLETRANSLATE(A6902, ""en"", ""mt"")"),"Deportazzjoni tal-popolazzjoni Akkadjana li titkellem bil-Franċiż miż-żona.")</f>
        <v>Deportazzjoni tal-popolazzjoni Akkadjana li titkellem bil-Franċiż miż-żona.</v>
      </c>
    </row>
    <row r="6903" ht="15.75" customHeight="1">
      <c r="A6903" s="2" t="s">
        <v>6903</v>
      </c>
      <c r="B6903" s="2" t="str">
        <f>IFERROR(__xludf.DUMMYFUNCTION("GOOGLETRANSLATE(A6903, ""en"", ""mt"")"),"ħafna mill-enerġija kimika")</f>
        <v>ħafna mill-enerġija kimika</v>
      </c>
    </row>
    <row r="6904" ht="15.75" customHeight="1">
      <c r="A6904" s="2" t="s">
        <v>6904</v>
      </c>
      <c r="B6904" s="2" t="str">
        <f>IFERROR(__xludf.DUMMYFUNCTION("GOOGLETRANSLATE(A6904, ""en"", ""mt"")"),"F'kemm postijiet jinħażen l-ossiġnu fiċ-ċiklu tiegħu?")</f>
        <v>F'kemm postijiet jinħażen l-ossiġnu fiċ-ċiklu tiegħu?</v>
      </c>
    </row>
    <row r="6905" ht="15.75" customHeight="1">
      <c r="A6905" s="2" t="s">
        <v>6905</v>
      </c>
      <c r="B6905" s="2" t="str">
        <f>IFERROR(__xludf.DUMMYFUNCTION("GOOGLETRANSLATE(A6905, ""en"", ""mt"")"),"Fi ftit mijiet ta 'piedi minn xulxin")</f>
        <v>Fi ftit mijiet ta 'piedi minn xulxin</v>
      </c>
    </row>
    <row r="6906" ht="15.75" customHeight="1">
      <c r="A6906" s="2" t="s">
        <v>6906</v>
      </c>
      <c r="B6906" s="2" t="str">
        <f>IFERROR(__xludf.DUMMYFUNCTION("GOOGLETRANSLATE(A6906, ""en"", ""mt"")"),"X'jagħmlu dawk fil-qasam biex jiżguraw riżultat pożittiv?")</f>
        <v>X'jagħmlu dawk fil-qasam biex jiżguraw riżultat pożittiv?</v>
      </c>
    </row>
    <row r="6907" ht="15.75" customHeight="1">
      <c r="A6907" s="2" t="s">
        <v>6907</v>
      </c>
      <c r="B6907" s="2" t="str">
        <f>IFERROR(__xludf.DUMMYFUNCTION("GOOGLETRANSLATE(A6907, ""en"", ""mt"")"),"bidu tas-seklu 20")</f>
        <v>bidu tas-seklu 20</v>
      </c>
    </row>
    <row r="6908" ht="15.75" customHeight="1">
      <c r="A6908" s="2" t="s">
        <v>6908</v>
      </c>
      <c r="B6908" s="2" t="str">
        <f>IFERROR(__xludf.DUMMYFUNCTION("GOOGLETRANSLATE(A6908, ""en"", ""mt"")"),"X'kien il-kjostru iswed?")</f>
        <v>X'kien il-kjostru iswed?</v>
      </c>
    </row>
    <row r="6909" ht="15.75" customHeight="1">
      <c r="A6909" s="2" t="s">
        <v>6909</v>
      </c>
      <c r="B6909" s="2" t="str">
        <f>IFERROR(__xludf.DUMMYFUNCTION("GOOGLETRANSLATE(A6909, ""en"", ""mt"")"),"dak kollu li smacks ta 'sagrifiċċju")</f>
        <v>dak kollu li smacks ta 'sagrifiċċju</v>
      </c>
    </row>
    <row r="6910" ht="15.75" customHeight="1">
      <c r="A6910" s="2" t="s">
        <v>6910</v>
      </c>
      <c r="B6910" s="2" t="str">
        <f>IFERROR(__xludf.DUMMYFUNCTION("GOOGLETRANSLATE(A6910, ""en"", ""mt"")"),"Għeluq issikkat jissimplifika l-faċċata tal-annimal")</f>
        <v>Għeluq issikkat jissimplifika l-faċċata tal-annimal</v>
      </c>
    </row>
    <row r="6911" ht="15.75" customHeight="1">
      <c r="A6911" s="2" t="s">
        <v>6911</v>
      </c>
      <c r="B6911" s="2" t="str">
        <f>IFERROR(__xludf.DUMMYFUNCTION("GOOGLETRANSLATE(A6911, ""en"", ""mt"")"),"Vettura Lunar Roving (LRV)")</f>
        <v>Vettura Lunar Roving (LRV)</v>
      </c>
    </row>
    <row r="6912" ht="15.75" customHeight="1">
      <c r="A6912" s="2" t="s">
        <v>6912</v>
      </c>
      <c r="B6912" s="2" t="str">
        <f>IFERROR(__xludf.DUMMYFUNCTION("GOOGLETRANSLATE(A6912, ""en"", ""mt"")"),"L-iskola kienet assoċjata uffiċjalment ma 'xi denominazzjoni?")</f>
        <v>L-iskola kienet assoċjata uffiċjalment ma 'xi denominazzjoni?</v>
      </c>
    </row>
    <row r="6913" ht="15.75" customHeight="1">
      <c r="A6913" s="2" t="s">
        <v>6913</v>
      </c>
      <c r="B6913" s="2" t="str">
        <f>IFERROR(__xludf.DUMMYFUNCTION("GOOGLETRANSLATE(A6913, ""en"", ""mt"")"),"kowċ")</f>
        <v>kowċ</v>
      </c>
    </row>
    <row r="6914" ht="15.75" customHeight="1">
      <c r="A6914" s="2" t="s">
        <v>6914</v>
      </c>
      <c r="B6914" s="2" t="str">
        <f>IFERROR(__xludf.DUMMYFUNCTION("GOOGLETRANSLATE(A6914, ""en"", ""mt"")"),"Minn fejn beda l-moviment li sar il-Knisja Metodista Magħquda?")</f>
        <v>Minn fejn beda l-moviment li sar il-Knisja Metodista Magħquda?</v>
      </c>
    </row>
    <row r="6915" ht="15.75" customHeight="1">
      <c r="A6915" s="2" t="s">
        <v>6915</v>
      </c>
      <c r="B6915" s="2" t="str">
        <f>IFERROR(__xludf.DUMMYFUNCTION("GOOGLETRANSLATE(A6915, ""en"", ""mt"")"),"Min kienu d-difiża tas-Super Bowl Champions?")</f>
        <v>Min kienu d-difiża tas-Super Bowl Champions?</v>
      </c>
    </row>
    <row r="6916" ht="15.75" customHeight="1">
      <c r="A6916" s="2" t="s">
        <v>6916</v>
      </c>
      <c r="B6916" s="2" t="str">
        <f>IFERROR(__xludf.DUMMYFUNCTION("GOOGLETRANSLATE(A6916, ""en"", ""mt"")"),"It-territorji indiġeni qed jinqerdu fil-biċċa l-kbira b'żewġ modi?")</f>
        <v>It-territorji indiġeni qed jinqerdu fil-biċċa l-kbira b'żewġ modi?</v>
      </c>
    </row>
    <row r="6917" ht="15.75" customHeight="1">
      <c r="A6917" s="2" t="s">
        <v>6917</v>
      </c>
      <c r="B6917" s="2" t="str">
        <f>IFERROR(__xludf.DUMMYFUNCTION("GOOGLETRANSLATE(A6917, ""en"", ""mt"")"),"Għal liema premju ġiet innominata Michelle Gomez?")</f>
        <v>Għal liema premju ġiet innominata Michelle Gomez?</v>
      </c>
    </row>
    <row r="6918" ht="15.75" customHeight="1">
      <c r="A6918" s="2" t="s">
        <v>6918</v>
      </c>
      <c r="B6918" s="2" t="str">
        <f>IFERROR(__xludf.DUMMYFUNCTION("GOOGLETRANSLATE(A6918, ""en"", ""mt"")"),"Dritt "","" Just "", jew"" Veru "",")</f>
        <v>Dritt "," Just ", jew" Veru ",</v>
      </c>
    </row>
    <row r="6919" ht="15.75" customHeight="1">
      <c r="A6919" s="2" t="s">
        <v>6919</v>
      </c>
      <c r="B6919" s="2" t="str">
        <f>IFERROR(__xludf.DUMMYFUNCTION("GOOGLETRANSLATE(A6919, ""en"", ""mt"")"),"Lil min kien Johann Eck l-assistent?")</f>
        <v>Lil min kien Johann Eck l-assistent?</v>
      </c>
    </row>
    <row r="6920" ht="15.75" customHeight="1">
      <c r="A6920" s="2" t="s">
        <v>6920</v>
      </c>
      <c r="B6920" s="2" t="str">
        <f>IFERROR(__xludf.DUMMYFUNCTION("GOOGLETRANSLATE(A6920, ""en"", ""mt"")"),"Liema dinastija waslet wara l-wan?")</f>
        <v>Liema dinastija waslet wara l-wan?</v>
      </c>
    </row>
    <row r="6921" ht="15.75" customHeight="1">
      <c r="A6921" s="2" t="s">
        <v>6921</v>
      </c>
      <c r="B6921" s="2" t="str">
        <f>IFERROR(__xludf.DUMMYFUNCTION("GOOGLETRANSLATE(A6921, ""en"", ""mt"")"),"L-Ewwel Ministru")</f>
        <v>L-Ewwel Ministru</v>
      </c>
    </row>
    <row r="6922" ht="15.75" customHeight="1">
      <c r="A6922" s="2" t="s">
        <v>6922</v>
      </c>
      <c r="B6922" s="2" t="str">
        <f>IFERROR(__xludf.DUMMYFUNCTION("GOOGLETRANSLATE(A6922, ""en"", ""mt"")"),"Kumitati obbligatorji")</f>
        <v>Kumitati obbligatorji</v>
      </c>
    </row>
    <row r="6923" ht="15.75" customHeight="1">
      <c r="A6923" s="2" t="s">
        <v>6923</v>
      </c>
      <c r="B6923" s="2" t="str">
        <f>IFERROR(__xludf.DUMMYFUNCTION("GOOGLETRANSLATE(A6923, ""en"", ""mt"")"),"Ta 'liema natura matematika hija l-problema ta' Basel?")</f>
        <v>Ta 'liema natura matematika hija l-problema ta' Basel?</v>
      </c>
    </row>
    <row r="6924" ht="15.75" customHeight="1">
      <c r="A6924" s="2" t="s">
        <v>6924</v>
      </c>
      <c r="B6924" s="2" t="str">
        <f>IFERROR(__xludf.DUMMYFUNCTION("GOOGLETRANSLATE(A6924, ""en"", ""mt"")"),"Minbarra dawk l-atturi li intitolati s-serje, oħrajn ippreżentaw verżjonijiet tat-tabib fir-rwoli tal-mistiedna. Notevolment, fl-2013, John weġġa 'mistieden-starred bħala inkarnazzjoni s'issa mhux magħrufa tat-tabib magħruf bħala t-tabib tal-gwerra fit-tl"&amp;"ugħ għall-50 anniversarju speċjali tal-ispettaklu ""The Day of the Doctor"". Huwa muri fil-mini-episodju ""Il-Lejl tat-Tabib"" li ġie mdaħħal b'mod retroattiv fil-kronoloġija fittizja tal-ispettaklu bejn it-tobba ta 'McGann u Eccleston, għalkemm l-introdu"&amp;"zzjoni tiegħu nkitbet sabiex ma tfixkilx l-ismijiet numeriċi stabbiliti tat-tobba. Eżempju ieħor huwa mis-serje tal-1986 Il-prova ta 'Time Lord, fejn Michael Jayston iddisinja l-Valeyard, li huwa deskritt bħala amalgamazzjoni tal-ġnub iktar skuri tan-natu"&amp;"ra tat-tabib, x'imkien bejn it-tnax-il u l-inkarnazzjoni finali tiegħu.")</f>
        <v>Minbarra dawk l-atturi li intitolati s-serje, oħrajn ippreżentaw verżjonijiet tat-tabib fir-rwoli tal-mistiedna. Notevolment, fl-2013, John weġġa 'mistieden-starred bħala inkarnazzjoni s'issa mhux magħrufa tat-tabib magħruf bħala t-tabib tal-gwerra fit-tlugħ għall-50 anniversarju speċjali tal-ispettaklu "The Day of the Doctor". Huwa muri fil-mini-episodju "Il-Lejl tat-Tabib" li ġie mdaħħal b'mod retroattiv fil-kronoloġija fittizja tal-ispettaklu bejn it-tobba ta 'McGann u Eccleston, għalkemm l-introduzzjoni tiegħu nkitbet sabiex ma tfixkilx l-ismijiet numeriċi stabbiliti tat-tobba. Eżempju ieħor huwa mis-serje tal-1986 Il-prova ta 'Time Lord, fejn Michael Jayston iddisinja l-Valeyard, li huwa deskritt bħala amalgamazzjoni tal-ġnub iktar skuri tan-natura tat-tabib, x'imkien bejn it-tnax-il u l-inkarnazzjoni finali tiegħu.</v>
      </c>
    </row>
    <row r="6925" ht="15.75" customHeight="1">
      <c r="A6925" s="2" t="s">
        <v>6925</v>
      </c>
      <c r="B6925" s="2" t="str">
        <f>IFERROR(__xludf.DUMMYFUNCTION("GOOGLETRANSLATE(A6925, ""en"", ""mt"")"),"bejn 1.4 u 5.8 ° C 'il fuq mil-livelli tal-1990")</f>
        <v>bejn 1.4 u 5.8 ° C 'il fuq mil-livelli tal-1990</v>
      </c>
    </row>
    <row r="6926" ht="15.75" customHeight="1">
      <c r="A6926" s="2" t="s">
        <v>6926</v>
      </c>
      <c r="B6926" s="2" t="str">
        <f>IFERROR(__xludf.DUMMYFUNCTION("GOOGLETRANSLATE(A6926, ""en"", ""mt"")"),"sitt snin")</f>
        <v>sitt snin</v>
      </c>
    </row>
    <row r="6927" ht="15.75" customHeight="1">
      <c r="A6927" s="2" t="s">
        <v>6927</v>
      </c>
      <c r="B6927" s="2" t="str">
        <f>IFERROR(__xludf.DUMMYFUNCTION("GOOGLETRANSLATE(A6927, ""en"", ""mt"")"),"Tiżgura li r-riċetta hija valida")</f>
        <v>Tiżgura li r-riċetta hija valida</v>
      </c>
    </row>
    <row r="6928" ht="15.75" customHeight="1">
      <c r="A6928" s="2" t="s">
        <v>6928</v>
      </c>
      <c r="B6928" s="2" t="str">
        <f>IFERROR(__xludf.DUMMYFUNCTION("GOOGLETRANSLATE(A6928, ""en"", ""mt"")"),"Liema proklamazzjoni tat lil Huguenots privileġġi speċjali fi Brandenburg?")</f>
        <v>Liema proklamazzjoni tat lil Huguenots privileġġi speċjali fi Brandenburg?</v>
      </c>
    </row>
    <row r="6929" ht="15.75" customHeight="1">
      <c r="A6929" s="2" t="s">
        <v>6929</v>
      </c>
      <c r="B6929" s="2" t="str">
        <f>IFERROR(__xludf.DUMMYFUNCTION("GOOGLETRANSLATE(A6929, ""en"", ""mt"")"),"Modulu tal-Kmand")</f>
        <v>Modulu tal-Kmand</v>
      </c>
    </row>
    <row r="6930" ht="15.75" customHeight="1">
      <c r="A6930" s="2" t="s">
        <v>6930</v>
      </c>
      <c r="B6930" s="2" t="str">
        <f>IFERROR(__xludf.DUMMYFUNCTION("GOOGLETRANSLATE(A6930, ""en"", ""mt"")"),"valur finit")</f>
        <v>valur finit</v>
      </c>
    </row>
    <row r="6931" ht="15.75" customHeight="1">
      <c r="A6931" s="2" t="s">
        <v>6931</v>
      </c>
      <c r="B6931" s="2" t="str">
        <f>IFERROR(__xludf.DUMMYFUNCTION("GOOGLETRANSLATE(A6931, ""en"", ""mt"")"),"Liema vettura spazjali kien fiha dejta biex tiddetermina l-kontenut ta 'ossiġnu tax-xemx?")</f>
        <v>Liema vettura spazjali kien fiha dejta biex tiddetermina l-kontenut ta 'ossiġnu tax-xemx?</v>
      </c>
    </row>
    <row r="6932" ht="15.75" customHeight="1">
      <c r="A6932" s="2" t="s">
        <v>6932</v>
      </c>
      <c r="B6932" s="2" t="str">
        <f>IFERROR(__xludf.DUMMYFUNCTION("GOOGLETRANSLATE(A6932, ""en"", ""mt"")"),"proċessi metamorfiċi")</f>
        <v>proċessi metamorfiċi</v>
      </c>
    </row>
    <row r="6933" ht="15.75" customHeight="1">
      <c r="A6933" s="2" t="s">
        <v>6933</v>
      </c>
      <c r="B6933" s="2" t="str">
        <f>IFERROR(__xludf.DUMMYFUNCTION("GOOGLETRANSLATE(A6933, ""en"", ""mt"")"),"X'inhu s-sors ta 'produzzjoni ta' ossiġnu permezz ta 'mezzi elettrokatalitiċi?")</f>
        <v>X'inhu s-sors ta 'produzzjoni ta' ossiġnu permezz ta 'mezzi elettrokatalitiċi?</v>
      </c>
    </row>
    <row r="6934" ht="15.75" customHeight="1">
      <c r="A6934" s="2" t="s">
        <v>6934</v>
      </c>
      <c r="B6934" s="2" t="str">
        <f>IFERROR(__xludf.DUMMYFUNCTION("GOOGLETRANSLATE(A6934, ""en"", ""mt"")"),"fl-ispazju tat-tilakoid")</f>
        <v>fl-ispazju tat-tilakoid</v>
      </c>
    </row>
    <row r="6935" ht="15.75" customHeight="1">
      <c r="A6935" s="2" t="s">
        <v>6935</v>
      </c>
      <c r="B6935" s="2" t="str">
        <f>IFERROR(__xludf.DUMMYFUNCTION("GOOGLETRANSLATE(A6935, ""en"", ""mt"")"),"Konsulent")</f>
        <v>Konsulent</v>
      </c>
    </row>
    <row r="6936" ht="15.75" customHeight="1">
      <c r="A6936" s="2" t="s">
        <v>6936</v>
      </c>
      <c r="B6936" s="2" t="str">
        <f>IFERROR(__xludf.DUMMYFUNCTION("GOOGLETRANSLATE(A6936, ""en"", ""mt"")"),"Fil-mod ta 'produzzjoni purament kapitalist (i.e. fejn organizzazzjonijiet professjonali u tax-xogħol ma jistgħux jillimitaw in-numru ta' ħaddiema) il-pagi tal-ħaddiema mhux se jiġu kkontrollati minn dawn l-organizzazzjonijiet, jew minn min iħaddem, iżda "&amp;"pjuttost mis-suq. Il-pagi jaħdmu bl-istess mod bħall-prezzijiet għal kull ġid ieħor. Għalhekk, il-pagi jistgħu jitqiesu bħala funzjoni tal-prezz tas-suq tal-ħila. U għalhekk, l-inugwaljanza hija mmexxija minn dan il-prezz. Taħt il-liġi tal-provvista u d-d"&amp;"omanda, il-prezz tal-ħila huwa determinat minn tellieqa bejn id-domanda għall-ħaddiem tas-sengħa u l-provvista tal-ħaddiem tas-sengħa. ""Min-naħa l-oħra, is-swieq jistgħu wkoll jikkonċentraw il-ġid, jgħaddu l-ispejjeż ambjentali fuq is-soċjetà, u jabbużaw"&amp;" mill-ħaddiema u l-konsumaturi."" ""Is-swieq, waħedhom, anke meta huma stabbli, ħafna drabi jwasslu għal livelli għoljin ta 'inugwaljanza, riżultati li huma meqjusa b'mod wiesa' bħala inġusti."" Min iħaddem li joffri paga taħt is-suq se jsib li n-negozju "&amp;"tagħhom huwa kronikament sottovalutat. Il-kompetituri tagħhom se jieħdu vantaġġ mis-sitwazzjoni billi joffru paga ogħla l-aħjar ta 'xogħolhom. Għal negozjant li għandu l-motiv tal-profitt bħala l-interess ewlieni, hija proposta li titlef li toffri taħt je"&amp;"w 'il fuq mill-pagi tas-suq lill-ħaddiema.")</f>
        <v>Fil-mod ta 'produzzjoni purament kapitalist (i.e. fejn organizzazzjonijiet professjonali u tax-xogħol ma jistgħux jillimitaw in-numru ta' ħaddiema) il-pagi tal-ħaddiema mhux se jiġu kkontrollati minn dawn l-organizzazzjonijiet, jew minn min iħaddem, iżda pjuttost mis-suq. Il-pagi jaħdmu bl-istess mod bħall-prezzijiet għal kull ġid ieħor. Għalhekk, il-pagi jistgħu jitqiesu bħala funzjoni tal-prezz tas-suq tal-ħila. U għalhekk, l-inugwaljanza hija mmexxija minn dan il-prezz. Taħt il-liġi tal-provvista u d-domanda, il-prezz tal-ħila huwa determinat minn tellieqa bejn id-domanda għall-ħaddiem tas-sengħa u l-provvista tal-ħaddiem tas-sengħa. "Min-naħa l-oħra, is-swieq jistgħu wkoll jikkonċentraw il-ġid, jgħaddu l-ispejjeż ambjentali fuq is-soċjetà, u jabbużaw mill-ħaddiema u l-konsumaturi." "Is-swieq, waħedhom, anke meta huma stabbli, ħafna drabi jwasslu għal livelli għoljin ta 'inugwaljanza, riżultati li huma meqjusa b'mod wiesa' bħala inġusti." Min iħaddem li joffri paga taħt is-suq se jsib li n-negozju tagħhom huwa kronikament sottovalutat. Il-kompetituri tagħhom se jieħdu vantaġġ mis-sitwazzjoni billi joffru paga ogħla l-aħjar ta 'xogħolhom. Għal negozjant li għandu l-motiv tal-profitt bħala l-interess ewlieni, hija proposta li titlef li toffri taħt jew 'il fuq mill-pagi tas-suq lill-ħaddiema.</v>
      </c>
    </row>
    <row r="6937" ht="15.75" customHeight="1">
      <c r="A6937" s="2" t="s">
        <v>6937</v>
      </c>
      <c r="B6937" s="2" t="str">
        <f>IFERROR(__xludf.DUMMYFUNCTION("GOOGLETRANSLATE(A6937, ""en"", ""mt"")"),"X'kienet l-okkupazzjoni ta 'kumpanji ta' Doctor Who (mhux relatati)?")</f>
        <v>X'kienet l-okkupazzjoni ta 'kumpanji ta' Doctor Who (mhux relatati)?</v>
      </c>
    </row>
    <row r="6938" ht="15.75" customHeight="1">
      <c r="A6938" s="2" t="s">
        <v>6938</v>
      </c>
      <c r="B6938" s="2" t="str">
        <f>IFERROR(__xludf.DUMMYFUNCTION("GOOGLETRANSLATE(A6938, ""en"", ""mt"")"),"X'kienet Warsz?")</f>
        <v>X'kienet Warsz?</v>
      </c>
    </row>
    <row r="6939" ht="15.75" customHeight="1">
      <c r="A6939" s="2" t="s">
        <v>6939</v>
      </c>
      <c r="B6939" s="2" t="str">
        <f>IFERROR(__xludf.DUMMYFUNCTION("GOOGLETRANSLATE(A6939, ""en"", ""mt"")"),"Dynasty Yuan")</f>
        <v>Dynasty Yuan</v>
      </c>
    </row>
    <row r="6940" ht="15.75" customHeight="1">
      <c r="A6940" s="2" t="s">
        <v>6940</v>
      </c>
      <c r="B6940" s="2" t="str">
        <f>IFERROR(__xludf.DUMMYFUNCTION("GOOGLETRANSLATE(A6940, ""en"", ""mt"")"),"Serje tar-roti")</f>
        <v>Serje tar-roti</v>
      </c>
    </row>
    <row r="6941" ht="15.75" customHeight="1">
      <c r="A6941" s="2" t="s">
        <v>6941</v>
      </c>
      <c r="B6941" s="2" t="str">
        <f>IFERROR(__xludf.DUMMYFUNCTION("GOOGLETRANSLATE(A6941, ""en"", ""mt"")"),"X’bnew bdew jagħmlu l-ħamrija tal-ħamrija ffriżata u l-glaċieri alpini estiżi?")</f>
        <v>X’bnew bdew jagħmlu l-ħamrija tal-ħamrija ffriżata u l-glaċieri alpini estiżi?</v>
      </c>
    </row>
    <row r="6942" ht="15.75" customHeight="1">
      <c r="A6942" s="2" t="s">
        <v>6942</v>
      </c>
      <c r="B6942" s="2" t="str">
        <f>IFERROR(__xludf.DUMMYFUNCTION("GOOGLETRANSLATE(A6942, ""en"", ""mt"")"),"soluzzjonijiet aktar effiċjenti")</f>
        <v>soluzzjonijiet aktar effiċjenti</v>
      </c>
    </row>
    <row r="6943" ht="15.75" customHeight="1">
      <c r="A6943" s="2" t="s">
        <v>6943</v>
      </c>
      <c r="B6943" s="2" t="str">
        <f>IFERROR(__xludf.DUMMYFUNCTION("GOOGLETRANSLATE(A6943, ""en"", ""mt"")"),"L-edukazzjoni formali bażika tibda fl-età ta 'sitt snin u ddum 12-il sena li tinkludi tmien snin fl-iskola primarja u erba' snin fl-iskola għolja jew skola sekondarja. L-iskola primarja hija bla ħlas fl-iskejjel pubbliċi u dawk li joħorġu f'dan il-livell "&amp;"jistgħu jingħaqdu ma 'politekniku taż-żgħażagħ / villaġġi vokazzjonali jew jagħmlu l-arranġamenti tagħhom stess għal programm ta' apprendistat u jitgħallmu kummerċ bħal tfassil, karpenterija, tiswija ta 'vetturi bil-mutur, briks u ġebel u ġebel għal madwa"&amp;"r sentejn. Dawk li jtemmu l-iskola għolja jistgħu jingħaqdu ma 'politekniku jew kulleġġ tekniku ieħor u jistudjaw għal tliet snin jew jipproċedu direttament lejn l-università u jistudjaw għal erba' snin. Gradwati mill-Politeknika u l-Kulleġġi jistgħu mbag"&amp;"ħad jingħaqdu mal-forza tax-xogħol u aktar tard jiksbu kwalifika ta 'diploma ogħla speċjalizzata wara sena jew sentejn oħra ta' taħriġ, jew jingħaqdu fl-università - ġeneralment fit-tieni jew it-tielet sena tal-kors rispettiv tagħhom. L-ogħla diploma hija"&amp;" aċċettata minn bosta impjegaturi minflok grad ta 'baċellerat u ammissjoni diretta jew aċċellerata għal studji post-gradwati hija possibbli f'xi universitajiet.")</f>
        <v>L-edukazzjoni formali bażika tibda fl-età ta 'sitt snin u ddum 12-il sena li tinkludi tmien snin fl-iskola primarja u erba' snin fl-iskola għolja jew skola sekondarja. L-iskola primarja hija bla ħlas fl-iskejjel pubbliċi u dawk li joħorġu f'dan il-livell jistgħu jingħaqdu ma 'politekniku taż-żgħażagħ / villaġġi vokazzjonali jew jagħmlu l-arranġamenti tagħhom stess għal programm ta' apprendistat u jitgħallmu kummerċ bħal tfassil, karpenterija, tiswija ta 'vetturi bil-mutur, briks u ġebel u ġebel għal madwar sentejn. Dawk li jtemmu l-iskola għolja jistgħu jingħaqdu ma 'politekniku jew kulleġġ tekniku ieħor u jistudjaw għal tliet snin jew jipproċedu direttament lejn l-università u jistudjaw għal erba' snin. Gradwati mill-Politeknika u l-Kulleġġi jistgħu mbagħad jingħaqdu mal-forza tax-xogħol u aktar tard jiksbu kwalifika ta 'diploma ogħla speċjalizzata wara sena jew sentejn oħra ta' taħriġ, jew jingħaqdu fl-università - ġeneralment fit-tieni jew it-tielet sena tal-kors rispettiv tagħhom. L-ogħla diploma hija aċċettata minn bosta impjegaturi minflok grad ta 'baċellerat u ammissjoni diretta jew aċċellerata għal studji post-gradwati hija possibbli f'xi universitajiet.</v>
      </c>
    </row>
    <row r="6944" ht="15.75" customHeight="1">
      <c r="A6944" s="2" t="s">
        <v>6944</v>
      </c>
      <c r="B6944" s="2" t="str">
        <f>IFERROR(__xludf.DUMMYFUNCTION("GOOGLETRANSLATE(A6944, ""en"", ""mt"")"),"bejn")</f>
        <v>bejn</v>
      </c>
    </row>
    <row r="6945" ht="15.75" customHeight="1">
      <c r="A6945" s="2" t="s">
        <v>6945</v>
      </c>
      <c r="B6945" s="2" t="str">
        <f>IFERROR(__xludf.DUMMYFUNCTION("GOOGLETRANSLATE(A6945, ""en"", ""mt"")"),"Qara Khitai, Kawkasu, Imperu Khwarezmid, XIA tal-Punent u Jin")</f>
        <v>Qara Khitai, Kawkasu, Imperu Khwarezmid, XIA tal-Punent u Jin</v>
      </c>
    </row>
    <row r="6946" ht="15.75" customHeight="1">
      <c r="A6946" s="2" t="s">
        <v>6946</v>
      </c>
      <c r="B6946" s="2" t="str">
        <f>IFERROR(__xludf.DUMMYFUNCTION("GOOGLETRANSLATE(A6946, ""en"", ""mt"")"),"Lil min jikkontrollaw il-gurus?")</f>
        <v>Lil min jikkontrollaw il-gurus?</v>
      </c>
    </row>
    <row r="6947" ht="15.75" customHeight="1">
      <c r="A6947" s="2" t="s">
        <v>6947</v>
      </c>
      <c r="B6947" s="2" t="str">
        <f>IFERROR(__xludf.DUMMYFUNCTION("GOOGLETRANSLATE(A6947, ""en"", ""mt"")"),"nies essenzjalment qaddisa")</f>
        <v>nies essenzjalment qaddisa</v>
      </c>
    </row>
    <row r="6948" ht="15.75" customHeight="1">
      <c r="A6948" s="2" t="s">
        <v>6948</v>
      </c>
      <c r="B6948" s="2" t="str">
        <f>IFERROR(__xludf.DUMMYFUNCTION("GOOGLETRANSLATE(A6948, ""en"", ""mt"")"),"8-15 għal kull ċellula")</f>
        <v>8-15 għal kull ċellula</v>
      </c>
    </row>
    <row r="6949" ht="15.75" customHeight="1">
      <c r="A6949" s="2" t="s">
        <v>6949</v>
      </c>
      <c r="B6949" s="2" t="str">
        <f>IFERROR(__xludf.DUMMYFUNCTION("GOOGLETRANSLATE(A6949, ""en"", ""mt"")"),"Telekomunikazzjonijiet")</f>
        <v>Telekomunikazzjonijiet</v>
      </c>
    </row>
    <row r="6950" ht="15.75" customHeight="1">
      <c r="A6950" s="2" t="s">
        <v>6950</v>
      </c>
      <c r="B6950" s="2" t="str">
        <f>IFERROR(__xludf.DUMMYFUNCTION("GOOGLETRANSLATE(A6950, ""en"", ""mt"")"),"Liema żewġ ferroviji għandhom railyards fil-belt ta 'Fresno?")</f>
        <v>Liema żewġ ferroviji għandhom railyards fil-belt ta 'Fresno?</v>
      </c>
    </row>
    <row r="6951" ht="15.75" customHeight="1">
      <c r="A6951" s="2" t="s">
        <v>6951</v>
      </c>
      <c r="B6951" s="2" t="str">
        <f>IFERROR(__xludf.DUMMYFUNCTION("GOOGLETRANSLATE(A6951, ""en"", ""mt"")"),"Fl-aħħar ta 'Novembru 2015, rapporti ħarġu li jiddikjaraw li ""atti multipli"" kienu se jwettqu matul il-mistrieħ. Fit-3 ta 'Diċembru, il-kampjonat ikkonferma li l-ispettaklu se jkun intitolat mill-grupp tal-blat Ingliż Coldplay. Fis-7 ta 'Jannar, 2016, P"&amp;"epsi kkonferma lil The Associated Press li Beyoncé, li intitolat l-ispettaklu tas-Super Bowl XLVII fil-mistrieħ u kkollabora ma' Coldplay fuq is-single ""Innu għal tmiem il-ġimgħa"", kien se jagħmel apparenza. Bruno Mars, li intitolat is-Super Bowl XLVIII"&amp;" Halftime Show, u Mark Ronson wettaq ukoll.")</f>
        <v>Fl-aħħar ta 'Novembru 2015, rapporti ħarġu li jiddikjaraw li "atti multipli" kienu se jwettqu matul il-mistrieħ. Fit-3 ta 'Diċembru, il-kampjonat ikkonferma li l-ispettaklu se jkun intitolat mill-grupp tal-blat Ingliż Coldplay. Fis-7 ta 'Jannar, 2016, Pepsi kkonferma lil The Associated Press li Beyoncé, li intitolat l-ispettaklu tas-Super Bowl XLVII fil-mistrieħ u kkollabora ma' Coldplay fuq is-single "Innu għal tmiem il-ġimgħa", kien se jagħmel apparenza. Bruno Mars, li intitolat is-Super Bowl XLVIII Halftime Show, u Mark Ronson wettaq ukoll.</v>
      </c>
    </row>
    <row r="6952" ht="15.75" customHeight="1">
      <c r="A6952" s="2" t="s">
        <v>6952</v>
      </c>
      <c r="B6952" s="2" t="str">
        <f>IFERROR(__xludf.DUMMYFUNCTION("GOOGLETRANSLATE(A6952, ""en"", ""mt"")"),"karboidrati")</f>
        <v>karboidrati</v>
      </c>
    </row>
    <row r="6953" ht="15.75" customHeight="1">
      <c r="A6953" s="2" t="s">
        <v>6953</v>
      </c>
      <c r="B6953" s="2" t="str">
        <f>IFERROR(__xludf.DUMMYFUNCTION("GOOGLETRANSLATE(A6953, ""en"", ""mt"")"),"Skola nazzjonali")</f>
        <v>Skola nazzjonali</v>
      </c>
    </row>
    <row r="6954" ht="15.75" customHeight="1">
      <c r="A6954" s="2" t="s">
        <v>6954</v>
      </c>
      <c r="B6954" s="2" t="str">
        <f>IFERROR(__xludf.DUMMYFUNCTION("GOOGLETRANSLATE(A6954, ""en"", ""mt"")"),"Kwistjonijiet ittrattati f'Westminster mhumiex dawk li huma kapaċi jittrattaw?")</f>
        <v>Kwistjonijiet ittrattati f'Westminster mhumiex dawk li huma kapaċi jittrattaw?</v>
      </c>
    </row>
    <row r="6955" ht="15.75" customHeight="1">
      <c r="A6955" s="2" t="s">
        <v>6955</v>
      </c>
      <c r="B6955" s="2" t="str">
        <f>IFERROR(__xludf.DUMMYFUNCTION("GOOGLETRANSLATE(A6955, ""en"", ""mt"")"),"Liema festival isir f'Ottubru fi Newcastle?")</f>
        <v>Liema festival isir f'Ottubru fi Newcastle?</v>
      </c>
    </row>
    <row r="6956" ht="15.75" customHeight="1">
      <c r="A6956" s="2" t="s">
        <v>6956</v>
      </c>
      <c r="B6956" s="2" t="str">
        <f>IFERROR(__xludf.DUMMYFUNCTION("GOOGLETRANSLATE(A6956, ""en"", ""mt"")"),"ħarab")</f>
        <v>ħarab</v>
      </c>
    </row>
    <row r="6957" ht="15.75" customHeight="1">
      <c r="A6957" s="2" t="s">
        <v>6957</v>
      </c>
      <c r="B6957" s="2" t="str">
        <f>IFERROR(__xludf.DUMMYFUNCTION("GOOGLETRANSLATE(A6957, ""en"", ""mt"")"),"maltempati")</f>
        <v>maltempati</v>
      </c>
    </row>
    <row r="6958" ht="15.75" customHeight="1">
      <c r="A6958" s="2" t="s">
        <v>6958</v>
      </c>
      <c r="B6958" s="2" t="str">
        <f>IFERROR(__xludf.DUMMYFUNCTION("GOOGLETRANSLATE(A6958, ""en"", ""mt"")"),"Pre-Kolumbjan")</f>
        <v>Pre-Kolumbjan</v>
      </c>
    </row>
    <row r="6959" ht="15.75" customHeight="1">
      <c r="A6959" s="2" t="s">
        <v>6959</v>
      </c>
      <c r="B6959" s="2" t="str">
        <f>IFERROR(__xludf.DUMMYFUNCTION("GOOGLETRANSLATE(A6959, ""en"", ""mt"")"),"Mekkaniżmi ta 'tqassim mill-ġdid")</f>
        <v>Mekkaniżmi ta 'tqassim mill-ġdid</v>
      </c>
    </row>
    <row r="6960" ht="15.75" customHeight="1">
      <c r="A6960" s="2" t="s">
        <v>6960</v>
      </c>
      <c r="B6960" s="2" t="str">
        <f>IFERROR(__xludf.DUMMYFUNCTION("GOOGLETRANSLATE(A6960, ""en"", ""mt"")"),"Ġenerali Sejm")</f>
        <v>Ġenerali Sejm</v>
      </c>
    </row>
    <row r="6961" ht="15.75" customHeight="1">
      <c r="A6961" s="2" t="s">
        <v>6961</v>
      </c>
      <c r="B6961" s="2" t="str">
        <f>IFERROR(__xludf.DUMMYFUNCTION("GOOGLETRANSLATE(A6961, ""en"", ""mt"")"),"X'inhu l-iktar eżempju reċenti ta 'linji ta' difetti finanzjarji?")</f>
        <v>X'inhu l-iktar eżempju reċenti ta 'linji ta' difetti finanzjarji?</v>
      </c>
    </row>
    <row r="6962" ht="15.75" customHeight="1">
      <c r="A6962" s="2" t="s">
        <v>6962</v>
      </c>
      <c r="B6962" s="2" t="str">
        <f>IFERROR(__xludf.DUMMYFUNCTION("GOOGLETRANSLATE(A6962, ""en"", ""mt"")"),"Korp li jiggverna għal professjonisti tal-kura tas-saħħa tal-ispiżerija")</f>
        <v>Korp li jiggverna għal professjonisti tal-kura tas-saħħa tal-ispiżerija</v>
      </c>
    </row>
    <row r="6963" ht="15.75" customHeight="1">
      <c r="A6963" s="2" t="s">
        <v>6963</v>
      </c>
      <c r="B6963" s="2" t="str">
        <f>IFERROR(__xludf.DUMMYFUNCTION("GOOGLETRANSLATE(A6963, ""en"", ""mt"")"),"Tagħlim informali")</f>
        <v>Tagħlim informali</v>
      </c>
    </row>
    <row r="6964" ht="15.75" customHeight="1">
      <c r="A6964" s="2" t="s">
        <v>6964</v>
      </c>
      <c r="B6964" s="2" t="str">
        <f>IFERROR(__xludf.DUMMYFUNCTION("GOOGLETRANSLATE(A6964, ""en"", ""mt"")"),"Min kellu kontroll militari waqt il-wan?")</f>
        <v>Min kellu kontroll militari waqt il-wan?</v>
      </c>
    </row>
    <row r="6965" ht="15.75" customHeight="1">
      <c r="A6965" s="2" t="s">
        <v>6965</v>
      </c>
      <c r="B6965" s="2" t="str">
        <f>IFERROR(__xludf.DUMMYFUNCTION("GOOGLETRANSLATE(A6965, ""en"", ""mt"")"),"X'qal Joseph Haas fl-email tiegħu?")</f>
        <v>X'qal Joseph Haas fl-email tiegħu?</v>
      </c>
    </row>
    <row r="6966" ht="15.75" customHeight="1">
      <c r="A6966" s="2" t="s">
        <v>6966</v>
      </c>
      <c r="B6966" s="2" t="str">
        <f>IFERROR(__xludf.DUMMYFUNCTION("GOOGLETRANSLATE(A6966, ""en"", ""mt"")"),"Kemm xtrat il-Komunikazzjonijiet tal-Bliet Kapitali ABC u l-proprjetajiet tagħha?")</f>
        <v>Kemm xtrat il-Komunikazzjonijiet tal-Bliet Kapitali ABC u l-proprjetajiet tagħha?</v>
      </c>
    </row>
    <row r="6967" ht="15.75" customHeight="1">
      <c r="A6967" s="2" t="s">
        <v>6967</v>
      </c>
      <c r="B6967" s="2" t="str">
        <f>IFERROR(__xludf.DUMMYFUNCTION("GOOGLETRANSLATE(A6967, ""en"", ""mt"")"),"biex jagħżlu l-istudenti tagħhom")</f>
        <v>biex jagħżlu l-istudenti tagħhom</v>
      </c>
    </row>
    <row r="6968" ht="15.75" customHeight="1">
      <c r="A6968" s="2" t="s">
        <v>6968</v>
      </c>
      <c r="B6968" s="2" t="str">
        <f>IFERROR(__xludf.DUMMYFUNCTION("GOOGLETRANSLATE(A6968, ""en"", ""mt"")"),"X’qal Biben dwar il-pesta fl-Ewropa?")</f>
        <v>X’qal Biben dwar il-pesta fl-Ewropa?</v>
      </c>
    </row>
    <row r="6969" ht="15.75" customHeight="1">
      <c r="A6969" s="2" t="s">
        <v>6969</v>
      </c>
      <c r="B6969" s="2" t="str">
        <f>IFERROR(__xludf.DUMMYFUNCTION("GOOGLETRANSLATE(A6969, ""en"", ""mt"")"),"L-Ewropa, l-Amerika ta ’Fuq, l-Asja u l-Afrika ta’ Fuq")</f>
        <v>L-Ewropa, l-Amerika ta ’Fuq, l-Asja u l-Afrika ta’ Fuq</v>
      </c>
    </row>
    <row r="6970" ht="15.75" customHeight="1">
      <c r="A6970" s="2" t="s">
        <v>6970</v>
      </c>
      <c r="B6970" s="2" t="str">
        <f>IFERROR(__xludf.DUMMYFUNCTION("GOOGLETRANSLATE(A6970, ""en"", ""mt"")"),"Tesla kien magħruf għall-kisbiet u l-wirja tiegħu, li eventwalment kiseb reputazzjoni fil-kultura popolari bħala ""xjenzat ġenn"" arketipali. Il-privattivi tiegħu qalgħu ammont konsiderevoli ta 'flus, li ħafna minnhom intużaw biex jiffinanzjaw il-proġetti"&amp;" tiegħu stess bi gradi differenti ta' suċċess. Tesla miet fis-7 ta 'Jannar 1943. Ix-xogħol tiegħu waqa' f'oskurità relattiva wara mewtu, iżda fl-1960 il-Konferenza Ġenerali dwar il-Piżijiet u l-Miżuri bl-isem tal-Unità SI ta 'Densità tal-Fluss Manjetiku t"&amp;"at-Tesla fl-Unur tiegħu. Kien hemm qawmien mill-ġdid fl-interess popolari fit-Tesla mis-snin disgħin.")</f>
        <v>Tesla kien magħruf għall-kisbiet u l-wirja tiegħu, li eventwalment kiseb reputazzjoni fil-kultura popolari bħala "xjenzat ġenn" arketipali. Il-privattivi tiegħu qalgħu ammont konsiderevoli ta 'flus, li ħafna minnhom intużaw biex jiffinanzjaw il-proġetti tiegħu stess bi gradi differenti ta' suċċess. Tesla miet fis-7 ta 'Jannar 1943. Ix-xogħol tiegħu waqa' f'oskurità relattiva wara mewtu, iżda fl-1960 il-Konferenza Ġenerali dwar il-Piżijiet u l-Miżuri bl-isem tal-Unità SI ta 'Densità tal-Fluss Manjetiku tat-Tesla fl-Unur tiegħu. Kien hemm qawmien mill-ġdid fl-interess popolari fit-Tesla mis-snin disgħin.</v>
      </c>
    </row>
    <row r="6971" ht="15.75" customHeight="1">
      <c r="A6971" s="2" t="s">
        <v>6971</v>
      </c>
      <c r="B6971" s="2" t="str">
        <f>IFERROR(__xludf.DUMMYFUNCTION("GOOGLETRANSLATE(A6971, ""en"", ""mt"")"),"Il-President tal-Kummissjoni")</f>
        <v>Il-President tal-Kummissjoni</v>
      </c>
    </row>
    <row r="6972" ht="15.75" customHeight="1">
      <c r="A6972" s="2" t="s">
        <v>6972</v>
      </c>
      <c r="B6972" s="2" t="str">
        <f>IFERROR(__xludf.DUMMYFUNCTION("GOOGLETRANSLATE(A6972, ""en"", ""mt"")"),"Wara l-perjodu ta 'Oligocene, taħt liema perjodu bdiet tespandi l-foresta tropikali tal-Amazon?")</f>
        <v>Wara l-perjodu ta 'Oligocene, taħt liema perjodu bdiet tespandi l-foresta tropikali tal-Amazon?</v>
      </c>
    </row>
    <row r="6973" ht="15.75" customHeight="1">
      <c r="A6973" s="2" t="s">
        <v>6973</v>
      </c>
      <c r="B6973" s="2" t="str">
        <f>IFERROR(__xludf.DUMMYFUNCTION("GOOGLETRANSLATE(A6973, ""en"", ""mt"")"),"tip ta 'turbina")</f>
        <v>tip ta 'turbina</v>
      </c>
    </row>
    <row r="6974" ht="15.75" customHeight="1">
      <c r="A6974" s="2" t="s">
        <v>6974</v>
      </c>
      <c r="B6974" s="2" t="str">
        <f>IFERROR(__xludf.DUMMYFUNCTION("GOOGLETRANSLATE(A6974, ""en"", ""mt"")"),"Evoluzzjoni tal-lingwa u l-letteratura Ġermaniżi")</f>
        <v>Evoluzzjoni tal-lingwa u l-letteratura Ġermaniżi</v>
      </c>
    </row>
    <row r="6975" ht="15.75" customHeight="1">
      <c r="A6975" s="2" t="s">
        <v>6975</v>
      </c>
      <c r="B6975" s="2" t="str">
        <f>IFERROR(__xludf.DUMMYFUNCTION("GOOGLETRANSLATE(A6975, ""en"", ""mt"")"),"Liema parti tifforma l-Parlament Skoċċiż?")</f>
        <v>Liema parti tifforma l-Parlament Skoċċiż?</v>
      </c>
    </row>
    <row r="6976" ht="15.75" customHeight="1">
      <c r="A6976" s="2" t="s">
        <v>6976</v>
      </c>
      <c r="B6976" s="2" t="str">
        <f>IFERROR(__xludf.DUMMYFUNCTION("GOOGLETRANSLATE(A6976, ""en"", ""mt"")"),"Żewġ korpi uffiċjali tal-Knisja Metodista Magħquda")</f>
        <v>Żewġ korpi uffiċjali tal-Knisja Metodista Magħquda</v>
      </c>
    </row>
    <row r="6977" ht="15.75" customHeight="1">
      <c r="A6977" s="2" t="s">
        <v>6977</v>
      </c>
      <c r="B6977" s="2" t="str">
        <f>IFERROR(__xludf.DUMMYFUNCTION("GOOGLETRANSLATE(A6977, ""en"", ""mt"")"),"Evidenza għal liema tipi ta 'strutturi nstabu fl-2003?")</f>
        <v>Evidenza għal liema tipi ta 'strutturi nstabu fl-2003?</v>
      </c>
    </row>
    <row r="6978" ht="15.75" customHeight="1">
      <c r="A6978" s="2" t="s">
        <v>6978</v>
      </c>
      <c r="B6978" s="2" t="str">
        <f>IFERROR(__xludf.DUMMYFUNCTION("GOOGLETRANSLATE(A6978, ""en"", ""mt"")"),"inqas minn tnejn fil-mija fis-sena")</f>
        <v>inqas minn tnejn fil-mija fis-sena</v>
      </c>
    </row>
    <row r="6979" ht="15.75" customHeight="1">
      <c r="A6979" s="2" t="s">
        <v>6979</v>
      </c>
      <c r="B6979" s="2" t="str">
        <f>IFERROR(__xludf.DUMMYFUNCTION("GOOGLETRANSLATE(A6979, ""en"", ""mt"")"),"Ħdejn Tamins-Reichenau, ir-Renu ta 'qabel u r-Renu ta' wara jingħaqdu u jiffurmaw ir-Renu. Ix-xmara tagħmel dawra distintiva lejn it-tramuntana ħdejn Chur. Din it-taqsima hija twila kważi 86 km, u tinżel minn għoli ta '599 m sa 396 m. Jidħol minn wied wie"&amp;"sa 'glaċjali alpin magħruf bħala l-Wied tar-Renu (Ġermaniż: Rheintal). Ħdejn Sargans diga naturali, għolja biss ftit metri, tipprevjeniha milli toħroġ fil-wied miftuħ ta 'Seeztal u mbagħad mill-Lag Walen u l-Lag Zurich fix-xmara Aare. Ir-Rhine Alpin jibda"&amp;" fl-iktar parti tal-punent tal-Canton Żvizzeru ta 'Graubünden, u aktar tard jifforma l-fruntiera bejn l-Isvizzera lejn il-punent u Liechtenstein u aktar tard l-Awstrija lejn il-lvant.")</f>
        <v>Ħdejn Tamins-Reichenau, ir-Renu ta 'qabel u r-Renu ta' wara jingħaqdu u jiffurmaw ir-Renu. Ix-xmara tagħmel dawra distintiva lejn it-tramuntana ħdejn Chur. Din it-taqsima hija twila kważi 86 km, u tinżel minn għoli ta '599 m sa 396 m. Jidħol minn wied wiesa 'glaċjali alpin magħruf bħala l-Wied tar-Renu (Ġermaniż: Rheintal). Ħdejn Sargans diga naturali, għolja biss ftit metri, tipprevjeniha milli toħroġ fil-wied miftuħ ta 'Seeztal u mbagħad mill-Lag Walen u l-Lag Zurich fix-xmara Aare. Ir-Rhine Alpin jibda fl-iktar parti tal-punent tal-Canton Żvizzeru ta 'Graubünden, u aktar tard jifforma l-fruntiera bejn l-Isvizzera lejn il-punent u Liechtenstein u aktar tard l-Awstrija lejn il-lvant.</v>
      </c>
    </row>
    <row r="6980" ht="15.75" customHeight="1">
      <c r="A6980" s="2" t="s">
        <v>6980</v>
      </c>
      <c r="B6980" s="2" t="str">
        <f>IFERROR(__xludf.DUMMYFUNCTION("GOOGLETRANSLATE(A6980, ""en"", ""mt"")"),"annimali taċ-ċinturin")</f>
        <v>annimali taċ-ċinturin</v>
      </c>
    </row>
    <row r="6981" ht="15.75" customHeight="1">
      <c r="A6981" s="2" t="s">
        <v>6981</v>
      </c>
      <c r="B6981" s="2" t="str">
        <f>IFERROR(__xludf.DUMMYFUNCTION("GOOGLETRANSLATE(A6981, ""en"", ""mt"")"),"X'jiekol ġeneralment il-Bolinopsis?")</f>
        <v>X'jiekol ġeneralment il-Bolinopsis?</v>
      </c>
    </row>
    <row r="6982" ht="15.75" customHeight="1">
      <c r="A6982" s="2" t="s">
        <v>6982</v>
      </c>
      <c r="B6982" s="2" t="str">
        <f>IFERROR(__xludf.DUMMYFUNCTION("GOOGLETRANSLATE(A6982, ""en"", ""mt"")"),"Kif tissejjaħ meta n-nies fis-soċjetà jirribellaw kontra l-liġijiet li jaħsbu li huma inġusti?")</f>
        <v>Kif tissejjaħ meta n-nies fis-soċjetà jirribellaw kontra l-liġijiet li jaħsbu li huma inġusti?</v>
      </c>
    </row>
    <row r="6983" ht="15.75" customHeight="1">
      <c r="A6983" s="2" t="s">
        <v>6983</v>
      </c>
      <c r="B6983" s="2" t="str">
        <f>IFERROR(__xludf.DUMMYFUNCTION("GOOGLETRANSLATE(A6983, ""en"", ""mt"")"),"Għal liema tip ta 'bhejjem kien magħruf ir-reġjun argrikulturali?")</f>
        <v>Għal liema tip ta 'bhejjem kien magħruf ir-reġjun argrikulturali?</v>
      </c>
    </row>
    <row r="6984" ht="15.75" customHeight="1">
      <c r="A6984" s="2" t="s">
        <v>6984</v>
      </c>
      <c r="B6984" s="2" t="str">
        <f>IFERROR(__xludf.DUMMYFUNCTION("GOOGLETRANSLATE(A6984, ""en"", ""mt"")"),"Imperjalizmu ""Informali""")</f>
        <v>Imperjalizmu "Informali"</v>
      </c>
    </row>
    <row r="6985" ht="15.75" customHeight="1">
      <c r="A6985" s="2" t="s">
        <v>6985</v>
      </c>
      <c r="B6985" s="2" t="str">
        <f>IFERROR(__xludf.DUMMYFUNCTION("GOOGLETRANSLATE(A6985, ""en"", ""mt"")"),"Meta beda l-ABC l-ewwel?")</f>
        <v>Meta beda l-ABC l-ewwel?</v>
      </c>
    </row>
    <row r="6986" ht="15.75" customHeight="1">
      <c r="A6986" s="2" t="s">
        <v>6986</v>
      </c>
      <c r="B6986" s="2" t="str">
        <f>IFERROR(__xludf.DUMMYFUNCTION("GOOGLETRANSLATE(A6986, ""en"", ""mt"")"),"It-taħlita ta 'Varsavja ta' stili arkitettoniċi tirrifletti l-istorja mqallba tal-belt u l-pajjiż. Matul it-Tieni Gwerra Dinjija, Varsavja kienet imqaxxra mal-art billi bombi r-rejds u l-qerda ppjanata. Wara l-liberazzjoni, il-bini mill-ġdid beda bħal fi "&amp;"bliet oħra tal-PRL immexxi mill-komunista. Il-biċċa l-kbira tal-binjiet storiċi ġew rikostruwiti sewwa. Madankollu, uħud mill-binjiet mis-seklu 19 li kienu ġew ippreservati f'forma raġonevolment rikostructible ġew madankollu meqruda fl-1950 u l-1960 (e.g."&amp;" il-Palazz Leopold Kronenberg). Inbnew blokki residenzjali tal-massa, b'disinn bażiku tipiku tal-pajjiżi tal-Blokk tal-Lvant.")</f>
        <v>It-taħlita ta 'Varsavja ta' stili arkitettoniċi tirrifletti l-istorja mqallba tal-belt u l-pajjiż. Matul it-Tieni Gwerra Dinjija, Varsavja kienet imqaxxra mal-art billi bombi r-rejds u l-qerda ppjanata. Wara l-liberazzjoni, il-bini mill-ġdid beda bħal fi bliet oħra tal-PRL immexxi mill-komunista. Il-biċċa l-kbira tal-binjiet storiċi ġew rikostruwiti sewwa. Madankollu, uħud mill-binjiet mis-seklu 19 li kienu ġew ippreservati f'forma raġonevolment rikostructible ġew madankollu meqruda fl-1950 u l-1960 (e.g. il-Palazz Leopold Kronenberg). Inbnew blokki residenzjali tal-massa, b'disinn bażiku tipiku tal-pajjiżi tal-Blokk tal-Lvant.</v>
      </c>
    </row>
    <row r="6987" ht="15.75" customHeight="1">
      <c r="A6987" s="2" t="s">
        <v>6987</v>
      </c>
      <c r="B6987" s="2" t="str">
        <f>IFERROR(__xludf.DUMMYFUNCTION("GOOGLETRANSLATE(A6987, ""en"", ""mt"")"),"Investigazzjoni ġdida dwar ir-rwol ta 'Yersinia pestis fil-mewt l-Iswed")</f>
        <v>Investigazzjoni ġdida dwar ir-rwol ta 'Yersinia pestis fil-mewt l-Iswed</v>
      </c>
    </row>
    <row r="6988" ht="15.75" customHeight="1">
      <c r="A6988" s="2" t="s">
        <v>6988</v>
      </c>
      <c r="B6988" s="2" t="str">
        <f>IFERROR(__xludf.DUMMYFUNCTION("GOOGLETRANSLATE(A6988, ""en"", ""mt"")"),"Lista kompluta ta 'primes sa hija magħrufa")</f>
        <v>Lista kompluta ta 'primes sa hija magħrufa</v>
      </c>
    </row>
    <row r="6989" ht="15.75" customHeight="1">
      <c r="A6989" s="2" t="s">
        <v>6989</v>
      </c>
      <c r="B6989" s="2" t="str">
        <f>IFERROR(__xludf.DUMMYFUNCTION("GOOGLETRANSLATE(A6989, ""en"", ""mt"")"),"Liema żewġ artisti famużi oħra kienu parti mis-Super Bowl 50 f'ħin il-mistrieħ?")</f>
        <v>Liema żewġ artisti famużi oħra kienu parti mis-Super Bowl 50 f'ħin il-mistrieħ?</v>
      </c>
    </row>
    <row r="6990" ht="15.75" customHeight="1">
      <c r="A6990" s="2" t="s">
        <v>6990</v>
      </c>
      <c r="B6990" s="2" t="str">
        <f>IFERROR(__xludf.DUMMYFUNCTION("GOOGLETRANSLATE(A6990, ""en"", ""mt"")"),"Bħall-mitokondrija, il-kloroplasti jużaw l-enerġija potenzjali maħżuna f'H +, jew gradjent tal-joni tal-idroġenu biex tiġġenera enerġija ATP. Iż-żewġ photosystems jaqbdu enerġija ħafifa biex iwaqqfu l-elettroni meħuda mill-ilma, u jeħilsuhom 'l isfel minn"&amp;" katina ta' trasport ta 'elettroni. Il-molekuli bejn il-photosystems jisfruttaw l-enerġija tal-elettroni biex jippompjaw joni tal-idroġenu fl-ispazju tat-tilakoid, li joħolqu gradjent ta 'konċentrazzjoni, b'aktar joni tal-idroġenu (sa elf darba daqs ħafna"&amp;") ġewwa s-sistema tat-tilakoid milli fl-istroma. L-joni tal-idroġenu fl-ispazju tat-tilakoid imbagħad ixxerrdu lura l-gradjent tal-konċentrazzjoni tagħhom, li joħorġu lura fl-istoma permezz ta 'ATP synthase. ATP synthase juża l-enerġija mill-joni tal-idro"&amp;"ġenu li jiċċirkolaw għal fosforilat adenosine difosfat fi adenosine trifosfat, jew ATP. Minħabba li l-kloroplast ATP synthase jipproġetta fl-istoma, l-ATP huwa sintetizzat hemmhekk, f'pożizzjoni li jintuża fir-reazzjonijiet mudlama.")</f>
        <v>Bħall-mitokondrija, il-kloroplasti jużaw l-enerġija potenzjali maħżuna f'H +, jew gradjent tal-joni tal-idroġenu biex tiġġenera enerġija ATP. Iż-żewġ photosystems jaqbdu enerġija ħafifa biex iwaqqfu l-elettroni meħuda mill-ilma, u jeħilsuhom 'l isfel minn katina ta' trasport ta 'elettroni. Il-molekuli bejn il-photosystems jisfruttaw l-enerġija tal-elettroni biex jippompjaw joni tal-idroġenu fl-ispazju tat-tilakoid, li joħolqu gradjent ta 'konċentrazzjoni, b'aktar joni tal-idroġenu (sa elf darba daqs ħafna) ġewwa s-sistema tat-tilakoid milli fl-istroma. L-joni tal-idroġenu fl-ispazju tat-tilakoid imbagħad ixxerrdu lura l-gradjent tal-konċentrazzjoni tagħhom, li joħorġu lura fl-istoma permezz ta 'ATP synthase. ATP synthase juża l-enerġija mill-joni tal-idroġenu li jiċċirkolaw għal fosforilat adenosine difosfat fi adenosine trifosfat, jew ATP. Minħabba li l-kloroplast ATP synthase jipproġetta fl-istoma, l-ATP huwa sintetizzat hemmhekk, f'pożizzjoni li jintuża fir-reazzjonijiet mudlama.</v>
      </c>
    </row>
    <row r="6991" ht="15.75" customHeight="1">
      <c r="A6991" s="2" t="s">
        <v>6991</v>
      </c>
      <c r="B6991" s="2" t="str">
        <f>IFERROR(__xludf.DUMMYFUNCTION("GOOGLETRANSLATE(A6991, ""en"", ""mt"")"),"reazzjoni eżotermika")</f>
        <v>reazzjoni eżotermika</v>
      </c>
    </row>
    <row r="6992" ht="15.75" customHeight="1">
      <c r="A6992" s="2" t="s">
        <v>6992</v>
      </c>
      <c r="B6992" s="2" t="str">
        <f>IFERROR(__xludf.DUMMYFUNCTION("GOOGLETRANSLATE(A6992, ""en"", ""mt"")"),"X'tip ta 'klima għandu l-Kenja?")</f>
        <v>X'tip ta 'klima għandu l-Kenja?</v>
      </c>
    </row>
    <row r="6993" ht="15.75" customHeight="1">
      <c r="A6993" s="2" t="s">
        <v>6993</v>
      </c>
      <c r="B6993" s="2" t="str">
        <f>IFERROR(__xludf.DUMMYFUNCTION("GOOGLETRANSLATE(A6993, ""en"", ""mt"")"),"avorju")</f>
        <v>avorju</v>
      </c>
    </row>
    <row r="6994" ht="15.75" customHeight="1">
      <c r="A6994" s="2" t="s">
        <v>6994</v>
      </c>
      <c r="B6994" s="2" t="str">
        <f>IFERROR(__xludf.DUMMYFUNCTION("GOOGLETRANSLATE(A6994, ""en"", ""mt"")"),"skejjel indipendenti")</f>
        <v>skejjel indipendenti</v>
      </c>
    </row>
    <row r="6995" ht="15.75" customHeight="1">
      <c r="A6995" s="2" t="s">
        <v>6995</v>
      </c>
      <c r="B6995" s="2" t="str">
        <f>IFERROR(__xludf.DUMMYFUNCTION("GOOGLETRANSLATE(A6995, ""en"", ""mt"")"),"arkitettoniku")</f>
        <v>arkitettoniku</v>
      </c>
    </row>
    <row r="6996" ht="15.75" customHeight="1">
      <c r="A6996" s="2" t="s">
        <v>6996</v>
      </c>
      <c r="B6996" s="2" t="str">
        <f>IFERROR(__xludf.DUMMYFUNCTION("GOOGLETRANSLATE(A6996, ""en"", ""mt"")"),"Kemm għandha attività bl-imnut il-viċinat?")</f>
        <v>Kemm għandha attività bl-imnut il-viċinat?</v>
      </c>
    </row>
    <row r="6997" ht="15.75" customHeight="1">
      <c r="A6997" s="2" t="s">
        <v>6997</v>
      </c>
      <c r="B6997" s="2" t="str">
        <f>IFERROR(__xludf.DUMMYFUNCTION("GOOGLETRANSLATE(A6997, ""en"", ""mt"")"),"Liema kwistjonijiet jistgħu jipprevjenu lin-nisa milli jaħdmu barra d-dar jew jirċievu edukazzjoni?")</f>
        <v>Liema kwistjonijiet jistgħu jipprevjenu lin-nisa milli jaħdmu barra d-dar jew jirċievu edukazzjoni?</v>
      </c>
    </row>
    <row r="6998" ht="15.75" customHeight="1">
      <c r="A6998" s="2" t="s">
        <v>6998</v>
      </c>
      <c r="B6998" s="2" t="str">
        <f>IFERROR(__xludf.DUMMYFUNCTION("GOOGLETRANSLATE(A6998, ""en"", ""mt"")"),"Liema avvenimenti huma spiss assoċjati ma 'vulkanizmu u attività igneous?")</f>
        <v>Liema avvenimenti huma spiss assoċjati ma 'vulkanizmu u attività igneous?</v>
      </c>
    </row>
    <row r="6999" ht="15.75" customHeight="1">
      <c r="A6999" s="2" t="s">
        <v>6999</v>
      </c>
      <c r="B6999" s="2" t="str">
        <f>IFERROR(__xludf.DUMMYFUNCTION("GOOGLETRANSLATE(A6999, ""en"", ""mt"")"),"Il-Kavallieri Templari")</f>
        <v>Il-Kavallieri Templari</v>
      </c>
    </row>
    <row r="7000" ht="15.75" customHeight="1">
      <c r="A7000" s="2" t="s">
        <v>7000</v>
      </c>
      <c r="B7000" s="2" t="str">
        <f>IFERROR(__xludf.DUMMYFUNCTION("GOOGLETRANSLATE(A7000, ""en"", ""mt"")"),"Xiri")</f>
        <v>Xiri</v>
      </c>
    </row>
    <row r="7001" ht="15.75" customHeight="1">
      <c r="A7001" s="2" t="s">
        <v>7001</v>
      </c>
      <c r="B7001" s="2" t="str">
        <f>IFERROR(__xludf.DUMMYFUNCTION("GOOGLETRANSLATE(A7001, ""en"", ""mt"")"),"Muqali, Jebe u Subutai")</f>
        <v>Muqali, Jebe u Subutai</v>
      </c>
    </row>
    <row r="7002" ht="15.75" customHeight="1">
      <c r="A7002" s="2" t="s">
        <v>7002</v>
      </c>
      <c r="B7002" s="2" t="str">
        <f>IFERROR(__xludf.DUMMYFUNCTION("GOOGLETRANSLATE(A7002, ""en"", ""mt"")"),"Liema tliet Potters Brittaniċi famużi huma rrappreżentati l-kollezzjoni taċ-ċeramika V&amp;A?")</f>
        <v>Liema tliet Potters Brittaniċi famużi huma rrappreżentati l-kollezzjoni taċ-ċeramika V&amp;A?</v>
      </c>
    </row>
    <row r="7003" ht="15.75" customHeight="1">
      <c r="A7003" s="2" t="s">
        <v>7003</v>
      </c>
      <c r="B7003" s="2" t="str">
        <f>IFERROR(__xludf.DUMMYFUNCTION("GOOGLETRANSLATE(A7003, ""en"", ""mt"")"),"X'użaw al-gama'a al-Islamiyya biex jiksbu triqtu?")</f>
        <v>X'użaw al-gama'a al-Islamiyya biex jiksbu triqtu?</v>
      </c>
    </row>
    <row r="7004" ht="15.75" customHeight="1">
      <c r="A7004" s="2" t="s">
        <v>7004</v>
      </c>
      <c r="B7004" s="2" t="str">
        <f>IFERROR(__xludf.DUMMYFUNCTION("GOOGLETRANSLATE(A7004, ""en"", ""mt"")"),"Riċentement ġie żviluppat mudell aktar dettaljat tad-dinja. Is-sismologi setgħu joħolqu dan billi jużaw immaġini ta 'dak mill-intern tad-dinja?")</f>
        <v>Riċentement ġie żviluppat mudell aktar dettaljat tad-dinja. Is-sismologi setgħu joħolqu dan billi jużaw immaġini ta 'dak mill-intern tad-dinja?</v>
      </c>
    </row>
    <row r="7005" ht="15.75" customHeight="1">
      <c r="A7005" s="2" t="s">
        <v>7005</v>
      </c>
      <c r="B7005" s="2" t="str">
        <f>IFERROR(__xludf.DUMMYFUNCTION("GOOGLETRANSLATE(A7005, ""en"", ""mt"")"),"F'Gebhard vs Consiglio ... Milano, ir-rekwiżiti li għandhom jiġu rreġistrati f'Milan qabel ma jkunu jistgħu jipprattikaw il-liġi jkunu permessi taħt liema kundizzjonijiet?")</f>
        <v>F'Gebhard vs Consiglio ... Milano, ir-rekwiżiti li għandhom jiġu rreġistrati f'Milan qabel ma jkunu jistgħu jipprattikaw il-liġi jkunu permessi taħt liema kundizzjonijiet?</v>
      </c>
    </row>
    <row r="7006" ht="15.75" customHeight="1">
      <c r="A7006" s="2" t="s">
        <v>7006</v>
      </c>
      <c r="B7006" s="2" t="str">
        <f>IFERROR(__xludf.DUMMYFUNCTION("GOOGLETRANSLATE(A7006, ""en"", ""mt"")"),"Il-Panthers għelbu lil Seattle Seahawks fir-rawnd diviżjonali, imexxu vantaġġ ta '31 -0 f'ħin il-mistrieħ u mbagħad żammew attentat ta 'rimonta tat-tieni taqsima furious biex jirbħu 31-24, u jwarrbu l-eliminazzjoni tagħhom minn sena qabel. Il-Panthers imb"&amp;"agħad splodew il-Kardinali tal-Arizona fil-logħba tal-Kampjonat NFC, 49-15, ġabu 487 tarzna u ġiegħlu seba 'fatturat.")</f>
        <v>Il-Panthers għelbu lil Seattle Seahawks fir-rawnd diviżjonali, imexxu vantaġġ ta '31 -0 f'ħin il-mistrieħ u mbagħad żammew attentat ta 'rimonta tat-tieni taqsima furious biex jirbħu 31-24, u jwarrbu l-eliminazzjoni tagħhom minn sena qabel. Il-Panthers imbagħad splodew il-Kardinali tal-Arizona fil-logħba tal-Kampjonat NFC, 49-15, ġabu 487 tarzna u ġiegħlu seba 'fatturat.</v>
      </c>
    </row>
    <row r="7007" ht="15.75" customHeight="1">
      <c r="A7007" s="2" t="s">
        <v>7007</v>
      </c>
      <c r="B7007" s="2" t="str">
        <f>IFERROR(__xludf.DUMMYFUNCTION("GOOGLETRANSLATE(A7007, ""en"", ""mt"")"),"X'tip ta 'gwerra appoġġ Luther kontra t-Torok, anke jekk ma opponax gwerra reliġjuża?")</f>
        <v>X'tip ta 'gwerra appoġġ Luther kontra t-Torok, anke jekk ma opponax gwerra reliġjuża?</v>
      </c>
    </row>
    <row r="7008" ht="15.75" customHeight="1">
      <c r="A7008" s="2" t="s">
        <v>7008</v>
      </c>
      <c r="B7008" s="2" t="str">
        <f>IFERROR(__xludf.DUMMYFUNCTION("GOOGLETRANSLATE(A7008, ""en"", ""mt"")"),"L-iktar passaġġ antisemitiku radikalment qatt ippubblikat")</f>
        <v>L-iktar passaġġ antisemitiku radikalment qatt ippubblikat</v>
      </c>
    </row>
    <row r="7009" ht="15.75" customHeight="1">
      <c r="A7009" s="2" t="s">
        <v>7009</v>
      </c>
      <c r="B7009" s="2" t="str">
        <f>IFERROR(__xludf.DUMMYFUNCTION("GOOGLETRANSLATE(A7009, ""en"", ""mt"")"),"Is-Swaħili")</f>
        <v>Is-Swaħili</v>
      </c>
    </row>
    <row r="7010" ht="15.75" customHeight="1">
      <c r="A7010" s="2" t="s">
        <v>7010</v>
      </c>
      <c r="B7010" s="2" t="str">
        <f>IFERROR(__xludf.DUMMYFUNCTION("GOOGLETRANSLATE(A7010, ""en"", ""mt"")"),"Wara l-Griegi, ftit ġara bl-istudju tan-numri ewlenin sas-seklu 17. Fl-1640 Pierre de Fermat iddikjara (mingħajr prova) it-teorema żgħira ta 'Fermat (aktar tard ippruvata minn Leibniz u Euler). Fermat ikkonjetta wkoll li n-numri kollha tal-Formola 22N + 1"&amp;" huma primarji (huma msejħa Fermat Numri) u huwa vverifika dan sa n = 4 (jew 216 + 1). Madankollu, in-numru Fermat li jmiss stess 232 + 1 huwa kompost (wieħed mill-fatturi ewlenin tiegħu huwa 641), kif skopra Euler aktar tard, u fil-fatt m'hemm l-ebda num"&amp;"ri ta 'fermati oħra magħrufa. Il-monk Franċiż Marin Mersenne ħares lejn il-primes tal-forma 2p - 1, bil-P a prim. Huma msejħa Mersenne Primes fl-unur tiegħu.")</f>
        <v>Wara l-Griegi, ftit ġara bl-istudju tan-numri ewlenin sas-seklu 17. Fl-1640 Pierre de Fermat iddikjara (mingħajr prova) it-teorema żgħira ta 'Fermat (aktar tard ippruvata minn Leibniz u Euler). Fermat ikkonjetta wkoll li n-numri kollha tal-Formola 22N + 1 huma primarji (huma msejħa Fermat Numri) u huwa vverifika dan sa n = 4 (jew 216 + 1). Madankollu, in-numru Fermat li jmiss stess 232 + 1 huwa kompost (wieħed mill-fatturi ewlenin tiegħu huwa 641), kif skopra Euler aktar tard, u fil-fatt m'hemm l-ebda numri ta 'fermati oħra magħrufa. Il-monk Franċiż Marin Mersenne ħares lejn il-primes tal-forma 2p - 1, bil-P a prim. Huma msejħa Mersenne Primes fl-unur tiegħu.</v>
      </c>
    </row>
    <row r="7011" ht="15.75" customHeight="1">
      <c r="A7011" s="2" t="s">
        <v>7011</v>
      </c>
      <c r="B7011" s="2" t="str">
        <f>IFERROR(__xludf.DUMMYFUNCTION("GOOGLETRANSLATE(A7011, ""en"", ""mt"")"),"Ġermaniż")</f>
        <v>Ġermaniż</v>
      </c>
    </row>
    <row r="7012" ht="15.75" customHeight="1">
      <c r="A7012" s="2" t="s">
        <v>7012</v>
      </c>
      <c r="B7012" s="2" t="str">
        <f>IFERROR(__xludf.DUMMYFUNCTION("GOOGLETRANSLATE(A7012, ""en"", ""mt"")"),"Biex tesplora netwerking tal-kompjuter bejn tlieta mill-universitajiet pubbliċi ta 'Michigan")</f>
        <v>Biex tesplora netwerking tal-kompjuter bejn tlieta mill-universitajiet pubbliċi ta 'Michigan</v>
      </c>
    </row>
    <row r="7013" ht="15.75" customHeight="1">
      <c r="A7013" s="2" t="s">
        <v>7013</v>
      </c>
      <c r="B7013" s="2" t="str">
        <f>IFERROR(__xludf.DUMMYFUNCTION("GOOGLETRANSLATE(A7013, ""en"", ""mt"")"),"Fergħa Ġudizzjarja")</f>
        <v>Fergħa Ġudizzjarja</v>
      </c>
    </row>
    <row r="7014" ht="15.75" customHeight="1">
      <c r="A7014" s="2" t="s">
        <v>7014</v>
      </c>
      <c r="B7014" s="2" t="str">
        <f>IFERROR(__xludf.DUMMYFUNCTION("GOOGLETRANSLATE(A7014, ""en"", ""mt"")"),"Dtime (n2)")</f>
        <v>Dtime (n2)</v>
      </c>
    </row>
    <row r="7015" ht="15.75" customHeight="1">
      <c r="A7015" s="2" t="s">
        <v>7015</v>
      </c>
      <c r="B7015" s="2" t="str">
        <f>IFERROR(__xludf.DUMMYFUNCTION("GOOGLETRANSLATE(A7015, ""en"", ""mt"")"),"Kombustjoni rapida")</f>
        <v>Kombustjoni rapida</v>
      </c>
    </row>
    <row r="7016" ht="15.75" customHeight="1">
      <c r="A7016" s="2" t="s">
        <v>7016</v>
      </c>
      <c r="B7016" s="2" t="str">
        <f>IFERROR(__xludf.DUMMYFUNCTION("GOOGLETRANSLATE(A7016, ""en"", ""mt"")"),"Siltiet mid-dokumentarju Kunfidenzjali tad-Doctor Who")</f>
        <v>Siltiet mid-dokumentarju Kunfidenzjali tad-Doctor Who</v>
      </c>
    </row>
    <row r="7017" ht="15.75" customHeight="1">
      <c r="A7017" s="2" t="s">
        <v>7017</v>
      </c>
      <c r="B7017" s="2" t="str">
        <f>IFERROR(__xludf.DUMMYFUNCTION("GOOGLETRANSLATE(A7017, ""en"", ""mt"")"),"Tesla Coil")</f>
        <v>Tesla Coil</v>
      </c>
    </row>
    <row r="7018" ht="15.75" customHeight="1">
      <c r="A7018" s="2" t="s">
        <v>7018</v>
      </c>
      <c r="B7018" s="2" t="str">
        <f>IFERROR(__xludf.DUMMYFUNCTION("GOOGLETRANSLATE(A7018, ""en"", ""mt"")"),"Rock jikkristallizza minn Melt (Magma u / jew Lava)")</f>
        <v>Rock jikkristallizza minn Melt (Magma u / jew Lava)</v>
      </c>
    </row>
    <row r="7019" ht="15.75" customHeight="1">
      <c r="A7019" s="2" t="s">
        <v>7019</v>
      </c>
      <c r="B7019" s="2" t="str">
        <f>IFERROR(__xludf.DUMMYFUNCTION("GOOGLETRANSLATE(A7019, ""en"", ""mt"")"),"Kull erba 'snin")</f>
        <v>Kull erba 'snin</v>
      </c>
    </row>
    <row r="7020" ht="15.75" customHeight="1">
      <c r="A7020" s="2" t="s">
        <v>7020</v>
      </c>
      <c r="B7020" s="2" t="str">
        <f>IFERROR(__xludf.DUMMYFUNCTION("GOOGLETRANSLATE(A7020, ""en"", ""mt"")"),"Doctor Who deher l-ewwel fuq BBC TV fis-17: 16: 20 GMT, tmenin sekonda wara l-ħin skedat tal-programm, 5:15 pm, nhar is-Sibt, 23 ta 'Novembru 1963. Kellu jkun programm regolari ta' kull ġimgħa, kull episodju 25 minuta ta 'trasmissjoni tul. Diskussjonijiet"&amp;" u pjanijiet għall-programm kienu ilhom għaddejjin għal sena. Il-Kap tad-Drama, il-Kanadiż Sydney Newman, kien prinċipalment responsabbli għall-iżvilupp tal-programm, bl-ewwel dokument tal-format għas-serje qed miktub minn Newman flimkien mal-kap tad-dipa"&amp;"rtiment tal-iskritt (aktar tard Kap tas-Serje) Donald Wilson u l-kittieb tal-persunal C. E. Webber - Il-kittieb Anthony Coburn, l-editur tal-istorja David Whitaker u l-produttur inizjali Verity Lambert ikkontribwew ukoll ħafna għall-iżvilupp tas-serje. [N"&amp;"ota 1] Il-programm kien oriġinarjament maħsub biex jappella lil udjenza tal-familja, bħala programm edukattiv li juża l-ivvjaġġar tal-ħin bħala mezz Esplora ideat xjentifiċi u mumenti famużi fl-istorja. Fil-31 ta 'Lulju 1963 Whitaker ikkummissjona lil Ter"&amp;"ry Nation biex jikteb storja taħt it-titlu The Mutants. Kif miktub oriġinarjament, id-Daleks u t-Thals kienu vittmi ta 'attakk ta' bomba ta 'newtroni aljeni iżda Nazzjon aktar tard waqqa' l-aljeni u għamlu lill-Aggressuri Daleks. Meta l-iskritt ġie ppreże"&amp;"ntat lil Newman u Wilson ġie rifjutat immedjatament peress li l-programm ma kienx permess li jkun fih l-ebda ""monsters b'għajn tal-bug"". L-ewwel serje kienet tlestiet u l-BBC kien jemmen li kien kruċjali li dak li jmiss ikun suċċess, iżda l-mutanti kien"&amp;" l-uniku skript lest biex imur, u għalhekk l-ispettaklu kellu ftit għażla ħlief li tużah. Skond il-produttur Verity Lambert; ""Ma kellniex ħafna għażla - kellna biss is-serje Dalek biex immorru ... kellna ftit kriżi ta 'kunfidenza minħabba li Donald [Wils"&amp;"on] kien daqshekk sod li m'għandniex nagħmluha. Kieku kellna Kull ħaġa oħra lesta li għamilna dan. "" L-iskrittura tan-Nazzjon saret it-tieni Tabib Who Serial - The Daleks (a.k.a. The Mutants). Is-serje introduċiet l-aljeni eponimi li kienu jsiru l-iktar "&amp;"monsters tas-serje, u kienet responsabbli għall-ewwel boom tal-merchandising tal-BBC.")</f>
        <v>Doctor Who deher l-ewwel fuq BBC TV fis-17: 16: 20 GMT, tmenin sekonda wara l-ħin skedat tal-programm, 5:15 pm, nhar is-Sibt, 23 ta 'Novembru 1963. Kellu jkun programm regolari ta' kull ġimgħa, kull episodju 25 minuta ta 'trasmissjoni tul. Diskussjonijiet u pjanijiet għall-programm kienu ilhom għaddejjin għal sena. Il-Kap tad-Drama, il-Kanadiż Sydney Newman, kien prinċipalment responsabbli għall-iżvilupp tal-programm, bl-ewwel dokument tal-format għas-serje qed miktub minn Newman flimkien mal-kap tad-dipartiment tal-iskritt (aktar tard Kap tas-Serje) Donald Wilson u l-kittieb tal-persunal C. E. Webber - Il-kittieb Anthony Coburn, l-editur tal-istorja David Whitaker u l-produttur inizjali Verity Lambert ikkontribwew ukoll ħafna għall-iżvilupp tas-serje. [Nota 1] Il-programm kien oriġinarjament maħsub biex jappella lil udjenza tal-familja, bħala programm edukattiv li juża l-ivvjaġġar tal-ħin bħala mezz Esplora ideat xjentifiċi u mumenti famużi fl-istorja. Fil-31 ta 'Lulju 1963 Whitaker ikkummissjona lil Terry Nation biex jikteb storja taħt it-titlu The Mutants. Kif miktub oriġinarjament, id-Daleks u t-Thals kienu vittmi ta 'attakk ta' bomba ta 'newtroni aljeni iżda Nazzjon aktar tard waqqa' l-aljeni u għamlu lill-Aggressuri Daleks. Meta l-iskritt ġie ppreżentat lil Newman u Wilson ġie rifjutat immedjatament peress li l-programm ma kienx permess li jkun fih l-ebda "monsters b'għajn tal-bug". L-ewwel serje kienet tlestiet u l-BBC kien jemmen li kien kruċjali li dak li jmiss ikun suċċess, iżda l-mutanti kien l-uniku skript lest biex imur, u għalhekk l-ispettaklu kellu ftit għażla ħlief li tużah. Skond il-produttur Verity Lambert; "Ma kellniex ħafna għażla - kellna biss is-serje Dalek biex immorru ... kellna ftit kriżi ta 'kunfidenza minħabba li Donald [Wilson] kien daqshekk sod li m'għandniex nagħmluha. Kieku kellna Kull ħaġa oħra lesta li għamilna dan. " L-iskrittura tan-Nazzjon saret it-tieni Tabib Who Serial - The Daleks (a.k.a. The Mutants). Is-serje introduċiet l-aljeni eponimi li kienu jsiru l-iktar monsters tas-serje, u kienet responsabbli għall-ewwel boom tal-merchandising tal-BBC.</v>
      </c>
    </row>
    <row r="7021" ht="15.75" customHeight="1">
      <c r="A7021" s="2" t="s">
        <v>7021</v>
      </c>
      <c r="B7021" s="2" t="str">
        <f>IFERROR(__xludf.DUMMYFUNCTION("GOOGLETRANSLATE(A7021, ""en"", ""mt"")"),"Fejn kienu magħżula Schirra, Eisele u Cunningham wara li ġew magħżula astronawti differenti għall-missjoni AS-258?")</f>
        <v>Fejn kienu magħżula Schirra, Eisele u Cunningham wara li ġew magħżula astronawti differenti għall-missjoni AS-258?</v>
      </c>
    </row>
    <row r="7022" ht="15.75" customHeight="1">
      <c r="A7022" s="2" t="s">
        <v>7022</v>
      </c>
      <c r="B7022" s="2" t="str">
        <f>IFERROR(__xludf.DUMMYFUNCTION("GOOGLETRANSLATE(A7022, ""en"", ""mt"")"),"L-għaqda bejn ITT u ABC ġiet sospiża wara li ġie ppreżentat ilment minn min f'Lulju 1967?")</f>
        <v>L-għaqda bejn ITT u ABC ġiet sospiża wara li ġie ppreżentat ilment minn min f'Lulju 1967?</v>
      </c>
    </row>
    <row r="7023" ht="15.75" customHeight="1">
      <c r="A7023" s="2" t="s">
        <v>7023</v>
      </c>
      <c r="B7023" s="2" t="str">
        <f>IFERROR(__xludf.DUMMYFUNCTION("GOOGLETRANSLATE(A7023, ""en"", ""mt"")"),"Jekk id-dispożizzjonijiet tat-trattati għandhom effett dirett u huma ċari biżżejjed, preċiżi u inkondizzjonati")</f>
        <v>Jekk id-dispożizzjonijiet tat-trattati għandhom effett dirett u huma ċari biżżejjed, preċiżi u inkondizzjonati</v>
      </c>
    </row>
    <row r="7024" ht="15.75" customHeight="1">
      <c r="A7024" s="2" t="s">
        <v>7024</v>
      </c>
      <c r="B7024" s="2" t="str">
        <f>IFERROR(__xludf.DUMMYFUNCTION("GOOGLETRANSLATE(A7024, ""en"", ""mt"")"),"Prussja")</f>
        <v>Prussja</v>
      </c>
    </row>
    <row r="7025" ht="15.75" customHeight="1">
      <c r="A7025" s="2" t="s">
        <v>7025</v>
      </c>
      <c r="B7025" s="2" t="str">
        <f>IFERROR(__xludf.DUMMYFUNCTION("GOOGLETRANSLATE(A7025, ""en"", ""mt"")"),"Nullifikazzjoni tal-Ġurija")</f>
        <v>Nullifikazzjoni tal-Ġurija</v>
      </c>
    </row>
    <row r="7026" ht="15.75" customHeight="1">
      <c r="A7026" s="2" t="s">
        <v>7026</v>
      </c>
      <c r="B7026" s="2" t="str">
        <f>IFERROR(__xludf.DUMMYFUNCTION("GOOGLETRANSLATE(A7026, ""en"", ""mt"")"),"Minħabba li l-kelliema huma meħuda minn madwar l-Iskozja, xiex jirrappreżentaw il-bilanċ?")</f>
        <v>Minħabba li l-kelliema huma meħuda minn madwar l-Iskozja, xiex jirrappreżentaw il-bilanċ?</v>
      </c>
    </row>
    <row r="7027" ht="15.75" customHeight="1">
      <c r="A7027" s="2" t="s">
        <v>7027</v>
      </c>
      <c r="B7027" s="2" t="str">
        <f>IFERROR(__xludf.DUMMYFUNCTION("GOOGLETRANSLATE(A7027, ""en"", ""mt"")"),"F’Lulju 1977, il-Ġeneral Zia-ul-Haq waqqa ’r-reġim tal-Prim Ministru Zulfiqar Ali Bhutto fil-Pakistan. Ali Bhutto, xellug f'kompetizzjoni demokratika ma 'l-Iżlamisti, ħabbar li jipprojbixxi l-alkoħol u l-nightclubs fi żmien sitt xhur, ftit qabel ma ġie mw"&amp;"aqqa'. Zia-ul-Haq kien ferm iktar impenjat għall-Iżlamiżmu, u ""l-Iżlamizzazzjoni"" jew l-implimentazzjoni tal-liġi Iżlamika, sar pedament tad-dittatorjat militari tiegħu ta 'ħdax-il sena u l-Iżlamiżmu sar ""ideoloġija uffiċjali tal-istat"" tiegħu. Zia ul"&amp;" Haq kien ammiratur tal-partit Mawdudi u Mawdudi Jamaat-e-Islami sar ""id-driegħ ideoloġiku u politiku tar-reġim"". Fil-Pakistan din l-Iżlamizzazzjoni minn fuq kienet ""probabbilment"" kompluta ""milli taħt kwalunkwe reġim ieħor ħlief dawk fl-Iran u s-Sud"&amp;"an,"" iżda Zia-ul-Haq ġie kkritikat ukoll minn ħafna Iżlamisti talli imponew ""simboli"" aktar milli sustanza, u jużaw l-Iżlamizzazzjoni biex leġittimizza l-mezzi tiegħu biex jaħtaf il-poter. B'differenza mill-Iran ġirien, il-politiki ta 'Zia-ul-Haq kienu"&amp;" maħsuba biex ""jevitaw eċċess rivoluzzjonarju"", u mhux biex iwaqqfu r-relazzjonijiet mal-alleati tiegħu tal-Istat tal-Golf Amerikan u Persjan tiegħu. Zia-ul-Haq inqatel fl-1988 iżda l-Iżlamizzazzjoni tibqa 'element importanti fis-soċjetà Pakistana.")</f>
        <v>F’Lulju 1977, il-Ġeneral Zia-ul-Haq waqqa ’r-reġim tal-Prim Ministru Zulfiqar Ali Bhutto fil-Pakistan. Ali Bhutto, xellug f'kompetizzjoni demokratika ma 'l-Iżlamisti, ħabbar li jipprojbixxi l-alkoħol u l-nightclubs fi żmien sitt xhur, ftit qabel ma ġie mwaqqa'. Zia-ul-Haq kien ferm iktar impenjat għall-Iżlamiżmu, u "l-Iżlamizzazzjoni" jew l-implimentazzjoni tal-liġi Iżlamika, sar pedament tad-dittatorjat militari tiegħu ta 'ħdax-il sena u l-Iżlamiżmu sar "ideoloġija uffiċjali tal-istat" tiegħu. Zia ul Haq kien ammiratur tal-partit Mawdudi u Mawdudi Jamaat-e-Islami sar "id-driegħ ideoloġiku u politiku tar-reġim". Fil-Pakistan din l-Iżlamizzazzjoni minn fuq kienet "probabbilment" kompluta "milli taħt kwalunkwe reġim ieħor ħlief dawk fl-Iran u s-Sudan," iżda Zia-ul-Haq ġie kkritikat ukoll minn ħafna Iżlamisti talli imponew "simboli" aktar milli sustanza, u jużaw l-Iżlamizzazzjoni biex leġittimizza l-mezzi tiegħu biex jaħtaf il-poter. B'differenza mill-Iran ġirien, il-politiki ta 'Zia-ul-Haq kienu maħsuba biex "jevitaw eċċess rivoluzzjonarju", u mhux biex iwaqqfu r-relazzjonijiet mal-alleati tiegħu tal-Istat tal-Golf Amerikan u Persjan tiegħu. Zia-ul-Haq inqatel fl-1988 iżda l-Iżlamizzazzjoni tibqa 'element importanti fis-soċjetà Pakistana.</v>
      </c>
    </row>
    <row r="7028" ht="15.75" customHeight="1">
      <c r="A7028" s="2" t="s">
        <v>7028</v>
      </c>
      <c r="B7028" s="2" t="str">
        <f>IFERROR(__xludf.DUMMYFUNCTION("GOOGLETRANSLATE(A7028, ""en"", ""mt"")"),"X'kien użu ieħor għall-arma?")</f>
        <v>X'kien użu ieħor għall-arma?</v>
      </c>
    </row>
    <row r="7029" ht="15.75" customHeight="1">
      <c r="A7029" s="2" t="s">
        <v>7029</v>
      </c>
      <c r="B7029" s="2" t="str">
        <f>IFERROR(__xludf.DUMMYFUNCTION("GOOGLETRANSLATE(A7029, ""en"", ""mt"")"),"Residenti ġodda lesti li jħallsu rata ogħla tas-suq")</f>
        <v>Residenti ġodda lesti li jħallsu rata ogħla tas-suq</v>
      </c>
    </row>
    <row r="7030" ht="15.75" customHeight="1">
      <c r="A7030" s="2" t="s">
        <v>7030</v>
      </c>
      <c r="B7030" s="2" t="str">
        <f>IFERROR(__xludf.DUMMYFUNCTION("GOOGLETRANSLATE(A7030, ""en"", ""mt"")"),"Bento de Moura l-Portugall")</f>
        <v>Bento de Moura l-Portugall</v>
      </c>
    </row>
    <row r="7031" ht="15.75" customHeight="1">
      <c r="A7031" s="2" t="s">
        <v>7031</v>
      </c>
      <c r="B7031" s="2" t="str">
        <f>IFERROR(__xludf.DUMMYFUNCTION("GOOGLETRANSLATE(A7031, ""en"", ""mt"")"),"Magna tat-Turing hija mudell matematiku ta 'magna tal-kompjuters ġenerali. Huwa apparat teoretiku li jimmanipula s-simboli li jinsabu fuq strixxa ta 'tejp. Magni tat-Turing mhumiex maħsuba bħala teknoloġija prattika tal-kompjuters, iżda bħala esperiment t"&amp;"al-ħsieb li jirrappreżenta magna tal-kompjuters - kull ħaġa minn superkompjuter avvanzat għal matematiku bil-lapes u l-karta. Huwa maħsub li jekk problema tista 'tissolva permezz ta' algoritmu, teżisti magna tat-Turing li ssolvi l-problema. Tassew, din hi"&amp;"ja d-dikjarazzjoni tat-teżi tal-knisja. Barra minn hekk, huwa magħruf li dak kollu li jista 'jiġi kkalkulat fuq mudelli oħra ta' komputazzjoni magħrufa għalina llum, bħal magna RAM, il-logħba tal-ħajja ta 'Conway, l-awtomata ċellulari jew kwalunkwe lingwa"&amp;" ta' programmazzjoni tista 'tiġi kkalkulata fuq magna tat-Turing. Peress li l-magni tat-Turing huma faċli biex tanalizzaw matematikament, u huma maħsuba li huma b'saħħithom daqs kwalunkwe mudell ieħor ta 'komputazzjoni, il-magna tat-Turing hija l-aktar mu"&amp;"dell użat komunement fit-teorija tal-kumplessità.")</f>
        <v>Magna tat-Turing hija mudell matematiku ta 'magna tal-kompjuters ġenerali. Huwa apparat teoretiku li jimmanipula s-simboli li jinsabu fuq strixxa ta 'tejp. Magni tat-Turing mhumiex maħsuba bħala teknoloġija prattika tal-kompjuters, iżda bħala esperiment tal-ħsieb li jirrappreżenta magna tal-kompjuters - kull ħaġa minn superkompjuter avvanzat għal matematiku bil-lapes u l-karta. Huwa maħsub li jekk problema tista 'tissolva permezz ta' algoritmu, teżisti magna tat-Turing li ssolvi l-problema. Tassew, din hija d-dikjarazzjoni tat-teżi tal-knisja. Barra minn hekk, huwa magħruf li dak kollu li jista 'jiġi kkalkulat fuq mudelli oħra ta' komputazzjoni magħrufa għalina llum, bħal magna RAM, il-logħba tal-ħajja ta 'Conway, l-awtomata ċellulari jew kwalunkwe lingwa ta' programmazzjoni tista 'tiġi kkalkulata fuq magna tat-Turing. Peress li l-magni tat-Turing huma faċli biex tanalizzaw matematikament, u huma maħsuba li huma b'saħħithom daqs kwalunkwe mudell ieħor ta 'komputazzjoni, il-magna tat-Turing hija l-aktar mudell użat komunement fit-teorija tal-kumplessità.</v>
      </c>
    </row>
    <row r="7032" ht="15.75" customHeight="1">
      <c r="A7032" s="2" t="s">
        <v>7032</v>
      </c>
      <c r="B7032" s="2" t="str">
        <f>IFERROR(__xludf.DUMMYFUNCTION("GOOGLETRANSLATE(A7032, ""en"", ""mt"")"),"Ħin")</f>
        <v>Ħin</v>
      </c>
    </row>
    <row r="7033" ht="15.75" customHeight="1">
      <c r="A7033" s="2" t="s">
        <v>7033</v>
      </c>
      <c r="B7033" s="2" t="str">
        <f>IFERROR(__xludf.DUMMYFUNCTION("GOOGLETRANSLATE(A7033, ""en"", ""mt"")"),"Liema ferroviji taħt l-art ikopru ħafna minn Tyne u jilbsu?")</f>
        <v>Liema ferroviji taħt l-art ikopru ħafna minn Tyne u jilbsu?</v>
      </c>
    </row>
    <row r="7034" ht="15.75" customHeight="1">
      <c r="A7034" s="2" t="s">
        <v>7034</v>
      </c>
      <c r="B7034" s="2" t="str">
        <f>IFERROR(__xludf.DUMMYFUNCTION("GOOGLETRANSLATE(A7034, ""en"", ""mt"")"),"agħar")</f>
        <v>agħar</v>
      </c>
    </row>
    <row r="7035" ht="15.75" customHeight="1">
      <c r="A7035" s="2" t="s">
        <v>7035</v>
      </c>
      <c r="B7035" s="2" t="str">
        <f>IFERROR(__xludf.DUMMYFUNCTION("GOOGLETRANSLATE(A7035, ""en"", ""mt"")"),"Guanabara Qrar tal-Fidi")</f>
        <v>Guanabara Qrar tal-Fidi</v>
      </c>
    </row>
    <row r="7036" ht="15.75" customHeight="1">
      <c r="A7036" s="2" t="s">
        <v>7036</v>
      </c>
      <c r="B7036" s="2" t="str">
        <f>IFERROR(__xludf.DUMMYFUNCTION("GOOGLETRANSLATE(A7036, ""en"", ""mt"")"),"X'għamlet Carolina fil-ftuħ tas-sewqan li ma kinux iffaċċjaw il-postseason kollu?")</f>
        <v>X'għamlet Carolina fil-ftuħ tas-sewqan li ma kinux iffaċċjaw il-postseason kollu?</v>
      </c>
    </row>
    <row r="7037" ht="15.75" customHeight="1">
      <c r="A7037" s="2" t="s">
        <v>7037</v>
      </c>
      <c r="B7037" s="2" t="str">
        <f>IFERROR(__xludf.DUMMYFUNCTION("GOOGLETRANSLATE(A7037, ""en"", ""mt"")"),"varjat")</f>
        <v>varjat</v>
      </c>
    </row>
    <row r="7038" ht="15.75" customHeight="1">
      <c r="A7038" s="2" t="s">
        <v>7038</v>
      </c>
      <c r="B7038" s="2" t="str">
        <f>IFERROR(__xludf.DUMMYFUNCTION("GOOGLETRANSLATE(A7038, ""en"", ""mt"")"),"Xi jfisser li marda tkun enzootika?")</f>
        <v>Xi jfisser li marda tkun enzootika?</v>
      </c>
    </row>
    <row r="7039" ht="15.75" customHeight="1">
      <c r="A7039" s="2" t="s">
        <v>7039</v>
      </c>
      <c r="B7039" s="2" t="str">
        <f>IFERROR(__xludf.DUMMYFUNCTION("GOOGLETRANSLATE(A7039, ""en"", ""mt"")"),"il-Papa u d-duttrina tat-transubstantjazzjoni")</f>
        <v>il-Papa u d-duttrina tat-transubstantjazzjoni</v>
      </c>
    </row>
    <row r="7040" ht="15.75" customHeight="1">
      <c r="A7040" s="2" t="s">
        <v>7040</v>
      </c>
      <c r="B7040" s="2" t="str">
        <f>IFERROR(__xludf.DUMMYFUNCTION("GOOGLETRANSLATE(A7040, ""en"", ""mt"")"),"Il-kloroplasti kif huma simili għal mitokondrija?")</f>
        <v>Il-kloroplasti kif huma simili għal mitokondrija?</v>
      </c>
    </row>
    <row r="7041" ht="15.75" customHeight="1">
      <c r="A7041" s="2" t="s">
        <v>7041</v>
      </c>
      <c r="B7041" s="2" t="str">
        <f>IFERROR(__xludf.DUMMYFUNCTION("GOOGLETRANSLATE(A7041, ""en"", ""mt"")"),"Ħsarat Ingliżi fl-Amerika ta ’Fuq, flimkien ma’ fallimenti oħra fit-Teatru Ewropew")</f>
        <v>Ħsarat Ingliżi fl-Amerika ta ’Fuq, flimkien ma’ fallimenti oħra fit-Teatru Ewropew</v>
      </c>
    </row>
    <row r="7042" ht="15.75" customHeight="1">
      <c r="A7042" s="2" t="s">
        <v>7042</v>
      </c>
      <c r="B7042" s="2" t="str">
        <f>IFERROR(__xludf.DUMMYFUNCTION("GOOGLETRANSLATE(A7042, ""en"", ""mt"")"),"Liao, Jin, u kanzunetta")</f>
        <v>Liao, Jin, u kanzunetta</v>
      </c>
    </row>
    <row r="7043" ht="15.75" customHeight="1">
      <c r="A7043" s="2" t="s">
        <v>7043</v>
      </c>
      <c r="B7043" s="2" t="str">
        <f>IFERROR(__xludf.DUMMYFUNCTION("GOOGLETRANSLATE(A7043, ""en"", ""mt"")"),"Plastidi mimlijin pigment")</f>
        <v>Plastidi mimlijin pigment</v>
      </c>
    </row>
    <row r="7044" ht="15.75" customHeight="1">
      <c r="A7044" s="2" t="s">
        <v>7044</v>
      </c>
      <c r="B7044" s="2" t="str">
        <f>IFERROR(__xludf.DUMMYFUNCTION("GOOGLETRANSLATE(A7044, ""en"", ""mt"")"),"Taskforce tal-Metodisti Magħquda dwar l-Abort u s-Sesswalità (")</f>
        <v>Taskforce tal-Metodisti Magħquda dwar l-Abort u s-Sesswalità (</v>
      </c>
    </row>
    <row r="7045" ht="15.75" customHeight="1">
      <c r="A7045" s="2" t="s">
        <v>7045</v>
      </c>
      <c r="B7045" s="2" t="str">
        <f>IFERROR(__xludf.DUMMYFUNCTION("GOOGLETRANSLATE(A7045, ""en"", ""mt"")"),"wieqfa")</f>
        <v>wieqfa</v>
      </c>
    </row>
    <row r="7046" ht="15.75" customHeight="1">
      <c r="A7046" s="2" t="s">
        <v>7046</v>
      </c>
      <c r="B7046" s="2" t="str">
        <f>IFERROR(__xludf.DUMMYFUNCTION("GOOGLETRANSLATE(A7046, ""en"", ""mt"")"),"Philip Webb u William Morris")</f>
        <v>Philip Webb u William Morris</v>
      </c>
    </row>
    <row r="7047" ht="15.75" customHeight="1">
      <c r="A7047" s="2" t="s">
        <v>7047</v>
      </c>
      <c r="B7047" s="2" t="str">
        <f>IFERROR(__xludf.DUMMYFUNCTION("GOOGLETRANSLATE(A7047, ""en"", ""mt"")"),"Pont Ċentrali")</f>
        <v>Pont Ċentrali</v>
      </c>
    </row>
    <row r="7048" ht="15.75" customHeight="1">
      <c r="A7048" s="2" t="s">
        <v>7048</v>
      </c>
      <c r="B7048" s="2" t="str">
        <f>IFERROR(__xludf.DUMMYFUNCTION("GOOGLETRANSLATE(A7048, ""en"", ""mt"")"),"X'inhuma xi eżempji ta 'riżultati finali mhux mixtieqa ta' proġett?")</f>
        <v>X'inhuma xi eżempji ta 'riżultati finali mhux mixtieqa ta' proġett?</v>
      </c>
    </row>
    <row r="7049" ht="15.75" customHeight="1">
      <c r="A7049" s="2" t="s">
        <v>7049</v>
      </c>
      <c r="B7049" s="2" t="str">
        <f>IFERROR(__xludf.DUMMYFUNCTION("GOOGLETRANSLATE(A7049, ""en"", ""mt"")"),"Ħafna konferenzi ħadu pożizzjoni billi jivvutaw favur xiex?")</f>
        <v>Ħafna konferenzi ħadu pożizzjoni billi jivvutaw favur xiex?</v>
      </c>
    </row>
    <row r="7050" ht="15.75" customHeight="1">
      <c r="A7050" s="2" t="s">
        <v>7050</v>
      </c>
      <c r="B7050" s="2" t="str">
        <f>IFERROR(__xludf.DUMMYFUNCTION("GOOGLETRANSLATE(A7050, ""en"", ""mt"")"),"Mill-invenzjoni tagħha fl-1269, l-iskrittura 'Phags-Pa, skript unifikat għall-ortografija tal-lingwi Mongoljani, Tibetani u Ċiniżi, ġiet ippreservata fil-qorti sa tmiem id-dinastija. Ħafna mill-imperaturi ma setgħux jaħkmu Ċiniż miktub, iżda ġeneralment j"&amp;"istgħu jitkellmu sew fil-lingwa. Id-drawwa tal-Mongolja ta ’Alleanza ta’ Quda / Żwieġ fit-tul mal-Klann Mongoljani, l-Onggirat, u l-Ikeres, żammew id-demm imperjali purament Mongolja sakemm ir-renju ta ’Tugh Temur, li l-omm tagħha kienet tangut concubine."&amp;" L-imperaturi tal-Mongolja kienu bnew palazzi u pavaljuni kbar, iżda xi wħud xorta baqgħu jgħixu bħala nomadi xi drabi. Madankollu, ftit imperaturi oħra tal-Yuan sponsorjaw attivitajiet kulturali; Eżempju huwa Tugh Temur (Imperatur Wenzong), li kiteb poeż"&amp;"ija, miżbugħa, qara testi klassiċi Ċiniżi, u ordna l-kumpilazzjoni tal-kotba.")</f>
        <v>Mill-invenzjoni tagħha fl-1269, l-iskrittura 'Phags-Pa, skript unifikat għall-ortografija tal-lingwi Mongoljani, Tibetani u Ċiniżi, ġiet ippreservata fil-qorti sa tmiem id-dinastija. Ħafna mill-imperaturi ma setgħux jaħkmu Ċiniż miktub, iżda ġeneralment jistgħu jitkellmu sew fil-lingwa. Id-drawwa tal-Mongolja ta ’Alleanza ta’ Quda / Żwieġ fit-tul mal-Klann Mongoljani, l-Onggirat, u l-Ikeres, żammew id-demm imperjali purament Mongolja sakemm ir-renju ta ’Tugh Temur, li l-omm tagħha kienet tangut concubine. L-imperaturi tal-Mongolja kienu bnew palazzi u pavaljuni kbar, iżda xi wħud xorta baqgħu jgħixu bħala nomadi xi drabi. Madankollu, ftit imperaturi oħra tal-Yuan sponsorjaw attivitajiet kulturali; Eżempju huwa Tugh Temur (Imperatur Wenzong), li kiteb poeżija, miżbugħa, qara testi klassiċi Ċiniżi, u ordna l-kumpilazzjoni tal-kotba.</v>
      </c>
    </row>
    <row r="7051" ht="15.75" customHeight="1">
      <c r="A7051" s="2" t="s">
        <v>7051</v>
      </c>
      <c r="B7051" s="2" t="str">
        <f>IFERROR(__xludf.DUMMYFUNCTION("GOOGLETRANSLATE(A7051, ""en"", ""mt"")"),"li jibda fil-bidu ta 'Settembru u jispiċċa f'nofs Mejju")</f>
        <v>li jibda fil-bidu ta 'Settembru u jispiċċa f'nofs Mejju</v>
      </c>
    </row>
    <row r="7052" ht="15.75" customHeight="1">
      <c r="A7052" s="2" t="s">
        <v>7052</v>
      </c>
      <c r="B7052" s="2" t="str">
        <f>IFERROR(__xludf.DUMMYFUNCTION("GOOGLETRANSLATE(A7052, ""en"", ""mt"")"),"Diċembru 2014")</f>
        <v>Diċembru 2014</v>
      </c>
    </row>
    <row r="7053" ht="15.75" customHeight="1">
      <c r="A7053" s="2" t="s">
        <v>7053</v>
      </c>
      <c r="B7053" s="2" t="str">
        <f>IFERROR(__xludf.DUMMYFUNCTION("GOOGLETRANSLATE(A7053, ""en"", ""mt"")"),"X'jiġri meta s-sħab tal-elettroni jikkoinċidu minn atomi differenti?")</f>
        <v>X'jiġri meta s-sħab tal-elettroni jikkoinċidu minn atomi differenti?</v>
      </c>
    </row>
    <row r="7054" ht="15.75" customHeight="1">
      <c r="A7054" s="2" t="s">
        <v>7054</v>
      </c>
      <c r="B7054" s="2" t="str">
        <f>IFERROR(__xludf.DUMMYFUNCTION("GOOGLETRANSLATE(A7054, ""en"", ""mt"")"),"Meta rrifjutaw id-dikjarazzjonijiet ta 'Luther Luterani dwar il-Lhud?")</f>
        <v>Meta rrifjutaw id-dikjarazzjonijiet ta 'Luther Luterani dwar il-Lhud?</v>
      </c>
    </row>
    <row r="7055" ht="15.75" customHeight="1">
      <c r="A7055" s="2" t="s">
        <v>7055</v>
      </c>
      <c r="B7055" s="2" t="str">
        <f>IFERROR(__xludf.DUMMYFUNCTION("GOOGLETRANSLATE(A7055, ""en"", ""mt"")"),"B'Istanbul bħala l-kapital u l-kontroll tiegħu ta 'artijiet madwar il-baċin tal-Mediterran, l-Imperu Ottoman kien fiċ-ċentru ta' interazzjonijiet bejn id-dinjiet tal-Lvant u tal-Punent għal sitt sekli. Wara perjodu twil ta 'żvantaġġi militari kontra l-pot"&amp;"eri Ewropej, l-Imperu Ottoman naqas gradwalment fl-aħħar tas-seklu dsatax. L-Imperu alleat mal-Ġermanja fil-bidu tas-seklu 20, bl-ambizzjoni imperjali li tirkupra t-territorji mitlufa tagħha, iżda dan inħall wara l-Ewwel Gwerra Dinjija, li wassal għall-ħo"&amp;"lqien tal-istat il-ġdid tat-Turkija fil-qalba Anatoljana Ottomana, ukoll bħala l-ħolqien ta 'stati moderni tal-Balkani u tal-Lvant Nofsani, u b'hekk jintemmu l-ambizzjonijiet kolonjali Torok.")</f>
        <v>B'Istanbul bħala l-kapital u l-kontroll tiegħu ta 'artijiet madwar il-baċin tal-Mediterran, l-Imperu Ottoman kien fiċ-ċentru ta' interazzjonijiet bejn id-dinjiet tal-Lvant u tal-Punent għal sitt sekli. Wara perjodu twil ta 'żvantaġġi militari kontra l-poteri Ewropej, l-Imperu Ottoman naqas gradwalment fl-aħħar tas-seklu dsatax. L-Imperu alleat mal-Ġermanja fil-bidu tas-seklu 20, bl-ambizzjoni imperjali li tirkupra t-territorji mitlufa tagħha, iżda dan inħall wara l-Ewwel Gwerra Dinjija, li wassal għall-ħolqien tal-istat il-ġdid tat-Turkija fil-qalba Anatoljana Ottomana, ukoll bħala l-ħolqien ta 'stati moderni tal-Balkani u tal-Lvant Nofsani, u b'hekk jintemmu l-ambizzjonijiet kolonjali Torok.</v>
      </c>
    </row>
    <row r="7056" ht="15.75" customHeight="1">
      <c r="A7056" s="2" t="s">
        <v>7056</v>
      </c>
      <c r="B7056" s="2" t="str">
        <f>IFERROR(__xludf.DUMMYFUNCTION("GOOGLETRANSLATE(A7056, ""en"", ""mt"")"),"Moviment tal-Pakistan")</f>
        <v>Moviment tal-Pakistan</v>
      </c>
    </row>
    <row r="7057" ht="15.75" customHeight="1">
      <c r="A7057" s="2" t="s">
        <v>7057</v>
      </c>
      <c r="B7057" s="2" t="str">
        <f>IFERROR(__xludf.DUMMYFUNCTION("GOOGLETRANSLATE(A7057, ""en"", ""mt"")"),"X'qiegħed struttura ġerarkika fis-seħħ?")</f>
        <v>X'qiegħed struttura ġerarkika fis-seħħ?</v>
      </c>
    </row>
    <row r="7058" ht="15.75" customHeight="1">
      <c r="A7058" s="2" t="s">
        <v>7058</v>
      </c>
      <c r="B7058" s="2" t="str">
        <f>IFERROR(__xludf.DUMMYFUNCTION("GOOGLETRANSLATE(A7058, ""en"", ""mt"")"),"Input kontinwu tas-sediment")</f>
        <v>Input kontinwu tas-sediment</v>
      </c>
    </row>
    <row r="7059" ht="15.75" customHeight="1">
      <c r="A7059" s="2" t="s">
        <v>7059</v>
      </c>
      <c r="B7059" s="2" t="str">
        <f>IFERROR(__xludf.DUMMYFUNCTION("GOOGLETRANSLATE(A7059, ""en"", ""mt"")"),"Il-Katidral ta ’San Ġwann id-Divin")</f>
        <v>Il-Katidral ta ’San Ġwann id-Divin</v>
      </c>
    </row>
    <row r="7060" ht="15.75" customHeight="1">
      <c r="A7060" s="2" t="s">
        <v>7060</v>
      </c>
      <c r="B7060" s="2" t="str">
        <f>IFERROR(__xludf.DUMMYFUNCTION("GOOGLETRANSLATE(A7060, ""en"", ""mt"")"),"Tagħmir ta 'sigurtà xieraq bħal arnessi u guardrails u proċeduri bħall-iżgurar tas-slielem u l-ispezzjoni tal-armar")</f>
        <v>Tagħmir ta 'sigurtà xieraq bħal arnessi u guardrails u proċeduri bħall-iżgurar tas-slielem u l-ispezzjoni tal-armar</v>
      </c>
    </row>
    <row r="7061" ht="15.75" customHeight="1">
      <c r="A7061" s="2" t="s">
        <v>7061</v>
      </c>
      <c r="B7061" s="2" t="str">
        <f>IFERROR(__xludf.DUMMYFUNCTION("GOOGLETRANSLATE(A7061, ""en"", ""mt"")"),"Liema xmara tifred lil Jacksonville?")</f>
        <v>Liema xmara tifred lil Jacksonville?</v>
      </c>
    </row>
    <row r="7062" ht="15.75" customHeight="1">
      <c r="A7062" s="2" t="s">
        <v>7062</v>
      </c>
      <c r="B7062" s="2" t="str">
        <f>IFERROR(__xludf.DUMMYFUNCTION("GOOGLETRANSLATE(A7062, ""en"", ""mt"")"),"Minħabba t-tensjonijiet fuq l-iskjavitù u l-qawwa tal-isqfijiet fid-denominazzjoni.")</f>
        <v>Minħabba t-tensjonijiet fuq l-iskjavitù u l-qawwa tal-isqfijiet fid-denominazzjoni.</v>
      </c>
    </row>
    <row r="7063" ht="15.75" customHeight="1">
      <c r="A7063" s="2" t="s">
        <v>7063</v>
      </c>
      <c r="B7063" s="2" t="str">
        <f>IFERROR(__xludf.DUMMYFUNCTION("GOOGLETRANSLATE(A7063, ""en"", ""mt"")"),"Wara li staqsiet jekk il-kotba kinux tiegħu, x'iktar Eck staqsiet lil Luther?")</f>
        <v>Wara li staqsiet jekk il-kotba kinux tiegħu, x'iktar Eck staqsiet lil Luther?</v>
      </c>
    </row>
    <row r="7064" ht="15.75" customHeight="1">
      <c r="A7064" s="2" t="s">
        <v>7064</v>
      </c>
      <c r="B7064" s="2" t="str">
        <f>IFERROR(__xludf.DUMMYFUNCTION("GOOGLETRANSLATE(A7064, ""en"", ""mt"")"),"Il-Kenja meta kisbet l-indipendenza?")</f>
        <v>Il-Kenja meta kisbet l-indipendenza?</v>
      </c>
    </row>
    <row r="7065" ht="15.75" customHeight="1">
      <c r="A7065" s="2" t="s">
        <v>7065</v>
      </c>
      <c r="B7065" s="2" t="str">
        <f>IFERROR(__xludf.DUMMYFUNCTION("GOOGLETRANSLATE(A7065, ""en"", ""mt"")"),"Biex tikkalkula l-aċċellerazzjoni angolari immedjata ta 'korp riġidu x'għandek tuża?")</f>
        <v>Biex tikkalkula l-aċċellerazzjoni angolari immedjata ta 'korp riġidu x'għandek tuża?</v>
      </c>
    </row>
    <row r="7066" ht="15.75" customHeight="1">
      <c r="A7066" s="2" t="s">
        <v>7066</v>
      </c>
      <c r="B7066" s="2" t="str">
        <f>IFERROR(__xludf.DUMMYFUNCTION("GOOGLETRANSLATE(A7066, ""en"", ""mt"")"),"Minbarra t-tagħlim immexxi mill-kurrikulu, hemm ukoll servizzi tal-librerija nazzjonali u pubblika mmexxija mis-Servizz Nazzjonali tal-Librerija tal-Kenja (KNLs). KNLS huwa l-korp mandat biex jistabbilixxi, jgħammar, jimmaniġġja u jżomm libreriji nazzjona"&amp;"li u pubbliċi fil-pajjiż. Barra minn hekk, uħud mill-kontej fil-pajjiż jew stabbilixxew jew ħadu f'idejhom il-libreriji fir-reġjuni tagħhom. Il-Kontea ta 'Nairobi topera erba' libreriji fin-netwerk tagħhom, li kienet tinkludi l-McMillan Memorial Library l"&amp;"i tinsab fid-Distrett tan-Negozju Ċentrali ta 'Nairobi. Librerija pubblika hija meqjusa bħala università tal-popli peress li hija miftuħa għall-età kollha irrispettivament mill-età, il-livell tal-litteriżmu u għandha materjali rilevanti għal nies ta 'kull"&amp;" qasam tal-ħajja.")</f>
        <v>Minbarra t-tagħlim immexxi mill-kurrikulu, hemm ukoll servizzi tal-librerija nazzjonali u pubblika mmexxija mis-Servizz Nazzjonali tal-Librerija tal-Kenja (KNLs). KNLS huwa l-korp mandat biex jistabbilixxi, jgħammar, jimmaniġġja u jżomm libreriji nazzjonali u pubbliċi fil-pajjiż. Barra minn hekk, uħud mill-kontej fil-pajjiż jew stabbilixxew jew ħadu f'idejhom il-libreriji fir-reġjuni tagħhom. Il-Kontea ta 'Nairobi topera erba' libreriji fin-netwerk tagħhom, li kienet tinkludi l-McMillan Memorial Library li tinsab fid-Distrett tan-Negozju Ċentrali ta 'Nairobi. Librerija pubblika hija meqjusa bħala università tal-popli peress li hija miftuħa għall-età kollha irrispettivament mill-età, il-livell tal-litteriżmu u għandha materjali rilevanti għal nies ta 'kull qasam tal-ħajja.</v>
      </c>
    </row>
    <row r="7067" ht="15.75" customHeight="1">
      <c r="A7067" s="2" t="s">
        <v>7067</v>
      </c>
      <c r="B7067" s="2" t="str">
        <f>IFERROR(__xludf.DUMMYFUNCTION("GOOGLETRANSLATE(A7067, ""en"", ""mt"")"),"Xi jfittex li jikseb ir-reċiproċità kwadratika?")</f>
        <v>Xi jfittex li jikseb ir-reċiproċità kwadratika?</v>
      </c>
    </row>
    <row r="7068" ht="15.75" customHeight="1">
      <c r="A7068" s="2" t="s">
        <v>7068</v>
      </c>
      <c r="B7068" s="2" t="str">
        <f>IFERROR(__xludf.DUMMYFUNCTION("GOOGLETRANSLATE(A7068, ""en"", ""mt"")"),"X'inhu wieħed mill-ikbar kumplessi tax-xiri taċ-ċentru tal-belt fir-Renju Unit?")</f>
        <v>X'inhu wieħed mill-ikbar kumplessi tax-xiri taċ-ċentru tal-belt fir-Renju Unit?</v>
      </c>
    </row>
    <row r="7069" ht="15.75" customHeight="1">
      <c r="A7069" s="2" t="s">
        <v>7069</v>
      </c>
      <c r="B7069" s="2" t="str">
        <f>IFERROR(__xludf.DUMMYFUNCTION("GOOGLETRANSLATE(A7069, ""en"", ""mt"")"),"Phylum ta 'annimali")</f>
        <v>Phylum ta 'annimali</v>
      </c>
    </row>
    <row r="7070" ht="15.75" customHeight="1">
      <c r="A7070" s="2" t="s">
        <v>7070</v>
      </c>
      <c r="B7070" s="2" t="str">
        <f>IFERROR(__xludf.DUMMYFUNCTION("GOOGLETRANSLATE(A7070, ""en"", ""mt"")"),"San Lawrenz")</f>
        <v>San Lawrenz</v>
      </c>
    </row>
    <row r="7071" ht="15.75" customHeight="1">
      <c r="A7071" s="2" t="s">
        <v>7071</v>
      </c>
      <c r="B7071" s="2" t="str">
        <f>IFERROR(__xludf.DUMMYFUNCTION("GOOGLETRANSLATE(A7071, ""en"", ""mt"")"),"Gallerija ewlenija tal-fidda")</f>
        <v>Gallerija ewlenija tal-fidda</v>
      </c>
    </row>
    <row r="7072" ht="15.75" customHeight="1">
      <c r="A7072" s="2" t="s">
        <v>7072</v>
      </c>
      <c r="B7072" s="2" t="str">
        <f>IFERROR(__xludf.DUMMYFUNCTION("GOOGLETRANSLATE(A7072, ""en"", ""mt"")"),"Ġebel tal-kliewi u tal-bużżieqa, u artrite,")</f>
        <v>Ġebel tal-kliewi u tal-bużżieqa, u artrite,</v>
      </c>
    </row>
    <row r="7073" ht="15.75" customHeight="1">
      <c r="A7073" s="2" t="s">
        <v>7073</v>
      </c>
      <c r="B7073" s="2" t="str">
        <f>IFERROR(__xludf.DUMMYFUNCTION("GOOGLETRANSLATE(A7073, ""en"", ""mt"")"),"It-tieni Gleichschaltung")</f>
        <v>It-tieni Gleichschaltung</v>
      </c>
    </row>
    <row r="7074" ht="15.75" customHeight="1">
      <c r="A7074" s="2" t="s">
        <v>7074</v>
      </c>
      <c r="B7074" s="2" t="str">
        <f>IFERROR(__xludf.DUMMYFUNCTION("GOOGLETRANSLATE(A7074, ""en"", ""mt"")"),"Wara t-telfa tal-Imperu Khwarezmian fl-1220, Genghis Khan ġabar il-forzi tiegħu fil-Persja u l-Armenja biex jirritorna fl-isteppi Mongoljani. Taħt is-suġġeriment ta 'Subutai, l-armata Mongoljana kienet maqsuma f'żewġ forzi. Genghis Khan mexxa l-armata ewl"&amp;"enija fuq rejd permezz tal-Afganistan u l-Indja tat-Tramuntana lejn il-Mongolja, filwaqt li 20,000 ieħor (żewġ tumen) kontinġenti marru mill-Kawkasu u lejn ir-Russja taħt il-Ġeneral Jebe u Subutai. Huma mbuttati fil-fond fl-Armenja u l-Azerbajġan. Il-Mong"&amp;"oli qerdu r-renju tal-Ġeorġja, keċċa l-fortizza tal-kummerċ Ġenese ta ’Caffa fil-Krimea u mdawra ħdejn il-Baħar l-Iswed. Titlu d-dar, il-forzi ta 'Subutai attakkaw il-forzi Alleati tal-Cuman-Ipchaks u t-truppi ta' 80,000 Kievan Rus 'koordinati ħażin immex"&amp;"xija minn Mstislav il-kuraġġuża ta' Halych u Mstislav III ta 'Kiev li marru jwaqqfu l-azzjonijiet tal-Mongols fiż-żona. Subutai bagħat emissarji lill-prinċpijiet Slavi li talbu paċi separata, iżda l-emissarji ġew eżegwiti. Fil-battalja tax-Xmara Kalka fl-"&amp;"1223, il-forzi ta 'Subutai għelbu lill-akbar forza ta' Kievan. Huma jistgħu wkoll iġġieldu kontra l-ġirien Volga Bulgars. M'hemm l-ebda rekord storiku ħlief kont qasir mill-istoriku Għarbi Ibn al-Athir, li kiteb f'Mosul xi 1100 mil 'il bogħod mill-avvenim"&amp;"ent. Diversi sorsi sekondarji storiċi - Morgan, Chambers, Grousset - jiddikjaraw li l-Mongoli fil-fatt għelbu lill-Bulgars, il-kmamar saħansitra sejrin sa fejn jgħidu li l-Bulgars kienu għamlu stejjer biex jirrakkontaw ir-Russi (reċentement mgħaffeġ) li h"&amp;"uma kienu għelbu lill-Mongoli u misjuqhom mit-territorju tagħhom. Il-prinċpijiet Russi mbagħad imħarrka għall-paċi. Subutai qablu iżda ma kien fl-ebda burdata li jaħfer il-prinċpijiet. Kif kienet is-soltu fis-soċjetà Mongoljana għan-nobbli, il-prinċpijiet"&amp;" Russi ngħataw mewt bla demm. Subutai kellu pjattaforma kbira tal-injam mibnija fuqha li kielu l-ikliet tiegħu flimkien mal-ġenerali l-oħra tiegħu. Sitt prinċpijiet Russi, inkluż Mstislav III ta 'Kiev, tqiegħdu taħt din il-pjattaforma u mgħaffġa għall-mew"&amp;"t.")</f>
        <v>Wara t-telfa tal-Imperu Khwarezmian fl-1220, Genghis Khan ġabar il-forzi tiegħu fil-Persja u l-Armenja biex jirritorna fl-isteppi Mongoljani. Taħt is-suġġeriment ta 'Subutai, l-armata Mongoljana kienet maqsuma f'żewġ forzi. Genghis Khan mexxa l-armata ewlenija fuq rejd permezz tal-Afganistan u l-Indja tat-Tramuntana lejn il-Mongolja, filwaqt li 20,000 ieħor (żewġ tumen) kontinġenti marru mill-Kawkasu u lejn ir-Russja taħt il-Ġeneral Jebe u Subutai. Huma mbuttati fil-fond fl-Armenja u l-Azerbajġan. Il-Mongoli qerdu r-renju tal-Ġeorġja, keċċa l-fortizza tal-kummerċ Ġenese ta ’Caffa fil-Krimea u mdawra ħdejn il-Baħar l-Iswed. Titlu d-dar, il-forzi ta 'Subutai attakkaw il-forzi Alleati tal-Cuman-Ipchaks u t-truppi ta' 80,000 Kievan Rus 'koordinati ħażin immexxija minn Mstislav il-kuraġġuża ta' Halych u Mstislav III ta 'Kiev li marru jwaqqfu l-azzjonijiet tal-Mongols fiż-żona. Subutai bagħat emissarji lill-prinċpijiet Slavi li talbu paċi separata, iżda l-emissarji ġew eżegwiti. Fil-battalja tax-Xmara Kalka fl-1223, il-forzi ta 'Subutai għelbu lill-akbar forza ta' Kievan. Huma jistgħu wkoll iġġieldu kontra l-ġirien Volga Bulgars. M'hemm l-ebda rekord storiku ħlief kont qasir mill-istoriku Għarbi Ibn al-Athir, li kiteb f'Mosul xi 1100 mil 'il bogħod mill-avveniment. Diversi sorsi sekondarji storiċi - Morgan, Chambers, Grousset - jiddikjaraw li l-Mongoli fil-fatt għelbu lill-Bulgars, il-kmamar saħansitra sejrin sa fejn jgħidu li l-Bulgars kienu għamlu stejjer biex jirrakkontaw ir-Russi (reċentement mgħaffeġ) li huma kienu għelbu lill-Mongoli u misjuqhom mit-territorju tagħhom. Il-prinċpijiet Russi mbagħad imħarrka għall-paċi. Subutai qablu iżda ma kien fl-ebda burdata li jaħfer il-prinċpijiet. Kif kienet is-soltu fis-soċjetà Mongoljana għan-nobbli, il-prinċpijiet Russi ngħataw mewt bla demm. Subutai kellu pjattaforma kbira tal-injam mibnija fuqha li kielu l-ikliet tiegħu flimkien mal-ġenerali l-oħra tiegħu. Sitt prinċpijiet Russi, inkluż Mstislav III ta 'Kiev, tqiegħdu taħt din il-pjattaforma u mgħaffġa għall-mewt.</v>
      </c>
    </row>
    <row r="7075" ht="15.75" customHeight="1">
      <c r="A7075" s="2" t="s">
        <v>7075</v>
      </c>
      <c r="B7075" s="2" t="str">
        <f>IFERROR(__xludf.DUMMYFUNCTION("GOOGLETRANSLATE(A7075, ""en"", ""mt"")"),"aħmar")</f>
        <v>aħmar</v>
      </c>
    </row>
    <row r="7076" ht="15.75" customHeight="1">
      <c r="A7076" s="2" t="s">
        <v>7076</v>
      </c>
      <c r="B7076" s="2" t="str">
        <f>IFERROR(__xludf.DUMMYFUNCTION("GOOGLETRANSLATE(A7076, ""en"", ""mt"")"),"divertiment")</f>
        <v>divertiment</v>
      </c>
    </row>
    <row r="7077" ht="15.75" customHeight="1">
      <c r="A7077" s="2" t="s">
        <v>7077</v>
      </c>
      <c r="B7077" s="2" t="str">
        <f>IFERROR(__xludf.DUMMYFUNCTION("GOOGLETRANSLATE(A7077, ""en"", ""mt"")"),"Liema żewġ oqsma tax-xjenza teoretika tal-kompjuter jirriflettu mill-qrib it-teorija tal-kumplessità tal-komputazzjoni?")</f>
        <v>Liema żewġ oqsma tax-xjenza teoretika tal-kompjuter jirriflettu mill-qrib it-teorija tal-kumplessità tal-komputazzjoni?</v>
      </c>
    </row>
    <row r="7078" ht="15.75" customHeight="1">
      <c r="A7078" s="2" t="s">
        <v>7078</v>
      </c>
      <c r="B7078" s="2" t="str">
        <f>IFERROR(__xludf.DUMMYFUNCTION("GOOGLETRANSLATE(A7078, ""en"", ""mt"")"),"Valley Rhine")</f>
        <v>Valley Rhine</v>
      </c>
    </row>
    <row r="7079" ht="15.75" customHeight="1">
      <c r="A7079" s="2" t="s">
        <v>7079</v>
      </c>
      <c r="B7079" s="2" t="str">
        <f>IFERROR(__xludf.DUMMYFUNCTION("GOOGLETRANSLATE(A7079, ""en"", ""mt"")"),"Il-miżura storika tal-effiċjenza fl-enerġija tal-magna tal-fwar kienet id- ""dmir"" tagħha. Il-kunċett ta 'dazju ġie introdott għall-ewwel darba minn Watt sabiex juri kemm kienu aktar effiċjenti l-magni tiegħu fuq id-disinji ta' Newcomen preċedenti. Id-da"&amp;"zju huwa n-numru ta 'xogħol ta' xogħol imwassal billi jaħarqu bushel wieħed (94 libbra) ta 'faħam. L-aħjar eżempji ta 'disinji ta' Newcomen kellhom dmir ta 'madwar 7 miljun, iżda l-biċċa l-kbira kienu eqreb għal 5 miljun. Id-disinji oriġinali ta 'pressjon"&amp;"i baxxa ta' Watt setgħu jagħtu dazju sa 25 miljun, iżda kellhom medja ta 'madwar 17. Dan kien titjib ta' tliet darbiet fuq id-disinn medju ta 'Newcomen. Magni tal-watt bikri mgħammra bi fwar bi pressjoni għolja tejbu dan għal 65 miljun.")</f>
        <v>Il-miżura storika tal-effiċjenza fl-enerġija tal-magna tal-fwar kienet id- "dmir" tagħha. Il-kunċett ta 'dazju ġie introdott għall-ewwel darba minn Watt sabiex juri kemm kienu aktar effiċjenti l-magni tiegħu fuq id-disinji ta' Newcomen preċedenti. Id-dazju huwa n-numru ta 'xogħol ta' xogħol imwassal billi jaħarqu bushel wieħed (94 libbra) ta 'faħam. L-aħjar eżempji ta 'disinji ta' Newcomen kellhom dmir ta 'madwar 7 miljun, iżda l-biċċa l-kbira kienu eqreb għal 5 miljun. Id-disinji oriġinali ta 'pressjoni baxxa ta' Watt setgħu jagħtu dazju sa 25 miljun, iżda kellhom medja ta 'madwar 17. Dan kien titjib ta' tliet darbiet fuq id-disinn medju ta 'Newcomen. Magni tal-watt bikri mgħammra bi fwar bi pressjoni għolja tejbu dan għal 65 miljun.</v>
      </c>
    </row>
    <row r="7080" ht="15.75" customHeight="1">
      <c r="A7080" s="2" t="s">
        <v>7080</v>
      </c>
      <c r="B7080" s="2" t="str">
        <f>IFERROR(__xludf.DUMMYFUNCTION("GOOGLETRANSLATE(A7080, ""en"", ""mt"")"),"Il-V &amp; A għandha l-aktar ġabra komprensiva tad-dinja ta 'skulturi minn liema perjodu?")</f>
        <v>Il-V &amp; A għandha l-aktar ġabra komprensiva tad-dinja ta 'skulturi minn liema perjodu?</v>
      </c>
    </row>
    <row r="7081" ht="15.75" customHeight="1">
      <c r="A7081" s="2" t="s">
        <v>7081</v>
      </c>
      <c r="B7081" s="2" t="str">
        <f>IFERROR(__xludf.DUMMYFUNCTION("GOOGLETRANSLATE(A7081, ""en"", ""mt"")"),"4 ġimgħat imħallsa vaganzi kull sena")</f>
        <v>4 ġimgħat imħallsa vaganzi kull sena</v>
      </c>
    </row>
    <row r="7082" ht="15.75" customHeight="1">
      <c r="A7082" s="2" t="s">
        <v>7082</v>
      </c>
      <c r="B7082" s="2" t="str">
        <f>IFERROR(__xludf.DUMMYFUNCTION("GOOGLETRANSLATE(A7082, ""en"", ""mt"")"),"X'tipet Luther bħala kontorn tal-fidi l-ġdida?")</f>
        <v>X'tipet Luther bħala kontorn tal-fidi l-ġdida?</v>
      </c>
    </row>
    <row r="7083" ht="15.75" customHeight="1">
      <c r="A7083" s="2" t="s">
        <v>7083</v>
      </c>
      <c r="B7083" s="2" t="str">
        <f>IFERROR(__xludf.DUMMYFUNCTION("GOOGLETRANSLATE(A7083, ""en"", ""mt"")"),"Il-belt ta 'Bukhara ma kinitx imsaħħaħ ħafna, b'moat u ħajt wieħed, u ċ-Ċittadella tipika tal-bliet ta' Khwarezmi. Il-mexxejja tal-belt fetħu l-bibien għall-Mongoli, għalkemm unità ta ’difensuri Torok kellhom iċ-Ċittadella tal-belt għal tnax-il jum ieħor."&amp;" Is-sopravissuti miċ-Ċittadella ġew eżegwiti, artiġjani u nies tas-sengħa ntbagħtu lura lejn il-Mongolja, irġiel żgħażagħ li ma kinux ġġieldu ġew abbozzati fl-armata Mongoljana u l-bqija tal-popolazzjoni ntbagħtet fl-iskjavitù. Hekk kif is-suldati Mongolj"&amp;"ati ħakmu l-belt, faqqgħet in-nar, imqaxxar il-biċċa l-kbira tal-belt mal-art. Genghis Khan kellu l-popolazzjoni superstita tal-belt tiġbor fil-moskea ewlenija tal-belt, fejn iddikjara li kien il-flail ta 'Alla, mibgħut biex jikkastigahom għal dnubiethom.")</f>
        <v>Il-belt ta 'Bukhara ma kinitx imsaħħaħ ħafna, b'moat u ħajt wieħed, u ċ-Ċittadella tipika tal-bliet ta' Khwarezmi. Il-mexxejja tal-belt fetħu l-bibien għall-Mongoli, għalkemm unità ta ’difensuri Torok kellhom iċ-Ċittadella tal-belt għal tnax-il jum ieħor. Is-sopravissuti miċ-Ċittadella ġew eżegwiti, artiġjani u nies tas-sengħa ntbagħtu lura lejn il-Mongolja, irġiel żgħażagħ li ma kinux ġġieldu ġew abbozzati fl-armata Mongoljana u l-bqija tal-popolazzjoni ntbagħtet fl-iskjavitù. Hekk kif is-suldati Mongoljati ħakmu l-belt, faqqgħet in-nar, imqaxxar il-biċċa l-kbira tal-belt mal-art. Genghis Khan kellu l-popolazzjoni superstita tal-belt tiġbor fil-moskea ewlenija tal-belt, fejn iddikjara li kien il-flail ta 'Alla, mibgħut biex jikkastigahom għal dnubiethom.</v>
      </c>
    </row>
    <row r="7084" ht="15.75" customHeight="1">
      <c r="A7084" s="2" t="s">
        <v>7084</v>
      </c>
      <c r="B7084" s="2" t="str">
        <f>IFERROR(__xludf.DUMMYFUNCTION("GOOGLETRANSLATE(A7084, ""en"", ""mt"")"),"pjan tal-lezzjoni")</f>
        <v>pjan tal-lezzjoni</v>
      </c>
    </row>
    <row r="7085" ht="15.75" customHeight="1">
      <c r="A7085" s="2" t="s">
        <v>7085</v>
      </c>
      <c r="B7085" s="2" t="str">
        <f>IFERROR(__xludf.DUMMYFUNCTION("GOOGLETRANSLATE(A7085, ""en"", ""mt"")"),"It-tellieqa Dalek")</f>
        <v>It-tellieqa Dalek</v>
      </c>
    </row>
    <row r="7086" ht="15.75" customHeight="1">
      <c r="A7086" s="2" t="s">
        <v>7086</v>
      </c>
      <c r="B7086" s="2" t="str">
        <f>IFERROR(__xludf.DUMMYFUNCTION("GOOGLETRANSLATE(A7086, ""en"", ""mt"")"),"Iżżid il-prezzijiet tal-produtturi lokali b'20-25%")</f>
        <v>Iżżid il-prezzijiet tal-produtturi lokali b'20-25%</v>
      </c>
    </row>
    <row r="7087" ht="15.75" customHeight="1">
      <c r="A7087" s="2" t="s">
        <v>7087</v>
      </c>
      <c r="B7087" s="2" t="str">
        <f>IFERROR(__xludf.DUMMYFUNCTION("GOOGLETRANSLATE(A7087, ""en"", ""mt"")"),"Issa hemm bosta komunitajiet bħal dawn madwar l-Istati Uniti")</f>
        <v>Issa hemm bosta komunitajiet bħal dawn madwar l-Istati Uniti</v>
      </c>
    </row>
    <row r="7088" ht="15.75" customHeight="1">
      <c r="A7088" s="2" t="s">
        <v>7088</v>
      </c>
      <c r="B7088" s="2" t="str">
        <f>IFERROR(__xludf.DUMMYFUNCTION("GOOGLETRANSLATE(A7088, ""en"", ""mt"")"),"tnaqqas")</f>
        <v>tnaqqas</v>
      </c>
    </row>
    <row r="7089" ht="15.75" customHeight="1">
      <c r="A7089" s="2" t="s">
        <v>7089</v>
      </c>
      <c r="B7089" s="2" t="str">
        <f>IFERROR(__xludf.DUMMYFUNCTION("GOOGLETRANSLATE(A7089, ""en"", ""mt"")"),"magħluqin skejjel Huguenot u eskludewhom minn professjonijiet favoriti")</f>
        <v>magħluqin skejjel Huguenot u eskludewhom minn professjonijiet favoriti</v>
      </c>
    </row>
    <row r="7090" ht="15.75" customHeight="1">
      <c r="A7090" s="2" t="s">
        <v>7090</v>
      </c>
      <c r="B7090" s="2" t="str">
        <f>IFERROR(__xludf.DUMMYFUNCTION("GOOGLETRANSLATE(A7090, ""en"", ""mt"")"),"X'inhu terminu ieħor għall-immaġni tar-raġġi X?")</f>
        <v>X'inhu terminu ieħor għall-immaġni tar-raġġi X?</v>
      </c>
    </row>
    <row r="7091" ht="15.75" customHeight="1">
      <c r="A7091" s="2" t="s">
        <v>7091</v>
      </c>
      <c r="B7091" s="2" t="str">
        <f>IFERROR(__xludf.DUMMYFUNCTION("GOOGLETRANSLATE(A7091, ""en"", ""mt"")"),"il-kloroplast tagħha, u xi kultant il-membrana taċ-ċellula u n-nukleu tagħha")</f>
        <v>il-kloroplast tagħha, u xi kultant il-membrana taċ-ċellula u n-nukleu tagħha</v>
      </c>
    </row>
    <row r="7092" ht="15.75" customHeight="1">
      <c r="A7092" s="2" t="s">
        <v>7092</v>
      </c>
      <c r="B7092" s="2" t="str">
        <f>IFERROR(__xludf.DUMMYFUNCTION("GOOGLETRANSLATE(A7092, ""en"", ""mt"")"),"il-mod ta 'azzjoni militari")</f>
        <v>il-mod ta 'azzjoni militari</v>
      </c>
    </row>
    <row r="7093" ht="15.75" customHeight="1">
      <c r="A7093" s="2" t="s">
        <v>7093</v>
      </c>
      <c r="B7093" s="2" t="str">
        <f>IFERROR(__xludf.DUMMYFUNCTION("GOOGLETRANSLATE(A7093, ""en"", ""mt"")"),"Kuruna tax-xogħol miftuħa megħluba minn statwa ta 'fama")</f>
        <v>Kuruna tax-xogħol miftuħa megħluba minn statwa ta 'fama</v>
      </c>
    </row>
    <row r="7094" ht="15.75" customHeight="1">
      <c r="A7094" s="2" t="s">
        <v>7094</v>
      </c>
      <c r="B7094" s="2" t="str">
        <f>IFERROR(__xludf.DUMMYFUNCTION("GOOGLETRANSLATE(A7094, ""en"", ""mt"")"),"Projbizzjonijiet fuq kultura popolari barranija, kontroll tal-internet u platti tas-satellita mhux awtorizzati")</f>
        <v>Projbizzjonijiet fuq kultura popolari barranija, kontroll tal-internet u platti tas-satellita mhux awtorizzati</v>
      </c>
    </row>
    <row r="7095" ht="15.75" customHeight="1">
      <c r="A7095" s="2" t="s">
        <v>7095</v>
      </c>
      <c r="B7095" s="2" t="str">
        <f>IFERROR(__xludf.DUMMYFUNCTION("GOOGLETRANSLATE(A7095, ""en"", ""mt"")"),"Għal xiex jużaw Platyctenida?")</f>
        <v>Għal xiex jużaw Platyctenida?</v>
      </c>
    </row>
    <row r="7096" ht="15.75" customHeight="1">
      <c r="A7096" s="2" t="s">
        <v>7096</v>
      </c>
      <c r="B7096" s="2" t="str">
        <f>IFERROR(__xludf.DUMMYFUNCTION("GOOGLETRANSLATE(A7096, ""en"", ""mt"")"),"kloroplast derivat minn dijatom (heterokontophye)")</f>
        <v>kloroplast derivat minn dijatom (heterokontophye)</v>
      </c>
    </row>
    <row r="7097" ht="15.75" customHeight="1">
      <c r="A7097" s="2" t="s">
        <v>7097</v>
      </c>
      <c r="B7097" s="2" t="str">
        <f>IFERROR(__xludf.DUMMYFUNCTION("GOOGLETRANSLATE(A7097, ""en"", ""mt"")"),"dejjem aktar aggressiv")</f>
        <v>dejjem aktar aggressiv</v>
      </c>
    </row>
    <row r="7098" ht="15.75" customHeight="1">
      <c r="A7098" s="2" t="s">
        <v>7098</v>
      </c>
      <c r="B7098" s="2" t="str">
        <f>IFERROR(__xludf.DUMMYFUNCTION("GOOGLETRANSLATE(A7098, ""en"", ""mt"")"),"Ma 'Mueller ma kellux esperjenza qabel ma ngħaqad mal-programm spazjali?")</f>
        <v>Ma 'Mueller ma kellux esperjenza qabel ma ngħaqad mal-programm spazjali?</v>
      </c>
    </row>
    <row r="7099" ht="15.75" customHeight="1">
      <c r="A7099" s="2" t="s">
        <v>7099</v>
      </c>
      <c r="B7099" s="2" t="str">
        <f>IFERROR(__xludf.DUMMYFUNCTION("GOOGLETRANSLATE(A7099, ""en"", ""mt"")"),"Fil-kunsilli")</f>
        <v>Fil-kunsilli</v>
      </c>
    </row>
    <row r="7100" ht="15.75" customHeight="1">
      <c r="A7100" s="2" t="s">
        <v>7100</v>
      </c>
      <c r="B7100" s="2" t="str">
        <f>IFERROR(__xludf.DUMMYFUNCTION("GOOGLETRANSLATE(A7100, ""en"", ""mt"")"),"suspettat li għandu funzjoni ta 'appoġġ")</f>
        <v>suspettat li għandu funzjoni ta 'appoġġ</v>
      </c>
    </row>
    <row r="7101" ht="15.75" customHeight="1">
      <c r="A7101" s="2" t="s">
        <v>7101</v>
      </c>
      <c r="B7101" s="2" t="str">
        <f>IFERROR(__xludf.DUMMYFUNCTION("GOOGLETRANSLATE(A7101, ""en"", ""mt"")"),"X'inhu t-Trattat dwar it-Tibdil fil-Klima tan-NU?")</f>
        <v>X'inhu t-Trattat dwar it-Tibdil fil-Klima tan-NU?</v>
      </c>
    </row>
    <row r="7102" ht="15.75" customHeight="1">
      <c r="A7102" s="2" t="s">
        <v>7102</v>
      </c>
      <c r="B7102" s="2" t="str">
        <f>IFERROR(__xludf.DUMMYFUNCTION("GOOGLETRANSLATE(A7102, ""en"", ""mt"")"),"Kurunell tal-Iroquois")</f>
        <v>Kurunell tal-Iroquois</v>
      </c>
    </row>
    <row r="7103" ht="15.75" customHeight="1">
      <c r="A7103" s="2" t="s">
        <v>7103</v>
      </c>
      <c r="B7103" s="2" t="str">
        <f>IFERROR(__xludf.DUMMYFUNCTION("GOOGLETRANSLATE(A7103, ""en"", ""mt"")"),"injam")</f>
        <v>injam</v>
      </c>
    </row>
    <row r="7104" ht="15.75" customHeight="1">
      <c r="A7104" s="2" t="s">
        <v>7104</v>
      </c>
      <c r="B7104" s="2" t="str">
        <f>IFERROR(__xludf.DUMMYFUNCTION("GOOGLETRANSLATE(A7104, ""en"", ""mt"")"),"Hemm interess dejjem jikber f'liema grupp indiġenu fl-Amażonja?")</f>
        <v>Hemm interess dejjem jikber f'liema grupp indiġenu fl-Amażonja?</v>
      </c>
    </row>
    <row r="7105" ht="15.75" customHeight="1">
      <c r="A7105" s="2" t="s">
        <v>7105</v>
      </c>
      <c r="B7105" s="2" t="str">
        <f>IFERROR(__xludf.DUMMYFUNCTION("GOOGLETRANSLATE(A7105, ""en"", ""mt"")"),"F'liema sessjoni tinsab il-Parlament Skoċċiż?")</f>
        <v>F'liema sessjoni tinsab il-Parlament Skoċċiż?</v>
      </c>
    </row>
    <row r="7106" ht="15.75" customHeight="1">
      <c r="A7106" s="2" t="s">
        <v>7106</v>
      </c>
      <c r="B7106" s="2" t="str">
        <f>IFERROR(__xludf.DUMMYFUNCTION("GOOGLETRANSLATE(A7106, ""en"", ""mt"")"),"digi")</f>
        <v>digi</v>
      </c>
    </row>
    <row r="7107" ht="15.75" customHeight="1">
      <c r="A7107" s="2" t="s">
        <v>7107</v>
      </c>
      <c r="B7107" s="2" t="str">
        <f>IFERROR(__xludf.DUMMYFUNCTION("GOOGLETRANSLATE(A7107, ""en"", ""mt"")"),"William u Judith Bollinger")</f>
        <v>William u Judith Bollinger</v>
      </c>
    </row>
    <row r="7108" ht="15.75" customHeight="1">
      <c r="A7108" s="2" t="s">
        <v>7108</v>
      </c>
      <c r="B7108" s="2" t="str">
        <f>IFERROR(__xludf.DUMMYFUNCTION("GOOGLETRANSLATE(A7108, ""en"", ""mt"")"),"""Arja deflogistizzata")</f>
        <v>"Arja deflogistizzata</v>
      </c>
    </row>
    <row r="7109" ht="15.75" customHeight="1">
      <c r="A7109" s="2" t="s">
        <v>7109</v>
      </c>
      <c r="B7109" s="2" t="str">
        <f>IFERROR(__xludf.DUMMYFUNCTION("GOOGLETRANSLATE(A7109, ""en"", ""mt"")"),"Xi tfisser il-frażi ""tieħu l-faħam lejn Newcastle""?")</f>
        <v>Xi tfisser il-frażi "tieħu l-faħam lejn Newcastle"?</v>
      </c>
    </row>
    <row r="7110" ht="15.75" customHeight="1">
      <c r="A7110" s="2" t="s">
        <v>7110</v>
      </c>
      <c r="B7110" s="2" t="str">
        <f>IFERROR(__xludf.DUMMYFUNCTION("GOOGLETRANSLATE(A7110, ""en"", ""mt"")"),"barranin")</f>
        <v>barranin</v>
      </c>
    </row>
    <row r="7111" ht="15.75" customHeight="1">
      <c r="A7111" s="2" t="s">
        <v>7111</v>
      </c>
      <c r="B7111" s="2" t="str">
        <f>IFERROR(__xludf.DUMMYFUNCTION("GOOGLETRANSLATE(A7111, ""en"", ""mt"")"),"L-analiżi ta 'algoritmu speċifiku hija tipikament assenjata għal liema qasam tax-xjenza tal-komputazzjoni?")</f>
        <v>L-analiżi ta 'algoritmu speċifiku hija tipikament assenjata għal liema qasam tax-xjenza tal-komputazzjoni?</v>
      </c>
    </row>
    <row r="7112" ht="15.75" customHeight="1">
      <c r="A7112" s="2" t="s">
        <v>7112</v>
      </c>
      <c r="B7112" s="2" t="str">
        <f>IFERROR(__xludf.DUMMYFUNCTION("GOOGLETRANSLATE(A7112, ""en"", ""mt"")"),"l-aristokrazija tradizzjonali Mongoljana")</f>
        <v>l-aristokrazija tradizzjonali Mongoljana</v>
      </c>
    </row>
    <row r="7113" ht="15.75" customHeight="1">
      <c r="A7113" s="2" t="s">
        <v>7113</v>
      </c>
      <c r="B7113" s="2" t="str">
        <f>IFERROR(__xludf.DUMMYFUNCTION("GOOGLETRANSLATE(A7113, ""en"", ""mt"")"),"""zip"" il-ħalq jingħalaq meta l-annimal ma jkunx qed jitma '")</f>
        <v>"zip" il-ħalq jingħalaq meta l-annimal ma jkunx qed jitma '</v>
      </c>
    </row>
    <row r="7114" ht="15.75" customHeight="1">
      <c r="A7114" s="2" t="s">
        <v>7114</v>
      </c>
      <c r="B7114" s="2" t="str">
        <f>IFERROR(__xludf.DUMMYFUNCTION("GOOGLETRANSLATE(A7114, ""en"", ""mt"")"),"Ludwig Krapf irreġistra l-isem kemm kemm Kenja kif ukoll Kegnia emmnu fil-biċċa l-kbira bħala korruzzjoni tal-verżjoni Kamba. Oħrajn jgħidu li dan kien il-kuntrarju - notazzjoni preċiża ħafna ta 'pronunzja Afrikana korretta / ˈkɛnjə /. Mappa tal-1882 miġb"&amp;"uda minn Joseph Thompsons, ġeologu u naturalista Skoċċiż, indikat Mt. Kenya bħala Mt. Kenia, 1862. Kontroversja dwar it-tifsira attwali tal-kelma Kenja minkejja, huwa ċar li l-isem tal-muntanja sar aċċettat ħafna, Pars Pro Toto , bħala l-isem tal-pajjiż.")</f>
        <v>Ludwig Krapf irreġistra l-isem kemm kemm Kenja kif ukoll Kegnia emmnu fil-biċċa l-kbira bħala korruzzjoni tal-verżjoni Kamba. Oħrajn jgħidu li dan kien il-kuntrarju - notazzjoni preċiża ħafna ta 'pronunzja Afrikana korretta / ˈkɛnjə /. Mappa tal-1882 miġbuda minn Joseph Thompsons, ġeologu u naturalista Skoċċiż, indikat Mt. Kenya bħala Mt. Kenia, 1862. Kontroversja dwar it-tifsira attwali tal-kelma Kenja minkejja, huwa ċar li l-isem tal-muntanja sar aċċettat ħafna, Pars Pro Toto , bħala l-isem tal-pajjiż.</v>
      </c>
    </row>
    <row r="7115" ht="15.75" customHeight="1">
      <c r="A7115" s="2" t="s">
        <v>7115</v>
      </c>
      <c r="B7115" s="2" t="str">
        <f>IFERROR(__xludf.DUMMYFUNCTION("GOOGLETRANSLATE(A7115, ""en"", ""mt"")"),"Liema tobba dehru fl-erba 'tobba?")</f>
        <v>Liema tobba dehru fl-erba 'tobba?</v>
      </c>
    </row>
    <row r="7116" ht="15.75" customHeight="1">
      <c r="A7116" s="2" t="s">
        <v>7116</v>
      </c>
      <c r="B7116" s="2" t="str">
        <f>IFERROR(__xludf.DUMMYFUNCTION("GOOGLETRANSLATE(A7116, ""en"", ""mt"")"),"mija")</f>
        <v>mija</v>
      </c>
    </row>
    <row r="7117" ht="15.75" customHeight="1">
      <c r="A7117" s="2" t="s">
        <v>7117</v>
      </c>
      <c r="B7117" s="2" t="str">
        <f>IFERROR(__xludf.DUMMYFUNCTION("GOOGLETRANSLATE(A7117, ""en"", ""mt"")"),"29 ta 'Frar 2008")</f>
        <v>29 ta 'Frar 2008</v>
      </c>
    </row>
    <row r="7118" ht="15.75" customHeight="1">
      <c r="A7118" s="2" t="s">
        <v>7118</v>
      </c>
      <c r="B7118" s="2" t="str">
        <f>IFERROR(__xludf.DUMMYFUNCTION("GOOGLETRANSLATE(A7118, ""en"", ""mt"")"),"mit-tradizzjonijiet kostituzzjonali komuni għall-istati membri")</f>
        <v>mit-tradizzjonijiet kostituzzjonali komuni għall-istati membri</v>
      </c>
    </row>
    <row r="7119" ht="15.75" customHeight="1">
      <c r="A7119" s="2" t="s">
        <v>7119</v>
      </c>
      <c r="B7119" s="2" t="str">
        <f>IFERROR(__xludf.DUMMYFUNCTION("GOOGLETRANSLATE(A7119, ""en"", ""mt"")"),"Kif ġie ppreżentat Luther bħala immaġni biex ixerred il-Protestantiżmu?")</f>
        <v>Kif ġie ppreżentat Luther bħala immaġni biex ixerred il-Protestantiżmu?</v>
      </c>
    </row>
    <row r="7120" ht="15.75" customHeight="1">
      <c r="A7120" s="2" t="s">
        <v>7120</v>
      </c>
      <c r="B7120" s="2" t="str">
        <f>IFERROR(__xludf.DUMMYFUNCTION("GOOGLETRANSLATE(A7120, ""en"", ""mt"")"),"X'inhuma wħud mill-prinċipji ġenerali aċċettati tal-liġi tal-Unjoni Ewropea?")</f>
        <v>X'inhuma wħud mill-prinċipji ġenerali aċċettati tal-liġi tal-Unjoni Ewropea?</v>
      </c>
    </row>
    <row r="7121" ht="15.75" customHeight="1">
      <c r="A7121" s="2" t="s">
        <v>7121</v>
      </c>
      <c r="B7121" s="2" t="str">
        <f>IFERROR(__xludf.DUMMYFUNCTION("GOOGLETRANSLATE(A7121, ""en"", ""mt"")"),"Liema diffikultajiet kien qed ikollu Shirly?")</f>
        <v>Liema diffikultajiet kien qed ikollu Shirly?</v>
      </c>
    </row>
    <row r="7122" ht="15.75" customHeight="1">
      <c r="A7122" s="2" t="s">
        <v>7122</v>
      </c>
      <c r="B7122" s="2" t="str">
        <f>IFERROR(__xludf.DUMMYFUNCTION("GOOGLETRANSLATE(A7122, ""en"", ""mt"")"),"Is-Servizz tal-Ħadd tal-Metodisti fl-Amerika ta ’Fuq")</f>
        <v>Is-Servizz tal-Ħadd tal-Metodisti fl-Amerika ta ’Fuq</v>
      </c>
    </row>
    <row r="7123" ht="15.75" customHeight="1">
      <c r="A7123" s="2" t="s">
        <v>7123</v>
      </c>
      <c r="B7123" s="2" t="str">
        <f>IFERROR(__xludf.DUMMYFUNCTION("GOOGLETRANSLATE(A7123, ""en"", ""mt"")"),"Stadtholder William III ta 'Orange")</f>
        <v>Stadtholder William III ta 'Orange</v>
      </c>
    </row>
    <row r="7124" ht="15.75" customHeight="1">
      <c r="A7124" s="2" t="s">
        <v>7124</v>
      </c>
      <c r="B7124" s="2" t="str">
        <f>IFERROR(__xludf.DUMMYFUNCTION("GOOGLETRANSLATE(A7124, ""en"", ""mt"")"),"Il-Workshop Orbitali S-IVB kien l-uniku wieħed minn dawn il-pjanijiet biex joħroġ mill-bord tat-tpinġija. Dubbed Skylab, ġie mibni komplut fuq l-art aktar milli fl-ispazju, u ġie mniedi fl-1973 bl-użu taż-żewġ stadji aktar baxxi ta 'Saturn V. Kien mgħamma"&amp;"r b'muntatura tat-teleskopju Apollo, it-teleskopju solari li kien jintuża fuq it-teleskopju Apollo Missjonijiet. L-aħħar ekwipaġġ ta 'SkyLab telaq mill-istazzjon fit-8 ta' Frar, 1974, u l-istazzjon innifsu reġa 'daħal fl-atmosfera fl-1979, sa liema żmien "&amp;"kien sar l-eqdem komponent operattiv Apollo-Saturn.")</f>
        <v>Il-Workshop Orbitali S-IVB kien l-uniku wieħed minn dawn il-pjanijiet biex joħroġ mill-bord tat-tpinġija. Dubbed Skylab, ġie mibni komplut fuq l-art aktar milli fl-ispazju, u ġie mniedi fl-1973 bl-użu taż-żewġ stadji aktar baxxi ta 'Saturn V. Kien mgħammar b'muntatura tat-teleskopju Apollo, it-teleskopju solari li kien jintuża fuq it-teleskopju Apollo Missjonijiet. L-aħħar ekwipaġġ ta 'SkyLab telaq mill-istazzjon fit-8 ta' Frar, 1974, u l-istazzjon innifsu reġa 'daħal fl-atmosfera fl-1979, sa liema żmien kien sar l-eqdem komponent operattiv Apollo-Saturn.</v>
      </c>
    </row>
    <row r="7125" ht="15.75" customHeight="1">
      <c r="A7125" s="2" t="s">
        <v>7125</v>
      </c>
      <c r="B7125" s="2" t="str">
        <f>IFERROR(__xludf.DUMMYFUNCTION("GOOGLETRANSLATE(A7125, ""en"", ""mt"")"),"imnissel bħala kandidati tal-partit uffiċjali")</f>
        <v>imnissel bħala kandidati tal-partit uffiċjali</v>
      </c>
    </row>
    <row r="7126" ht="15.75" customHeight="1">
      <c r="A7126" s="2" t="s">
        <v>7126</v>
      </c>
      <c r="B7126" s="2" t="str">
        <f>IFERROR(__xludf.DUMMYFUNCTION("GOOGLETRANSLATE(A7126, ""en"", ""mt"")"),", 23–16,")</f>
        <v>, 23–16,</v>
      </c>
    </row>
    <row r="7127" ht="15.75" customHeight="1">
      <c r="A7127" s="2" t="s">
        <v>7127</v>
      </c>
      <c r="B7127" s="2" t="str">
        <f>IFERROR(__xludf.DUMMYFUNCTION("GOOGLETRANSLATE(A7127, ""en"", ""mt"")"),"Huwa inċert")</f>
        <v>Huwa inċert</v>
      </c>
    </row>
    <row r="7128" ht="15.75" customHeight="1">
      <c r="A7128" s="2" t="s">
        <v>7128</v>
      </c>
      <c r="B7128" s="2" t="str">
        <f>IFERROR(__xludf.DUMMYFUNCTION("GOOGLETRANSLATE(A7128, ""en"", ""mt"")"),"3.55 pulzier")</f>
        <v>3.55 pulzier</v>
      </c>
    </row>
    <row r="7129" ht="15.75" customHeight="1">
      <c r="A7129" s="2" t="s">
        <v>7129</v>
      </c>
      <c r="B7129" s="2" t="str">
        <f>IFERROR(__xludf.DUMMYFUNCTION("GOOGLETRANSLATE(A7129, ""en"", ""mt"")"),"X'kienu l-ewwel żewġ destinazzjonijiet ta 'Huguenot Emigres?")</f>
        <v>X'kienu l-ewwel żewġ destinazzjonijiet ta 'Huguenot Emigres?</v>
      </c>
    </row>
    <row r="7130" ht="15.75" customHeight="1">
      <c r="A7130" s="2" t="s">
        <v>7130</v>
      </c>
      <c r="B7130" s="2" t="str">
        <f>IFERROR(__xludf.DUMMYFUNCTION("GOOGLETRANSLATE(A7130, ""en"", ""mt"")"),"Il-Ministeru tal-Gwerra")</f>
        <v>Il-Ministeru tal-Gwerra</v>
      </c>
    </row>
    <row r="7131" ht="15.75" customHeight="1">
      <c r="A7131" s="2" t="s">
        <v>7131</v>
      </c>
      <c r="B7131" s="2" t="str">
        <f>IFERROR(__xludf.DUMMYFUNCTION("GOOGLETRANSLATE(A7131, ""en"", ""mt"")"),"Min sab li kultura kienet żviluppat fejn ftit kummissarji kellhom xi sens ta 'responsabbiltà?")</f>
        <v>Min sab li kultura kienet żviluppat fejn ftit kummissarji kellhom xi sens ta 'responsabbiltà?</v>
      </c>
    </row>
    <row r="7132" ht="15.75" customHeight="1">
      <c r="A7132" s="2" t="s">
        <v>7132</v>
      </c>
      <c r="B7132" s="2" t="str">
        <f>IFERROR(__xludf.DUMMYFUNCTION("GOOGLETRANSLATE(A7132, ""en"", ""mt"")"),"Metamorfiku")</f>
        <v>Metamorfiku</v>
      </c>
    </row>
    <row r="7133" ht="15.75" customHeight="1">
      <c r="A7133" s="2" t="s">
        <v>7133</v>
      </c>
      <c r="B7133" s="2" t="str">
        <f>IFERROR(__xludf.DUMMYFUNCTION("GOOGLETRANSLATE(A7133, ""en"", ""mt"")"),"difiża u ġustifikazzjoni tal-bini tal-imperu bbażati fuq raġunijiet apparentement razzjonali")</f>
        <v>difiża u ġustifikazzjoni tal-bini tal-imperu bbażati fuq raġunijiet apparentement razzjonali</v>
      </c>
    </row>
    <row r="7134" ht="15.75" customHeight="1">
      <c r="A7134" s="2" t="s">
        <v>7134</v>
      </c>
      <c r="B7134" s="2" t="str">
        <f>IFERROR(__xludf.DUMMYFUNCTION("GOOGLETRANSLATE(A7134, ""en"", ""mt"")"),"Madankollu, li tipprova tirrikonċilja t-teorija elettromanjetika b'żewġ osservazzjonijiet, l-effett fotoelettriku, u l-inesistenza tal-katastrofi ultravjola, irriżultaw inkwetanti. Permezz tax-xogħol ta 'fiżiċi teoretiċi ewlenin, ġiet żviluppata teorija ġ"&amp;"dida ta' l-elettromanjetiżmu bl-użu ta 'mekkanika kwantistika. Din il-modifika finali għat-teorija elettromanjetika fl-aħħar wasslet għal elettrodinamiċità kwantistika (jew QED), li tiddeskrivi bis-sħiħ il-fenomeni elettromanjetiċi kollha bħala medjati mi"&amp;"ll-partiċelli tal-mewġ magħrufa bħala fotoni. Fil-QED, il-fotoni huma l-partiċella tal-kambju fundamentali, li ddeskriviet l-interazzjonijiet kollha relatati mal-elettromanjetiżmu inkluża l-forza elettromanjetika. [Nota 4]")</f>
        <v>Madankollu, li tipprova tirrikonċilja t-teorija elettromanjetika b'żewġ osservazzjonijiet, l-effett fotoelettriku, u l-inesistenza tal-katastrofi ultravjola, irriżultaw inkwetanti. Permezz tax-xogħol ta 'fiżiċi teoretiċi ewlenin, ġiet żviluppata teorija ġdida ta' l-elettromanjetiżmu bl-użu ta 'mekkanika kwantistika. Din il-modifika finali għat-teorija elettromanjetika fl-aħħar wasslet għal elettrodinamiċità kwantistika (jew QED), li tiddeskrivi bis-sħiħ il-fenomeni elettromanjetiċi kollha bħala medjati mill-partiċelli tal-mewġ magħrufa bħala fotoni. Fil-QED, il-fotoni huma l-partiċella tal-kambju fundamentali, li ddeskriviet l-interazzjonijiet kollha relatati mal-elettromanjetiżmu inkluża l-forza elettromanjetika. [Nota 4]</v>
      </c>
    </row>
    <row r="7135" ht="15.75" customHeight="1">
      <c r="A7135" s="2" t="s">
        <v>7135</v>
      </c>
      <c r="B7135" s="2" t="str">
        <f>IFERROR(__xludf.DUMMYFUNCTION("GOOGLETRANSLATE(A7135, ""en"", ""mt"")"),"X'tip ta 'disturbi huma r-riżultat ta' rispons immuni żżejjed?")</f>
        <v>X'tip ta 'disturbi huma r-riżultat ta' rispons immuni żżejjed?</v>
      </c>
    </row>
    <row r="7136" ht="15.75" customHeight="1">
      <c r="A7136" s="2" t="s">
        <v>7136</v>
      </c>
      <c r="B7136" s="2" t="str">
        <f>IFERROR(__xludf.DUMMYFUNCTION("GOOGLETRANSLATE(A7136, ""en"", ""mt"")"),"Liema kkawża li r-riforma qatt ma tidħol fis-seħħ?")</f>
        <v>Liema kkawża li r-riforma qatt ma tidħol fis-seħħ?</v>
      </c>
    </row>
    <row r="7137" ht="15.75" customHeight="1">
      <c r="A7137" s="2" t="s">
        <v>7137</v>
      </c>
      <c r="B7137" s="2" t="str">
        <f>IFERROR(__xludf.DUMMYFUNCTION("GOOGLETRANSLATE(A7137, ""en"", ""mt"")"),"X’għamel l-NFL għall-qasam tal-logħob fil-Levi's Stadium qabel is-Super Bowl?")</f>
        <v>X’għamel l-NFL għall-qasam tal-logħob fil-Levi's Stadium qabel is-Super Bowl?</v>
      </c>
    </row>
    <row r="7138" ht="15.75" customHeight="1">
      <c r="A7138" s="2" t="s">
        <v>7138</v>
      </c>
      <c r="B7138" s="2" t="str">
        <f>IFERROR(__xludf.DUMMYFUNCTION("GOOGLETRANSLATE(A7138, ""en"", ""mt"")"),"Billi tonqos ir-reżistenza għall-fluss tad-demm fil-pulmuni, liema ammont ta 'xogħol ta' organu jista 'jitnaqqas?")</f>
        <v>Billi tonqos ir-reżistenza għall-fluss tad-demm fil-pulmuni, liema ammont ta 'xogħol ta' organu jista 'jitnaqqas?</v>
      </c>
    </row>
    <row r="7139" ht="15.75" customHeight="1">
      <c r="A7139" s="2" t="s">
        <v>7139</v>
      </c>
      <c r="B7139" s="2" t="str">
        <f>IFERROR(__xludf.DUMMYFUNCTION("GOOGLETRANSLATE(A7139, ""en"", ""mt"")"),"Liema għodda kejjel l-ammont ta 'trab li jivvjaġġa mis-Saħara għall-Amażonja?")</f>
        <v>Liema għodda kejjel l-ammont ta 'trab li jivvjaġġa mis-Saħara għall-Amażonja?</v>
      </c>
    </row>
    <row r="7140" ht="15.75" customHeight="1">
      <c r="A7140" s="2" t="s">
        <v>7140</v>
      </c>
      <c r="B7140" s="2" t="str">
        <f>IFERROR(__xludf.DUMMYFUNCTION("GOOGLETRANSLATE(A7140, ""en"", ""mt"")"),"bħala grubs taħt l-art")</f>
        <v>bħala grubs taħt l-art</v>
      </c>
    </row>
    <row r="7141" ht="15.75" customHeight="1">
      <c r="A7141" s="2" t="s">
        <v>7141</v>
      </c>
      <c r="B7141" s="2" t="str">
        <f>IFERROR(__xludf.DUMMYFUNCTION("GOOGLETRANSLATE(A7141, ""en"", ""mt"")"),"L-għan huwa tipikament kors ta 'studju, pjan ta' lezzjoni, jew ħila prattika. Għalliem jista 'jsegwi kurrikuli standardizzati kif determinat mill-awtorità rilevanti. L-għalliem jista 'jinteraġixxi ma' studenti ta 'etajiet differenti, minn trabi għal adult"&amp;"i, studenti b'ħiliet differenti u studenti b'diżabilità fit-tagħlim.")</f>
        <v>L-għan huwa tipikament kors ta 'studju, pjan ta' lezzjoni, jew ħila prattika. Għalliem jista 'jsegwi kurrikuli standardizzati kif determinat mill-awtorità rilevanti. L-għalliem jista 'jinteraġixxi ma' studenti ta 'etajiet differenti, minn trabi għal adulti, studenti b'ħiliet differenti u studenti b'diżabilità fit-tagħlim.</v>
      </c>
    </row>
    <row r="7142" ht="15.75" customHeight="1">
      <c r="A7142" s="2" t="s">
        <v>7142</v>
      </c>
      <c r="B7142" s="2" t="str">
        <f>IFERROR(__xludf.DUMMYFUNCTION("GOOGLETRANSLATE(A7142, ""en"", ""mt"")"),"Terminu ta 'tmien snin")</f>
        <v>Terminu ta 'tmien snin</v>
      </c>
    </row>
    <row r="7143" ht="15.75" customHeight="1">
      <c r="A7143" s="2" t="s">
        <v>7143</v>
      </c>
      <c r="B7143" s="2" t="str">
        <f>IFERROR(__xludf.DUMMYFUNCTION("GOOGLETRANSLATE(A7143, ""en"", ""mt"")"),"Speċi Oċeanika")</f>
        <v>Speċi Oċeanika</v>
      </c>
    </row>
    <row r="7144" ht="15.75" customHeight="1">
      <c r="A7144" s="2" t="s">
        <v>7144</v>
      </c>
      <c r="B7144" s="2" t="str">
        <f>IFERROR(__xludf.DUMMYFUNCTION("GOOGLETRANSLATE(A7144, ""en"", ""mt"")"),"Ekonomija tad-Dinja")</f>
        <v>Ekonomija tad-Dinja</v>
      </c>
    </row>
    <row r="7145" ht="15.75" customHeight="1">
      <c r="A7145" s="2" t="s">
        <v>7145</v>
      </c>
      <c r="B7145" s="2" t="str">
        <f>IFERROR(__xludf.DUMMYFUNCTION("GOOGLETRANSLATE(A7145, ""en"", ""mt"")"),"Madwar erba 'rġiel li jattendu l-Kulleġġ ta' Harvard għal kull mara li tistudja f'Radcliffe")</f>
        <v>Madwar erba 'rġiel li jattendu l-Kulleġġ ta' Harvard għal kull mara li tistudja f'Radcliffe</v>
      </c>
    </row>
    <row r="7146" ht="15.75" customHeight="1">
      <c r="A7146" s="2" t="s">
        <v>7146</v>
      </c>
      <c r="B7146" s="2" t="str">
        <f>IFERROR(__xludf.DUMMYFUNCTION("GOOGLETRANSLATE(A7146, ""en"", ""mt"")"),"Braddock (ma 'George Washington bħala wieħed mill-assistenti tiegħu) mexxa madwar 1,500 truppa tal-armata u milizja provinċjali fuq spedizzjoni f'Ġunju 1755 biex jieħu Fort Duquesne. L-ispedizzjoni kienet diżastru. Ġie attakkat minn suldati Franċiżi u Ind"&amp;"jani li joħorġuhom minn fuq fis-siġar u wara z-zkuk. Braddock talab għal irtir. Huwa nqatel. Madwar 1,000 suldat Ingliż inqatlu jew indarbu. Il-500 truppa Ingliża li fadal, immexxija minn George Washington, irtiraw lejn Virginia. Żewġ avversarji futuri fi"&amp;"l-Gwerra Rivoluzzjonarja Amerikana, Washington u Thomas Gage, kellhom rwoli ewlenin fl-organizzazzjoni tal-irtir.")</f>
        <v>Braddock (ma 'George Washington bħala wieħed mill-assistenti tiegħu) mexxa madwar 1,500 truppa tal-armata u milizja provinċjali fuq spedizzjoni f'Ġunju 1755 biex jieħu Fort Duquesne. L-ispedizzjoni kienet diżastru. Ġie attakkat minn suldati Franċiżi u Indjani li joħorġuhom minn fuq fis-siġar u wara z-zkuk. Braddock talab għal irtir. Huwa nqatel. Madwar 1,000 suldat Ingliż inqatlu jew indarbu. Il-500 truppa Ingliża li fadal, immexxija minn George Washington, irtiraw lejn Virginia. Żewġ avversarji futuri fil-Gwerra Rivoluzzjonarja Amerikana, Washington u Thomas Gage, kellhom rwoli ewlenin fl-organizzazzjoni tal-irtir.</v>
      </c>
    </row>
    <row r="7147" ht="15.75" customHeight="1">
      <c r="A7147" s="2" t="s">
        <v>7147</v>
      </c>
      <c r="B7147" s="2" t="str">
        <f>IFERROR(__xludf.DUMMYFUNCTION("GOOGLETRANSLATE(A7147, ""en"", ""mt"")"),"kromoplasti")</f>
        <v>kromoplasti</v>
      </c>
    </row>
    <row r="7148" ht="15.75" customHeight="1">
      <c r="A7148" s="2" t="s">
        <v>7148</v>
      </c>
      <c r="B7148" s="2" t="str">
        <f>IFERROR(__xludf.DUMMYFUNCTION("GOOGLETRANSLATE(A7148, ""en"", ""mt"")"),"Kungress u presidenti")</f>
        <v>Kungress u presidenti</v>
      </c>
    </row>
    <row r="7149" ht="15.75" customHeight="1">
      <c r="A7149" s="2" t="s">
        <v>7149</v>
      </c>
      <c r="B7149" s="2" t="str">
        <f>IFERROR(__xludf.DUMMYFUNCTION("GOOGLETRANSLATE(A7149, ""en"", ""mt"")"),"X’tolqot il-mekkanika ta ’Newton?")</f>
        <v>X’tolqot il-mekkanika ta ’Newton?</v>
      </c>
    </row>
    <row r="7150" ht="15.75" customHeight="1">
      <c r="A7150" s="2" t="s">
        <v>7150</v>
      </c>
      <c r="B7150" s="2" t="str">
        <f>IFERROR(__xludf.DUMMYFUNCTION("GOOGLETRANSLATE(A7150, ""en"", ""mt"")"),"Sa kemm il-Labour Lead Lain Gray żamm Lothian tal-Lvant?")</f>
        <v>Sa kemm il-Labour Lead Lain Gray żamm Lothian tal-Lvant?</v>
      </c>
    </row>
    <row r="7151" ht="15.75" customHeight="1">
      <c r="A7151" s="2" t="s">
        <v>7151</v>
      </c>
      <c r="B7151" s="2" t="str">
        <f>IFERROR(__xludf.DUMMYFUNCTION("GOOGLETRANSLATE(A7151, ""en"", ""mt"")"),"10 miljun")</f>
        <v>10 miljun</v>
      </c>
    </row>
    <row r="7152" ht="15.75" customHeight="1">
      <c r="A7152" s="2" t="s">
        <v>7152</v>
      </c>
      <c r="B7152" s="2" t="str">
        <f>IFERROR(__xludf.DUMMYFUNCTION("GOOGLETRANSLATE(A7152, ""en"", ""mt"")"),"Saħħa aħjar u ħajja itwal")</f>
        <v>Saħħa aħjar u ħajja itwal</v>
      </c>
    </row>
    <row r="7153" ht="15.75" customHeight="1">
      <c r="A7153" s="2" t="s">
        <v>7153</v>
      </c>
      <c r="B7153" s="2" t="str">
        <f>IFERROR(__xludf.DUMMYFUNCTION("GOOGLETRANSLATE(A7153, ""en"", ""mt"")"),"ftit")</f>
        <v>ftit</v>
      </c>
    </row>
    <row r="7154" ht="15.75" customHeight="1">
      <c r="A7154" s="2" t="s">
        <v>7154</v>
      </c>
      <c r="B7154" s="2" t="str">
        <f>IFERROR(__xludf.DUMMYFUNCTION("GOOGLETRANSLATE(A7154, ""en"", ""mt"")"),"Colin Baker u Sylvester McCoy")</f>
        <v>Colin Baker u Sylvester McCoy</v>
      </c>
    </row>
    <row r="7155" ht="15.75" customHeight="1">
      <c r="A7155" s="2" t="s">
        <v>7155</v>
      </c>
      <c r="B7155" s="2" t="str">
        <f>IFERROR(__xludf.DUMMYFUNCTION("GOOGLETRANSLATE(A7155, ""en"", ""mt"")"),"fl-istoma tagħhom")</f>
        <v>fl-istoma tagħhom</v>
      </c>
    </row>
    <row r="7156" ht="15.75" customHeight="1">
      <c r="A7156" s="2" t="s">
        <v>7156</v>
      </c>
      <c r="B7156" s="2" t="str">
        <f>IFERROR(__xludf.DUMMYFUNCTION("GOOGLETRANSLATE(A7156, ""en"", ""mt"")"),"Partijiet oħra ta 'oġġett")</f>
        <v>Partijiet oħra ta 'oġġett</v>
      </c>
    </row>
    <row r="7157" ht="15.75" customHeight="1">
      <c r="A7157" s="2" t="s">
        <v>7157</v>
      </c>
      <c r="B7157" s="2" t="str">
        <f>IFERROR(__xludf.DUMMYFUNCTION("GOOGLETRANSLATE(A7157, ""en"", ""mt"")"),"Satellita Calipso tan-NASA")</f>
        <v>Satellita Calipso tan-NASA</v>
      </c>
    </row>
    <row r="7158" ht="15.75" customHeight="1">
      <c r="A7158" s="2" t="s">
        <v>7158</v>
      </c>
      <c r="B7158" s="2" t="str">
        <f>IFERROR(__xludf.DUMMYFUNCTION("GOOGLETRANSLATE(A7158, ""en"", ""mt"")"),"Forzi irregolari Franċiżi (Scouts Kanadiżi u Indjani)")</f>
        <v>Forzi irregolari Franċiżi (Scouts Kanadiżi u Indjani)</v>
      </c>
    </row>
    <row r="7159" ht="15.75" customHeight="1">
      <c r="A7159" s="2" t="s">
        <v>7159</v>
      </c>
      <c r="B7159" s="2" t="str">
        <f>IFERROR(__xludf.DUMMYFUNCTION("GOOGLETRANSLATE(A7159, ""en"", ""mt"")"),"siġġijiet tal-kostitwenza")</f>
        <v>siġġijiet tal-kostitwenza</v>
      </c>
    </row>
    <row r="7160" ht="15.75" customHeight="1">
      <c r="A7160" s="2" t="s">
        <v>7160</v>
      </c>
      <c r="B7160" s="2" t="str">
        <f>IFERROR(__xludf.DUMMYFUNCTION("GOOGLETRANSLATE(A7160, ""en"", ""mt"")"),"L-ispirtu Ingliż tal-imperjalizmu")</f>
        <v>L-ispirtu Ingliż tal-imperjalizmu</v>
      </c>
    </row>
    <row r="7161" ht="15.75" customHeight="1">
      <c r="A7161" s="2" t="s">
        <v>7161</v>
      </c>
      <c r="B7161" s="2" t="str">
        <f>IFERROR(__xludf.DUMMYFUNCTION("GOOGLETRANSLATE(A7161, ""en"", ""mt"")"),"tiffoka l-attenzjoni fuq it-theddida tal-kastig u mhux ir-raġunijiet morali biex issegwi din il-liġi")</f>
        <v>tiffoka l-attenzjoni fuq it-theddida tal-kastig u mhux ir-raġunijiet morali biex issegwi din il-liġi</v>
      </c>
    </row>
    <row r="7162" ht="15.75" customHeight="1">
      <c r="A7162" s="2" t="s">
        <v>7162</v>
      </c>
      <c r="B7162" s="2" t="str">
        <f>IFERROR(__xludf.DUMMYFUNCTION("GOOGLETRANSLATE(A7162, ""en"", ""mt"")"),"Il-kunċett ""forza"" żżomm it-tifsira tagħha fil-mekkanika kwantistika, għalkemm issa wieħed qed jittratta ma 'operaturi minflok varjabbli klassiċi u għalkemm il-fiżika issa hija deskritta mill-ekwazzjoni ta' Schrödinger minflok l-ekwazzjonijiet Newtonjan"&amp;"i. Dan għandu l-konsegwenza li r-riżultati ta 'kejl issa huma xi kultant ""kwantifikati"", i.e. jidhru f'porzjonijiet diskreti. Dan huwa, ovvjament, diffiċli li wieħed jimmaġina fil-kuntest ta '""forzi"". Madankollu, il-potenzjal V (x, y, z) jew oqsma, li"&amp;" minnhom il-forzi ġeneralment jistgħu jiġu derivati, huma trattati simili għal varjabbli ta 'pożizzjoni klassika, i.e.,.")</f>
        <v>Il-kunċett "forza" żżomm it-tifsira tagħha fil-mekkanika kwantistika, għalkemm issa wieħed qed jittratta ma 'operaturi minflok varjabbli klassiċi u għalkemm il-fiżika issa hija deskritta mill-ekwazzjoni ta' Schrödinger minflok l-ekwazzjonijiet Newtonjani. Dan għandu l-konsegwenza li r-riżultati ta 'kejl issa huma xi kultant "kwantifikati", i.e. jidhru f'porzjonijiet diskreti. Dan huwa, ovvjament, diffiċli li wieħed jimmaġina fil-kuntest ta '"forzi". Madankollu, il-potenzjal V (x, y, z) jew oqsma, li minnhom il-forzi ġeneralment jistgħu jiġu derivati, huma trattati simili għal varjabbli ta 'pożizzjoni klassika, i.e.,.</v>
      </c>
    </row>
    <row r="7163" ht="15.75" customHeight="1">
      <c r="A7163" s="2" t="s">
        <v>7163</v>
      </c>
      <c r="B7163" s="2" t="str">
        <f>IFERROR(__xludf.DUMMYFUNCTION("GOOGLETRANSLATE(A7163, ""en"", ""mt"")"),"25 minuta")</f>
        <v>25 minuta</v>
      </c>
    </row>
    <row r="7164" ht="15.75" customHeight="1">
      <c r="A7164" s="2" t="s">
        <v>7164</v>
      </c>
      <c r="B7164" s="2" t="str">
        <f>IFERROR(__xludf.DUMMYFUNCTION("GOOGLETRANSLATE(A7164, ""en"", ""mt"")"),"L-iktar episodji reċenti tal-ispettakli tan-netwerk ġeneralment isiru disponibbli fuq Watch ABC, Hulu u ABC on Demand il-jum wara x-xandira oriġinali tagħhom. Barra minn hekk, ABC On Demand (bħas-servizzi tat-televiżjoni video-on-demand ipprovduti min-net"&amp;"werks tax-xandir l-oħra tal-Istati Uniti) ma jħallix it-tibdil mgħaġġel ta 'kontenut aċċessat. Restrizzjonijiet implimentati minn Disney-ABC Television Group fis-7 ta 'Jannar, 2014 jirrestrinġu l-istriming tal-episodju l-iktar reċenti ta' kwalunkwe progra"&amp;"mm ABC fuq Hulu u Watch ABC sa tmint ijiem wara x-xandira inizjali tagħhom, sabiex jinkoraġġixxu ħajjin jew l-istess ġimgħa (permezz tat-tnejn DVR u Cable on Demand) Wiri, bi streaming ta 'jum wara l-ajru fuq is-servizz limitat għal abbonati ta' fornituri"&amp;" tat-televiżjoni bi ħlas parteċipanti (bħal Comcast, Verizon FIOS u Time Warner Cable) bl-użu ta 'kont ISP permezz ta' login ta 'utent awtentikat.")</f>
        <v>L-iktar episodji reċenti tal-ispettakli tan-netwerk ġeneralment isiru disponibbli fuq Watch ABC, Hulu u ABC on Demand il-jum wara x-xandira oriġinali tagħhom. Barra minn hekk, ABC On Demand (bħas-servizzi tat-televiżjoni video-on-demand ipprovduti min-netwerks tax-xandir l-oħra tal-Istati Uniti) ma jħallix it-tibdil mgħaġġel ta 'kontenut aċċessat. Restrizzjonijiet implimentati minn Disney-ABC Television Group fis-7 ta 'Jannar, 2014 jirrestrinġu l-istriming tal-episodju l-iktar reċenti ta' kwalunkwe programm ABC fuq Hulu u Watch ABC sa tmint ijiem wara x-xandira inizjali tagħhom, sabiex jinkoraġġixxu ħajjin jew l-istess ġimgħa (permezz tat-tnejn DVR u Cable on Demand) Wiri, bi streaming ta 'jum wara l-ajru fuq is-servizz limitat għal abbonati ta' fornituri tat-televiżjoni bi ħlas parteċipanti (bħal Comcast, Verizon FIOS u Time Warner Cable) bl-użu ta 'kont ISP permezz ta' login ta 'utent awtentikat.</v>
      </c>
    </row>
    <row r="7165" ht="15.75" customHeight="1">
      <c r="A7165" s="2" t="s">
        <v>7165</v>
      </c>
      <c r="B7165" s="2" t="str">
        <f>IFERROR(__xludf.DUMMYFUNCTION("GOOGLETRANSLATE(A7165, ""en"", ""mt"")"),"l-inqas preġudikat")</f>
        <v>l-inqas preġudikat</v>
      </c>
    </row>
    <row r="7166" ht="15.75" customHeight="1">
      <c r="A7166" s="2" t="s">
        <v>7166</v>
      </c>
      <c r="B7166" s="2" t="str">
        <f>IFERROR(__xludf.DUMMYFUNCTION("GOOGLETRANSLATE(A7166, ""en"", ""mt"")"),"F'Berlin, il-Huguenots ħolqu żewġ kwartieri ġodda: Dorotheenstadt u Friedrichstadt. Sal-1700, wieħed minn kull ħamsa tal-popolazzjoni tal-belt kien jitkellem bil-Franċiż. Il-Berlin Huguenots ippreserva l-lingwa Franċiża fis-servizzi tal-knisja tagħhom għa"&amp;"l kważi seklu. Fl-aħħar iddeċidew li jaqilbu għall-Ġermaniż bi protesta kontra l-okkupazzjoni tal-Prussja minn Napuljun fl-1806-07. Ħafna mid-dixxendenti tagħhom telgħu għal pożizzjonijiet ta ’prominenza. Diversi kongregazzjonijiet twaqqfu, bħal dawk ta '"&amp;"Fredericia (id-Danimarka), Berlin, Stokkolma, Hamburg, Frankfurt, Helsinki, u Emden.")</f>
        <v>F'Berlin, il-Huguenots ħolqu żewġ kwartieri ġodda: Dorotheenstadt u Friedrichstadt. Sal-1700, wieħed minn kull ħamsa tal-popolazzjoni tal-belt kien jitkellem bil-Franċiż. Il-Berlin Huguenots ippreserva l-lingwa Franċiża fis-servizzi tal-knisja tagħhom għal kważi seklu. Fl-aħħar iddeċidew li jaqilbu għall-Ġermaniż bi protesta kontra l-okkupazzjoni tal-Prussja minn Napuljun fl-1806-07. Ħafna mid-dixxendenti tagħhom telgħu għal pożizzjonijiet ta ’prominenza. Diversi kongregazzjonijiet twaqqfu, bħal dawk ta 'Fredericia (id-Danimarka), Berlin, Stokkolma, Hamburg, Frankfurt, Helsinki, u Emden.</v>
      </c>
    </row>
    <row r="7167" ht="15.75" customHeight="1">
      <c r="A7167" s="2" t="s">
        <v>7167</v>
      </c>
      <c r="B7167" s="2" t="str">
        <f>IFERROR(__xludf.DUMMYFUNCTION("GOOGLETRANSLATE(A7167, ""en"", ""mt"")"),"L-Iskrittura illustrata bil-lingwa Franċiża ta 'Jean de Rely ġew ippubblikati l-ewwel f'liema belt?")</f>
        <v>L-Iskrittura illustrata bil-lingwa Franċiża ta 'Jean de Rely ġew ippubblikati l-ewwel f'liema belt?</v>
      </c>
    </row>
    <row r="7168" ht="15.75" customHeight="1">
      <c r="A7168" s="2" t="s">
        <v>7168</v>
      </c>
      <c r="B7168" s="2" t="str">
        <f>IFERROR(__xludf.DUMMYFUNCTION("GOOGLETRANSLATE(A7168, ""en"", ""mt"")"),"Proposta ta 'Kummissjoni")</f>
        <v>Proposta ta 'Kummissjoni</v>
      </c>
    </row>
    <row r="7169" ht="15.75" customHeight="1">
      <c r="A7169" s="2" t="s">
        <v>7169</v>
      </c>
      <c r="B7169" s="2" t="str">
        <f>IFERROR(__xludf.DUMMYFUNCTION("GOOGLETRANSLATE(A7169, ""en"", ""mt"")"),"topografiku")</f>
        <v>topografiku</v>
      </c>
    </row>
    <row r="7170" ht="15.75" customHeight="1">
      <c r="A7170" s="2" t="s">
        <v>7170</v>
      </c>
      <c r="B7170" s="2" t="str">
        <f>IFERROR(__xludf.DUMMYFUNCTION("GOOGLETRANSLATE(A7170, ""en"", ""mt"")"),"Żoni kkontrollati mir-Russja")</f>
        <v>Żoni kkontrollati mir-Russja</v>
      </c>
    </row>
    <row r="7171" ht="15.75" customHeight="1">
      <c r="A7171" s="2" t="s">
        <v>7171</v>
      </c>
      <c r="B7171" s="2" t="str">
        <f>IFERROR(__xludf.DUMMYFUNCTION("GOOGLETRANSLATE(A7171, ""en"", ""mt"")"),"Liema grupp xtara Ċipru wara l-konkwista Norman?")</f>
        <v>Liema grupp xtara Ċipru wara l-konkwista Norman?</v>
      </c>
    </row>
    <row r="7172" ht="15.75" customHeight="1">
      <c r="A7172" s="2" t="s">
        <v>7172</v>
      </c>
      <c r="B7172" s="2" t="str">
        <f>IFERROR(__xludf.DUMMYFUNCTION("GOOGLETRANSLATE(A7172, ""en"", ""mt"")"),"L-invażjonijiet ta 'Bagdad, Samarkand, Urgench, Kiev, Vladimir fost oħrajn ikkawża omiċidji tal-massa, bħal meta porzjonijiet tan-Nofsinhar tal-Khuzestan ġew meqruda kompletament. Id-dixxendent tiegħu Hulagu Khan qered ħafna mill-parti tat-tramuntana tal-"&amp;"Iran u keċċa lil Bagdad għalkemm il-forzi tiegħu twaqqfu mill-Mamluks tal-Eġittu, iżda d-dixxendent ta 'Hulagu Ghazan Khan kien se jirritorna biex jegħleb lill-Mamluks Eġizzjani dritt barra mill-Levant, il-Palestina u l-Gaża. Skond ix-xogħlijiet tal-istor"&amp;"iku Persjan Rashid-al-din Hamadani, il-Mongoli qatlu aktar minn 70,000 persuna f'Merv u aktar minn 190,000 f'Nishapur. Fl-1237 Batu Khan, in-neputi ta 'Genghis Khan, nediet invażjoni f'Kievan Rus'. Matul it-tliet snin, il-Mongoli qerdu u annihilati l-ibli"&amp;"et il-kbar kollha tal-Ewropa tal-Lvant bl-eċċezzjonijiet ta 'Novgorod u Pskov.")</f>
        <v>L-invażjonijiet ta 'Bagdad, Samarkand, Urgench, Kiev, Vladimir fost oħrajn ikkawża omiċidji tal-massa, bħal meta porzjonijiet tan-Nofsinhar tal-Khuzestan ġew meqruda kompletament. Id-dixxendent tiegħu Hulagu Khan qered ħafna mill-parti tat-tramuntana tal-Iran u keċċa lil Bagdad għalkemm il-forzi tiegħu twaqqfu mill-Mamluks tal-Eġittu, iżda d-dixxendent ta 'Hulagu Ghazan Khan kien se jirritorna biex jegħleb lill-Mamluks Eġizzjani dritt barra mill-Levant, il-Palestina u l-Gaża. Skond ix-xogħlijiet tal-istoriku Persjan Rashid-al-din Hamadani, il-Mongoli qatlu aktar minn 70,000 persuna f'Merv u aktar minn 190,000 f'Nishapur. Fl-1237 Batu Khan, in-neputi ta 'Genghis Khan, nediet invażjoni f'Kievan Rus'. Matul it-tliet snin, il-Mongoli qerdu u annihilati l-ibliet il-kbar kollha tal-Ewropa tal-Lvant bl-eċċezzjonijiet ta 'Novgorod u Pskov.</v>
      </c>
    </row>
    <row r="7173" ht="15.75" customHeight="1">
      <c r="A7173" s="2" t="s">
        <v>7173</v>
      </c>
      <c r="B7173" s="2" t="str">
        <f>IFERROR(__xludf.DUMMYFUNCTION("GOOGLETRANSLATE(A7173, ""en"", ""mt"")"),"X'jifhem il-manuskritt Armagnac fl-arkivju tal-librerija V &amp; A?")</f>
        <v>X'jifhem il-manuskritt Armagnac fl-arkivju tal-librerija V &amp; A?</v>
      </c>
    </row>
    <row r="7174" ht="15.75" customHeight="1">
      <c r="A7174" s="2" t="s">
        <v>7174</v>
      </c>
      <c r="B7174" s="2" t="str">
        <f>IFERROR(__xludf.DUMMYFUNCTION("GOOGLETRANSLATE(A7174, ""en"", ""mt"")"),"Polignac's")</f>
        <v>Polignac's</v>
      </c>
    </row>
    <row r="7175" ht="15.75" customHeight="1">
      <c r="A7175" s="2" t="s">
        <v>7175</v>
      </c>
      <c r="B7175" s="2" t="str">
        <f>IFERROR(__xludf.DUMMYFUNCTION("GOOGLETRANSLATE(A7175, ""en"", ""mt"")"),"Dak li jippermetti li s-sistema immuni adatta tirreaġixxi aktar malajr u b'mod aktar qawwi kull ħin sussegwenti li jkun hemm patoġen?")</f>
        <v>Dak li jippermetti li s-sistema immuni adatta tirreaġixxi aktar malajr u b'mod aktar qawwi kull ħin sussegwenti li jkun hemm patoġen?</v>
      </c>
    </row>
    <row r="7176" ht="15.75" customHeight="1">
      <c r="A7176" s="2" t="s">
        <v>7176</v>
      </c>
      <c r="B7176" s="2" t="str">
        <f>IFERROR(__xludf.DUMMYFUNCTION("GOOGLETRANSLATE(A7176, ""en"", ""mt"")"),"kloroplast li fih il-phycobilin")</f>
        <v>kloroplast li fih il-phycobilin</v>
      </c>
    </row>
    <row r="7177" ht="15.75" customHeight="1">
      <c r="A7177" s="2" t="s">
        <v>7177</v>
      </c>
      <c r="B7177" s="2" t="str">
        <f>IFERROR(__xludf.DUMMYFUNCTION("GOOGLETRANSLATE(A7177, ""en"", ""mt"")"),"blu")</f>
        <v>blu</v>
      </c>
    </row>
    <row r="7178" ht="15.75" customHeight="1">
      <c r="A7178" s="2" t="s">
        <v>7178</v>
      </c>
      <c r="B7178" s="2" t="str">
        <f>IFERROR(__xludf.DUMMYFUNCTION("GOOGLETRANSLATE(A7178, ""en"", ""mt"")"),"Min-naħa l-oħra, fl-aħħar tas-snin 1980, il-Punent tal-Atlantiku Ctenophore Mnemiopsis Leidyi ġie introdott aċċidentalment fil-Baħar l-Iswed u l-Baħar ta 'Azov permezz tat-tankijiet tas-saborra tal-vapuri, u ġie akkużat li kkawża qtar qawwi fil-qabdiet ta"&amp;"l-ħut billi tiekol iż-żewġ larva tal-ħut u Krustaċji żgħar li altrimenti jitimgħu l-ħut adult. Mnemiopsis huwa mgħammar tajjeb biex jinvadi territorji ġodda (għalkemm dan ma kienx imbassar sa wara li kkolonizza b'suċċess il-Baħar l-Iswed), peress li jista"&amp;" 'jitrabba malajr ħafna u jittollera firxa wiesgħa ta' temperaturi u salinitajiet tal-ilma. L-impatt żdied permezz ta 'sajd żejjed kroniku, u permezz ta' ewtrofikazzjoni li tat lill-ekosistema kollha spinta għal żmien qasir, li kkawżat il-popolazzjoni ta "&amp;"'mnemiopsis biex tiżdied saħansitra aktar malajr min-normal - u fuq kollox bin-nuqqas ta' predaturi effiċjenti fuq dawn il-ctenophores introdotti. Il-popolazzjonijiet ta 'Mnemiopsis f'dawk iż-żoni eventwalment ingħataw taħt kontroll mill-introduzzjoni aċċ"&amp;"identali tal-mnemiopsis li jieklu l-Amerika ta' Fuq Ctenophore Beroe ovata, u permezz ta 'tkessiħ tal-klima lokali mill-1991 sal-1993, li naqqas b'mod sinifikanti l-metaboliżmu tal-annimal. Madankollu l-abbundanza ta 'plankton fiż-żona jidher li x'aktarx "&amp;"ma tiġix restawrata għal-livelli ta' qabel il-mnemiopsis.")</f>
        <v>Min-naħa l-oħra, fl-aħħar tas-snin 1980, il-Punent tal-Atlantiku Ctenophore Mnemiopsis Leidyi ġie introdott aċċidentalment fil-Baħar l-Iswed u l-Baħar ta 'Azov permezz tat-tankijiet tas-saborra tal-vapuri, u ġie akkużat li kkawża qtar qawwi fil-qabdiet tal-ħut billi tiekol iż-żewġ larva tal-ħut u Krustaċji żgħar li altrimenti jitimgħu l-ħut adult. Mnemiopsis huwa mgħammar tajjeb biex jinvadi territorji ġodda (għalkemm dan ma kienx imbassar sa wara li kkolonizza b'suċċess il-Baħar l-Iswed), peress li jista 'jitrabba malajr ħafna u jittollera firxa wiesgħa ta' temperaturi u salinitajiet tal-ilma. L-impatt żdied permezz ta 'sajd żejjed kroniku, u permezz ta' ewtrofikazzjoni li tat lill-ekosistema kollha spinta għal żmien qasir, li kkawżat il-popolazzjoni ta 'mnemiopsis biex tiżdied saħansitra aktar malajr min-normal - u fuq kollox bin-nuqqas ta' predaturi effiċjenti fuq dawn il-ctenophores introdotti. Il-popolazzjonijiet ta 'Mnemiopsis f'dawk iż-żoni eventwalment ingħataw taħt kontroll mill-introduzzjoni aċċidentali tal-mnemiopsis li jieklu l-Amerika ta' Fuq Ctenophore Beroe ovata, u permezz ta 'tkessiħ tal-klima lokali mill-1991 sal-1993, li naqqas b'mod sinifikanti l-metaboliżmu tal-annimal. Madankollu l-abbundanza ta 'plankton fiż-żona jidher li x'aktarx ma tiġix restawrata għal-livelli ta' qabel il-mnemiopsis.</v>
      </c>
    </row>
    <row r="7179" ht="15.75" customHeight="1">
      <c r="A7179" s="2" t="s">
        <v>7179</v>
      </c>
      <c r="B7179" s="2" t="str">
        <f>IFERROR(__xludf.DUMMYFUNCTION("GOOGLETRANSLATE(A7179, ""en"", ""mt"")"),"Cape of Good Hope")</f>
        <v>Cape of Good Hope</v>
      </c>
    </row>
    <row r="7180" ht="15.75" customHeight="1">
      <c r="A7180" s="2" t="s">
        <v>7180</v>
      </c>
      <c r="B7180" s="2" t="str">
        <f>IFERROR(__xludf.DUMMYFUNCTION("GOOGLETRANSLATE(A7180, ""en"", ""mt"")"),"Ħafna ħsarat huma kapaċi jipproduċu terremot ta 'kobor 6.7+, bħalma huma l-ħsara ta' San Andreas, li tista 'tipproduċi avveniment ta' kobor 8.0. Ħsarat oħra jinkludu l-Ħsarat ta 'San Jacinto, il-Ħsarat ta' Puente Hills, u ż-Żona ta 'Ħsarat ta' Elsinore. L"&amp;"-USGS ħarġet tbassir tat-terremot ta 'Kalifornja li jimmudella l-okkorrenza tat-terremot f'Kalifornja.")</f>
        <v>Ħafna ħsarat huma kapaċi jipproduċu terremot ta 'kobor 6.7+, bħalma huma l-ħsara ta' San Andreas, li tista 'tipproduċi avveniment ta' kobor 8.0. Ħsarat oħra jinkludu l-Ħsarat ta 'San Jacinto, il-Ħsarat ta' Puente Hills, u ż-Żona ta 'Ħsarat ta' Elsinore. L-USGS ħarġet tbassir tat-terremot ta 'Kalifornja li jimmudella l-okkorrenza tat-terremot f'Kalifornja.</v>
      </c>
    </row>
    <row r="7181" ht="15.75" customHeight="1">
      <c r="A7181" s="2" t="s">
        <v>7181</v>
      </c>
      <c r="B7181" s="2" t="str">
        <f>IFERROR(__xludf.DUMMYFUNCTION("GOOGLETRANSLATE(A7181, ""en"", ""mt"")"),"it-tul kollu tal-lag")</f>
        <v>it-tul kollu tal-lag</v>
      </c>
    </row>
    <row r="7182" ht="15.75" customHeight="1">
      <c r="A7182" s="2" t="s">
        <v>7182</v>
      </c>
      <c r="B7182" s="2" t="str">
        <f>IFERROR(__xludf.DUMMYFUNCTION("GOOGLETRANSLATE(A7182, ""en"", ""mt"")"),"L-ewwel seklu WK")</f>
        <v>L-ewwel seklu WK</v>
      </c>
    </row>
    <row r="7183" ht="15.75" customHeight="1">
      <c r="A7183" s="2" t="s">
        <v>7183</v>
      </c>
      <c r="B7183" s="2" t="str">
        <f>IFERROR(__xludf.DUMMYFUNCTION("GOOGLETRANSLATE(A7183, ""en"", ""mt"")"),"Min għen biex jiżviluppa l-ewwel reazzjoni nukleari magħmula minnha nnifisha?")</f>
        <v>Min għen biex jiżviluppa l-ewwel reazzjoni nukleari magħmula minnha nnifisha?</v>
      </c>
    </row>
    <row r="7184" ht="15.75" customHeight="1">
      <c r="A7184" s="2" t="s">
        <v>7184</v>
      </c>
      <c r="B7184" s="2" t="str">
        <f>IFERROR(__xludf.DUMMYFUNCTION("GOOGLETRANSLATE(A7184, ""en"", ""mt"")"),"Fuq xiex ipproponiet il-ħlasijiet ta 'benefiċċji ta' Alec Shelbrooke?")</f>
        <v>Fuq xiex ipproponiet il-ħlasijiet ta 'benefiċċji ta' Alec Shelbrooke?</v>
      </c>
    </row>
    <row r="7185" ht="15.75" customHeight="1">
      <c r="A7185" s="2" t="s">
        <v>7185</v>
      </c>
      <c r="B7185" s="2" t="str">
        <f>IFERROR(__xludf.DUMMYFUNCTION("GOOGLETRANSLATE(A7185, ""en"", ""mt"")"),"Volum tal-passiġġieri")</f>
        <v>Volum tal-passiġġieri</v>
      </c>
    </row>
    <row r="7186" ht="15.75" customHeight="1">
      <c r="A7186" s="2" t="s">
        <v>7186</v>
      </c>
      <c r="B7186" s="2" t="str">
        <f>IFERROR(__xludf.DUMMYFUNCTION("GOOGLETRANSLATE(A7186, ""en"", ""mt"")"),"X'kien jibża 'li missier Tesla kien se jiġri lilu fl-iskola?")</f>
        <v>X'kien jibża 'li missier Tesla kien se jiġri lilu fl-iskola?</v>
      </c>
    </row>
    <row r="7187" ht="15.75" customHeight="1">
      <c r="A7187" s="2" t="s">
        <v>7187</v>
      </c>
      <c r="B7187" s="2" t="str">
        <f>IFERROR(__xludf.DUMMYFUNCTION("GOOGLETRANSLATE(A7187, ""en"", ""mt"")"),"il-periklu")</f>
        <v>il-periklu</v>
      </c>
    </row>
    <row r="7188" ht="15.75" customHeight="1">
      <c r="A7188" s="2" t="s">
        <v>7188</v>
      </c>
      <c r="B7188" s="2" t="str">
        <f>IFERROR(__xludf.DUMMYFUNCTION("GOOGLETRANSLATE(A7188, ""en"", ""mt"")"),"Il-Gwerer Franċiżi tar-Reliġjon fis-seklu 16 u r-Rivoluzzjoni Franċiża fit-18-il sena qerdu ħafna minn dak li kien jeżisti fil-mod tal-fdal arkitettoniku u artistiku ta 'din il-kreattività Norman. L-ewwel, bil-vjolenza tagħhom, ikkawżaw il-qerda ta 'ħafna"&amp;" edifici Norman; Din tal-aħħar, bl-attakk tagħha fuq ir-reliġjon, ikkawżat il-qerda bi skop ta 'oġġetti reliġjużi ta' kull tip, u d-destabilizzazzjoni tas-soċjetà tagħha rriżultat f'tagna rampanti.")</f>
        <v>Il-Gwerer Franċiżi tar-Reliġjon fis-seklu 16 u r-Rivoluzzjoni Franċiża fit-18-il sena qerdu ħafna minn dak li kien jeżisti fil-mod tal-fdal arkitettoniku u artistiku ta 'din il-kreattività Norman. L-ewwel, bil-vjolenza tagħhom, ikkawżaw il-qerda ta 'ħafna edifici Norman; Din tal-aħħar, bl-attakk tagħha fuq ir-reliġjon, ikkawżat il-qerda bi skop ta 'oġġetti reliġjużi ta' kull tip, u d-destabilizzazzjoni tas-soċjetà tagħha rriżultat f'tagna rampanti.</v>
      </c>
    </row>
    <row r="7189" ht="15.75" customHeight="1">
      <c r="A7189" s="2" t="s">
        <v>7189</v>
      </c>
      <c r="B7189" s="2" t="str">
        <f>IFERROR(__xludf.DUMMYFUNCTION("GOOGLETRANSLATE(A7189, ""en"", ""mt"")"),"Kif huma rranġati l-plastoglobuli ta 'kloroplasti ħodor?")</f>
        <v>Kif huma rranġati l-plastoglobuli ta 'kloroplasti ħodor?</v>
      </c>
    </row>
    <row r="7190" ht="15.75" customHeight="1">
      <c r="A7190" s="2" t="s">
        <v>7190</v>
      </c>
      <c r="B7190" s="2" t="str">
        <f>IFERROR(__xludf.DUMMYFUNCTION("GOOGLETRANSLATE(A7190, ""en"", ""mt"")"),"X'inhuma l-komponenti indipendenti ta 'somma ta' vettur li ġiet iddeterminata miż-żieda skalari ta 'vettori individwali?")</f>
        <v>X'inhuma l-komponenti indipendenti ta 'somma ta' vettur li ġiet iddeterminata miż-żieda skalari ta 'vettori individwali?</v>
      </c>
    </row>
    <row r="7191" ht="15.75" customHeight="1">
      <c r="A7191" s="2" t="s">
        <v>7191</v>
      </c>
      <c r="B7191" s="2" t="str">
        <f>IFERROR(__xludf.DUMMYFUNCTION("GOOGLETRANSLATE(A7191, ""en"", ""mt"")"),"id-dominanza tagħha fl-atletika fuq distanza medja u fuq distanza twila")</f>
        <v>id-dominanza tagħha fl-atletika fuq distanza medja u fuq distanza twila</v>
      </c>
    </row>
    <row r="7192" ht="15.75" customHeight="1">
      <c r="A7192" s="2" t="s">
        <v>7192</v>
      </c>
      <c r="B7192" s="2" t="str">
        <f>IFERROR(__xludf.DUMMYFUNCTION("GOOGLETRANSLATE(A7192, ""en"", ""mt"")"),"Jikkoinkula l-iswiċċ tal-pakketti moderni u jispira bosta netwerks ta 'swiċċjar tal-pakketti")</f>
        <v>Jikkoinkula l-iswiċċ tal-pakketti moderni u jispira bosta netwerks ta 'swiċċjar tal-pakketti</v>
      </c>
    </row>
    <row r="7193" ht="15.75" customHeight="1">
      <c r="A7193" s="2" t="s">
        <v>7193</v>
      </c>
      <c r="B7193" s="2" t="str">
        <f>IFERROR(__xludf.DUMMYFUNCTION("GOOGLETRANSLATE(A7193, ""en"", ""mt"")"),"tul il-fruntieri")</f>
        <v>tul il-fruntieri</v>
      </c>
    </row>
    <row r="7194" ht="15.75" customHeight="1">
      <c r="A7194" s="2" t="s">
        <v>7194</v>
      </c>
      <c r="B7194" s="2" t="str">
        <f>IFERROR(__xludf.DUMMYFUNCTION("GOOGLETRANSLATE(A7194, ""en"", ""mt"")"),"Problema tal-komputazzjoni tista 'titqies bħala ġabra infinita ta' każijiet flimkien ma 'soluzzjoni għal kull istanza. Is-sekwenza tal-input għal problema tal-komputazzjoni hija msejħa bħala problema ta 'problema, u m'għandhiex titħawwad mal-problema nnif"&amp;"isha. Fit-teorija tal-kumplessità tal-komputazzjoni, problema tirreferi għall-kwistjoni astratta li trid tissolva. B'kuntrast, eżempju ta 'din il-problema huwa kelma pjuttost konkreta, li tista' sservi bħala l-kontribut għal problema ta 'deċiżjoni. Pereże"&amp;"mpju, ikkunsidra l-problema tal-ittestjar tal-primalità. L-istanza hija numru (eż. 15) u s-soluzzjoni hija ""iva"" jekk in-numru huwa prim u ""le"" mod ieħor (f'dan il-każ ""le""). Iddikjarat mod ieħor, l-istanza hija input partikolari għall-problema, u s"&amp;"-soluzzjoni hija l-output li jikkorrispondi għall-input mogħti.")</f>
        <v>Problema tal-komputazzjoni tista 'titqies bħala ġabra infinita ta' każijiet flimkien ma 'soluzzjoni għal kull istanza. Is-sekwenza tal-input għal problema tal-komputazzjoni hija msejħa bħala problema ta 'problema, u m'għandhiex titħawwad mal-problema nnifisha. Fit-teorija tal-kumplessità tal-komputazzjoni, problema tirreferi għall-kwistjoni astratta li trid tissolva. B'kuntrast, eżempju ta 'din il-problema huwa kelma pjuttost konkreta, li tista' sservi bħala l-kontribut għal problema ta 'deċiżjoni. Pereżempju, ikkunsidra l-problema tal-ittestjar tal-primalità. L-istanza hija numru (eż. 15) u s-soluzzjoni hija "iva" jekk in-numru huwa prim u "le" mod ieħor (f'dan il-każ "le"). Iddikjarat mod ieħor, l-istanza hija input partikolari għall-problema, u s-soluzzjoni hija l-output li jikkorrispondi għall-input mogħti.</v>
      </c>
    </row>
    <row r="7195" ht="15.75" customHeight="1">
      <c r="A7195" s="2" t="s">
        <v>7195</v>
      </c>
      <c r="B7195" s="2" t="str">
        <f>IFERROR(__xludf.DUMMYFUNCTION("GOOGLETRANSLATE(A7195, ""en"", ""mt"")"),"L-immigranti waslu mid-dinja kollha biex ifittxu d-deheb, speċjalment mill-Irlanda u ċ-Ċina. Ħafna minaturi Ċiniżi ħadmu fir-Rabat, u l-wirt tagħhom huwa partikolarment qawwi f'Bendigo u l-inħawi tiegħu. Għalkemm kien hemm xi razziżmu dirett lejhom, ma ki"&amp;"enx hemm il-livell ta 'vjolenza kontra ċ-Ċiniżi li kien jidher fl-irvellijiet ċatti tal-ħaruf fi New South Wales. Madankollu, kien hemm irvellijiet fil-Wied ta 'Buckland qrib Bright fl-1857. Il-kundizzjonijiet fuq l-għelieqi tad-deheb kienu skomdi u mhux "&amp;"sanitarji; Tfaqqigħ ta 'tifojde fil-Wied ta' Buckland fl-1854 qatel aktar minn 1,000 minatur.")</f>
        <v>L-immigranti waslu mid-dinja kollha biex ifittxu d-deheb, speċjalment mill-Irlanda u ċ-Ċina. Ħafna minaturi Ċiniżi ħadmu fir-Rabat, u l-wirt tagħhom huwa partikolarment qawwi f'Bendigo u l-inħawi tiegħu. Għalkemm kien hemm xi razziżmu dirett lejhom, ma kienx hemm il-livell ta 'vjolenza kontra ċ-Ċiniżi li kien jidher fl-irvellijiet ċatti tal-ħaruf fi New South Wales. Madankollu, kien hemm irvellijiet fil-Wied ta 'Buckland qrib Bright fl-1857. Il-kundizzjonijiet fuq l-għelieqi tad-deheb kienu skomdi u mhux sanitarji; Tfaqqigħ ta 'tifojde fil-Wied ta' Buckland fl-1854 qatel aktar minn 1,000 minatur.</v>
      </c>
    </row>
    <row r="7196" ht="15.75" customHeight="1">
      <c r="A7196" s="2" t="s">
        <v>7196</v>
      </c>
      <c r="B7196" s="2" t="str">
        <f>IFERROR(__xludf.DUMMYFUNCTION("GOOGLETRANSLATE(A7196, ""en"", ""mt"")"),"X'ifisser l-aġenzija tal-benefiċċji tal-aġenzija fuq il-kont tat-TV?")</f>
        <v>X'ifisser l-aġenzija tal-benefiċċji tal-aġenzija fuq il-kont tat-TV?</v>
      </c>
    </row>
    <row r="7197" ht="15.75" customHeight="1">
      <c r="A7197" s="2" t="s">
        <v>7197</v>
      </c>
      <c r="B7197" s="2" t="str">
        <f>IFERROR(__xludf.DUMMYFUNCTION("GOOGLETRANSLATE(A7197, ""en"", ""mt"")"),"binarji, sinjalazzjoni u wajers ġenerali")</f>
        <v>binarji, sinjalazzjoni u wajers ġenerali</v>
      </c>
    </row>
    <row r="7198" ht="15.75" customHeight="1">
      <c r="A7198" s="2" t="s">
        <v>7198</v>
      </c>
      <c r="B7198" s="2" t="str">
        <f>IFERROR(__xludf.DUMMYFUNCTION("GOOGLETRANSLATE(A7198, ""en"", ""mt"")"),"kburi bih")</f>
        <v>kburi bih</v>
      </c>
    </row>
    <row r="7199" ht="15.75" customHeight="1">
      <c r="A7199" s="2" t="s">
        <v>7199</v>
      </c>
      <c r="B7199" s="2" t="str">
        <f>IFERROR(__xludf.DUMMYFUNCTION("GOOGLETRANSLATE(A7199, ""en"", ""mt"")"),"Fall tal-1937")</f>
        <v>Fall tal-1937</v>
      </c>
    </row>
    <row r="7200" ht="15.75" customHeight="1">
      <c r="A7200" s="2" t="s">
        <v>7200</v>
      </c>
      <c r="B7200" s="2" t="str">
        <f>IFERROR(__xludf.DUMMYFUNCTION("GOOGLETRANSLATE(A7200, ""en"", ""mt"")"),"Trasmissjoni turbo-elettrika")</f>
        <v>Trasmissjoni turbo-elettrika</v>
      </c>
    </row>
    <row r="7201" ht="15.75" customHeight="1">
      <c r="A7201" s="2" t="s">
        <v>7201</v>
      </c>
      <c r="B7201" s="2" t="str">
        <f>IFERROR(__xludf.DUMMYFUNCTION("GOOGLETRANSLATE(A7201, ""en"", ""mt"")"),"respirazzjoni ċellulari")</f>
        <v>respirazzjoni ċellulari</v>
      </c>
    </row>
    <row r="7202" ht="15.75" customHeight="1">
      <c r="A7202" s="2" t="s">
        <v>7202</v>
      </c>
      <c r="B7202" s="2" t="str">
        <f>IFERROR(__xludf.DUMMYFUNCTION("GOOGLETRANSLATE(A7202, ""en"", ""mt"")"),"Min jaħseb li Tesla kienet se tmexxi d-dinja tal-futur?")</f>
        <v>Min jaħseb li Tesla kienet se tmexxi d-dinja tal-futur?</v>
      </c>
    </row>
    <row r="7203" ht="15.75" customHeight="1">
      <c r="A7203" s="2" t="s">
        <v>7203</v>
      </c>
      <c r="B7203" s="2" t="str">
        <f>IFERROR(__xludf.DUMMYFUNCTION("GOOGLETRANSLATE(A7203, ""en"", ""mt"")"),"Kumitati tas-suġġetti huma stabbiliti fil-bidu ta 'kull sessjoni parlamentari, u għal darb'oħra l-membri f'kull kumitat jirriflettu l-bilanċ tal-partijiet madwar il-Parlament. Tipikament kull kumitat jikkorrispondi ma 'wieħed (jew aktar) tad-dipartimenti "&amp;"(jew ministeri) tal-gvern Skoċċiż. Il-kumitati tas-suġġetti attwali fir-raba 'sessjoni huma: ekonomija, enerġija u turiżmu; Edukazzjoni u kultura; Saħħa u sport; Ġustizzja; Gvern lokali u riġenerazzjoni; Affarijiet rurali, bidla fil-klima u ambjent; Rifor"&amp;"ma tal-benesseri; u infrastruttura u investiment kapitali.")</f>
        <v>Kumitati tas-suġġetti huma stabbiliti fil-bidu ta 'kull sessjoni parlamentari, u għal darb'oħra l-membri f'kull kumitat jirriflettu l-bilanċ tal-partijiet madwar il-Parlament. Tipikament kull kumitat jikkorrispondi ma 'wieħed (jew aktar) tad-dipartimenti (jew ministeri) tal-gvern Skoċċiż. Il-kumitati tas-suġġetti attwali fir-raba 'sessjoni huma: ekonomija, enerġija u turiżmu; Edukazzjoni u kultura; Saħħa u sport; Ġustizzja; Gvern lokali u riġenerazzjoni; Affarijiet rurali, bidla fil-klima u ambjent; Riforma tal-benesseri; u infrastruttura u investiment kapitali.</v>
      </c>
    </row>
    <row r="7204" ht="15.75" customHeight="1">
      <c r="A7204" s="2" t="s">
        <v>7204</v>
      </c>
      <c r="B7204" s="2" t="str">
        <f>IFERROR(__xludf.DUMMYFUNCTION("GOOGLETRANSLATE(A7204, ""en"", ""mt"")"),"X'inhu l-isem tal-unika ċinema tal-aħbarijiet li fadal tar-Renju Unit?")</f>
        <v>X'inhu l-isem tal-unika ċinema tal-aħbarijiet li fadal tar-Renju Unit?</v>
      </c>
    </row>
    <row r="7205" ht="15.75" customHeight="1">
      <c r="A7205" s="2" t="s">
        <v>7205</v>
      </c>
      <c r="B7205" s="2" t="str">
        <f>IFERROR(__xludf.DUMMYFUNCTION("GOOGLETRANSLATE(A7205, ""en"", ""mt"")"),"poteri li huma ""riservati"" lill-Parlament tar-Renju Unit")</f>
        <v>poteri li huma "riservati" lill-Parlament tar-Renju Unit</v>
      </c>
    </row>
    <row r="7206" ht="15.75" customHeight="1">
      <c r="A7206" s="2" t="s">
        <v>7206</v>
      </c>
      <c r="B7206" s="2" t="str">
        <f>IFERROR(__xludf.DUMMYFUNCTION("GOOGLETRANSLATE(A7206, ""en"", ""mt"")"),"mil-livell tal-baħar")</f>
        <v>mil-livell tal-baħar</v>
      </c>
    </row>
    <row r="7207" ht="15.75" customHeight="1">
      <c r="A7207" s="2" t="s">
        <v>7207</v>
      </c>
      <c r="B7207" s="2" t="str">
        <f>IFERROR(__xludf.DUMMYFUNCTION("GOOGLETRANSLATE(A7207, ""en"", ""mt"")"),"Il-klassifikazzjoni tar-riżorsi tiddependi fuq id-determinazzjoni tal-limiti ta 'fuq u t'isfel tal-ħin minimu meħtieġ minn xiex?")</f>
        <v>Il-klassifikazzjoni tar-riżorsi tiddependi fuq id-determinazzjoni tal-limiti ta 'fuq u t'isfel tal-ħin minimu meħtieġ minn xiex?</v>
      </c>
    </row>
    <row r="7208" ht="15.75" customHeight="1">
      <c r="A7208" s="2" t="s">
        <v>7208</v>
      </c>
      <c r="B7208" s="2" t="str">
        <f>IFERROR(__xludf.DUMMYFUNCTION("GOOGLETRANSLATE(A7208, ""en"", ""mt"")"),"il-piż tal-oġġett")</f>
        <v>il-piż tal-oġġett</v>
      </c>
    </row>
    <row r="7209" ht="15.75" customHeight="1">
      <c r="A7209" s="2" t="s">
        <v>7209</v>
      </c>
      <c r="B7209" s="2" t="str">
        <f>IFERROR(__xludf.DUMMYFUNCTION("GOOGLETRANSLATE(A7209, ""en"", ""mt"")"),"kondensaturi tal-wiċċ")</f>
        <v>kondensaturi tal-wiċċ</v>
      </c>
    </row>
    <row r="7210" ht="15.75" customHeight="1">
      <c r="A7210" s="2" t="s">
        <v>7210</v>
      </c>
      <c r="B7210" s="2" t="str">
        <f>IFERROR(__xludf.DUMMYFUNCTION("GOOGLETRANSLATE(A7210, ""en"", ""mt"")"),"X'inhu l-isem tax-xmara li tinsab kompletament ġewwa Jacksonville?")</f>
        <v>X'inhu l-isem tax-xmara li tinsab kompletament ġewwa Jacksonville?</v>
      </c>
    </row>
    <row r="7211" ht="15.75" customHeight="1">
      <c r="A7211" s="2" t="s">
        <v>7211</v>
      </c>
      <c r="B7211" s="2" t="str">
        <f>IFERROR(__xludf.DUMMYFUNCTION("GOOGLETRANSLATE(A7211, ""en"", ""mt"")"),"Ekonomija Neoklasika")</f>
        <v>Ekonomija Neoklasika</v>
      </c>
    </row>
    <row r="7212" ht="15.75" customHeight="1">
      <c r="A7212" s="2" t="s">
        <v>7212</v>
      </c>
      <c r="B7212" s="2" t="str">
        <f>IFERROR(__xludf.DUMMYFUNCTION("GOOGLETRANSLATE(A7212, ""en"", ""mt"")"),"ħtieġa ewlenija għall-ammissjoni għall-istandard wieħed (l-ewwel grad)")</f>
        <v>ħtieġa ewlenija għall-ammissjoni għall-istandard wieħed (l-ewwel grad)</v>
      </c>
    </row>
    <row r="7213" ht="15.75" customHeight="1">
      <c r="A7213" s="2" t="s">
        <v>7213</v>
      </c>
      <c r="B7213" s="2" t="str">
        <f>IFERROR(__xludf.DUMMYFUNCTION("GOOGLETRANSLATE(A7213, ""en"", ""mt"")"),"Liema fenomenu wassal għal kritika?")</f>
        <v>Liema fenomenu wassal għal kritika?</v>
      </c>
    </row>
    <row r="7214" ht="15.75" customHeight="1">
      <c r="A7214" s="2" t="s">
        <v>7214</v>
      </c>
      <c r="B7214" s="2" t="str">
        <f>IFERROR(__xludf.DUMMYFUNCTION("GOOGLETRANSLATE(A7214, ""en"", ""mt"")"),"L-erba 'skedi ta' żmien li ġejjin juru l-iskala tal-ħin ġeoloġiku. L-ewwel juri l-ħin kollu mill-formazzjoni tad-dinja sal-preżent, iżda dan jikkompressa l-iktar eon riċenti. Għalhekk, it-tieni skala turi l-aktar EON riċenti bi skala estiża. It-tieni skal"&amp;"a tikkompressa l-iktar era riċenti, u għalhekk l-iktar era riċenti hija estiża fit-tielet skala. Peress li l-kwaternarju huwa perjodu qasir ħafna b'epoki qosra, dan jitwessa 'aktar fir-raba' skala. It-tieni, it-tielet, u r-raba 'skedi ta' żmien huma għalh"&amp;"ekk kull subartikolu tal-iskeda ta 'żmien preċedenti kif indikat mill-asteriski. L-Oloken (l-aħħar epoka) huwa żgħir wisq biex jintwera b'mod ċar fuq it-tielet skeda ta 'żmien fuq il-lemin, raġuni oħra għall-espansjoni tar-raba' skala. L-epoka tal-Pleisto"&amp;"cene (P). Q tfisser il-perjodu kwaternarju.")</f>
        <v>L-erba 'skedi ta' żmien li ġejjin juru l-iskala tal-ħin ġeoloġiku. L-ewwel juri l-ħin kollu mill-formazzjoni tad-dinja sal-preżent, iżda dan jikkompressa l-iktar eon riċenti. Għalhekk, it-tieni skala turi l-aktar EON riċenti bi skala estiża. It-tieni skala tikkompressa l-iktar era riċenti, u għalhekk l-iktar era riċenti hija estiża fit-tielet skala. Peress li l-kwaternarju huwa perjodu qasir ħafna b'epoki qosra, dan jitwessa 'aktar fir-raba' skala. It-tieni, it-tielet, u r-raba 'skedi ta' żmien huma għalhekk kull subartikolu tal-iskeda ta 'żmien preċedenti kif indikat mill-asteriski. L-Oloken (l-aħħar epoka) huwa żgħir wisq biex jintwera b'mod ċar fuq it-tielet skeda ta 'żmien fuq il-lemin, raġuni oħra għall-espansjoni tar-raba' skala. L-epoka tal-Pleistocene (P). Q tfisser il-perjodu kwaternarju.</v>
      </c>
    </row>
    <row r="7215" ht="15.75" customHeight="1">
      <c r="A7215" s="2" t="s">
        <v>7215</v>
      </c>
      <c r="B7215" s="2" t="str">
        <f>IFERROR(__xludf.DUMMYFUNCTION("GOOGLETRANSLATE(A7215, ""en"", ""mt"")"),"Apollo dam mill-1961 sal-1972")</f>
        <v>Apollo dam mill-1961 sal-1972</v>
      </c>
    </row>
    <row r="7216" ht="15.75" customHeight="1">
      <c r="A7216" s="2" t="s">
        <v>7216</v>
      </c>
      <c r="B7216" s="2" t="str">
        <f>IFERROR(__xludf.DUMMYFUNCTION("GOOGLETRANSLATE(A7216, ""en"", ""mt"")"),"Dikjarazzjoni ta 'żewġ paġni")</f>
        <v>Dikjarazzjoni ta 'żewġ paġni</v>
      </c>
    </row>
    <row r="7217" ht="15.75" customHeight="1">
      <c r="A7217" s="2" t="s">
        <v>7217</v>
      </c>
      <c r="B7217" s="2" t="str">
        <f>IFERROR(__xludf.DUMMYFUNCTION("GOOGLETRANSLATE(A7217, ""en"", ""mt"")"),"Kemm hemm nies li l-Istat Iżlamiku kkontrolla t-territorju ta 'Marzu 2015?")</f>
        <v>Kemm hemm nies li l-Istat Iżlamiku kkontrolla t-territorju ta 'Marzu 2015?</v>
      </c>
    </row>
    <row r="7218" ht="15.75" customHeight="1">
      <c r="A7218" s="2" t="s">
        <v>7218</v>
      </c>
      <c r="B7218" s="2" t="str">
        <f>IFERROR(__xludf.DUMMYFUNCTION("GOOGLETRANSLATE(A7218, ""en"", ""mt"")"),"F'Diċembru 2014, il-President Uhuru Kenyatta ffirma Abbozz ta 'Liġi dwar il-Liġijiet tas-Sigurtà, li l-partitarji tal-liġi ssuġġerew li kienu meħtieġa biex iħarsu kontra gruppi armati. Il-politiċi tal-oppożizzjoni, il-gruppi tad-drittijiet tal-bniedem, u "&amp;"disa ’pajjiżi tal-Punent ikkritikaw l-abbozz tas-sigurtà, billi argumentaw li kisru l-libertajiet demokratiċi. Il-gvernijiet ta 'l-Istati Uniti, il-Gran Brittanja, il-Ġermanja u Franza ħarġu wkoll stqarrija għall-istampa b'attenzjoni dwar l-impatt potenzj"&amp;"ali tal-liġi. Permezz tal-koalizzjoni ta 'Jubillee, l-abbozz ġie mgħoddi aktar tard fid-19 ta' Diċembru fl-Assemblea Nazzjonali taħt ċirkostanzi akrimoniċi.")</f>
        <v>F'Diċembru 2014, il-President Uhuru Kenyatta ffirma Abbozz ta 'Liġi dwar il-Liġijiet tas-Sigurtà, li l-partitarji tal-liġi ssuġġerew li kienu meħtieġa biex iħarsu kontra gruppi armati. Il-politiċi tal-oppożizzjoni, il-gruppi tad-drittijiet tal-bniedem, u disa ’pajjiżi tal-Punent ikkritikaw l-abbozz tas-sigurtà, billi argumentaw li kisru l-libertajiet demokratiċi. Il-gvernijiet ta 'l-Istati Uniti, il-Gran Brittanja, il-Ġermanja u Franza ħarġu wkoll stqarrija għall-istampa b'attenzjoni dwar l-impatt potenzjali tal-liġi. Permezz tal-koalizzjoni ta 'Jubillee, l-abbozz ġie mgħoddi aktar tard fid-19 ta' Diċembru fl-Assemblea Nazzjonali taħt ċirkostanzi akrimoniċi.</v>
      </c>
    </row>
    <row r="7219" ht="15.75" customHeight="1">
      <c r="A7219" s="2" t="s">
        <v>7219</v>
      </c>
      <c r="B7219" s="2" t="str">
        <f>IFERROR(__xludf.DUMMYFUNCTION("GOOGLETRANSLATE(A7219, ""en"", ""mt"")"),"Kif jirriproduċu l-platyctenids?")</f>
        <v>Kif jirriproduċu l-platyctenids?</v>
      </c>
    </row>
    <row r="7220" ht="15.75" customHeight="1">
      <c r="A7220" s="2" t="s">
        <v>7220</v>
      </c>
      <c r="B7220" s="2" t="str">
        <f>IFERROR(__xludf.DUMMYFUNCTION("GOOGLETRANSLATE(A7220, ""en"", ""mt"")"),"Dak li ma jinbidilx mill-mistrieħ għall-moviment b'veloċità kostanti?")</f>
        <v>Dak li ma jinbidilx mill-mistrieħ għall-moviment b'veloċità kostanti?</v>
      </c>
    </row>
    <row r="7221" ht="15.75" customHeight="1">
      <c r="A7221" s="2" t="s">
        <v>7221</v>
      </c>
      <c r="B7221" s="2" t="str">
        <f>IFERROR(__xludf.DUMMYFUNCTION("GOOGLETRANSLATE(A7221, ""en"", ""mt"")"),"Fl-aħħar snin tal-era tal-apartheid, il-ġenituri fl-iskejjel tal-gvern abjad ingħataw l-għażla li jikkonvertu għal formola ""semi-privata"" imsejħa Mudell C, u ħafna minn dawn l-iskejjel biddlu l-politiki tal-ammissjonijiet tagħhom biex jaċċettaw tfal ta "&amp;"'razez oħra. Wara t-tranżizzjoni għad-demokrazija, il-forma legali ta '""Mudell Ċ"" ġiet abolita, madankollu, it-terminu jibqa' jintuża biex jiddeskrivi skejjel tal-gvern li qabel kienu riservati għal tfal bojod .. Dawn l-iskejjel għandhom it-tendenza li "&amp;"jipproduċu riżultati akkademiċi aħjar minn skejjel tal-gvern li qabel kienu riservati għal Gruppi oħra ta ’razza. L-iskejjel ta 'qabel ""Mudell C"" mhumiex skejjel privati, peress li huma kkontrollati mill-istat. L-iskejjel kollha fl-Afrika t'Isfel (inklu"&amp;"żi l-iskejjel indipendenti kif ukoll l-iskejjel pubbliċi) għandhom id-dritt li jistabbilixxu ħlasijiet obbligatorji tal-iskejjel, u l-iskejjel tal-Mudell C li qabel kienu għandhom it-tendenza li jistabbilixxu miżati tal-iskola ferm ogħla minn skejjel pubb"&amp;"liċi oħra.")</f>
        <v>Fl-aħħar snin tal-era tal-apartheid, il-ġenituri fl-iskejjel tal-gvern abjad ingħataw l-għażla li jikkonvertu għal formola "semi-privata" imsejħa Mudell C, u ħafna minn dawn l-iskejjel biddlu l-politiki tal-ammissjonijiet tagħhom biex jaċċettaw tfal ta 'razez oħra. Wara t-tranżizzjoni għad-demokrazija, il-forma legali ta '"Mudell Ċ" ġiet abolita, madankollu, it-terminu jibqa' jintuża biex jiddeskrivi skejjel tal-gvern li qabel kienu riservati għal tfal bojod .. Dawn l-iskejjel għandhom it-tendenza li jipproduċu riżultati akkademiċi aħjar minn skejjel tal-gvern li qabel kienu riservati għal Gruppi oħra ta ’razza. L-iskejjel ta 'qabel "Mudell C" mhumiex skejjel privati, peress li huma kkontrollati mill-istat. L-iskejjel kollha fl-Afrika t'Isfel (inklużi l-iskejjel indipendenti kif ukoll l-iskejjel pubbliċi) għandhom id-dritt li jistabbilixxu ħlasijiet obbligatorji tal-iskejjel, u l-iskejjel tal-Mudell C li qabel kienu għandhom it-tendenza li jistabbilixxu miżati tal-iskola ferm ogħla minn skejjel pubbliċi oħra.</v>
      </c>
    </row>
    <row r="7222" ht="15.75" customHeight="1">
      <c r="A7222" s="2" t="s">
        <v>7222</v>
      </c>
      <c r="B7222" s="2" t="str">
        <f>IFERROR(__xludf.DUMMYFUNCTION("GOOGLETRANSLATE(A7222, ""en"", ""mt"")"),"It-Tieni Gwerra Dinjija")</f>
        <v>It-Tieni Gwerra Dinjija</v>
      </c>
    </row>
    <row r="7223" ht="15.75" customHeight="1">
      <c r="A7223" s="2" t="s">
        <v>7223</v>
      </c>
      <c r="B7223" s="2" t="str">
        <f>IFERROR(__xludf.DUMMYFUNCTION("GOOGLETRANSLATE(A7223, ""en"", ""mt"")"),"Is-Sistema tal-Librerija tal-Università ta ’Harvard hija ċċentrata fil-Librerija Widener fil-Harvard Yard u tinkludi kważi 80 librerija individwali li għandhom aktar minn 18-il miljun volum. Skond l-Assoċjazzjoni Amerikana tal-Librerija, din tagħmilha l-i"&amp;"kbar librerija akkademika fl-Istati Uniti, u waħda mill-ikbar fid-dinja. Cabot Science Library, Lamont Library, u Widener Library huma tlieta mill-aktar libreriji popolari għal dawk li jiggradwaw biex jintużaw, b'aċċess faċli u postijiet ċentrali. Hemm ko"&amp;"tba rari, manuskritti u kollezzjonijiet speċjali oħra fil-libreriji ta 'Harvard; Houghton Library, il-Librerija Arthur u Elizabeth Schlesinger dwar l-Istorja tan-Nisa fl-Amerika, u l-Arkivji tal-Università ta 'Harvard jikkonsistu prinċipalment minn materj"&amp;"ali rari u uniċi. L-eqdem kollezzjoni ta 'mapep, gazzetta u atlasi ta' l-Amerika kemm qodma kif ukoll ġodda hija maħżuna fil-librerija Pusey u miftuħa għall-pubbliku. L-akbar ġabra ta 'materjal tal-lingwa tal-Lvant-Ażjan barra l-Asja tal-Lvant hija miżmum"&amp;"a fil-Librerija ta' Harvard-Yenching.")</f>
        <v>Is-Sistema tal-Librerija tal-Università ta ’Harvard hija ċċentrata fil-Librerija Widener fil-Harvard Yard u tinkludi kważi 80 librerija individwali li għandhom aktar minn 18-il miljun volum. Skond l-Assoċjazzjoni Amerikana tal-Librerija, din tagħmilha l-ikbar librerija akkademika fl-Istati Uniti, u waħda mill-ikbar fid-dinja. Cabot Science Library, Lamont Library, u Widener Library huma tlieta mill-aktar libreriji popolari għal dawk li jiggradwaw biex jintużaw, b'aċċess faċli u postijiet ċentrali. Hemm kotba rari, manuskritti u kollezzjonijiet speċjali oħra fil-libreriji ta 'Harvard; Houghton Library, il-Librerija Arthur u Elizabeth Schlesinger dwar l-Istorja tan-Nisa fl-Amerika, u l-Arkivji tal-Università ta 'Harvard jikkonsistu prinċipalment minn materjali rari u uniċi. L-eqdem kollezzjoni ta 'mapep, gazzetta u atlasi ta' l-Amerika kemm qodma kif ukoll ġodda hija maħżuna fil-librerija Pusey u miftuħa għall-pubbliku. L-akbar ġabra ta 'materjal tal-lingwa tal-Lvant-Ażjan barra l-Asja tal-Lvant hija miżmuma fil-Librerija ta' Harvard-Yenching.</v>
      </c>
    </row>
    <row r="7224" ht="15.75" customHeight="1">
      <c r="A7224" s="2" t="s">
        <v>7224</v>
      </c>
      <c r="B7224" s="2" t="str">
        <f>IFERROR(__xludf.DUMMYFUNCTION("GOOGLETRANSLATE(A7224, ""en"", ""mt"")"),"Chagatai u Jochi")</f>
        <v>Chagatai u Jochi</v>
      </c>
    </row>
    <row r="7225" ht="15.75" customHeight="1">
      <c r="A7225" s="2" t="s">
        <v>7225</v>
      </c>
      <c r="B7225" s="2" t="str">
        <f>IFERROR(__xludf.DUMMYFUNCTION("GOOGLETRANSLATE(A7225, ""en"", ""mt"")"),"Bħala funzjoni tad-daqs tal-istanza")</f>
        <v>Bħala funzjoni tad-daqs tal-istanza</v>
      </c>
    </row>
    <row r="7226" ht="15.75" customHeight="1">
      <c r="A7226" s="2" t="s">
        <v>7226</v>
      </c>
      <c r="B7226" s="2" t="str">
        <f>IFERROR(__xludf.DUMMYFUNCTION("GOOGLETRANSLATE(A7226, ""en"", ""mt"")"),"1.4 darbiet normali")</f>
        <v>1.4 darbiet normali</v>
      </c>
    </row>
    <row r="7227" ht="15.75" customHeight="1">
      <c r="A7227" s="2" t="s">
        <v>7227</v>
      </c>
      <c r="B7227" s="2" t="str">
        <f>IFERROR(__xludf.DUMMYFUNCTION("GOOGLETRANSLATE(A7227, ""en"", ""mt"")"),"Materjali li jdaħħlu")</f>
        <v>Materjali li jdaħħlu</v>
      </c>
    </row>
    <row r="7228" ht="15.75" customHeight="1">
      <c r="A7228" s="2" t="s">
        <v>7228</v>
      </c>
      <c r="B7228" s="2" t="str">
        <f>IFERROR(__xludf.DUMMYFUNCTION("GOOGLETRANSLATE(A7228, ""en"", ""mt"")"),"Xi jaħseb li jagħmel id-9 +3 ta 'cilia?")</f>
        <v>Xi jaħseb li jagħmel id-9 +3 ta 'cilia?</v>
      </c>
    </row>
    <row r="7229" ht="15.75" customHeight="1">
      <c r="A7229" s="2" t="s">
        <v>7229</v>
      </c>
      <c r="B7229" s="2" t="str">
        <f>IFERROR(__xludf.DUMMYFUNCTION("GOOGLETRANSLATE(A7229, ""en"", ""mt"")"),"X'kienet l-immaġni ta 'Luther b'kuntrast mal-ħajja ta'?")</f>
        <v>X'kienet l-immaġni ta 'Luther b'kuntrast mal-ħajja ta'?</v>
      </c>
    </row>
    <row r="7230" ht="15.75" customHeight="1">
      <c r="A7230" s="2" t="s">
        <v>7230</v>
      </c>
      <c r="B7230" s="2" t="str">
        <f>IFERROR(__xludf.DUMMYFUNCTION("GOOGLETRANSLATE(A7230, ""en"", ""mt"")"),"Nar Ectrical")</f>
        <v>Nar Ectrical</v>
      </c>
    </row>
    <row r="7231" ht="15.75" customHeight="1">
      <c r="A7231" s="2" t="s">
        <v>7231</v>
      </c>
      <c r="B7231" s="2" t="str">
        <f>IFERROR(__xludf.DUMMYFUNCTION("GOOGLETRANSLATE(A7231, ""en"", ""mt"")"),"Grazzi għal bosta postijiet mużikali, inkluż it-Teatr Wielki, l-Opra Nazzjonali Pollakka, l-Opera tal-Kamra, is-Sala Filarmonika Nazzjonali u t-Teatru Nazzjonali, kif ukoll it-Teatri tal-Mużika Roma u Buffo u s-Sala tal-Kungress fil-Palazz tal-Kultura u x"&amp;"-Xjenza, Varsavja tospita bosta avvenimenti u festivals. Fost l-avvenimenti li jiswew attenzjoni partikolari hemm: il-kompetizzjoni internazzjonali tal-pjanu Frédéric Chopin, il-Festival Internazzjonali tal-Mużika Kontemporanja Varsavja, il-Jazz Jamboree,"&amp;" il-jiem tal-jazz tas-sajf ta 'Varsavja, il-kompetizzjoni vokali internazzjonali Stanisław Moniuszko, il-Festival Mozart, il-Festival Mozart, u l-Festival tal-Mużika l-Qadima.")</f>
        <v>Grazzi għal bosta postijiet mużikali, inkluż it-Teatr Wielki, l-Opra Nazzjonali Pollakka, l-Opera tal-Kamra, is-Sala Filarmonika Nazzjonali u t-Teatru Nazzjonali, kif ukoll it-Teatri tal-Mużika Roma u Buffo u s-Sala tal-Kungress fil-Palazz tal-Kultura u x-Xjenza, Varsavja tospita bosta avvenimenti u festivals. Fost l-avvenimenti li jiswew attenzjoni partikolari hemm: il-kompetizzjoni internazzjonali tal-pjanu Frédéric Chopin, il-Festival Internazzjonali tal-Mużika Kontemporanja Varsavja, il-Jazz Jamboree, il-jiem tal-jazz tas-sajf ta 'Varsavja, il-kompetizzjoni vokali internazzjonali Stanisław Moniuszko, il-Festival Mozart, il-Festival Mozart, u l-Festival tal-Mużika l-Qadima.</v>
      </c>
    </row>
    <row r="7232" ht="15.75" customHeight="1">
      <c r="A7232" s="2" t="s">
        <v>7232</v>
      </c>
      <c r="B7232" s="2" t="str">
        <f>IFERROR(__xludf.DUMMYFUNCTION("GOOGLETRANSLATE(A7232, ""en"", ""mt"")"),"1960s")</f>
        <v>1960s</v>
      </c>
    </row>
    <row r="7233" ht="15.75" customHeight="1">
      <c r="A7233" s="2" t="s">
        <v>7233</v>
      </c>
      <c r="B7233" s="2" t="str">
        <f>IFERROR(__xludf.DUMMYFUNCTION("GOOGLETRANSLATE(A7233, ""en"", ""mt"")"),"27 ta ’Awwissu 2010")</f>
        <v>27 ta ’Awwissu 2010</v>
      </c>
    </row>
    <row r="7234" ht="15.75" customHeight="1">
      <c r="A7234" s="2" t="s">
        <v>7234</v>
      </c>
      <c r="B7234" s="2" t="str">
        <f>IFERROR(__xludf.DUMMYFUNCTION("GOOGLETRANSLATE(A7234, ""en"", ""mt"")"),"Netwerk ta 'Qlib tal-Pakketti Cyclades")</f>
        <v>Netwerk ta 'Qlib tal-Pakketti Cyclades</v>
      </c>
    </row>
    <row r="7235" ht="15.75" customHeight="1">
      <c r="A7235" s="2" t="s">
        <v>7235</v>
      </c>
      <c r="B7235" s="2" t="str">
        <f>IFERROR(__xludf.DUMMYFUNCTION("GOOGLETRANSLATE(A7235, ""en"", ""mt"")"),"Meta d-delegati għall-Kunsill Metodist Dinji vvutaw biex jadottaw id-dikjarazzjoni konġunta fuq id-duttrina tal-ġustifikazzjoni? """)</f>
        <v>Meta d-delegati għall-Kunsill Metodist Dinji vvutaw biex jadottaw id-dikjarazzjoni konġunta fuq id-duttrina tal-ġustifikazzjoni? "</v>
      </c>
    </row>
    <row r="7236" ht="15.75" customHeight="1">
      <c r="A7236" s="2" t="s">
        <v>7236</v>
      </c>
      <c r="B7236" s="2" t="str">
        <f>IFERROR(__xludf.DUMMYFUNCTION("GOOGLETRANSLATE(A7236, ""en"", ""mt"")"),"L-iktar metodu bażiku biex tiġi ċċekkjata l-primalità ta 'numru sħiħ partikolari huwa msejjaħ diviżjoni ta' prova. Din ir-rutina tikkonsisti f'diviżjoni N minn kull numru sħiħ li huwa akbar minn 1 u inqas minn jew daqs l-għerq kwadru ta 'n. Jekk ir-riżult"&amp;"at ta 'xi waħda minn dawn id-diviżjonijiet huwa numru sħiħ, allura N mhuwiex prim, inkella huwa prim. Tassew, jekk huwa kompost (b'A u B ≠ 1) allura wieħed mill-fatturi A jew B huwa neċessarjament fil-biċċa l-kbira. Pereżempju, għal, id-diviżjonijiet tal-"&amp;"prova huma minn M = 2, 3, 4, 5, u 6. L-ebda wieħed minn dawn in-numri ma jaqsam 37, u għalhekk 37 huwa prim. Din ir-rutina tista 'tiġi implimentata b'mod aktar effiċjenti jekk tkun magħrufa lista kompluta ta' primes - allura d-diviżjonijiet ta 'prova jeħt"&amp;"ieġ li jiġu kkontrollati biss għal dawk m li huma ewlenin. Pereżempju, biex tivverifika l-primalità ta '37, huma meħtieġa tliet diviżjonijiet biss (M = 2, 3, u 5), minħabba li 4 u 6 huma komposti.")</f>
        <v>L-iktar metodu bażiku biex tiġi ċċekkjata l-primalità ta 'numru sħiħ partikolari huwa msejjaħ diviżjoni ta' prova. Din ir-rutina tikkonsisti f'diviżjoni N minn kull numru sħiħ li huwa akbar minn 1 u inqas minn jew daqs l-għerq kwadru ta 'n. Jekk ir-riżultat ta 'xi waħda minn dawn id-diviżjonijiet huwa numru sħiħ, allura N mhuwiex prim, inkella huwa prim. Tassew, jekk huwa kompost (b'A u B ≠ 1) allura wieħed mill-fatturi A jew B huwa neċessarjament fil-biċċa l-kbira. Pereżempju, għal, id-diviżjonijiet tal-prova huma minn M = 2, 3, 4, 5, u 6. L-ebda wieħed minn dawn in-numri ma jaqsam 37, u għalhekk 37 huwa prim. Din ir-rutina tista 'tiġi implimentata b'mod aktar effiċjenti jekk tkun magħrufa lista kompluta ta' primes - allura d-diviżjonijiet ta 'prova jeħtieġ li jiġu kkontrollati biss għal dawk m li huma ewlenin. Pereżempju, biex tivverifika l-primalità ta '37, huma meħtieġa tliet diviżjonijiet biss (M = 2, 3, u 5), minħabba li 4 u 6 huma komposti.</v>
      </c>
    </row>
    <row r="7237" ht="15.75" customHeight="1">
      <c r="A7237" s="2" t="s">
        <v>7237</v>
      </c>
      <c r="B7237" s="2" t="str">
        <f>IFERROR(__xludf.DUMMYFUNCTION("GOOGLETRANSLATE(A7237, ""en"", ""mt"")"),"Dejta ta 'inklużjoni ta' fluwidi")</f>
        <v>Dejta ta 'inklużjoni ta' fluwidi</v>
      </c>
    </row>
    <row r="7238" ht="15.75" customHeight="1">
      <c r="A7238" s="2" t="s">
        <v>7238</v>
      </c>
      <c r="B7238" s="2" t="str">
        <f>IFERROR(__xludf.DUMMYFUNCTION("GOOGLETRANSLATE(A7238, ""en"", ""mt"")"),"depressurizzazzjoni")</f>
        <v>depressurizzazzjoni</v>
      </c>
    </row>
    <row r="7239" ht="15.75" customHeight="1">
      <c r="A7239" s="2" t="s">
        <v>7239</v>
      </c>
      <c r="B7239" s="2" t="str">
        <f>IFERROR(__xludf.DUMMYFUNCTION("GOOGLETRANSLATE(A7239, ""en"", ""mt"")"),"Il-magni tal-fwar spiss ikollhom żewġ mekkaniżmi indipendenti biex jiżguraw li l-pressjoni fil-bojler ma tmurx għoli wisq; Wieħed jista 'jiġi aġġustat mill-utent, it-tieni huwa tipikament iddisinjat bħala falliment aħħari. Valvi ta 'sigurtà bħal dawn trad"&amp;"izzjonalment użaw lieva sempliċi biex trażżan valv tal-plagg fil-parti ta' fuq ta 'bojler. Tmiem tal-lieva wettaq piż jew molla li rażżan il-valv kontra l-pressjoni tal-fwar. Valvi bikrija jistgħu jiġu aġġustati minn sewwieqa tal-magna, li jwasslu għal ħa"&amp;"fna inċidenti meta xufier waħħal il-valv 'l isfel biex jippermetti pressjoni tal-fwar akbar u aktar qawwa mill-magna. It-tip aktar reċenti ta 'valv ta' sigurtà juża valv mgħobbi bir-rebbiegħa aġġustabbli, li huwa msakkra b'tali mod li l-operaturi ma jistg"&amp;"ħux ibatu l-aġġustament tiegħu sakemm siġill illegalment ikun miksur. Dan l-arranġament huwa konsiderevolment aktar sigur. [Ċitazzjoni meħtieġa]")</f>
        <v>Il-magni tal-fwar spiss ikollhom żewġ mekkaniżmi indipendenti biex jiżguraw li l-pressjoni fil-bojler ma tmurx għoli wisq; Wieħed jista 'jiġi aġġustat mill-utent, it-tieni huwa tipikament iddisinjat bħala falliment aħħari. Valvi ta 'sigurtà bħal dawn tradizzjonalment użaw lieva sempliċi biex trażżan valv tal-plagg fil-parti ta' fuq ta 'bojler. Tmiem tal-lieva wettaq piż jew molla li rażżan il-valv kontra l-pressjoni tal-fwar. Valvi bikrija jistgħu jiġu aġġustati minn sewwieqa tal-magna, li jwasslu għal ħafna inċidenti meta xufier waħħal il-valv 'l isfel biex jippermetti pressjoni tal-fwar akbar u aktar qawwa mill-magna. It-tip aktar reċenti ta 'valv ta' sigurtà juża valv mgħobbi bir-rebbiegħa aġġustabbli, li huwa msakkra b'tali mod li l-operaturi ma jistgħux ibatu l-aġġustament tiegħu sakemm siġill illegalment ikun miksur. Dan l-arranġament huwa konsiderevolment aktar sigur. [Ċitazzjoni meħtieġa]</v>
      </c>
    </row>
    <row r="7240" ht="15.75" customHeight="1">
      <c r="A7240" s="2" t="s">
        <v>7240</v>
      </c>
      <c r="B7240" s="2" t="str">
        <f>IFERROR(__xludf.DUMMYFUNCTION("GOOGLETRANSLATE(A7240, ""en"", ""mt"")"),"Meta l-liġi hija mira diretta tal-protesta, kif jissejjaħ dan?")</f>
        <v>Meta l-liġi hija mira diretta tal-protesta, kif jissejjaħ dan?</v>
      </c>
    </row>
    <row r="7241" ht="15.75" customHeight="1">
      <c r="A7241" s="2" t="s">
        <v>7241</v>
      </c>
      <c r="B7241" s="2" t="str">
        <f>IFERROR(__xludf.DUMMYFUNCTION("GOOGLETRANSLATE(A7241, ""en"", ""mt"")"),"korp ta 'trattati u leġislazzjoni, bħal regolamenti u direttivi, li għandhom effett dirett jew effett indirett fuq il-liġijiet tal-Istati Membri tal-Unjoni Ewropea")</f>
        <v>korp ta 'trattati u leġislazzjoni, bħal regolamenti u direttivi, li għandhom effett dirett jew effett indirett fuq il-liġijiet tal-Istati Membri tal-Unjoni Ewropea</v>
      </c>
    </row>
    <row r="7242" ht="15.75" customHeight="1">
      <c r="A7242" s="2" t="s">
        <v>7242</v>
      </c>
      <c r="B7242" s="2" t="str">
        <f>IFERROR(__xludf.DUMMYFUNCTION("GOOGLETRANSLATE(A7242, ""en"", ""mt"")"),"xokk")</f>
        <v>xokk</v>
      </c>
    </row>
    <row r="7243" ht="15.75" customHeight="1">
      <c r="A7243" s="2" t="s">
        <v>7243</v>
      </c>
      <c r="B7243" s="2" t="str">
        <f>IFERROR(__xludf.DUMMYFUNCTION("GOOGLETRANSLATE(A7243, ""en"", ""mt"")"),"X'iktar jikkontribwixxi għall-maltempati tas-sajf ta 'Jacksonville minbarra l-art li tisħon ħdejn l-ilma?")</f>
        <v>X'iktar jikkontribwixxi għall-maltempati tas-sajf ta 'Jacksonville minbarra l-art li tisħon ħdejn l-ilma?</v>
      </c>
    </row>
    <row r="7244" ht="15.75" customHeight="1">
      <c r="A7244" s="2" t="s">
        <v>7244</v>
      </c>
      <c r="B7244" s="2" t="str">
        <f>IFERROR(__xludf.DUMMYFUNCTION("GOOGLETRANSLATE(A7244, ""en"", ""mt"")"),"Inventarji tal-gass serra")</f>
        <v>Inventarji tal-gass serra</v>
      </c>
    </row>
    <row r="7245" ht="15.75" customHeight="1">
      <c r="A7245" s="2" t="s">
        <v>7245</v>
      </c>
      <c r="B7245" s="2" t="str">
        <f>IFERROR(__xludf.DUMMYFUNCTION("GOOGLETRANSLATE(A7245, ""en"", ""mt"")"),"Ukrajna")</f>
        <v>Ukrajna</v>
      </c>
    </row>
    <row r="7246" ht="15.75" customHeight="1">
      <c r="A7246" s="2" t="s">
        <v>7246</v>
      </c>
      <c r="B7246" s="2" t="str">
        <f>IFERROR(__xludf.DUMMYFUNCTION("GOOGLETRANSLATE(A7246, ""en"", ""mt"")"),"Kwistjonijiet riservati")</f>
        <v>Kwistjonijiet riservati</v>
      </c>
    </row>
    <row r="7247" ht="15.75" customHeight="1">
      <c r="A7247" s="2" t="s">
        <v>7247</v>
      </c>
      <c r="B7247" s="2" t="str">
        <f>IFERROR(__xludf.DUMMYFUNCTION("GOOGLETRANSLATE(A7247, ""en"", ""mt"")"),"Il-provvisti minn Jacksonville kienu jappoġġjaw liema fazzjoni fil-Gwerra Ċivili?")</f>
        <v>Il-provvisti minn Jacksonville kienu jappoġġjaw liema fazzjoni fil-Gwerra Ċivili?</v>
      </c>
    </row>
    <row r="7248" ht="15.75" customHeight="1">
      <c r="A7248" s="2" t="s">
        <v>7248</v>
      </c>
      <c r="B7248" s="2" t="str">
        <f>IFERROR(__xludf.DUMMYFUNCTION("GOOGLETRANSLATE(A7248, ""en"", ""mt"")"),"Il-Papa Leo X kien użat għar-riformaturi u l-eretiċi, u huwa wieġeb bil-mod, ""b'attenzjoni kbira kif inhu xieraq."" Matul it-tliet snin li ġejjin huwa skjera serje ta 'teologi papali u mibgħuta kontra Luther, li servew biss biex jibbiesu t-teoloġija anti"&amp;"-papali tar-riformatur. L-ewwel, it-teologu Dumnikan Sylvester Mazzolini fassal każ ta 'ereżija kontra Luther, li Leo mbagħad issejjaħ lil Ruma. L-Elettur Frederick ikkonvinċa lill-Papa biex Luther eżamina f'Augsburg, fejn saret id-Dieta Imperjali. Hemm, "&amp;"f'Ottubru 1518, taħt interrogazzjoni mill-legat papali Kardinal Cajetan Luther iddikjara li ma kkunsidrax il-parti tal-papat tal-knisja bibliċi minħabba li l-interpretazzjoni storistika tal-profezija tal-Bibbja kkonkludiet li l-papat kien l-Antichrist. Il"&amp;"-profeziji li jikkonċernaw l-Antikrist dalwaqt saru ċ-ċentru tal-kontroversja. Is-seduti deġeneraw f'partita ta 'għajjat. Aktar mill-kitba tiegħu l-95 teżi, il-konfront ta 'Luther mal-knisja tefgħuh bħala ghadu tal-Papa. L-istruzzjonijiet oriġinali ta 'Ca"&amp;"jetan kienu li jarrestaw lil Luther jekk ma rnexxielux jerġa' jibda, iżda l-legat ma jridx jagħmel hekk. Luther niżel mill-belt bil-lejl, mhux magħruf ma 'Cajetan.")</f>
        <v>Il-Papa Leo X kien użat għar-riformaturi u l-eretiċi, u huwa wieġeb bil-mod, "b'attenzjoni kbira kif inhu xieraq." Matul it-tliet snin li ġejjin huwa skjera serje ta 'teologi papali u mibgħuta kontra Luther, li servew biss biex jibbiesu t-teoloġija anti-papali tar-riformatur. L-ewwel, it-teologu Dumnikan Sylvester Mazzolini fassal każ ta 'ereżija kontra Luther, li Leo mbagħad issejjaħ lil Ruma. L-Elettur Frederick ikkonvinċa lill-Papa biex Luther eżamina f'Augsburg, fejn saret id-Dieta Imperjali. Hemm, f'Ottubru 1518, taħt interrogazzjoni mill-legat papali Kardinal Cajetan Luther iddikjara li ma kkunsidrax il-parti tal-papat tal-knisja bibliċi minħabba li l-interpretazzjoni storistika tal-profezija tal-Bibbja kkonkludiet li l-papat kien l-Antichrist. Il-profeziji li jikkonċernaw l-Antikrist dalwaqt saru ċ-ċentru tal-kontroversja. Is-seduti deġeneraw f'partita ta 'għajjat. Aktar mill-kitba tiegħu l-95 teżi, il-konfront ta 'Luther mal-knisja tefgħuh bħala ghadu tal-Papa. L-istruzzjonijiet oriġinali ta 'Cajetan kienu li jarrestaw lil Luther jekk ma rnexxielux jerġa' jibda, iżda l-legat ma jridx jagħmel hekk. Luther niżel mill-belt bil-lejl, mhux magħruf ma 'Cajetan.</v>
      </c>
    </row>
    <row r="7249" ht="15.75" customHeight="1">
      <c r="A7249" s="2" t="s">
        <v>7249</v>
      </c>
      <c r="B7249" s="2" t="str">
        <f>IFERROR(__xludf.DUMMYFUNCTION("GOOGLETRANSLATE(A7249, ""en"", ""mt"")"),"Fl-iskejjel privati ​​tan-Nepaliżi, x'inhi l-lingwa primarja ta 'l-istruzzjoni?")</f>
        <v>Fl-iskejjel privati ​​tan-Nepaliżi, x'inhi l-lingwa primarja ta 'l-istruzzjoni?</v>
      </c>
    </row>
    <row r="7250" ht="15.75" customHeight="1">
      <c r="A7250" s="2" t="s">
        <v>7250</v>
      </c>
      <c r="B7250" s="2" t="str">
        <f>IFERROR(__xludf.DUMMYFUNCTION("GOOGLETRANSLATE(A7250, ""en"", ""mt"")"),"ħdax")</f>
        <v>ħdax</v>
      </c>
    </row>
    <row r="7251" ht="15.75" customHeight="1">
      <c r="A7251" s="2" t="s">
        <v>7251</v>
      </c>
      <c r="B7251" s="2" t="str">
        <f>IFERROR(__xludf.DUMMYFUNCTION("GOOGLETRANSLATE(A7251, ""en"", ""mt"")"),"Iċ-ċelloli tal-qattiel naturali jirrikonoxxu ċelloli li għandhom ikunu mmirati minn kundizzjoni magħrufa bħala?")</f>
        <v>Iċ-ċelloli tal-qattiel naturali jirrikonoxxu ċelloli li għandhom ikunu mmirati minn kundizzjoni magħrufa bħala?</v>
      </c>
    </row>
    <row r="7252" ht="15.75" customHeight="1">
      <c r="A7252" s="2" t="s">
        <v>7252</v>
      </c>
      <c r="B7252" s="2" t="str">
        <f>IFERROR(__xludf.DUMMYFUNCTION("GOOGLETRANSLATE(A7252, ""en"", ""mt"")"),"4 kilometri")</f>
        <v>4 kilometri</v>
      </c>
    </row>
    <row r="7253" ht="15.75" customHeight="1">
      <c r="A7253" s="2" t="s">
        <v>7253</v>
      </c>
      <c r="B7253" s="2" t="str">
        <f>IFERROR(__xludf.DUMMYFUNCTION("GOOGLETRANSLATE(A7253, ""en"", ""mt"")"),"operaturi")</f>
        <v>operaturi</v>
      </c>
    </row>
    <row r="7254" ht="15.75" customHeight="1">
      <c r="A7254" s="2" t="s">
        <v>7254</v>
      </c>
      <c r="B7254" s="2" t="str">
        <f>IFERROR(__xludf.DUMMYFUNCTION("GOOGLETRANSLATE(A7254, ""en"", ""mt"")"),"l-awtorità rilevanti")</f>
        <v>l-awtorità rilevanti</v>
      </c>
    </row>
    <row r="7255" ht="15.75" customHeight="1">
      <c r="A7255" s="2" t="s">
        <v>7255</v>
      </c>
      <c r="B7255" s="2" t="str">
        <f>IFERROR(__xludf.DUMMYFUNCTION("GOOGLETRANSLATE(A7255, ""en"", ""mt"")"),"iktar għali")</f>
        <v>iktar għali</v>
      </c>
    </row>
    <row r="7256" ht="15.75" customHeight="1">
      <c r="A7256" s="2" t="s">
        <v>7256</v>
      </c>
      <c r="B7256" s="2" t="str">
        <f>IFERROR(__xludf.DUMMYFUNCTION("GOOGLETRANSLATE(A7256, ""en"", ""mt"")"),"Relatività")</f>
        <v>Relatività</v>
      </c>
    </row>
    <row r="7257" ht="15.75" customHeight="1">
      <c r="A7257" s="2" t="s">
        <v>7257</v>
      </c>
      <c r="B7257" s="2" t="str">
        <f>IFERROR(__xludf.DUMMYFUNCTION("GOOGLETRANSLATE(A7257, ""en"", ""mt"")"),"X'inhu l-proċess li jitneħħew siġar minn foresta magħrufa bħala?")</f>
        <v>X'inhu l-proċess li jitneħħew siġar minn foresta magħrufa bħala?</v>
      </c>
    </row>
    <row r="7258" ht="15.75" customHeight="1">
      <c r="A7258" s="2" t="s">
        <v>7258</v>
      </c>
      <c r="B7258" s="2" t="str">
        <f>IFERROR(__xludf.DUMMYFUNCTION("GOOGLETRANSLATE(A7258, ""en"", ""mt"")"),"Derek Wolfe u Malik Jackson")</f>
        <v>Derek Wolfe u Malik Jackson</v>
      </c>
    </row>
    <row r="7259" ht="15.75" customHeight="1">
      <c r="A7259" s="2" t="s">
        <v>7259</v>
      </c>
      <c r="B7259" s="2" t="str">
        <f>IFERROR(__xludf.DUMMYFUNCTION("GOOGLETRANSLATE(A7259, ""en"", ""mt"")"),"Algoritmi Deterministiċi")</f>
        <v>Algoritmi Deterministiċi</v>
      </c>
    </row>
    <row r="7260" ht="15.75" customHeight="1">
      <c r="A7260" s="2" t="s">
        <v>7260</v>
      </c>
      <c r="B7260" s="2" t="str">
        <f>IFERROR(__xludf.DUMMYFUNCTION("GOOGLETRANSLATE(A7260, ""en"", ""mt"")"),"Liema avveniment segwa l-battalja?")</f>
        <v>Liema avveniment segwa l-battalja?</v>
      </c>
    </row>
    <row r="7261" ht="15.75" customHeight="1">
      <c r="A7261" s="2" t="s">
        <v>7261</v>
      </c>
      <c r="B7261" s="2" t="str">
        <f>IFERROR(__xludf.DUMMYFUNCTION("GOOGLETRANSLATE(A7261, ""en"", ""mt"")"),"Il-finanzjament għal skejjel privati ​​huwa ġeneralment ipprovdut permezz ta 'tagħlim ta' studenti, dotazzjonijiet, fondi ta 'boroż ta' studju / vawċer, u donazzjonijiet u għotjiet minn organizzazzjonijiet reliġjużi jew individwi privati. Il-finanzjament "&amp;"tal-gvern għall-iskejjel reliġjużi huwa jew soġġett għal restrizzjonijiet jew possibilment projbit, skont l-interpretazzjoni tal-qrati tal-Klawsola ta 'Stabbiliment tal-Ewwel Emenda jew Emendi tal-Istat individwali ta' Blaine. Skejjel privati ​​mhux reliġ"&amp;"jużi teoretikament jistgħu jikkwalifikaw għal dan il-finanzjament mingħajr tbatija, u jippreferu l-vantaġġi tal-kontroll indipendenti tal-ammissjonijiet tal-istudenti tagħhom u tal-kontenut tal-kors minflok il-finanzjament pubbliku li jistgħu jiksbu bi st"&amp;"atus charter.")</f>
        <v>Il-finanzjament għal skejjel privati ​​huwa ġeneralment ipprovdut permezz ta 'tagħlim ta' studenti, dotazzjonijiet, fondi ta 'boroż ta' studju / vawċer, u donazzjonijiet u għotjiet minn organizzazzjonijiet reliġjużi jew individwi privati. Il-finanzjament tal-gvern għall-iskejjel reliġjużi huwa jew soġġett għal restrizzjonijiet jew possibilment projbit, skont l-interpretazzjoni tal-qrati tal-Klawsola ta 'Stabbiliment tal-Ewwel Emenda jew Emendi tal-Istat individwali ta' Blaine. Skejjel privati ​​mhux reliġjużi teoretikament jistgħu jikkwalifikaw għal dan il-finanzjament mingħajr tbatija, u jippreferu l-vantaġġi tal-kontroll indipendenti tal-ammissjonijiet tal-istudenti tagħhom u tal-kontenut tal-kors minflok il-finanzjament pubbliku li jistgħu jiksbu bi status charter.</v>
      </c>
    </row>
    <row r="7262" ht="15.75" customHeight="1">
      <c r="A7262" s="2" t="s">
        <v>7262</v>
      </c>
      <c r="B7262" s="2" t="str">
        <f>IFERROR(__xludf.DUMMYFUNCTION("GOOGLETRANSLATE(A7262, ""en"", ""mt"")"),"mibgħuta sitt reġimenti lil Franza Ġdida")</f>
        <v>mibgħuta sitt reġimenti lil Franza Ġdida</v>
      </c>
    </row>
    <row r="7263" ht="15.75" customHeight="1">
      <c r="A7263" s="2" t="s">
        <v>7263</v>
      </c>
      <c r="B7263" s="2" t="str">
        <f>IFERROR(__xludf.DUMMYFUNCTION("GOOGLETRANSLATE(A7263, ""en"", ""mt"")"),"Kustodju tal-Propjetà Alien")</f>
        <v>Kustodju tal-Propjetà Alien</v>
      </c>
    </row>
    <row r="7264" ht="15.75" customHeight="1">
      <c r="A7264" s="2" t="s">
        <v>7264</v>
      </c>
      <c r="B7264" s="2" t="str">
        <f>IFERROR(__xludf.DUMMYFUNCTION("GOOGLETRANSLATE(A7264, ""en"", ""mt"")"),"F'liema parti tas-seklu 19 ġew introdotti turbini tal-fwar?")</f>
        <v>F'liema parti tas-seklu 19 ġew introdotti turbini tal-fwar?</v>
      </c>
    </row>
    <row r="7265" ht="15.75" customHeight="1">
      <c r="A7265" s="2" t="s">
        <v>7265</v>
      </c>
      <c r="B7265" s="2" t="str">
        <f>IFERROR(__xludf.DUMMYFUNCTION("GOOGLETRANSLATE(A7265, ""en"", ""mt"")"),"Aktar bħal larva vera")</f>
        <v>Aktar bħal larva vera</v>
      </c>
    </row>
    <row r="7266" ht="15.75" customHeight="1">
      <c r="A7266" s="2" t="s">
        <v>7266</v>
      </c>
      <c r="B7266" s="2" t="str">
        <f>IFERROR(__xludf.DUMMYFUNCTION("GOOGLETRANSLATE(A7266, ""en"", ""mt"")"),"Liema sezzjoni tar-Renu tinstab ħafna fabbriki?")</f>
        <v>Liema sezzjoni tar-Renu tinstab ħafna fabbriki?</v>
      </c>
    </row>
    <row r="7267" ht="15.75" customHeight="1">
      <c r="A7267" s="2" t="s">
        <v>7267</v>
      </c>
      <c r="B7267" s="2" t="str">
        <f>IFERROR(__xludf.DUMMYFUNCTION("GOOGLETRANSLATE(A7267, ""en"", ""mt"")"),"kriptofita")</f>
        <v>kriptofita</v>
      </c>
    </row>
    <row r="7268" ht="15.75" customHeight="1">
      <c r="A7268" s="2" t="s">
        <v>7268</v>
      </c>
      <c r="B7268" s="2" t="str">
        <f>IFERROR(__xludf.DUMMYFUNCTION("GOOGLETRANSLATE(A7268, ""en"", ""mt"")"),"Kif jintbagħtu l-pakketti normalment")</f>
        <v>Kif jintbagħtu l-pakketti normalment</v>
      </c>
    </row>
    <row r="7269" ht="15.75" customHeight="1">
      <c r="A7269" s="2" t="s">
        <v>7269</v>
      </c>
      <c r="B7269" s="2" t="str">
        <f>IFERROR(__xludf.DUMMYFUNCTION("GOOGLETRANSLATE(A7269, ""en"", ""mt"")"),"Iċ-ċikkulata kollha Taljana hija magħmula minn dak biss?")</f>
        <v>Iċ-ċikkulata kollha Taljana hija magħmula minn dak biss?</v>
      </c>
    </row>
    <row r="7270" ht="15.75" customHeight="1">
      <c r="A7270" s="2" t="s">
        <v>7270</v>
      </c>
      <c r="B7270" s="2" t="str">
        <f>IFERROR(__xludf.DUMMYFUNCTION("GOOGLETRANSLATE(A7270, ""en"", ""mt"")"),"Il-kapital uman huwa traskurat")</f>
        <v>Il-kapital uman huwa traskurat</v>
      </c>
    </row>
    <row r="7271" ht="15.75" customHeight="1">
      <c r="A7271" s="2" t="s">
        <v>7271</v>
      </c>
      <c r="B7271" s="2" t="str">
        <f>IFERROR(__xludf.DUMMYFUNCTION("GOOGLETRANSLATE(A7271, ""en"", ""mt"")"),"Minbarra x-xmajjar, x'inhi s-sedimentazzjoni tax-xmajjar?")</f>
        <v>Minbarra x-xmajjar, x'inhi s-sedimentazzjoni tax-xmajjar?</v>
      </c>
    </row>
    <row r="7272" ht="15.75" customHeight="1">
      <c r="A7272" s="2" t="s">
        <v>7272</v>
      </c>
      <c r="B7272" s="2" t="str">
        <f>IFERROR(__xludf.DUMMYFUNCTION("GOOGLETRANSLATE(A7272, ""en"", ""mt"")"),"Mary Leakey u Louis Leakey")</f>
        <v>Mary Leakey u Louis Leakey</v>
      </c>
    </row>
    <row r="7273" ht="15.75" customHeight="1">
      <c r="A7273" s="2" t="s">
        <v>7273</v>
      </c>
      <c r="B7273" s="2" t="str">
        <f>IFERROR(__xludf.DUMMYFUNCTION("GOOGLETRANSLATE(A7273, ""en"", ""mt"")"),"X'inhu kwart ta 'Varsavja?")</f>
        <v>X'inhu kwart ta 'Varsavja?</v>
      </c>
    </row>
    <row r="7274" ht="15.75" customHeight="1">
      <c r="A7274" s="2" t="s">
        <v>7274</v>
      </c>
      <c r="B7274" s="2" t="str">
        <f>IFERROR(__xludf.DUMMYFUNCTION("GOOGLETRANSLATE(A7274, ""en"", ""mt"")"),"Wara l-1940s, l-istil Gotiku fil-kampus beda jċedi għal stili moderni. Fl-1955, Eero Saarinen ġie kkuntrattat biex jiżviluppa t-tieni pjan ewlieni, li wassal għall-kostruzzjoni ta 'bini kemm fit-tramuntana kif ukoll fin-nofsinhar tan-nofs, inkluż il-kwadr"&amp;"angle Laird Bell Law (kumpless iddisinjat minn Saarinen); serje ta 'bini tal-arti; bini ddisinjat minn Ludwig Mies van der Rohe għall-Iskola tas-Servizz Soċjali tal-Università;, bini li għandu jsir id-dar tal-Iskola Harris tal-Politika Pubblika Studji min"&amp;"n Edward Durrell Stone, u l-Librerija Regenstein, l-akbar bini fuq il-kampus , Struttura Brutalista ddisinjata minn Walter Netsch tad-ditta ta 'Chicago Skidmore, Owings &amp; Merrill. Pjan ewlieni ieħor, iddisinjat fl-1999 u aġġornat fl-2004, ipproduċa l-Gera"&amp;"ld Ratner Athletics Centre (2003), il-Max Palevsky Residential Commons (2001), ir-Residenza tal-Kampus tan-Nofsinhar u Dining Commons (2009), sptar tat-tfal ġdid, u kostruzzjoni oħra , espansjonijiet, u restawr. Fl-2011, l-Università temmet il-Librerija J"&amp;"oe u Rika Mansueto tal-Koppla tal-Ħġieġ, li tipprovdi kamra tal-qari grandjuża għal-librerija tal-università u tipprevjeni l-ħtieġa għal depożitarju tal-ktieb barra mill-kampus.")</f>
        <v>Wara l-1940s, l-istil Gotiku fil-kampus beda jċedi għal stili moderni. Fl-1955, Eero Saarinen ġie kkuntrattat biex jiżviluppa t-tieni pjan ewlieni, li wassal għall-kostruzzjoni ta 'bini kemm fit-tramuntana kif ukoll fin-nofsinhar tan-nofs, inkluż il-kwadrangle Laird Bell Law (kumpless iddisinjat minn Saarinen); serje ta 'bini tal-arti; bini ddisinjat minn Ludwig Mies van der Rohe għall-Iskola tas-Servizz Soċjali tal-Università;, bini li għandu jsir id-dar tal-Iskola Harris tal-Politika Pubblika Studji minn Edward Durrell Stone, u l-Librerija Regenstein, l-akbar bini fuq il-kampus , Struttura Brutalista ddisinjata minn Walter Netsch tad-ditta ta 'Chicago Skidmore, Owings &amp; Merrill. Pjan ewlieni ieħor, iddisinjat fl-1999 u aġġornat fl-2004, ipproduċa l-Gerald Ratner Athletics Centre (2003), il-Max Palevsky Residential Commons (2001), ir-Residenza tal-Kampus tan-Nofsinhar u Dining Commons (2009), sptar tat-tfal ġdid, u kostruzzjoni oħra , espansjonijiet, u restawr. Fl-2011, l-Università temmet il-Librerija Joe u Rika Mansueto tal-Koppla tal-Ħġieġ, li tipprovdi kamra tal-qari grandjuża għal-librerija tal-università u tipprevjeni l-ħtieġa għal depożitarju tal-ktieb barra mill-kampus.</v>
      </c>
    </row>
    <row r="7275" ht="15.75" customHeight="1">
      <c r="A7275" s="2" t="s">
        <v>7275</v>
      </c>
      <c r="B7275" s="2" t="str">
        <f>IFERROR(__xludf.DUMMYFUNCTION("GOOGLETRANSLATE(A7275, ""en"", ""mt"")"),"Disney - ABC Televiżjoni Domestika")</f>
        <v>Disney - ABC Televiżjoni Domestika</v>
      </c>
    </row>
    <row r="7276" ht="15.75" customHeight="1">
      <c r="A7276" s="2" t="s">
        <v>7276</v>
      </c>
      <c r="B7276" s="2" t="str">
        <f>IFERROR(__xludf.DUMMYFUNCTION("GOOGLETRANSLATE(A7276, ""en"", ""mt"")"),"Il-Gvernatur Vaudreuil, li ġab l-ambizzjonijiet biex isir il-kmandant Franċiż fil-kap (minbarra r-rwol tiegħu bħala gvernatur), aġixxa matul ix-xitwa tal-1756 qabel ma waslu dawk ir-rinforzi. L-iscouts kienu rrappurtaw id-dgħjufija tal-katina tal-provvist"&amp;"a Ingliża, u għalhekk huwa ordna attakk kontra l-fortizzi li Shirley kien tella 'fil-ġarr ta' Oneida. Fil-battalja ta ’Marzu ta’ Fort Bull, il-forzi Franċiżi qerdu l-forti u kwantitajiet kbar ta ’provvisti, inklużi 45,000 lira ta’ porvli. Huma waqqfu kwal"&amp;"unkwe tama Ingliża għal kampanji fuq il-Lag Ontario, u pperikolaw il-garrison ta 'Oswego, diġà qosra fuq il-provvisti. Il-forzi Franċiżi fil-Wied ta 'Ohio komplew ukoll intriċċi ma' Indjani fiż-żona kollha, u ħeġġiġhom biex jitilgħu l-insedjamenti tal-fru"&amp;"ntiera. Dan wassal għal allarmi kontinwi tul il-fruntieri tal-punent, bi flussi ta 'refuġjati li jirritornaw lejn il-lvant biex jitbiegħdu mill-azzjoni.")</f>
        <v>Il-Gvernatur Vaudreuil, li ġab l-ambizzjonijiet biex isir il-kmandant Franċiż fil-kap (minbarra r-rwol tiegħu bħala gvernatur), aġixxa matul ix-xitwa tal-1756 qabel ma waslu dawk ir-rinforzi. L-iscouts kienu rrappurtaw id-dgħjufija tal-katina tal-provvista Ingliża, u għalhekk huwa ordna attakk kontra l-fortizzi li Shirley kien tella 'fil-ġarr ta' Oneida. Fil-battalja ta ’Marzu ta’ Fort Bull, il-forzi Franċiżi qerdu l-forti u kwantitajiet kbar ta ’provvisti, inklużi 45,000 lira ta’ porvli. Huma waqqfu kwalunkwe tama Ingliża għal kampanji fuq il-Lag Ontario, u pperikolaw il-garrison ta 'Oswego, diġà qosra fuq il-provvisti. Il-forzi Franċiżi fil-Wied ta 'Ohio komplew ukoll intriċċi ma' Indjani fiż-żona kollha, u ħeġġiġhom biex jitilgħu l-insedjamenti tal-fruntiera. Dan wassal għal allarmi kontinwi tul il-fruntieri tal-punent, bi flussi ta 'refuġjati li jirritornaw lejn il-lvant biex jitbiegħdu mill-azzjoni.</v>
      </c>
    </row>
    <row r="7277" ht="15.75" customHeight="1">
      <c r="A7277" s="2" t="s">
        <v>7277</v>
      </c>
      <c r="B7277" s="2" t="str">
        <f>IFERROR(__xludf.DUMMYFUNCTION("GOOGLETRANSLATE(A7277, ""en"", ""mt"")"),"Fis-cpDNA, hemm diversi gradjenti ta 'deamination A → G. Id-DNA isir suxxettibbli għal avvenimenti ta 'deaminazzjoni meta jkun mitluf wieħed. Meta l-frieket tar-replikazzjoni jiffurmaw, il-linja li mhix qed tiġi kkupjata hija mitluqa waħda, u għalhekk f'r"&amp;"iskju għal deamination → g. Għalhekk, gradjenti fid-deaminazzjoni jindikaw li l-frieket ta 'replikazzjoni x'aktarx kienu preżenti u d-direzzjoni li inizjalment fetħu (l-ogħla gradjent huwa l-iktar probabbli l-eqreb tas-sit tal-bidu minħabba li kien wieħed"&amp;" mitluq għall-itwal ammont ta' żmien). Dan il-mekkaniżmu għadu t-teorija ewlenija llum; Madankollu, it-tieni teorija tissuġġerixxi li l-biċċa l-kbira ta 'cpDNA huwa attwalment lineari u jirreplika permezz ta' rikombinazzjoni omologa. Ikompli jsostni li mi"&amp;"noranza biss tal-materjal ġenetiku tinżamm fi kromożomi ċirkulari waqt li l-bqija huwa fi strutturi ramifikati, lineari, jew kumplessi oħra.")</f>
        <v>Fis-cpDNA, hemm diversi gradjenti ta 'deamination A → G. Id-DNA isir suxxettibbli għal avvenimenti ta 'deaminazzjoni meta jkun mitluf wieħed. Meta l-frieket tar-replikazzjoni jiffurmaw, il-linja li mhix qed tiġi kkupjata hija mitluqa waħda, u għalhekk f'riskju għal deamination → g. Għalhekk, gradjenti fid-deaminazzjoni jindikaw li l-frieket ta 'replikazzjoni x'aktarx kienu preżenti u d-direzzjoni li inizjalment fetħu (l-ogħla gradjent huwa l-iktar probabbli l-eqreb tas-sit tal-bidu minħabba li kien wieħed mitluq għall-itwal ammont ta' żmien). Dan il-mekkaniżmu għadu t-teorija ewlenija llum; Madankollu, it-tieni teorija tissuġġerixxi li l-biċċa l-kbira ta 'cpDNA huwa attwalment lineari u jirreplika permezz ta' rikombinazzjoni omologa. Ikompli jsostni li minoranza biss tal-materjal ġenetiku tinżamm fi kromożomi ċirkulari waqt li l-bqija huwa fi strutturi ramifikati, lineari, jew kumplessi oħra.</v>
      </c>
    </row>
    <row r="7278" ht="15.75" customHeight="1">
      <c r="A7278" s="2" t="s">
        <v>7278</v>
      </c>
      <c r="B7278" s="2" t="str">
        <f>IFERROR(__xludf.DUMMYFUNCTION("GOOGLETRANSLATE(A7278, ""en"", ""mt"")"),"il-bigamy tal-inċident ta 'Philip of Hesse")</f>
        <v>il-bigamy tal-inċident ta 'Philip of Hesse</v>
      </c>
    </row>
    <row r="7279" ht="15.75" customHeight="1">
      <c r="A7279" s="2" t="s">
        <v>7279</v>
      </c>
      <c r="B7279" s="2" t="str">
        <f>IFERROR(__xludf.DUMMYFUNCTION("GOOGLETRANSLATE(A7279, ""en"", ""mt"")"),"Il-ftehimiet jinkludu miżati fissi ta 'ġarr annwali ta' £ 30m għall-kanali biż-żewġ fornituri tal-kanali li kapaċi jassiguraw ħlasijiet b'kappa addizzjonali jekk il-kanali tagħhom jissodisfaw ċerti miri relatati mal-prestazzjoni. Bħalissa m'hemm l-ebda in"&amp;"dikazzjoni dwar jekk il-ftehim il-ġdid jinkludi l-video addizzjonali fuq talba u kontenut ta 'definizzjoni għolja li qabel kien offrut minn BSKYB. Bħala parti mill-ftehim, kemm BSKYB kif ukoll Virgin Media qablu li jtemmu l-proċeduri kollha tal-Qorti Għol"&amp;"ja kontra xulxin relatati mat-trasport tal-kanali bażiċi rispettivi tagħhom.")</f>
        <v>Il-ftehimiet jinkludu miżati fissi ta 'ġarr annwali ta' £ 30m għall-kanali biż-żewġ fornituri tal-kanali li kapaċi jassiguraw ħlasijiet b'kappa addizzjonali jekk il-kanali tagħhom jissodisfaw ċerti miri relatati mal-prestazzjoni. Bħalissa m'hemm l-ebda indikazzjoni dwar jekk il-ftehim il-ġdid jinkludi l-video addizzjonali fuq talba u kontenut ta 'definizzjoni għolja li qabel kien offrut minn BSKYB. Bħala parti mill-ftehim, kemm BSKYB kif ukoll Virgin Media qablu li jtemmu l-proċeduri kollha tal-Qorti Għolja kontra xulxin relatati mat-trasport tal-kanali bażiċi rispettivi tagħhom.</v>
      </c>
    </row>
    <row r="7280" ht="15.75" customHeight="1">
      <c r="A7280" s="2" t="s">
        <v>7280</v>
      </c>
      <c r="B7280" s="2" t="str">
        <f>IFERROR(__xludf.DUMMYFUNCTION("GOOGLETRANSLATE(A7280, ""en"", ""mt"")"),"Liners tal-Oċean")</f>
        <v>Liners tal-Oċean</v>
      </c>
    </row>
    <row r="7281" ht="15.75" customHeight="1">
      <c r="A7281" s="2" t="s">
        <v>7281</v>
      </c>
      <c r="B7281" s="2" t="str">
        <f>IFERROR(__xludf.DUMMYFUNCTION("GOOGLETRANSLATE(A7281, ""en"", ""mt"")"),"Liema prodott ġie mibgħut b'mod notevoli f'bastimenti mgħammra b'magni ta 'espansjoni doppja u tripla?")</f>
        <v>Liema prodott ġie mibgħut b'mod notevoli f'bastimenti mgħammra b'magni ta 'espansjoni doppja u tripla?</v>
      </c>
    </row>
    <row r="7282" ht="15.75" customHeight="1">
      <c r="A7282" s="2" t="s">
        <v>7282</v>
      </c>
      <c r="B7282" s="2" t="str">
        <f>IFERROR(__xludf.DUMMYFUNCTION("GOOGLETRANSLATE(A7282, ""en"", ""mt"")"),"Liema dipartiment ħoloq Kublai biex iħarreġ lit-tobba?")</f>
        <v>Liema dipartiment ħoloq Kublai biex iħarreġ lit-tobba?</v>
      </c>
    </row>
    <row r="7283" ht="15.75" customHeight="1">
      <c r="A7283" s="2" t="s">
        <v>7283</v>
      </c>
      <c r="B7283" s="2" t="str">
        <f>IFERROR(__xludf.DUMMYFUNCTION("GOOGLETRANSLATE(A7283, ""en"", ""mt"")"),"Liema qorti hija l-ogħla qorti fl-Unjoni Ewropea?")</f>
        <v>Liema qorti hija l-ogħla qorti fl-Unjoni Ewropea?</v>
      </c>
    </row>
    <row r="7284" ht="15.75" customHeight="1">
      <c r="A7284" s="2" t="s">
        <v>7284</v>
      </c>
      <c r="B7284" s="2" t="str">
        <f>IFERROR(__xludf.DUMMYFUNCTION("GOOGLETRANSLATE(A7284, ""en"", ""mt"")"),"Kanali HD")</f>
        <v>Kanali HD</v>
      </c>
    </row>
    <row r="7285" ht="15.75" customHeight="1">
      <c r="A7285" s="2" t="s">
        <v>7285</v>
      </c>
      <c r="B7285" s="2" t="str">
        <f>IFERROR(__xludf.DUMMYFUNCTION("GOOGLETRANSLATE(A7285, ""en"", ""mt"")"),"X’għamlet il-Amazon Rainforest matul il-Miocene Nofsani?")</f>
        <v>X’għamlet il-Amazon Rainforest matul il-Miocene Nofsani?</v>
      </c>
    </row>
    <row r="7286" ht="15.75" customHeight="1">
      <c r="A7286" s="2" t="s">
        <v>7286</v>
      </c>
      <c r="B7286" s="2" t="str">
        <f>IFERROR(__xludf.DUMMYFUNCTION("GOOGLETRANSLATE(A7286, ""en"", ""mt"")"),"F'liema direzzjoni testendi s-sistema tal-muntanji?")</f>
        <v>F'liema direzzjoni testendi s-sistema tal-muntanji?</v>
      </c>
    </row>
    <row r="7287" ht="15.75" customHeight="1">
      <c r="A7287" s="2" t="s">
        <v>7287</v>
      </c>
      <c r="B7287" s="2" t="str">
        <f>IFERROR(__xludf.DUMMYFUNCTION("GOOGLETRANSLATE(A7287, ""en"", ""mt"")"),"Iswed u abjad,")</f>
        <v>Iswed u abjad,</v>
      </c>
    </row>
    <row r="7288" ht="15.75" customHeight="1">
      <c r="A7288" s="2" t="s">
        <v>7288</v>
      </c>
      <c r="B7288" s="2" t="str">
        <f>IFERROR(__xludf.DUMMYFUNCTION("GOOGLETRANSLATE(A7288, ""en"", ""mt"")"),"Imla l-moduli biex taqla 'status ta' għalliem mikri")</f>
        <v>Imla l-moduli biex taqla 'status ta' għalliem mikri</v>
      </c>
    </row>
    <row r="7289" ht="15.75" customHeight="1">
      <c r="A7289" s="2" t="s">
        <v>7289</v>
      </c>
      <c r="B7289" s="2" t="str">
        <f>IFERROR(__xludf.DUMMYFUNCTION("GOOGLETRANSLATE(A7289, ""en"", ""mt"")"),"Il-viċinat ta 'Sunnyside jinsab fuq in-naħa tax-Xlokk' il bogħod ta 'Fresno, imdawwar minn Vjal Chestnut lejn il-punent. It-toroq ewlenin tagħha huma Kings Canyon Avenue u Clovis Avenue. Għalkemm partijiet ta 'Sunnyside jinsabu fil-belt ta' Fresno, ħafna "&amp;"mill-viċinat hija ""gżira tal-kontea"" fil-Kontea ta 'Fresno. Żviluppat fil-biċċa l-kbira fis-snin 1950 sas-snin sebgħin, dan l-aħħar esperjenza żieda fil-kostruzzjoni tad-dar il-ġdida. Hija wkoll id-dar ta 'Sunnyside Country Club, li żżomm korsa tal-golf"&amp;" iddisinjata minn William P. Bell.")</f>
        <v>Il-viċinat ta 'Sunnyside jinsab fuq in-naħa tax-Xlokk' il bogħod ta 'Fresno, imdawwar minn Vjal Chestnut lejn il-punent. It-toroq ewlenin tagħha huma Kings Canyon Avenue u Clovis Avenue. Għalkemm partijiet ta 'Sunnyside jinsabu fil-belt ta' Fresno, ħafna mill-viċinat hija "gżira tal-kontea" fil-Kontea ta 'Fresno. Żviluppat fil-biċċa l-kbira fis-snin 1950 sas-snin sebgħin, dan l-aħħar esperjenza żieda fil-kostruzzjoni tad-dar il-ġdida. Hija wkoll id-dar ta 'Sunnyside Country Club, li żżomm korsa tal-golf iddisinjata minn William P. Bell.</v>
      </c>
    </row>
    <row r="7290" ht="15.75" customHeight="1">
      <c r="A7290" s="2" t="s">
        <v>7290</v>
      </c>
      <c r="B7290" s="2" t="str">
        <f>IFERROR(__xludf.DUMMYFUNCTION("GOOGLETRANSLATE(A7290, ""en"", ""mt"")"),"Evidenza jew avvenimenti ġodda sinifikanti li jibdlu l-fehim tagħna")</f>
        <v>Evidenza jew avvenimenti ġodda sinifikanti li jibdlu l-fehim tagħna</v>
      </c>
    </row>
    <row r="7291" ht="15.75" customHeight="1">
      <c r="A7291" s="2" t="s">
        <v>7291</v>
      </c>
      <c r="B7291" s="2" t="str">
        <f>IFERROR(__xludf.DUMMYFUNCTION("GOOGLETRANSLATE(A7291, ""en"", ""mt"")"),"Meta ġie ppubblikat l-artiklu?")</f>
        <v>Meta ġie ppubblikat l-artiklu?</v>
      </c>
    </row>
    <row r="7292" ht="15.75" customHeight="1">
      <c r="A7292" s="2" t="s">
        <v>7292</v>
      </c>
      <c r="B7292" s="2" t="str">
        <f>IFERROR(__xludf.DUMMYFUNCTION("GOOGLETRANSLATE(A7292, ""en"", ""mt"")"),"Ma 'min għamel l-internet2 ma'")</f>
        <v>Ma 'min għamel l-internet2 ma'</v>
      </c>
    </row>
    <row r="7293" ht="15.75" customHeight="1">
      <c r="A7293" s="2" t="s">
        <v>7293</v>
      </c>
      <c r="B7293" s="2" t="str">
        <f>IFERROR(__xludf.DUMMYFUNCTION("GOOGLETRANSLATE(A7293, ""en"", ""mt"")"),"0.5–1.4 m")</f>
        <v>0.5–1.4 m</v>
      </c>
    </row>
    <row r="7294" ht="15.75" customHeight="1">
      <c r="A7294" s="2" t="s">
        <v>7294</v>
      </c>
      <c r="B7294" s="2" t="str">
        <f>IFERROR(__xludf.DUMMYFUNCTION("GOOGLETRANSLATE(A7294, ""en"", ""mt"")"),"Mużajk")</f>
        <v>Mużajk</v>
      </c>
    </row>
    <row r="7295" ht="15.75" customHeight="1">
      <c r="A7295" s="2" t="s">
        <v>7295</v>
      </c>
      <c r="B7295" s="2" t="str">
        <f>IFERROR(__xludf.DUMMYFUNCTION("GOOGLETRANSLATE(A7295, ""en"", ""mt"")"),"Immedjatament wara l-ħin tad-deċiżjoni")</f>
        <v>Immedjatament wara l-ħin tad-deċiżjoni</v>
      </c>
    </row>
    <row r="7296" ht="15.75" customHeight="1">
      <c r="A7296" s="2" t="s">
        <v>7296</v>
      </c>
      <c r="B7296" s="2" t="str">
        <f>IFERROR(__xludf.DUMMYFUNCTION("GOOGLETRANSLATE(A7296, ""en"", ""mt"")"),"Meta twieled Martin Luther?")</f>
        <v>Meta twieled Martin Luther?</v>
      </c>
    </row>
    <row r="7297" ht="15.75" customHeight="1">
      <c r="A7297" s="2" t="s">
        <v>7297</v>
      </c>
      <c r="B7297" s="2" t="str">
        <f>IFERROR(__xludf.DUMMYFUNCTION("GOOGLETRANSLATE(A7297, ""en"", ""mt"")"),"Kemm qal li t-tielet rapport ta 'valutazzjoni tal-IPCC qal li l-livelli tal-baħar se jogħlew mill-1990 sal-2100?")</f>
        <v>Kemm qal li t-tielet rapport ta 'valutazzjoni tal-IPCC qal li l-livelli tal-baħar se jogħlew mill-1990 sal-2100?</v>
      </c>
    </row>
    <row r="7298" ht="15.75" customHeight="1">
      <c r="A7298" s="2" t="s">
        <v>7298</v>
      </c>
      <c r="B7298" s="2" t="str">
        <f>IFERROR(__xludf.DUMMYFUNCTION("GOOGLETRANSLATE(A7298, ""en"", ""mt"")"),"Għaliex Harvard temm il-programm ta 'ammissjoni bikrija tiegħu?")</f>
        <v>Għaliex Harvard temm il-programm ta 'ammissjoni bikrija tiegħu?</v>
      </c>
    </row>
    <row r="7299" ht="15.75" customHeight="1">
      <c r="A7299" s="2" t="s">
        <v>7299</v>
      </c>
      <c r="B7299" s="2" t="str">
        <f>IFERROR(__xludf.DUMMYFUNCTION("GOOGLETRANSLATE(A7299, ""en"", ""mt"")"),"X'kienet l-importanza tal-Kungress?")</f>
        <v>X'kienet l-importanza tal-Kungress?</v>
      </c>
    </row>
    <row r="7300" ht="15.75" customHeight="1">
      <c r="A7300" s="2" t="s">
        <v>7300</v>
      </c>
      <c r="B7300" s="2" t="str">
        <f>IFERROR(__xludf.DUMMYFUNCTION("GOOGLETRANSLATE(A7300, ""en"", ""mt"")"),"X'tip ta 'kunjomijiet hija preżenza qawwija tagħhom?")</f>
        <v>X'tip ta 'kunjomijiet hija preżenza qawwija tagħhom?</v>
      </c>
    </row>
    <row r="7301" ht="15.75" customHeight="1">
      <c r="A7301" s="2" t="s">
        <v>7301</v>
      </c>
      <c r="B7301" s="2" t="str">
        <f>IFERROR(__xludf.DUMMYFUNCTION("GOOGLETRANSLATE(A7301, ""en"", ""mt"")"),"Pjan ta 'tliet snin")</f>
        <v>Pjan ta 'tliet snin</v>
      </c>
    </row>
    <row r="7302" ht="15.75" customHeight="1">
      <c r="A7302" s="2" t="s">
        <v>7302</v>
      </c>
      <c r="B7302" s="2" t="str">
        <f>IFERROR(__xludf.DUMMYFUNCTION("GOOGLETRANSLATE(A7302, ""en"", ""mt"")"),"Twin-cylinder")</f>
        <v>Twin-cylinder</v>
      </c>
    </row>
    <row r="7303" ht="15.75" customHeight="1">
      <c r="A7303" s="2" t="s">
        <v>7303</v>
      </c>
      <c r="B7303" s="2" t="str">
        <f>IFERROR(__xludf.DUMMYFUNCTION("GOOGLETRANSLATE(A7303, ""en"", ""mt"")"),"lingwa formali")</f>
        <v>lingwa formali</v>
      </c>
    </row>
    <row r="7304" ht="15.75" customHeight="1">
      <c r="A7304" s="2" t="s">
        <v>7304</v>
      </c>
      <c r="B7304" s="2" t="str">
        <f>IFERROR(__xludf.DUMMYFUNCTION("GOOGLETRANSLATE(A7304, ""en"", ""mt"")"),"X’tpejtiet Tesla li tipperfezzjona waqt li kienet fl-iskambju?")</f>
        <v>X’tpejtiet Tesla li tipperfezzjona waqt li kienet fl-iskambju?</v>
      </c>
    </row>
    <row r="7305" ht="15.75" customHeight="1">
      <c r="A7305" s="2" t="s">
        <v>7305</v>
      </c>
      <c r="B7305" s="2" t="str">
        <f>IFERROR(__xludf.DUMMYFUNCTION("GOOGLETRANSLATE(A7305, ""en"", ""mt"")"),"Aktar minn 28 jum")</f>
        <v>Aktar minn 28 jum</v>
      </c>
    </row>
    <row r="7306" ht="15.75" customHeight="1">
      <c r="A7306" s="2" t="s">
        <v>7306</v>
      </c>
      <c r="B7306" s="2" t="str">
        <f>IFERROR(__xludf.DUMMYFUNCTION("GOOGLETRANSLATE(A7306, ""en"", ""mt"")"),"Għal liema seklu kienet l-idea ta 'etere?")</f>
        <v>Għal liema seklu kienet l-idea ta 'etere?</v>
      </c>
    </row>
    <row r="7307" ht="15.75" customHeight="1">
      <c r="A7307" s="2" t="s">
        <v>7307</v>
      </c>
      <c r="B7307" s="2" t="str">
        <f>IFERROR(__xludf.DUMMYFUNCTION("GOOGLETRANSLATE(A7307, ""en"", ""mt"")"),"Reazzjoni tar-Rebbiegħa")</f>
        <v>Reazzjoni tar-Rebbiegħa</v>
      </c>
    </row>
    <row r="7308" ht="15.75" customHeight="1">
      <c r="A7308" s="2" t="s">
        <v>7308</v>
      </c>
      <c r="B7308" s="2" t="str">
        <f>IFERROR(__xludf.DUMMYFUNCTION("GOOGLETRANSLATE(A7308, ""en"", ""mt"")"),"il-kanali bażiċi")</f>
        <v>il-kanali bażiċi</v>
      </c>
    </row>
    <row r="7309" ht="15.75" customHeight="1">
      <c r="A7309" s="2" t="s">
        <v>7309</v>
      </c>
      <c r="B7309" s="2" t="str">
        <f>IFERROR(__xludf.DUMMYFUNCTION("GOOGLETRANSLATE(A7309, ""en"", ""mt"")"),"Kompjuters ospitanti (servers) f'eluf ta 'kumpaniji kbar, istituzzjonijiet edukattivi, u aġenziji tal-gvern")</f>
        <v>Kompjuters ospitanti (servers) f'eluf ta 'kumpaniji kbar, istituzzjonijiet edukattivi, u aġenziji tal-gvern</v>
      </c>
    </row>
    <row r="7310" ht="15.75" customHeight="1">
      <c r="A7310" s="2" t="s">
        <v>7310</v>
      </c>
      <c r="B7310" s="2" t="str">
        <f>IFERROR(__xludf.DUMMYFUNCTION("GOOGLETRANSLATE(A7310, ""en"", ""mt"")"),"imċaħħad milli jaqla 'daqshekk")</f>
        <v>imċaħħad milli jaqla 'daqshekk</v>
      </c>
    </row>
    <row r="7311" ht="15.75" customHeight="1">
      <c r="A7311" s="2" t="s">
        <v>7311</v>
      </c>
      <c r="B7311" s="2" t="str">
        <f>IFERROR(__xludf.DUMMYFUNCTION("GOOGLETRANSLATE(A7311, ""en"", ""mt"")"),"Kemm flus Dillon, Read &amp; Co offrew lil Mark Woods għal NBC Blue?")</f>
        <v>Kemm flus Dillon, Read &amp; Co offrew lil Mark Woods għal NBC Blue?</v>
      </c>
    </row>
    <row r="7312" ht="15.75" customHeight="1">
      <c r="A7312" s="2" t="s">
        <v>7312</v>
      </c>
      <c r="B7312" s="2" t="str">
        <f>IFERROR(__xludf.DUMMYFUNCTION("GOOGLETRANSLATE(A7312, ""en"", ""mt"")"),"Università ta 'Riċerka Privata")</f>
        <v>Università ta 'Riċerka Privata</v>
      </c>
    </row>
    <row r="7313" ht="15.75" customHeight="1">
      <c r="A7313" s="2" t="s">
        <v>7313</v>
      </c>
      <c r="B7313" s="2" t="str">
        <f>IFERROR(__xludf.DUMMYFUNCTION("GOOGLETRANSLATE(A7313, ""en"", ""mt"")"),"X'kien ir-rwol ta 'Martin Parry fl-IPCC?")</f>
        <v>X'kien ir-rwol ta 'Martin Parry fl-IPCC?</v>
      </c>
    </row>
    <row r="7314" ht="15.75" customHeight="1">
      <c r="A7314" s="2" t="s">
        <v>7314</v>
      </c>
      <c r="B7314" s="2" t="str">
        <f>IFERROR(__xludf.DUMMYFUNCTION("GOOGLETRANSLATE(A7314, ""en"", ""mt"")"),"Liema pajjiżi jintużaw bħala eżempju ta 'dixxiplina iktar ħarxa b'edukazzjoni ta' suċċess?")</f>
        <v>Liema pajjiżi jintużaw bħala eżempju ta 'dixxiplina iktar ħarxa b'edukazzjoni ta' suċċess?</v>
      </c>
    </row>
    <row r="7315" ht="15.75" customHeight="1">
      <c r="A7315" s="2" t="s">
        <v>7315</v>
      </c>
      <c r="B7315" s="2" t="str">
        <f>IFERROR(__xludf.DUMMYFUNCTION("GOOGLETRANSLATE(A7315, ""en"", ""mt"")"),"Istitut tas-Saħħa tat-Tfal tat-Tfal")</f>
        <v>Istitut tas-Saħħa tat-Tfal tat-Tfal</v>
      </c>
    </row>
    <row r="7316" ht="15.75" customHeight="1">
      <c r="A7316" s="2" t="s">
        <v>7316</v>
      </c>
      <c r="B7316" s="2" t="str">
        <f>IFERROR(__xludf.DUMMYFUNCTION("GOOGLETRANSLATE(A7316, ""en"", ""mt"")"),"Popolazzjonijiet Anglo-Sassoni")</f>
        <v>Popolazzjonijiet Anglo-Sassoni</v>
      </c>
    </row>
    <row r="7317" ht="15.75" customHeight="1">
      <c r="A7317" s="2" t="s">
        <v>7317</v>
      </c>
      <c r="B7317" s="2" t="str">
        <f>IFERROR(__xludf.DUMMYFUNCTION("GOOGLETRANSLATE(A7317, ""en"", ""mt"")"),"Punent")</f>
        <v>Punent</v>
      </c>
    </row>
    <row r="7318" ht="15.75" customHeight="1">
      <c r="A7318" s="2" t="s">
        <v>7318</v>
      </c>
      <c r="B7318" s="2" t="str">
        <f>IFERROR(__xludf.DUMMYFUNCTION("GOOGLETRANSLATE(A7318, ""en"", ""mt"")"),"X'inhu l-akbar oġġett mill-Italja li huwa parti mill-kollezzjoni tal-iskultura?")</f>
        <v>X'inhu l-akbar oġġett mill-Italja li huwa parti mill-kollezzjoni tal-iskultura?</v>
      </c>
    </row>
    <row r="7319" ht="15.75" customHeight="1">
      <c r="A7319" s="2" t="s">
        <v>7319</v>
      </c>
      <c r="B7319" s="2" t="str">
        <f>IFERROR(__xludf.DUMMYFUNCTION("GOOGLETRANSLATE(A7319, ""en"", ""mt"")"),"Mill-2010 [aġġornament], kien hemm 366,273 djar li minnhom 11.8% kienu vakanti. 23.9% tad-djar kellhom tfal taħt it-18-il sena li jgħixu magħhom, 43.8% kienu koppji miżżewġin, 15.2% kellhom familja femminili mingħajr l-ebda raġel preżenti, u 36.4% ma kinu"&amp;"x familji. 29.7% tad-djar kollha kienu magħmula minn individwi u 7.9% kellhom lil xi ħadd li jgħix waħdu li kellu 65 sena jew aktar. Id-daqs medju tad-dar kien 2.55 u d-daqs medju tal-familja kien 3.21. Fil-belt, il-popolazzjoni kienet mifruxa bi 23.9% ta"&amp;"ħt l-età ta '18, 10.5% minn 18 sa 24, 28.5% minn 25 għal 44, 26.2% minn 45 għal 64, u 10.9% li kellhom 65 sena jew aktar - L-età medjana kienet ta ’35 .5 snin. Għal kull 100 mara kien hemm 94.1 irġiel. Għal kull 100 mara ta '18 -il sena 'l fuq, kien hemm "&amp;"91.3 irġiel.")</f>
        <v>Mill-2010 [aġġornament], kien hemm 366,273 djar li minnhom 11.8% kienu vakanti. 23.9% tad-djar kellhom tfal taħt it-18-il sena li jgħixu magħhom, 43.8% kienu koppji miżżewġin, 15.2% kellhom familja femminili mingħajr l-ebda raġel preżenti, u 36.4% ma kinux familji. 29.7% tad-djar kollha kienu magħmula minn individwi u 7.9% kellhom lil xi ħadd li jgħix waħdu li kellu 65 sena jew aktar. Id-daqs medju tad-dar kien 2.55 u d-daqs medju tal-familja kien 3.21. Fil-belt, il-popolazzjoni kienet mifruxa bi 23.9% taħt l-età ta '18, 10.5% minn 18 sa 24, 28.5% minn 25 għal 44, 26.2% minn 45 għal 64, u 10.9% li kellhom 65 sena jew aktar - L-età medjana kienet ta ’35 .5 snin. Għal kull 100 mara kien hemm 94.1 irġiel. Għal kull 100 mara ta '18 -il sena 'l fuq, kien hemm 91.3 irġiel.</v>
      </c>
    </row>
    <row r="7320" ht="15.75" customHeight="1">
      <c r="A7320" s="2" t="s">
        <v>7320</v>
      </c>
      <c r="B7320" s="2" t="str">
        <f>IFERROR(__xludf.DUMMYFUNCTION("GOOGLETRANSLATE(A7320, ""en"", ""mt"")"),"Min għamel 19% tal-korp tal-istudenti fil-kwart tar-rebbiegħa tal-2012?")</f>
        <v>Min għamel 19% tal-korp tal-istudenti fil-kwart tar-rebbiegħa tal-2012?</v>
      </c>
    </row>
    <row r="7321" ht="15.75" customHeight="1">
      <c r="A7321" s="2" t="s">
        <v>7321</v>
      </c>
      <c r="B7321" s="2" t="str">
        <f>IFERROR(__xludf.DUMMYFUNCTION("GOOGLETRANSLATE(A7321, ""en"", ""mt"")"),"Awwissu 1914")</f>
        <v>Awwissu 1914</v>
      </c>
    </row>
    <row r="7322" ht="15.75" customHeight="1">
      <c r="A7322" s="2" t="s">
        <v>7322</v>
      </c>
      <c r="B7322" s="2" t="str">
        <f>IFERROR(__xludf.DUMMYFUNCTION("GOOGLETRANSLATE(A7322, ""en"", ""mt"")"),"Distrett ta 'Charleston Orange")</f>
        <v>Distrett ta 'Charleston Orange</v>
      </c>
    </row>
    <row r="7323" ht="15.75" customHeight="1">
      <c r="A7323" s="2" t="s">
        <v>7323</v>
      </c>
      <c r="B7323" s="2" t="str">
        <f>IFERROR(__xludf.DUMMYFUNCTION("GOOGLETRANSLATE(A7323, ""en"", ""mt"")"),"Bil-massa, l-ossiġnu huwa t-tielet l-iktar element abbundanti fl-univers, wara l-idroġenu u l-elju.")</f>
        <v>Bil-massa, l-ossiġnu huwa t-tielet l-iktar element abbundanti fl-univers, wara l-idroġenu u l-elju.</v>
      </c>
    </row>
    <row r="7324" ht="15.75" customHeight="1">
      <c r="A7324" s="2" t="s">
        <v>7324</v>
      </c>
      <c r="B7324" s="2" t="str">
        <f>IFERROR(__xludf.DUMMYFUNCTION("GOOGLETRANSLATE(A7324, ""en"", ""mt"")"),"Ġeografija immaġinattiva")</f>
        <v>Ġeografija immaġinattiva</v>
      </c>
    </row>
    <row r="7325" ht="15.75" customHeight="1">
      <c r="A7325" s="2" t="s">
        <v>7325</v>
      </c>
      <c r="B7325" s="2" t="str">
        <f>IFERROR(__xludf.DUMMYFUNCTION("GOOGLETRANSLATE(A7325, ""en"", ""mt"")"),"Liema università għamlet Tesla Verifika fl-1880?")</f>
        <v>Liema università għamlet Tesla Verifika fl-1880?</v>
      </c>
    </row>
    <row r="7326" ht="15.75" customHeight="1">
      <c r="A7326" s="2" t="s">
        <v>7326</v>
      </c>
      <c r="B7326" s="2" t="str">
        <f>IFERROR(__xludf.DUMMYFUNCTION("GOOGLETRANSLATE(A7326, ""en"", ""mt"")"),"Is-saħħa fiżika fqira tiegħu għamlitu ttemprat qasir u saħansitra iktar ħarxa fil-kitbiet u l-kummenti tiegħu. Il-mara tiegħu Katharina kienet wieqfa billi qalet, ""Għeżież ir-raġel, int rude wisq,"" u huwa wieġeb, ""Huma qed jgħallmu lili biex inkun rude"&amp;"."" Fl-1545 u l-1546 Luther ippriedka tliet darbiet fil-knisja tas-suq f'Halle, joqgħod mal-ħabib tiegħu Justus Jonas matul il-Milied.")</f>
        <v>Is-saħħa fiżika fqira tiegħu għamlitu ttemprat qasir u saħansitra iktar ħarxa fil-kitbiet u l-kummenti tiegħu. Il-mara tiegħu Katharina kienet wieqfa billi qalet, "Għeżież ir-raġel, int rude wisq," u huwa wieġeb, "Huma qed jgħallmu lili biex inkun rude." Fl-1545 u l-1546 Luther ippriedka tliet darbiet fil-knisja tas-suq f'Halle, joqgħod mal-ħabib tiegħu Justus Jonas matul il-Milied.</v>
      </c>
    </row>
    <row r="7327" ht="15.75" customHeight="1">
      <c r="A7327" s="2" t="s">
        <v>7327</v>
      </c>
      <c r="B7327" s="2" t="str">
        <f>IFERROR(__xludf.DUMMYFUNCTION("GOOGLETRANSLATE(A7327, ""en"", ""mt"")"),"Il-klassifikazzjonijiet ikrah ta 'Betty waqgħu b'mod drammatiku wara l-film tas-serje għal liema lejl?")</f>
        <v>Il-klassifikazzjonijiet ikrah ta 'Betty waqgħu b'mod drammatiku wara l-film tas-serje għal liema lejl?</v>
      </c>
    </row>
    <row r="7328" ht="15.75" customHeight="1">
      <c r="A7328" s="2" t="s">
        <v>7328</v>
      </c>
      <c r="B7328" s="2" t="str">
        <f>IFERROR(__xludf.DUMMYFUNCTION("GOOGLETRANSLATE(A7328, ""en"", ""mt"")"),"bankini wiesgħa")</f>
        <v>bankini wiesgħa</v>
      </c>
    </row>
    <row r="7329" ht="15.75" customHeight="1">
      <c r="A7329" s="2" t="s">
        <v>7329</v>
      </c>
      <c r="B7329" s="2" t="str">
        <f>IFERROR(__xludf.DUMMYFUNCTION("GOOGLETRANSLATE(A7329, ""en"", ""mt"")"),"jgħaddu s-sinjal tagħhom għal molekula tat-tieni messaġġier mhux magħrufa")</f>
        <v>jgħaddu s-sinjal tagħhom għal molekula tat-tieni messaġġier mhux magħrufa</v>
      </c>
    </row>
    <row r="7330" ht="15.75" customHeight="1">
      <c r="A7330" s="2" t="s">
        <v>7330</v>
      </c>
      <c r="B7330" s="2" t="str">
        <f>IFERROR(__xludf.DUMMYFUNCTION("GOOGLETRANSLATE(A7330, ""en"", ""mt"")"),"Wara r-riżultati Franċiżi ġeneralment foqra fil-biċċa l-kbira tat-teatri tal-gwerra tas-seba 'snin fl-1758, il-ministru barrani l-ġdid ta' Franza, id-Duc de Choiseul, iddeċieda li jiffoka fuq invażjoni tal-Gran Brittanja, biex jiġbed riżorsi Ingliżi 'l bo"&amp;"għod mill-Amerika ta' Fuq u l-Ewropew kontinentali. L-invażjoni naqset kemm militarment kif ukoll politikament, hekk kif Pitt reġa 'ppjana kampanji sinifikanti kontra Franza l-ġdida, u bagħat fondi lill-alleat tal-Gran Brittanja fuq il-kontinent, il-Pruss"&amp;"ja, u n-Navy Franċiża fallew fil-battalji navali tal-1759 fil-Lagos u l-Bajja ta' Quiberon. F’biċċa waħda ta ’fortuna tajba, xi vapuri tal-provvista Franċiżi rnexxielhom jitilqu minn Franza, u ħadu l-imblokk Ingliż tal-kosta Franċiża.")</f>
        <v>Wara r-riżultati Franċiżi ġeneralment foqra fil-biċċa l-kbira tat-teatri tal-gwerra tas-seba 'snin fl-1758, il-ministru barrani l-ġdid ta' Franza, id-Duc de Choiseul, iddeċieda li jiffoka fuq invażjoni tal-Gran Brittanja, biex jiġbed riżorsi Ingliżi 'l bogħod mill-Amerika ta' Fuq u l-Ewropew kontinentali. L-invażjoni naqset kemm militarment kif ukoll politikament, hekk kif Pitt reġa 'ppjana kampanji sinifikanti kontra Franza l-ġdida, u bagħat fondi lill-alleat tal-Gran Brittanja fuq il-kontinent, il-Prussja, u n-Navy Franċiża fallew fil-battalji navali tal-1759 fil-Lagos u l-Bajja ta' Quiberon. F’biċċa waħda ta ’fortuna tajba, xi vapuri tal-provvista Franċiżi rnexxielhom jitilqu minn Franza, u ħadu l-imblokk Ingliż tal-kosta Franċiża.</v>
      </c>
    </row>
    <row r="7331" ht="15.75" customHeight="1">
      <c r="A7331" s="2" t="s">
        <v>7331</v>
      </c>
      <c r="B7331" s="2" t="str">
        <f>IFERROR(__xludf.DUMMYFUNCTION("GOOGLETRANSLATE(A7331, ""en"", ""mt"")"),"Fattur importanti fil-ħolqien ta 'inugwaljanza huwa l-varjazzjoni fl-aċċess ta' individwi għall-edukazzjoni. L-edukazzjoni, speċjalment f'qasam fejn hemm domanda għolja għall-ħaddiema, toħloq pagi għoljin għal dawk b'din l-edukazzjoni, madankollu, żidiet "&amp;"fl-edukazzjoni l-ewwel jiżdiedu u mbagħad inaqqsu t-tkabbir kif ukoll l-inugwaljanza tad-dħul. Bħala riżultat, dawk li ma jistgħux jaffordjaw edukazzjoni, jew jagħżlu li ma jsegwux edukazzjoni fakultattiva, ġeneralment jirċievu pagi ferm aktar baxxi. Il-ġ"&amp;"ustifikazzjoni għal dan hija li nuqqas ta 'edukazzjoni jwassal direttament għal dħul aktar baxx, u b'hekk aktar baxxi ffrankar u investiment aggregat. Bil-maqlub, l-edukazzjoni tqajjem id-dħul u tippromwovi t-tkabbir minħabba li tgħin biex tinħeles il-pot"&amp;"enzjal produttiv tal-foqra.")</f>
        <v>Fattur importanti fil-ħolqien ta 'inugwaljanza huwa l-varjazzjoni fl-aċċess ta' individwi għall-edukazzjoni. L-edukazzjoni, speċjalment f'qasam fejn hemm domanda għolja għall-ħaddiema, toħloq pagi għoljin għal dawk b'din l-edukazzjoni, madankollu, żidiet fl-edukazzjoni l-ewwel jiżdiedu u mbagħad inaqqsu t-tkabbir kif ukoll l-inugwaljanza tad-dħul. Bħala riżultat, dawk li ma jistgħux jaffordjaw edukazzjoni, jew jagħżlu li ma jsegwux edukazzjoni fakultattiva, ġeneralment jirċievu pagi ferm aktar baxxi. Il-ġustifikazzjoni għal dan hija li nuqqas ta 'edukazzjoni jwassal direttament għal dħul aktar baxx, u b'hekk aktar baxxi ffrankar u investiment aggregat. Bil-maqlub, l-edukazzjoni tqajjem id-dħul u tippromwovi t-tkabbir minħabba li tgħin biex tinħeles il-potenzjal produttiv tal-foqra.</v>
      </c>
    </row>
    <row r="7332" ht="15.75" customHeight="1">
      <c r="A7332" s="2" t="s">
        <v>7332</v>
      </c>
      <c r="B7332" s="2" t="str">
        <f>IFERROR(__xludf.DUMMYFUNCTION("GOOGLETRANSLATE(A7332, ""en"", ""mt"")"),"X'tip ta 'kloroplasti għandhom id-dijatomi?")</f>
        <v>X'tip ta 'kloroplasti għandhom id-dijatomi?</v>
      </c>
    </row>
    <row r="7333" ht="15.75" customHeight="1">
      <c r="A7333" s="2" t="s">
        <v>7333</v>
      </c>
      <c r="B7333" s="2" t="str">
        <f>IFERROR(__xludf.DUMMYFUNCTION("GOOGLETRANSLATE(A7333, ""en"", ""mt"")"),"Fejn skola privata tikseb fondi biex topera?")</f>
        <v>Fejn skola privata tikseb fondi biex topera?</v>
      </c>
    </row>
    <row r="7334" ht="15.75" customHeight="1">
      <c r="A7334" s="2" t="s">
        <v>7334</v>
      </c>
      <c r="B7334" s="2" t="str">
        <f>IFERROR(__xludf.DUMMYFUNCTION("GOOGLETRANSLATE(A7334, ""en"", ""mt"")"),"Xi jfisser il-leġislazzjoni tal-ispiżerija?")</f>
        <v>Xi jfisser il-leġislazzjoni tal-ispiżerija?</v>
      </c>
    </row>
    <row r="7335" ht="15.75" customHeight="1">
      <c r="A7335" s="2" t="s">
        <v>7335</v>
      </c>
      <c r="B7335" s="2" t="str">
        <f>IFERROR(__xludf.DUMMYFUNCTION("GOOGLETRANSLATE(A7335, ""en"", ""mt"")"),"Bord tal-Fiduċjarji")</f>
        <v>Bord tal-Fiduċjarji</v>
      </c>
    </row>
    <row r="7336" ht="15.75" customHeight="1">
      <c r="A7336" s="2" t="s">
        <v>7336</v>
      </c>
      <c r="B7336" s="2" t="str">
        <f>IFERROR(__xludf.DUMMYFUNCTION("GOOGLETRANSLATE(A7336, ""en"", ""mt"")"),"Avveniment ta 'estinzjoni Kretaċeju-Paleogene")</f>
        <v>Avveniment ta 'estinzjoni Kretaċeju-Paleogene</v>
      </c>
    </row>
    <row r="7337" ht="15.75" customHeight="1">
      <c r="A7337" s="2" t="s">
        <v>7337</v>
      </c>
      <c r="B7337" s="2" t="str">
        <f>IFERROR(__xludf.DUMMYFUNCTION("GOOGLETRANSLATE(A7337, ""en"", ""mt"")"),"Liema teorija tiddikjara li l-proċessi ġeoloġiċi bil-mod għadhom qed iseħħu llum, u seħħew fl-istorja tad-Dinja?")</f>
        <v>Liema teorija tiddikjara li l-proċessi ġeoloġiċi bil-mod għadhom qed iseħħu llum, u seħħew fl-istorja tad-Dinja?</v>
      </c>
    </row>
    <row r="7338" ht="15.75" customHeight="1">
      <c r="A7338" s="2" t="s">
        <v>7338</v>
      </c>
      <c r="B7338" s="2" t="str">
        <f>IFERROR(__xludf.DUMMYFUNCTION("GOOGLETRANSLATE(A7338, ""en"", ""mt"")"),"Xi tfisser CBD?")</f>
        <v>Xi tfisser CBD?</v>
      </c>
    </row>
    <row r="7339" ht="15.75" customHeight="1">
      <c r="A7339" s="2" t="s">
        <v>7339</v>
      </c>
      <c r="B7339" s="2" t="str">
        <f>IFERROR(__xludf.DUMMYFUNCTION("GOOGLETRANSLATE(A7339, ""en"", ""mt"")"),"Liema premju rebaħ Peter Higgs?")</f>
        <v>Liema premju rebaħ Peter Higgs?</v>
      </c>
    </row>
    <row r="7340" ht="15.75" customHeight="1">
      <c r="A7340" s="2" t="s">
        <v>7340</v>
      </c>
      <c r="B7340" s="2" t="str">
        <f>IFERROR(__xludf.DUMMYFUNCTION("GOOGLETRANSLATE(A7340, ""en"", ""mt"")"),"Il-messaġġ / dejta oriġinali hija mmuntata mill-ġdid fl-ordni t-tajba, ibbażata fuq in-numru tas-sekwenza tal-pakketti")</f>
        <v>Il-messaġġ / dejta oriġinali hija mmuntata mill-ġdid fl-ordni t-tajba, ibbażata fuq in-numru tas-sekwenza tal-pakketti</v>
      </c>
    </row>
    <row r="7341" ht="15.75" customHeight="1">
      <c r="A7341" s="2" t="s">
        <v>7341</v>
      </c>
      <c r="B7341" s="2" t="str">
        <f>IFERROR(__xludf.DUMMYFUNCTION("GOOGLETRANSLATE(A7341, ""en"", ""mt"")"),"Kemm korrimenti ta 'ACL kellu Thomas Davis matul il-karriera tiegħu?")</f>
        <v>Kemm korrimenti ta 'ACL kellu Thomas Davis matul il-karriera tiegħu?</v>
      </c>
    </row>
    <row r="7342" ht="15.75" customHeight="1">
      <c r="A7342" s="2" t="s">
        <v>7342</v>
      </c>
      <c r="B7342" s="2" t="str">
        <f>IFERROR(__xludf.DUMMYFUNCTION("GOOGLETRANSLATE(A7342, ""en"", ""mt"")"),"Il-kloroplasti u plastidi oħra jistgħu jibdlu lura fi proplastidi")</f>
        <v>Il-kloroplasti u plastidi oħra jistgħu jibdlu lura fi proplastidi</v>
      </c>
    </row>
    <row r="7343" ht="15.75" customHeight="1">
      <c r="A7343" s="2" t="s">
        <v>7343</v>
      </c>
      <c r="B7343" s="2" t="str">
        <f>IFERROR(__xludf.DUMMYFUNCTION("GOOGLETRANSLATE(A7343, ""en"", ""mt"")"),"Meta jista 'għalliem jaġixxi fir-rwol ta' ġenitur?")</f>
        <v>Meta jista 'għalliem jaġixxi fir-rwol ta' ġenitur?</v>
      </c>
    </row>
    <row r="7344" ht="15.75" customHeight="1">
      <c r="A7344" s="2" t="s">
        <v>7344</v>
      </c>
      <c r="B7344" s="2" t="str">
        <f>IFERROR(__xludf.DUMMYFUNCTION("GOOGLETRANSLATE(A7344, ""en"", ""mt"")"),"il-Paċifiku")</f>
        <v>il-Paċifiku</v>
      </c>
    </row>
    <row r="7345" ht="15.75" customHeight="1">
      <c r="A7345" s="2" t="s">
        <v>7345</v>
      </c>
      <c r="B7345" s="2" t="str">
        <f>IFERROR(__xludf.DUMMYFUNCTION("GOOGLETRANSLATE(A7345, ""en"", ""mt"")"),"bħala knejjes parrokkjali")</f>
        <v>bħala knejjes parrokkjali</v>
      </c>
    </row>
    <row r="7346" ht="15.75" customHeight="1">
      <c r="A7346" s="2" t="s">
        <v>7346</v>
      </c>
      <c r="B7346" s="2" t="str">
        <f>IFERROR(__xludf.DUMMYFUNCTION("GOOGLETRANSLATE(A7346, ""en"", ""mt"")"),"Fejn jgħixu Platycenida?")</f>
        <v>Fejn jgħixu Platycenida?</v>
      </c>
    </row>
    <row r="7347" ht="15.75" customHeight="1">
      <c r="A7347" s="2" t="s">
        <v>7347</v>
      </c>
      <c r="B7347" s="2" t="str">
        <f>IFERROR(__xludf.DUMMYFUNCTION("GOOGLETRANSLATE(A7347, ""en"", ""mt"")"),"Kemm kienu qed ipoġġu l-Franċiżi fl-Amerika ta ’Fuq?")</f>
        <v>Kemm kienu qed ipoġġu l-Franċiżi fl-Amerika ta ’Fuq?</v>
      </c>
    </row>
    <row r="7348" ht="15.75" customHeight="1">
      <c r="A7348" s="2" t="s">
        <v>7348</v>
      </c>
      <c r="B7348" s="2" t="str">
        <f>IFERROR(__xludf.DUMMYFUNCTION("GOOGLETRANSLATE(A7348, ""en"", ""mt"")"),"X'inhu l-iktar oġġett importanti għad-diżubbidjenza ċivili li ssegwi?")</f>
        <v>X'inhu l-iktar oġġett importanti għad-diżubbidjenza ċivili li ssegwi?</v>
      </c>
    </row>
    <row r="7349" ht="15.75" customHeight="1">
      <c r="A7349" s="2" t="s">
        <v>7349</v>
      </c>
      <c r="B7349" s="2" t="str">
        <f>IFERROR(__xludf.DUMMYFUNCTION("GOOGLETRANSLATE(A7349, ""en"", ""mt"")"),"il-leġittimità ta 'kwalunkwe gvern")</f>
        <v>il-leġittimità ta 'kwalunkwe gvern</v>
      </c>
    </row>
    <row r="7350" ht="15.75" customHeight="1">
      <c r="A7350" s="2" t="s">
        <v>7350</v>
      </c>
      <c r="B7350" s="2" t="str">
        <f>IFERROR(__xludf.DUMMYFUNCTION("GOOGLETRANSLATE(A7350, ""en"", ""mt"")"),"Fejn kien jinsab id-Dyrrachium?")</f>
        <v>Fejn kien jinsab id-Dyrrachium?</v>
      </c>
    </row>
    <row r="7351" ht="15.75" customHeight="1">
      <c r="A7351" s="2" t="s">
        <v>7351</v>
      </c>
      <c r="B7351" s="2" t="str">
        <f>IFERROR(__xludf.DUMMYFUNCTION("GOOGLETRANSLATE(A7351, ""en"", ""mt"")"),"Tifel bla heda")</f>
        <v>Tifel bla heda</v>
      </c>
    </row>
    <row r="7352" ht="15.75" customHeight="1">
      <c r="A7352" s="2" t="s">
        <v>7352</v>
      </c>
      <c r="B7352" s="2" t="str">
        <f>IFERROR(__xludf.DUMMYFUNCTION("GOOGLETRANSLATE(A7352, ""en"", ""mt"")"),"priża planktonika sospiża")</f>
        <v>priża planktonika sospiża</v>
      </c>
    </row>
    <row r="7353" ht="15.75" customHeight="1">
      <c r="A7353" s="2" t="s">
        <v>7353</v>
      </c>
      <c r="B7353" s="2" t="str">
        <f>IFERROR(__xludf.DUMMYFUNCTION("GOOGLETRANSLATE(A7353, ""en"", ""mt"")"),"Ordnijiet ta 'bidla identifikati jew bidliet fil-proġett li żiedu l-ispejjeż")</f>
        <v>Ordnijiet ta 'bidla identifikati jew bidliet fil-proġett li żiedu l-ispejjeż</v>
      </c>
    </row>
    <row r="7354" ht="15.75" customHeight="1">
      <c r="A7354" s="2" t="s">
        <v>7354</v>
      </c>
      <c r="B7354" s="2" t="str">
        <f>IFERROR(__xludf.DUMMYFUNCTION("GOOGLETRANSLATE(A7354, ""en"", ""mt"")"),"kostanti dimensjonali")</f>
        <v>kostanti dimensjonali</v>
      </c>
    </row>
    <row r="7355" ht="15.75" customHeight="1">
      <c r="A7355" s="2" t="s">
        <v>7355</v>
      </c>
      <c r="B7355" s="2" t="str">
        <f>IFERROR(__xludf.DUMMYFUNCTION("GOOGLETRANSLATE(A7355, ""en"", ""mt"")"),"aktar minn $ 2,000")</f>
        <v>aktar minn $ 2,000</v>
      </c>
    </row>
    <row r="7356" ht="15.75" customHeight="1">
      <c r="A7356" s="2" t="s">
        <v>7356</v>
      </c>
      <c r="B7356" s="2" t="str">
        <f>IFERROR(__xludf.DUMMYFUNCTION("GOOGLETRANSLATE(A7356, ""en"", ""mt"")"),"F'każijiet b'medju maqsum kif jitwassal")</f>
        <v>F'każijiet b'medju maqsum kif jitwassal</v>
      </c>
    </row>
    <row r="7357" ht="15.75" customHeight="1">
      <c r="A7357" s="2" t="s">
        <v>7357</v>
      </c>
      <c r="B7357" s="2" t="str">
        <f>IFERROR(__xludf.DUMMYFUNCTION("GOOGLETRANSLATE(A7357, ""en"", ""mt"")"),"Liema tip ta 'arkitettura ġie wara Norman fl-Ingilterra?")</f>
        <v>Liema tip ta 'arkitettura ġie wara Norman fl-Ingilterra?</v>
      </c>
    </row>
    <row r="7358" ht="15.75" customHeight="1">
      <c r="A7358" s="2" t="s">
        <v>7358</v>
      </c>
      <c r="B7358" s="2" t="str">
        <f>IFERROR(__xludf.DUMMYFUNCTION("GOOGLETRANSLATE(A7358, ""en"", ""mt"")"),"Kemm kienet tgħix Julia Butterfly Hill f'siġra?")</f>
        <v>Kemm kienet tgħix Julia Butterfly Hill f'siġra?</v>
      </c>
    </row>
    <row r="7359" ht="15.75" customHeight="1">
      <c r="A7359" s="2" t="s">
        <v>7359</v>
      </c>
      <c r="B7359" s="2" t="str">
        <f>IFERROR(__xludf.DUMMYFUNCTION("GOOGLETRANSLATE(A7359, ""en"", ""mt"")"),"Aħbarijiet taż-żewġ battalji waslu l-Ingilterra f’Awwissu. Wara diversi xhur ta ’negozjati, il-gvern tad-Duka ta’ Newcastle iddeċieda li jibgħat spedizzjoni tal-Armata s-sena ta ’wara biex jiżvela lill-Franċiżi. Huma għażlu l-Ġeneral Maġġur Edward Braddoc"&amp;"k biex imexxi l-ispedizzjoni. Kelma tal-pjanijiet militari Ingliżi nixxew lejn Franza sew qabel it-tluq ta 'Braddock għall-Amerika ta' Fuq. Bi tweġiba, ir-Re Louis XV bagħat sitt reġimenti lejn Franza Ġdida taħt il-kmand tal-Baruni Dieskau fl-1755. Il-Bri"&amp;"ttaniċi, li biħsiebhom jimblokkaw il-portijiet Franċiżi, bagħtu l-flotta tagħhom fi Frar 1755, iżda l-flotta Franċiża kienet diġà baħħret. L-Ammirall Edward Hawke qala ’skwadra mgħaġġla lejn l-Amerika ta’ Fuq f’tentattiv biex jinterċetta l-Franċiżi.")</f>
        <v>Aħbarijiet taż-żewġ battalji waslu l-Ingilterra f’Awwissu. Wara diversi xhur ta ’negozjati, il-gvern tad-Duka ta’ Newcastle iddeċieda li jibgħat spedizzjoni tal-Armata s-sena ta ’wara biex jiżvela lill-Franċiżi. Huma għażlu l-Ġeneral Maġġur Edward Braddock biex imexxi l-ispedizzjoni. Kelma tal-pjanijiet militari Ingliżi nixxew lejn Franza sew qabel it-tluq ta 'Braddock għall-Amerika ta' Fuq. Bi tweġiba, ir-Re Louis XV bagħat sitt reġimenti lejn Franza Ġdida taħt il-kmand tal-Baruni Dieskau fl-1755. Il-Brittaniċi, li biħsiebhom jimblokkaw il-portijiet Franċiżi, bagħtu l-flotta tagħhom fi Frar 1755, iżda l-flotta Franċiża kienet diġà baħħret. L-Ammirall Edward Hawke qala ’skwadra mgħaġġla lejn l-Amerika ta’ Fuq f’tentattiv biex jinterċetta l-Franċiżi.</v>
      </c>
    </row>
    <row r="7360" ht="15.75" customHeight="1">
      <c r="A7360" s="2" t="s">
        <v>7360</v>
      </c>
      <c r="B7360" s="2" t="str">
        <f>IFERROR(__xludf.DUMMYFUNCTION("GOOGLETRANSLATE(A7360, ""en"", ""mt"")"),"Liema pajjiż inizjalment irċieva l-akbar numru ta 'refuġjati Huguenot?")</f>
        <v>Liema pajjiż inizjalment irċieva l-akbar numru ta 'refuġjati Huguenot?</v>
      </c>
    </row>
    <row r="7361" ht="15.75" customHeight="1">
      <c r="A7361" s="2" t="s">
        <v>7361</v>
      </c>
      <c r="B7361" s="2" t="str">
        <f>IFERROR(__xludf.DUMMYFUNCTION("GOOGLETRANSLATE(A7361, ""en"", ""mt"")"),"F’rapport, ippubblikat fil-bidu ta ’Frar 2007 mill-Istitut tal-Ear fil-University College ta’ Londra, u Widex, manifattur Daniż ta ’għajnuna għas-smigħ, Newcastle ġie msemmi bħala l-iktar belt storbjuża fir-Renju Unit kollu, b’livell medju ta’ 80.4 decibe"&amp;"ls. Ir-rapport sostna li dawn il-livelli ta 'ħoss ikollhom impatt negattiv fit-tul fuq is-saħħa tar-residenti tal-belt. Ir-rapport ġie kkritikat, madankollu, talli waħħal wisq piż mal-qari f'postijiet magħżula b'mod arbitrarju, li fil-każ ta 'Newcastle ki"&amp;"en jinkludi awtostrada mingħajr aċċess għall-persuni mexjin.")</f>
        <v>F’rapport, ippubblikat fil-bidu ta ’Frar 2007 mill-Istitut tal-Ear fil-University College ta’ Londra, u Widex, manifattur Daniż ta ’għajnuna għas-smigħ, Newcastle ġie msemmi bħala l-iktar belt storbjuża fir-Renju Unit kollu, b’livell medju ta’ 80.4 decibels. Ir-rapport sostna li dawn il-livelli ta 'ħoss ikollhom impatt negattiv fit-tul fuq is-saħħa tar-residenti tal-belt. Ir-rapport ġie kkritikat, madankollu, talli waħħal wisq piż mal-qari f'postijiet magħżula b'mod arbitrarju, li fil-każ ta 'Newcastle kien jinkludi awtostrada mingħajr aċċess għall-persuni mexjin.</v>
      </c>
    </row>
    <row r="7362" ht="15.75" customHeight="1">
      <c r="A7362" s="2" t="s">
        <v>7362</v>
      </c>
      <c r="B7362" s="2" t="str">
        <f>IFERROR(__xludf.DUMMYFUNCTION("GOOGLETRANSLATE(A7362, ""en"", ""mt"")"),"pittura, matematika, kaligrafija, poeżija, u teatru")</f>
        <v>pittura, matematika, kaligrafija, poeżija, u teatru</v>
      </c>
    </row>
    <row r="7363" ht="15.75" customHeight="1">
      <c r="A7363" s="2" t="s">
        <v>7363</v>
      </c>
      <c r="B7363" s="2" t="str">
        <f>IFERROR(__xludf.DUMMYFUNCTION("GOOGLETRANSLATE(A7363, ""en"", ""mt"")"),"Mill-4 ta ’Awwissu 1915 sa Novembru 1918")</f>
        <v>Mill-4 ta ’Awwissu 1915 sa Novembru 1918</v>
      </c>
    </row>
    <row r="7364" ht="15.75" customHeight="1">
      <c r="A7364" s="2" t="s">
        <v>7364</v>
      </c>
      <c r="B7364" s="2" t="str">
        <f>IFERROR(__xludf.DUMMYFUNCTION("GOOGLETRANSLATE(A7364, ""en"", ""mt"")"),"bniet")</f>
        <v>bniet</v>
      </c>
    </row>
    <row r="7365" ht="15.75" customHeight="1">
      <c r="A7365" s="2" t="s">
        <v>7365</v>
      </c>
      <c r="B7365" s="2" t="str">
        <f>IFERROR(__xludf.DUMMYFUNCTION("GOOGLETRANSLATE(A7365, ""en"", ""mt"")"),"Iskejjel magħluqa Huguenot")</f>
        <v>Iskejjel magħluqa Huguenot</v>
      </c>
    </row>
    <row r="7366" ht="15.75" customHeight="1">
      <c r="A7366" s="2" t="s">
        <v>7366</v>
      </c>
      <c r="B7366" s="2" t="str">
        <f>IFERROR(__xludf.DUMMYFUNCTION("GOOGLETRANSLATE(A7366, ""en"", ""mt"")"),"X'għamel Luther li l-Lhud kienu?")</f>
        <v>X'għamel Luther li l-Lhud kienu?</v>
      </c>
    </row>
    <row r="7367" ht="15.75" customHeight="1">
      <c r="A7367" s="2" t="s">
        <v>7367</v>
      </c>
      <c r="B7367" s="2" t="str">
        <f>IFERROR(__xludf.DUMMYFUNCTION("GOOGLETRANSLATE(A7367, ""en"", ""mt"")"),"Eġizzjani kontra l-okkupazzjoni Ingliża fir-rivoluzzjoni tal-1919.")</f>
        <v>Eġizzjani kontra l-okkupazzjoni Ingliża fir-rivoluzzjoni tal-1919.</v>
      </c>
    </row>
    <row r="7368" ht="15.75" customHeight="1">
      <c r="A7368" s="2" t="s">
        <v>7368</v>
      </c>
      <c r="B7368" s="2" t="str">
        <f>IFERROR(__xludf.DUMMYFUNCTION("GOOGLETRANSLATE(A7368, ""en"", ""mt"")"),"X'ħin normalment ikollhom te?")</f>
        <v>X'ħin normalment ikollhom te?</v>
      </c>
    </row>
    <row r="7369" ht="15.75" customHeight="1">
      <c r="A7369" s="2" t="s">
        <v>7369</v>
      </c>
      <c r="B7369" s="2" t="str">
        <f>IFERROR(__xludf.DUMMYFUNCTION("GOOGLETRANSLATE(A7369, ""en"", ""mt"")"),"Gvern.")</f>
        <v>Gvern.</v>
      </c>
    </row>
    <row r="7370" ht="15.75" customHeight="1">
      <c r="A7370" s="2" t="s">
        <v>7370</v>
      </c>
      <c r="B7370" s="2" t="str">
        <f>IFERROR(__xludf.DUMMYFUNCTION("GOOGLETRANSLATE(A7370, ""en"", ""mt"")"),"Rutherford Grammar School")</f>
        <v>Rutherford Grammar School</v>
      </c>
    </row>
    <row r="7371" ht="15.75" customHeight="1">
      <c r="A7371" s="2" t="s">
        <v>7371</v>
      </c>
      <c r="B7371" s="2" t="str">
        <f>IFERROR(__xludf.DUMMYFUNCTION("GOOGLETRANSLATE(A7371, ""en"", ""mt"")"),"Ġinnasju reali ogħla")</f>
        <v>Ġinnasju reali ogħla</v>
      </c>
    </row>
    <row r="7372" ht="15.75" customHeight="1">
      <c r="A7372" s="2" t="s">
        <v>7372</v>
      </c>
      <c r="B7372" s="2" t="str">
        <f>IFERROR(__xludf.DUMMYFUNCTION("GOOGLETRANSLATE(A7372, ""en"", ""mt"")"),"Rapporti jiddokumentaw li kemm-il Protestanti ta 'Parisien inqatlu sas-17 ta' Settembru?")</f>
        <v>Rapporti jiddokumentaw li kemm-il Protestanti ta 'Parisien inqatlu sas-17 ta' Settembru?</v>
      </c>
    </row>
    <row r="7373" ht="15.75" customHeight="1">
      <c r="A7373" s="2" t="s">
        <v>7373</v>
      </c>
      <c r="B7373" s="2" t="str">
        <f>IFERROR(__xludf.DUMMYFUNCTION("GOOGLETRANSLATE(A7373, ""en"", ""mt"")"),"Kemm kien simili t-Trattat ta 'Lisbona għat-Trattat Kostituzzjonali?")</f>
        <v>Kemm kien simili t-Trattat ta 'Lisbona għat-Trattat Kostituzzjonali?</v>
      </c>
    </row>
    <row r="7374" ht="15.75" customHeight="1">
      <c r="A7374" s="2" t="s">
        <v>7374</v>
      </c>
      <c r="B7374" s="2" t="str">
        <f>IFERROR(__xludf.DUMMYFUNCTION("GOOGLETRANSLATE(A7374, ""en"", ""mt"")"),"Qrati tal-Istati Membri u l-Qorti tal-Ġustizzja tal-Unjoni Ewropea")</f>
        <v>Qrati tal-Istati Membri u l-Qorti tal-Ġustizzja tal-Unjoni Ewropea</v>
      </c>
    </row>
    <row r="7375" ht="15.75" customHeight="1">
      <c r="A7375" s="2" t="s">
        <v>7375</v>
      </c>
      <c r="B7375" s="2" t="str">
        <f>IFERROR(__xludf.DUMMYFUNCTION("GOOGLETRANSLATE(A7375, ""en"", ""mt"")"),"Meta huma ġġustifikati l-inugwaljanzi fil-ġid, skond John Rawls?")</f>
        <v>Meta huma ġġustifikati l-inugwaljanzi fil-ġid, skond John Rawls?</v>
      </c>
    </row>
    <row r="7376" ht="15.75" customHeight="1">
      <c r="A7376" s="2" t="s">
        <v>7376</v>
      </c>
      <c r="B7376" s="2" t="str">
        <f>IFERROR(__xludf.DUMMYFUNCTION("GOOGLETRANSLATE(A7376, ""en"", ""mt"")"),"Kemm affiljati ABC kellhom fl-1949?")</f>
        <v>Kemm affiljati ABC kellhom fl-1949?</v>
      </c>
    </row>
    <row r="7377" ht="15.75" customHeight="1">
      <c r="A7377" s="2" t="s">
        <v>7377</v>
      </c>
      <c r="B7377" s="2" t="str">
        <f>IFERROR(__xludf.DUMMYFUNCTION("GOOGLETRANSLATE(A7377, ""en"", ""mt"")"),"Għaliex il-livell tal-baħar attwali qed jiżdied?")</f>
        <v>Għaliex il-livell tal-baħar attwali qed jiżdied?</v>
      </c>
    </row>
    <row r="7378" ht="15.75" customHeight="1">
      <c r="A7378" s="2" t="s">
        <v>7378</v>
      </c>
      <c r="B7378" s="2" t="str">
        <f>IFERROR(__xludf.DUMMYFUNCTION("GOOGLETRANSLATE(A7378, ""en"", ""mt"")"),"Sistema ta 'Tesla Polyphase")</f>
        <v>Sistema ta 'Tesla Polyphase</v>
      </c>
    </row>
    <row r="7379" ht="15.75" customHeight="1">
      <c r="A7379" s="2" t="s">
        <v>7379</v>
      </c>
      <c r="B7379" s="2" t="str">
        <f>IFERROR(__xludf.DUMMYFUNCTION("GOOGLETRANSLATE(A7379, ""en"", ""mt"")"),"X'effett kellha l-pesta fuq il-Lvant Nofsani?")</f>
        <v>X'effett kellha l-pesta fuq il-Lvant Nofsani?</v>
      </c>
    </row>
    <row r="7380" ht="15.75" customHeight="1">
      <c r="A7380" s="2" t="s">
        <v>7380</v>
      </c>
      <c r="B7380" s="2" t="str">
        <f>IFERROR(__xludf.DUMMYFUNCTION("GOOGLETRANSLATE(A7380, ""en"", ""mt"")"),"ħafna saru psewdogeni mhux funzjonali")</f>
        <v>ħafna saru psewdogeni mhux funzjonali</v>
      </c>
    </row>
    <row r="7381" ht="15.75" customHeight="1">
      <c r="A7381" s="2" t="s">
        <v>7381</v>
      </c>
      <c r="B7381" s="2" t="str">
        <f>IFERROR(__xludf.DUMMYFUNCTION("GOOGLETRANSLATE(A7381, ""en"", ""mt"")"),"Fl-1934, Reċiproku ressqet ilment mal-Kummissjoni Federali tal-Komunikazzjonijiet (FCC) rigward id-diffikultajiet tagħha biex jistabbilixxu stazzjonijiet ġodda, f'suq tar-radju li kien diġà qed jiġi saturat mill-NBC u s-CBS. Fl-1938, l-FCC bdiet serje ta "&amp;"'investigazzjonijiet dwar il-prattiki tan-netwerks tar-radju u ppubblikat ir-rapport tagħha dwar ix-xandir ta' programmi tar-radju tan-netwerk fl-1940. Ir-rapport irrakkomanda li l-RCA tagħti l-kontroll ta 'jew NBC Red jew NBC Blue. Dak iż-żmien, in-netwe"&amp;"rk aħmar tal-NBC kien in-netwerk tar-radju prinċipali fl-Istati Uniti u, skond l-FCC, RCA kienet tuża NBC Blue biex telimina kwalunkwe ħjiel ta 'kompetizzjoni. Wara li m'għandhom l-ebda poter fuq in-netwerks infushom, l-FCC stabbilixxiet regolament li jip"&amp;"projbixxi liċenzji biex jinħarġu għall-istazzjonijiet tar-radju jekk kienu affiljati ma 'netwerk li diġà kellu netwerks multipli li pprovdew kontenut ta' interess pubbliku.")</f>
        <v>Fl-1934, Reċiproku ressqet ilment mal-Kummissjoni Federali tal-Komunikazzjonijiet (FCC) rigward id-diffikultajiet tagħha biex jistabbilixxu stazzjonijiet ġodda, f'suq tar-radju li kien diġà qed jiġi saturat mill-NBC u s-CBS. Fl-1938, l-FCC bdiet serje ta 'investigazzjonijiet dwar il-prattiki tan-netwerks tar-radju u ppubblikat ir-rapport tagħha dwar ix-xandir ta' programmi tar-radju tan-netwerk fl-1940. Ir-rapport irrakkomanda li l-RCA tagħti l-kontroll ta 'jew NBC Red jew NBC Blue. Dak iż-żmien, in-netwerk aħmar tal-NBC kien in-netwerk tar-radju prinċipali fl-Istati Uniti u, skond l-FCC, RCA kienet tuża NBC Blue biex telimina kwalunkwe ħjiel ta 'kompetizzjoni. Wara li m'għandhom l-ebda poter fuq in-netwerks infushom, l-FCC stabbilixxiet regolament li jipprojbixxi liċenzji biex jinħarġu għall-istazzjonijiet tar-radju jekk kienu affiljati ma 'netwerk li diġà kellu netwerks multipli li pprovdew kontenut ta' interess pubbliku.</v>
      </c>
    </row>
    <row r="7382" ht="15.75" customHeight="1">
      <c r="A7382" s="2" t="s">
        <v>7382</v>
      </c>
      <c r="B7382" s="2" t="str">
        <f>IFERROR(__xludf.DUMMYFUNCTION("GOOGLETRANSLATE(A7382, ""en"", ""mt"")"),"ippriedka tmien priedki")</f>
        <v>ippriedka tmien priedki</v>
      </c>
    </row>
    <row r="7383" ht="15.75" customHeight="1">
      <c r="A7383" s="2" t="s">
        <v>7383</v>
      </c>
      <c r="B7383" s="2" t="str">
        <f>IFERROR(__xludf.DUMMYFUNCTION("GOOGLETRANSLATE(A7383, ""en"", ""mt"")"),"Banda Ku Universali")</f>
        <v>Banda Ku Universali</v>
      </c>
    </row>
    <row r="7384" ht="15.75" customHeight="1">
      <c r="A7384" s="2" t="s">
        <v>7384</v>
      </c>
      <c r="B7384" s="2" t="str">
        <f>IFERROR(__xludf.DUMMYFUNCTION("GOOGLETRANSLATE(A7384, ""en"", ""mt"")"),"il-metrocentre")</f>
        <v>il-metrocentre</v>
      </c>
    </row>
    <row r="7385" ht="15.75" customHeight="1">
      <c r="A7385" s="2" t="s">
        <v>7385</v>
      </c>
      <c r="B7385" s="2" t="str">
        <f>IFERROR(__xludf.DUMMYFUNCTION("GOOGLETRANSLATE(A7385, ""en"", ""mt"")"),"livell aktar baxx")</f>
        <v>livell aktar baxx</v>
      </c>
    </row>
    <row r="7386" ht="15.75" customHeight="1">
      <c r="A7386" s="2" t="s">
        <v>7386</v>
      </c>
      <c r="B7386" s="2" t="str">
        <f>IFERROR(__xludf.DUMMYFUNCTION("GOOGLETRANSLATE(A7386, ""en"", ""mt"")"),"L-imperjalizmu spiss jaqsam il-pajjiżi billi juża liema teknika?")</f>
        <v>L-imperjalizmu spiss jaqsam il-pajjiżi billi juża liema teknika?</v>
      </c>
    </row>
    <row r="7387" ht="15.75" customHeight="1">
      <c r="A7387" s="2" t="s">
        <v>7387</v>
      </c>
      <c r="B7387" s="2" t="str">
        <f>IFERROR(__xludf.DUMMYFUNCTION("GOOGLETRANSLATE(A7387, ""en"", ""mt"")"),"130 miljun sieq kubika")</f>
        <v>130 miljun sieq kubika</v>
      </c>
    </row>
    <row r="7388" ht="15.75" customHeight="1">
      <c r="A7388" s="2" t="s">
        <v>7388</v>
      </c>
      <c r="B7388" s="2" t="str">
        <f>IFERROR(__xludf.DUMMYFUNCTION("GOOGLETRANSLATE(A7388, ""en"", ""mt"")"),"mgħoddi")</f>
        <v>mgħoddi</v>
      </c>
    </row>
    <row r="7389" ht="15.75" customHeight="1">
      <c r="A7389" s="2" t="s">
        <v>7389</v>
      </c>
      <c r="B7389" s="2" t="str">
        <f>IFERROR(__xludf.DUMMYFUNCTION("GOOGLETRANSLATE(A7389, ""en"", ""mt"")"),"tagħmel iktar ħsara milli ġid")</f>
        <v>tagħmel iktar ħsara milli ġid</v>
      </c>
    </row>
    <row r="7390" ht="15.75" customHeight="1">
      <c r="A7390" s="2" t="s">
        <v>7390</v>
      </c>
      <c r="B7390" s="2" t="str">
        <f>IFERROR(__xludf.DUMMYFUNCTION("GOOGLETRANSLATE(A7390, ""en"", ""mt"")"),"Parti vitali mill-ktajjen tal-ikel tal-baħar")</f>
        <v>Parti vitali mill-ktajjen tal-ikel tal-baħar</v>
      </c>
    </row>
    <row r="7391" ht="15.75" customHeight="1">
      <c r="A7391" s="2" t="s">
        <v>7391</v>
      </c>
      <c r="B7391" s="2" t="str">
        <f>IFERROR(__xludf.DUMMYFUNCTION("GOOGLETRANSLATE(A7391, ""en"", ""mt"")"),"mewġ ta 'xokk ta' pressjoni għolja")</f>
        <v>mewġ ta 'xokk ta' pressjoni għolja</v>
      </c>
    </row>
    <row r="7392" ht="15.75" customHeight="1">
      <c r="A7392" s="2" t="s">
        <v>7392</v>
      </c>
      <c r="B7392" s="2" t="str">
        <f>IFERROR(__xludf.DUMMYFUNCTION("GOOGLETRANSLATE(A7392, ""en"", ""mt"")"),"Fl-aħħar tal-1949, l-operatur tat-teatru tal-films United Paramount Theaters (UPT) kien sfurzat mill-Qorti Suprema tal-Istati Uniti biex issir entità indipendenti, li tifred lilha nnifisha minn Paramount Pictures. Min-naħa tagħha, ABC kienet f'xifer ta 'f"&amp;"alliment, b'ħames stazzjonijiet ta' proprjetà u mħaddma biss u disa 'affiljati full-time. Id-dħul tagħha, li kien relatat mar-reklamar u ġew indiċjati meta mqabbla man-numru ta 'semmiegħa / telespettaturi, naqas milli jikkumpensa għall-investimenti tqal t"&amp;"iegħu fl-istazzjonijiet tax-xiri u tal-bini. Fl-1951, rumor saħansitra semma li n-netwerk se jinbiegħ lil CBS. Fl-1951, Noble kellu sehem ta '58% ta' sjieda f'ABC, li tah $ 5 miljun biex jipprevjeni lil ABC milli fallut; Hekk kif il-banek irrifjutaw aktar"&amp;" kreditu, dak l-ammont inkiseb permezz ta 'self mill-Kumpanija tal-Assikurazzjoni Prudenzjali tal-Amerika.")</f>
        <v>Fl-aħħar tal-1949, l-operatur tat-teatru tal-films United Paramount Theaters (UPT) kien sfurzat mill-Qorti Suprema tal-Istati Uniti biex issir entità indipendenti, li tifred lilha nnifisha minn Paramount Pictures. Min-naħa tagħha, ABC kienet f'xifer ta 'falliment, b'ħames stazzjonijiet ta' proprjetà u mħaddma biss u disa 'affiljati full-time. Id-dħul tagħha, li kien relatat mar-reklamar u ġew indiċjati meta mqabbla man-numru ta 'semmiegħa / telespettaturi, naqas milli jikkumpensa għall-investimenti tqal tiegħu fl-istazzjonijiet tax-xiri u tal-bini. Fl-1951, rumor saħansitra semma li n-netwerk se jinbiegħ lil CBS. Fl-1951, Noble kellu sehem ta '58% ta' sjieda f'ABC, li tah $ 5 miljun biex jipprevjeni lil ABC milli fallut; Hekk kif il-banek irrifjutaw aktar kreditu, dak l-ammont inkiseb permezz ta 'self mill-Kumpanija tal-Assikurazzjoni Prudenzjali tal-Amerika.</v>
      </c>
    </row>
    <row r="7393" ht="15.75" customHeight="1">
      <c r="A7393" s="2" t="s">
        <v>7393</v>
      </c>
      <c r="B7393" s="2" t="str">
        <f>IFERROR(__xludf.DUMMYFUNCTION("GOOGLETRANSLATE(A7393, ""en"", ""mt"")"),"Ċellola T.")</f>
        <v>Ċellola T.</v>
      </c>
    </row>
    <row r="7394" ht="15.75" customHeight="1">
      <c r="A7394" s="2" t="s">
        <v>7394</v>
      </c>
      <c r="B7394" s="2" t="str">
        <f>IFERROR(__xludf.DUMMYFUNCTION("GOOGLETRANSLATE(A7394, ""en"", ""mt"")"),"Kemm għandu parks pubbliċi kbar Fresno?")</f>
        <v>Kemm għandu parks pubbliċi kbar Fresno?</v>
      </c>
    </row>
    <row r="7395" ht="15.75" customHeight="1">
      <c r="A7395" s="2" t="s">
        <v>7395</v>
      </c>
      <c r="B7395" s="2" t="str">
        <f>IFERROR(__xludf.DUMMYFUNCTION("GOOGLETRANSLATE(A7395, ""en"", ""mt"")"),"Membrani tal-Lipidi-Bilayer")</f>
        <v>Membrani tal-Lipidi-Bilayer</v>
      </c>
    </row>
    <row r="7396" ht="15.75" customHeight="1">
      <c r="A7396" s="2" t="s">
        <v>7396</v>
      </c>
      <c r="B7396" s="2" t="str">
        <f>IFERROR(__xludf.DUMMYFUNCTION("GOOGLETRANSLATE(A7396, ""en"", ""mt"")"),"30,000")</f>
        <v>30,000</v>
      </c>
    </row>
    <row r="7397" ht="15.75" customHeight="1">
      <c r="A7397" s="2" t="s">
        <v>7397</v>
      </c>
      <c r="B7397" s="2" t="str">
        <f>IFERROR(__xludf.DUMMYFUNCTION("GOOGLETRANSLATE(A7397, ""en"", ""mt"")"),"kimika")</f>
        <v>kimika</v>
      </c>
    </row>
    <row r="7398" ht="15.75" customHeight="1">
      <c r="A7398" s="2" t="s">
        <v>7398</v>
      </c>
      <c r="B7398" s="2" t="str">
        <f>IFERROR(__xludf.DUMMYFUNCTION("GOOGLETRANSLATE(A7398, ""en"", ""mt"")"),"Reġistrazzjoni tar-Residenza")</f>
        <v>Reġistrazzjoni tar-Residenza</v>
      </c>
    </row>
    <row r="7399" ht="15.75" customHeight="1">
      <c r="A7399" s="2" t="s">
        <v>7399</v>
      </c>
      <c r="B7399" s="2" t="str">
        <f>IFERROR(__xludf.DUMMYFUNCTION("GOOGLETRANSLATE(A7399, ""en"", ""mt"")"),"Ordni Pubbliku,")</f>
        <v>Ordni Pubbliku,</v>
      </c>
    </row>
    <row r="7400" ht="15.75" customHeight="1">
      <c r="A7400" s="2" t="s">
        <v>7400</v>
      </c>
      <c r="B7400" s="2" t="str">
        <f>IFERROR(__xludf.DUMMYFUNCTION("GOOGLETRANSLATE(A7400, ""en"", ""mt"")"),"Il-Kabinett tal-Konferenza Annwali")</f>
        <v>Il-Kabinett tal-Konferenza Annwali</v>
      </c>
    </row>
    <row r="7401" ht="15.75" customHeight="1">
      <c r="A7401" s="2" t="s">
        <v>7401</v>
      </c>
      <c r="B7401" s="2" t="str">
        <f>IFERROR(__xludf.DUMMYFUNCTION("GOOGLETRANSLATE(A7401, ""en"", ""mt"")"),"X'effett għandu l-kummerċ ma 'pajjiżi l-aktar fqar fuq il-ħaddiema f'pajjiżi aktar sinjuri?")</f>
        <v>X'effett għandu l-kummerċ ma 'pajjiżi l-aktar fqar fuq il-ħaddiema f'pajjiżi aktar sinjuri?</v>
      </c>
    </row>
    <row r="7402" ht="15.75" customHeight="1">
      <c r="A7402" s="2" t="s">
        <v>7402</v>
      </c>
      <c r="B7402" s="2" t="str">
        <f>IFERROR(__xludf.DUMMYFUNCTION("GOOGLETRANSLATE(A7402, ""en"", ""mt"")"),"armat")</f>
        <v>armat</v>
      </c>
    </row>
    <row r="7403" ht="15.75" customHeight="1">
      <c r="A7403" s="2" t="s">
        <v>7403</v>
      </c>
      <c r="B7403" s="2" t="str">
        <f>IFERROR(__xludf.DUMMYFUNCTION("GOOGLETRANSLATE(A7403, ""en"", ""mt"")"),"Min x'aktarx jgħallem tifel id-dar?")</f>
        <v>Min x'aktarx jgħallem tifel id-dar?</v>
      </c>
    </row>
    <row r="7404" ht="15.75" customHeight="1">
      <c r="A7404" s="2" t="s">
        <v>7404</v>
      </c>
      <c r="B7404" s="2" t="str">
        <f>IFERROR(__xludf.DUMMYFUNCTION("GOOGLETRANSLATE(A7404, ""en"", ""mt"")"),"hija dik il-grazzja ta ’Alla li ssostni lil dawk li jemmnu fil-vjaġġ lejn il-perfezzjoni Nisranija")</f>
        <v>hija dik il-grazzja ta ’Alla li ssostni lil dawk li jemmnu fil-vjaġġ lejn il-perfezzjoni Nisranija</v>
      </c>
    </row>
    <row r="7405" ht="15.75" customHeight="1">
      <c r="A7405" s="2" t="s">
        <v>7405</v>
      </c>
      <c r="B7405" s="2" t="str">
        <f>IFERROR(__xludf.DUMMYFUNCTION("GOOGLETRANSLATE(A7405, ""en"", ""mt"")"),"Ma 'liema projettili oħra qabbel Tesla l-partiċelli elettriċi?")</f>
        <v>Ma 'liema projettili oħra qabbel Tesla l-partiċelli elettriċi?</v>
      </c>
    </row>
    <row r="7406" ht="15.75" customHeight="1">
      <c r="A7406" s="2" t="s">
        <v>7406</v>
      </c>
      <c r="B7406" s="2" t="str">
        <f>IFERROR(__xludf.DUMMYFUNCTION("GOOGLETRANSLATE(A7406, ""en"", ""mt"")"),"X'tip ta 'armi kien jikkonċerna t-trattat ta' Tesla?")</f>
        <v>X'tip ta 'armi kien jikkonċerna t-trattat ta' Tesla?</v>
      </c>
    </row>
    <row r="7407" ht="15.75" customHeight="1">
      <c r="A7407" s="2" t="s">
        <v>7407</v>
      </c>
      <c r="B7407" s="2" t="str">
        <f>IFERROR(__xludf.DUMMYFUNCTION("GOOGLETRANSLATE(A7407, ""en"", ""mt"")"),"6 ta ’Marzu 1522")</f>
        <v>6 ta ’Marzu 1522</v>
      </c>
    </row>
    <row r="7408" ht="15.75" customHeight="1">
      <c r="A7408" s="2" t="s">
        <v>7408</v>
      </c>
      <c r="B7408" s="2" t="str">
        <f>IFERROR(__xludf.DUMMYFUNCTION("GOOGLETRANSLATE(A7408, ""en"", ""mt"")"),"X'tip ta 'lbies ta' taħt, jekk hemm, kien inkluż fis-Spacesuit Apollo?")</f>
        <v>X'tip ta 'lbies ta' taħt, jekk hemm, kien inkluż fis-Spacesuit Apollo?</v>
      </c>
    </row>
    <row r="7409" ht="15.75" customHeight="1">
      <c r="A7409" s="2" t="s">
        <v>7409</v>
      </c>
      <c r="B7409" s="2" t="str">
        <f>IFERROR(__xludf.DUMMYFUNCTION("GOOGLETRANSLATE(A7409, ""en"", ""mt"")"),"Fejn poġġa lill-istudenti Turabi jissimpatizzaw mal-fehmiet tiegħu?")</f>
        <v>Fejn poġġa lill-istudenti Turabi jissimpatizzaw mal-fehmiet tiegħu?</v>
      </c>
    </row>
    <row r="7410" ht="15.75" customHeight="1">
      <c r="A7410" s="2" t="s">
        <v>7410</v>
      </c>
      <c r="B7410" s="2" t="str">
        <f>IFERROR(__xludf.DUMMYFUNCTION("GOOGLETRANSLATE(A7410, ""en"", ""mt"")"),"Liema pajjiżi jużaw A Red Stylized A biex ifissru l-ispiżerija?")</f>
        <v>Liema pajjiżi jużaw A Red Stylized A biex ifissru l-ispiżerija?</v>
      </c>
    </row>
    <row r="7411" ht="15.75" customHeight="1">
      <c r="A7411" s="2" t="s">
        <v>7411</v>
      </c>
      <c r="B7411" s="2" t="str">
        <f>IFERROR(__xludf.DUMMYFUNCTION("GOOGLETRANSLATE(A7411, ""en"", ""mt"")"),"Fotofosforilazzjoni ċiklika")</f>
        <v>Fotofosforilazzjoni ċiklika</v>
      </c>
    </row>
    <row r="7412" ht="15.75" customHeight="1">
      <c r="A7412" s="2" t="s">
        <v>7412</v>
      </c>
      <c r="B7412" s="2" t="str">
        <f>IFERROR(__xludf.DUMMYFUNCTION("GOOGLETRANSLATE(A7412, ""en"", ""mt"")"),"skejjel tal-gvern li qabel kienu riservati għal tfal bojod")</f>
        <v>skejjel tal-gvern li qabel kienu riservati għal tfal bojod</v>
      </c>
    </row>
    <row r="7413" ht="15.75" customHeight="1">
      <c r="A7413" s="2" t="s">
        <v>7413</v>
      </c>
      <c r="B7413" s="2" t="str">
        <f>IFERROR(__xludf.DUMMYFUNCTION("GOOGLETRANSLATE(A7413, ""en"", ""mt"")"),"Fit-teorija taċ-ċirku, il-kunċett ta 'numru ġeneralment jinbidel ma' dak ta 'ideal. L-ideali ewlenin, li jiġġeneralizzaw l-elementi ewlenin fis-sens li l-ideali prinċipali ġġenerat minn element ewlieni huwa ideali ewlieni, huma għodda importanti u oġġett "&amp;"ta 'studju fl-alġebra kommutattiva, teorija ta' numri alġebriċi u ġeometrija alġebrika. L-ideali ewlenin taċ-ċirku ta 'numri interi huma l-ideali (0), (2), (3), (5), (7), (11), ... it-teorema fundamentali ta' l-aritmetika tiġġeneralizza għat-teorema Laske"&amp;"r-Noether, li Jesprimi kull ideali f'ċirku kommutattiv Noeterjan bħala intersezzjoni ta 'ideali primarji, li huma l-ġeneralizzazzjonijiet xierqa tal-poteri ewlenin.")</f>
        <v>Fit-teorija taċ-ċirku, il-kunċett ta 'numru ġeneralment jinbidel ma' dak ta 'ideal. L-ideali ewlenin, li jiġġeneralizzaw l-elementi ewlenin fis-sens li l-ideali prinċipali ġġenerat minn element ewlieni huwa ideali ewlieni, huma għodda importanti u oġġett ta 'studju fl-alġebra kommutattiva, teorija ta' numri alġebriċi u ġeometrija alġebrika. L-ideali ewlenin taċ-ċirku ta 'numri interi huma l-ideali (0), (2), (3), (5), (7), (11), ... it-teorema fundamentali ta' l-aritmetika tiġġeneralizza għat-teorema Lasker-Noether, li Jesprimi kull ideali f'ċirku kommutattiv Noeterjan bħala intersezzjoni ta 'ideali primarji, li huma l-ġeneralizzazzjonijiet xierqa tal-poteri ewlenin.</v>
      </c>
    </row>
    <row r="7414" ht="15.75" customHeight="1">
      <c r="A7414" s="2" t="s">
        <v>7414</v>
      </c>
      <c r="B7414" s="2" t="str">
        <f>IFERROR(__xludf.DUMMYFUNCTION("GOOGLETRANSLATE(A7414, ""en"", ""mt"")"),"Dubbidjenza ċivili vjolenti")</f>
        <v>Dubbidjenza ċivili vjolenti</v>
      </c>
    </row>
    <row r="7415" ht="15.75" customHeight="1">
      <c r="A7415" s="2" t="s">
        <v>7415</v>
      </c>
      <c r="B7415" s="2" t="str">
        <f>IFERROR(__xludf.DUMMYFUNCTION("GOOGLETRANSLATE(A7415, ""en"", ""mt"")"),"X’tfetħet ir-Reġina Eliżabetta II fi Newcastle fl-1981?")</f>
        <v>X’tfetħet ir-Reġina Eliżabetta II fi Newcastle fl-1981?</v>
      </c>
    </row>
    <row r="7416" ht="15.75" customHeight="1">
      <c r="A7416" s="2" t="s">
        <v>7416</v>
      </c>
      <c r="B7416" s="2" t="str">
        <f>IFERROR(__xludf.DUMMYFUNCTION("GOOGLETRANSLATE(A7416, ""en"", ""mt"")"),"Robert Koch u Emil von Behring,")</f>
        <v>Robert Koch u Emil von Behring,</v>
      </c>
    </row>
    <row r="7417" ht="15.75" customHeight="1">
      <c r="A7417" s="2" t="s">
        <v>7417</v>
      </c>
      <c r="B7417" s="2" t="str">
        <f>IFERROR(__xludf.DUMMYFUNCTION("GOOGLETRANSLATE(A7417, ""en"", ""mt"")"),"X'kienet l-ewwel problema li ltaqgħu magħhom l-astronawti waqt it-test tal-plugs-out?")</f>
        <v>X'kienet l-ewwel problema li ltaqgħu magħhom l-astronawti waqt it-test tal-plugs-out?</v>
      </c>
    </row>
    <row r="7418" ht="15.75" customHeight="1">
      <c r="A7418" s="2" t="s">
        <v>7418</v>
      </c>
      <c r="B7418" s="2" t="str">
        <f>IFERROR(__xludf.DUMMYFUNCTION("GOOGLETRANSLATE(A7418, ""en"", ""mt"")"),"Skismatiku Kattoliku")</f>
        <v>Skismatiku Kattoliku</v>
      </c>
    </row>
    <row r="7419" ht="15.75" customHeight="1">
      <c r="A7419" s="2" t="s">
        <v>7419</v>
      </c>
      <c r="B7419" s="2" t="str">
        <f>IFERROR(__xludf.DUMMYFUNCTION("GOOGLETRANSLATE(A7419, ""en"", ""mt"")"),"X'sar DECNET Fażi 2")</f>
        <v>X'sar DECNET Fażi 2</v>
      </c>
    </row>
    <row r="7420" ht="15.75" customHeight="1">
      <c r="A7420" s="2" t="s">
        <v>7420</v>
      </c>
      <c r="B7420" s="2" t="str">
        <f>IFERROR(__xludf.DUMMYFUNCTION("GOOGLETRANSLATE(A7420, ""en"", ""mt"")"),"Kamra tal-lukanda")</f>
        <v>Kamra tal-lukanda</v>
      </c>
    </row>
    <row r="7421" ht="15.75" customHeight="1">
      <c r="A7421" s="2" t="s">
        <v>7421</v>
      </c>
      <c r="B7421" s="2" t="str">
        <f>IFERROR(__xludf.DUMMYFUNCTION("GOOGLETRANSLATE(A7421, ""en"", ""mt"")"),"Appoġġ għal attakk fuq il-klassijiet ta 'fuq")</f>
        <v>Appoġġ għal attakk fuq il-klassijiet ta 'fuq</v>
      </c>
    </row>
    <row r="7422" ht="15.75" customHeight="1">
      <c r="A7422" s="2" t="s">
        <v>7422</v>
      </c>
      <c r="B7422" s="2" t="str">
        <f>IFERROR(__xludf.DUMMYFUNCTION("GOOGLETRANSLATE(A7422, ""en"", ""mt"")"),"valv tal-plagg")</f>
        <v>valv tal-plagg</v>
      </c>
    </row>
    <row r="7423" ht="15.75" customHeight="1">
      <c r="A7423" s="2" t="s">
        <v>7423</v>
      </c>
      <c r="B7423" s="2" t="str">
        <f>IFERROR(__xludf.DUMMYFUNCTION("GOOGLETRANSLATE(A7423, ""en"", ""mt"")"),"Gruppi ta 'ċili kbar u mwebbsa")</f>
        <v>Gruppi ta 'ċili kbar u mwebbsa</v>
      </c>
    </row>
    <row r="7424" ht="15.75" customHeight="1">
      <c r="A7424" s="2" t="s">
        <v>7424</v>
      </c>
      <c r="B7424" s="2" t="str">
        <f>IFERROR(__xludf.DUMMYFUNCTION("GOOGLETRANSLATE(A7424, ""en"", ""mt"")"),"X'jifhem it-tapizzeriji tal-kaċċa ta 'Devonshire?")</f>
        <v>X'jifhem it-tapizzeriji tal-kaċċa ta 'Devonshire?</v>
      </c>
    </row>
    <row r="7425" ht="15.75" customHeight="1">
      <c r="A7425" s="2" t="s">
        <v>7425</v>
      </c>
      <c r="B7425" s="2" t="str">
        <f>IFERROR(__xludf.DUMMYFUNCTION("GOOGLETRANSLATE(A7425, ""en"", ""mt"")"),"Il-limiti ta 'fuq u t'isfel huma ġeneralment iddikjarati bl-użu ta' notazzjoni kbira O, li taħbi fatturi kostanti u termini iżgħar. Dan jagħmel il-limiti indipendenti mid-dettalji speċifiċi tal-mudell tal-komputazzjoni użat. Pereżempju, jekk t (n) = 7n2 +"&amp;" 15n + 40, fin-notazzjoni kbira waħda tikteb t (n) = o (n2).")</f>
        <v>Il-limiti ta 'fuq u t'isfel huma ġeneralment iddikjarati bl-użu ta' notazzjoni kbira O, li taħbi fatturi kostanti u termini iżgħar. Dan jagħmel il-limiti indipendenti mid-dettalji speċifiċi tal-mudell tal-komputazzjoni użat. Pereżempju, jekk t (n) = 7n2 + 15n + 40, fin-notazzjoni kbira waħda tikteb t (n) = o (n2).</v>
      </c>
    </row>
    <row r="7426" ht="15.75" customHeight="1">
      <c r="A7426" s="2" t="s">
        <v>7426</v>
      </c>
      <c r="B7426" s="2" t="str">
        <f>IFERROR(__xludf.DUMMYFUNCTION("GOOGLETRANSLATE(A7426, ""en"", ""mt"")"),"deportazzjoni")</f>
        <v>deportazzjoni</v>
      </c>
    </row>
    <row r="7427" ht="15.75" customHeight="1">
      <c r="A7427" s="2" t="s">
        <v>7427</v>
      </c>
      <c r="B7427" s="2" t="str">
        <f>IFERROR(__xludf.DUMMYFUNCTION("GOOGLETRANSLATE(A7427, ""en"", ""mt"")"),"Paċi Mongolja")</f>
        <v>Paċi Mongolja</v>
      </c>
    </row>
    <row r="7428" ht="15.75" customHeight="1">
      <c r="A7428" s="2" t="s">
        <v>7428</v>
      </c>
      <c r="B7428" s="2" t="str">
        <f>IFERROR(__xludf.DUMMYFUNCTION("GOOGLETRANSLATE(A7428, ""en"", ""mt"")"),"Lira-Forza")</f>
        <v>Lira-Forza</v>
      </c>
    </row>
    <row r="7429" ht="15.75" customHeight="1">
      <c r="A7429" s="2" t="s">
        <v>7429</v>
      </c>
      <c r="B7429" s="2" t="str">
        <f>IFERROR(__xludf.DUMMYFUNCTION("GOOGLETRANSLATE(A7429, ""en"", ""mt"")"),"għall-bajjiet popolari tagħha")</f>
        <v>għall-bajjiet popolari tagħha</v>
      </c>
    </row>
    <row r="7430" ht="15.75" customHeight="1">
      <c r="A7430" s="2" t="s">
        <v>7430</v>
      </c>
      <c r="B7430" s="2" t="str">
        <f>IFERROR(__xludf.DUMMYFUNCTION("GOOGLETRANSLATE(A7430, ""en"", ""mt"")"),"Torok")</f>
        <v>Torok</v>
      </c>
    </row>
    <row r="7431" ht="15.75" customHeight="1">
      <c r="A7431" s="2" t="s">
        <v>7431</v>
      </c>
      <c r="B7431" s="2" t="str">
        <f>IFERROR(__xludf.DUMMYFUNCTION("GOOGLETRANSLATE(A7431, ""en"", ""mt"")"),"il-ġenb")</f>
        <v>il-ġenb</v>
      </c>
    </row>
    <row r="7432" ht="15.75" customHeight="1">
      <c r="A7432" s="2" t="s">
        <v>7432</v>
      </c>
      <c r="B7432" s="2" t="str">
        <f>IFERROR(__xludf.DUMMYFUNCTION("GOOGLETRANSLATE(A7432, ""en"", ""mt"")"),"Imħallfin")</f>
        <v>Imħallfin</v>
      </c>
    </row>
    <row r="7433" ht="15.75" customHeight="1">
      <c r="A7433" s="2" t="s">
        <v>7433</v>
      </c>
      <c r="B7433" s="2" t="str">
        <f>IFERROR(__xludf.DUMMYFUNCTION("GOOGLETRANSLATE(A7433, ""en"", ""mt"")"),"X'inhu hauptlied?")</f>
        <v>X'inhu hauptlied?</v>
      </c>
    </row>
    <row r="7434" ht="15.75" customHeight="1">
      <c r="A7434" s="2" t="s">
        <v>7434</v>
      </c>
      <c r="B7434" s="2" t="str">
        <f>IFERROR(__xludf.DUMMYFUNCTION("GOOGLETRANSLATE(A7434, ""en"", ""mt"")"),"kunċett personali")</f>
        <v>kunċett personali</v>
      </c>
    </row>
    <row r="7435" ht="15.75" customHeight="1">
      <c r="A7435" s="2" t="s">
        <v>7435</v>
      </c>
      <c r="B7435" s="2" t="str">
        <f>IFERROR(__xludf.DUMMYFUNCTION("GOOGLETRANSLATE(A7435, ""en"", ""mt"")"),"Ċentru tal-vetturi spazjali bl-ekwipaġġ")</f>
        <v>Ċentru tal-vetturi spazjali bl-ekwipaġġ</v>
      </c>
    </row>
    <row r="7436" ht="15.75" customHeight="1">
      <c r="A7436" s="2" t="s">
        <v>7436</v>
      </c>
      <c r="B7436" s="2" t="str">
        <f>IFERROR(__xludf.DUMMYFUNCTION("GOOGLETRANSLATE(A7436, ""en"", ""mt"")"),"Għaliex xi nies jirreżistu apposta l-uffiċjali tal-liġi?")</f>
        <v>Għaliex xi nies jirreżistu apposta l-uffiċjali tal-liġi?</v>
      </c>
    </row>
    <row r="7437" ht="15.75" customHeight="1">
      <c r="A7437" s="2" t="s">
        <v>7437</v>
      </c>
      <c r="B7437" s="2" t="str">
        <f>IFERROR(__xludf.DUMMYFUNCTION("GOOGLETRANSLATE(A7437, ""en"", ""mt"")"),"libertà taċ-ċerimonja")</f>
        <v>libertà taċ-ċerimonja</v>
      </c>
    </row>
    <row r="7438" ht="15.75" customHeight="1">
      <c r="A7438" s="2" t="s">
        <v>7438</v>
      </c>
      <c r="B7438" s="2" t="str">
        <f>IFERROR(__xludf.DUMMYFUNCTION("GOOGLETRANSLATE(A7438, ""en"", ""mt"")"),"Meta huwa l-eqdem inċident irreġistrat ta 'diżubbidjenza ċivili?")</f>
        <v>Meta huwa l-eqdem inċident irreġistrat ta 'diżubbidjenza ċivili?</v>
      </c>
    </row>
    <row r="7439" ht="15.75" customHeight="1">
      <c r="A7439" s="2" t="s">
        <v>7439</v>
      </c>
      <c r="B7439" s="2" t="str">
        <f>IFERROR(__xludf.DUMMYFUNCTION("GOOGLETRANSLATE(A7439, ""en"", ""mt"")"),"Dsatax")</f>
        <v>Dsatax</v>
      </c>
    </row>
    <row r="7440" ht="15.75" customHeight="1">
      <c r="A7440" s="2" t="s">
        <v>7440</v>
      </c>
      <c r="B7440" s="2" t="str">
        <f>IFERROR(__xludf.DUMMYFUNCTION("GOOGLETRANSLATE(A7440, ""en"", ""mt"")"),"Liema għaxar snin immarka t-tranżizzjoni ta 'ABC għall-ipprogrammar tal-kulur?")</f>
        <v>Liema għaxar snin immarka t-tranżizzjoni ta 'ABC għall-ipprogrammar tal-kulur?</v>
      </c>
    </row>
    <row r="7441" ht="15.75" customHeight="1">
      <c r="A7441" s="2" t="s">
        <v>7441</v>
      </c>
      <c r="B7441" s="2" t="str">
        <f>IFERROR(__xludf.DUMMYFUNCTION("GOOGLETRANSLATE(A7441, ""en"", ""mt"")"),"Il-fwar jaħrab")</f>
        <v>Il-fwar jaħrab</v>
      </c>
    </row>
    <row r="7442" ht="15.75" customHeight="1">
      <c r="A7442" s="2" t="s">
        <v>7442</v>
      </c>
      <c r="B7442" s="2" t="str">
        <f>IFERROR(__xludf.DUMMYFUNCTION("GOOGLETRANSLATE(A7442, ""en"", ""mt"")"),"Kemm intercpetions kellu Newton fis-Super Bowl 50?")</f>
        <v>Kemm intercpetions kellu Newton fis-Super Bowl 50?</v>
      </c>
    </row>
    <row r="7443" ht="15.75" customHeight="1">
      <c r="A7443" s="2" t="s">
        <v>7443</v>
      </c>
      <c r="B7443" s="2" t="str">
        <f>IFERROR(__xludf.DUMMYFUNCTION("GOOGLETRANSLATE(A7443, ""en"", ""mt"")"),"Stadju 3")</f>
        <v>Stadju 3</v>
      </c>
    </row>
    <row r="7444" ht="15.75" customHeight="1">
      <c r="A7444" s="2" t="s">
        <v>7444</v>
      </c>
      <c r="B7444" s="2" t="str">
        <f>IFERROR(__xludf.DUMMYFUNCTION("GOOGLETRANSLATE(A7444, ""en"", ""mt"")"),"Liema korpi barranin, li huma eqdem mill-blat infushom, iseħħu blat igneous?")</f>
        <v>Liema korpi barranin, li huma eqdem mill-blat infushom, iseħħu blat igneous?</v>
      </c>
    </row>
    <row r="7445" ht="15.75" customHeight="1">
      <c r="A7445" s="2" t="s">
        <v>7445</v>
      </c>
      <c r="B7445" s="2" t="str">
        <f>IFERROR(__xludf.DUMMYFUNCTION("GOOGLETRANSLATE(A7445, ""en"", ""mt"")"),"X'kienet il-Parliment tar-Renju Unit li smajt li kienet abbonament għal BSKYB?")</f>
        <v>X'kienet il-Parliment tar-Renju Unit li smajt li kienet abbonament għal BSKYB?</v>
      </c>
    </row>
    <row r="7446" ht="15.75" customHeight="1">
      <c r="A7446" s="2" t="s">
        <v>7446</v>
      </c>
      <c r="B7446" s="2" t="str">
        <f>IFERROR(__xludf.DUMMYFUNCTION("GOOGLETRANSLATE(A7446, ""en"", ""mt"")"),"Għaliex it-temperatura tista 'taffettwa t-teorija tat-tixrid tal-pesta?")</f>
        <v>Għaliex it-temperatura tista 'taffettwa t-teorija tat-tixrid tal-pesta?</v>
      </c>
    </row>
    <row r="7447" ht="15.75" customHeight="1">
      <c r="A7447" s="2" t="s">
        <v>7447</v>
      </c>
      <c r="B7447" s="2" t="str">
        <f>IFERROR(__xludf.DUMMYFUNCTION("GOOGLETRANSLATE(A7447, ""en"", ""mt"")"),"Min jista 'jinforza l-liġi tal-Unjoni Ewropea meta l-istati membri jipprovdu drittijiet inqas?")</f>
        <v>Min jista 'jinforza l-liġi tal-Unjoni Ewropea meta l-istati membri jipprovdu drittijiet inqas?</v>
      </c>
    </row>
    <row r="7448" ht="15.75" customHeight="1">
      <c r="A7448" s="2" t="s">
        <v>7448</v>
      </c>
      <c r="B7448" s="2" t="str">
        <f>IFERROR(__xludf.DUMMYFUNCTION("GOOGLETRANSLATE(A7448, ""en"", ""mt"")"),"It-Tieni Prim Ministru")</f>
        <v>It-Tieni Prim Ministru</v>
      </c>
    </row>
    <row r="7449" ht="15.75" customHeight="1">
      <c r="A7449" s="2" t="s">
        <v>7449</v>
      </c>
      <c r="B7449" s="2" t="str">
        <f>IFERROR(__xludf.DUMMYFUNCTION("GOOGLETRANSLATE(A7449, ""en"", ""mt"")"),"Liema oqsma ta 'studju ppreferiet Martin Luther?")</f>
        <v>Liema oqsma ta 'studju ppreferiet Martin Luther?</v>
      </c>
    </row>
    <row r="7450" ht="15.75" customHeight="1">
      <c r="A7450" s="2" t="s">
        <v>7450</v>
      </c>
      <c r="B7450" s="2" t="str">
        <f>IFERROR(__xludf.DUMMYFUNCTION("GOOGLETRANSLATE(A7450, ""en"", ""mt"")"),"X'inhi l-akbar fiera tal-ivvjaġġar fl-Ewropa?")</f>
        <v>X'inhi l-akbar fiera tal-ivvjaġġar fl-Ewropa?</v>
      </c>
    </row>
    <row r="7451" ht="15.75" customHeight="1">
      <c r="A7451" s="2" t="s">
        <v>7451</v>
      </c>
      <c r="B7451" s="2" t="str">
        <f>IFERROR(__xludf.DUMMYFUNCTION("GOOGLETRANSLATE(A7451, ""en"", ""mt"")"),"X'kienu l- ""forzi kbar"" imsemmija fit-titlu tal-artiklu?")</f>
        <v>X'kienu l- "forzi kbar" imsemmija fit-titlu tal-artiklu?</v>
      </c>
    </row>
    <row r="7452" ht="15.75" customHeight="1">
      <c r="A7452" s="2" t="s">
        <v>7452</v>
      </c>
      <c r="B7452" s="2" t="str">
        <f>IFERROR(__xludf.DUMMYFUNCTION("GOOGLETRANSLATE(A7452, ""en"", ""mt"")"),"Is-soċjalisti jattribwixxu d-differenzi kbar fil-ġid lill-pussess privat tal-mezzi ta 'produzzjoni minn klassi ta' sidien, li joħolqu sitwazzjoni fejn porzjon żgħir tal-popolazzjoni jgħix dħul mill-propjetà mhux mistħoqq bis-saħħa ta 'titli ta' sjieda f't"&amp;"agħmir kapitali, assi finanzjarji u korporattivi stokk. B'kuntrast, il-maġġoranza l-kbira tal-popolazzjoni tiddependi fuq id-dħul fil-forma ta 'paga jew salarju. Sabiex jiġu rranġati din is-sitwazzjoni, is-soċjalisti jargumentaw li l-mezzi ta 'produzzjoni"&amp;" għandhom ikunu proprjetà soċjalment sabiex id-differenzjali tad-dħul jirriflettu l-kontribuzzjonijiet individwali għall-prodott soċjali.")</f>
        <v>Is-soċjalisti jattribwixxu d-differenzi kbar fil-ġid lill-pussess privat tal-mezzi ta 'produzzjoni minn klassi ta' sidien, li joħolqu sitwazzjoni fejn porzjon żgħir tal-popolazzjoni jgħix dħul mill-propjetà mhux mistħoqq bis-saħħa ta 'titli ta' sjieda f'tagħmir kapitali, assi finanzjarji u korporattivi stokk. B'kuntrast, il-maġġoranza l-kbira tal-popolazzjoni tiddependi fuq id-dħul fil-forma ta 'paga jew salarju. Sabiex jiġu rranġati din is-sitwazzjoni, is-soċjalisti jargumentaw li l-mezzi ta 'produzzjoni għandhom ikunu proprjetà soċjalment sabiex id-differenzjali tad-dħul jirriflettu l-kontribuzzjonijiet individwali għall-prodott soċjali.</v>
      </c>
    </row>
    <row r="7453" ht="15.75" customHeight="1">
      <c r="A7453" s="2" t="s">
        <v>7453</v>
      </c>
      <c r="B7453" s="2" t="str">
        <f>IFERROR(__xludf.DUMMYFUNCTION("GOOGLETRANSLATE(A7453, ""en"", ""mt"")"),"tliet pads")</f>
        <v>tliet pads</v>
      </c>
    </row>
    <row r="7454" ht="15.75" customHeight="1">
      <c r="A7454" s="2" t="s">
        <v>7454</v>
      </c>
      <c r="B7454" s="2" t="str">
        <f>IFERROR(__xludf.DUMMYFUNCTION("GOOGLETRANSLATE(A7454, ""en"", ""mt"")"),"ir-referendum fi Franza u r-referendum fl-Olanda")</f>
        <v>ir-referendum fi Franza u r-referendum fl-Olanda</v>
      </c>
    </row>
    <row r="7455" ht="15.75" customHeight="1">
      <c r="A7455" s="2" t="s">
        <v>7455</v>
      </c>
      <c r="B7455" s="2" t="str">
        <f>IFERROR(__xludf.DUMMYFUNCTION("GOOGLETRANSLATE(A7455, ""en"", ""mt"")"),"Att dwar il-Kostituzzjoni tar-Rabat 1855")</f>
        <v>Att dwar il-Kostituzzjoni tar-Rabat 1855</v>
      </c>
    </row>
    <row r="7456" ht="15.75" customHeight="1">
      <c r="A7456" s="2" t="s">
        <v>7456</v>
      </c>
      <c r="B7456" s="2" t="str">
        <f>IFERROR(__xludf.DUMMYFUNCTION("GOOGLETRANSLATE(A7456, ""en"", ""mt"")"),"Sermoni Invocavit")</f>
        <v>Sermoni Invocavit</v>
      </c>
    </row>
    <row r="7457" ht="15.75" customHeight="1">
      <c r="A7457" s="2" t="s">
        <v>7457</v>
      </c>
      <c r="B7457" s="2" t="str">
        <f>IFERROR(__xludf.DUMMYFUNCTION("GOOGLETRANSLATE(A7457, ""en"", ""mt"")"),"jitħallew iqimu liberament")</f>
        <v>jitħallew iqimu liberament</v>
      </c>
    </row>
    <row r="7458" ht="15.75" customHeight="1">
      <c r="A7458" s="2" t="s">
        <v>7458</v>
      </c>
      <c r="B7458" s="2" t="str">
        <f>IFERROR(__xludf.DUMMYFUNCTION("GOOGLETRANSLATE(A7458, ""en"", ""mt"")"),"Komponenti li jinħallu (molekuli)")</f>
        <v>Komponenti li jinħallu (molekuli)</v>
      </c>
    </row>
    <row r="7459" ht="15.75" customHeight="1">
      <c r="A7459" s="2" t="s">
        <v>7459</v>
      </c>
      <c r="B7459" s="2" t="str">
        <f>IFERROR(__xludf.DUMMYFUNCTION("GOOGLETRANSLATE(A7459, ""en"", ""mt"")"),"Li ried jakkwista brevetti ta ’mutur AC.")</f>
        <v>Li ried jakkwista brevetti ta ’mutur AC.</v>
      </c>
    </row>
    <row r="7460" ht="15.75" customHeight="1">
      <c r="A7460" s="2" t="s">
        <v>7460</v>
      </c>
      <c r="B7460" s="2" t="str">
        <f>IFERROR(__xludf.DUMMYFUNCTION("GOOGLETRANSLATE(A7460, ""en"", ""mt"")"),"Netwerks taż-żona lokali permessi jiġu stabbiliti ad hoc mingħajr ir-rekwiżit għal router jew server ċentralizzat")</f>
        <v>Netwerks taż-żona lokali permessi jiġu stabbiliti ad hoc mingħajr ir-rekwiżit għal router jew server ċentralizzat</v>
      </c>
    </row>
    <row r="7461" ht="15.75" customHeight="1">
      <c r="A7461" s="2" t="s">
        <v>7461</v>
      </c>
      <c r="B7461" s="2" t="str">
        <f>IFERROR(__xludf.DUMMYFUNCTION("GOOGLETRANSLATE(A7461, ""en"", ""mt"")"),"Kemm ġonna botaniċi għandu Varsavja?")</f>
        <v>Kemm ġonna botaniċi għandu Varsavja?</v>
      </c>
    </row>
    <row r="7462" ht="15.75" customHeight="1">
      <c r="A7462" s="2" t="s">
        <v>7462</v>
      </c>
      <c r="B7462" s="2" t="str">
        <f>IFERROR(__xludf.DUMMYFUNCTION("GOOGLETRANSLATE(A7462, ""en"", ""mt"")"),"Minħabba l-kumplessità tal-mediċini li jinkludu indikazzjonijiet speċifiċi, l-effikaċja ta 'reġimi ta' trattament, is-sigurtà tal-mediċini (i.e., l-interazzjonijiet tad-droga) u kwistjonijiet ta 'konformità tal-pazjent (fl-isptar u d-dar) ħafna spiżjara l"&amp;"i jipprattikaw fl-isptarijiet jiksbu aktar edukazzjoni u taħriġ wara l-Iskola tal-Ispiżerija Residenza ta 'prattika ta' l-ispiżerija u xi kultant segwita minn residenza oħra f'qasam speċifiku. Dawk l-ispiżjara huma spiss imsejħa spiżjara kliniċi u ħafna d"&amp;"rabi jispeċjalizzaw f'diversi dixxiplini ta 'l-ispiżerija. Pereżempju, hemm spiżjara li jispeċjalizzaw fl-ematoloġija / onkoloġija, HIV / AIDS, mard infettiv, kura kritika, mediċina ta 'emerġenza, tossikoloġija, spiżerija nukleari, ġestjoni tal-uġigħ, psi"&amp;"kjatrija, kliniċi anti-koagulazzjoni, mediċina tal-ħxejjex, ġestjoni tan-newroloġija / epilessija, pedjatrija , spiżjara tat-twelid u aktar.")</f>
        <v>Minħabba l-kumplessità tal-mediċini li jinkludu indikazzjonijiet speċifiċi, l-effikaċja ta 'reġimi ta' trattament, is-sigurtà tal-mediċini (i.e., l-interazzjonijiet tad-droga) u kwistjonijiet ta 'konformità tal-pazjent (fl-isptar u d-dar) ħafna spiżjara li jipprattikaw fl-isptarijiet jiksbu aktar edukazzjoni u taħriġ wara l-Iskola tal-Ispiżerija Residenza ta 'prattika ta' l-ispiżerija u xi kultant segwita minn residenza oħra f'qasam speċifiku. Dawk l-ispiżjara huma spiss imsejħa spiżjara kliniċi u ħafna drabi jispeċjalizzaw f'diversi dixxiplini ta 'l-ispiżerija. Pereżempju, hemm spiżjara li jispeċjalizzaw fl-ematoloġija / onkoloġija, HIV / AIDS, mard infettiv, kura kritika, mediċina ta 'emerġenza, tossikoloġija, spiżerija nukleari, ġestjoni tal-uġigħ, psikjatrija, kliniċi anti-koagulazzjoni, mediċina tal-ħxejjex, ġestjoni tan-newroloġija / epilessija, pedjatrija , spiżjara tat-twelid u aktar.</v>
      </c>
    </row>
    <row r="7463" ht="15.75" customHeight="1">
      <c r="A7463" s="2" t="s">
        <v>7463</v>
      </c>
      <c r="B7463" s="2" t="str">
        <f>IFERROR(__xludf.DUMMYFUNCTION("GOOGLETRANSLATE(A7463, ""en"", ""mt"")"),"Bħala riżultat, kloroplasti fiċ-ċelloli tal-mesofilla C4 u ċelloli tal-għant tal-qatta 'huma speċjalizzati għal kull stadju tal-fotosintesi. Fiċ-ċelloli tal-mesofilla, il-kloroplasti huma speċjalizzati għar-reazzjonijiet ħfief, u għalhekk m'għandhomx rubi"&amp;"sco, u għandhom grana u thylakoids normali, li huma jużaw biex jagħmlu ATP u NADPH, kif ukoll ossiġenu. Huma jaħżnu s-CO2 f'kompost b'erba 'karbonju, u huwa għalhekk li l-proċess jissejjaħ C4 fotosintesi. Il-kompost b'erba 'karbonju mbagħad jiġi ttrasport"&amp;"at lejn il-kloroplasti tal-għant tal-qatta', fejn jinżel CO2 u jerġa 'lura għall-mesofilla. Kloroplasti tal-għant tal-qatta 'ma jwettqux ir-reazzjonijiet tad-dawl, li jipprevjenu l-ossiġnu milli jibni fihom u jfixkel l-attività ta' Rubisco. Minħabba dan, "&amp;"huma nieqsa mit-tilakoids organizzati fi munzelli tal-grana - għalkemm il-kloroplasti tal-għant tal-qatta 'għad għandhom tilakoids li jżommu f'wiċċ l-ilma fl-istoma fejn għadhom iwettqu fluss ta' elettroni ċikliċi, metodu mmexxi mid-dawl ta 'sintetizza AT"&amp;"P biex iħaddem iċ-ċiklu ta' Calvin mingħajr ma jiġġenera ossiġnu - Huma nieqsa mill-fotosistema II, u għandhom biss il-fotosistema I - l-uniku kumpless tal-proteini meħtieġ għall-fluss tal-elettroni ċikliċi. Minħabba li x-xogħol ta 'kloroplasti tal-għant "&amp;"tal-qatta' huwa li jwettaq iċ-ċiklu ta 'Calvin u jagħmel iz-zokkor, ħafna drabi jkun fihom ħbub kbar tal-lamtu.")</f>
        <v>Bħala riżultat, kloroplasti fiċ-ċelloli tal-mesofilla C4 u ċelloli tal-għant tal-qatta 'huma speċjalizzati għal kull stadju tal-fotosintesi. Fiċ-ċelloli tal-mesofilla, il-kloroplasti huma speċjalizzati għar-reazzjonijiet ħfief, u għalhekk m'għandhomx rubisco, u għandhom grana u thylakoids normali, li huma jużaw biex jagħmlu ATP u NADPH, kif ukoll ossiġenu. Huma jaħżnu s-CO2 f'kompost b'erba 'karbonju, u huwa għalhekk li l-proċess jissejjaħ C4 fotosintesi. Il-kompost b'erba 'karbonju mbagħad jiġi ttrasportat lejn il-kloroplasti tal-għant tal-qatta', fejn jinżel CO2 u jerġa 'lura għall-mesofilla. Kloroplasti tal-għant tal-qatta 'ma jwettqux ir-reazzjonijiet tad-dawl, li jipprevjenu l-ossiġnu milli jibni fihom u jfixkel l-attività ta' Rubisco. Minħabba dan, huma nieqsa mit-tilakoids organizzati fi munzelli tal-grana - għalkemm il-kloroplasti tal-għant tal-qatta 'għad għandhom tilakoids li jżommu f'wiċċ l-ilma fl-istoma fejn għadhom iwettqu fluss ta' elettroni ċikliċi, metodu mmexxi mid-dawl ta 'sintetizza ATP biex iħaddem iċ-ċiklu ta' Calvin mingħajr ma jiġġenera ossiġnu - Huma nieqsa mill-fotosistema II, u għandhom biss il-fotosistema I - l-uniku kumpless tal-proteini meħtieġ għall-fluss tal-elettroni ċikliċi. Minħabba li x-xogħol ta 'kloroplasti tal-għant tal-qatta' huwa li jwettaq iċ-ċiklu ta 'Calvin u jagħmel iz-zokkor, ħafna drabi jkun fihom ħbub kbar tal-lamtu.</v>
      </c>
    </row>
    <row r="7464" ht="15.75" customHeight="1">
      <c r="A7464" s="2" t="s">
        <v>7464</v>
      </c>
      <c r="B7464" s="2" t="str">
        <f>IFERROR(__xludf.DUMMYFUNCTION("GOOGLETRANSLATE(A7464, ""en"", ""mt"")"),"Erba 'stejjer")</f>
        <v>Erba 'stejjer</v>
      </c>
    </row>
    <row r="7465" ht="15.75" customHeight="1">
      <c r="A7465" s="2" t="s">
        <v>7465</v>
      </c>
      <c r="B7465" s="2" t="str">
        <f>IFERROR(__xludf.DUMMYFUNCTION("GOOGLETRANSLATE(A7465, ""en"", ""mt"")"),"Dan ifisser li f'sistema magħluqa ta 'partiċelli, m'hemm l-ebda forzi interni li huma żbilanċjati. Jiġifieri, il-forza ta 'reazzjoni ta' azzjoni maqsuma bejn kwalunkwe żewġ oġġetti f'sistema magħluqa ma tikkawżax li ċ-ċentru tal-massa tas-sistema jaċċelle"&amp;"ra. L-oġġetti kostitwenti jaċċelleraw biss fir-rigward ta 'xulxin, is-sistema nnifisha tibqa' mhux aċċellerata. Alternattivament, jekk forza esterna taġixxi fis-sistema, allura ċ-ċentru tal-massa jesperjenza aċċelerazzjoni proporzjonali għall-kobor tal-fo"&amp;"rza esterna diviż bil-massa tas-sistema.")</f>
        <v>Dan ifisser li f'sistema magħluqa ta 'partiċelli, m'hemm l-ebda forzi interni li huma żbilanċjati. Jiġifieri, il-forza ta 'reazzjoni ta' azzjoni maqsuma bejn kwalunkwe żewġ oġġetti f'sistema magħluqa ma tikkawżax li ċ-ċentru tal-massa tas-sistema jaċċellera. L-oġġetti kostitwenti jaċċelleraw biss fir-rigward ta 'xulxin, is-sistema nnifisha tibqa' mhux aċċellerata. Alternattivament, jekk forza esterna taġixxi fis-sistema, allura ċ-ċentru tal-massa jesperjenza aċċelerazzjoni proporzjonali għall-kobor tal-forza esterna diviż bil-massa tas-sistema.</v>
      </c>
    </row>
    <row r="7466" ht="15.75" customHeight="1">
      <c r="A7466" s="2" t="s">
        <v>7466</v>
      </c>
      <c r="B7466" s="2" t="str">
        <f>IFERROR(__xludf.DUMMYFUNCTION("GOOGLETRANSLATE(A7466, ""en"", ""mt"")"),"Li kien sar sinjur u prosperu qabel l-1 Gwerra Dinjija")</f>
        <v>Li kien sar sinjur u prosperu qabel l-1 Gwerra Dinjija</v>
      </c>
    </row>
    <row r="7467" ht="15.75" customHeight="1">
      <c r="A7467" s="2" t="s">
        <v>7467</v>
      </c>
      <c r="B7467" s="2" t="str">
        <f>IFERROR(__xludf.DUMMYFUNCTION("GOOGLETRANSLATE(A7467, ""en"", ""mt"")"),"Ħong Kong fl-1894")</f>
        <v>Ħong Kong fl-1894</v>
      </c>
    </row>
    <row r="7468" ht="15.75" customHeight="1">
      <c r="A7468" s="2" t="s">
        <v>7468</v>
      </c>
      <c r="B7468" s="2" t="str">
        <f>IFERROR(__xludf.DUMMYFUNCTION("GOOGLETRANSLATE(A7468, ""en"", ""mt"")"),"Fejn ġew solvuti l-Amerikani tat-Tramuntana Franċiżi?")</f>
        <v>Fejn ġew solvuti l-Amerikani tat-Tramuntana Franċiżi?</v>
      </c>
    </row>
    <row r="7469" ht="15.75" customHeight="1">
      <c r="A7469" s="2" t="s">
        <v>7469</v>
      </c>
      <c r="B7469" s="2" t="str">
        <f>IFERROR(__xludf.DUMMYFUNCTION("GOOGLETRANSLATE(A7469, ""en"", ""mt"")"),"Shiphrah u Puah")</f>
        <v>Shiphrah u Puah</v>
      </c>
    </row>
    <row r="7470" ht="15.75" customHeight="1">
      <c r="A7470" s="2" t="s">
        <v>7470</v>
      </c>
      <c r="B7470" s="2" t="str">
        <f>IFERROR(__xludf.DUMMYFUNCTION("GOOGLETRANSLATE(A7470, ""en"", ""mt"")"),"Ilma tal-għalf tal-bojler bi pressjoni baxxa")</f>
        <v>Ilma tal-għalf tal-bojler bi pressjoni baxxa</v>
      </c>
    </row>
    <row r="7471" ht="15.75" customHeight="1">
      <c r="A7471" s="2" t="s">
        <v>7471</v>
      </c>
      <c r="B7471" s="2" t="str">
        <f>IFERROR(__xludf.DUMMYFUNCTION("GOOGLETRANSLATE(A7471, ""en"", ""mt"")"),"sat-tieni kwart tas-seklu 19")</f>
        <v>sat-tieni kwart tas-seklu 19</v>
      </c>
    </row>
    <row r="7472" ht="15.75" customHeight="1">
      <c r="A7472" s="2" t="s">
        <v>7472</v>
      </c>
      <c r="B7472" s="2" t="str">
        <f>IFERROR(__xludf.DUMMYFUNCTION("GOOGLETRANSLATE(A7472, ""en"", ""mt"")"),"il-massa tas-sistema")</f>
        <v>il-massa tas-sistema</v>
      </c>
    </row>
    <row r="7473" ht="15.75" customHeight="1">
      <c r="A7473" s="2" t="s">
        <v>7473</v>
      </c>
      <c r="B7473" s="2" t="str">
        <f>IFERROR(__xludf.DUMMYFUNCTION("GOOGLETRANSLATE(A7473, ""en"", ""mt"")"),"X'tagħmel ABC on Demand li ma jwarrabx għat-telespettaturi onlajn?")</f>
        <v>X'tagħmel ABC on Demand li ma jwarrabx għat-telespettaturi onlajn?</v>
      </c>
    </row>
    <row r="7474" ht="15.75" customHeight="1">
      <c r="A7474" s="2" t="s">
        <v>7474</v>
      </c>
      <c r="B7474" s="2" t="str">
        <f>IFERROR(__xludf.DUMMYFUNCTION("GOOGLETRANSLATE(A7474, ""en"", ""mt"")"),"Fejn huma tipikament il-kontijiet ġest fl-istadju 1?")</f>
        <v>Fejn huma tipikament il-kontijiet ġest fl-istadju 1?</v>
      </c>
    </row>
    <row r="7475" ht="15.75" customHeight="1">
      <c r="A7475" s="2" t="s">
        <v>7475</v>
      </c>
      <c r="B7475" s="2" t="str">
        <f>IFERROR(__xludf.DUMMYFUNCTION("GOOGLETRANSLATE(A7475, ""en"", ""mt"")"),"Il-ġenetika u l-influwenza ta 'ommu")</f>
        <v>Il-ġenetika u l-influwenza ta 'ommu</v>
      </c>
    </row>
    <row r="7476" ht="15.75" customHeight="1">
      <c r="A7476" s="2" t="s">
        <v>7476</v>
      </c>
      <c r="B7476" s="2" t="str">
        <f>IFERROR(__xludf.DUMMYFUNCTION("GOOGLETRANSLATE(A7476, ""en"", ""mt"")"),"rifjut li tħallas")</f>
        <v>rifjut li tħallas</v>
      </c>
    </row>
    <row r="7477" ht="15.75" customHeight="1">
      <c r="A7477" s="2" t="s">
        <v>7477</v>
      </c>
      <c r="B7477" s="2" t="str">
        <f>IFERROR(__xludf.DUMMYFUNCTION("GOOGLETRANSLATE(A7477, ""en"", ""mt"")"),"Sistema ta 'Dawl Ġdida")</f>
        <v>Sistema ta 'Dawl Ġdida</v>
      </c>
    </row>
    <row r="7478" ht="15.75" customHeight="1">
      <c r="A7478" s="2" t="s">
        <v>7478</v>
      </c>
      <c r="B7478" s="2" t="str">
        <f>IFERROR(__xludf.DUMMYFUNCTION("GOOGLETRANSLATE(A7478, ""en"", ""mt"")"),"L-esperimenti ta 'Colorado kienu ħejjew Tesla għall-istabbiliment tal-faċilità tat-telekomunikazzjoni bla fili trans-Atlantiċi magħrufa bħala Wardenclyffe qrib Shoreham, Long Island.")</f>
        <v>L-esperimenti ta 'Colorado kienu ħejjew Tesla għall-istabbiliment tal-faċilità tat-telekomunikazzjoni bla fili trans-Atlantiċi magħrufa bħala Wardenclyffe qrib Shoreham, Long Island.</v>
      </c>
    </row>
    <row r="7479" ht="15.75" customHeight="1">
      <c r="A7479" s="2" t="s">
        <v>7479</v>
      </c>
      <c r="B7479" s="2" t="str">
        <f>IFERROR(__xludf.DUMMYFUNCTION("GOOGLETRANSLATE(A7479, ""en"", ""mt"")"),"X'inhu l-isem ta 'struttura alġebrika li fiha huma definiti żieda, tnaqqis u multiplikazzjoni?")</f>
        <v>X'inhu l-isem ta 'struttura alġebrika li fiha huma definiti żieda, tnaqqis u multiplikazzjoni?</v>
      </c>
    </row>
    <row r="7480" ht="15.75" customHeight="1">
      <c r="A7480" s="2" t="s">
        <v>7480</v>
      </c>
      <c r="B7480" s="2" t="str">
        <f>IFERROR(__xludf.DUMMYFUNCTION("GOOGLETRANSLATE(A7480, ""en"", ""mt"")"),"Kardinali tal-Arizona")</f>
        <v>Kardinali tal-Arizona</v>
      </c>
    </row>
    <row r="7481" ht="15.75" customHeight="1">
      <c r="A7481" s="2" t="s">
        <v>7481</v>
      </c>
      <c r="B7481" s="2" t="str">
        <f>IFERROR(__xludf.DUMMYFUNCTION("GOOGLETRANSLATE(A7481, ""en"", ""mt"")"),"Il-kostruzzjoni ta 'awtostradi")</f>
        <v>Il-kostruzzjoni ta 'awtostradi</v>
      </c>
    </row>
    <row r="7482" ht="15.75" customHeight="1">
      <c r="A7482" s="2" t="s">
        <v>7482</v>
      </c>
      <c r="B7482" s="2" t="str">
        <f>IFERROR(__xludf.DUMMYFUNCTION("GOOGLETRANSLATE(A7482, ""en"", ""mt"")"),"Tnaqqis fil-baġit")</f>
        <v>Tnaqqis fil-baġit</v>
      </c>
    </row>
    <row r="7483" ht="15.75" customHeight="1">
      <c r="A7483" s="2" t="s">
        <v>7483</v>
      </c>
      <c r="B7483" s="2" t="str">
        <f>IFERROR(__xludf.DUMMYFUNCTION("GOOGLETRANSLATE(A7483, ""en"", ""mt"")"),"8 ta 'Frar, 1974")</f>
        <v>8 ta 'Frar, 1974</v>
      </c>
    </row>
    <row r="7484" ht="15.75" customHeight="1">
      <c r="A7484" s="2" t="s">
        <v>7484</v>
      </c>
      <c r="B7484" s="2" t="str">
        <f>IFERROR(__xludf.DUMMYFUNCTION("GOOGLETRANSLATE(A7484, ""en"", ""mt"")"),"Kloroplasti tal-glakofite")</f>
        <v>Kloroplasti tal-glakofite</v>
      </c>
    </row>
    <row r="7485" ht="15.75" customHeight="1">
      <c r="A7485" s="2" t="s">
        <v>7485</v>
      </c>
      <c r="B7485" s="2" t="str">
        <f>IFERROR(__xludf.DUMMYFUNCTION("GOOGLETRANSLATE(A7485, ""en"", ""mt"")"),"fil-fruntieri ta 'Varsavja")</f>
        <v>fil-fruntieri ta 'Varsavja</v>
      </c>
    </row>
    <row r="7486" ht="15.75" customHeight="1">
      <c r="A7486" s="2" t="s">
        <v>7486</v>
      </c>
      <c r="B7486" s="2" t="str">
        <f>IFERROR(__xludf.DUMMYFUNCTION("GOOGLETRANSLATE(A7486, ""en"", ""mt"")"),"sesswali")</f>
        <v>sesswali</v>
      </c>
    </row>
    <row r="7487" ht="15.75" customHeight="1">
      <c r="A7487" s="2" t="s">
        <v>7487</v>
      </c>
      <c r="B7487" s="2" t="str">
        <f>IFERROR(__xludf.DUMMYFUNCTION("GOOGLETRANSLATE(A7487, ""en"", ""mt"")"),"Tesla nnota l-perikli li jaħdem maċ-ċirkwit tiegħu u apparat li jipproduċi r-raġġi X wieħed. Fil-bosta noti tiegħu dwar l-investigazzjoni bikrija ta 'dan il-fenomenu, huwa attribwixxa l-ħsara fil-ġilda għal diversi kawżi. Huwa emmen kmieni fuq dik il-ħsar"&amp;"a lill-ġilda ma kienx ikkawżat mir-raġġi Roentgen, iżda mill-ożonu ġġenerat f'kuntatt mal-ġilda, u sa ċertu punt, mill-aċidu nitruż. Tesla ħaseb b'mod żbaljat li r-raġġi X kienu mewġ lonġitudinali, bħal dawk prodotti fil-mewġ fil-plażma. Dawn il-mewġ tal-"&amp;"plażma jistgħu jseħħu f'kampi manjetiċi ħielsa mill-forza.")</f>
        <v>Tesla nnota l-perikli li jaħdem maċ-ċirkwit tiegħu u apparat li jipproduċi r-raġġi X wieħed. Fil-bosta noti tiegħu dwar l-investigazzjoni bikrija ta 'dan il-fenomenu, huwa attribwixxa l-ħsara fil-ġilda għal diversi kawżi. Huwa emmen kmieni fuq dik il-ħsara lill-ġilda ma kienx ikkawżat mir-raġġi Roentgen, iżda mill-ożonu ġġenerat f'kuntatt mal-ġilda, u sa ċertu punt, mill-aċidu nitruż. Tesla ħaseb b'mod żbaljat li r-raġġi X kienu mewġ lonġitudinali, bħal dawk prodotti fil-mewġ fil-plażma. Dawn il-mewġ tal-plażma jistgħu jseħħu f'kampi manjetiċi ħielsa mill-forza.</v>
      </c>
    </row>
    <row r="7488" ht="15.75" customHeight="1">
      <c r="A7488" s="2" t="s">
        <v>7488</v>
      </c>
      <c r="B7488" s="2" t="str">
        <f>IFERROR(__xludf.DUMMYFUNCTION("GOOGLETRANSLATE(A7488, ""en"", ""mt"")"),"Fuq liema ġurnata kellha l-logħba?")</f>
        <v>Fuq liema ġurnata kellha l-logħba?</v>
      </c>
    </row>
    <row r="7489" ht="15.75" customHeight="1">
      <c r="A7489" s="2" t="s">
        <v>7489</v>
      </c>
      <c r="B7489" s="2" t="str">
        <f>IFERROR(__xludf.DUMMYFUNCTION("GOOGLETRANSLATE(A7489, ""en"", ""mt"")"),"Doctor Who - L-Avventura Ultima")</f>
        <v>Doctor Who - L-Avventura Ultima</v>
      </c>
    </row>
    <row r="7490" ht="15.75" customHeight="1">
      <c r="A7490" s="2" t="s">
        <v>7490</v>
      </c>
      <c r="B7490" s="2" t="str">
        <f>IFERROR(__xludf.DUMMYFUNCTION("GOOGLETRANSLATE(A7490, ""en"", ""mt"")"),"Skrivan tal-vot")</f>
        <v>Skrivan tal-vot</v>
      </c>
    </row>
    <row r="7491" ht="15.75" customHeight="1">
      <c r="A7491" s="2" t="s">
        <v>7491</v>
      </c>
      <c r="B7491" s="2" t="str">
        <f>IFERROR(__xludf.DUMMYFUNCTION("GOOGLETRANSLATE(A7491, ""en"", ""mt"")"),"professjonisti mħallsa")</f>
        <v>professjonisti mħallsa</v>
      </c>
    </row>
    <row r="7492" ht="15.75" customHeight="1">
      <c r="A7492" s="2" t="s">
        <v>7492</v>
      </c>
      <c r="B7492" s="2" t="str">
        <f>IFERROR(__xludf.DUMMYFUNCTION("GOOGLETRANSLATE(A7492, ""en"", ""mt"")"),"""Effiċjenza Distributtiva""")</f>
        <v>"Effiċjenza Distributtiva"</v>
      </c>
    </row>
    <row r="7493" ht="15.75" customHeight="1">
      <c r="A7493" s="2" t="s">
        <v>7493</v>
      </c>
      <c r="B7493" s="2" t="str">
        <f>IFERROR(__xludf.DUMMYFUNCTION("GOOGLETRANSLATE(A7493, ""en"", ""mt"")"),"Kif bdiet il-gwerra?")</f>
        <v>Kif bdiet il-gwerra?</v>
      </c>
    </row>
    <row r="7494" ht="15.75" customHeight="1">
      <c r="A7494" s="2" t="s">
        <v>7494</v>
      </c>
      <c r="B7494" s="2" t="str">
        <f>IFERROR(__xludf.DUMMYFUNCTION("GOOGLETRANSLATE(A7494, ""en"", ""mt"")"),"Art Tibetana minn liema perjodu hija rappreżentata fil-kollezzjoni V &amp; A?")</f>
        <v>Art Tibetana minn liema perjodu hija rappreżentata fil-kollezzjoni V &amp; A?</v>
      </c>
    </row>
    <row r="7495" ht="15.75" customHeight="1">
      <c r="A7495" s="2" t="s">
        <v>7495</v>
      </c>
      <c r="B7495" s="2" t="str">
        <f>IFERROR(__xludf.DUMMYFUNCTION("GOOGLETRANSLATE(A7495, ""en"", ""mt"")"),"Ma kienx sal-istaġun 1965-66 li l-kulur sar il-format dominanti għat-tliet netwerks tat-televiżjoni mxandra. ABC, intant, baqa 'fit-tielet post u xorta kellu bżonn flus biex jikber innifsu f'kompetitur ewlieni. Madankollu, il-kwistjonijiet ta 'ABC bit-tra"&amp;"nżizzjoni tagħha għall-kulur saru sekondarji meta mqabbla mal-problemi finanzjarji tan-netwerk; Fl-1964, in-netwerk sab ruħu, kif kiteb Goldenson aktar tard fil-ktieb tal-1991 ""Beat the Odds: The Untold Story Behind the Rise of ABC"", ""fin-nofs ta 'gwer"&amp;"ra [fejn] il-kamp tal-battalja kien Wall Street"". Bosta kumpaniji fittxew li jieħdu f'idejhom ABC, inklużi Norton Simon, General Electric, International Telephone and Telegraph u Litton Industries.")</f>
        <v>Ma kienx sal-istaġun 1965-66 li l-kulur sar il-format dominanti għat-tliet netwerks tat-televiżjoni mxandra. ABC, intant, baqa 'fit-tielet post u xorta kellu bżonn flus biex jikber innifsu f'kompetitur ewlieni. Madankollu, il-kwistjonijiet ta 'ABC bit-tranżizzjoni tagħha għall-kulur saru sekondarji meta mqabbla mal-problemi finanzjarji tan-netwerk; Fl-1964, in-netwerk sab ruħu, kif kiteb Goldenson aktar tard fil-ktieb tal-1991 "Beat the Odds: The Untold Story Behind the Rise of ABC", "fin-nofs ta 'gwerra [fejn] il-kamp tal-battalja kien Wall Street". Bosta kumpaniji fittxew li jieħdu f'idejhom ABC, inklużi Norton Simon, General Electric, International Telephone and Telegraph u Litton Industries.</v>
      </c>
    </row>
    <row r="7496" ht="15.75" customHeight="1">
      <c r="A7496" s="2" t="s">
        <v>7496</v>
      </c>
      <c r="B7496" s="2" t="str">
        <f>IFERROR(__xludf.DUMMYFUNCTION("GOOGLETRANSLATE(A7496, ""en"", ""mt"")"),"riċetturi ta 'rikonoxximent tal-mudelli")</f>
        <v>riċetturi ta 'rikonoxximent tal-mudelli</v>
      </c>
    </row>
    <row r="7497" ht="15.75" customHeight="1">
      <c r="A7497" s="2" t="s">
        <v>7497</v>
      </c>
      <c r="B7497" s="2" t="str">
        <f>IFERROR(__xludf.DUMMYFUNCTION("GOOGLETRANSLATE(A7497, ""en"", ""mt"")"),"il-konservattivi")</f>
        <v>il-konservattivi</v>
      </c>
    </row>
    <row r="7498" ht="15.75" customHeight="1">
      <c r="A7498" s="2" t="s">
        <v>7498</v>
      </c>
      <c r="B7498" s="2" t="str">
        <f>IFERROR(__xludf.DUMMYFUNCTION("GOOGLETRANSLATE(A7498, ""en"", ""mt"")"),"Sena waħda")</f>
        <v>Sena waħda</v>
      </c>
    </row>
    <row r="7499" ht="15.75" customHeight="1">
      <c r="A7499" s="2" t="s">
        <v>7499</v>
      </c>
      <c r="B7499" s="2" t="str">
        <f>IFERROR(__xludf.DUMMYFUNCTION("GOOGLETRANSLATE(A7499, ""en"", ""mt"")"),"Ir-Royal Geographic Society ta ’Londra u soċjetajiet ġeografiċi oħra fl-Ewropa kellhom influwenza kbira u setgħu jiffinanzjaw vjaġġaturi li kienu se jerġgħu lura bir-rakkonti tal-iskoperti tagħhom. Dawn is-soċjetajiet servew ukoll bħala spazju għall-vjaġġ"&amp;"aturi biex jaqsmu dawn l-istejjer. Ġeografi politiċi bħal Friedrich Ratzel tal-Ġermanja u Halford Mackinder tal-Gran Brittanja appoġġjaw ukoll l-imperjalizmu. Ratzel jemmen li l-espansjoni kienet meħtieġa għas-sopravivenza ta 'stat filwaqt li Mackinder ap"&amp;"poġġa l-espansjoni imperjali tal-Gran Brittanja; Dawn iż-żewġ argumenti ddominaw id-dixxiplina għal għexieren ta ’snin.")</f>
        <v>Ir-Royal Geographic Society ta ’Londra u soċjetajiet ġeografiċi oħra fl-Ewropa kellhom influwenza kbira u setgħu jiffinanzjaw vjaġġaturi li kienu se jerġgħu lura bir-rakkonti tal-iskoperti tagħhom. Dawn is-soċjetajiet servew ukoll bħala spazju għall-vjaġġaturi biex jaqsmu dawn l-istejjer. Ġeografi politiċi bħal Friedrich Ratzel tal-Ġermanja u Halford Mackinder tal-Gran Brittanja appoġġjaw ukoll l-imperjalizmu. Ratzel jemmen li l-espansjoni kienet meħtieġa għas-sopravivenza ta 'stat filwaqt li Mackinder appoġġa l-espansjoni imperjali tal-Gran Brittanja; Dawn iż-żewġ argumenti ddominaw id-dixxiplina għal għexieren ta ’snin.</v>
      </c>
    </row>
    <row r="7500" ht="15.75" customHeight="1">
      <c r="A7500" s="2" t="s">
        <v>7500</v>
      </c>
      <c r="B7500" s="2" t="str">
        <f>IFERROR(__xludf.DUMMYFUNCTION("GOOGLETRANSLATE(A7500, ""en"", ""mt"")"),"X’kienu kkontrollati r-raġuni tal-Qorti tal-Ġustizzja fl-Istati Membri kollha f’Josemans v Burgemeester van Maastricht?")</f>
        <v>X’kienu kkontrollati r-raġuni tal-Qorti tal-Ġustizzja fl-Istati Membri kollha f’Josemans v Burgemeester van Maastricht?</v>
      </c>
    </row>
    <row r="7501" ht="15.75" customHeight="1">
      <c r="A7501" s="2" t="s">
        <v>7501</v>
      </c>
      <c r="B7501" s="2" t="str">
        <f>IFERROR(__xludf.DUMMYFUNCTION("GOOGLETRANSLATE(A7501, ""en"", ""mt"")"),"Kemm iddum l-invażjoni tal-Lvant Nofsani sabiex tiżviluppa riżorsi rinnovabbli?")</f>
        <v>Kemm iddum l-invażjoni tal-Lvant Nofsani sabiex tiżviluppa riżorsi rinnovabbli?</v>
      </c>
    </row>
    <row r="7502" ht="15.75" customHeight="1">
      <c r="A7502" s="2" t="s">
        <v>7502</v>
      </c>
      <c r="B7502" s="2" t="str">
        <f>IFERROR(__xludf.DUMMYFUNCTION("GOOGLETRANSLATE(A7502, ""en"", ""mt"")"),"Inqas minn $ 1,000")</f>
        <v>Inqas minn $ 1,000</v>
      </c>
    </row>
    <row r="7503" ht="15.75" customHeight="1">
      <c r="A7503" s="2" t="s">
        <v>7503</v>
      </c>
      <c r="B7503" s="2" t="str">
        <f>IFERROR(__xludf.DUMMYFUNCTION("GOOGLETRANSLATE(A7503, ""en"", ""mt"")"),"Ir-Rebellion Turban Red")</f>
        <v>Ir-Rebellion Turban Red</v>
      </c>
    </row>
    <row r="7504" ht="15.75" customHeight="1">
      <c r="A7504" s="2" t="s">
        <v>7504</v>
      </c>
      <c r="B7504" s="2" t="str">
        <f>IFERROR(__xludf.DUMMYFUNCTION("GOOGLETRANSLATE(A7504, ""en"", ""mt"")"),"Trasformazzjoni Galiljana")</f>
        <v>Trasformazzjoni Galiljana</v>
      </c>
    </row>
    <row r="7505" ht="15.75" customHeight="1">
      <c r="A7505" s="2" t="s">
        <v>7505</v>
      </c>
      <c r="B7505" s="2" t="str">
        <f>IFERROR(__xludf.DUMMYFUNCTION("GOOGLETRANSLATE(A7505, ""en"", ""mt"")"),"b'saħħtu")</f>
        <v>b'saħħtu</v>
      </c>
    </row>
    <row r="7506" ht="15.75" customHeight="1">
      <c r="A7506" s="2" t="s">
        <v>7506</v>
      </c>
      <c r="B7506" s="2" t="str">
        <f>IFERROR(__xludf.DUMMYFUNCTION("GOOGLETRANSLATE(A7506, ""en"", ""mt"")"),"Żwiġijiet tal-istess sess")</f>
        <v>Żwiġijiet tal-istess sess</v>
      </c>
    </row>
    <row r="7507" ht="15.75" customHeight="1">
      <c r="A7507" s="2" t="s">
        <v>7507</v>
      </c>
      <c r="B7507" s="2" t="str">
        <f>IFERROR(__xludf.DUMMYFUNCTION("GOOGLETRANSLATE(A7507, ""en"", ""mt"")"),"Kif ir-revoka rrestrinġiet l-ivvjaġġar Huguenot?")</f>
        <v>Kif ir-revoka rrestrinġiet l-ivvjaġġar Huguenot?</v>
      </c>
    </row>
    <row r="7508" ht="15.75" customHeight="1">
      <c r="A7508" s="2" t="s">
        <v>7508</v>
      </c>
      <c r="B7508" s="2" t="str">
        <f>IFERROR(__xludf.DUMMYFUNCTION("GOOGLETRANSLATE(A7508, ""en"", ""mt"")"),"X'għandu pprovda l-modulu Lunar biex jgħin id-dar Apollo 13 mingħajr periklu?")</f>
        <v>X'għandu pprovda l-modulu Lunar biex jgħin id-dar Apollo 13 mingħajr periklu?</v>
      </c>
    </row>
    <row r="7509" ht="15.75" customHeight="1">
      <c r="A7509" s="2" t="s">
        <v>7509</v>
      </c>
      <c r="B7509" s="2" t="str">
        <f>IFERROR(__xludf.DUMMYFUNCTION("GOOGLETRANSLATE(A7509, ""en"", ""mt"")"),"L-użu tal-isem ma kienx korrett Dawn is-servizzi kollha ġew ġestiti mill-istess nies fi ħdan id-dipartiment tal-KPN ikkontribwew għall-konfużjoni")</f>
        <v>L-użu tal-isem ma kienx korrett Dawn is-servizzi kollha ġew ġestiti mill-istess nies fi ħdan id-dipartiment tal-KPN ikkontribwew għall-konfużjoni</v>
      </c>
    </row>
    <row r="7510" ht="15.75" customHeight="1">
      <c r="A7510" s="2" t="s">
        <v>7510</v>
      </c>
      <c r="B7510" s="2" t="str">
        <f>IFERROR(__xludf.DUMMYFUNCTION("GOOGLETRANSLATE(A7510, ""en"", ""mt"")"),"Rivoluzzjoni Dinjija.")</f>
        <v>Rivoluzzjoni Dinjija.</v>
      </c>
    </row>
    <row r="7511" ht="15.75" customHeight="1">
      <c r="A7511" s="2" t="s">
        <v>7511</v>
      </c>
      <c r="B7511" s="2" t="str">
        <f>IFERROR(__xludf.DUMMYFUNCTION("GOOGLETRANSLATE(A7511, ""en"", ""mt"")"),"40,000 lira (18,100 kg)")</f>
        <v>40,000 lira (18,100 kg)</v>
      </c>
    </row>
    <row r="7512" ht="15.75" customHeight="1">
      <c r="A7512" s="2" t="s">
        <v>7512</v>
      </c>
      <c r="B7512" s="2" t="str">
        <f>IFERROR(__xludf.DUMMYFUNCTION("GOOGLETRANSLATE(A7512, ""en"", ""mt"")"),"X'kien ix-xogħol ta 'Brown?")</f>
        <v>X'kien ix-xogħol ta 'Brown?</v>
      </c>
    </row>
    <row r="7513" ht="15.75" customHeight="1">
      <c r="A7513" s="2" t="s">
        <v>7513</v>
      </c>
      <c r="B7513" s="2" t="str">
        <f>IFERROR(__xludf.DUMMYFUNCTION("GOOGLETRANSLATE(A7513, ""en"", ""mt"")"),"Kemm awturi ewlenin għandu kapitolu ta 'rapport tal-IPCC?")</f>
        <v>Kemm awturi ewlenin għandu kapitolu ta 'rapport tal-IPCC?</v>
      </c>
    </row>
    <row r="7514" ht="15.75" customHeight="1">
      <c r="A7514" s="2" t="s">
        <v>7514</v>
      </c>
      <c r="B7514" s="2" t="str">
        <f>IFERROR(__xludf.DUMMYFUNCTION("GOOGLETRANSLATE(A7514, ""en"", ""mt"")"),"L-żieda għall-poter ta 'Adolf Hitler")</f>
        <v>L-żieda għall-poter ta 'Adolf Hitler</v>
      </c>
    </row>
    <row r="7515" ht="15.75" customHeight="1">
      <c r="A7515" s="2" t="s">
        <v>7515</v>
      </c>
      <c r="B7515" s="2" t="str">
        <f>IFERROR(__xludf.DUMMYFUNCTION("GOOGLETRANSLATE(A7515, ""en"", ""mt"")"),"kunċett ta 'swiċċjar ta' blokka ta 'messaġġi adattivi distribwiti")</f>
        <v>kunċett ta 'swiċċjar ta' blokka ta 'messaġġi adattivi distribwiti</v>
      </c>
    </row>
    <row r="7516" ht="15.75" customHeight="1">
      <c r="A7516" s="2" t="s">
        <v>7516</v>
      </c>
      <c r="B7516" s="2" t="str">
        <f>IFERROR(__xludf.DUMMYFUNCTION("GOOGLETRANSLATE(A7516, ""en"", ""mt"")"),"X'tip ta 'teatru jidhru l-kwartieri?")</f>
        <v>X'tip ta 'teatru jidhru l-kwartieri?</v>
      </c>
    </row>
    <row r="7517" ht="15.75" customHeight="1">
      <c r="A7517" s="2" t="s">
        <v>7517</v>
      </c>
      <c r="B7517" s="2" t="str">
        <f>IFERROR(__xludf.DUMMYFUNCTION("GOOGLETRANSLATE(A7517, ""en"", ""mt"")"),"Dawl elettriku")</f>
        <v>Dawl elettriku</v>
      </c>
    </row>
    <row r="7518" ht="15.75" customHeight="1">
      <c r="A7518" s="2" t="s">
        <v>7518</v>
      </c>
      <c r="B7518" s="2" t="str">
        <f>IFERROR(__xludf.DUMMYFUNCTION("GOOGLETRANSLATE(A7518, ""en"", ""mt"")"),"1963 sal-1989")</f>
        <v>1963 sal-1989</v>
      </c>
    </row>
    <row r="7519" ht="15.75" customHeight="1">
      <c r="A7519" s="2" t="s">
        <v>7519</v>
      </c>
      <c r="B7519" s="2" t="str">
        <f>IFERROR(__xludf.DUMMYFUNCTION("GOOGLETRANSLATE(A7519, ""en"", ""mt"")"),"X'kien iffurmat biex jintroduċi bidliet li jirriflettu s-sovranità tan-nazzjon?")</f>
        <v>X'kien iffurmat biex jintroduċi bidliet li jirriflettu s-sovranità tan-nazzjon?</v>
      </c>
    </row>
    <row r="7520" ht="15.75" customHeight="1">
      <c r="A7520" s="2" t="s">
        <v>7520</v>
      </c>
      <c r="B7520" s="2" t="str">
        <f>IFERROR(__xludf.DUMMYFUNCTION("GOOGLETRANSLATE(A7520, ""en"", ""mt"")"),"8.10 p.m.")</f>
        <v>8.10 p.m.</v>
      </c>
    </row>
    <row r="7521" ht="15.75" customHeight="1">
      <c r="A7521" s="2" t="s">
        <v>7521</v>
      </c>
      <c r="B7521" s="2" t="str">
        <f>IFERROR(__xludf.DUMMYFUNCTION("GOOGLETRANSLATE(A7521, ""en"", ""mt"")"),"kloroplast b'żewġ membrani")</f>
        <v>kloroplast b'żewġ membrani</v>
      </c>
    </row>
    <row r="7522" ht="15.75" customHeight="1">
      <c r="A7522" s="2" t="s">
        <v>7522</v>
      </c>
      <c r="B7522" s="2" t="str">
        <f>IFERROR(__xludf.DUMMYFUNCTION("GOOGLETRANSLATE(A7522, ""en"", ""mt"")"),"1 miljun")</f>
        <v>1 miljun</v>
      </c>
    </row>
    <row r="7523" ht="15.75" customHeight="1">
      <c r="A7523" s="2" t="s">
        <v>7523</v>
      </c>
      <c r="B7523" s="2" t="str">
        <f>IFERROR(__xludf.DUMMYFUNCTION("GOOGLETRANSLATE(A7523, ""en"", ""mt"")"),"argumenta kontra li tirreżisti")</f>
        <v>argumenta kontra li tirreżisti</v>
      </c>
    </row>
    <row r="7524" ht="15.75" customHeight="1">
      <c r="A7524" s="2" t="s">
        <v>7524</v>
      </c>
      <c r="B7524" s="2" t="str">
        <f>IFERROR(__xludf.DUMMYFUNCTION("GOOGLETRANSLATE(A7524, ""en"", ""mt"")"),"Id-deforestazzjoni naqset")</f>
        <v>Id-deforestazzjoni naqset</v>
      </c>
    </row>
    <row r="7525" ht="15.75" customHeight="1">
      <c r="A7525" s="2" t="s">
        <v>7525</v>
      </c>
      <c r="B7525" s="2" t="str">
        <f>IFERROR(__xludf.DUMMYFUNCTION("GOOGLETRANSLATE(A7525, ""en"", ""mt"")"),"""Kapitolu Soċjali""")</f>
        <v>"Kapitolu Soċjali"</v>
      </c>
    </row>
    <row r="7526" ht="15.75" customHeight="1">
      <c r="A7526" s="2" t="s">
        <v>7526</v>
      </c>
      <c r="B7526" s="2" t="str">
        <f>IFERROR(__xludf.DUMMYFUNCTION("GOOGLETRANSLATE(A7526, ""en"", ""mt"")"),"Ftit ħin biss")</f>
        <v>Ftit ħin biss</v>
      </c>
    </row>
    <row r="7527" ht="15.75" customHeight="1">
      <c r="A7527" s="2" t="s">
        <v>7527</v>
      </c>
      <c r="B7527" s="2" t="str">
        <f>IFERROR(__xludf.DUMMYFUNCTION("GOOGLETRANSLATE(A7527, ""en"", ""mt"")"),"Vuċi fid-deżert")</f>
        <v>Vuċi fid-deżert</v>
      </c>
    </row>
    <row r="7528" ht="15.75" customHeight="1">
      <c r="A7528" s="2" t="s">
        <v>7528</v>
      </c>
      <c r="B7528" s="2" t="str">
        <f>IFERROR(__xludf.DUMMYFUNCTION("GOOGLETRANSLATE(A7528, ""en"", ""mt"")"),"Liema korp fl-Indja jipprovdi direzzjonijiet ta 'politika lill-iskejjel?")</f>
        <v>Liema korp fl-Indja jipprovdi direzzjonijiet ta 'politika lill-iskejjel?</v>
      </c>
    </row>
    <row r="7529" ht="15.75" customHeight="1">
      <c r="A7529" s="2" t="s">
        <v>7529</v>
      </c>
      <c r="B7529" s="2" t="str">
        <f>IFERROR(__xludf.DUMMYFUNCTION("GOOGLETRANSLATE(A7529, ""en"", ""mt"")"),"X'kienet il-lavoisier li l-arja kienet tilfet daqskemm kienet kisbet il-landa")</f>
        <v>X'kienet il-lavoisier li l-arja kienet tilfet daqskemm kienet kisbet il-landa</v>
      </c>
    </row>
    <row r="7530" ht="15.75" customHeight="1">
      <c r="A7530" s="2" t="s">
        <v>7530</v>
      </c>
      <c r="B7530" s="2" t="str">
        <f>IFERROR(__xludf.DUMMYFUNCTION("GOOGLETRANSLATE(A7530, ""en"", ""mt"")"),"wirjiet tad-ditektif")</f>
        <v>wirjiet tad-ditektif</v>
      </c>
    </row>
    <row r="7531" ht="15.75" customHeight="1">
      <c r="A7531" s="2" t="s">
        <v>7531</v>
      </c>
      <c r="B7531" s="2" t="str">
        <f>IFERROR(__xludf.DUMMYFUNCTION("GOOGLETRANSLATE(A7531, ""en"", ""mt"")"),"34 miljun sena")</f>
        <v>34 miljun sena</v>
      </c>
    </row>
    <row r="7532" ht="15.75" customHeight="1">
      <c r="A7532" s="2" t="s">
        <v>7532</v>
      </c>
      <c r="B7532" s="2" t="str">
        <f>IFERROR(__xludf.DUMMYFUNCTION("GOOGLETRANSLATE(A7532, ""en"", ""mt"")"),"Is-Sultan Muhammad kien diġà mejjet fl-1223")</f>
        <v>Is-Sultan Muhammad kien diġà mejjet fl-1223</v>
      </c>
    </row>
    <row r="7533" ht="15.75" customHeight="1">
      <c r="A7533" s="2" t="s">
        <v>7533</v>
      </c>
      <c r="B7533" s="2" t="str">
        <f>IFERROR(__xludf.DUMMYFUNCTION("GOOGLETRANSLATE(A7533, ""en"", ""mt"")"),"Meta kienet kompluta l-porzjon Ewropew tas-seba 'snin tal-gwerra?")</f>
        <v>Meta kienet kompluta l-porzjon Ewropew tas-seba 'snin tal-gwerra?</v>
      </c>
    </row>
    <row r="7534" ht="15.75" customHeight="1">
      <c r="A7534" s="2" t="s">
        <v>7534</v>
      </c>
      <c r="B7534" s="2" t="str">
        <f>IFERROR(__xludf.DUMMYFUNCTION("GOOGLETRANSLATE(A7534, ""en"", ""mt"")"),"Fejn tista 'ssib aktar informazzjoni dwar il-prattiki ta' pajjiż?")</f>
        <v>Fejn tista 'ssib aktar informazzjoni dwar il-prattiki ta' pajjiż?</v>
      </c>
    </row>
    <row r="7535" ht="15.75" customHeight="1">
      <c r="A7535" s="2" t="s">
        <v>7535</v>
      </c>
      <c r="B7535" s="2" t="str">
        <f>IFERROR(__xludf.DUMMYFUNCTION("GOOGLETRANSLATE(A7535, ""en"", ""mt"")"),"Engineering News-Record (ENR) hija rivista kummerċjali għall-industrija tal-kostruzzjoni. Kull sena, ENR tikkompila u tirrapporta dwar dejta dwar id-daqs tal-kumpaniji tad-disinn u tal-kostruzzjoni. Huma jippubblikaw lista tal-ikbar kumpaniji fl-Istati Un"&amp;"iti (top-40) u wkoll lista tal-akbar ditti globali (l-aqwa 250, skont l-ammont ta ’xogħol li qed jagħmlu barra minn pajjiżhom). Fl-2014, ENR ġabret id-dejta f'disa 'segmenti tas-suq. Kien maqsum bħala trasport, pitrolju, bini, enerġija, industrijali, ilma"&amp;", manifattura, drenaġġ / skart, telekomunikazzjoni, skart perikoluż flimkien ma 'għaxar kategorija għal proġetti oħra. Fir-rappurtar tagħhom fuq l-aqwa 400, huma użaw dejta dwar it-trasport, id-drenaġġ, l-iskart perikoluż u l-ilma biex jikklassifikaw ditt"&amp;"i bħala kuntratturi tqal.")</f>
        <v>Engineering News-Record (ENR) hija rivista kummerċjali għall-industrija tal-kostruzzjoni. Kull sena, ENR tikkompila u tirrapporta dwar dejta dwar id-daqs tal-kumpaniji tad-disinn u tal-kostruzzjoni. Huma jippubblikaw lista tal-ikbar kumpaniji fl-Istati Uniti (top-40) u wkoll lista tal-akbar ditti globali (l-aqwa 250, skont l-ammont ta ’xogħol li qed jagħmlu barra minn pajjiżhom). Fl-2014, ENR ġabret id-dejta f'disa 'segmenti tas-suq. Kien maqsum bħala trasport, pitrolju, bini, enerġija, industrijali, ilma, manifattura, drenaġġ / skart, telekomunikazzjoni, skart perikoluż flimkien ma 'għaxar kategorija għal proġetti oħra. Fir-rappurtar tagħhom fuq l-aqwa 400, huma użaw dejta dwar it-trasport, id-drenaġġ, l-iskart perikoluż u l-ilma biex jikklassifikaw ditti bħala kuntratturi tqal.</v>
      </c>
    </row>
    <row r="7536" ht="15.75" customHeight="1">
      <c r="A7536" s="2" t="s">
        <v>7536</v>
      </c>
      <c r="B7536" s="2" t="str">
        <f>IFERROR(__xludf.DUMMYFUNCTION("GOOGLETRANSLATE(A7536, ""en"", ""mt"")"),"Liema traduzzjoni ta 'Luther għadha tintuża sal-lum?")</f>
        <v>Liema traduzzjoni ta 'Luther għadha tintuża sal-lum?</v>
      </c>
    </row>
    <row r="7537" ht="15.75" customHeight="1">
      <c r="A7537" s="2" t="s">
        <v>7537</v>
      </c>
      <c r="B7537" s="2" t="str">
        <f>IFERROR(__xludf.DUMMYFUNCTION("GOOGLETRANSLATE(A7537, ""en"", ""mt"")"),"f'żoni li qed jiġu deformati b'mod attiv")</f>
        <v>f'żoni li qed jiġu deformati b'mod attiv</v>
      </c>
    </row>
    <row r="7538" ht="15.75" customHeight="1">
      <c r="A7538" s="2" t="s">
        <v>7538</v>
      </c>
      <c r="B7538" s="2" t="str">
        <f>IFERROR(__xludf.DUMMYFUNCTION("GOOGLETRANSLATE(A7538, ""en"", ""mt"")"),"Botanika u Kimika")</f>
        <v>Botanika u Kimika</v>
      </c>
    </row>
    <row r="7539" ht="15.75" customHeight="1">
      <c r="A7539" s="2" t="s">
        <v>7539</v>
      </c>
      <c r="B7539" s="2" t="str">
        <f>IFERROR(__xludf.DUMMYFUNCTION("GOOGLETRANSLATE(A7539, ""en"", ""mt"")"),"Kolonja tal-Kap Olandiża")</f>
        <v>Kolonja tal-Kap Olandiża</v>
      </c>
    </row>
    <row r="7540" ht="15.75" customHeight="1">
      <c r="A7540" s="2" t="s">
        <v>7540</v>
      </c>
      <c r="B7540" s="2" t="str">
        <f>IFERROR(__xludf.DUMMYFUNCTION("GOOGLETRANSLATE(A7540, ""en"", ""mt"")"),"Reġjun tal-Fruntiera tan-Nofsinhar")</f>
        <v>Reġjun tal-Fruntiera tan-Nofsinhar</v>
      </c>
    </row>
    <row r="7541" ht="15.75" customHeight="1">
      <c r="A7541" s="2" t="s">
        <v>7541</v>
      </c>
      <c r="B7541" s="2" t="str">
        <f>IFERROR(__xludf.DUMMYFUNCTION("GOOGLETRANSLATE(A7541, ""en"", ""mt"")"),"X’għamel Martin Luther matul l-1510 sal-1520?")</f>
        <v>X’għamel Martin Luther matul l-1510 sal-1520?</v>
      </c>
    </row>
    <row r="7542" ht="15.75" customHeight="1">
      <c r="A7542" s="2" t="s">
        <v>7542</v>
      </c>
      <c r="B7542" s="2" t="str">
        <f>IFERROR(__xludf.DUMMYFUNCTION("GOOGLETRANSLATE(A7542, ""en"", ""mt"")"),"Problemi intermedji NP")</f>
        <v>Problemi intermedji NP</v>
      </c>
    </row>
    <row r="7543" ht="15.75" customHeight="1">
      <c r="A7543" s="2" t="s">
        <v>7543</v>
      </c>
      <c r="B7543" s="2" t="str">
        <f>IFERROR(__xludf.DUMMYFUNCTION("GOOGLETRANSLATE(A7543, ""en"", ""mt"")"),"Martin Luther (/ ˈluːθər / jew / ˈluːðər /; Ġermaniż: [ˈmaɐ̯tiːn ˈlʊtɐ] (Isma); 10 ta ’Novembru 1483 - 18 ta’ Frar 1546) kien professur Ġermaniż tat-teoloġija, kompożitur, kompożitur, saċerdot, saċerdot, ex-monk u figura seminali fir-riformazzjoni Protest"&amp;"anti - Luther wasal biex jirrifjuta diversi tagħlim u prattiki tal-knisja Kattolika Medjevali tard. Huwa kkontesta bil-qawwa t-talba li l-ħelsien mill-kastig ta 'Alla għad-dnub jista' jinxtara bil-flus. Huwa ppropona diskussjoni akkademika dwar il-poter u"&amp;" l-utilità tal-indulġenzi fil-ħamsa u disgħin teżi tiegħu tal-1517. Ir-rifjut tiegħu li jirtira l-kitbiet kollha tiegħu fuq it-talba tal-Papa Leo X fl-1520 u l-Imperatur Ruman qaddis Charles V fid-dieta tad-dud Fl-1521 irriżulta fl-exkomunikazzjoni tiegħu"&amp;" mill-Papa u l-kundanna bħala illegali mill-Imperatur.")</f>
        <v>Martin Luther (/ ˈluːθər / jew / ˈluːðər /; Ġermaniż: [ˈmaɐ̯tiːn ˈlʊtɐ] (Isma); 10 ta ’Novembru 1483 - 18 ta’ Frar 1546) kien professur Ġermaniż tat-teoloġija, kompożitur, kompożitur, saċerdot, saċerdot, ex-monk u figura seminali fir-riformazzjoni Protestanti - Luther wasal biex jirrifjuta diversi tagħlim u prattiki tal-knisja Kattolika Medjevali tard. Huwa kkontesta bil-qawwa t-talba li l-ħelsien mill-kastig ta 'Alla għad-dnub jista' jinxtara bil-flus. Huwa ppropona diskussjoni akkademika dwar il-poter u l-utilità tal-indulġenzi fil-ħamsa u disgħin teżi tiegħu tal-1517. Ir-rifjut tiegħu li jirtira l-kitbiet kollha tiegħu fuq it-talba tal-Papa Leo X fl-1520 u l-Imperatur Ruman qaddis Charles V fid-dieta tad-dud Fl-1521 irriżulta fl-exkomunikazzjoni tiegħu mill-Papa u l-kundanna bħala illegali mill-Imperatur.</v>
      </c>
    </row>
    <row r="7544" ht="15.75" customHeight="1">
      <c r="A7544" s="2" t="s">
        <v>7544</v>
      </c>
      <c r="B7544" s="2" t="str">
        <f>IFERROR(__xludf.DUMMYFUNCTION("GOOGLETRANSLATE(A7544, ""en"", ""mt"")"),"kon")</f>
        <v>kon</v>
      </c>
    </row>
    <row r="7545" ht="15.75" customHeight="1">
      <c r="A7545" s="2" t="s">
        <v>7545</v>
      </c>
      <c r="B7545" s="2" t="str">
        <f>IFERROR(__xludf.DUMMYFUNCTION("GOOGLETRANSLATE(A7545, ""en"", ""mt"")"),"Ħafna art u akkomodazzjoni")</f>
        <v>Ħafna art u akkomodazzjoni</v>
      </c>
    </row>
    <row r="7546" ht="15.75" customHeight="1">
      <c r="A7546" s="2" t="s">
        <v>7546</v>
      </c>
      <c r="B7546" s="2" t="str">
        <f>IFERROR(__xludf.DUMMYFUNCTION("GOOGLETRANSLATE(A7546, ""en"", ""mt"")"),"F'liema lingwa d-deportazzjoni ESPN xandret il-logħba?")</f>
        <v>F'liema lingwa d-deportazzjoni ESPN xandret il-logħba?</v>
      </c>
    </row>
    <row r="7547" ht="15.75" customHeight="1">
      <c r="A7547" s="2" t="s">
        <v>7547</v>
      </c>
      <c r="B7547" s="2" t="str">
        <f>IFERROR(__xludf.DUMMYFUNCTION("GOOGLETRANSLATE(A7547, ""en"", ""mt"")"),"Kieku kellek tieħu ferrovija lejn il-punent jew in-nofsinhar barra mill-belt ta 'Fresno, liema ferrovija tieħu?")</f>
        <v>Kieku kellek tieħu ferrovija lejn il-punent jew in-nofsinhar barra mill-belt ta 'Fresno, liema ferrovija tieħu?</v>
      </c>
    </row>
    <row r="7548" ht="15.75" customHeight="1">
      <c r="A7548" s="2" t="s">
        <v>7548</v>
      </c>
      <c r="B7548" s="2" t="str">
        <f>IFERROR(__xludf.DUMMYFUNCTION("GOOGLETRANSLATE(A7548, ""en"", ""mt"")"),"Meta jkun mitluf wieħed")</f>
        <v>Meta jkun mitluf wieħed</v>
      </c>
    </row>
    <row r="7549" ht="15.75" customHeight="1">
      <c r="A7549" s="2" t="s">
        <v>7549</v>
      </c>
      <c r="B7549" s="2" t="str">
        <f>IFERROR(__xludf.DUMMYFUNCTION("GOOGLETRANSLATE(A7549, ""en"", ""mt"")"),"Ikkastiga lin-nies ta 'Miami ta' Pickawillany talli ma segwewx l-ordnijiet ta 'Céloron")</f>
        <v>Ikkastiga lin-nies ta 'Miami ta' Pickawillany talli ma segwewx l-ordnijiet ta 'Céloron</v>
      </c>
    </row>
    <row r="7550" ht="15.75" customHeight="1">
      <c r="A7550" s="2" t="s">
        <v>7550</v>
      </c>
      <c r="B7550" s="2" t="str">
        <f>IFERROR(__xludf.DUMMYFUNCTION("GOOGLETRANSLATE(A7550, ""en"", ""mt"")"),"X'inhi laqgħa annwali tal-uffiċjali kollha tal-knisja u xi membri interessati?")</f>
        <v>X'inhi laqgħa annwali tal-uffiċjali kollha tal-knisja u xi membri interessati?</v>
      </c>
    </row>
    <row r="7551" ht="15.75" customHeight="1">
      <c r="A7551" s="2" t="s">
        <v>7551</v>
      </c>
      <c r="B7551" s="2" t="str">
        <f>IFERROR(__xludf.DUMMYFUNCTION("GOOGLETRANSLATE(A7551, ""en"", ""mt"")"),"Liema liġi Ingliża għamlet lil dak il-pajjiż aktar milqugħ lil Huguenots?")</f>
        <v>Liema liġi Ingliża għamlet lil dak il-pajjiż aktar milqugħ lil Huguenots?</v>
      </c>
    </row>
    <row r="7552" ht="15.75" customHeight="1">
      <c r="A7552" s="2" t="s">
        <v>7552</v>
      </c>
      <c r="B7552" s="2" t="str">
        <f>IFERROR(__xludf.DUMMYFUNCTION("GOOGLETRANSLATE(A7552, ""en"", ""mt"")"),"Il-konservazzjoni hija responsabbli għall-preservazzjoni fit-tul tal-kollezzjonijiet, u tkopri l-kollezzjonijiet kollha miżmuma mill-V &amp; A u l-V &amp; A Museum of Childhood. Il-konservaturi jispeċjalizzaw f'oqsma partikolari ta 'konservazzjoni. Iż-żoni kopert"&amp;"i mill-ħidma tal-konservatur jinkludu konservazzjoni ""preventiva"" li tinkludi: twettiq ta 'stħarriġ, valutazzjonijiet u provvista ta' pariri dwar l-immaniġġjar ta 'oġġetti, ippakkjar korrett, immuntar u immaniġġjar proċeduri waqt il-moviment u l-wiri bi"&amp;"ex tnaqqas ir-riskju ta' oġġetti li jagħmlu ħsara. L-attivitajiet jinkludu l-kontroll tal-ambjent tal-mużew (per eżempju, temperatura u dawl) u l-prevenzjoni ta 'pesti (primarjament insetti) milli jagħmlu ħsara lill-artefatti. Il-kategorija ewlenija l-oħr"&amp;"a hija konservazzjoni ""interventiva"", dan jinkludi: tindif u integrazzjoni mill-ġdid biex issaħħaħ oġġetti fraġli, jiżvelaw dekorazzjoni tal-wiċċ oriġinali, u restawra l-għamla. It-trattament interventiv jagħmel oġġett aktar stabbli, iżda wkoll aktar at"&amp;"traenti u li jinftiehem għat-telespettatur. Is-soltu jitwettaq fuq oġġetti li għandhom imorru għall-wiri pubbliku.")</f>
        <v>Il-konservazzjoni hija responsabbli għall-preservazzjoni fit-tul tal-kollezzjonijiet, u tkopri l-kollezzjonijiet kollha miżmuma mill-V &amp; A u l-V &amp; A Museum of Childhood. Il-konservaturi jispeċjalizzaw f'oqsma partikolari ta 'konservazzjoni. Iż-żoni koperti mill-ħidma tal-konservatur jinkludu konservazzjoni "preventiva" li tinkludi: twettiq ta 'stħarriġ, valutazzjonijiet u provvista ta' pariri dwar l-immaniġġjar ta 'oġġetti, ippakkjar korrett, immuntar u immaniġġjar proċeduri waqt il-moviment u l-wiri biex tnaqqas ir-riskju ta' oġġetti li jagħmlu ħsara. L-attivitajiet jinkludu l-kontroll tal-ambjent tal-mużew (per eżempju, temperatura u dawl) u l-prevenzjoni ta 'pesti (primarjament insetti) milli jagħmlu ħsara lill-artefatti. Il-kategorija ewlenija l-oħra hija konservazzjoni "interventiva", dan jinkludi: tindif u integrazzjoni mill-ġdid biex issaħħaħ oġġetti fraġli, jiżvelaw dekorazzjoni tal-wiċċ oriġinali, u restawra l-għamla. It-trattament interventiv jagħmel oġġett aktar stabbli, iżda wkoll aktar attraenti u li jinftiehem għat-telespettatur. Is-soltu jitwettaq fuq oġġetti li għandhom imorru għall-wiri pubbliku.</v>
      </c>
    </row>
    <row r="7553" ht="15.75" customHeight="1">
      <c r="A7553" s="2" t="s">
        <v>7553</v>
      </c>
      <c r="B7553" s="2" t="str">
        <f>IFERROR(__xludf.DUMMYFUNCTION("GOOGLETRANSLATE(A7553, ""en"", ""mt"")"),"Kemm segwaċi għandhom il-Knisja Presbiterjana tal-Afrika tal-Lvant?")</f>
        <v>Kemm segwaċi għandhom il-Knisja Presbiterjana tal-Afrika tal-Lvant?</v>
      </c>
    </row>
    <row r="7554" ht="15.75" customHeight="1">
      <c r="A7554" s="2" t="s">
        <v>7554</v>
      </c>
      <c r="B7554" s="2" t="str">
        <f>IFERROR(__xludf.DUMMYFUNCTION("GOOGLETRANSLATE(A7554, ""en"", ""mt"")"),"Biex tikteb l-innijiet tas-salm")</f>
        <v>Biex tikteb l-innijiet tas-salm</v>
      </c>
    </row>
    <row r="7555" ht="15.75" customHeight="1">
      <c r="A7555" s="2" t="s">
        <v>7555</v>
      </c>
      <c r="B7555" s="2" t="str">
        <f>IFERROR(__xludf.DUMMYFUNCTION("GOOGLETRANSLATE(A7555, ""en"", ""mt"")"),"Ħafna siġġijiet fl-Assemblea Leġiżlattiva")</f>
        <v>Ħafna siġġijiet fl-Assemblea Leġiżlattiva</v>
      </c>
    </row>
    <row r="7556" ht="15.75" customHeight="1">
      <c r="A7556" s="2" t="s">
        <v>7556</v>
      </c>
      <c r="B7556" s="2" t="str">
        <f>IFERROR(__xludf.DUMMYFUNCTION("GOOGLETRANSLATE(A7556, ""en"", ""mt"")"),"affiljat ma 'denominazzjonijiet Protestanti oħra")</f>
        <v>affiljat ma 'denominazzjonijiet Protestanti oħra</v>
      </c>
    </row>
    <row r="7557" ht="15.75" customHeight="1">
      <c r="A7557" s="2" t="s">
        <v>7557</v>
      </c>
      <c r="B7557" s="2" t="str">
        <f>IFERROR(__xludf.DUMMYFUNCTION("GOOGLETRANSLATE(A7557, ""en"", ""mt"")"),"""In-Nofsinhar ta 'California"" mhix indikazzjoni ġeografika formali, u d-definizzjonijiet ta' dak li jikkostitwixxi n-Nofsinhar ta 'California jvarjaw. Ġeografikament, il-punt tan-nofs tan-nofsinhar ta 'California jinsab eżattament 37 ° 9' 58.23 ""Latitu"&amp;"dni, madwar 11-il mil (18 km) fin-Nofsinhar ta 'San Jose; madankollu, dan ma jikkoinċidix ma' l-użu popolari tat-terminu. Meta l-istat huwa maqsum fihom Żewġ żoni (it-Tramuntana u n-Nofsinhar ta 'Kalifornja), it-terminu ""Southern California"" ġeneralment"&amp;" jirreferi għall-għaxar kontej l-iktar fin-Nofsinhar tal-istat. Din id-definizzjoni tikkoinċidi sewwa mal-linji tal-kontea f'35 ° 47 ′ 28 ″ 28 ″ latitudni tat-tramuntana, li jiffurmaw it-tramuntana Fruntieri ta 'San Luis Obispo, Kern, u San Bernardino Cou"&amp;"nties. Definizzjoni oħra għan-Nofsinhar ta' California tuża l-konċepiment tal-punt u l-Muntanji Tehachapi bħala l-konfini tat-tramuntana.")</f>
        <v>"In-Nofsinhar ta 'California" mhix indikazzjoni ġeografika formali, u d-definizzjonijiet ta' dak li jikkostitwixxi n-Nofsinhar ta 'California jvarjaw. Ġeografikament, il-punt tan-nofs tan-nofsinhar ta 'California jinsab eżattament 37 ° 9' 58.23 "Latitudni, madwar 11-il mil (18 km) fin-Nofsinhar ta 'San Jose; madankollu, dan ma jikkoinċidix ma' l-użu popolari tat-terminu. Meta l-istat huwa maqsum fihom Żewġ żoni (it-Tramuntana u n-Nofsinhar ta 'Kalifornja), it-terminu "Southern California" ġeneralment jirreferi għall-għaxar kontej l-iktar fin-Nofsinhar tal-istat. Din id-definizzjoni tikkoinċidi sewwa mal-linji tal-kontea f'35 ° 47 ′ 28 ″ 28 ″ latitudni tat-tramuntana, li jiffurmaw it-tramuntana Fruntieri ta 'San Luis Obispo, Kern, u San Bernardino Counties. Definizzjoni oħra għan-Nofsinhar ta' California tuża l-konċepiment tal-punt u l-Muntanji Tehachapi bħala l-konfini tat-tramuntana.</v>
      </c>
    </row>
    <row r="7558" ht="15.75" customHeight="1">
      <c r="A7558" s="2" t="s">
        <v>7558</v>
      </c>
      <c r="B7558" s="2" t="str">
        <f>IFERROR(__xludf.DUMMYFUNCTION("GOOGLETRANSLATE(A7558, ""en"", ""mt"")"),"Battalja ta 'Hastings")</f>
        <v>Battalja ta 'Hastings</v>
      </c>
    </row>
    <row r="7559" ht="15.75" customHeight="1">
      <c r="A7559" s="2" t="s">
        <v>7559</v>
      </c>
      <c r="B7559" s="2" t="str">
        <f>IFERROR(__xludf.DUMMYFUNCTION("GOOGLETRANSLATE(A7559, ""en"", ""mt"")"),"Sistema ta 'rappreżentazzjoni proporzjonali b'ħafna membri")</f>
        <v>Sistema ta 'rappreżentazzjoni proporzjonali b'ħafna membri</v>
      </c>
    </row>
    <row r="7560" ht="15.75" customHeight="1">
      <c r="A7560" s="2" t="s">
        <v>7560</v>
      </c>
      <c r="B7560" s="2" t="str">
        <f>IFERROR(__xludf.DUMMYFUNCTION("GOOGLETRANSLATE(A7560, ""en"", ""mt"")"),"kampi manjetiċi bla forza")</f>
        <v>kampi manjetiċi bla forza</v>
      </c>
    </row>
    <row r="7561" ht="15.75" customHeight="1">
      <c r="A7561" s="2" t="s">
        <v>7561</v>
      </c>
      <c r="B7561" s="2" t="str">
        <f>IFERROR(__xludf.DUMMYFUNCTION("GOOGLETRANSLATE(A7561, ""en"", ""mt"")"),"sħana jew xrar")</f>
        <v>sħana jew xrar</v>
      </c>
    </row>
    <row r="7562" ht="15.75" customHeight="1">
      <c r="A7562" s="2" t="s">
        <v>7562</v>
      </c>
      <c r="B7562" s="2" t="str">
        <f>IFERROR(__xludf.DUMMYFUNCTION("GOOGLETRANSLATE(A7562, ""en"", ""mt"")"),"Messiaen jgħid li l-kompożizzjoni bin-numri ewlenin kienet ispirata minn xiex?")</f>
        <v>Messiaen jgħid li l-kompożizzjoni bin-numri ewlenin kienet ispirata minn xiex?</v>
      </c>
    </row>
    <row r="7563" ht="15.75" customHeight="1">
      <c r="A7563" s="2" t="s">
        <v>7563</v>
      </c>
      <c r="B7563" s="2" t="str">
        <f>IFERROR(__xludf.DUMMYFUNCTION("GOOGLETRANSLATE(A7563, ""en"", ""mt"")"),"Id-Diviżjoni tas-Serje tad-Dipartiment tad-Drama tal-BBC ipproduċiet il-programm għal 26 staġuni, imxandra fuq il-BBC 1. Numri ta 'wiri li jaqgħu, tnaqqis fil-perċezzjoni pubblika tal-ispettaklu u slot ta' trasmissjoni inqas prominenti raw produzzjoni sos"&amp;"piża fl-1989 minn Jonathan Powell, kontrollur tal-BBC 1. Għalkemm (kif il-ko-istilla tas-serje Sophie Aldred irrappurtat fid-dokumentarju Doctor Who: aktar minn 30 sena fit-TARDIS) kienet effettivament, jekk mhux formalment, ikkanċellata bid-deċiżjoni li "&amp;"ma tikkummissjonax 27 serje ppjanata tal-ispettaklu għat-trasmissjoni Fl-1990, il-BBC ripetutament affermat li s-serje tirritorna.")</f>
        <v>Id-Diviżjoni tas-Serje tad-Dipartiment tad-Drama tal-BBC ipproduċiet il-programm għal 26 staġuni, imxandra fuq il-BBC 1. Numri ta 'wiri li jaqgħu, tnaqqis fil-perċezzjoni pubblika tal-ispettaklu u slot ta' trasmissjoni inqas prominenti raw produzzjoni sospiża fl-1989 minn Jonathan Powell, kontrollur tal-BBC 1. Għalkemm (kif il-ko-istilla tas-serje Sophie Aldred irrappurtat fid-dokumentarju Doctor Who: aktar minn 30 sena fit-TARDIS) kienet effettivament, jekk mhux formalment, ikkanċellata bid-deċiżjoni li ma tikkummissjonax 27 serje ppjanata tal-ispettaklu għat-trasmissjoni Fl-1990, il-BBC ripetutament affermat li s-serje tirritorna.</v>
      </c>
    </row>
    <row r="7564" ht="15.75" customHeight="1">
      <c r="A7564" s="2" t="s">
        <v>7564</v>
      </c>
      <c r="B7564" s="2" t="str">
        <f>IFERROR(__xludf.DUMMYFUNCTION("GOOGLETRANSLATE(A7564, ""en"", ""mt"")"),"Liema artikolu jippermetti lill-Kunsill Ewropew jirregola l-għaqdiet bejn id-ditti?")</f>
        <v>Liema artikolu jippermetti lill-Kunsill Ewropew jirregola l-għaqdiet bejn id-ditti?</v>
      </c>
    </row>
    <row r="7565" ht="15.75" customHeight="1">
      <c r="A7565" s="2" t="s">
        <v>7565</v>
      </c>
      <c r="B7565" s="2" t="str">
        <f>IFERROR(__xludf.DUMMYFUNCTION("GOOGLETRANSLATE(A7565, ""en"", ""mt"")"),"Primalità")</f>
        <v>Primalità</v>
      </c>
    </row>
    <row r="7566" ht="15.75" customHeight="1">
      <c r="A7566" s="2" t="s">
        <v>7566</v>
      </c>
      <c r="B7566" s="2" t="str">
        <f>IFERROR(__xludf.DUMMYFUNCTION("GOOGLETRANSLATE(A7566, ""en"", ""mt"")"),"Il-fluss ta 'ilma tal-muntanji kiesaħ u griż ikompli għal ftit distanza fil-lag. L-ilma kiesaħ jiċċirkola ħdejn il-wiċċ u għall-ewwel ma jitħallatx ma 'l-ilmijiet sħan u ħodor tal-lag ta' fuq. Imma mbagħad, fl-hekk imsejħa Rheinbrech, l-ilma tar-Renu jaqa"&amp;" 'ħesrem fil-fond minħabba d-densità akbar ta' ilma kiesaħ. Il-fluss jerġa 'jidher fuq il-wiċċ fix-xatt tat-tramuntana (Ġermaniż) tal-lag, barra l-gżira ta' Lindau. L-ilma mbagħad isegwi x-xatt tat-tramuntana sakemm Hagnau am Bodensee. Frazzjoni żgħira ta"&amp;"l-fluss hija ddevjata 'l barra mill-gżira ta' Mainau fil-Lag überlingen. Il-biċċa l-kbira tal-ilma jiċċirkola permezz tal-Hopper Constance fir-Rheinrinne (""Rhine Gutter"") u Seerhein. Jiddependi fuq il-livell tal-ilma, dan il-fluss ta 'l-ilma tar-Renu hu"&amp;"wa viżibbli b'mod ċar tul it-tul kollu tal-lag.")</f>
        <v>Il-fluss ta 'ilma tal-muntanji kiesaħ u griż ikompli għal ftit distanza fil-lag. L-ilma kiesaħ jiċċirkola ħdejn il-wiċċ u għall-ewwel ma jitħallatx ma 'l-ilmijiet sħan u ħodor tal-lag ta' fuq. Imma mbagħad, fl-hekk imsejħa Rheinbrech, l-ilma tar-Renu jaqa 'ħesrem fil-fond minħabba d-densità akbar ta' ilma kiesaħ. Il-fluss jerġa 'jidher fuq il-wiċċ fix-xatt tat-tramuntana (Ġermaniż) tal-lag, barra l-gżira ta' Lindau. L-ilma mbagħad isegwi x-xatt tat-tramuntana sakemm Hagnau am Bodensee. Frazzjoni żgħira tal-fluss hija ddevjata 'l barra mill-gżira ta' Mainau fil-Lag überlingen. Il-biċċa l-kbira tal-ilma jiċċirkola permezz tal-Hopper Constance fir-Rheinrinne ("Rhine Gutter") u Seerhein. Jiddependi fuq il-livell tal-ilma, dan il-fluss ta 'l-ilma tar-Renu huwa viżibbli b'mod ċar tul it-tul kollu tal-lag.</v>
      </c>
    </row>
    <row r="7567" ht="15.75" customHeight="1">
      <c r="A7567" s="2" t="s">
        <v>7567</v>
      </c>
      <c r="B7567" s="2" t="str">
        <f>IFERROR(__xludf.DUMMYFUNCTION("GOOGLETRANSLATE(A7567, ""en"", ""mt"")"),"Fil-fiżika tal-partikuli moderni, il-forzi u l-aċċellerazzjoni tal-partiċelli huma spjegati bħala prodott sekondarju matematiku tal-iskambju ta 'bosons tal-gauge li jġorru l-momentum. Bl-iżvilupp tat-teorija tal-kamp kwantum u r-relatività ġenerali, ġie r"&amp;"ealizzat li l-forza hija kunċett żejjed li jirriżulta mill-konservazzjoni tal-momentum (4-momentum fir-relatività u l-momentum ta 'partiċelli virtwali fl-elettrodinamiċità kwantistika). Il-konservazzjoni tal-momentum tista 'tiġi derivata direttament mill-"&amp;"omoġenjità jew is-simetrija ta' l-ispazju u għalhekk ġeneralment titqies aktar fundamentali mill-kunċett ta 'forza. Għalhekk il-forzi fundamentali magħrufa bħalissa huma kkunsidrati b'mod aktar preċiż bħala ""interazzjonijiet fundamentali"".: 199–128 meta"&amp;" l-partikula A jarmi (joħloq) jew tassorbi (annihilate) partiċella v virtwali B, konservazzjoni tal-momentum tirriżulta fl-irkupru ta 'partiċelli A li tagħmel impressjoni ta' repulsjoni jew attrazzjoni bejn il-partiċelli A 'skambjar minn B. Din id-deskriz"&amp;"zjoni tapplika għall-forzi kollha li jirriżultaw minn interazzjonijiet fundamentali. Filwaqt li d-deskrizzjonijiet matematiċi sofistikati huma meħtieġa biex ibassru, fid-dettall kollu, ir-riżultat preċiż ta 'dawn l-interazzjonijiet, hemm mod kunċettwalmen"&amp;"t sempliċi biex tiddeskrivi dawn l-interazzjonijiet permezz tal-użu tad-dijagrammi Feynman. F'dijagramma ta 'Feynman, kull partiċella tal-materja hija rrappreżentata bħala linja dritta (ara l-linja tad-dinja) li tivvjaġġa maż-żmien, li normalment tiżdied "&amp;"jew fuq il-lemin fid-dijagramma. Il-materja u l-partiċelli kontra l-materja huma identiċi ħlief għad-direzzjoni tal-propagazzjoni tagħhom permezz tad-dijagramma Feynman. Linji dinjija ta 'partiċelli jaqsmu f'vertices ta' interazzjoni, u d-dijagramma Feynm"&amp;"an tirrappreżenta kwalunkwe forza li tirriżulta minn interazzjoni kif isseħħ fil-vertiċi b'bidla istantanja assoċjata fid-direzzjoni tal-linji tad-dinja tal-partikuli. Il-bosons tal-gauge jiġu emessi 'l bogħod mill-vertiċi bħala linji immewġin u, fil-każ "&amp;"ta' skambju ta 'partiċelli virtwali, huma assorbiti fi vertiċi li jmissu magħhom.")</f>
        <v>Fil-fiżika tal-partikuli moderni, il-forzi u l-aċċellerazzjoni tal-partiċelli huma spjegati bħala prodott sekondarju matematiku tal-iskambju ta 'bosons tal-gauge li jġorru l-momentum. Bl-iżvilupp tat-teorija tal-kamp kwantum u r-relatività ġenerali, ġie realizzat li l-forza hija kunċett żejjed li jirriżulta mill-konservazzjoni tal-momentum (4-momentum fir-relatività u l-momentum ta 'partiċelli virtwali fl-elettrodinamiċità kwantistika). Il-konservazzjoni tal-momentum tista 'tiġi derivata direttament mill-omoġenjità jew is-simetrija ta' l-ispazju u għalhekk ġeneralment titqies aktar fundamentali mill-kunċett ta 'forza. Għalhekk il-forzi fundamentali magħrufa bħalissa huma kkunsidrati b'mod aktar preċiż bħala "interazzjonijiet fundamentali".: 199–128 meta l-partikula A jarmi (joħloq) jew tassorbi (annihilate) partiċella v virtwali B, konservazzjoni tal-momentum tirriżulta fl-irkupru ta 'partiċelli A li tagħmel impressjoni ta' repulsjoni jew attrazzjoni bejn il-partiċelli A 'skambjar minn B. Din id-deskrizzjoni tapplika għall-forzi kollha li jirriżultaw minn interazzjonijiet fundamentali. Filwaqt li d-deskrizzjonijiet matematiċi sofistikati huma meħtieġa biex ibassru, fid-dettall kollu, ir-riżultat preċiż ta 'dawn l-interazzjonijiet, hemm mod kunċettwalment sempliċi biex tiddeskrivi dawn l-interazzjonijiet permezz tal-użu tad-dijagrammi Feynman. F'dijagramma ta 'Feynman, kull partiċella tal-materja hija rrappreżentata bħala linja dritta (ara l-linja tad-dinja) li tivvjaġġa maż-żmien, li normalment tiżdied jew fuq il-lemin fid-dijagramma. Il-materja u l-partiċelli kontra l-materja huma identiċi ħlief għad-direzzjoni tal-propagazzjoni tagħhom permezz tad-dijagramma Feynman. Linji dinjija ta 'partiċelli jaqsmu f'vertices ta' interazzjoni, u d-dijagramma Feynman tirrappreżenta kwalunkwe forza li tirriżulta minn interazzjoni kif isseħħ fil-vertiċi b'bidla istantanja assoċjata fid-direzzjoni tal-linji tad-dinja tal-partikuli. Il-bosons tal-gauge jiġu emessi 'l bogħod mill-vertiċi bħala linji immewġin u, fil-każ ta' skambju ta 'partiċelli virtwali, huma assorbiti fi vertiċi li jmissu magħhom.</v>
      </c>
    </row>
    <row r="7568" ht="15.75" customHeight="1">
      <c r="A7568" s="2" t="s">
        <v>7568</v>
      </c>
      <c r="B7568" s="2" t="str">
        <f>IFERROR(__xludf.DUMMYFUNCTION("GOOGLETRANSLATE(A7568, ""en"", ""mt"")"),"Xi saċerdoti u ex-reliġjużi kienu diġà żżewġu, inklużi Andreas Karlstadt u Justus Jonas, iżda t-tieġ ta 'Luther waqqaf is-siġill ta' approvazzjoni fuq iż-żwieġ klerikali. Huwa kien ilu jikkundanna voti ta 'ċelibat għal raġunijiet bibliċi, iżda d-deċiżjoni"&amp;" tiegħu li tiżżewweġ sorpriż ħafna, mhux l-inqas Melanchthon, li sejħilha imprudenti. Luther kien kiteb lil George Spalatin fit-30 ta 'Novembru 1524, ""Qatt ma nieħu mara, kif inħoss fil-preżent. Mhux li jien insensibbli għal laħam jew sess tiegħi (għax j"&amp;"ien la injam u lanqas ġebel); imma moħħi huwa avvers Biex tiżżewweġ għax kuljum nistenna l-mewt ta 'eretiku. "" Qabel ma jiżżewweġ, Luther kien ilu jgħix fuq l-ikel l-aktar sempliċi, u, kif ammetta lilu nnifsu, is-sodda bil-moffa tiegħu ma kinitx magħmula"&amp;" sewwa għal xhur sħaħ kull darba.")</f>
        <v>Xi saċerdoti u ex-reliġjużi kienu diġà żżewġu, inklużi Andreas Karlstadt u Justus Jonas, iżda t-tieġ ta 'Luther waqqaf is-siġill ta' approvazzjoni fuq iż-żwieġ klerikali. Huwa kien ilu jikkundanna voti ta 'ċelibat għal raġunijiet bibliċi, iżda d-deċiżjoni tiegħu li tiżżewweġ sorpriż ħafna, mhux l-inqas Melanchthon, li sejħilha imprudenti. Luther kien kiteb lil George Spalatin fit-30 ta 'Novembru 1524, "Qatt ma nieħu mara, kif inħoss fil-preżent. Mhux li jien insensibbli għal laħam jew sess tiegħi (għax jien la injam u lanqas ġebel); imma moħħi huwa avvers Biex tiżżewweġ għax kuljum nistenna l-mewt ta 'eretiku. " Qabel ma jiżżewweġ, Luther kien ilu jgħix fuq l-ikel l-aktar sempliċi, u, kif ammetta lilu nnifsu, is-sodda bil-moffa tiegħu ma kinitx magħmula sewwa għal xhur sħaħ kull darba.</v>
      </c>
    </row>
    <row r="7569" ht="15.75" customHeight="1">
      <c r="A7569" s="2" t="s">
        <v>7569</v>
      </c>
      <c r="B7569" s="2" t="str">
        <f>IFERROR(__xludf.DUMMYFUNCTION("GOOGLETRANSLATE(A7569, ""en"", ""mt"")"),"Magna tal-fwar taċ-ċilindru li joxxilla hija varjant tal-magna tal-fwar ta 'espansjoni sempliċi li ma teħtieġx valvi biex jidderieġu l-fwar lejn u barra miċ-ċilindru. Minflok il-valvi, iċ-ċilindru kollu blat, jew oscillates, tali li toqob wieħed jew aktar"&amp;" fiċ-ċilindru jallinjaw bit-toqob f'wiċċ tal-port fiss jew fl-immuntar tal-pern (trunnion). Dawn il-magni huma prinċipalment użati fil-ġugarelli u l-mudelli, minħabba s-sempliċità tagħhom, iżda ntużaw ukoll fil-magni tax-xogħol ta 'daqs sħiħ, prinċipalmen"&amp;"t fuq vapuri fejn il-kumpattezza tagħhom hija vvalutata. [Ċitazzjoni meħtieġa]")</f>
        <v>Magna tal-fwar taċ-ċilindru li joxxilla hija varjant tal-magna tal-fwar ta 'espansjoni sempliċi li ma teħtieġx valvi biex jidderieġu l-fwar lejn u barra miċ-ċilindru. Minflok il-valvi, iċ-ċilindru kollu blat, jew oscillates, tali li toqob wieħed jew aktar fiċ-ċilindru jallinjaw bit-toqob f'wiċċ tal-port fiss jew fl-immuntar tal-pern (trunnion). Dawn il-magni huma prinċipalment użati fil-ġugarelli u l-mudelli, minħabba s-sempliċità tagħhom, iżda ntużaw ukoll fil-magni tax-xogħol ta 'daqs sħiħ, prinċipalment fuq vapuri fejn il-kumpattezza tagħhom hija vvalutata. [Ċitazzjoni meħtieġa]</v>
      </c>
    </row>
    <row r="7570" ht="15.75" customHeight="1">
      <c r="A7570" s="2" t="s">
        <v>7570</v>
      </c>
      <c r="B7570" s="2" t="str">
        <f>IFERROR(__xludf.DUMMYFUNCTION("GOOGLETRANSLATE(A7570, ""en"", ""mt"")"),"pjanijiet nixxew lejn Franza sew qabel it-tluq ta 'Braddock")</f>
        <v>pjanijiet nixxew lejn Franza sew qabel it-tluq ta 'Braddock</v>
      </c>
    </row>
    <row r="7571" ht="15.75" customHeight="1">
      <c r="A7571" s="2" t="s">
        <v>7571</v>
      </c>
      <c r="B7571" s="2" t="str">
        <f>IFERROR(__xludf.DUMMYFUNCTION("GOOGLETRANSLATE(A7571, ""en"", ""mt"")"),"Alka ħadra derivata")</f>
        <v>Alka ħadra derivata</v>
      </c>
    </row>
    <row r="7572" ht="15.75" customHeight="1">
      <c r="A7572" s="2" t="s">
        <v>7572</v>
      </c>
      <c r="B7572" s="2" t="str">
        <f>IFERROR(__xludf.DUMMYFUNCTION("GOOGLETRANSLATE(A7572, ""en"", ""mt"")"),"Il-fehmiet ta 'Ali Shariati, ideologu tar-Rivoluzzjoni Iranjana, kellhom xebh ma' Mohammad Iqbal, missier ideoloġiku ta 'l-istat tal-Pakistan, iżda t-twemmin ta' Khomeini huwa meqjus li jitqiegħed x'imkien bejn it-twemmin ta 'ħassieba Iżlamiċi Sunni bħal "&amp;"Mawdudi u Qutb. Huwa emmen li imitazzjoni sħiħa tal-Profeta Mohammad u s-suċċessuri tiegħu bħal Ali għar-restawr tal-liġi tax-Sharia kienet essenzjali għall-Iżlam, li ħafna Musulmani sekulari, tal-punent kienu attwalment aġenti tal-Punent li jservu l-inte"&amp;"ressi tal-Punent, u li l-atti bħal ""jisirqu"" L-artijiet Musulmani kienet parti minn konspirazzjoni fit-tul kontra l-Iżlam mill-gvernijiet tal-Punent.")</f>
        <v>Il-fehmiet ta 'Ali Shariati, ideologu tar-Rivoluzzjoni Iranjana, kellhom xebh ma' Mohammad Iqbal, missier ideoloġiku ta 'l-istat tal-Pakistan, iżda t-twemmin ta' Khomeini huwa meqjus li jitqiegħed x'imkien bejn it-twemmin ta 'ħassieba Iżlamiċi Sunni bħal Mawdudi u Qutb. Huwa emmen li imitazzjoni sħiħa tal-Profeta Mohammad u s-suċċessuri tiegħu bħal Ali għar-restawr tal-liġi tax-Sharia kienet essenzjali għall-Iżlam, li ħafna Musulmani sekulari, tal-punent kienu attwalment aġenti tal-Punent li jservu l-interessi tal-Punent, u li l-atti bħal "jisirqu" L-artijiet Musulmani kienet parti minn konspirazzjoni fit-tul kontra l-Iżlam mill-gvernijiet tal-Punent.</v>
      </c>
    </row>
    <row r="7573" ht="15.75" customHeight="1">
      <c r="A7573" s="2" t="s">
        <v>7573</v>
      </c>
      <c r="B7573" s="2" t="str">
        <f>IFERROR(__xludf.DUMMYFUNCTION("GOOGLETRANSLATE(A7573, ""en"", ""mt"")"),"gradjent tal-potenzjal.")</f>
        <v>gradjent tal-potenzjal.</v>
      </c>
    </row>
    <row r="7574" ht="15.75" customHeight="1">
      <c r="A7574" s="2" t="s">
        <v>7574</v>
      </c>
      <c r="B7574" s="2" t="str">
        <f>IFERROR(__xludf.DUMMYFUNCTION("GOOGLETRANSLATE(A7574, ""en"", ""mt"")"),"kandidati fuq il-post")</f>
        <v>kandidati fuq il-post</v>
      </c>
    </row>
    <row r="7575" ht="15.75" customHeight="1">
      <c r="A7575" s="2" t="s">
        <v>7575</v>
      </c>
      <c r="B7575" s="2" t="str">
        <f>IFERROR(__xludf.DUMMYFUNCTION("GOOGLETRANSLATE(A7575, ""en"", ""mt"")"),"ħu ġuramentat")</f>
        <v>ħu ġuramentat</v>
      </c>
    </row>
    <row r="7576" ht="15.75" customHeight="1">
      <c r="A7576" s="2" t="s">
        <v>7576</v>
      </c>
      <c r="B7576" s="2" t="str">
        <f>IFERROR(__xludf.DUMMYFUNCTION("GOOGLETRANSLATE(A7576, ""en"", ""mt"")"),"Huwa seta 'interċetta l-esperimenti Ewropej ta' Marconi f'Lulju 1899")</f>
        <v>Huwa seta 'interċetta l-esperimenti Ewropej ta' Marconi f'Lulju 1899</v>
      </c>
    </row>
    <row r="7577" ht="15.75" customHeight="1">
      <c r="A7577" s="2" t="s">
        <v>7577</v>
      </c>
      <c r="B7577" s="2" t="str">
        <f>IFERROR(__xludf.DUMMYFUNCTION("GOOGLETRANSLATE(A7577, ""en"", ""mt"")"),"Mhux biss ix-xogħol ta 'artisti u nies tas-sengħa Ingliżi huwa għall-wiri, iżda wkoll xogħol prodott minn artisti Ewropej li nxtraw jew ikkummissjonati minn patruni Ingliżi, kif ukoll importazzjonijiet mill-Asja, inklużi porċellana, drapp u wallpaper. Dis"&amp;"injaturi u artisti li x-xogħol tagħhom huwa għall-wiri fil-galleriji jinkludu Gian Lorenzo Bernini, Grinling Gibbons, Daniel Marot, Louis Laguerre, Antonio Verrio, Sir James Thornhill, William Kent, Robert Adam, Josiah Wedgwood, Matthew Boulton, Canova, T"&amp;"homas Chippendale, Pugin , William Morris. Il-patruni li influwenzaw it-togħma huma rrappreżentati wkoll minn xogħlijiet ta ’arti mill-kollezzjonijiet tagħhom, dawn jinkludu: Horace Walpole (influwenza kbira fuq il-qawmien mill-ġdid Gotiku), William Thoma"&amp;"s Beckford u Thomas Hope.")</f>
        <v>Mhux biss ix-xogħol ta 'artisti u nies tas-sengħa Ingliżi huwa għall-wiri, iżda wkoll xogħol prodott minn artisti Ewropej li nxtraw jew ikkummissjonati minn patruni Ingliżi, kif ukoll importazzjonijiet mill-Asja, inklużi porċellana, drapp u wallpaper. Disinjaturi u artisti li x-xogħol tagħhom huwa għall-wiri fil-galleriji jinkludu Gian Lorenzo Bernini, Grinling Gibbons, Daniel Marot, Louis Laguerre, Antonio Verrio, Sir James Thornhill, William Kent, Robert Adam, Josiah Wedgwood, Matthew Boulton, Canova, Thomas Chippendale, Pugin , William Morris. Il-patruni li influwenzaw it-togħma huma rrappreżentati wkoll minn xogħlijiet ta ’arti mill-kollezzjonijiet tagħhom, dawn jinkludu: Horace Walpole (influwenza kbira fuq il-qawmien mill-ġdid Gotiku), William Thomas Beckford u Thomas Hope.</v>
      </c>
    </row>
    <row r="7578" ht="15.75" customHeight="1">
      <c r="A7578" s="2" t="s">
        <v>7578</v>
      </c>
      <c r="B7578" s="2" t="str">
        <f>IFERROR(__xludf.DUMMYFUNCTION("GOOGLETRANSLATE(A7578, ""en"", ""mt"")"),"Fejn tgħix Tesla għal ħafna minn ħajtu?")</f>
        <v>Fejn tgħix Tesla għal ħafna minn ħajtu?</v>
      </c>
    </row>
    <row r="7579" ht="15.75" customHeight="1">
      <c r="A7579" s="2" t="s">
        <v>7579</v>
      </c>
      <c r="B7579" s="2" t="str">
        <f>IFERROR(__xludf.DUMMYFUNCTION("GOOGLETRANSLATE(A7579, ""en"", ""mt"")"),"Bini b'forma ta 'weraq")</f>
        <v>Bini b'forma ta 'weraq</v>
      </c>
    </row>
    <row r="7580" ht="15.75" customHeight="1">
      <c r="A7580" s="2" t="s">
        <v>7580</v>
      </c>
      <c r="B7580" s="2" t="str">
        <f>IFERROR(__xludf.DUMMYFUNCTION("GOOGLETRANSLATE(A7580, ""en"", ""mt"")"),"Liema servizz il-klijenti ta 'Verizon kellhom bżonn jużaw il-logħba fuq is-smartphones tagħhom?")</f>
        <v>Liema servizz il-klijenti ta 'Verizon kellhom bżonn jużaw il-logħba fuq is-smartphones tagħhom?</v>
      </c>
    </row>
    <row r="7581" ht="15.75" customHeight="1">
      <c r="A7581" s="2" t="s">
        <v>7581</v>
      </c>
      <c r="B7581" s="2" t="str">
        <f>IFERROR(__xludf.DUMMYFUNCTION("GOOGLETRANSLATE(A7581, ""en"", ""mt"")"),"Malli sar jaf ta 'partit li jiskonta Franċiż fiż-żona, x'għamel f'Washington?")</f>
        <v>Malli sar jaf ta 'partit li jiskonta Franċiż fiż-żona, x'għamel f'Washington?</v>
      </c>
    </row>
    <row r="7582" ht="15.75" customHeight="1">
      <c r="A7582" s="2" t="s">
        <v>7582</v>
      </c>
      <c r="B7582" s="2" t="str">
        <f>IFERROR(__xludf.DUMMYFUNCTION("GOOGLETRANSLATE(A7582, ""en"", ""mt"")"),"Liema terminu jiddeskrivi l-aħjar il-kollezzjoni ta 'pajsaġġi tan-Nofsinhar ta' California?")</f>
        <v>Liema terminu jiddeskrivi l-aħjar il-kollezzjoni ta 'pajsaġġi tan-Nofsinhar ta' California?</v>
      </c>
    </row>
    <row r="7583" ht="15.75" customHeight="1">
      <c r="A7583" s="2" t="s">
        <v>7583</v>
      </c>
      <c r="B7583" s="2" t="str">
        <f>IFERROR(__xludf.DUMMYFUNCTION("GOOGLETRANSLATE(A7583, ""en"", ""mt"")"),"storiċi")</f>
        <v>storiċi</v>
      </c>
    </row>
    <row r="7584" ht="15.75" customHeight="1">
      <c r="A7584" s="2" t="s">
        <v>7584</v>
      </c>
      <c r="B7584" s="2" t="str">
        <f>IFERROR(__xludf.DUMMYFUNCTION("GOOGLETRANSLATE(A7584, ""en"", ""mt"")"),"Kumpanija tat-Telegrafu")</f>
        <v>Kumpanija tat-Telegrafu</v>
      </c>
    </row>
    <row r="7585" ht="15.75" customHeight="1">
      <c r="A7585" s="2" t="s">
        <v>7585</v>
      </c>
      <c r="B7585" s="2" t="str">
        <f>IFERROR(__xludf.DUMMYFUNCTION("GOOGLETRANSLATE(A7585, ""en"", ""mt"")"),"Liema żona ta 'Brookhaven għadha magħrufa għal-livelli għoljin ta' kriminalità tagħha?")</f>
        <v>Liema żona ta 'Brookhaven għadha magħrufa għal-livelli għoljin ta' kriminalità tagħha?</v>
      </c>
    </row>
    <row r="7586" ht="15.75" customHeight="1">
      <c r="A7586" s="2" t="s">
        <v>7586</v>
      </c>
      <c r="B7586" s="2" t="str">
        <f>IFERROR(__xludf.DUMMYFUNCTION("GOOGLETRANSLATE(A7586, ""en"", ""mt"")"),"biex rovina lilu")</f>
        <v>biex rovina lilu</v>
      </c>
    </row>
    <row r="7587" ht="15.75" customHeight="1">
      <c r="A7587" s="2" t="s">
        <v>7587</v>
      </c>
      <c r="B7587" s="2" t="str">
        <f>IFERROR(__xludf.DUMMYFUNCTION("GOOGLETRANSLATE(A7587, ""en"", ""mt"")"),"L-1 ta 'Mejju, 1953")</f>
        <v>L-1 ta 'Mejju, 1953</v>
      </c>
    </row>
    <row r="7588" ht="15.75" customHeight="1">
      <c r="A7588" s="2" t="s">
        <v>7588</v>
      </c>
      <c r="B7588" s="2" t="str">
        <f>IFERROR(__xludf.DUMMYFUNCTION("GOOGLETRANSLATE(A7588, ""en"", ""mt"")"),"il-kunċett tal-forza")</f>
        <v>il-kunċett tal-forza</v>
      </c>
    </row>
    <row r="7589" ht="15.75" customHeight="1">
      <c r="A7589" s="2" t="s">
        <v>7589</v>
      </c>
      <c r="B7589" s="2" t="str">
        <f>IFERROR(__xludf.DUMMYFUNCTION("GOOGLETRANSLATE(A7589, ""en"", ""mt"")"),"Il-ħin u l-ispazju huma t-tnejn eżempji ta 'liema tip ta' riżorsa?")</f>
        <v>Il-ħin u l-ispazju huma t-tnejn eżempji ta 'liema tip ta' riżorsa?</v>
      </c>
    </row>
    <row r="7590" ht="15.75" customHeight="1">
      <c r="A7590" s="2" t="s">
        <v>7590</v>
      </c>
      <c r="B7590" s="2" t="str">
        <f>IFERROR(__xludf.DUMMYFUNCTION("GOOGLETRANSLATE(A7590, ""en"", ""mt"")"),"6 seklu QK")</f>
        <v>6 seklu QK</v>
      </c>
    </row>
    <row r="7591" ht="15.75" customHeight="1">
      <c r="A7591" s="2" t="s">
        <v>7591</v>
      </c>
      <c r="B7591" s="2" t="str">
        <f>IFERROR(__xludf.DUMMYFUNCTION("GOOGLETRANSLATE(A7591, ""en"", ""mt"")"),"klassi")</f>
        <v>klassi</v>
      </c>
    </row>
    <row r="7592" ht="15.75" customHeight="1">
      <c r="A7592" s="2" t="s">
        <v>7592</v>
      </c>
      <c r="B7592" s="2" t="str">
        <f>IFERROR(__xludf.DUMMYFUNCTION("GOOGLETRANSLATE(A7592, ""en"", ""mt"")"),"Dak li nfetaħ l-ewwel fl-1837?")</f>
        <v>Dak li nfetaħ l-ewwel fl-1837?</v>
      </c>
    </row>
    <row r="7593" ht="15.75" customHeight="1">
      <c r="A7593" s="2" t="s">
        <v>7593</v>
      </c>
      <c r="B7593" s="2" t="str">
        <f>IFERROR(__xludf.DUMMYFUNCTION("GOOGLETRANSLATE(A7593, ""en"", ""mt"")"),"Guinness World Records")</f>
        <v>Guinness World Records</v>
      </c>
    </row>
    <row r="7594" ht="15.75" customHeight="1">
      <c r="A7594" s="2" t="s">
        <v>7594</v>
      </c>
      <c r="B7594" s="2" t="str">
        <f>IFERROR(__xludf.DUMMYFUNCTION("GOOGLETRANSLATE(A7594, ""en"", ""mt"")"),"Bejn 1000 u 1900")</f>
        <v>Bejn 1000 u 1900</v>
      </c>
    </row>
    <row r="7595" ht="15.75" customHeight="1">
      <c r="A7595" s="2" t="s">
        <v>7595</v>
      </c>
      <c r="B7595" s="2" t="str">
        <f>IFERROR(__xludf.DUMMYFUNCTION("GOOGLETRANSLATE(A7595, ""en"", ""mt"")"),"is-sodda ewlenija")</f>
        <v>is-sodda ewlenija</v>
      </c>
    </row>
    <row r="7596" ht="15.75" customHeight="1">
      <c r="A7596" s="2" t="s">
        <v>7596</v>
      </c>
      <c r="B7596" s="2" t="str">
        <f>IFERROR(__xludf.DUMMYFUNCTION("GOOGLETRANSLATE(A7596, ""en"", ""mt"")"),"filgħaxija")</f>
        <v>filgħaxija</v>
      </c>
    </row>
    <row r="7597" ht="15.75" customHeight="1">
      <c r="A7597" s="2" t="s">
        <v>7597</v>
      </c>
      <c r="B7597" s="2" t="str">
        <f>IFERROR(__xludf.DUMMYFUNCTION("GOOGLETRANSLATE(A7597, ""en"", ""mt"")"),"Il-magni joperaw b'mod deterministiku")</f>
        <v>Il-magni joperaw b'mod deterministiku</v>
      </c>
    </row>
    <row r="7598" ht="15.75" customHeight="1">
      <c r="A7598" s="2" t="s">
        <v>7598</v>
      </c>
      <c r="B7598" s="2" t="str">
        <f>IFERROR(__xludf.DUMMYFUNCTION("GOOGLETRANSLATE(A7598, ""en"", ""mt"")"),"Biex tikkastiga lill-poplu Miami ta 'Pickawillany")</f>
        <v>Biex tikkastiga lill-poplu Miami ta 'Pickawillany</v>
      </c>
    </row>
    <row r="7599" ht="15.75" customHeight="1">
      <c r="A7599" s="2" t="s">
        <v>7599</v>
      </c>
      <c r="B7599" s="2" t="str">
        <f>IFERROR(__xludf.DUMMYFUNCTION("GOOGLETRANSLATE(A7599, ""en"", ""mt"")"),"Min wettaq dan l-istħarriġ?")</f>
        <v>Min wettaq dan l-istħarriġ?</v>
      </c>
    </row>
    <row r="7600" ht="15.75" customHeight="1">
      <c r="A7600" s="2" t="s">
        <v>7600</v>
      </c>
      <c r="B7600" s="2" t="str">
        <f>IFERROR(__xludf.DUMMYFUNCTION("GOOGLETRANSLATE(A7600, ""en"", ""mt"")"),"X'inhi l-klima fi Newcastle?")</f>
        <v>X'inhi l-klima fi Newcastle?</v>
      </c>
    </row>
    <row r="7601" ht="15.75" customHeight="1">
      <c r="A7601" s="2" t="s">
        <v>7601</v>
      </c>
      <c r="B7601" s="2" t="str">
        <f>IFERROR(__xludf.DUMMYFUNCTION("GOOGLETRANSLATE(A7601, ""en"", ""mt"")"),"Reżistenza Akkwistata Sistemika (SAR)")</f>
        <v>Reżistenza Akkwistata Sistemika (SAR)</v>
      </c>
    </row>
    <row r="7602" ht="15.75" customHeight="1">
      <c r="A7602" s="2" t="s">
        <v>7602</v>
      </c>
      <c r="B7602" s="2" t="str">
        <f>IFERROR(__xludf.DUMMYFUNCTION("GOOGLETRANSLATE(A7602, ""en"", ""mt"")"),"Id-diżubbidjenza ċivili hija ġustifikata biss kontra entitajiet governattivi")</f>
        <v>Id-diżubbidjenza ċivili hija ġustifikata biss kontra entitajiet governattivi</v>
      </c>
    </row>
    <row r="7603" ht="15.75" customHeight="1">
      <c r="A7603" s="2" t="s">
        <v>7603</v>
      </c>
      <c r="B7603" s="2" t="str">
        <f>IFERROR(__xludf.DUMMYFUNCTION("GOOGLETRANSLATE(A7603, ""en"", ""mt"")"),"Soċjetà ta ’Ġesù")</f>
        <v>Soċjetà ta ’Ġesù</v>
      </c>
    </row>
    <row r="7604" ht="15.75" customHeight="1">
      <c r="A7604" s="2" t="s">
        <v>7604</v>
      </c>
      <c r="B7604" s="2" t="str">
        <f>IFERROR(__xludf.DUMMYFUNCTION("GOOGLETRANSLATE(A7604, ""en"", ""mt"")"),"Knisja Presbiterjana")</f>
        <v>Knisja Presbiterjana</v>
      </c>
    </row>
    <row r="7605" ht="15.75" customHeight="1">
      <c r="A7605" s="2" t="s">
        <v>7605</v>
      </c>
      <c r="B7605" s="2" t="str">
        <f>IFERROR(__xludf.DUMMYFUNCTION("GOOGLETRANSLATE(A7605, ""en"", ""mt"")"),"Il-maġġoranza tista 'tkun b'saħħitha imma mhux neċessarjament")</f>
        <v>Il-maġġoranza tista 'tkun b'saħħitha imma mhux neċessarjament</v>
      </c>
    </row>
    <row r="7606" ht="15.75" customHeight="1">
      <c r="A7606" s="2" t="s">
        <v>7606</v>
      </c>
      <c r="B7606" s="2" t="str">
        <f>IFERROR(__xludf.DUMMYFUNCTION("GOOGLETRANSLATE(A7606, ""en"", ""mt"")"),"spiss")</f>
        <v>spiss</v>
      </c>
    </row>
    <row r="7607" ht="15.75" customHeight="1">
      <c r="A7607" s="2" t="s">
        <v>7607</v>
      </c>
      <c r="B7607" s="2" t="str">
        <f>IFERROR(__xludf.DUMMYFUNCTION("GOOGLETRANSLATE(A7607, ""en"", ""mt"")"),"sekulariżmu")</f>
        <v>sekulariżmu</v>
      </c>
    </row>
    <row r="7608" ht="15.75" customHeight="1">
      <c r="A7608" s="2" t="s">
        <v>7608</v>
      </c>
      <c r="B7608" s="2" t="str">
        <f>IFERROR(__xludf.DUMMYFUNCTION("GOOGLETRANSLATE(A7608, ""en"", ""mt"")"),"Hemm ħdax-il skejjel iffinanzjati mill-LEA u seba 'skejjel indipendenti bis-sitt formoli fi Newcastle. Hemm numru ta 'skejjel tal-istat ta' suċċess, inklużi Walker Technology College, Gosforth High School, Heaton Manor School, St Cuthbert's High School, S"&amp;"t Mary's Catholic Comprensive School, Kenton School, George Stephenson High School, Sacred Heart u Benfield School. L-akbar skola indipendenti ko-ed hija l-Iskola tal-Grammatika Rjali. L-akbar skola indipendenti tal-bniet hija Newcastle High School for Gi"&amp;"rls. Iż-żewġ skejjel jinsabu fl-istess triq f'Jesmond. Newcastle School for Boys hija l-unika skola tas-subien indipendenti fil-belt u tinsab f'Gosforth. Newcastle College huwa l-akbar kulleġġ ġenerali ta ’edukazzjoni ulterjuri fil-Lvant tal-Grigal u huwa"&amp;" kulleġġ tal-istatus tal-beacon; Hemm żewġ kulleġġi iżgħar fiż-żona ta 'Newcastle. L-Iskola Sekondarja ta ’St Cuthbert u l-Qalb Sagra huma ż-żewġ skejjel għolja tal-istat-Kattoliku tal-Istat, u t-tnejn qed jiksbu riżultati bl-istess mod mal-iskejjel indip"&amp;"endenti fi Newcastle.")</f>
        <v>Hemm ħdax-il skejjel iffinanzjati mill-LEA u seba 'skejjel indipendenti bis-sitt formoli fi Newcastle. Hemm numru ta 'skejjel tal-istat ta' suċċess, inklużi Walker Technology College, Gosforth High School, Heaton Manor School, St Cuthbert's High School, St Mary's Catholic Comprensive School, Kenton School, George Stephenson High School, Sacred Heart u Benfield School. L-akbar skola indipendenti ko-ed hija l-Iskola tal-Grammatika Rjali. L-akbar skola indipendenti tal-bniet hija Newcastle High School for Girls. Iż-żewġ skejjel jinsabu fl-istess triq f'Jesmond. Newcastle School for Boys hija l-unika skola tas-subien indipendenti fil-belt u tinsab f'Gosforth. Newcastle College huwa l-akbar kulleġġ ġenerali ta ’edukazzjoni ulterjuri fil-Lvant tal-Grigal u huwa kulleġġ tal-istatus tal-beacon; Hemm żewġ kulleġġi iżgħar fiż-żona ta 'Newcastle. L-Iskola Sekondarja ta ’St Cuthbert u l-Qalb Sagra huma ż-żewġ skejjel għolja tal-istat-Kattoliku tal-Istat, u t-tnejn qed jiksbu riżultati bl-istess mod mal-iskejjel indipendenti fi Newcastle.</v>
      </c>
    </row>
    <row r="7609" ht="15.75" customHeight="1">
      <c r="A7609" s="2" t="s">
        <v>7609</v>
      </c>
      <c r="B7609" s="2" t="str">
        <f>IFERROR(__xludf.DUMMYFUNCTION("GOOGLETRANSLATE(A7609, ""en"", ""mt"")"),"Nofs mil fil-majjistral tal-bitħa")</f>
        <v>Nofs mil fil-majjistral tal-bitħa</v>
      </c>
    </row>
    <row r="7610" ht="15.75" customHeight="1">
      <c r="A7610" s="2" t="s">
        <v>7610</v>
      </c>
      <c r="B7610" s="2" t="str">
        <f>IFERROR(__xludf.DUMMYFUNCTION("GOOGLETRANSLATE(A7610, ""en"", ""mt"")"),"Meta tgħallem il-Franċiż dwar il-pjanijiet ta 'Braddock?")</f>
        <v>Meta tgħallem il-Franċiż dwar il-pjanijiet ta 'Braddock?</v>
      </c>
    </row>
    <row r="7611" ht="15.75" customHeight="1">
      <c r="A7611" s="2" t="s">
        <v>7611</v>
      </c>
      <c r="B7611" s="2" t="str">
        <f>IFERROR(__xludf.DUMMYFUNCTION("GOOGLETRANSLATE(A7611, ""en"", ""mt"")"),"Min kien inkarigat mill-Armata Papali fil-Gwerra ta 'Barbastro?")</f>
        <v>Min kien inkarigat mill-Armata Papali fil-Gwerra ta 'Barbastro?</v>
      </c>
    </row>
    <row r="7612" ht="15.75" customHeight="1">
      <c r="A7612" s="2" t="s">
        <v>7612</v>
      </c>
      <c r="B7612" s="2" t="str">
        <f>IFERROR(__xludf.DUMMYFUNCTION("GOOGLETRANSLATE(A7612, ""en"", ""mt"")"),"Liema prattika Lhudija pprojbixxa l-Yuan?")</f>
        <v>Liema prattika Lhudija pprojbixxa l-Yuan?</v>
      </c>
    </row>
    <row r="7613" ht="15.75" customHeight="1">
      <c r="A7613" s="2" t="s">
        <v>7613</v>
      </c>
      <c r="B7613" s="2" t="str">
        <f>IFERROR(__xludf.DUMMYFUNCTION("GOOGLETRANSLATE(A7613, ""en"", ""mt"")"),"X'inhuma magħrufa bħala Ctenophora?")</f>
        <v>X'inhuma magħrufa bħala Ctenophora?</v>
      </c>
    </row>
    <row r="7614" ht="15.75" customHeight="1">
      <c r="A7614" s="2" t="s">
        <v>7614</v>
      </c>
      <c r="B7614" s="2" t="str">
        <f>IFERROR(__xludf.DUMMYFUNCTION("GOOGLETRANSLATE(A7614, ""en"", ""mt"")"),"Konġettura Twin Prime")</f>
        <v>Konġettura Twin Prime</v>
      </c>
    </row>
    <row r="7615" ht="15.75" customHeight="1">
      <c r="A7615" s="2" t="s">
        <v>7615</v>
      </c>
      <c r="B7615" s="2" t="str">
        <f>IFERROR(__xludf.DUMMYFUNCTION("GOOGLETRANSLATE(A7615, ""en"", ""mt"")"),"Musulmani Konservattivi")</f>
        <v>Musulmani Konservattivi</v>
      </c>
    </row>
    <row r="7616" ht="15.75" customHeight="1">
      <c r="A7616" s="2" t="s">
        <v>7616</v>
      </c>
      <c r="B7616" s="2" t="str">
        <f>IFERROR(__xludf.DUMMYFUNCTION("GOOGLETRANSLATE(A7616, ""en"", ""mt"")"),"Kif tissejjaħ id-dar t'isfel tal-Parlament Vittorjan?")</f>
        <v>Kif tissejjaħ id-dar t'isfel tal-Parlament Vittorjan?</v>
      </c>
    </row>
    <row r="7617" ht="15.75" customHeight="1">
      <c r="A7617" s="2" t="s">
        <v>7617</v>
      </c>
      <c r="B7617" s="2" t="str">
        <f>IFERROR(__xludf.DUMMYFUNCTION("GOOGLETRANSLATE(A7617, ""en"", ""mt"")"),"L-akbar kollezzjoni nazzjonali tar-Renju Unit dwar il-prestazzjoni diretta fir-Renju Unit")</f>
        <v>L-akbar kollezzjoni nazzjonali tar-Renju Unit dwar il-prestazzjoni diretta fir-Renju Unit</v>
      </c>
    </row>
    <row r="7618" ht="15.75" customHeight="1">
      <c r="A7618" s="2" t="s">
        <v>7618</v>
      </c>
      <c r="B7618" s="2" t="str">
        <f>IFERROR(__xludf.DUMMYFUNCTION("GOOGLETRANSLATE(A7618, ""en"", ""mt"")"),"Dikjarazzjoni magħmula minn Chris Keates ikkawżat kwistjonijiet ma 'min?")</f>
        <v>Dikjarazzjoni magħmula minn Chris Keates ikkawżat kwistjonijiet ma 'min?</v>
      </c>
    </row>
    <row r="7619" ht="15.75" customHeight="1">
      <c r="A7619" s="2" t="s">
        <v>7619</v>
      </c>
      <c r="B7619" s="2" t="str">
        <f>IFERROR(__xludf.DUMMYFUNCTION("GOOGLETRANSLATE(A7619, ""en"", ""mt"")"),"Ibbażat fuq il-popolazzjoni biss, x'inhi l-klassifika ta 'Jacksonville fl-Istati Uniti?")</f>
        <v>Ibbażat fuq il-popolazzjoni biss, x'inhi l-klassifika ta 'Jacksonville fl-Istati Uniti?</v>
      </c>
    </row>
    <row r="7620" ht="15.75" customHeight="1">
      <c r="A7620" s="2" t="s">
        <v>7620</v>
      </c>
      <c r="B7620" s="2" t="str">
        <f>IFERROR(__xludf.DUMMYFUNCTION("GOOGLETRANSLATE(A7620, ""en"", ""mt"")"),"Bejn Settembru u Novembru 1946,")</f>
        <v>Bejn Settembru u Novembru 1946,</v>
      </c>
    </row>
    <row r="7621" ht="15.75" customHeight="1">
      <c r="A7621" s="2" t="s">
        <v>7621</v>
      </c>
      <c r="B7621" s="2" t="str">
        <f>IFERROR(__xludf.DUMMYFUNCTION("GOOGLETRANSLATE(A7621, ""en"", ""mt"")"),"Liema żewġ trattati pprovdew istituzzjonijiet aktar formali tal-Unjoni Ewropea?")</f>
        <v>Liema żewġ trattati pprovdew istituzzjonijiet aktar formali tal-Unjoni Ewropea?</v>
      </c>
    </row>
    <row r="7622" ht="15.75" customHeight="1">
      <c r="A7622" s="2" t="s">
        <v>7622</v>
      </c>
      <c r="B7622" s="2" t="str">
        <f>IFERROR(__xludf.DUMMYFUNCTION("GOOGLETRANSLATE(A7622, ""en"", ""mt"")"),"Liema jum tal-ġimgħa jseħħ il-ħin għar-riflessjoni?")</f>
        <v>Liema jum tal-ġimgħa jseħħ il-ħin għar-riflessjoni?</v>
      </c>
    </row>
    <row r="7623" ht="15.75" customHeight="1">
      <c r="A7623" s="2" t="s">
        <v>7623</v>
      </c>
      <c r="B7623" s="2" t="str">
        <f>IFERROR(__xludf.DUMMYFUNCTION("GOOGLETRANSLATE(A7623, ""en"", ""mt"")"),"sismiku")</f>
        <v>sismiku</v>
      </c>
    </row>
    <row r="7624" ht="15.75" customHeight="1">
      <c r="A7624" s="2" t="s">
        <v>7624</v>
      </c>
      <c r="B7624" s="2" t="str">
        <f>IFERROR(__xludf.DUMMYFUNCTION("GOOGLETRANSLATE(A7624, ""en"", ""mt"")"),"Josiah Wedgwood, William de Morgan u Bernard Leach")</f>
        <v>Josiah Wedgwood, William de Morgan u Bernard Leach</v>
      </c>
    </row>
    <row r="7625" ht="15.75" customHeight="1">
      <c r="A7625" s="2" t="s">
        <v>7625</v>
      </c>
      <c r="B7625" s="2" t="str">
        <f>IFERROR(__xludf.DUMMYFUNCTION("GOOGLETRANSLATE(A7625, ""en"", ""mt"")"),"interface ospitanti għal x.25 u l-interface terminali għal x.29")</f>
        <v>interface ospitanti għal x.25 u l-interface terminali għal x.29</v>
      </c>
    </row>
    <row r="7626" ht="15.75" customHeight="1">
      <c r="A7626" s="2" t="s">
        <v>7626</v>
      </c>
      <c r="B7626" s="2" t="str">
        <f>IFERROR(__xludf.DUMMYFUNCTION("GOOGLETRANSLATE(A7626, ""en"", ""mt"")"),"Liema molekula għandha x-xemx fi proporzjon ogħla mid-Dinja?")</f>
        <v>Liema molekula għandha x-xemx fi proporzjon ogħla mid-Dinja?</v>
      </c>
    </row>
    <row r="7627" ht="15.75" customHeight="1">
      <c r="A7627" s="2" t="s">
        <v>7627</v>
      </c>
      <c r="B7627" s="2" t="str">
        <f>IFERROR(__xludf.DUMMYFUNCTION("GOOGLETRANSLATE(A7627, ""en"", ""mt"")"),"Il-Ħames, is-Sitt u s-Seba 'Tobba")</f>
        <v>Il-Ħames, is-Sitt u s-Seba 'Tobba</v>
      </c>
    </row>
    <row r="7628" ht="15.75" customHeight="1">
      <c r="A7628" s="2" t="s">
        <v>7628</v>
      </c>
      <c r="B7628" s="2" t="str">
        <f>IFERROR(__xludf.DUMMYFUNCTION("GOOGLETRANSLATE(A7628, ""en"", ""mt"")"),"Ħafna drabi r-regoli japplikaw għall-oġġetti kollha newtralment, iżda jista 'jkollhom effett prattiku akbar fuq l-importazzjonijiet minn prodotti domestiċi. Għal dawn il-Qorti tal-Ġustizzja ""indiretti"" (jew ""indistindament applikabbli"", il-Qorti tal-Ġ"&amp;"ustizzja żviluppat aktar ġustifikazzjonijiet: jew dawk fl-Artikolu 36, jew ħtiġijiet addizzjonali ""obbligatorji"" jew ""importanti"" bħall-protezzjoni tal-konsumatur, itejbu l-istandards tax-xogħol, il-ħarsien tal-istandards tax-xogħol Ambjent, diversità"&amp;" tal-istampa, ġustizzja fil-kummerċ, u aktar: il-kategoriji mhumiex magħluqa. Fil-każ l-iktar famuż Rewe-Zentral Ag V Bundesmonopol für Branntwein, il-Qorti tal-Ġustizzja sabet li liġi Ġermaniża li teħtieġ li l-ispirti u l-likuri kollha (mhux biss dawk im"&amp;"portati) ikollhom kontenut minimu ta 'alkoħol ta '25 fil-mija kien kuntrarju għall-Artikolu 34 tat-TFEU 34 , minħabba li kellha effett negattiv akbar fuq l-importazzjonijiet. Il-likuri Ġermaniżi kellhom aktar minn 25 fil-mija ta 'alkoħol, iżda Cassis de D"&amp;"ijon, li Rew-Zentrale Ag xtaq jimporta minn Franza, kellu biss 15 sa 20 fil-mija ta' alkoħol. Il-Qorti tal-Ġustizzja ċaħdet l-argumenti tal-gvern Ġermaniż li l-miżura protetta proporzjonalment is-saħħa pubblika taħt l-Artikolu 36 tat-TFEU, minħabba li x-x"&amp;"orb aktar qawwi kien disponibbli u t-tikkettar adegwat ikun biżżejjed biex il-konsumaturi jifhmu dak li xtraw. Din ir-regola tapplika primarjament għal rekwiżiti dwar il-kontenut jew l-imballaġġ ta 'prodott. Fil-Walter Rau Lebensmittelke v De Smedt Pvba, "&amp;"il-Qorti tal-Ġustizzja sabet li liġi Belġjana li teħtieġ li l-marġerina kollha tkun fil-pakketti tal-forma ta ’kubu li kisret l-Artikolu 34, u ma kinitx iġġustifikata mill-insegwiment tal-protezzjoni tal-konsumatur. L-argument li l-Belġjani kienu jemmnu l"&amp;"i kien butir kieku ma kienx iffurmat kubu kien sproporzjonat: ""jaqbeż konsiderevolment ir-rekwiżiti tal-oġġett fil-vista"" u l-ittikkettjar jipproteġi lill-konsumaturi ""daqstant effettivament"". F'każ ta 'l-2003, il-liġi Taljana tal-Kummissjoni v Italja"&amp;" kienet teħtieġ li l-prodotti tal-kawkaw li kienu jinkludu xaħmijiet veġetali oħra ma jistgħux jiġu ttikkettjati bħala ""ċikkulata"". Kellu jkun ""sostitut taċ-ċikkulata"". Iċ-ċikkulata kollha Taljana kienet magħmula mill-butir tal-kawkaw waħedha, iżda l-"&amp;"manifatturi Ingliżi, Daniżi u Irlandiżi użaw xaħmijiet veġetali oħra. Huma ddikjaraw li l-liġi kisret l-Artikolu 34. Il-Qorti tal-Ġustizzja ddeċidiet li kontenut baxx ta 'xaħam tal-ħaxix ma jiġġustifikax tikketta ""sostitut taċ-ċikkulata"". Dan kien derog"&amp;"atorju f'għajnejn il-konsumaturi. ""Dikjarazzjoni newtrali u oġġettiva"" kienet biżżejjed biex tipproteġi lill-konsumaturi. Jekk l-istati membri jpoġġu ostakli konsiderevoli dwar l-użu ta 'prodott, dan jista' jikser ukoll l-Artikolu 34. Allura, f'każ tal-"&amp;"2009, il-Kummissjoni v l-Italja, il-Qorti tal-Ġustizzja ddeċidiet li liġi Taljana li tipprojbixxi muturi jew mopeds li tiġbed karrijiet li kisret l-Artikolu 34. Għal darb'oħra, il-liġi applikat newtralment għal kulħadd, iżda affettwat b'mod sproporzjonat "&amp;"l-importaturi, minħabba li l-kumpaniji Taljani ma għamlux karrijiet. Din ma kinitx rekwiżit tal-prodott, iżda l-qorti rraġunaw li l-projbizzjoni tiskoraġġixxi lin-nies milli jixtruha: ikollha ""influwenza konsiderevoli fuq l-imġieba tal-konsumaturi"" li "&amp;"""taffettwa l-aċċess ta 'dak il-prodott għas-suq"". Teħtieġ ġustifikazzjoni skont l-Artikolu 36, jew bħala ħtieġa obbligatorja.")</f>
        <v>Ħafna drabi r-regoli japplikaw għall-oġġetti kollha newtralment, iżda jista 'jkollhom effett prattiku akbar fuq l-importazzjonijiet minn prodotti domestiċi. Għal dawn il-Qorti tal-Ġustizzja "indiretti" (jew "indistindament applikabbli", il-Qorti tal-Ġustizzja żviluppat aktar ġustifikazzjonijiet: jew dawk fl-Artikolu 36, jew ħtiġijiet addizzjonali "obbligatorji" jew "importanti" bħall-protezzjoni tal-konsumatur, itejbu l-istandards tax-xogħol, il-ħarsien tal-istandards tax-xogħol Ambjent, diversità tal-istampa, ġustizzja fil-kummerċ, u aktar: il-kategoriji mhumiex magħluqa. Fil-każ l-iktar famuż Rewe-Zentral Ag V Bundesmonopol für Branntwein, il-Qorti tal-Ġustizzja sabet li liġi Ġermaniża li teħtieġ li l-ispirti u l-likuri kollha (mhux biss dawk importati) ikollhom kontenut minimu ta 'alkoħol ta '25 fil-mija kien kuntrarju għall-Artikolu 34 tat-TFEU 34 , minħabba li kellha effett negattiv akbar fuq l-importazzjonijiet. Il-likuri Ġermaniżi kellhom aktar minn 25 fil-mija ta 'alkoħol, iżda Cassis de Dijon, li Rew-Zentrale Ag xtaq jimporta minn Franza, kellu biss 15 sa 20 fil-mija ta' alkoħol. Il-Qorti tal-Ġustizzja ċaħdet l-argumenti tal-gvern Ġermaniż li l-miżura protetta proporzjonalment is-saħħa pubblika taħt l-Artikolu 36 tat-TFEU, minħabba li x-xorb aktar qawwi kien disponibbli u t-tikkettar adegwat ikun biżżejjed biex il-konsumaturi jifhmu dak li xtraw. Din ir-regola tapplika primarjament għal rekwiżiti dwar il-kontenut jew l-imballaġġ ta 'prodott. Fil-Walter Rau Lebensmittelke v De Smedt Pvba, il-Qorti tal-Ġustizzja sabet li liġi Belġjana li teħtieġ li l-marġerina kollha tkun fil-pakketti tal-forma ta ’kubu li kisret l-Artikolu 34, u ma kinitx iġġustifikata mill-insegwiment tal-protezzjoni tal-konsumatur. L-argument li l-Belġjani kienu jemmnu li kien butir kieku ma kienx iffurmat kubu kien sproporzjonat: "jaqbeż konsiderevolment ir-rekwiżiti tal-oġġett fil-vista" u l-ittikkettjar jipproteġi lill-konsumaturi "daqstant effettivament". F'każ ta 'l-2003, il-liġi Taljana tal-Kummissjoni v Italja kienet teħtieġ li l-prodotti tal-kawkaw li kienu jinkludu xaħmijiet veġetali oħra ma jistgħux jiġu ttikkettjati bħala "ċikkulata". Kellu jkun "sostitut taċ-ċikkulata". Iċ-ċikkulata kollha Taljana kienet magħmula mill-butir tal-kawkaw waħedha, iżda l-manifatturi Ingliżi, Daniżi u Irlandiżi użaw xaħmijiet veġetali oħra. Huma ddikjaraw li l-liġi kisret l-Artikolu 34. Il-Qorti tal-Ġustizzja ddeċidiet li kontenut baxx ta 'xaħam tal-ħaxix ma jiġġustifikax tikketta "sostitut taċ-ċikkulata". Dan kien derogatorju f'għajnejn il-konsumaturi. "Dikjarazzjoni newtrali u oġġettiva" kienet biżżejjed biex tipproteġi lill-konsumaturi. Jekk l-istati membri jpoġġu ostakli konsiderevoli dwar l-użu ta 'prodott, dan jista' jikser ukoll l-Artikolu 34. Allura, f'każ tal-2009, il-Kummissjoni v l-Italja, il-Qorti tal-Ġustizzja ddeċidiet li liġi Taljana li tipprojbixxi muturi jew mopeds li tiġbed karrijiet li kisret l-Artikolu 34. Għal darb'oħra, il-liġi applikat newtralment għal kulħadd, iżda affettwat b'mod sproporzjonat l-importaturi, minħabba li l-kumpaniji Taljani ma għamlux karrijiet. Din ma kinitx rekwiżit tal-prodott, iżda l-qorti rraġunaw li l-projbizzjoni tiskoraġġixxi lin-nies milli jixtruha: ikollha "influwenza konsiderevoli fuq l-imġieba tal-konsumaturi" li "taffettwa l-aċċess ta 'dak il-prodott għas-suq". Teħtieġ ġustifikazzjoni skont l-Artikolu 36, jew bħala ħtieġa obbligatorja.</v>
      </c>
    </row>
    <row r="7629" ht="15.75" customHeight="1">
      <c r="A7629" s="2" t="s">
        <v>7629</v>
      </c>
      <c r="B7629" s="2" t="str">
        <f>IFERROR(__xludf.DUMMYFUNCTION("GOOGLETRANSLATE(A7629, ""en"", ""mt"")"),"Numru totali ta 'transizzjonijiet tal-istat, jew passi, il-magna tagħmel qabel ma tieqaf u toħroġ it-tweġiba")</f>
        <v>Numru totali ta 'transizzjonijiet tal-istat, jew passi, il-magna tagħmel qabel ma tieqaf u toħroġ it-tweġiba</v>
      </c>
    </row>
    <row r="7630" ht="15.75" customHeight="1">
      <c r="A7630" s="2" t="s">
        <v>7630</v>
      </c>
      <c r="B7630" s="2" t="str">
        <f>IFERROR(__xludf.DUMMYFUNCTION("GOOGLETRANSLATE(A7630, ""en"", ""mt"")"),"X'impatt kellu dan it-telf fuq Abercrombie?")</f>
        <v>X'impatt kellu dan it-telf fuq Abercrombie?</v>
      </c>
    </row>
    <row r="7631" ht="15.75" customHeight="1">
      <c r="A7631" s="2" t="s">
        <v>7631</v>
      </c>
      <c r="B7631" s="2" t="str">
        <f>IFERROR(__xludf.DUMMYFUNCTION("GOOGLETRANSLATE(A7631, ""en"", ""mt"")"),"X’għamlu l-astronawti fuq il-qamar lura lejn id-Dinja permezz ta ’sinjali?")</f>
        <v>X’għamlu l-astronawti fuq il-qamar lura lejn id-Dinja permezz ta ’sinjali?</v>
      </c>
    </row>
    <row r="7632" ht="15.75" customHeight="1">
      <c r="A7632" s="2" t="s">
        <v>7632</v>
      </c>
      <c r="B7632" s="2" t="str">
        <f>IFERROR(__xludf.DUMMYFUNCTION("GOOGLETRANSLATE(A7632, ""en"", ""mt"")"),"F’ħafna pajjiżi, x’tip ta ’vojt fil-pagi hemm?")</f>
        <v>F’ħafna pajjiżi, x’tip ta ’vojt fil-pagi hemm?</v>
      </c>
    </row>
    <row r="7633" ht="15.75" customHeight="1">
      <c r="A7633" s="2" t="s">
        <v>7633</v>
      </c>
      <c r="B7633" s="2" t="str">
        <f>IFERROR(__xludf.DUMMYFUNCTION("GOOGLETRANSLATE(A7633, ""en"", ""mt"")"),"regoli li jmorru kontra l-moralità")</f>
        <v>regoli li jmorru kontra l-moralità</v>
      </c>
    </row>
    <row r="7634" ht="15.75" customHeight="1">
      <c r="A7634" s="2" t="s">
        <v>7634</v>
      </c>
      <c r="B7634" s="2" t="str">
        <f>IFERROR(__xludf.DUMMYFUNCTION("GOOGLETRANSLATE(A7634, ""en"", ""mt"")"),"larva tal-ħut u organiżmi li altrimenti kienu mitmugħa l-ħut")</f>
        <v>larva tal-ħut u organiżmi li altrimenti kienu mitmugħa l-ħut</v>
      </c>
    </row>
    <row r="7635" ht="15.75" customHeight="1">
      <c r="A7635" s="2" t="s">
        <v>7635</v>
      </c>
      <c r="B7635" s="2" t="str">
        <f>IFERROR(__xludf.DUMMYFUNCTION("GOOGLETRANSLATE(A7635, ""en"", ""mt"")"),"Fresno hija l-akbar belt ta 'l-Istati Uniti li mhix marbuta direttament ma' awtostrada bejn l-istati. Meta s-sistema tal-awtostrada bejn l-istati nħolqot fl-1950, ittieħdet id-deċiżjoni biex tinbena dak li issa huwa l-Interstate 5 fuq in-naħa tal-punent t"&amp;"al-Wied Ċentrali, u b'hekk tevita ħafna miċ-ċentri tal-popolazzjoni fir-reġjun, minflok ma ttejjeb dak li issa huwa l-istat Rotta 99. Minħabba li tgħolli malajr il-popolazzjoni u t-traffiku fl-ibliet tul l-SR 99, kif ukoll ix-xewqa ta 'finanzjament federa"&amp;"li, saret ħafna diskussjoni biex taġġornaha għall-istandards bejn l-istati u eventwalment tinkorporaha fis-sistema interstatali, x'aktarx bħala l-Interstate 9 . Titjib maġġuri għas-sinjali, wisa 'tal-karreġġjata, separazzjoni medjana, tneħħija vertikali, "&amp;"u tħassib ieħor bħalissa għaddejjin.")</f>
        <v>Fresno hija l-akbar belt ta 'l-Istati Uniti li mhix marbuta direttament ma' awtostrada bejn l-istati. Meta s-sistema tal-awtostrada bejn l-istati nħolqot fl-1950, ittieħdet id-deċiżjoni biex tinbena dak li issa huwa l-Interstate 5 fuq in-naħa tal-punent tal-Wied Ċentrali, u b'hekk tevita ħafna miċ-ċentri tal-popolazzjoni fir-reġjun, minflok ma ttejjeb dak li issa huwa l-istat Rotta 99. Minħabba li tgħolli malajr il-popolazzjoni u t-traffiku fl-ibliet tul l-SR 99, kif ukoll ix-xewqa ta 'finanzjament federali, saret ħafna diskussjoni biex taġġornaha għall-istandards bejn l-istati u eventwalment tinkorporaha fis-sistema interstatali, x'aktarx bħala l-Interstate 9 . Titjib maġġuri għas-sinjali, wisa 'tal-karreġġjata, separazzjoni medjana, tneħħija vertikali, u tħassib ieħor bħalissa għaddejjin.</v>
      </c>
    </row>
    <row r="7636" ht="15.75" customHeight="1">
      <c r="A7636" s="2" t="s">
        <v>7636</v>
      </c>
      <c r="B7636" s="2" t="str">
        <f>IFERROR(__xludf.DUMMYFUNCTION("GOOGLETRANSLATE(A7636, ""en"", ""mt"")"),"vapuri")</f>
        <v>vapuri</v>
      </c>
    </row>
    <row r="7637" ht="15.75" customHeight="1">
      <c r="A7637" s="2" t="s">
        <v>7637</v>
      </c>
      <c r="B7637" s="2" t="str">
        <f>IFERROR(__xludf.DUMMYFUNCTION("GOOGLETRANSLATE(A7637, ""en"", ""mt"")"),"Punent")</f>
        <v>Punent</v>
      </c>
    </row>
    <row r="7638" ht="15.75" customHeight="1">
      <c r="A7638" s="2" t="s">
        <v>7638</v>
      </c>
      <c r="B7638" s="2" t="str">
        <f>IFERROR(__xludf.DUMMYFUNCTION("GOOGLETRANSLATE(A7638, ""en"", ""mt"")"),"Xi jfisser l-isem oriġinali ta 'Colonia Agrippina?")</f>
        <v>Xi jfisser l-isem oriġinali ta 'Colonia Agrippina?</v>
      </c>
    </row>
    <row r="7639" ht="15.75" customHeight="1">
      <c r="A7639" s="2" t="s">
        <v>7639</v>
      </c>
      <c r="B7639" s="2" t="str">
        <f>IFERROR(__xludf.DUMMYFUNCTION("GOOGLETRANSLATE(A7639, ""en"", ""mt"")"),"li tippermetti li l-vettura spazjali Lander tintuża bħala ""dgħajsa tas-salvataġġ""")</f>
        <v>li tippermetti li l-vettura spazjali Lander tintuża bħala "dgħajsa tas-salvataġġ"</v>
      </c>
    </row>
    <row r="7640" ht="15.75" customHeight="1">
      <c r="A7640" s="2" t="s">
        <v>7640</v>
      </c>
      <c r="B7640" s="2" t="str">
        <f>IFERROR(__xludf.DUMMYFUNCTION("GOOGLETRANSLATE(A7640, ""en"", ""mt"")"),"Liema test huwa partikolarment utli għan-numri tal-Formola 2P - 1?")</f>
        <v>Liema test huwa partikolarment utli għan-numri tal-Formola 2P - 1?</v>
      </c>
    </row>
    <row r="7641" ht="15.75" customHeight="1">
      <c r="A7641" s="2" t="s">
        <v>7641</v>
      </c>
      <c r="B7641" s="2" t="str">
        <f>IFERROR(__xludf.DUMMYFUNCTION("GOOGLETRANSLATE(A7641, ""en"", ""mt"")"),"Rhine-kilometri """)</f>
        <v>Rhine-kilometri "</v>
      </c>
    </row>
    <row r="7642" ht="15.75" customHeight="1">
      <c r="A7642" s="2" t="s">
        <v>7642</v>
      </c>
      <c r="B7642" s="2" t="str">
        <f>IFERROR(__xludf.DUMMYFUNCTION("GOOGLETRANSLATE(A7642, ""en"", ""mt"")"),"Solvabilità ta 'ekwazzjonijiet kwadratiċi")</f>
        <v>Solvabilità ta 'ekwazzjonijiet kwadratiċi</v>
      </c>
    </row>
    <row r="7643" ht="15.75" customHeight="1">
      <c r="A7643" s="2" t="s">
        <v>7643</v>
      </c>
      <c r="B7643" s="2" t="str">
        <f>IFERROR(__xludf.DUMMYFUNCTION("GOOGLETRANSLATE(A7643, ""en"", ""mt"")"),"Fejn instabu n-netwerks internazzjonali ta 'ABC prinċipalment fis-snin sebgħin?")</f>
        <v>Fejn instabu n-netwerks internazzjonali ta 'ABC prinċipalment fis-snin sebgħin?</v>
      </c>
    </row>
    <row r="7644" ht="15.75" customHeight="1">
      <c r="A7644" s="2" t="s">
        <v>7644</v>
      </c>
      <c r="B7644" s="2" t="str">
        <f>IFERROR(__xludf.DUMMYFUNCTION("GOOGLETRANSLATE(A7644, ""en"", ""mt"")"),"In-negozju ppermetta lill-kumpaniji privati ​​jagħmlu dak")</f>
        <v>In-negozju ppermetta lill-kumpaniji privati ​​jagħmlu dak</v>
      </c>
    </row>
    <row r="7645" ht="15.75" customHeight="1">
      <c r="A7645" s="2" t="s">
        <v>7645</v>
      </c>
      <c r="B7645" s="2" t="str">
        <f>IFERROR(__xludf.DUMMYFUNCTION("GOOGLETRANSLATE(A7645, ""en"", ""mt"")"),"Saru diversi promozzjonijiet u inizjattivi b'tema tad-deheb matul l-istaġun tal-NFL 2015 biex jorbtu mas- ""Super Bowl tad-Deheb""; Il-logos ikkuluriti tad-deheb ġew implimentati madwar il-proprjetajiet tal-NFL u miżbugħa fl-għelieqi, in-numerazzjoni tal-"&amp;"linja ta '50 tarzna fuq l-għelieqi kienet tad-deheb ikkulurit, u li tibda fil-Ġimgħa 7, il-ġkieket u l-kpiepel kollha tal-ġenb u kpiepel dehru logos mirquma tad-deheb. Il-futbol tad-deheb ingħataw lil kull skola għolja li kellha plejer jew kowċ li jidhru "&amp;"fis-Super Bowl, u l-avvenimenti ""homecoming"" kienu wkoll miżmuma minn timijiet rebbieħa tas-Super Bowl fil-logħob.")</f>
        <v>Saru diversi promozzjonijiet u inizjattivi b'tema tad-deheb matul l-istaġun tal-NFL 2015 biex jorbtu mas- "Super Bowl tad-Deheb"; Il-logos ikkuluriti tad-deheb ġew implimentati madwar il-proprjetajiet tal-NFL u miżbugħa fl-għelieqi, in-numerazzjoni tal-linja ta '50 tarzna fuq l-għelieqi kienet tad-deheb ikkulurit, u li tibda fil-Ġimgħa 7, il-ġkieket u l-kpiepel kollha tal-ġenb u kpiepel dehru logos mirquma tad-deheb. Il-futbol tad-deheb ingħataw lil kull skola għolja li kellha plejer jew kowċ li jidhru fis-Super Bowl, u l-avvenimenti "homecoming" kienu wkoll miżmuma minn timijiet rebbieħa tas-Super Bowl fil-logħob.</v>
      </c>
    </row>
    <row r="7646" ht="15.75" customHeight="1">
      <c r="A7646" s="2" t="s">
        <v>7646</v>
      </c>
      <c r="B7646" s="2" t="str">
        <f>IFERROR(__xludf.DUMMYFUNCTION("GOOGLETRANSLATE(A7646, ""en"", ""mt"")"),"maħruq ripetutament")</f>
        <v>maħruq ripetutament</v>
      </c>
    </row>
    <row r="7647" ht="15.75" customHeight="1">
      <c r="A7647" s="2" t="s">
        <v>7647</v>
      </c>
      <c r="B7647" s="2" t="str">
        <f>IFERROR(__xludf.DUMMYFUNCTION("GOOGLETRANSLATE(A7647, ""en"", ""mt"")"),"Waqt l-irtirar mill-Fort William Henry, x’għamlu xi alleati Indjani tal-Franċiżi?")</f>
        <v>Waqt l-irtirar mill-Fort William Henry, x’għamlu xi alleati Indjani tal-Franċiżi?</v>
      </c>
    </row>
    <row r="7648" ht="15.75" customHeight="1">
      <c r="A7648" s="2" t="s">
        <v>7648</v>
      </c>
      <c r="B7648" s="2" t="str">
        <f>IFERROR(__xludf.DUMMYFUNCTION("GOOGLETRANSLATE(A7648, ""en"", ""mt"")"),"Il-Kunsill tal-Belt ta 'Edinburgu")</f>
        <v>Il-Kunsill tal-Belt ta 'Edinburgu</v>
      </c>
    </row>
    <row r="7649" ht="15.75" customHeight="1">
      <c r="A7649" s="2" t="s">
        <v>7649</v>
      </c>
      <c r="B7649" s="2" t="str">
        <f>IFERROR(__xludf.DUMMYFUNCTION("GOOGLETRANSLATE(A7649, ""en"", ""mt"")"),"T li tirrendi ċerti liġijiet ineffettivi, biex tikkawża r-revoka tagħhom, jew li tagħmel pressjoni biex tikseb ix-xewqat politiċi ta 'wieħed fuq xi kwistjoni oħra")</f>
        <v>T li tirrendi ċerti liġijiet ineffettivi, biex tikkawża r-revoka tagħhom, jew li tagħmel pressjoni biex tikseb ix-xewqat politiċi ta 'wieħed fuq xi kwistjoni oħra</v>
      </c>
    </row>
    <row r="7650" ht="15.75" customHeight="1">
      <c r="A7650" s="2" t="s">
        <v>7650</v>
      </c>
      <c r="B7650" s="2" t="str">
        <f>IFERROR(__xludf.DUMMYFUNCTION("GOOGLETRANSLATE(A7650, ""en"", ""mt"")"),"kanal ciliary")</f>
        <v>kanal ciliary</v>
      </c>
    </row>
    <row r="7651" ht="15.75" customHeight="1">
      <c r="A7651" s="2" t="s">
        <v>7651</v>
      </c>
      <c r="B7651" s="2" t="str">
        <f>IFERROR(__xludf.DUMMYFUNCTION("GOOGLETRANSLATE(A7651, ""en"", ""mt"")"),"X'kien l-iskop tat-Torok f'moħħu ta 'Luther?")</f>
        <v>X'kien l-iskop tat-Torok f'moħħu ta 'Luther?</v>
      </c>
    </row>
    <row r="7652" ht="15.75" customHeight="1">
      <c r="A7652" s="2" t="s">
        <v>7652</v>
      </c>
      <c r="B7652" s="2" t="str">
        <f>IFERROR(__xludf.DUMMYFUNCTION("GOOGLETRANSLATE(A7652, ""en"", ""mt"")"),"L-istat huwa l-aktar komuni u promoss mill-gruppi tat-turiżmu reġjonali tiegħu bħala li jikkonsisti f'reġjuni ta 'Tramuntana, Ċentrali u tan-Nofsinhar ta' California. Iż-żewġ klabbs tal-karozzi AAA tal-istat, l-Assoċjazzjoni tal-Karozzi tal-Istat ta 'Cali"&amp;"fornia u l-Klabb tal-Karozzi tan-Nofsinhar ta' California, jagħżlu li jissimplifikaw il-kwistjonijiet billi jaqsmu l-istat skond il-linji fejn japplikaw il-ġurisdizzjonijiet tagħhom għas-sħubija, bħalma huma jew it-Tramuntana jew in-Nofsinhar ta 'Californ"&amp;"ia, b'kuntrast ma' Il-perspettiva bi tliet reġjuni. Influwenza oħra hija l-frażi ġeografika fin-Nofsinhar tat-Tehachapis, li taqsam ir-reġjun tan-Nofsinhar barra mill-krest ta 'dik il-firxa trasversa Ir-reġjun tan-Nofsinhar tal-Kalifornja minħabba l-bogħo"&amp;"d mill-wied ċentrali u l-pajsaġġ tad-deżert intern.")</f>
        <v>L-istat huwa l-aktar komuni u promoss mill-gruppi tat-turiżmu reġjonali tiegħu bħala li jikkonsisti f'reġjuni ta 'Tramuntana, Ċentrali u tan-Nofsinhar ta' California. Iż-żewġ klabbs tal-karozzi AAA tal-istat, l-Assoċjazzjoni tal-Karozzi tal-Istat ta 'California u l-Klabb tal-Karozzi tan-Nofsinhar ta' California, jagħżlu li jissimplifikaw il-kwistjonijiet billi jaqsmu l-istat skond il-linji fejn japplikaw il-ġurisdizzjonijiet tagħhom għas-sħubija, bħalma huma jew it-Tramuntana jew in-Nofsinhar ta 'California, b'kuntrast ma' Il-perspettiva bi tliet reġjuni. Influwenza oħra hija l-frażi ġeografika fin-Nofsinhar tat-Tehachapis, li taqsam ir-reġjun tan-Nofsinhar barra mill-krest ta 'dik il-firxa trasversa Ir-reġjun tan-Nofsinhar tal-Kalifornja minħabba l-bogħod mill-wied ċentrali u l-pajsaġġ tad-deżert intern.</v>
      </c>
    </row>
    <row r="7653" ht="15.75" customHeight="1">
      <c r="A7653" s="2" t="s">
        <v>7653</v>
      </c>
      <c r="B7653" s="2" t="str">
        <f>IFERROR(__xludf.DUMMYFUNCTION("GOOGLETRANSLATE(A7653, ""en"", ""mt"")"),"Kemm mill-aktar sinjuri 400 Amerikani kibru fi privileġġ sostanzjali?")</f>
        <v>Kemm mill-aktar sinjuri 400 Amerikani kibru fi privileġġ sostanzjali?</v>
      </c>
    </row>
    <row r="7654" ht="15.75" customHeight="1">
      <c r="A7654" s="2" t="s">
        <v>7654</v>
      </c>
      <c r="B7654" s="2" t="str">
        <f>IFERROR(__xludf.DUMMYFUNCTION("GOOGLETRANSLATE(A7654, ""en"", ""mt"")"),"Liema teorema tibqa 'valida f'oqsma uniċi ta' fatturizzazzjoni?")</f>
        <v>Liema teorema tibqa 'valida f'oqsma uniċi ta' fatturizzazzjoni?</v>
      </c>
    </row>
    <row r="7655" ht="15.75" customHeight="1">
      <c r="A7655" s="2" t="s">
        <v>7655</v>
      </c>
      <c r="B7655" s="2" t="str">
        <f>IFERROR(__xludf.DUMMYFUNCTION("GOOGLETRANSLATE(A7655, ""en"", ""mt"")"),"Xi jfisser xi ħadd li jlesti l-programm inizjali tal-edukazzjoni tal-għalliema (ITE)?")</f>
        <v>Xi jfisser xi ħadd li jlesti l-programm inizjali tal-edukazzjoni tal-għalliema (ITE)?</v>
      </c>
    </row>
    <row r="7656" ht="15.75" customHeight="1">
      <c r="A7656" s="2" t="s">
        <v>7656</v>
      </c>
      <c r="B7656" s="2" t="str">
        <f>IFERROR(__xludf.DUMMYFUNCTION("GOOGLETRANSLATE(A7656, ""en"", ""mt"")"),"Minbarra l-liġijiet tal-art, x'iktar ma kinux sodisfatti l-Californios?")</f>
        <v>Minbarra l-liġijiet tal-art, x'iktar ma kinux sodisfatti l-Californios?</v>
      </c>
    </row>
    <row r="7657" ht="15.75" customHeight="1">
      <c r="A7657" s="2" t="s">
        <v>7657</v>
      </c>
      <c r="B7657" s="2" t="str">
        <f>IFERROR(__xludf.DUMMYFUNCTION("GOOGLETRANSLATE(A7657, ""en"", ""mt"")"),"Netwerking avvanzat ta 'riċerka u edukazzjoni")</f>
        <v>Netwerking avvanzat ta 'riċerka u edukazzjoni</v>
      </c>
    </row>
    <row r="7658" ht="15.75" customHeight="1">
      <c r="A7658" s="2" t="s">
        <v>7658</v>
      </c>
      <c r="B7658" s="2" t="str">
        <f>IFERROR(__xludf.DUMMYFUNCTION("GOOGLETRANSLATE(A7658, ""en"", ""mt"")"),"Problemi semantiċi")</f>
        <v>Problemi semantiċi</v>
      </c>
    </row>
    <row r="7659" ht="15.75" customHeight="1">
      <c r="A7659" s="2" t="s">
        <v>7659</v>
      </c>
      <c r="B7659" s="2" t="str">
        <f>IFERROR(__xludf.DUMMYFUNCTION("GOOGLETRANSLATE(A7659, ""en"", ""mt"")"),"Mewt fil-ġisem u r-ruħ")</f>
        <v>Mewt fil-ġisem u r-ruħ</v>
      </c>
    </row>
    <row r="7660" ht="15.75" customHeight="1">
      <c r="A7660" s="2" t="s">
        <v>7660</v>
      </c>
      <c r="B7660" s="2" t="str">
        <f>IFERROR(__xludf.DUMMYFUNCTION("GOOGLETRANSLATE(A7660, ""en"", ""mt"")"),"X’taħseb li kien kullimkien fl-univers?")</f>
        <v>X’taħseb li kien kullimkien fl-univers?</v>
      </c>
    </row>
    <row r="7661" ht="15.75" customHeight="1">
      <c r="A7661" s="2" t="s">
        <v>7661</v>
      </c>
      <c r="B7661" s="2" t="str">
        <f>IFERROR(__xludf.DUMMYFUNCTION("GOOGLETRANSLATE(A7661, ""en"", ""mt"")"),"ctenophores u cnidarians")</f>
        <v>ctenophores u cnidarians</v>
      </c>
    </row>
    <row r="7662" ht="15.75" customHeight="1">
      <c r="A7662" s="2" t="s">
        <v>7662</v>
      </c>
      <c r="B7662" s="2" t="str">
        <f>IFERROR(__xludf.DUMMYFUNCTION("GOOGLETRANSLATE(A7662, ""en"", ""mt"")"),"Ktieb tal-Qima Metodista Magħquda")</f>
        <v>Ktieb tal-Qima Metodista Magħquda</v>
      </c>
    </row>
    <row r="7663" ht="15.75" customHeight="1">
      <c r="A7663" s="2" t="s">
        <v>7663</v>
      </c>
      <c r="B7663" s="2" t="str">
        <f>IFERROR(__xludf.DUMMYFUNCTION("GOOGLETRANSLATE(A7663, ""en"", ""mt"")"),"eventwalment aqsam id-dinja fi tnejn")</f>
        <v>eventwalment aqsam id-dinja fi tnejn</v>
      </c>
    </row>
    <row r="7664" ht="15.75" customHeight="1">
      <c r="A7664" s="2" t="s">
        <v>7664</v>
      </c>
      <c r="B7664" s="2" t="str">
        <f>IFERROR(__xludf.DUMMYFUNCTION("GOOGLETRANSLATE(A7664, ""en"", ""mt"")"),"aktar pożittiv")</f>
        <v>aktar pożittiv</v>
      </c>
    </row>
    <row r="7665" ht="15.75" customHeight="1">
      <c r="A7665" s="2" t="s">
        <v>7665</v>
      </c>
      <c r="B7665" s="2" t="str">
        <f>IFERROR(__xludf.DUMMYFUNCTION("GOOGLETRANSLATE(A7665, ""en"", ""mt"")"),"ix-Xlokk tal-Awstralja")</f>
        <v>ix-Xlokk tal-Awstralja</v>
      </c>
    </row>
    <row r="7666" ht="15.75" customHeight="1">
      <c r="A7666" s="2" t="s">
        <v>7666</v>
      </c>
      <c r="B7666" s="2" t="str">
        <f>IFERROR(__xludf.DUMMYFUNCTION("GOOGLETRANSLATE(A7666, ""en"", ""mt"")"),"Il-Workshop Radjofoniku tal-BBC")</f>
        <v>Il-Workshop Radjofoniku tal-BBC</v>
      </c>
    </row>
    <row r="7667" ht="15.75" customHeight="1">
      <c r="A7667" s="2" t="s">
        <v>7667</v>
      </c>
      <c r="B7667" s="2" t="str">
        <f>IFERROR(__xludf.DUMMYFUNCTION("GOOGLETRANSLATE(A7667, ""en"", ""mt"")"),"Kemm kien qrib il-mewt tiegħu x-xogħol ippubblikat?")</f>
        <v>Kemm kien qrib il-mewt tiegħu x-xogħol ippubblikat?</v>
      </c>
    </row>
    <row r="7668" ht="15.75" customHeight="1">
      <c r="A7668" s="2" t="s">
        <v>7668</v>
      </c>
      <c r="B7668" s="2" t="str">
        <f>IFERROR(__xludf.DUMMYFUNCTION("GOOGLETRANSLATE(A7668, ""en"", ""mt"")"),"X'kienet l-ispiża tal-bidu għal kummerċ tat-TV li jdum 30 sekonda u l-arja matul is-Super Bowl 50?")</f>
        <v>X'kienet l-ispiża tal-bidu għal kummerċ tat-TV li jdum 30 sekonda u l-arja matul is-Super Bowl 50?</v>
      </c>
    </row>
    <row r="7669" ht="15.75" customHeight="1">
      <c r="A7669" s="2" t="s">
        <v>7669</v>
      </c>
      <c r="B7669" s="2" t="str">
        <f>IFERROR(__xludf.DUMMYFUNCTION("GOOGLETRANSLATE(A7669, ""en"", ""mt"")"),"Għal xiex tfisser LGM?")</f>
        <v>Għal xiex tfisser LGM?</v>
      </c>
    </row>
    <row r="7670" ht="15.75" customHeight="1">
      <c r="A7670" s="2" t="s">
        <v>7670</v>
      </c>
      <c r="B7670" s="2" t="str">
        <f>IFERROR(__xludf.DUMMYFUNCTION("GOOGLETRANSLATE(A7670, ""en"", ""mt"")"),"Obbligatorju")</f>
        <v>Obbligatorju</v>
      </c>
    </row>
    <row r="7671" ht="15.75" customHeight="1">
      <c r="A7671" s="2" t="s">
        <v>7671</v>
      </c>
      <c r="B7671" s="2" t="str">
        <f>IFERROR(__xludf.DUMMYFUNCTION("GOOGLETRANSLATE(A7671, ""en"", ""mt"")"),"Ipotesi ta 'Hugues")</f>
        <v>Ipotesi ta 'Hugues</v>
      </c>
    </row>
    <row r="7672" ht="15.75" customHeight="1">
      <c r="A7672" s="2" t="s">
        <v>7672</v>
      </c>
      <c r="B7672" s="2" t="str">
        <f>IFERROR(__xludf.DUMMYFUNCTION("GOOGLETRANSLATE(A7672, ""en"", ""mt"")"),"Fis-snin sebgħin, il-belt kienet is-suġġett ta 'kanzunetta, ""Walking In Fresno"", miktuba mill-kitarrist tas-Sala tal-Eroj Bill Aken u rrekordjat minn Bob Gallion of the World-famuż ""WWVA Jamboree"" Radju u Televiżiv Show in Wheeling, West Virginia - Ak"&amp;"en, adottat mill-attriċi tal-films Messikani Lupe Mayorga, kiber fil-belt ġirien ta 'Madera u l-kanzunetta tiegħu kronikaw it-tbatijiet li jħabbtu wiċċhom magħhom il-ħaddiema tal-farm migranti li ra bħala tifel. Aken għamel ukoll l-ewwel dehra tat-TV tieg"&amp;"ħu jdoqq il-kitarra fuq l-ispettaklu l-qadim tal-Punent fil-Fresno Barn.")</f>
        <v>Fis-snin sebgħin, il-belt kienet is-suġġett ta 'kanzunetta, "Walking In Fresno", miktuba mill-kitarrist tas-Sala tal-Eroj Bill Aken u rrekordjat minn Bob Gallion of the World-famuż "WWVA Jamboree" Radju u Televiżiv Show in Wheeling, West Virginia - Aken, adottat mill-attriċi tal-films Messikani Lupe Mayorga, kiber fil-belt ġirien ta 'Madera u l-kanzunetta tiegħu kronikaw it-tbatijiet li jħabbtu wiċċhom magħhom il-ħaddiema tal-farm migranti li ra bħala tifel. Aken għamel ukoll l-ewwel dehra tat-TV tiegħu jdoqq il-kitarra fuq l-ispettaklu l-qadim tal-Punent fil-Fresno Barn.</v>
      </c>
    </row>
    <row r="7673" ht="15.75" customHeight="1">
      <c r="A7673" s="2" t="s">
        <v>7673</v>
      </c>
      <c r="B7673" s="2" t="str">
        <f>IFERROR(__xludf.DUMMYFUNCTION("GOOGLETRANSLATE(A7673, ""en"", ""mt"")"),"Il-Ġappun u l-Amerika Latina")</f>
        <v>Il-Ġappun u l-Amerika Latina</v>
      </c>
    </row>
    <row r="7674" ht="15.75" customHeight="1">
      <c r="A7674" s="2" t="s">
        <v>7674</v>
      </c>
      <c r="B7674" s="2" t="str">
        <f>IFERROR(__xludf.DUMMYFUNCTION("GOOGLETRANSLATE(A7674, ""en"", ""mt"")"),"X'inhuma l-klades?")</f>
        <v>X'inhuma l-klades?</v>
      </c>
    </row>
    <row r="7675" ht="15.75" customHeight="1">
      <c r="A7675" s="2" t="s">
        <v>7675</v>
      </c>
      <c r="B7675" s="2" t="str">
        <f>IFERROR(__xludf.DUMMYFUNCTION("GOOGLETRANSLATE(A7675, ""en"", ""mt"")"),"ABC xtrat 20 acres ta 'art f'Hollwood fl-1949 li saret liema studio?")</f>
        <v>ABC xtrat 20 acres ta 'art f'Hollwood fl-1949 li saret liema studio?</v>
      </c>
    </row>
    <row r="7676" ht="15.75" customHeight="1">
      <c r="A7676" s="2" t="s">
        <v>7676</v>
      </c>
      <c r="B7676" s="2" t="str">
        <f>IFERROR(__xludf.DUMMYFUNCTION("GOOGLETRANSLATE(A7676, ""en"", ""mt"")"),"Fresno Traction Company")</f>
        <v>Fresno Traction Company</v>
      </c>
    </row>
    <row r="7677" ht="15.75" customHeight="1">
      <c r="A7677" s="2" t="s">
        <v>7677</v>
      </c>
      <c r="B7677" s="2" t="str">
        <f>IFERROR(__xludf.DUMMYFUNCTION("GOOGLETRANSLATE(A7677, ""en"", ""mt"")"),"Kemm-il sena għandu ragħaj lokali jattendi kors ta 'studju fis-Seminarju Approvat Metodist?")</f>
        <v>Kemm-il sena għandu ragħaj lokali jattendi kors ta 'studju fis-Seminarju Approvat Metodist?</v>
      </c>
    </row>
    <row r="7678" ht="15.75" customHeight="1">
      <c r="A7678" s="2" t="s">
        <v>7678</v>
      </c>
      <c r="B7678" s="2" t="str">
        <f>IFERROR(__xludf.DUMMYFUNCTION("GOOGLETRANSLATE(A7678, ""en"", ""mt"")"),"Kemm-il darba jsiru l-elezzjonijiet għall-Parlament Vittorjan?")</f>
        <v>Kemm-il darba jsiru l-elezzjonijiet għall-Parlament Vittorjan?</v>
      </c>
    </row>
    <row r="7679" ht="15.75" customHeight="1">
      <c r="A7679" s="2" t="s">
        <v>7679</v>
      </c>
      <c r="B7679" s="2" t="str">
        <f>IFERROR(__xludf.DUMMYFUNCTION("GOOGLETRANSLATE(A7679, ""en"", ""mt"")"),"Kif jintgħażlu l-membri tal-kabinett Vittorjan?")</f>
        <v>Kif jintgħażlu l-membri tal-kabinett Vittorjan?</v>
      </c>
    </row>
    <row r="7680" ht="15.75" customHeight="1">
      <c r="A7680" s="2" t="s">
        <v>7680</v>
      </c>
      <c r="B7680" s="2" t="str">
        <f>IFERROR(__xludf.DUMMYFUNCTION("GOOGLETRANSLATE(A7680, ""en"", ""mt"")"),"X'tip ta 'arkitettura hija rappreżentata fil-knejjes maestużi?")</f>
        <v>X'tip ta 'arkitettura hija rappreżentata fil-knejjes maestużi?</v>
      </c>
    </row>
    <row r="7681" ht="15.75" customHeight="1">
      <c r="A7681" s="2" t="s">
        <v>7681</v>
      </c>
      <c r="B7681" s="2" t="str">
        <f>IFERROR(__xludf.DUMMYFUNCTION("GOOGLETRANSLATE(A7681, ""en"", ""mt"")"),"X'jiġġeneraw fortuni akbar?")</f>
        <v>X'jiġġeneraw fortuni akbar?</v>
      </c>
    </row>
    <row r="7682" ht="15.75" customHeight="1">
      <c r="A7682" s="2" t="s">
        <v>7682</v>
      </c>
      <c r="B7682" s="2" t="str">
        <f>IFERROR(__xludf.DUMMYFUNCTION("GOOGLETRANSLATE(A7682, ""en"", ""mt"")"),"Piena immedjata u ġusta għal imġieba ħażina")</f>
        <v>Piena immedjata u ġusta għal imġieba ħażina</v>
      </c>
    </row>
    <row r="7683" ht="15.75" customHeight="1">
      <c r="A7683" s="2" t="s">
        <v>7683</v>
      </c>
      <c r="B7683" s="2" t="str">
        <f>IFERROR(__xludf.DUMMYFUNCTION("GOOGLETRANSLATE(A7683, ""en"", ""mt"")"),"""West Side""")</f>
        <v>"West Side"</v>
      </c>
    </row>
    <row r="7684" ht="15.75" customHeight="1">
      <c r="A7684" s="2" t="s">
        <v>7684</v>
      </c>
      <c r="B7684" s="2" t="str">
        <f>IFERROR(__xludf.DUMMYFUNCTION("GOOGLETRANSLATE(A7684, ""en"", ""mt"")"),"Sistema 8–4-4")</f>
        <v>Sistema 8–4-4</v>
      </c>
    </row>
    <row r="7685" ht="15.75" customHeight="1">
      <c r="A7685" s="2" t="s">
        <v>7685</v>
      </c>
      <c r="B7685" s="2" t="str">
        <f>IFERROR(__xludf.DUMMYFUNCTION("GOOGLETRANSLATE(A7685, ""en"", ""mt"")"),"Il-ġeoloġi strutturali jużaw analiżi mikroskopika ta 'sezzjonijiet irqaq orjentati ta' kampjuni ġeoloġiċi biex josservaw id-drapp fil-blat li jagħti informazzjoni dwar ir-razza fl-istruttura kristallina tal-blat. Huma wkoll jippjanaw u jikkombinaw kejl ta"&amp;" 'strutturi ġeoloġiċi sabiex jifhmu aħjar l-orjentazzjonijiet ta' ħsarat u jingħalaq sabiex terġa 'tinbena l-istorja tad-deformazzjoni tal-blat fiż-żona. Barra minn hekk, huma jwettqu esperimenti analogi u numeriċi ta 'deformazzjoni tal-blat f'ambjenti kb"&amp;"ar u żgħar.")</f>
        <v>Il-ġeoloġi strutturali jużaw analiżi mikroskopika ta 'sezzjonijiet irqaq orjentati ta' kampjuni ġeoloġiċi biex josservaw id-drapp fil-blat li jagħti informazzjoni dwar ir-razza fl-istruttura kristallina tal-blat. Huma wkoll jippjanaw u jikkombinaw kejl ta 'strutturi ġeoloġiċi sabiex jifhmu aħjar l-orjentazzjonijiet ta' ħsarat u jingħalaq sabiex terġa 'tinbena l-istorja tad-deformazzjoni tal-blat fiż-żona. Barra minn hekk, huma jwettqu esperimenti analogi u numeriċi ta 'deformazzjoni tal-blat f'ambjenti kbar u żgħar.</v>
      </c>
    </row>
    <row r="7686" ht="15.75" customHeight="1">
      <c r="A7686" s="2" t="s">
        <v>7686</v>
      </c>
      <c r="B7686" s="2" t="str">
        <f>IFERROR(__xludf.DUMMYFUNCTION("GOOGLETRANSLATE(A7686, ""en"", ""mt"")"),"L-UMC tipprojbixxi ċ-ċelebrazzjoni ta 'liema tip ta' unions?")</f>
        <v>L-UMC tipprojbixxi ċ-ċelebrazzjoni ta 'liema tip ta' unions?</v>
      </c>
    </row>
    <row r="7687" ht="15.75" customHeight="1">
      <c r="A7687" s="2" t="s">
        <v>7687</v>
      </c>
      <c r="B7687" s="2" t="str">
        <f>IFERROR(__xludf.DUMMYFUNCTION("GOOGLETRANSLATE(A7687, ""en"", ""mt"")"),"F'liema każ ġie kkonstatat li d-dispożizzjonijiet tat-trattati huma effettivi direttament jekk huma ċari, inkondizzjonati, u m'għandhomx bżonn aktar azzjoni mill-UE jew mill-awtoritajiet nazzjonali?")</f>
        <v>F'liema każ ġie kkonstatat li d-dispożizzjonijiet tat-trattati huma effettivi direttament jekk huma ċari, inkondizzjonati, u m'għandhomx bżonn aktar azzjoni mill-UE jew mill-awtoritajiet nazzjonali?</v>
      </c>
    </row>
    <row r="7688" ht="15.75" customHeight="1">
      <c r="A7688" s="2" t="s">
        <v>7688</v>
      </c>
      <c r="B7688" s="2" t="str">
        <f>IFERROR(__xludf.DUMMYFUNCTION("GOOGLETRANSLATE(A7688, ""en"", ""mt"")"),"amiloplasti")</f>
        <v>amiloplasti</v>
      </c>
    </row>
    <row r="7689" ht="15.75" customHeight="1">
      <c r="A7689" s="2" t="s">
        <v>7689</v>
      </c>
      <c r="B7689" s="2" t="str">
        <f>IFERROR(__xludf.DUMMYFUNCTION("GOOGLETRANSLATE(A7689, ""en"", ""mt"")"),"⅓ lil Tesla, ⅓ għal Peck u Brown, u ⅓ biex tiffinanzja l-iżvilupp")</f>
        <v>⅓ lil Tesla, ⅓ għal Peck u Brown, u ⅓ biex tiffinanzja l-iżvilupp</v>
      </c>
    </row>
    <row r="7690" ht="15.75" customHeight="1">
      <c r="A7690" s="2" t="s">
        <v>7690</v>
      </c>
      <c r="B7690" s="2" t="str">
        <f>IFERROR(__xludf.DUMMYFUNCTION("GOOGLETRANSLATE(A7690, ""en"", ""mt"")"),"Liema titlu nominali kellhom l-imperaturi Yuan?")</f>
        <v>Liema titlu nominali kellhom l-imperaturi Yuan?</v>
      </c>
    </row>
    <row r="7691" ht="15.75" customHeight="1">
      <c r="A7691" s="2" t="s">
        <v>7691</v>
      </c>
      <c r="B7691" s="2" t="str">
        <f>IFERROR(__xludf.DUMMYFUNCTION("GOOGLETRANSLATE(A7691, ""en"", ""mt"")"),"Reazzjoni kontra l-industrijaliazzjoni kkontribwiet għall-iżvilupp ta 'dak il-moviment artistiku fl-aħħar tas-seklu 19")</f>
        <v>Reazzjoni kontra l-industrijaliazzjoni kkontribwiet għall-iżvilupp ta 'dak il-moviment artistiku fl-aħħar tas-seklu 19</v>
      </c>
    </row>
    <row r="7692" ht="15.75" customHeight="1">
      <c r="A7692" s="2" t="s">
        <v>7692</v>
      </c>
      <c r="B7692" s="2" t="str">
        <f>IFERROR(__xludf.DUMMYFUNCTION("GOOGLETRANSLATE(A7692, ""en"", ""mt"")"),"L-ispiżerija tal-mili għandha responsabbiltà korrispondenti biex tiżgura li l-preskrizzjoni tkun valida")</f>
        <v>L-ispiżerija tal-mili għandha responsabbiltà korrispondenti biex tiżgura li l-preskrizzjoni tkun valida</v>
      </c>
    </row>
    <row r="7693" ht="15.75" customHeight="1">
      <c r="A7693" s="2" t="s">
        <v>7693</v>
      </c>
      <c r="B7693" s="2" t="str">
        <f>IFERROR(__xludf.DUMMYFUNCTION("GOOGLETRANSLATE(A7693, ""en"", ""mt"")"),"Wara li ġarrab korriment")</f>
        <v>Wara li ġarrab korriment</v>
      </c>
    </row>
    <row r="7694" ht="15.75" customHeight="1">
      <c r="A7694" s="2" t="s">
        <v>7694</v>
      </c>
      <c r="B7694" s="2" t="str">
        <f>IFERROR(__xludf.DUMMYFUNCTION("GOOGLETRANSLATE(A7694, ""en"", ""mt"")"),"X'tip ta 'korp tal-ilma huwa maħsub li qed joskura s-sit tad-dfin ta' Genghis Khan?")</f>
        <v>X'tip ta 'korp tal-ilma huwa maħsub li qed joskura s-sit tad-dfin ta' Genghis Khan?</v>
      </c>
    </row>
    <row r="7695" ht="15.75" customHeight="1">
      <c r="A7695" s="2" t="s">
        <v>7695</v>
      </c>
      <c r="B7695" s="2" t="str">
        <f>IFERROR(__xludf.DUMMYFUNCTION("GOOGLETRANSLATE(A7695, ""en"", ""mt"")"),"Meta wera episodju estiż ta 'Doctor Who wera?")</f>
        <v>Meta wera episodju estiż ta 'Doctor Who wera?</v>
      </c>
    </row>
    <row r="7696" ht="15.75" customHeight="1">
      <c r="A7696" s="2" t="s">
        <v>7696</v>
      </c>
      <c r="B7696" s="2" t="str">
        <f>IFERROR(__xludf.DUMMYFUNCTION("GOOGLETRANSLATE(A7696, ""en"", ""mt"")"),"Skond l-istudjużi ġeografiċi taħt l-imperi kolonizzanti, id-dinja tista 'tinqasam f'żoni klimatiċi. Dawn l-istudjużi jemmnu li l-Ewropa tat-Tramuntana u l-klima moderata f'nofs l-Atlantiku pproduċew bniedem li jaħdem ħafna, morali u li jispikka. Alternatt"&amp;"ivament, klimi tropikali taw attitudnijiet għażżien, promiskuità sesswali, kultura eżotika, u deġenerazzjoni morali. In-nies ta 'dawn il-klimi kienu maħsuba li għandhom bżonn gwida u intervent mill-Imperu Ewropew biex jgħinu fil-gvern ta' struttura soċjal"&amp;"i aktar evolvuta; Kienu meqjusa bħala inkapaċi ta 'tali proeza. Bl-istess mod, l-Orjentaliżmu huwa veduta ta 'nies ibbażati fuq il-post ġeografiku tagħhom.")</f>
        <v>Skond l-istudjużi ġeografiċi taħt l-imperi kolonizzanti, id-dinja tista 'tinqasam f'żoni klimatiċi. Dawn l-istudjużi jemmnu li l-Ewropa tat-Tramuntana u l-klima moderata f'nofs l-Atlantiku pproduċew bniedem li jaħdem ħafna, morali u li jispikka. Alternattivament, klimi tropikali taw attitudnijiet għażżien, promiskuità sesswali, kultura eżotika, u deġenerazzjoni morali. In-nies ta 'dawn il-klimi kienu maħsuba li għandhom bżonn gwida u intervent mill-Imperu Ewropew biex jgħinu fil-gvern ta' struttura soċjali aktar evolvuta; Kienu meqjusa bħala inkapaċi ta 'tali proeza. Bl-istess mod, l-Orjentaliżmu huwa veduta ta 'nies ibbażati fuq il-post ġeografiku tagħhom.</v>
      </c>
    </row>
    <row r="7697" ht="15.75" customHeight="1">
      <c r="A7697" s="2" t="s">
        <v>7697</v>
      </c>
      <c r="B7697" s="2" t="str">
        <f>IFERROR(__xludf.DUMMYFUNCTION("GOOGLETRANSLATE(A7697, ""en"", ""mt"")"),"karozza")</f>
        <v>karozza</v>
      </c>
    </row>
    <row r="7698" ht="15.75" customHeight="1">
      <c r="A7698" s="2" t="s">
        <v>7698</v>
      </c>
      <c r="B7698" s="2" t="str">
        <f>IFERROR(__xludf.DUMMYFUNCTION("GOOGLETRANSLATE(A7698, ""en"", ""mt"")"),"Kemm tunnellata ta 'trab jibqa' fl-arja?")</f>
        <v>Kemm tunnellata ta 'trab jibqa' fl-arja?</v>
      </c>
    </row>
    <row r="7699" ht="15.75" customHeight="1">
      <c r="A7699" s="2" t="s">
        <v>7699</v>
      </c>
      <c r="B7699" s="2" t="str">
        <f>IFERROR(__xludf.DUMMYFUNCTION("GOOGLETRANSLATE(A7699, ""en"", ""mt"")"),"enżima msejħa Rubisco")</f>
        <v>enżima msejħa Rubisco</v>
      </c>
    </row>
    <row r="7700" ht="15.75" customHeight="1">
      <c r="A7700" s="2" t="s">
        <v>7700</v>
      </c>
      <c r="B7700" s="2" t="str">
        <f>IFERROR(__xludf.DUMMYFUNCTION("GOOGLETRANSLATE(A7700, ""en"", ""mt"")"),"Kemm għandu jkun hemm maġġoranza tal-vot li jkun hemm biex tiċċensura b'mod effettiv il-kummissjoni?")</f>
        <v>Kemm għandu jkun hemm maġġoranza tal-vot li jkun hemm biex tiċċensura b'mod effettiv il-kummissjoni?</v>
      </c>
    </row>
    <row r="7701" ht="15.75" customHeight="1">
      <c r="A7701" s="2" t="s">
        <v>7701</v>
      </c>
      <c r="B7701" s="2" t="str">
        <f>IFERROR(__xludf.DUMMYFUNCTION("GOOGLETRANSLATE(A7701, ""en"", ""mt"")"),"saħħtu")</f>
        <v>saħħtu</v>
      </c>
    </row>
    <row r="7702" ht="15.75" customHeight="1">
      <c r="A7702" s="2" t="s">
        <v>7702</v>
      </c>
      <c r="B7702" s="2" t="str">
        <f>IFERROR(__xludf.DUMMYFUNCTION("GOOGLETRANSLATE(A7702, ""en"", ""mt"")"),"jippreskrivu u jwarrbu mediċini biss bir-riċetta lill-pazjenti tagħhom minn ġewwa l-prattiki tagħhom")</f>
        <v>jippreskrivu u jwarrbu mediċini biss bir-riċetta lill-pazjenti tagħhom minn ġewwa l-prattiki tagħhom</v>
      </c>
    </row>
    <row r="7703" ht="15.75" customHeight="1">
      <c r="A7703" s="2" t="s">
        <v>7703</v>
      </c>
      <c r="B7703" s="2" t="str">
        <f>IFERROR(__xludf.DUMMYFUNCTION("GOOGLETRANSLATE(A7703, ""en"", ""mt"")"),"X'inhu Statocyst?")</f>
        <v>X'inhu Statocyst?</v>
      </c>
    </row>
    <row r="7704" ht="15.75" customHeight="1">
      <c r="A7704" s="2" t="s">
        <v>7704</v>
      </c>
      <c r="B7704" s="2" t="str">
        <f>IFERROR(__xludf.DUMMYFUNCTION("GOOGLETRANSLATE(A7704, ""en"", ""mt"")"),"unifikazzjoni")</f>
        <v>unifikazzjoni</v>
      </c>
    </row>
    <row r="7705" ht="15.75" customHeight="1">
      <c r="A7705" s="2" t="s">
        <v>7705</v>
      </c>
      <c r="B7705" s="2" t="str">
        <f>IFERROR(__xludf.DUMMYFUNCTION("GOOGLETRANSLATE(A7705, ""en"", ""mt"")"),"Kemm interazzjonijiet huma bbażati fuq il-forzi universali kollha?")</f>
        <v>Kemm interazzjonijiet huma bbażati fuq il-forzi universali kollha?</v>
      </c>
    </row>
    <row r="7706" ht="15.75" customHeight="1">
      <c r="A7706" s="2" t="s">
        <v>7706</v>
      </c>
      <c r="B7706" s="2" t="str">
        <f>IFERROR(__xludf.DUMMYFUNCTION("GOOGLETRANSLATE(A7706, ""en"", ""mt"")"),"Xi jfisser is-sjieda privata ta 'xi ħaġa?")</f>
        <v>Xi jfisser is-sjieda privata ta 'xi ħaġa?</v>
      </c>
    </row>
    <row r="7707" ht="15.75" customHeight="1">
      <c r="A7707" s="2" t="s">
        <v>7707</v>
      </c>
      <c r="B7707" s="2" t="str">
        <f>IFERROR(__xludf.DUMMYFUNCTION("GOOGLETRANSLATE(A7707, ""en"", ""mt"")"),"Kważi 3,000")</f>
        <v>Kważi 3,000</v>
      </c>
    </row>
    <row r="7708" ht="15.75" customHeight="1">
      <c r="A7708" s="2" t="s">
        <v>7708</v>
      </c>
      <c r="B7708" s="2" t="str">
        <f>IFERROR(__xludf.DUMMYFUNCTION("GOOGLETRANSLATE(A7708, ""en"", ""mt"")"),"Serje ta 'stufi taċ-ċeramika mżejna b'mod elaborat")</f>
        <v>Serje ta 'stufi taċ-ċeramika mżejna b'mod elaborat</v>
      </c>
    </row>
    <row r="7709" ht="15.75" customHeight="1">
      <c r="A7709" s="2" t="s">
        <v>7709</v>
      </c>
      <c r="B7709" s="2" t="str">
        <f>IFERROR(__xludf.DUMMYFUNCTION("GOOGLETRANSLATE(A7709, ""en"", ""mt"")"),"Evita l- ""inkonvenjent"" li żżur tabib jew li tikseb mediċini li t-tobba tagħhom ma riedux jippreskrivu")</f>
        <v>Evita l- "inkonvenjent" li żżur tabib jew li tikseb mediċini li t-tobba tagħhom ma riedux jippreskrivu</v>
      </c>
    </row>
    <row r="7710" ht="15.75" customHeight="1">
      <c r="A7710" s="2" t="s">
        <v>7710</v>
      </c>
      <c r="B7710" s="2" t="str">
        <f>IFERROR(__xludf.DUMMYFUNCTION("GOOGLETRANSLATE(A7710, ""en"", ""mt"")"),"ma jibbenefikawx l-Iskozja daqs kemm għandhom")</f>
        <v>ma jibbenefikawx l-Iskozja daqs kemm għandhom</v>
      </c>
    </row>
    <row r="7711" ht="15.75" customHeight="1">
      <c r="A7711" s="2" t="s">
        <v>7711</v>
      </c>
      <c r="B7711" s="2" t="str">
        <f>IFERROR(__xludf.DUMMYFUNCTION("GOOGLETRANSLATE(A7711, ""en"", ""mt"")"),"Perjodu Ġeoloġiku")</f>
        <v>Perjodu Ġeoloġiku</v>
      </c>
    </row>
    <row r="7712" ht="15.75" customHeight="1">
      <c r="A7712" s="2" t="s">
        <v>7712</v>
      </c>
      <c r="B7712" s="2" t="str">
        <f>IFERROR(__xludf.DUMMYFUNCTION("GOOGLETRANSLATE(A7712, ""en"", ""mt"")"),"Preżentata reċiproka")</f>
        <v>Preżentata reċiproka</v>
      </c>
    </row>
    <row r="7713" ht="15.75" customHeight="1">
      <c r="A7713" s="2" t="s">
        <v>7713</v>
      </c>
      <c r="B7713" s="2" t="str">
        <f>IFERROR(__xludf.DUMMYFUNCTION("GOOGLETRANSLATE(A7713, ""en"", ""mt"")"),"jiċċarġjaw it-tagħlim tal-istudenti tagħhom")</f>
        <v>jiċċarġjaw it-tagħlim tal-istudenti tagħhom</v>
      </c>
    </row>
    <row r="7714" ht="15.75" customHeight="1">
      <c r="A7714" s="2" t="s">
        <v>7714</v>
      </c>
      <c r="B7714" s="2" t="str">
        <f>IFERROR(__xludf.DUMMYFUNCTION("GOOGLETRANSLATE(A7714, ""en"", ""mt"")"),"Min jista 'jinforza l-liġi tal-Unjoni Ewropea?")</f>
        <v>Min jista 'jinforza l-liġi tal-Unjoni Ewropea?</v>
      </c>
    </row>
    <row r="7715" ht="15.75" customHeight="1">
      <c r="A7715" s="2" t="s">
        <v>7715</v>
      </c>
      <c r="B7715" s="2" t="str">
        <f>IFERROR(__xludf.DUMMYFUNCTION("GOOGLETRANSLATE(A7715, ""en"", ""mt"")"),"Hu qatt ma ggradwa")</f>
        <v>Hu qatt ma ggradwa</v>
      </c>
    </row>
    <row r="7716" ht="15.75" customHeight="1">
      <c r="A7716" s="2" t="s">
        <v>7716</v>
      </c>
      <c r="B7716" s="2" t="str">
        <f>IFERROR(__xludf.DUMMYFUNCTION("GOOGLETRANSLATE(A7716, ""en"", ""mt"")"),"Tumuri li kapaċi jevadu r-rispons immuni tal-ġisem jistgħu jsiru xiex?")</f>
        <v>Tumuri li kapaċi jevadu r-rispons immuni tal-ġisem jistgħu jsiru xiex?</v>
      </c>
    </row>
    <row r="7717" ht="15.75" customHeight="1">
      <c r="A7717" s="2" t="s">
        <v>7717</v>
      </c>
      <c r="B7717" s="2" t="str">
        <f>IFERROR(__xludf.DUMMYFUNCTION("GOOGLETRANSLATE(A7717, ""en"", ""mt"")"),"Storikament, ir-Rabat kienet il-bażi għall-impjanti tal-manifattura tal-marki tal-karozzi ewlenin Ford, Toyota u Holden; Madankollu, avviżi ta 'għeluq mit-tliet kumpaniji kollha fis-seklu 21 se jfissru li l-Awstralja ma tibqax bażi għall-industrija tal-ka"&amp;"rozzi globali, bid-dikjarazzjoni ta' Toyota fi Frar 2014 li tiddeskrivi sena ta 'għeluq ta' l-2017. L-aħbar ta 'Holden seħħet f'Mejju 2013, segwita minn Id-deċiżjoni ta 'Ford f'Diċembru tal-istess sena (il-pjanti Vittorjani ta' Ford - fil-Broadmeadows u G"&amp;"eelong - se jagħlqu f'Ottubru 2016).")</f>
        <v>Storikament, ir-Rabat kienet il-bażi għall-impjanti tal-manifattura tal-marki tal-karozzi ewlenin Ford, Toyota u Holden; Madankollu, avviżi ta 'għeluq mit-tliet kumpaniji kollha fis-seklu 21 se jfissru li l-Awstralja ma tibqax bażi għall-industrija tal-karozzi globali, bid-dikjarazzjoni ta' Toyota fi Frar 2014 li tiddeskrivi sena ta 'għeluq ta' l-2017. L-aħbar ta 'Holden seħħet f'Mejju 2013, segwita minn Id-deċiżjoni ta 'Ford f'Diċembru tal-istess sena (il-pjanti Vittorjani ta' Ford - fil-Broadmeadows u Geelong - se jagħlqu f'Ottubru 2016).</v>
      </c>
    </row>
    <row r="7718" ht="15.75" customHeight="1">
      <c r="A7718" s="2" t="s">
        <v>7718</v>
      </c>
      <c r="B7718" s="2" t="str">
        <f>IFERROR(__xludf.DUMMYFUNCTION("GOOGLETRANSLATE(A7718, ""en"", ""mt"")"),"L-UMC isostni li l-gwerra hija inkompatibbli ma 'xiex?")</f>
        <v>L-UMC isostni li l-gwerra hija inkompatibbli ma 'xiex?</v>
      </c>
    </row>
    <row r="7719" ht="15.75" customHeight="1">
      <c r="A7719" s="2" t="s">
        <v>7719</v>
      </c>
      <c r="B7719" s="2" t="str">
        <f>IFERROR(__xludf.DUMMYFUNCTION("GOOGLETRANSLATE(A7719, ""en"", ""mt"")"),"18 ta 'Frar")</f>
        <v>18 ta 'Frar</v>
      </c>
    </row>
    <row r="7720" ht="15.75" customHeight="1">
      <c r="A7720" s="2" t="s">
        <v>7720</v>
      </c>
      <c r="B7720" s="2" t="str">
        <f>IFERROR(__xludf.DUMMYFUNCTION("GOOGLETRANSLATE(A7720, ""en"", ""mt"")"),"X'inhuma l-phycobilisomes?")</f>
        <v>X'inhuma l-phycobilisomes?</v>
      </c>
    </row>
    <row r="7721" ht="15.75" customHeight="1">
      <c r="A7721" s="2" t="s">
        <v>7721</v>
      </c>
      <c r="B7721" s="2" t="str">
        <f>IFERROR(__xludf.DUMMYFUNCTION("GOOGLETRANSLATE(A7721, ""en"", ""mt"")"),"Diversi proċeduri jippermettu lill-Parlament Skoċċiż biex jifli l-gvern. L-ewwel ministru jew membri tal-kabinett jistgħu jwasslu dikjarazzjonijiet lill-Parlament li fuqhom l-MSPs huma mistiedna jiddubitaw. Pereżempju, fil-bidu ta 'kull sena parlamentari,"&amp;" l-Ewwel Ministru jagħti dikjarazzjoni lill-kamra li tistabbilixxi l-programm leġiżlattiv tal-gvern għas-sena li ġejja. Wara li ddaħħal id-dikjarazzjoni, il-mexxejja tal-partiti tal-oppożizzjoni u MSPs oħra jiddubitaw lill-ewwel ministru dwar kwistjonijie"&amp;"t relatati mas-sustanza tad-dikjarazzjoni.")</f>
        <v>Diversi proċeduri jippermettu lill-Parlament Skoċċiż biex jifli l-gvern. L-ewwel ministru jew membri tal-kabinett jistgħu jwasslu dikjarazzjonijiet lill-Parlament li fuqhom l-MSPs huma mistiedna jiddubitaw. Pereżempju, fil-bidu ta 'kull sena parlamentari, l-Ewwel Ministru jagħti dikjarazzjoni lill-kamra li tistabbilixxi l-programm leġiżlattiv tal-gvern għas-sena li ġejja. Wara li ddaħħal id-dikjarazzjoni, il-mexxejja tal-partiti tal-oppożizzjoni u MSPs oħra jiddubitaw lill-ewwel ministru dwar kwistjonijiet relatati mas-sustanza tad-dikjarazzjoni.</v>
      </c>
    </row>
    <row r="7722" ht="15.75" customHeight="1">
      <c r="A7722" s="2" t="s">
        <v>7722</v>
      </c>
      <c r="B7722" s="2" t="str">
        <f>IFERROR(__xludf.DUMMYFUNCTION("GOOGLETRANSLATE(A7722, ""en"", ""mt"")"),"X'inhu Twin Prime?")</f>
        <v>X'inhu Twin Prime?</v>
      </c>
    </row>
    <row r="7723" ht="15.75" customHeight="1">
      <c r="A7723" s="2" t="s">
        <v>7723</v>
      </c>
      <c r="B7723" s="2" t="str">
        <f>IFERROR(__xludf.DUMMYFUNCTION("GOOGLETRANSLATE(A7723, ""en"", ""mt"")"),"1, 2, u n")</f>
        <v>1, 2, u n</v>
      </c>
    </row>
    <row r="7724" ht="15.75" customHeight="1">
      <c r="A7724" s="2" t="s">
        <v>7724</v>
      </c>
      <c r="B7724" s="2" t="str">
        <f>IFERROR(__xludf.DUMMYFUNCTION("GOOGLETRANSLATE(A7724, ""en"", ""mt"")"),"Il-kastig korporali uffiċjali, ħafna drabi mill-bott, jibqa 'komuni fl-iskejjel f'xi pajjiżi Asjatiċi, Afrikani u Karibew. Għal dettalji tal-pajjiżi individwali ara l-kastig korporali tal-iskola.")</f>
        <v>Il-kastig korporali uffiċjali, ħafna drabi mill-bott, jibqa 'komuni fl-iskejjel f'xi pajjiżi Asjatiċi, Afrikani u Karibew. Għal dettalji tal-pajjiżi individwali ara l-kastig korporali tal-iskola.</v>
      </c>
    </row>
    <row r="7725" ht="15.75" customHeight="1">
      <c r="A7725" s="2" t="s">
        <v>7725</v>
      </c>
      <c r="B7725" s="2" t="str">
        <f>IFERROR(__xludf.DUMMYFUNCTION("GOOGLETRANSLATE(A7725, ""en"", ""mt"")"),"Minkejja l-korpi artab u ġelatinuż tagħhom, il-fossili ħasbu li jirrappreżentaw ctenophores, apparentement mingħajr tentakli iżda ħafna iktar rewwix tal-moxt minn forom moderni, instabu f'Lagerstätten kemm lura daqs il-bidu ta 'Cambrian, madwar 515 miljun"&amp;" sena ilu. Il-pożizzjoni taċ-ctenophores fis-siġra tal-familja evoluzzjonarja ta 'l-annimali ilha diskussa, u l-maġġoranza tal-veduta fil-preżent, ibbażata fuq filogenetika molekulari, hija li ċ-cnidarians u l-bilaterjani huma relatati aktar mill-qrib ma'"&amp;" xulxin milli jew huma għal ctenophores. Analiżi riċenti ta 'filogenetika molekulari kkonkludiet li l-antenat komuni taċ-ctenophores moderni kollha kien simili għal Cydippid, u li l-gruppi moderni kollha dehru relattivament reċentement, probabbilment wara"&amp;" l-avveniment ta' estinzjoni Kretaċeju-Paleogene 66 miljun sena ilu. L-evidenza li takkumula sa mis-snin 1980 tindika li ċ- ""cydippids"" mhumiex monofiletiċi, fi kliem ieħor ma jinkludux id-dixxendenti kollha u biss ta 'antenat komuni wieħed, minħabba li"&amp;" l-gruppi l-oħra kollha tradizzjonali ta' ctenophore huma dixxendenti ta 'diversi ċidippidi.")</f>
        <v>Minkejja l-korpi artab u ġelatinuż tagħhom, il-fossili ħasbu li jirrappreżentaw ctenophores, apparentement mingħajr tentakli iżda ħafna iktar rewwix tal-moxt minn forom moderni, instabu f'Lagerstätten kemm lura daqs il-bidu ta 'Cambrian, madwar 515 miljun sena ilu. Il-pożizzjoni taċ-ctenophores fis-siġra tal-familja evoluzzjonarja ta 'l-annimali ilha diskussa, u l-maġġoranza tal-veduta fil-preżent, ibbażata fuq filogenetika molekulari, hija li ċ-cnidarians u l-bilaterjani huma relatati aktar mill-qrib ma' xulxin milli jew huma għal ctenophores. Analiżi riċenti ta 'filogenetika molekulari kkonkludiet li l-antenat komuni taċ-ctenophores moderni kollha kien simili għal Cydippid, u li l-gruppi moderni kollha dehru relattivament reċentement, probabbilment wara l-avveniment ta' estinzjoni Kretaċeju-Paleogene 66 miljun sena ilu. L-evidenza li takkumula sa mis-snin 1980 tindika li ċ- "cydippids" mhumiex monofiletiċi, fi kliem ieħor ma jinkludux id-dixxendenti kollha u biss ta 'antenat komuni wieħed, minħabba li l-gruppi l-oħra kollha tradizzjonali ta' ctenophore huma dixxendenti ta 'diversi ċidippidi.</v>
      </c>
    </row>
    <row r="7726" ht="15.75" customHeight="1">
      <c r="A7726" s="2" t="s">
        <v>7726</v>
      </c>
      <c r="B7726" s="2" t="str">
        <f>IFERROR(__xludf.DUMMYFUNCTION("GOOGLETRANSLATE(A7726, ""en"", ""mt"")"),"Ħwejjeġ ta 'kuljum minn eras preċedenti ġeneralment ma baqgħux ħajjin")</f>
        <v>Ħwejjeġ ta 'kuljum minn eras preċedenti ġeneralment ma baqgħux ħajjin</v>
      </c>
    </row>
    <row r="7727" ht="15.75" customHeight="1">
      <c r="A7727" s="2" t="s">
        <v>7727</v>
      </c>
      <c r="B7727" s="2" t="str">
        <f>IFERROR(__xludf.DUMMYFUNCTION("GOOGLETRANSLATE(A7727, ""en"", ""mt"")"),"15-il mil 'il bogħod")</f>
        <v>15-il mil 'il bogħod</v>
      </c>
    </row>
    <row r="7728" ht="15.75" customHeight="1">
      <c r="A7728" s="2" t="s">
        <v>7728</v>
      </c>
      <c r="B7728" s="2" t="str">
        <f>IFERROR(__xludf.DUMMYFUNCTION("GOOGLETRANSLATE(A7728, ""en"", ""mt"")"),"fil-kummerċ, l-iskola u l-gvern")</f>
        <v>fil-kummerċ, l-iskola u l-gvern</v>
      </c>
    </row>
    <row r="7729" ht="15.75" customHeight="1">
      <c r="A7729" s="2" t="s">
        <v>7729</v>
      </c>
      <c r="B7729" s="2" t="str">
        <f>IFERROR(__xludf.DUMMYFUNCTION("GOOGLETRANSLATE(A7729, ""en"", ""mt"")"),"Fis-6 ta 'Ottubru, 2004, ħaffer arkeoloġiku konġunt Ġappuniż-Mongoljan kixef dak li huwa maħsub li huwa l-Palazz ta' Genghis Khan fil-Mongolja rurali, li jqajjem il-possibbiltà li fil-fatt issib is-sit tad-dfin mitluf fit-tul tal-ħakkiem. Il-folklor jgħid"&amp;" li xmara ġiet iddevjata fuq il-qabar tiegħu biex tagħmilha impossibbli li tinstab (l-istess mod ta 'dfin bħar-Re Sumerjan Gilgamesh ta' Uruk u Atilla l-Hun). Rakkonti oħra jiddikjaraw li l-qabar tiegħu kien ittimbrat minn bosta żwiemel, u li s-siġar imba"&amp;"għad ġew imħawla fuq is-sit, u l-permafrost ukoll għamel il-parti tiegħu meta ħabi s-sit tad-dfin.")</f>
        <v>Fis-6 ta 'Ottubru, 2004, ħaffer arkeoloġiku konġunt Ġappuniż-Mongoljan kixef dak li huwa maħsub li huwa l-Palazz ta' Genghis Khan fil-Mongolja rurali, li jqajjem il-possibbiltà li fil-fatt issib is-sit tad-dfin mitluf fit-tul tal-ħakkiem. Il-folklor jgħid li xmara ġiet iddevjata fuq il-qabar tiegħu biex tagħmilha impossibbli li tinstab (l-istess mod ta 'dfin bħar-Re Sumerjan Gilgamesh ta' Uruk u Atilla l-Hun). Rakkonti oħra jiddikjaraw li l-qabar tiegħu kien ittimbrat minn bosta żwiemel, u li s-siġar imbagħad ġew imħawla fuq is-sit, u l-permafrost ukoll għamel il-parti tiegħu meta ħabi s-sit tad-dfin.</v>
      </c>
    </row>
    <row r="7730" ht="15.75" customHeight="1">
      <c r="A7730" s="2" t="s">
        <v>7730</v>
      </c>
      <c r="B7730" s="2" t="str">
        <f>IFERROR(__xludf.DUMMYFUNCTION("GOOGLETRANSLATE(A7730, ""en"", ""mt"")"),"Iż-żieda ta 'unitajiet ta' blat ġodda, kemm depożizzjonalment kif ukoll intrusivament, ħafna drabi sseħħ waqt deformazzjoni. Ħsarat u proċessi oħra ta 'deformazzjoni jirriżultaw fil-ħolqien ta' gradjenti topografiċi, li jikkawżaw materjal fuq l-unità tal-"&amp;"blat li qed tiżdied fl-elevazzjoni biex titnaqqar minn għoljiet u kanali. Dawn is-sedimenti huma depożitati fuq l-unità tal-blat li se tinżel. Mozzjoni kontinwa tul it-tort iżżomm il-gradjent topografiku minkejja l-moviment tas-sediment, u tkompli toħloq "&amp;"spazju ta 'akkomodazzjoni biex il-materjal jiddepożita. Avvenimenti deformazzjonali huma spiss assoċjati wkoll ma 'vulkaniżmu u attività igneous. Irmied vulkaniku u lavas jakkumulaw fuq il-wiċċ, u intrużjonijiet igneous jidħlu minn taħt. Digi, intrużjonij"&amp;"iet igneous twal, planar, jidħlu tul xquq, u għalhekk ħafna drabi jiffurmaw f'numru kbir f'żoni li qed jiġu deformati b'mod attiv. Dan jista 'jirriżulta fl-enfasi ta' swarms tad-dike, bħal dawk li jistgħu jiġu osservati madwar it-tarka Kanadiża, jew ċriek"&amp;"i ta 'digi madwar it-tubu tal-lava ta' vulkan.")</f>
        <v>Iż-żieda ta 'unitajiet ta' blat ġodda, kemm depożizzjonalment kif ukoll intrusivament, ħafna drabi sseħħ waqt deformazzjoni. Ħsarat u proċessi oħra ta 'deformazzjoni jirriżultaw fil-ħolqien ta' gradjenti topografiċi, li jikkawżaw materjal fuq l-unità tal-blat li qed tiżdied fl-elevazzjoni biex titnaqqar minn għoljiet u kanali. Dawn is-sedimenti huma depożitati fuq l-unità tal-blat li se tinżel. Mozzjoni kontinwa tul it-tort iżżomm il-gradjent topografiku minkejja l-moviment tas-sediment, u tkompli toħloq spazju ta 'akkomodazzjoni biex il-materjal jiddepożita. Avvenimenti deformazzjonali huma spiss assoċjati wkoll ma 'vulkaniżmu u attività igneous. Irmied vulkaniku u lavas jakkumulaw fuq il-wiċċ, u intrużjonijiet igneous jidħlu minn taħt. Digi, intrużjonijiet igneous twal, planar, jidħlu tul xquq, u għalhekk ħafna drabi jiffurmaw f'numru kbir f'żoni li qed jiġu deformati b'mod attiv. Dan jista 'jirriżulta fl-enfasi ta' swarms tad-dike, bħal dawk li jistgħu jiġu osservati madwar it-tarka Kanadiża, jew ċrieki ta 'digi madwar it-tubu tal-lava ta' vulkan.</v>
      </c>
    </row>
    <row r="7731" ht="15.75" customHeight="1">
      <c r="A7731" s="2" t="s">
        <v>7731</v>
      </c>
      <c r="B7731" s="2" t="str">
        <f>IFERROR(__xludf.DUMMYFUNCTION("GOOGLETRANSLATE(A7731, ""en"", ""mt"")"),"Afganistan")</f>
        <v>Afganistan</v>
      </c>
    </row>
    <row r="7732" ht="15.75" customHeight="1">
      <c r="A7732" s="2" t="s">
        <v>7732</v>
      </c>
      <c r="B7732" s="2" t="str">
        <f>IFERROR(__xludf.DUMMYFUNCTION("GOOGLETRANSLATE(A7732, ""en"", ""mt"")"),"attakka l-kolonna Ingliża")</f>
        <v>attakka l-kolonna Ingliża</v>
      </c>
    </row>
    <row r="7733" ht="15.75" customHeight="1">
      <c r="A7733" s="2" t="s">
        <v>7733</v>
      </c>
      <c r="B7733" s="2" t="str">
        <f>IFERROR(__xludf.DUMMYFUNCTION("GOOGLETRANSLATE(A7733, ""en"", ""mt"")"),"Nuqqas ta 'dispjaċir")</f>
        <v>Nuqqas ta 'dispjaċir</v>
      </c>
    </row>
    <row r="7734" ht="15.75" customHeight="1">
      <c r="A7734" s="2" t="s">
        <v>7734</v>
      </c>
      <c r="B7734" s="2" t="str">
        <f>IFERROR(__xludf.DUMMYFUNCTION("GOOGLETRANSLATE(A7734, ""en"", ""mt"")"),"Kif jissejħu t-tmien ringieli tal-moxt fuq il-wiċċ ta 'barra?")</f>
        <v>Kif jissejħu t-tmien ringieli tal-moxt fuq il-wiċċ ta 'barra?</v>
      </c>
    </row>
    <row r="7735" ht="15.75" customHeight="1">
      <c r="A7735" s="2" t="s">
        <v>7735</v>
      </c>
      <c r="B7735" s="2" t="str">
        <f>IFERROR(__xludf.DUMMYFUNCTION("GOOGLETRANSLATE(A7735, ""en"", ""mt"")"),"Iċ-Ċiklu ta ’Calvin")</f>
        <v>Iċ-Ċiklu ta ’Calvin</v>
      </c>
    </row>
    <row r="7736" ht="15.75" customHeight="1">
      <c r="A7736" s="2" t="s">
        <v>7736</v>
      </c>
      <c r="B7736" s="2" t="str">
        <f>IFERROR(__xludf.DUMMYFUNCTION("GOOGLETRANSLATE(A7736, ""en"", ""mt"")"),"X'inhi kelma oħra għall-forza ċentripetali?")</f>
        <v>X'inhi kelma oħra għall-forza ċentripetali?</v>
      </c>
    </row>
    <row r="7737" ht="15.75" customHeight="1">
      <c r="A7737" s="2" t="s">
        <v>7737</v>
      </c>
      <c r="B7737" s="2" t="str">
        <f>IFERROR(__xludf.DUMMYFUNCTION("GOOGLETRANSLATE(A7737, ""en"", ""mt"")"),"Ethernet mehmuża ospiti, u eventwalment TCP / IP u universitajiet pubbliċi addizzjonali fi Michigan jingħaqdu man-netwerk")</f>
        <v>Ethernet mehmuża ospiti, u eventwalment TCP / IP u universitajiet pubbliċi addizzjonali fi Michigan jingħaqdu man-netwerk</v>
      </c>
    </row>
    <row r="7738" ht="15.75" customHeight="1">
      <c r="A7738" s="2" t="s">
        <v>7738</v>
      </c>
      <c r="B7738" s="2" t="str">
        <f>IFERROR(__xludf.DUMMYFUNCTION("GOOGLETRANSLATE(A7738, ""en"", ""mt"")"),"X'qal Houghton huwa meħtieġ għal xi tibdil fl-SPM?")</f>
        <v>X'qal Houghton huwa meħtieġ għal xi tibdil fl-SPM?</v>
      </c>
    </row>
    <row r="7739" ht="15.75" customHeight="1">
      <c r="A7739" s="2" t="s">
        <v>7739</v>
      </c>
      <c r="B7739" s="2" t="str">
        <f>IFERROR(__xludf.DUMMYFUNCTION("GOOGLETRANSLATE(A7739, ""en"", ""mt"")"),"Stephen Eildmann jikkwota l-eqdem eżempju magħruf ta 'diżubbidjenza ċivili f'liema parti tal-Bibbja?")</f>
        <v>Stephen Eildmann jikkwota l-eqdem eżempju magħruf ta 'diżubbidjenza ċivili f'liema parti tal-Bibbja?</v>
      </c>
    </row>
    <row r="7740" ht="15.75" customHeight="1">
      <c r="A7740" s="2" t="s">
        <v>7740</v>
      </c>
      <c r="B7740" s="2" t="str">
        <f>IFERROR(__xludf.DUMMYFUNCTION("GOOGLETRANSLATE(A7740, ""en"", ""mt"")"),"Aqta 'b'suċċess il-fortizzi tal-fruntiera Franċiża")</f>
        <v>Aqta 'b'suċċess il-fortizzi tal-fruntiera Franċiża</v>
      </c>
    </row>
    <row r="7741" ht="15.75" customHeight="1">
      <c r="A7741" s="2" t="s">
        <v>7741</v>
      </c>
      <c r="B7741" s="2" t="str">
        <f>IFERROR(__xludf.DUMMYFUNCTION("GOOGLETRANSLATE(A7741, ""en"", ""mt"")"),"X'inhu l-effett fuq il-bnedmin ta 'l-ossiġnu?")</f>
        <v>X'inhu l-effett fuq il-bnedmin ta 'l-ossiġnu?</v>
      </c>
    </row>
    <row r="7742" ht="15.75" customHeight="1">
      <c r="A7742" s="2" t="s">
        <v>7742</v>
      </c>
      <c r="B7742" s="2" t="str">
        <f>IFERROR(__xludf.DUMMYFUNCTION("GOOGLETRANSLATE(A7742, ""en"", ""mt"")"),"xi pitturi")</f>
        <v>xi pitturi</v>
      </c>
    </row>
    <row r="7743" ht="15.75" customHeight="1">
      <c r="A7743" s="2" t="s">
        <v>7743</v>
      </c>
      <c r="B7743" s="2" t="str">
        <f>IFERROR(__xludf.DUMMYFUNCTION("GOOGLETRANSLATE(A7743, ""en"", ""mt"")"),"Kemm mill-popolazzjoni Ewropea qatlet il-Mewt l-Iswed?")</f>
        <v>Kemm mill-popolazzjoni Ewropea qatlet il-Mewt l-Iswed?</v>
      </c>
    </row>
    <row r="7744" ht="15.75" customHeight="1">
      <c r="A7744" s="2" t="s">
        <v>7744</v>
      </c>
      <c r="B7744" s="2" t="str">
        <f>IFERROR(__xludf.DUMMYFUNCTION("GOOGLETRANSLATE(A7744, ""en"", ""mt"")"),"F'liema prattika jidħlu xi spiżeriji fuq l-internet?")</f>
        <v>F'liema prattika jidħlu xi spiżeriji fuq l-internet?</v>
      </c>
    </row>
    <row r="7745" ht="15.75" customHeight="1">
      <c r="A7745" s="2" t="s">
        <v>7745</v>
      </c>
      <c r="B7745" s="2" t="str">
        <f>IFERROR(__xludf.DUMMYFUNCTION("GOOGLETRANSLATE(A7745, ""en"", ""mt"")"),"Għal liema tipi ta 'dixxiplina kellu aċċess għall-għalliem?")</f>
        <v>Għal liema tipi ta 'dixxiplina kellu aċċess għall-għalliem?</v>
      </c>
    </row>
    <row r="7746" ht="15.75" customHeight="1">
      <c r="A7746" s="2" t="s">
        <v>7746</v>
      </c>
      <c r="B7746" s="2" t="str">
        <f>IFERROR(__xludf.DUMMYFUNCTION("GOOGLETRANSLATE(A7746, ""en"", ""mt"")"),"aktar malajr")</f>
        <v>aktar malajr</v>
      </c>
    </row>
    <row r="7747" ht="15.75" customHeight="1">
      <c r="A7747" s="2" t="s">
        <v>7747</v>
      </c>
      <c r="B7747" s="2" t="str">
        <f>IFERROR(__xludf.DUMMYFUNCTION("GOOGLETRANSLATE(A7747, ""en"", ""mt"")"),"Liema artikoli jiddikjaraw li sakemm ma jingħatawx, il-poteri jibqgħu mal-istati membri?")</f>
        <v>Liema artikoli jiddikjaraw li sakemm ma jingħatawx, il-poteri jibqgħu mal-istati membri?</v>
      </c>
    </row>
    <row r="7748" ht="15.75" customHeight="1">
      <c r="A7748" s="2" t="s">
        <v>7748</v>
      </c>
      <c r="B7748" s="2" t="str">
        <f>IFERROR(__xludf.DUMMYFUNCTION("GOOGLETRANSLATE(A7748, ""en"", ""mt"")"),"Proplastidi mhux differenzjati")</f>
        <v>Proplastidi mhux differenzjati</v>
      </c>
    </row>
    <row r="7749" ht="15.75" customHeight="1">
      <c r="A7749" s="2" t="s">
        <v>7749</v>
      </c>
      <c r="B7749" s="2" t="str">
        <f>IFERROR(__xludf.DUMMYFUNCTION("GOOGLETRANSLATE(A7749, ""en"", ""mt"")"),"X’topla Tesla wara li waqgħet?")</f>
        <v>X’topla Tesla wara li waqgħet?</v>
      </c>
    </row>
    <row r="7750" ht="15.75" customHeight="1">
      <c r="A7750" s="2" t="s">
        <v>7750</v>
      </c>
      <c r="B7750" s="2" t="str">
        <f>IFERROR(__xludf.DUMMYFUNCTION("GOOGLETRANSLATE(A7750, ""en"", ""mt"")"),"il-ħajt tal-peptidoglycan")</f>
        <v>il-ħajt tal-peptidoglycan</v>
      </c>
    </row>
    <row r="7751" ht="15.75" customHeight="1">
      <c r="A7751" s="2" t="s">
        <v>7751</v>
      </c>
      <c r="B7751" s="2" t="str">
        <f>IFERROR(__xludf.DUMMYFUNCTION("GOOGLETRANSLATE(A7751, ""en"", ""mt"")"),"Għaliex ħarab lis-segretarju?")</f>
        <v>Għaliex ħarab lis-segretarju?</v>
      </c>
    </row>
    <row r="7752" ht="15.75" customHeight="1">
      <c r="A7752" s="2" t="s">
        <v>7752</v>
      </c>
      <c r="B7752" s="2" t="str">
        <f>IFERROR(__xludf.DUMMYFUNCTION("GOOGLETRANSLATE(A7752, ""en"", ""mt"")"),"Matul it-Tieni Gwerra Dinjija")</f>
        <v>Matul it-Tieni Gwerra Dinjija</v>
      </c>
    </row>
    <row r="7753" ht="15.75" customHeight="1">
      <c r="A7753" s="2" t="s">
        <v>7753</v>
      </c>
      <c r="B7753" s="2" t="str">
        <f>IFERROR(__xludf.DUMMYFUNCTION("GOOGLETRANSLATE(A7753, ""en"", ""mt"")"),"New Rochelle, li tinsab fil-kontea ta ’Westchester fuq ix-xatt tat-tramuntana ta’ Long Island Sound, dehret li kienet il-post tajjeb ħafna tal-Huguenots fi New York. Jingħad li żbarkaw fuq il-kosta tal-peniżola ta 'Davenports Neck imsejħa ""Bauffet's Poin"&amp;"t"" wara li vvjaġġaw mill-Ingilterra fejn qabel kienu refuġjaw minħabba l-persekuzzjoni reliġjuża, erba' snin qabel ir-revoka tal-editt ta 'Nantes. Huma xtraw mingħand John Pell, Lord of Pelham Manor, medda ta ’art li tikkonsisti f’sitt elf mitt acres bl-"&amp;"għajnuna ta’ Jacob Leisler. Ġie msemmi New Rochelle wara La Rochelle, l-ex-hold qawwi tagħhom fi Franza. Knisja żgħira tal-injam inbniet l-ewwel fil-komunità, segwita minn tieni knisja li nbniet minn ġebla. Qabel it-twaqqif ta 'dan, l-irġiel b'saħħithom s"&amp;"piss jimxu tlieta u għoxrin mil nhar is-Sibt filgħaxija, id-distanza fit-triq minn New Rochelle għal New York, biex jattendu s-servizz tal-Ħadd. Il-knisja eventwalment ġiet sostitwita minn terz, Trinity-St. Il-Knisja Episkopali ta 'Pawlu, li fiha l-werrie"&amp;"t inkluż il-qanpiena oriġinali mill-Knisja Huguenot Franċiża ""Eglise du St Esperit"" fi Triq Pine fi New York City, li hija ppreservata bħala relikwa fil-kamra tat-torri. Iċ-ċimiterju Huguenot, jew ""dfin ta 'Huguenot"", minn dakinhar ġie rikonoxxut bħal"&amp;"a ċimiterju storiku li huwa l-aħħar post ta' mistrieħ għal firxa wiesgħa tal-fundaturi Huguenot, kolonizzaturi bikrija u ċittadini prominenti li jmorru lura aktar minn tliet sekli.")</f>
        <v>New Rochelle, li tinsab fil-kontea ta ’Westchester fuq ix-xatt tat-tramuntana ta’ Long Island Sound, dehret li kienet il-post tajjeb ħafna tal-Huguenots fi New York. Jingħad li żbarkaw fuq il-kosta tal-peniżola ta 'Davenports Neck imsejħa "Bauffet's Point" wara li vvjaġġaw mill-Ingilterra fejn qabel kienu refuġjaw minħabba l-persekuzzjoni reliġjuża, erba' snin qabel ir-revoka tal-editt ta 'Nantes. Huma xtraw mingħand John Pell, Lord of Pelham Manor, medda ta ’art li tikkonsisti f’sitt elf mitt acres bl-għajnuna ta’ Jacob Leisler. Ġie msemmi New Rochelle wara La Rochelle, l-ex-hold qawwi tagħhom fi Franza. Knisja żgħira tal-injam inbniet l-ewwel fil-komunità, segwita minn tieni knisja li nbniet minn ġebla. Qabel it-twaqqif ta 'dan, l-irġiel b'saħħithom spiss jimxu tlieta u għoxrin mil nhar is-Sibt filgħaxija, id-distanza fit-triq minn New Rochelle għal New York, biex jattendu s-servizz tal-Ħadd. Il-knisja eventwalment ġiet sostitwita minn terz, Trinity-St. Il-Knisja Episkopali ta 'Pawlu, li fiha l-werriet inkluż il-qanpiena oriġinali mill-Knisja Huguenot Franċiża "Eglise du St Esperit" fi Triq Pine fi New York City, li hija ppreservata bħala relikwa fil-kamra tat-torri. Iċ-ċimiterju Huguenot, jew "dfin ta 'Huguenot", minn dakinhar ġie rikonoxxut bħala ċimiterju storiku li huwa l-aħħar post ta' mistrieħ għal firxa wiesgħa tal-fundaturi Huguenot, kolonizzaturi bikrija u ċittadini prominenti li jmorru lura aktar minn tliet sekli.</v>
      </c>
    </row>
    <row r="7754" ht="15.75" customHeight="1">
      <c r="A7754" s="2" t="s">
        <v>7754</v>
      </c>
      <c r="B7754" s="2" t="str">
        <f>IFERROR(__xludf.DUMMYFUNCTION("GOOGLETRANSLATE(A7754, ""en"", ""mt"")"),"Kif qabbel ir-rapport tal-IPCC tal-2001 mar-realtà fuq il-livelli tal-baħar?")</f>
        <v>Kif qabbel ir-rapport tal-IPCC tal-2001 mar-realtà fuq il-livelli tal-baħar?</v>
      </c>
    </row>
    <row r="7755" ht="15.75" customHeight="1">
      <c r="A7755" s="2" t="s">
        <v>7755</v>
      </c>
      <c r="B7755" s="2" t="str">
        <f>IFERROR(__xludf.DUMMYFUNCTION("GOOGLETRANSLATE(A7755, ""en"", ""mt"")"),"OLOCENE")</f>
        <v>OLOCENE</v>
      </c>
    </row>
    <row r="7756" ht="15.75" customHeight="1">
      <c r="A7756" s="2" t="s">
        <v>7756</v>
      </c>
      <c r="B7756" s="2" t="str">
        <f>IFERROR(__xludf.DUMMYFUNCTION("GOOGLETRANSLATE(A7756, ""en"", ""mt"")"),"L-ENR uża dejta dwar x'għandek tikklassifika l-aqwa 400 ditta bħala kuntratturi tqal?")</f>
        <v>L-ENR uża dejta dwar x'għandek tikklassifika l-aqwa 400 ditta bħala kuntratturi tqal?</v>
      </c>
    </row>
    <row r="7757" ht="15.75" customHeight="1">
      <c r="A7757" s="2" t="s">
        <v>7757</v>
      </c>
      <c r="B7757" s="2" t="str">
        <f>IFERROR(__xludf.DUMMYFUNCTION("GOOGLETRANSLATE(A7757, ""en"", ""mt"")"),"X’irbaħ il-Ħamas fl-elezzjoni leġiżlattiva ta ’Jannar 2006?")</f>
        <v>X’irbaħ il-Ħamas fl-elezzjoni leġiżlattiva ta ’Jannar 2006?</v>
      </c>
    </row>
    <row r="7758" ht="15.75" customHeight="1">
      <c r="A7758" s="2" t="s">
        <v>7758</v>
      </c>
      <c r="B7758" s="2" t="str">
        <f>IFERROR(__xludf.DUMMYFUNCTION("GOOGLETRANSLATE(A7758, ""en"", ""mt"")"),"biex ma nitkellmux")</f>
        <v>biex ma nitkellmux</v>
      </c>
    </row>
    <row r="7759" ht="15.75" customHeight="1">
      <c r="A7759" s="2" t="s">
        <v>7759</v>
      </c>
      <c r="B7759" s="2" t="str">
        <f>IFERROR(__xludf.DUMMYFUNCTION("GOOGLETRANSLATE(A7759, ""en"", ""mt"")"),"28 affiljati ABC u żewġ affiljati addizzjonali biss għal subchannel")</f>
        <v>28 affiljati ABC u żewġ affiljati addizzjonali biss għal subchannel</v>
      </c>
    </row>
    <row r="7760" ht="15.75" customHeight="1">
      <c r="A7760" s="2" t="s">
        <v>7760</v>
      </c>
      <c r="B7760" s="2" t="str">
        <f>IFERROR(__xludf.DUMMYFUNCTION("GOOGLETRANSLATE(A7760, ""en"", ""mt"")"),"tinforma lill-ġurija u lill-pubbliku dwar iċ-ċirkostanzi politiċi")</f>
        <v>tinforma lill-ġurija u lill-pubbliku dwar iċ-ċirkostanzi politiċi</v>
      </c>
    </row>
    <row r="7761" ht="15.75" customHeight="1">
      <c r="A7761" s="2" t="s">
        <v>7761</v>
      </c>
      <c r="B7761" s="2" t="str">
        <f>IFERROR(__xludf.DUMMYFUNCTION("GOOGLETRANSLATE(A7761, ""en"", ""mt"")"),"Kif ġew assimilati l-kolonizzaturi Huguenot fis-soċjetà ta 'l-Amerika ta' Fuq?")</f>
        <v>Kif ġew assimilati l-kolonizzaturi Huguenot fis-soċjetà ta 'l-Amerika ta' Fuq?</v>
      </c>
    </row>
    <row r="7762" ht="15.75" customHeight="1">
      <c r="A7762" s="2" t="s">
        <v>7762</v>
      </c>
      <c r="B7762" s="2" t="str">
        <f>IFERROR(__xludf.DUMMYFUNCTION("GOOGLETRANSLATE(A7762, ""en"", ""mt"")"),"Kemm tunnellata ta 'trab huma minfuħa mis-Saħara kull sena?")</f>
        <v>Kemm tunnellata ta 'trab huma minfuħa mis-Saħara kull sena?</v>
      </c>
    </row>
    <row r="7763" ht="15.75" customHeight="1">
      <c r="A7763" s="2" t="s">
        <v>7763</v>
      </c>
      <c r="B7763" s="2" t="str">
        <f>IFERROR(__xludf.DUMMYFUNCTION("GOOGLETRANSLATE(A7763, ""en"", ""mt"")"),"il-knisja stabbilita")</f>
        <v>il-knisja stabbilita</v>
      </c>
    </row>
    <row r="7764" ht="15.75" customHeight="1">
      <c r="A7764" s="2" t="s">
        <v>7764</v>
      </c>
      <c r="B7764" s="2" t="str">
        <f>IFERROR(__xludf.DUMMYFUNCTION("GOOGLETRANSLATE(A7764, ""en"", ""mt"")"),"Min akkuża lil Genghis Khan meta sab u jikkastiga lil Shah?")</f>
        <v>Min akkuża lil Genghis Khan meta sab u jikkastiga lil Shah?</v>
      </c>
    </row>
    <row r="7765" ht="15.75" customHeight="1">
      <c r="A7765" s="2" t="s">
        <v>7765</v>
      </c>
      <c r="B7765" s="2" t="str">
        <f>IFERROR(__xludf.DUMMYFUNCTION("GOOGLETRANSLATE(A7765, ""en"", ""mt"")"),"X'konkluda Lavoisier ġie kkunsmat mill-kombustjoni fl-esperimenti tiegħu?")</f>
        <v>X'konkluda Lavoisier ġie kkunsmat mill-kombustjoni fl-esperimenti tiegħu?</v>
      </c>
    </row>
    <row r="7766" ht="15.75" customHeight="1">
      <c r="A7766" s="2" t="s">
        <v>7766</v>
      </c>
      <c r="B7766" s="2" t="str">
        <f>IFERROR(__xludf.DUMMYFUNCTION("GOOGLETRANSLATE(A7766, ""en"", ""mt"")"),"X'jista 'jibqa' problemi mhux solvuti bil-protokoll ta 'Kyoto?")</f>
        <v>X'jista 'jibqa' problemi mhux solvuti bil-protokoll ta 'Kyoto?</v>
      </c>
    </row>
    <row r="7767" ht="15.75" customHeight="1">
      <c r="A7767" s="2" t="s">
        <v>7767</v>
      </c>
      <c r="B7767" s="2" t="str">
        <f>IFERROR(__xludf.DUMMYFUNCTION("GOOGLETRANSLATE(A7767, ""en"", ""mt"")"),"kumplessità tal-ħin")</f>
        <v>kumplessità tal-ħin</v>
      </c>
    </row>
    <row r="7768" ht="15.75" customHeight="1">
      <c r="A7768" s="2" t="s">
        <v>7768</v>
      </c>
      <c r="B7768" s="2" t="str">
        <f>IFERROR(__xludf.DUMMYFUNCTION("GOOGLETRANSLATE(A7768, ""en"", ""mt"")"),"Liema proċess tal-ħajja jipproduċi ossiġnu fil-preżenza tad-dawl?")</f>
        <v>Liema proċess tal-ħajja jipproduċi ossiġnu fil-preżenza tad-dawl?</v>
      </c>
    </row>
    <row r="7769" ht="15.75" customHeight="1">
      <c r="A7769" s="2" t="s">
        <v>7769</v>
      </c>
      <c r="B7769" s="2" t="str">
        <f>IFERROR(__xludf.DUMMYFUNCTION("GOOGLETRANSLATE(A7769, ""en"", ""mt"")"),"Lil min jirrappurtaw l-awturi ewlenin li jikkoordinaw?")</f>
        <v>Lil min jirrappurtaw l-awturi ewlenin li jikkoordinaw?</v>
      </c>
    </row>
    <row r="7770" ht="15.75" customHeight="1">
      <c r="A7770" s="2" t="s">
        <v>7770</v>
      </c>
      <c r="B7770" s="2" t="str">
        <f>IFERROR(__xludf.DUMMYFUNCTION("GOOGLETRANSLATE(A7770, ""en"", ""mt"")"),"migrazzjoni interna u urbanizzazzjoni")</f>
        <v>migrazzjoni interna u urbanizzazzjoni</v>
      </c>
    </row>
    <row r="7771" ht="15.75" customHeight="1">
      <c r="A7771" s="2" t="s">
        <v>7771</v>
      </c>
      <c r="B7771" s="2" t="str">
        <f>IFERROR(__xludf.DUMMYFUNCTION("GOOGLETRANSLATE(A7771, ""en"", ""mt"")"),"reċiprokanti")</f>
        <v>reċiprokanti</v>
      </c>
    </row>
    <row r="7772" ht="15.75" customHeight="1">
      <c r="A7772" s="2" t="s">
        <v>7772</v>
      </c>
      <c r="B7772" s="2" t="str">
        <f>IFERROR(__xludf.DUMMYFUNCTION("GOOGLETRANSLATE(A7772, ""en"", ""mt"")"),"Alġerija")</f>
        <v>Alġerija</v>
      </c>
    </row>
    <row r="7773" ht="15.75" customHeight="1">
      <c r="A7773" s="2" t="s">
        <v>7773</v>
      </c>
      <c r="B7773" s="2" t="str">
        <f>IFERROR(__xludf.DUMMYFUNCTION("GOOGLETRANSLATE(A7773, ""en"", ""mt"")"),"Numru kemmxejn ikbar")</f>
        <v>Numru kemmxejn ikbar</v>
      </c>
    </row>
    <row r="7774" ht="15.75" customHeight="1">
      <c r="A7774" s="2" t="s">
        <v>7774</v>
      </c>
      <c r="B7774" s="2" t="str">
        <f>IFERROR(__xludf.DUMMYFUNCTION("GOOGLETRANSLATE(A7774, ""en"", ""mt"")"),"Fuq xiex jitimgħu l-lobati?")</f>
        <v>Fuq xiex jitimgħu l-lobati?</v>
      </c>
    </row>
    <row r="7775" ht="15.75" customHeight="1">
      <c r="A7775" s="2" t="s">
        <v>7775</v>
      </c>
      <c r="B7775" s="2" t="str">
        <f>IFERROR(__xludf.DUMMYFUNCTION("GOOGLETRANSLATE(A7775, ""en"", ""mt"")"),"Klabbs tal-karozzi AAA")</f>
        <v>Klabbs tal-karozzi AAA</v>
      </c>
    </row>
    <row r="7776" ht="15.75" customHeight="1">
      <c r="A7776" s="2" t="s">
        <v>7776</v>
      </c>
      <c r="B7776" s="2" t="str">
        <f>IFERROR(__xludf.DUMMYFUNCTION("GOOGLETRANSLATE(A7776, ""en"", ""mt"")"),"Liema politiki tal-wan ma jħobbux il-Musulmani?")</f>
        <v>Liema politiki tal-wan ma jħobbux il-Musulmani?</v>
      </c>
    </row>
    <row r="7777" ht="15.75" customHeight="1">
      <c r="A7777" s="2" t="s">
        <v>7777</v>
      </c>
      <c r="B7777" s="2" t="str">
        <f>IFERROR(__xludf.DUMMYFUNCTION("GOOGLETRANSLATE(A7777, ""en"", ""mt"")"),"Il-Fondazzjoni Elettronika tal-Fruntiera")</f>
        <v>Il-Fondazzjoni Elettronika tal-Fruntiera</v>
      </c>
    </row>
    <row r="7778" ht="15.75" customHeight="1">
      <c r="A7778" s="2" t="s">
        <v>7778</v>
      </c>
      <c r="B7778" s="2" t="str">
        <f>IFERROR(__xludf.DUMMYFUNCTION("GOOGLETRANSLATE(A7778, ""en"", ""mt"")"),"Liema akkademja sabet Tugh Temur?")</f>
        <v>Liema akkademja sabet Tugh Temur?</v>
      </c>
    </row>
    <row r="7779" ht="15.75" customHeight="1">
      <c r="A7779" s="2" t="s">
        <v>7779</v>
      </c>
      <c r="B7779" s="2" t="str">
        <f>IFERROR(__xludf.DUMMYFUNCTION("GOOGLETRANSLATE(A7779, ""en"", ""mt"")"),"Fl-2010 l-Amazon Rainforest esperjenzat nixfa kbira oħra, b'xi modi aktar estrema min-nixfa tal-2005. Ir-reġjun affettwat kien approssimattiv ta '1,160,000 mil kwadru (3,000,000 km2) ta' foresta tropikali, meta mqabbel ma '734,000 mil kwadru (1,900,000 km"&amp;"2) fl-2005. In-nixfa tal-2010 kellha tliet epiċentri fejn il-veġetazzjoni mietet, filwaqt li fl-2005 in-nixfa kienet iffokata fuq il-parti tal-Lbiċ. Is-sejbiet ġew ippubblikati fil-ġurnal Science. F’sena tipika l-Amazon tassorbi 1.5 gigatons ta ’dijossidu"&amp;" tal-karbonju; Matul l-2005 minflok ġew rilaxxati 5 gigatons u fl-2010 ġew rilaxxati 8 gigatons.")</f>
        <v>Fl-2010 l-Amazon Rainforest esperjenzat nixfa kbira oħra, b'xi modi aktar estrema min-nixfa tal-2005. Ir-reġjun affettwat kien approssimattiv ta '1,160,000 mil kwadru (3,000,000 km2) ta' foresta tropikali, meta mqabbel ma '734,000 mil kwadru (1,900,000 km2) fl-2005. In-nixfa tal-2010 kellha tliet epiċentri fejn il-veġetazzjoni mietet, filwaqt li fl-2005 in-nixfa kienet iffokata fuq il-parti tal-Lbiċ. Is-sejbiet ġew ippubblikati fil-ġurnal Science. F’sena tipika l-Amazon tassorbi 1.5 gigatons ta ’dijossidu tal-karbonju; Matul l-2005 minflok ġew rilaxxati 5 gigatons u fl-2010 ġew rilaxxati 8 gigatons.</v>
      </c>
    </row>
    <row r="7780" ht="15.75" customHeight="1">
      <c r="A7780" s="2" t="s">
        <v>7780</v>
      </c>
      <c r="B7780" s="2" t="str">
        <f>IFERROR(__xludf.DUMMYFUNCTION("GOOGLETRANSLATE(A7780, ""en"", ""mt"")"),"Introduzzjoni ta 'Beroe")</f>
        <v>Introduzzjoni ta 'Beroe</v>
      </c>
    </row>
    <row r="7781" ht="15.75" customHeight="1">
      <c r="A7781" s="2" t="s">
        <v>7781</v>
      </c>
      <c r="B7781" s="2" t="str">
        <f>IFERROR(__xludf.DUMMYFUNCTION("GOOGLETRANSLATE(A7781, ""en"", ""mt"")"),"L-ispiżeriji tal-isptar spiss jistgħu jinstabu fil-bini tal-isptar. L-ispiżeriji tal-isptar ġeneralment jaħżnu firxa akbar ta 'mediċini, inklużi mediċini aktar speċjalizzati, milli jkunu fattibbli fl-ambjent tal-komunità. Il-biċċa l-kbira tal-mediċini fl-"&amp;"isptar huma doża unitarja, jew doża waħda ta 'mediċina. L-ispiżjara tal-isptar u t-tekniċi tal-ispiżerija mħarrġa jikkomponu prodotti sterili għal pazjenti inkluż nutrizzjoni parenterali totali (TPN), u mediċini oħra mogħtija ġol-vina. Dan huwa proċess ku"&amp;"mpless li jirrikjedi taħriġ adegwat ta 'persunal, assigurazzjoni tal-kwalità tal-prodotti, u faċilitajiet adegwati. Bosta spiżeriji fl-isptar iddeċidew li jesternalizzaw preparazzjonijiet ta 'riskju għoli u xi funzjonijiet oħra ta' taħlit għal kumpaniji l"&amp;"i jispeċjalizzaw fit-taħlit. L-ispiża għolja tal-mediċini u t-teknoloġija relatata mal-mediċina, flimkien mal-impatt potenzjali tal-mediċini u s-servizzi tal-ispiżerija fuq ir-riżultati tal-kura tal-pazjenti u s-sigurtà tal-pazjent, jagħmluha imperattiva "&amp;"li l-ispiżeriji tal-isptar iwettqu fl-ogħla livell possibbli.")</f>
        <v>L-ispiżeriji tal-isptar spiss jistgħu jinstabu fil-bini tal-isptar. L-ispiżeriji tal-isptar ġeneralment jaħżnu firxa akbar ta 'mediċini, inklużi mediċini aktar speċjalizzati, milli jkunu fattibbli fl-ambjent tal-komunità. Il-biċċa l-kbira tal-mediċini fl-isptar huma doża unitarja, jew doża waħda ta 'mediċina. L-ispiżjara tal-isptar u t-tekniċi tal-ispiżerija mħarrġa jikkomponu prodotti sterili għal pazjenti inkluż nutrizzjoni parenterali totali (TPN), u mediċini oħra mogħtija ġol-vina. Dan huwa proċess kumpless li jirrikjedi taħriġ adegwat ta 'persunal, assigurazzjoni tal-kwalità tal-prodotti, u faċilitajiet adegwati. Bosta spiżeriji fl-isptar iddeċidew li jesternalizzaw preparazzjonijiet ta 'riskju għoli u xi funzjonijiet oħra ta' taħlit għal kumpaniji li jispeċjalizzaw fit-taħlit. L-ispiża għolja tal-mediċini u t-teknoloġija relatata mal-mediċina, flimkien mal-impatt potenzjali tal-mediċini u s-servizzi tal-ispiżerija fuq ir-riżultati tal-kura tal-pazjenti u s-sigurtà tal-pazjent, jagħmluha imperattiva li l-ispiżeriji tal-isptar iwettqu fl-ogħla livell possibbli.</v>
      </c>
    </row>
    <row r="7782" ht="15.75" customHeight="1">
      <c r="A7782" s="2" t="s">
        <v>7782</v>
      </c>
      <c r="B7782" s="2" t="str">
        <f>IFERROR(__xludf.DUMMYFUNCTION("GOOGLETRANSLATE(A7782, ""en"", ""mt"")"),"Kemm huwa normali li l-ossiġnu n-nifs fl-ispazju ilbiesi?")</f>
        <v>Kemm huwa normali li l-ossiġnu n-nifs fl-ispazju ilbiesi?</v>
      </c>
    </row>
    <row r="7783" ht="15.75" customHeight="1">
      <c r="A7783" s="2" t="s">
        <v>7783</v>
      </c>
      <c r="B7783" s="2" t="str">
        <f>IFERROR(__xludf.DUMMYFUNCTION("GOOGLETRANSLATE(A7783, ""en"", ""mt"")"),"lokomozzjoni")</f>
        <v>lokomozzjoni</v>
      </c>
    </row>
    <row r="7784" ht="15.75" customHeight="1">
      <c r="A7784" s="2" t="s">
        <v>7784</v>
      </c>
      <c r="B7784" s="2" t="str">
        <f>IFERROR(__xludf.DUMMYFUNCTION("GOOGLETRANSLATE(A7784, ""en"", ""mt"")"),"Materjali kombustibbli ħafna li jħallu ftit residwi, bħall-injam jew il-faħam, kienu maħsuba li huma magħmula l-aktar minn phlogiston; billi sustanzi mhux kombustibbli li jissaddad, bħall-ħadid, fihom ftit. L-AIR ma kellhiex rwol fit-teorija tal-phlogisto"&amp;"n, u lanqas ma saru l-ebda esperimenti kwantitattivi inizjali biex jiġu ttestjati l-idea; Minflok, kien ibbażat fuq osservazzjonijiet ta 'dak li jiġri meta tinħaraq xi ħaġa, li l-iktar oġġetti komuni jidhru li jsiru eħfef u jidhru li jitilfu xi ħaġa fil-p"&amp;"roċess. Il-fatt li sustanza bħall-injam jikseb piż ġenerali fil-ħruq kien moħbi mill-galleġġjatura tal-prodotti tal-kombustjoni gassuża. Tassew, waħda mill-ewwel ħjiel li t-teorija tal-phlogiston ma kinitx korretta kienet li l-metalli, ukoll, żiedu l-piż "&amp;"fit-tħawwil (meta suppost kienu qed jitilfu l-phlogiston).")</f>
        <v>Materjali kombustibbli ħafna li jħallu ftit residwi, bħall-injam jew il-faħam, kienu maħsuba li huma magħmula l-aktar minn phlogiston; billi sustanzi mhux kombustibbli li jissaddad, bħall-ħadid, fihom ftit. L-AIR ma kellhiex rwol fit-teorija tal-phlogiston, u lanqas ma saru l-ebda esperimenti kwantitattivi inizjali biex jiġu ttestjati l-idea; Minflok, kien ibbażat fuq osservazzjonijiet ta 'dak li jiġri meta tinħaraq xi ħaġa, li l-iktar oġġetti komuni jidhru li jsiru eħfef u jidhru li jitilfu xi ħaġa fil-proċess. Il-fatt li sustanza bħall-injam jikseb piż ġenerali fil-ħruq kien moħbi mill-galleġġjatura tal-prodotti tal-kombustjoni gassuża. Tassew, waħda mill-ewwel ħjiel li t-teorija tal-phlogiston ma kinitx korretta kienet li l-metalli, ukoll, żiedu l-piż fit-tħawwil (meta suppost kienu qed jitilfu l-phlogiston).</v>
      </c>
    </row>
    <row r="7785" ht="15.75" customHeight="1">
      <c r="A7785" s="2" t="s">
        <v>7785</v>
      </c>
      <c r="B7785" s="2" t="str">
        <f>IFERROR(__xludf.DUMMYFUNCTION("GOOGLETRANSLATE(A7785, ""en"", ""mt"")"),"esperjenza u responsabbiltajiet żejda")</f>
        <v>esperjenza u responsabbiltajiet żejda</v>
      </c>
    </row>
    <row r="7786" ht="15.75" customHeight="1">
      <c r="A7786" s="2" t="s">
        <v>7786</v>
      </c>
      <c r="B7786" s="2" t="str">
        <f>IFERROR(__xludf.DUMMYFUNCTION("GOOGLETRANSLATE(A7786, ""en"", ""mt"")"),"djar l-uffiċċji u l-kamra tal-bord eċċ u mhix miftuħa għall-pubbliku")</f>
        <v>djar l-uffiċċji u l-kamra tal-bord eċċ u mhix miftuħa għall-pubbliku</v>
      </c>
    </row>
    <row r="7787" ht="15.75" customHeight="1">
      <c r="A7787" s="2" t="s">
        <v>7787</v>
      </c>
      <c r="B7787" s="2" t="str">
        <f>IFERROR(__xludf.DUMMYFUNCTION("GOOGLETRANSLATE(A7787, ""en"", ""mt"")"),"sjieda ta 'industriji privati")</f>
        <v>sjieda ta 'industriji privati</v>
      </c>
    </row>
    <row r="7788" ht="15.75" customHeight="1">
      <c r="A7788" s="2" t="s">
        <v>7788</v>
      </c>
      <c r="B7788" s="2" t="str">
        <f>IFERROR(__xludf.DUMMYFUNCTION("GOOGLETRANSLATE(A7788, ""en"", ""mt"")"),"Xjentist Mad")</f>
        <v>Xjentist Mad</v>
      </c>
    </row>
    <row r="7789" ht="15.75" customHeight="1">
      <c r="A7789" s="2" t="s">
        <v>7789</v>
      </c>
      <c r="B7789" s="2" t="str">
        <f>IFERROR(__xludf.DUMMYFUNCTION("GOOGLETRANSLATE(A7789, ""en"", ""mt"")"),"l-iktar komuni")</f>
        <v>l-iktar komuni</v>
      </c>
    </row>
    <row r="7790" ht="15.75" customHeight="1">
      <c r="A7790" s="2" t="s">
        <v>7790</v>
      </c>
      <c r="B7790" s="2" t="str">
        <f>IFERROR(__xludf.DUMMYFUNCTION("GOOGLETRANSLATE(A7790, ""en"", ""mt"")"),"28 ta 'Diċembru, 2015")</f>
        <v>28 ta 'Diċembru, 2015</v>
      </c>
    </row>
    <row r="7791" ht="15.75" customHeight="1">
      <c r="A7791" s="2" t="s">
        <v>7791</v>
      </c>
      <c r="B7791" s="2" t="str">
        <f>IFERROR(__xludf.DUMMYFUNCTION("GOOGLETRANSLATE(A7791, ""en"", ""mt"")"),"Oġġetti tridimensjonali")</f>
        <v>Oġġetti tridimensjonali</v>
      </c>
    </row>
    <row r="7792" ht="15.75" customHeight="1">
      <c r="A7792" s="2" t="s">
        <v>7792</v>
      </c>
      <c r="B7792" s="2" t="str">
        <f>IFERROR(__xludf.DUMMYFUNCTION("GOOGLETRANSLATE(A7792, ""en"", ""mt"")"),"Mutur tat-trazzjoni DC")</f>
        <v>Mutur tat-trazzjoni DC</v>
      </c>
    </row>
    <row r="7793" ht="15.75" customHeight="1">
      <c r="A7793" s="2" t="s">
        <v>7793</v>
      </c>
      <c r="B7793" s="2" t="str">
        <f>IFERROR(__xludf.DUMMYFUNCTION("GOOGLETRANSLATE(A7793, ""en"", ""mt"")"),"Interi Gaussjani Z [i]")</f>
        <v>Interi Gaussjani Z [i]</v>
      </c>
    </row>
    <row r="7794" ht="15.75" customHeight="1">
      <c r="A7794" s="2" t="s">
        <v>7794</v>
      </c>
      <c r="B7794" s="2" t="str">
        <f>IFERROR(__xludf.DUMMYFUNCTION("GOOGLETRANSLATE(A7794, ""en"", ""mt"")"),"X’għamlu l-Musulmani li għamlu l-Musulmani?")</f>
        <v>X’għamlu l-Musulmani li għamlu l-Musulmani?</v>
      </c>
    </row>
    <row r="7795" ht="15.75" customHeight="1">
      <c r="A7795" s="2" t="s">
        <v>7795</v>
      </c>
      <c r="B7795" s="2" t="str">
        <f>IFERROR(__xludf.DUMMYFUNCTION("GOOGLETRANSLATE(A7795, ""en"", ""mt"")"),"il-kloroplast tagħha")</f>
        <v>il-kloroplast tagħha</v>
      </c>
    </row>
    <row r="7796" ht="15.75" customHeight="1">
      <c r="A7796" s="2" t="s">
        <v>7796</v>
      </c>
      <c r="B7796" s="2" t="str">
        <f>IFERROR(__xludf.DUMMYFUNCTION("GOOGLETRANSLATE(A7796, ""en"", ""mt"")"),"12:00 sas-6.00 p.m. Ħin tal-Lvant")</f>
        <v>12:00 sas-6.00 p.m. Ħin tal-Lvant</v>
      </c>
    </row>
    <row r="7797" ht="15.75" customHeight="1">
      <c r="A7797" s="2" t="s">
        <v>7797</v>
      </c>
      <c r="B7797" s="2" t="str">
        <f>IFERROR(__xludf.DUMMYFUNCTION("GOOGLETRANSLATE(A7797, ""en"", ""mt"")"),"L-Università ta 'Chicago College Bowl Team")</f>
        <v>L-Università ta 'Chicago College Bowl Team</v>
      </c>
    </row>
    <row r="7798" ht="15.75" customHeight="1">
      <c r="A7798" s="2" t="s">
        <v>7798</v>
      </c>
      <c r="B7798" s="2" t="str">
        <f>IFERROR(__xludf.DUMMYFUNCTION("GOOGLETRANSLATE(A7798, ""en"", ""mt"")"),"Elettroni mhux imqabbla fil-molekula")</f>
        <v>Elettroni mhux imqabbla fil-molekula</v>
      </c>
    </row>
    <row r="7799" ht="15.75" customHeight="1">
      <c r="A7799" s="2" t="s">
        <v>7799</v>
      </c>
      <c r="B7799" s="2" t="str">
        <f>IFERROR(__xludf.DUMMYFUNCTION("GOOGLETRANSLATE(A7799, ""en"", ""mt"")"),"Liema att stabbilixxa l-poteri tal-Parlament bħala leġiżlatura devolta?")</f>
        <v>Liema att stabbilixxa l-poteri tal-Parlament bħala leġiżlatura devolta?</v>
      </c>
    </row>
    <row r="7800" ht="15.75" customHeight="1">
      <c r="A7800" s="2" t="s">
        <v>7800</v>
      </c>
      <c r="B7800" s="2" t="str">
        <f>IFERROR(__xludf.DUMMYFUNCTION("GOOGLETRANSLATE(A7800, ""en"", ""mt"")"),"Każ tal-Qorti Suprema tal-Fondazzjoni FCC v. Pacifica")</f>
        <v>Każ tal-Qorti Suprema tal-Fondazzjoni FCC v. Pacifica</v>
      </c>
    </row>
    <row r="7801" ht="15.75" customHeight="1">
      <c r="A7801" s="2" t="s">
        <v>7801</v>
      </c>
      <c r="B7801" s="2" t="str">
        <f>IFERROR(__xludf.DUMMYFUNCTION("GOOGLETRANSLATE(A7801, ""en"", ""mt"")"),"Fl-1735, min għamlu John u Charles Wesley għall-Evanġelju fl-Amerika?")</f>
        <v>Fl-1735, min għamlu John u Charles Wesley għall-Evanġelju fl-Amerika?</v>
      </c>
    </row>
    <row r="7802" ht="15.75" customHeight="1">
      <c r="A7802" s="2" t="s">
        <v>7802</v>
      </c>
      <c r="B7802" s="2" t="str">
        <f>IFERROR(__xludf.DUMMYFUNCTION("GOOGLETRANSLATE(A7802, ""en"", ""mt"")"),"Kull kapitolu għandu numru ta ’awturi li huma responsabbli għall-kitba u l-editjar tal-materjal. Kapitolu tipikament għandu żewġ ""awturi ewlenin li jikkoordinaw"", għaxra sa ħmistax ""awturi ewlenin"", u numru kemmxejn ikbar ta '""awturi li jikkontribwix"&amp;"xu"". L-awturi ewlenin li jikkoordinaw huma responsabbli biex jiġbru l-kontribuzzjonijiet tal-awturi l-oħra, u jiżguraw li jissodisfaw ir-rekwiżiti stilistiċi u l-ifformattjar, u jirrappurtaw lis-siġġijiet tal-grupp ta 'ħidma. L-awturi ewlenin huma respon"&amp;"sabbli biex jiktbu sezzjonijiet ta ’kapitoli. L-awturi li jikkontribwixxu jħejju test, graffs jew dejta għall-inklużjoni mill-awturi ewlenin.")</f>
        <v>Kull kapitolu għandu numru ta ’awturi li huma responsabbli għall-kitba u l-editjar tal-materjal. Kapitolu tipikament għandu żewġ "awturi ewlenin li jikkoordinaw", għaxra sa ħmistax "awturi ewlenin", u numru kemmxejn ikbar ta '"awturi li jikkontribwixxu". L-awturi ewlenin li jikkoordinaw huma responsabbli biex jiġbru l-kontribuzzjonijiet tal-awturi l-oħra, u jiżguraw li jissodisfaw ir-rekwiżiti stilistiċi u l-ifformattjar, u jirrappurtaw lis-siġġijiet tal-grupp ta 'ħidma. L-awturi ewlenin huma responsabbli biex jiktbu sezzjonijiet ta ’kapitoli. L-awturi li jikkontribwixxu jħejju test, graffs jew dejta għall-inklużjoni mill-awturi ewlenin.</v>
      </c>
    </row>
    <row r="7803" ht="15.75" customHeight="1">
      <c r="A7803" s="2" t="s">
        <v>7803</v>
      </c>
      <c r="B7803" s="2" t="str">
        <f>IFERROR(__xludf.DUMMYFUNCTION("GOOGLETRANSLATE(A7803, ""en"", ""mt"")"),"Meta seħħet il-kolonizzazzjoni tal-Indja?")</f>
        <v>Meta seħħet il-kolonizzazzjoni tal-Indja?</v>
      </c>
    </row>
    <row r="7804" ht="15.75" customHeight="1">
      <c r="A7804" s="2" t="s">
        <v>7804</v>
      </c>
      <c r="B7804" s="2" t="str">
        <f>IFERROR(__xludf.DUMMYFUNCTION("GOOGLETRANSLATE(A7804, ""en"", ""mt"")"),"Fejn jinsab l-ajruport?")</f>
        <v>Fejn jinsab l-ajruport?</v>
      </c>
    </row>
    <row r="7805" ht="15.75" customHeight="1">
      <c r="A7805" s="2" t="s">
        <v>7805</v>
      </c>
      <c r="B7805" s="2" t="str">
        <f>IFERROR(__xludf.DUMMYFUNCTION("GOOGLETRANSLATE(A7805, ""en"", ""mt"")"),"Newtonjan")</f>
        <v>Newtonjan</v>
      </c>
    </row>
    <row r="7806" ht="15.75" customHeight="1">
      <c r="A7806" s="2" t="s">
        <v>7806</v>
      </c>
      <c r="B7806" s="2" t="str">
        <f>IFERROR(__xludf.DUMMYFUNCTION("GOOGLETRANSLATE(A7806, ""en"", ""mt"")"),"idrokarburi")</f>
        <v>idrokarburi</v>
      </c>
    </row>
    <row r="7807" ht="15.75" customHeight="1">
      <c r="A7807" s="2" t="s">
        <v>7807</v>
      </c>
      <c r="B7807" s="2" t="str">
        <f>IFERROR(__xludf.DUMMYFUNCTION("GOOGLETRANSLATE(A7807, ""en"", ""mt"")"),"F'liema stati l-kliniċi tal-ispiżjar jingħataw awtorità preskrittiva u dijanjostika?")</f>
        <v>F'liema stati l-kliniċi tal-ispiżjar jingħataw awtorità preskrittiva u dijanjostika?</v>
      </c>
    </row>
    <row r="7808" ht="15.75" customHeight="1">
      <c r="A7808" s="2" t="s">
        <v>7808</v>
      </c>
      <c r="B7808" s="2" t="str">
        <f>IFERROR(__xludf.DUMMYFUNCTION("GOOGLETRANSLATE(A7808, ""en"", ""mt"")"),"Paga baxxa")</f>
        <v>Paga baxxa</v>
      </c>
    </row>
    <row r="7809" ht="15.75" customHeight="1">
      <c r="A7809" s="2" t="s">
        <v>7809</v>
      </c>
      <c r="B7809" s="2" t="str">
        <f>IFERROR(__xludf.DUMMYFUNCTION("GOOGLETRANSLATE(A7809, ""en"", ""mt"")"),"in-nuqqas ta ’statistika affidabbli")</f>
        <v>in-nuqqas ta ’statistika affidabbli</v>
      </c>
    </row>
    <row r="7810" ht="15.75" customHeight="1">
      <c r="A7810" s="2" t="s">
        <v>7810</v>
      </c>
      <c r="B7810" s="2" t="str">
        <f>IFERROR(__xludf.DUMMYFUNCTION("GOOGLETRANSLATE(A7810, ""en"", ""mt"")"),"l-iktar rigoruż, intens")</f>
        <v>l-iktar rigoruż, intens</v>
      </c>
    </row>
    <row r="7811" ht="15.75" customHeight="1">
      <c r="A7811" s="2" t="s">
        <v>7811</v>
      </c>
      <c r="B7811" s="2" t="str">
        <f>IFERROR(__xludf.DUMMYFUNCTION("GOOGLETRANSLATE(A7811, ""en"", ""mt"")"),"Liema tifqigħa kienet assoċjata mat-truppi fil-gwerra tat-tletin sena?")</f>
        <v>Liema tifqigħa kienet assoċjata mat-truppi fil-gwerra tat-tletin sena?</v>
      </c>
    </row>
    <row r="7812" ht="15.75" customHeight="1">
      <c r="A7812" s="2" t="s">
        <v>7812</v>
      </c>
      <c r="B7812" s="2" t="str">
        <f>IFERROR(__xludf.DUMMYFUNCTION("GOOGLETRANSLATE(A7812, ""en"", ""mt"")"),"Il-Knisja Protestanta Franċiża ta ’Londra ġiet stabbilita minn Royal Charter fl-1550. Issa tinsab fi Soho Square. Ir-refuġjati Huguenot ħarġu lejn Shoreditch, Londra. Huma stabbilixxew industrija ewlenija tal-insiġ fi Spitalfields u madwarha (ara Petticoa"&amp;"t Lane u t-Tenterground) fil-Lvant ta 'Londra. F’Wandsworth, il-ħiliet tal-ġardinaġġ tagħhom ibbenefikaw mill-Ġonna tas-Suq tal-Battersea. Il-Birrerija l-Qadima Truman, imbagħad magħrufa bħala l-Black Eagle Brewery, twaqqfet fl-1724. It-titjira tar-refuġj"&amp;"ati Huguenot minn tours, Franza ġibdet il-biċċa l-kbira tal-ħaddiema tal-imtieħen tal-ħarir il-kbar tagħha li kienu bnew. [Ċitazzjoni kellha bżonn] uħud minn dawn L-immigranti marru joqogħdu lejn Norwich, li kien akkomodat soluzzjoni preċedenti ta 'min ji"&amp;"nsa. Il-Franċiżi żiedu mal-popolazzjoni ta 'immigranti eżistenti, u mbagħad tinkludi madwar terz tal-popolazzjoni tal-belt.")</f>
        <v>Il-Knisja Protestanta Franċiża ta ’Londra ġiet stabbilita minn Royal Charter fl-1550. Issa tinsab fi Soho Square. Ir-refuġjati Huguenot ħarġu lejn Shoreditch, Londra. Huma stabbilixxew industrija ewlenija tal-insiġ fi Spitalfields u madwarha (ara Petticoat Lane u t-Tenterground) fil-Lvant ta 'Londra. F’Wandsworth, il-ħiliet tal-ġardinaġġ tagħhom ibbenefikaw mill-Ġonna tas-Suq tal-Battersea. Il-Birrerija l-Qadima Truman, imbagħad magħrufa bħala l-Black Eagle Brewery, twaqqfet fl-1724. It-titjira tar-refuġjati Huguenot minn tours, Franza ġibdet il-biċċa l-kbira tal-ħaddiema tal-imtieħen tal-ħarir il-kbar tagħha li kienu bnew. [Ċitazzjoni kellha bżonn] uħud minn dawn L-immigranti marru joqogħdu lejn Norwich, li kien akkomodat soluzzjoni preċedenti ta 'min jinsa. Il-Franċiżi żiedu mal-popolazzjoni ta 'immigranti eżistenti, u mbagħad tinkludi madwar terz tal-popolazzjoni tal-belt.</v>
      </c>
    </row>
    <row r="7813" ht="15.75" customHeight="1">
      <c r="A7813" s="2" t="s">
        <v>7813</v>
      </c>
      <c r="B7813" s="2" t="str">
        <f>IFERROR(__xludf.DUMMYFUNCTION("GOOGLETRANSLATE(A7813, ""en"", ""mt"")"),"X’għamel il-programm Early Entrant għall-istudenti potenzjali?")</f>
        <v>X’għamel il-programm Early Entrant għall-istudenti potenzjali?</v>
      </c>
    </row>
    <row r="7814" ht="15.75" customHeight="1">
      <c r="A7814" s="2" t="s">
        <v>7814</v>
      </c>
      <c r="B7814" s="2" t="str">
        <f>IFERROR(__xludf.DUMMYFUNCTION("GOOGLETRANSLATE(A7814, ""en"", ""mt"")"),"Ħafna mit-tribujiet nomadi tal-Asja tal-Grigal.")</f>
        <v>Ħafna mit-tribujiet nomadi tal-Asja tal-Grigal.</v>
      </c>
    </row>
    <row r="7815" ht="15.75" customHeight="1">
      <c r="A7815" s="2" t="s">
        <v>7815</v>
      </c>
      <c r="B7815" s="2" t="str">
        <f>IFERROR(__xludf.DUMMYFUNCTION("GOOGLETRANSLATE(A7815, ""en"", ""mt"")"),"Servizzi tal-merkanzija")</f>
        <v>Servizzi tal-merkanzija</v>
      </c>
    </row>
    <row r="7816" ht="15.75" customHeight="1">
      <c r="A7816" s="2" t="s">
        <v>7816</v>
      </c>
      <c r="B7816" s="2" t="str">
        <f>IFERROR(__xludf.DUMMYFUNCTION("GOOGLETRANSLATE(A7816, ""en"", ""mt"")"),"Meta kienu l-Gwerer tar-Reliġjon Franċiżi?")</f>
        <v>Meta kienu l-Gwerer tar-Reliġjon Franċiżi?</v>
      </c>
    </row>
    <row r="7817" ht="15.75" customHeight="1">
      <c r="A7817" s="2" t="s">
        <v>7817</v>
      </c>
      <c r="B7817" s="2" t="str">
        <f>IFERROR(__xludf.DUMMYFUNCTION("GOOGLETRANSLATE(A7817, ""en"", ""mt"")"),"Imperatur")</f>
        <v>Imperatur</v>
      </c>
    </row>
    <row r="7818" ht="15.75" customHeight="1">
      <c r="A7818" s="2" t="s">
        <v>7818</v>
      </c>
      <c r="B7818" s="2" t="str">
        <f>IFERROR(__xludf.DUMMYFUNCTION("GOOGLETRANSLATE(A7818, ""en"", ""mt"")"),"Il-Konferenza Ġenerali tal-Knisja Metodista Magħquda")</f>
        <v>Il-Konferenza Ġenerali tal-Knisja Metodista Magħquda</v>
      </c>
    </row>
    <row r="7819" ht="15.75" customHeight="1">
      <c r="A7819" s="2" t="s">
        <v>7819</v>
      </c>
      <c r="B7819" s="2" t="str">
        <f>IFERROR(__xludf.DUMMYFUNCTION("GOOGLETRANSLATE(A7819, ""en"", ""mt"")"),"strutturi u proċessi bijoloġiċi fi ħdan organiżmu")</f>
        <v>strutturi u proċessi bijoloġiċi fi ħdan organiżmu</v>
      </c>
    </row>
    <row r="7820" ht="15.75" customHeight="1">
      <c r="A7820" s="2" t="s">
        <v>7820</v>
      </c>
      <c r="B7820" s="2" t="str">
        <f>IFERROR(__xludf.DUMMYFUNCTION("GOOGLETRANSLATE(A7820, ""en"", ""mt"")"),"Liema duttrina ppromwoviet id-duttrina tal-prinċipji tal-ġeoloġija?")</f>
        <v>Liema duttrina ppromwoviet id-duttrina tal-prinċipji tal-ġeoloġija?</v>
      </c>
    </row>
    <row r="7821" ht="15.75" customHeight="1">
      <c r="A7821" s="2" t="s">
        <v>7821</v>
      </c>
      <c r="B7821" s="2" t="str">
        <f>IFERROR(__xludf.DUMMYFUNCTION("GOOGLETRANSLATE(A7821, ""en"", ""mt"")"),"X’kienet għamlet il-komunità ta ’Luther lil-Lhud snin qabel?")</f>
        <v>X’kienet għamlet il-komunità ta ’Luther lil-Lhud snin qabel?</v>
      </c>
    </row>
    <row r="7822" ht="15.75" customHeight="1">
      <c r="A7822" s="2" t="s">
        <v>7822</v>
      </c>
      <c r="B7822" s="2" t="str">
        <f>IFERROR(__xludf.DUMMYFUNCTION("GOOGLETRANSLATE(A7822, ""en"", ""mt"")"),"Is-suċċess tal-patoġeni huwa mbassar fuq il-kapaċità tagħhom li jagħmlu xiex?")</f>
        <v>Is-suċċess tal-patoġeni huwa mbassar fuq il-kapaċità tagħhom li jagħmlu xiex?</v>
      </c>
    </row>
    <row r="7823" ht="15.75" customHeight="1">
      <c r="A7823" s="2" t="s">
        <v>7823</v>
      </c>
      <c r="B7823" s="2" t="str">
        <f>IFERROR(__xludf.DUMMYFUNCTION("GOOGLETRANSLATE(A7823, ""en"", ""mt"")"),"Il-programm Apollo rnexxielu jilħaq l-għan tiegħu ta 'Lunar Landing, minkejja l-intopp ewlieni ta' nar tal-kabina Apollo 1 tal-1967 li qatel l-ekwipaġġ kollu waqt test ta 'qabel it-tneħħija. Wara l-ewwel inżul, hardware suffiċjenti tat-titjira baqa 'għal "&amp;"disa' żbark ta 'segwitu bi pjan għall-esplorazzjoni ġeoloġika u astrofiżika lunari estiża. It-tnaqqis fil-baġit ġiegħel il-kanċellazzjoni ta 'tlieta minn dawn. Ħamsa mis-sitt missjonijiet li fadal kisbu ħatt ta 'suċċess, iżda l-inżul ta' Apollo 13 ġie evi"&amp;"tat minn splużjoni ta 'tank ta' ossiġnu fi tranżitu lejn il-qamar, li b'diżabilità tal-propulsjoni u l-appoġġ tal-ħajja tal-vettura tal-kmand. L-ekwipaġġ irritorna fid-Dinja mingħajr periklu billi uża l-modulu Lunar bħala ""dgħajsa tas-salvataġġ"" għal da"&amp;"wn il-funzjonijiet.")</f>
        <v>Il-programm Apollo rnexxielu jilħaq l-għan tiegħu ta 'Lunar Landing, minkejja l-intopp ewlieni ta' nar tal-kabina Apollo 1 tal-1967 li qatel l-ekwipaġġ kollu waqt test ta 'qabel it-tneħħija. Wara l-ewwel inżul, hardware suffiċjenti tat-titjira baqa 'għal disa' żbark ta 'segwitu bi pjan għall-esplorazzjoni ġeoloġika u astrofiżika lunari estiża. It-tnaqqis fil-baġit ġiegħel il-kanċellazzjoni ta 'tlieta minn dawn. Ħamsa mis-sitt missjonijiet li fadal kisbu ħatt ta 'suċċess, iżda l-inżul ta' Apollo 13 ġie evitat minn splużjoni ta 'tank ta' ossiġnu fi tranżitu lejn il-qamar, li b'diżabilità tal-propulsjoni u l-appoġġ tal-ħajja tal-vettura tal-kmand. L-ekwipaġġ irritorna fid-Dinja mingħajr periklu billi uża l-modulu Lunar bħala "dgħajsa tas-salvataġġ" għal dawn il-funzjonijiet.</v>
      </c>
    </row>
    <row r="7824" ht="15.75" customHeight="1">
      <c r="A7824" s="2" t="s">
        <v>7824</v>
      </c>
      <c r="B7824" s="2" t="str">
        <f>IFERROR(__xludf.DUMMYFUNCTION("GOOGLETRANSLATE(A7824, ""en"", ""mt"")"),"Li opera n-netwerk VBSN")</f>
        <v>Li opera n-netwerk VBSN</v>
      </c>
    </row>
    <row r="7825" ht="15.75" customHeight="1">
      <c r="A7825" s="2" t="s">
        <v>7825</v>
      </c>
      <c r="B7825" s="2" t="str">
        <f>IFERROR(__xludf.DUMMYFUNCTION("GOOGLETRANSLATE(A7825, ""en"", ""mt"")"),"Il-ġustifikazzjoni pjuttost tiddependi biss fuq fidi li tkun attiva fil-karità u xogħlijiet tajbin")</f>
        <v>Il-ġustifikazzjoni pjuttost tiddependi biss fuq fidi li tkun attiva fil-karità u xogħlijiet tajbin</v>
      </c>
    </row>
    <row r="7826" ht="15.75" customHeight="1">
      <c r="A7826" s="2" t="s">
        <v>7826</v>
      </c>
      <c r="B7826" s="2" t="str">
        <f>IFERROR(__xludf.DUMMYFUNCTION("GOOGLETRANSLATE(A7826, ""en"", ""mt"")"),"Khuruldai")</f>
        <v>Khuruldai</v>
      </c>
    </row>
    <row r="7827" ht="15.75" customHeight="1">
      <c r="A7827" s="2" t="s">
        <v>7827</v>
      </c>
      <c r="B7827" s="2" t="str">
        <f>IFERROR(__xludf.DUMMYFUNCTION("GOOGLETRANSLATE(A7827, ""en"", ""mt"")"),"26 sekonda barra l-kalendarju modern Gregorjan")</f>
        <v>26 sekonda barra l-kalendarju modern Gregorjan</v>
      </c>
    </row>
    <row r="7828" ht="15.75" customHeight="1">
      <c r="A7828" s="2" t="s">
        <v>7828</v>
      </c>
      <c r="B7828" s="2" t="str">
        <f>IFERROR(__xludf.DUMMYFUNCTION("GOOGLETRANSLATE(A7828, ""en"", ""mt"")"),"Kif qabbel ir-rapport tal-IPCC tal-2001 mar-realtà fuq il-livelli tat-temperatura?")</f>
        <v>Kif qabbel ir-rapport tal-IPCC tal-2001 mar-realtà fuq il-livelli tat-temperatura?</v>
      </c>
    </row>
    <row r="7829" ht="15.75" customHeight="1">
      <c r="A7829" s="2" t="s">
        <v>7829</v>
      </c>
      <c r="B7829" s="2" t="str">
        <f>IFERROR(__xludf.DUMMYFUNCTION("GOOGLETRANSLATE(A7829, ""en"", ""mt"")"),"It-trasferiment tal-ġene endosimbjotiku huwa kif nafu dwar il-kloroplasti mitlufa f'ħafna nisel tal-kromalveolat. Anke jekk kloroplast eventwalment jintilef, il-ġeni li taw in-nukleu tal-ex-ospitanti jippersistu, u jipprovdu evidenza għall-eżistenza tal-k"&amp;"loroplast mitluf. Pereżempju, filwaqt li d-dijatomi (heterokontophyte) issa għandhom kloroplast derivat mill-alka ħamra, il-preżenza ta 'ħafna ġeni tal-alka ekoloġika fin-nukleu tad-diatom tipprovdi evidenza li l-antenat tad-diatom (probabbilment ukoll il"&amp;"-kromalveolat xi punt, li sussegwentement ġie sostitwit bil-kloroplast aħmar.")</f>
        <v>It-trasferiment tal-ġene endosimbjotiku huwa kif nafu dwar il-kloroplasti mitlufa f'ħafna nisel tal-kromalveolat. Anke jekk kloroplast eventwalment jintilef, il-ġeni li taw in-nukleu tal-ex-ospitanti jippersistu, u jipprovdu evidenza għall-eżistenza tal-kloroplast mitluf. Pereżempju, filwaqt li d-dijatomi (heterokontophyte) issa għandhom kloroplast derivat mill-alka ħamra, il-preżenza ta 'ħafna ġeni tal-alka ekoloġika fin-nukleu tad-diatom tipprovdi evidenza li l-antenat tad-diatom (probabbilment ukoll il-kromalveolat xi punt, li sussegwentement ġie sostitwit bil-kloroplast aħmar.</v>
      </c>
    </row>
    <row r="7830" ht="15.75" customHeight="1">
      <c r="A7830" s="2" t="s">
        <v>7830</v>
      </c>
      <c r="B7830" s="2" t="str">
        <f>IFERROR(__xludf.DUMMYFUNCTION("GOOGLETRANSLATE(A7830, ""en"", ""mt"")"),"Politiċi tal-oppożizzjoni, gruppi tad-drittijiet tal-bniedem, u disa 'pajjiżi tal-Punent")</f>
        <v>Politiċi tal-oppożizzjoni, gruppi tad-drittijiet tal-bniedem, u disa 'pajjiżi tal-Punent</v>
      </c>
    </row>
    <row r="7831" ht="15.75" customHeight="1">
      <c r="A7831" s="2" t="s">
        <v>7831</v>
      </c>
      <c r="B7831" s="2" t="str">
        <f>IFERROR(__xludf.DUMMYFUNCTION("GOOGLETRANSLATE(A7831, ""en"", ""mt"")"),"X’jagħmel il-film tal-ossidu fuq il-metalli?")</f>
        <v>X’jagħmel il-film tal-ossidu fuq il-metalli?</v>
      </c>
    </row>
    <row r="7832" ht="15.75" customHeight="1">
      <c r="A7832" s="2" t="s">
        <v>7832</v>
      </c>
      <c r="B7832" s="2" t="str">
        <f>IFERROR(__xludf.DUMMYFUNCTION("GOOGLETRANSLATE(A7832, ""en"", ""mt"")"),"Domanda bijokimika ta 'ossiġnu")</f>
        <v>Domanda bijokimika ta 'ossiġnu</v>
      </c>
    </row>
    <row r="7833" ht="15.75" customHeight="1">
      <c r="A7833" s="2" t="s">
        <v>7833</v>
      </c>
      <c r="B7833" s="2" t="str">
        <f>IFERROR(__xludf.DUMMYFUNCTION("GOOGLETRANSLATE(A7833, ""en"", ""mt"")"),"Guinea Ġdida")</f>
        <v>Guinea Ġdida</v>
      </c>
    </row>
    <row r="7834" ht="15.75" customHeight="1">
      <c r="A7834" s="2" t="s">
        <v>7834</v>
      </c>
      <c r="B7834" s="2" t="str">
        <f>IFERROR(__xludf.DUMMYFUNCTION("GOOGLETRANSLATE(A7834, ""en"", ""mt"")"),"Jet ta 'ilma mkeċċi jsuqhom lura malajr ħafna")</f>
        <v>Jet ta 'ilma mkeċċi jsuqhom lura malajr ħafna</v>
      </c>
    </row>
    <row r="7835" ht="15.75" customHeight="1">
      <c r="A7835" s="2" t="s">
        <v>7835</v>
      </c>
      <c r="B7835" s="2" t="str">
        <f>IFERROR(__xludf.DUMMYFUNCTION("GOOGLETRANSLATE(A7835, ""en"", ""mt"")"),"tistabbilixxi, tgħammar, tmexxi u żżomm libreriji nazzjonali u pubbliċi fil-pajjiż")</f>
        <v>tistabbilixxi, tgħammar, tmexxi u żżomm libreriji nazzjonali u pubbliċi fil-pajjiż</v>
      </c>
    </row>
    <row r="7836" ht="15.75" customHeight="1">
      <c r="A7836" s="2" t="s">
        <v>7836</v>
      </c>
      <c r="B7836" s="2" t="str">
        <f>IFERROR(__xludf.DUMMYFUNCTION("GOOGLETRANSLATE(A7836, ""en"", ""mt"")"),"X'inhu jiddeskrivi l-proporzjonalità ta 'aċċellerazzjoni għall-forza u l-massa?")</f>
        <v>X'inhu jiddeskrivi l-proporzjonalità ta 'aċċellerazzjoni għall-forza u l-massa?</v>
      </c>
    </row>
    <row r="7837" ht="15.75" customHeight="1">
      <c r="A7837" s="2" t="s">
        <v>7837</v>
      </c>
      <c r="B7837" s="2" t="str">
        <f>IFERROR(__xludf.DUMMYFUNCTION("GOOGLETRANSLATE(A7837, ""en"", ""mt"")"),"rapport")</f>
        <v>rapport</v>
      </c>
    </row>
    <row r="7838" ht="15.75" customHeight="1">
      <c r="A7838" s="2" t="s">
        <v>7838</v>
      </c>
      <c r="B7838" s="2" t="str">
        <f>IFERROR(__xludf.DUMMYFUNCTION("GOOGLETRANSLATE(A7838, ""en"", ""mt"")"),"B'liema isem hija dik il-knisja Huguenot l-ewwel magħrufa llum?")</f>
        <v>B'liema isem hija dik il-knisja Huguenot l-ewwel magħrufa llum?</v>
      </c>
    </row>
    <row r="7839" ht="15.75" customHeight="1">
      <c r="A7839" s="2" t="s">
        <v>7839</v>
      </c>
      <c r="B7839" s="2" t="str">
        <f>IFERROR(__xludf.DUMMYFUNCTION("GOOGLETRANSLATE(A7839, ""en"", ""mt"")"),"Liema żewġ importaturi ddikjaraw li taħt liġi tal-kompetizzjoni Franċiża, ma tħallewx ibigħu birra picon taħt prezz bl-ingrossa?")</f>
        <v>Liema żewġ importaturi ddikjaraw li taħt liġi tal-kompetizzjoni Franċiża, ma tħallewx ibigħu birra picon taħt prezz bl-ingrossa?</v>
      </c>
    </row>
    <row r="7840" ht="15.75" customHeight="1">
      <c r="A7840" s="2" t="s">
        <v>7840</v>
      </c>
      <c r="B7840" s="2" t="str">
        <f>IFERROR(__xludf.DUMMYFUNCTION("GOOGLETRANSLATE(A7840, ""en"", ""mt"")"),"X'kienet il-forza ta 'Luther fi ħdan ir-Riforma?")</f>
        <v>X'kienet il-forza ta 'Luther fi ħdan ir-Riforma?</v>
      </c>
    </row>
    <row r="7841" ht="15.75" customHeight="1">
      <c r="A7841" s="2" t="s">
        <v>7841</v>
      </c>
      <c r="B7841" s="2" t="str">
        <f>IFERROR(__xludf.DUMMYFUNCTION("GOOGLETRANSLATE(A7841, ""en"", ""mt"")"),"qawwi")</f>
        <v>qawwi</v>
      </c>
    </row>
    <row r="7842" ht="15.75" customHeight="1">
      <c r="A7842" s="2" t="s">
        <v>7842</v>
      </c>
      <c r="B7842" s="2" t="str">
        <f>IFERROR(__xludf.DUMMYFUNCTION("GOOGLETRANSLATE(A7842, ""en"", ""mt"")"),"Jekk l-abbozz jinsab fil-kompetenza leġiżlattiva tal-Parlament")</f>
        <v>Jekk l-abbozz jinsab fil-kompetenza leġiżlattiva tal-Parlament</v>
      </c>
    </row>
    <row r="7843" ht="15.75" customHeight="1">
      <c r="A7843" s="2" t="s">
        <v>7843</v>
      </c>
      <c r="B7843" s="2" t="str">
        <f>IFERROR(__xludf.DUMMYFUNCTION("GOOGLETRANSLATE(A7843, ""en"", ""mt"")"),"sterjoskopiku")</f>
        <v>sterjoskopiku</v>
      </c>
    </row>
    <row r="7844" ht="15.75" customHeight="1">
      <c r="A7844" s="2" t="s">
        <v>7844</v>
      </c>
      <c r="B7844" s="2" t="str">
        <f>IFERROR(__xludf.DUMMYFUNCTION("GOOGLETRANSLATE(A7844, ""en"", ""mt"")"),"Liema sistema ta 'katalogar kienet użata mil-Librerija Nazzjonali tal-Art mis-snin 1980 sad-disgħinijiet?")</f>
        <v>Liema sistema ta 'katalogar kienet użata mil-Librerija Nazzjonali tal-Art mis-snin 1980 sad-disgħinijiet?</v>
      </c>
    </row>
    <row r="7845" ht="15.75" customHeight="1">
      <c r="A7845" s="2" t="s">
        <v>7845</v>
      </c>
      <c r="B7845" s="2" t="str">
        <f>IFERROR(__xludf.DUMMYFUNCTION("GOOGLETRANSLATE(A7845, ""en"", ""mt"")"),"X'inhu ġeneralment ikkunsidrat bħala l-iktar iterazzjoni bażika ta 'magna tat-Turing?")</f>
        <v>X'inhu ġeneralment ikkunsidrat bħala l-iktar iterazzjoni bażika ta 'magna tat-Turing?</v>
      </c>
    </row>
    <row r="7846" ht="15.75" customHeight="1">
      <c r="A7846" s="2" t="s">
        <v>7846</v>
      </c>
      <c r="B7846" s="2" t="str">
        <f>IFERROR(__xludf.DUMMYFUNCTION("GOOGLETRANSLATE(A7846, ""en"", ""mt"")"),"Quddiesa Latina")</f>
        <v>Quddiesa Latina</v>
      </c>
    </row>
    <row r="7847" ht="15.75" customHeight="1">
      <c r="A7847" s="2" t="s">
        <v>7847</v>
      </c>
      <c r="B7847" s="2" t="str">
        <f>IFERROR(__xludf.DUMMYFUNCTION("GOOGLETRANSLATE(A7847, ""en"", ""mt"")"),"Matul l-istorja tagħha, il-Knisja Metodista Magħquda għamlet enfasi kbira fuq l-importanza tal-edukazzjoni. Bħala tali, il-Knisja Metodista Magħquda stabbiliet u hija affiljata ma 'madwar mitt kulleġġ u universitajiet fl-Istati Uniti, inkluża l-Università"&amp;" ta' Syracuse, Università ta 'Boston, Università Emory, Università Duke, Drew University, University of Denver, University of Evansville, u Southern Methodist Università. Ħafna huma membri tal-Assoċjazzjoni Internazzjonali tal-Iskejjel, Kulleġġi u Univers"&amp;"itajiet relatati mal-Metodisti. Il-knisja topera tliet mija u sittin skola u istituzzjonijiet barranin.")</f>
        <v>Matul l-istorja tagħha, il-Knisja Metodista Magħquda għamlet enfasi kbira fuq l-importanza tal-edukazzjoni. Bħala tali, il-Knisja Metodista Magħquda stabbiliet u hija affiljata ma 'madwar mitt kulleġġ u universitajiet fl-Istati Uniti, inkluża l-Università ta' Syracuse, Università ta 'Boston, Università Emory, Università Duke, Drew University, University of Denver, University of Evansville, u Southern Methodist Università. Ħafna huma membri tal-Assoċjazzjoni Internazzjonali tal-Iskejjel, Kulleġġi u Universitajiet relatati mal-Metodisti. Il-knisja topera tliet mija u sittin skola u istituzzjonijiet barranin.</v>
      </c>
    </row>
    <row r="7848" ht="15.75" customHeight="1">
      <c r="A7848" s="2" t="s">
        <v>7848</v>
      </c>
      <c r="B7848" s="2" t="str">
        <f>IFERROR(__xludf.DUMMYFUNCTION("GOOGLETRANSLATE(A7848, ""en"", ""mt"")"),"Marzu 2008")</f>
        <v>Marzu 2008</v>
      </c>
    </row>
    <row r="7849" ht="15.75" customHeight="1">
      <c r="A7849" s="2" t="s">
        <v>7849</v>
      </c>
      <c r="B7849" s="2" t="str">
        <f>IFERROR(__xludf.DUMMYFUNCTION("GOOGLETRANSLATE(A7849, ""en"", ""mt"")"),"Indjani Amerikani")</f>
        <v>Indjani Amerikani</v>
      </c>
    </row>
    <row r="7850" ht="15.75" customHeight="1">
      <c r="A7850" s="2" t="s">
        <v>7850</v>
      </c>
      <c r="B7850" s="2" t="str">
        <f>IFERROR(__xludf.DUMMYFUNCTION("GOOGLETRANSLATE(A7850, ""en"", ""mt"")"),"Il-kontinenti kollha popolati")</f>
        <v>Il-kontinenti kollha popolati</v>
      </c>
    </row>
    <row r="7851" ht="15.75" customHeight="1">
      <c r="A7851" s="2" t="s">
        <v>7851</v>
      </c>
      <c r="B7851" s="2" t="str">
        <f>IFERROR(__xludf.DUMMYFUNCTION("GOOGLETRANSLATE(A7851, ""en"", ""mt"")"),"Ma 'liema kulleġġ huwa assoċjat Jake Rosenfield?")</f>
        <v>Ma 'liema kulleġġ huwa assoċjat Jake Rosenfield?</v>
      </c>
    </row>
    <row r="7852" ht="15.75" customHeight="1">
      <c r="A7852" s="2" t="s">
        <v>7852</v>
      </c>
      <c r="B7852" s="2" t="str">
        <f>IFERROR(__xludf.DUMMYFUNCTION("GOOGLETRANSLATE(A7852, ""en"", ""mt"")"),"Min irregola r-reġjun ċentrali fil-wan?")</f>
        <v>Min irregola r-reġjun ċentrali fil-wan?</v>
      </c>
    </row>
    <row r="7853" ht="15.75" customHeight="1">
      <c r="A7853" s="2" t="s">
        <v>7853</v>
      </c>
      <c r="B7853" s="2" t="str">
        <f>IFERROR(__xludf.DUMMYFUNCTION("GOOGLETRANSLATE(A7853, ""en"", ""mt"")"),"Ħiliet ta 'kura tal-pazjent")</f>
        <v>Ħiliet ta 'kura tal-pazjent</v>
      </c>
    </row>
    <row r="7854" ht="15.75" customHeight="1">
      <c r="A7854" s="2" t="s">
        <v>7854</v>
      </c>
      <c r="B7854" s="2" t="str">
        <f>IFERROR(__xludf.DUMMYFUNCTION("GOOGLETRANSLATE(A7854, ""en"", ""mt"")"),"Il-cuticle tax-xama '")</f>
        <v>Il-cuticle tax-xama '</v>
      </c>
    </row>
    <row r="7855" ht="15.75" customHeight="1">
      <c r="A7855" s="2" t="s">
        <v>7855</v>
      </c>
      <c r="B7855" s="2" t="str">
        <f>IFERROR(__xludf.DUMMYFUNCTION("GOOGLETRANSLATE(A7855, ""en"", ""mt"")"),"aktar imqassam bl-istess mod")</f>
        <v>aktar imqassam bl-istess mod</v>
      </c>
    </row>
    <row r="7856" ht="15.75" customHeight="1">
      <c r="A7856" s="2" t="s">
        <v>7856</v>
      </c>
      <c r="B7856" s="2" t="str">
        <f>IFERROR(__xludf.DUMMYFUNCTION("GOOGLETRANSLATE(A7856, ""en"", ""mt"")"),"Kemm id-deheb ipproduċa Victoria fis-snin tal-1851-1860?")</f>
        <v>Kemm id-deheb ipproduċa Victoria fis-snin tal-1851-1860?</v>
      </c>
    </row>
    <row r="7857" ht="15.75" customHeight="1">
      <c r="A7857" s="2" t="s">
        <v>7857</v>
      </c>
      <c r="B7857" s="2" t="str">
        <f>IFERROR(__xludf.DUMMYFUNCTION("GOOGLETRANSLATE(A7857, ""en"", ""mt"")"),"Iċ-Ċentru Moscone")</f>
        <v>Iċ-Ċentru Moscone</v>
      </c>
    </row>
    <row r="7858" ht="15.75" customHeight="1">
      <c r="A7858" s="2" t="s">
        <v>7858</v>
      </c>
      <c r="B7858" s="2" t="str">
        <f>IFERROR(__xludf.DUMMYFUNCTION("GOOGLETRANSLATE(A7858, ""en"", ""mt"")"),"mija")</f>
        <v>mija</v>
      </c>
    </row>
    <row r="7859" ht="15.75" customHeight="1">
      <c r="A7859" s="2" t="s">
        <v>7859</v>
      </c>
      <c r="B7859" s="2" t="str">
        <f>IFERROR(__xludf.DUMMYFUNCTION("GOOGLETRANSLATE(A7859, ""en"", ""mt"")"),"Liema kosta tmiss in-Nofsinhar ta 'California?")</f>
        <v>Liema kosta tmiss in-Nofsinhar ta 'California?</v>
      </c>
    </row>
    <row r="7860" ht="15.75" customHeight="1">
      <c r="A7860" s="2" t="s">
        <v>7860</v>
      </c>
      <c r="B7860" s="2" t="str">
        <f>IFERROR(__xludf.DUMMYFUNCTION("GOOGLETRANSLATE(A7860, ""en"", ""mt"")"),"Teorija tar-Relatività Ġenerali")</f>
        <v>Teorija tar-Relatività Ġenerali</v>
      </c>
    </row>
    <row r="7861" ht="15.75" customHeight="1">
      <c r="A7861" s="2" t="s">
        <v>7861</v>
      </c>
      <c r="B7861" s="2" t="str">
        <f>IFERROR(__xludf.DUMMYFUNCTION("GOOGLETRANSLATE(A7861, ""en"", ""mt"")"),"X'kienu l-astronawti liebes waqt il-missjoni doppja AS-278?")</f>
        <v>X'kienu l-astronawti liebes waqt il-missjoni doppja AS-278?</v>
      </c>
    </row>
    <row r="7862" ht="15.75" customHeight="1">
      <c r="A7862" s="2" t="s">
        <v>7862</v>
      </c>
      <c r="B7862" s="2" t="str">
        <f>IFERROR(__xludf.DUMMYFUNCTION("GOOGLETRANSLATE(A7862, ""en"", ""mt"")"),"X'kien il-kulur tal-flokkijiet fis-Super Bowl XXXII meta Elway kien quarterback?")</f>
        <v>X'kien il-kulur tal-flokkijiet fis-Super Bowl XXXII meta Elway kien quarterback?</v>
      </c>
    </row>
    <row r="7863" ht="15.75" customHeight="1">
      <c r="A7863" s="2" t="s">
        <v>7863</v>
      </c>
      <c r="B7863" s="2" t="str">
        <f>IFERROR(__xludf.DUMMYFUNCTION("GOOGLETRANSLATE(A7863, ""en"", ""mt"")"),"Amazonia: Il-bniedem u l-kultura fi ġenna ffalsifikata.")</f>
        <v>Amazonia: Il-bniedem u l-kultura fi ġenna ffalsifikata.</v>
      </c>
    </row>
    <row r="7864" ht="15.75" customHeight="1">
      <c r="A7864" s="2" t="s">
        <v>7864</v>
      </c>
      <c r="B7864" s="2" t="str">
        <f>IFERROR(__xludf.DUMMYFUNCTION("GOOGLETRANSLATE(A7864, ""en"", ""mt"")"),"X’kien jemmen li għamel l-etere?")</f>
        <v>X’kien jemmen li għamel l-etere?</v>
      </c>
    </row>
    <row r="7865" ht="15.75" customHeight="1">
      <c r="A7865" s="2" t="s">
        <v>7865</v>
      </c>
      <c r="B7865" s="2" t="str">
        <f>IFERROR(__xludf.DUMMYFUNCTION("GOOGLETRANSLATE(A7865, ""en"", ""mt"")"),"Ditta, ċara")</f>
        <v>Ditta, ċara</v>
      </c>
    </row>
    <row r="7866" ht="15.75" customHeight="1">
      <c r="A7866" s="2" t="s">
        <v>7866</v>
      </c>
      <c r="B7866" s="2" t="str">
        <f>IFERROR(__xludf.DUMMYFUNCTION("GOOGLETRANSLATE(A7866, ""en"", ""mt"")"),"oranġjo")</f>
        <v>oranġjo</v>
      </c>
    </row>
    <row r="7867" ht="15.75" customHeight="1">
      <c r="A7867" s="2" t="s">
        <v>7867</v>
      </c>
      <c r="B7867" s="2" t="str">
        <f>IFERROR(__xludf.DUMMYFUNCTION("GOOGLETRANSLATE(A7867, ""en"", ""mt"")"),"McGann u Eccleston's")</f>
        <v>McGann u Eccleston's</v>
      </c>
    </row>
    <row r="7868" ht="15.75" customHeight="1">
      <c r="A7868" s="2" t="s">
        <v>7868</v>
      </c>
      <c r="B7868" s="2" t="str">
        <f>IFERROR(__xludf.DUMMYFUNCTION("GOOGLETRANSLATE(A7868, ""en"", ""mt"")"),"bejn 150,000 u 200,000")</f>
        <v>bejn 150,000 u 200,000</v>
      </c>
    </row>
    <row r="7869" ht="15.75" customHeight="1">
      <c r="A7869" s="2" t="s">
        <v>7869</v>
      </c>
      <c r="B7869" s="2" t="str">
        <f>IFERROR(__xludf.DUMMYFUNCTION("GOOGLETRANSLATE(A7869, ""en"", ""mt"")"),"Kemm ismijiet ta 'bniet ta' Ghengis Khan huma magħrufa?")</f>
        <v>Kemm ismijiet ta 'bniet ta' Ghengis Khan huma magħrufa?</v>
      </c>
    </row>
    <row r="7870" ht="15.75" customHeight="1">
      <c r="A7870" s="2" t="s">
        <v>7870</v>
      </c>
      <c r="B7870" s="2" t="str">
        <f>IFERROR(__xludf.DUMMYFUNCTION("GOOGLETRANSLATE(A7870, ""en"", ""mt"")"),"il-piż tagħha")</f>
        <v>il-piż tagħha</v>
      </c>
    </row>
    <row r="7871" ht="15.75" customHeight="1">
      <c r="A7871" s="2" t="s">
        <v>7871</v>
      </c>
      <c r="B7871" s="2" t="str">
        <f>IFERROR(__xludf.DUMMYFUNCTION("GOOGLETRANSLATE(A7871, ""en"", ""mt"")"),"Stimulazzjoni tat-tkabbir tal-produzzjoni taż-żerriegħa lokali")</f>
        <v>Stimulazzjoni tat-tkabbir tal-produzzjoni taż-żerriegħa lokali</v>
      </c>
    </row>
    <row r="7872" ht="15.75" customHeight="1">
      <c r="A7872" s="2" t="s">
        <v>7872</v>
      </c>
      <c r="B7872" s="2" t="str">
        <f>IFERROR(__xludf.DUMMYFUNCTION("GOOGLETRANSLATE(A7872, ""en"", ""mt"")"),"Il-membri tal-Knisja Metodista Magħquda li jidentifikaw mal-pożizzjoni favur il-ħajja organizzaw fit-taskforce tal-Metodisti Magħquda dwar l-abort u s-sesswalità (TUMAS) biex ikomplu l-pożizzjoni tagħhom fi ħdan id-denominazzjoni. Kien hemm tentattiv biex"&amp;" tirtira s-sħubija tal-Knisja Metodista Magħquda fil-koalizzjoni reliġjuża għall-għażla riproduttiva fil-konferenza ġenerali tagħhom, li saret f'Mejju 2012, b'petizzjoni li għaddiet mis-sottokumitat leġiżlattiv u l-voti tal-kumitat, iżda ma ngħatatx ​​vot"&amp;" fl-art. Rev Paul T. Stallsworth, president tat-Taskforce of United Methodists dwar l-abort u s-sesswalità qal li ""kellu kull raġuni biex jemmen"" li d-delegati favur il-ħajja kienu rebħu vot fl-art.")</f>
        <v>Il-membri tal-Knisja Metodista Magħquda li jidentifikaw mal-pożizzjoni favur il-ħajja organizzaw fit-taskforce tal-Metodisti Magħquda dwar l-abort u s-sesswalità (TUMAS) biex ikomplu l-pożizzjoni tagħhom fi ħdan id-denominazzjoni. Kien hemm tentattiv biex tirtira s-sħubija tal-Knisja Metodista Magħquda fil-koalizzjoni reliġjuża għall-għażla riproduttiva fil-konferenza ġenerali tagħhom, li saret f'Mejju 2012, b'petizzjoni li għaddiet mis-sottokumitat leġiżlattiv u l-voti tal-kumitat, iżda ma ngħatatx ​​vot fl-art. Rev Paul T. Stallsworth, president tat-Taskforce of United Methodists dwar l-abort u s-sesswalità qal li "kellu kull raġuni biex jemmen" li d-delegati favur il-ħajja kienu rebħu vot fl-art.</v>
      </c>
    </row>
    <row r="7873" ht="15.75" customHeight="1">
      <c r="A7873" s="2" t="s">
        <v>7873</v>
      </c>
      <c r="B7873" s="2" t="str">
        <f>IFERROR(__xludf.DUMMYFUNCTION("GOOGLETRANSLATE(A7873, ""en"", ""mt"")"),"Ċertifikat tal-edukazzjoni tal-iskola elementari")</f>
        <v>Ċertifikat tal-edukazzjoni tal-iskola elementari</v>
      </c>
    </row>
    <row r="7874" ht="15.75" customHeight="1">
      <c r="A7874" s="2" t="s">
        <v>7874</v>
      </c>
      <c r="B7874" s="2" t="str">
        <f>IFERROR(__xludf.DUMMYFUNCTION("GOOGLETRANSLATE(A7874, ""en"", ""mt"")"),"il-ħamrija fqira")</f>
        <v>il-ħamrija fqira</v>
      </c>
    </row>
    <row r="7875" ht="15.75" customHeight="1">
      <c r="A7875" s="2" t="s">
        <v>7875</v>
      </c>
      <c r="B7875" s="2" t="str">
        <f>IFERROR(__xludf.DUMMYFUNCTION("GOOGLETRANSLATE(A7875, ""en"", ""mt"")"),"Disney - ABC Television Group")</f>
        <v>Disney - ABC Television Group</v>
      </c>
    </row>
    <row r="7876" ht="15.75" customHeight="1">
      <c r="A7876" s="2" t="s">
        <v>7876</v>
      </c>
      <c r="B7876" s="2" t="str">
        <f>IFERROR(__xludf.DUMMYFUNCTION("GOOGLETRANSLATE(A7876, ""en"", ""mt"")"),"dawl")</f>
        <v>dawl</v>
      </c>
    </row>
    <row r="7877" ht="15.75" customHeight="1">
      <c r="A7877" s="2" t="s">
        <v>7877</v>
      </c>
      <c r="B7877" s="2" t="str">
        <f>IFERROR(__xludf.DUMMYFUNCTION("GOOGLETRANSLATE(A7877, ""en"", ""mt"")"),"Nuċċali b'lenti mudlama waħda")</f>
        <v>Nuċċali b'lenti mudlama waħda</v>
      </c>
    </row>
    <row r="7878" ht="15.75" customHeight="1">
      <c r="A7878" s="2" t="s">
        <v>7878</v>
      </c>
      <c r="B7878" s="2" t="str">
        <f>IFERROR(__xludf.DUMMYFUNCTION("GOOGLETRANSLATE(A7878, ""en"", ""mt"")"),"X'inhu l-perjodu ta 'żmien rappreżentat fil-kollezzjoni tat-tessuti tal-mużew?")</f>
        <v>X'inhu l-perjodu ta 'żmien rappreżentat fil-kollezzjoni tat-tessuti tal-mużew?</v>
      </c>
    </row>
    <row r="7879" ht="15.75" customHeight="1">
      <c r="A7879" s="2" t="s">
        <v>7879</v>
      </c>
      <c r="B7879" s="2" t="str">
        <f>IFERROR(__xludf.DUMMYFUNCTION("GOOGLETRANSLATE(A7879, ""en"", ""mt"")"),"X'inhu l-ispiżerija konsulent prinċipalment konċernat?")</f>
        <v>X'inhu l-ispiżerija konsulent prinċipalment konċernat?</v>
      </c>
    </row>
    <row r="7880" ht="15.75" customHeight="1">
      <c r="A7880" s="2" t="s">
        <v>7880</v>
      </c>
      <c r="B7880" s="2" t="str">
        <f>IFERROR(__xludf.DUMMYFUNCTION("GOOGLETRANSLATE(A7880, ""en"", ""mt"")"),"X'tip ta 'pagi ma jistgħux jaffordjaw edukazzjoni?")</f>
        <v>X'tip ta 'pagi ma jistgħux jaffordjaw edukazzjoni?</v>
      </c>
    </row>
    <row r="7881" ht="15.75" customHeight="1">
      <c r="A7881" s="2" t="s">
        <v>7881</v>
      </c>
      <c r="B7881" s="2" t="str">
        <f>IFERROR(__xludf.DUMMYFUNCTION("GOOGLETRANSLATE(A7881, ""en"", ""mt"")"),"Liema ktieb iddiskuta t-teorija dwar popolazzjonijiet baxxi fil-foresta tropikali tal-Amażonja?")</f>
        <v>Liema ktieb iddiskuta t-teorija dwar popolazzjonijiet baxxi fil-foresta tropikali tal-Amażonja?</v>
      </c>
    </row>
    <row r="7882" ht="15.75" customHeight="1">
      <c r="A7882" s="2" t="s">
        <v>7882</v>
      </c>
      <c r="B7882" s="2" t="str">
        <f>IFERROR(__xludf.DUMMYFUNCTION("GOOGLETRANSLATE(A7882, ""en"", ""mt"")"),"gwerra")</f>
        <v>gwerra</v>
      </c>
    </row>
    <row r="7883" ht="15.75" customHeight="1">
      <c r="A7883" s="2" t="s">
        <v>7883</v>
      </c>
      <c r="B7883" s="2" t="str">
        <f>IFERROR(__xludf.DUMMYFUNCTION("GOOGLETRANSLATE(A7883, ""en"", ""mt"")"),"aktar assertiv u konfrontazzjonali")</f>
        <v>aktar assertiv u konfrontazzjonali</v>
      </c>
    </row>
    <row r="7884" ht="15.75" customHeight="1">
      <c r="A7884" s="2" t="s">
        <v>7884</v>
      </c>
      <c r="B7884" s="2" t="str">
        <f>IFERROR(__xludf.DUMMYFUNCTION("GOOGLETRANSLATE(A7884, ""en"", ""mt"")"),"Forzi mhux konservattivi għajr frizzjoni")</f>
        <v>Forzi mhux konservattivi għajr frizzjoni</v>
      </c>
    </row>
    <row r="7885" ht="15.75" customHeight="1">
      <c r="A7885" s="2" t="s">
        <v>7885</v>
      </c>
      <c r="B7885" s="2" t="str">
        <f>IFERROR(__xludf.DUMMYFUNCTION("GOOGLETRANSLATE(A7885, ""en"", ""mt"")"),"Ir-Renju Unit")</f>
        <v>Ir-Renju Unit</v>
      </c>
    </row>
    <row r="7886" ht="15.75" customHeight="1">
      <c r="A7886" s="2" t="s">
        <v>7886</v>
      </c>
      <c r="B7886" s="2" t="str">
        <f>IFERROR(__xludf.DUMMYFUNCTION("GOOGLETRANSLATE(A7886, ""en"", ""mt"")"),"Lewkoċiti")</f>
        <v>Lewkoċiti</v>
      </c>
    </row>
    <row r="7887" ht="15.75" customHeight="1">
      <c r="A7887" s="2" t="s">
        <v>7887</v>
      </c>
      <c r="B7887" s="2" t="str">
        <f>IFERROR(__xludf.DUMMYFUNCTION("GOOGLETRANSLATE(A7887, ""en"", ""mt"")"),"Bejn Ġunju u Settembru")</f>
        <v>Bejn Ġunju u Settembru</v>
      </c>
    </row>
    <row r="7888" ht="15.75" customHeight="1">
      <c r="A7888" s="2" t="s">
        <v>7888</v>
      </c>
      <c r="B7888" s="2" t="str">
        <f>IFERROR(__xludf.DUMMYFUNCTION("GOOGLETRANSLATE(A7888, ""en"", ""mt"")"),"Wieħed mill-vantaġġi ewlenin li r-Rankine Cycle jżomm fuq oħrajn huwa li matul l-istadju tal-kompressjoni huwa meħtieġ xogħol relattivament żgħir biex issuq il-pompa, il-fluwidu tax-xogħol qiegħed fil-fażi likwida tiegħu f'dan il-punt. Billi tikkondensa l"&amp;"-fluwidu, ix-xogħol meħtieġ mill-pompa jikkonsma biss 1% sa 3% tal-qawwa tat-turbina u jikkontribwixxi għal effiċjenza ferm ogħla għal ċiklu reali. Il-benefiċċju ta 'dan jintilef xi ftit minħabba t-temperatura ta' żieda tas-sħana aktar baxxa. Turbini tal-"&amp;"gass, pereżempju, għandhom temperaturi tad-dħul tat-turbina li joqorbu 1500 ° C. Madankollu, l-effiċjenzi ta 'ċikli kbar tal-fwar attwali u turbini tal-gass moderni kbar huma mqabbla sew. [Ċitazzjoni meħtieġa]")</f>
        <v>Wieħed mill-vantaġġi ewlenin li r-Rankine Cycle jżomm fuq oħrajn huwa li matul l-istadju tal-kompressjoni huwa meħtieġ xogħol relattivament żgħir biex issuq il-pompa, il-fluwidu tax-xogħol qiegħed fil-fażi likwida tiegħu f'dan il-punt. Billi tikkondensa l-fluwidu, ix-xogħol meħtieġ mill-pompa jikkonsma biss 1% sa 3% tal-qawwa tat-turbina u jikkontribwixxi għal effiċjenza ferm ogħla għal ċiklu reali. Il-benefiċċju ta 'dan jintilef xi ftit minħabba t-temperatura ta' żieda tas-sħana aktar baxxa. Turbini tal-gass, pereżempju, għandhom temperaturi tad-dħul tat-turbina li joqorbu 1500 ° C. Madankollu, l-effiċjenzi ta 'ċikli kbar tal-fwar attwali u turbini tal-gass moderni kbar huma mqabbla sew. [Ċitazzjoni meħtieġa]</v>
      </c>
    </row>
    <row r="7889" ht="15.75" customHeight="1">
      <c r="A7889" s="2" t="s">
        <v>7889</v>
      </c>
      <c r="B7889" s="2" t="str">
        <f>IFERROR(__xludf.DUMMYFUNCTION("GOOGLETRANSLATE(A7889, ""en"", ""mt"")"),"Min jaħdmu l-ispiżjara kliniċi ma 'ħafna mill-ħin?")</f>
        <v>Min jaħdmu l-ispiżjara kliniċi ma 'ħafna mill-ħin?</v>
      </c>
    </row>
    <row r="7890" ht="15.75" customHeight="1">
      <c r="A7890" s="2" t="s">
        <v>7890</v>
      </c>
      <c r="B7890" s="2" t="str">
        <f>IFERROR(__xludf.DUMMYFUNCTION("GOOGLETRANSLATE(A7890, ""en"", ""mt"")"),"Dak joqgħod Tardis?")</f>
        <v>Dak joqgħod Tardis?</v>
      </c>
    </row>
    <row r="7891" ht="15.75" customHeight="1">
      <c r="A7891" s="2" t="s">
        <v>7891</v>
      </c>
      <c r="B7891" s="2" t="str">
        <f>IFERROR(__xludf.DUMMYFUNCTION("GOOGLETRANSLATE(A7891, ""en"", ""mt"")"),"Liema skola tal-politika pubblika sabet id-dar tagħha fil-bini li ddisinja Ludwig Mies van der Rohe?")</f>
        <v>Liema skola tal-politika pubblika sabet id-dar tagħha fil-bini li ddisinja Ludwig Mies van der Rohe?</v>
      </c>
    </row>
    <row r="7892" ht="15.75" customHeight="1">
      <c r="A7892" s="2" t="s">
        <v>7892</v>
      </c>
      <c r="B7892" s="2" t="str">
        <f>IFERROR(__xludf.DUMMYFUNCTION("GOOGLETRANSLATE(A7892, ""en"", ""mt"")"),"meħtieġa għas-sopravivenza ta 'stat")</f>
        <v>meħtieġa għas-sopravivenza ta 'stat</v>
      </c>
    </row>
    <row r="7893" ht="15.75" customHeight="1">
      <c r="A7893" s="2" t="s">
        <v>7893</v>
      </c>
      <c r="B7893" s="2" t="str">
        <f>IFERROR(__xludf.DUMMYFUNCTION("GOOGLETRANSLATE(A7893, ""en"", ""mt"")"),"Diviżjoni I.")</f>
        <v>Diviżjoni I.</v>
      </c>
    </row>
    <row r="7894" ht="15.75" customHeight="1">
      <c r="A7894" s="2" t="s">
        <v>7894</v>
      </c>
      <c r="B7894" s="2" t="str">
        <f>IFERROR(__xludf.DUMMYFUNCTION("GOOGLETRANSLATE(A7894, ""en"", ""mt"")"),"X'inhu l-forza ta 'reazzjoni tar-rebbiegħa fuq oġġett sospiż fuq skala ta' reazzjoni tar-rebbiegħa?")</f>
        <v>X'inhu l-forza ta 'reazzjoni tar-rebbiegħa fuq oġġett sospiż fuq skala ta' reazzjoni tar-rebbiegħa?</v>
      </c>
    </row>
    <row r="7895" ht="15.75" customHeight="1">
      <c r="A7895" s="2" t="s">
        <v>7895</v>
      </c>
      <c r="B7895" s="2" t="str">
        <f>IFERROR(__xludf.DUMMYFUNCTION("GOOGLETRANSLATE(A7895, ""en"", ""mt"")"),"Għal kemm dam il-pesta?")</f>
        <v>Għal kemm dam il-pesta?</v>
      </c>
    </row>
    <row r="7896" ht="15.75" customHeight="1">
      <c r="A7896" s="2" t="s">
        <v>7896</v>
      </c>
      <c r="B7896" s="2" t="str">
        <f>IFERROR(__xludf.DUMMYFUNCTION("GOOGLETRANSLATE(A7896, ""en"", ""mt"")"),"Patruni Ingliżi")</f>
        <v>Patruni Ingliżi</v>
      </c>
    </row>
    <row r="7897" ht="15.75" customHeight="1">
      <c r="A7897" s="2" t="s">
        <v>7897</v>
      </c>
      <c r="B7897" s="2" t="str">
        <f>IFERROR(__xludf.DUMMYFUNCTION("GOOGLETRANSLATE(A7897, ""en"", ""mt"")"),"il-kamin tal-qfil tal-metall")</f>
        <v>il-kamin tal-qfil tal-metall</v>
      </c>
    </row>
    <row r="7898" ht="15.75" customHeight="1">
      <c r="A7898" s="2" t="s">
        <v>7898</v>
      </c>
      <c r="B7898" s="2" t="str">
        <f>IFERROR(__xludf.DUMMYFUNCTION("GOOGLETRANSLATE(A7898, ""en"", ""mt"")"),"Fannijiet")</f>
        <v>Fannijiet</v>
      </c>
    </row>
    <row r="7899" ht="15.75" customHeight="1">
      <c r="A7899" s="2" t="s">
        <v>7899</v>
      </c>
      <c r="B7899" s="2" t="str">
        <f>IFERROR(__xludf.DUMMYFUNCTION("GOOGLETRANSLATE(A7899, ""en"", ""mt"")"),"Kif tevita problemi meta tiddetermina l-forzi involuti fuq oġġett minn żewġ sorsi jew aktar?")</f>
        <v>Kif tevita problemi meta tiddetermina l-forzi involuti fuq oġġett minn żewġ sorsi jew aktar?</v>
      </c>
    </row>
    <row r="7900" ht="15.75" customHeight="1">
      <c r="A7900" s="2" t="s">
        <v>7900</v>
      </c>
      <c r="B7900" s="2" t="str">
        <f>IFERROR(__xludf.DUMMYFUNCTION("GOOGLETRANSLATE(A7900, ""en"", ""mt"")"),"Università tal-Popli")</f>
        <v>Università tal-Popli</v>
      </c>
    </row>
    <row r="7901" ht="15.75" customHeight="1">
      <c r="A7901" s="2" t="s">
        <v>7901</v>
      </c>
      <c r="B7901" s="2" t="str">
        <f>IFERROR(__xludf.DUMMYFUNCTION("GOOGLETRANSLATE(A7901, ""en"", ""mt"")"),"Liema kumpanija pprovdiet konnessjonijiet ta 'streetcar bejn iċ-ċentru u l-isptar?")</f>
        <v>Liema kumpanija pprovdiet konnessjonijiet ta 'streetcar bejn iċ-ċentru u l-isptar?</v>
      </c>
    </row>
    <row r="7902" ht="15.75" customHeight="1">
      <c r="A7902" s="2" t="s">
        <v>7902</v>
      </c>
      <c r="B7902" s="2" t="str">
        <f>IFERROR(__xludf.DUMMYFUNCTION("GOOGLETRANSLATE(A7902, ""en"", ""mt"")"),"Doctor Who deher fuq il-palk bosta drabi. Fil-bidu tas-snin sebgħin, Trevor Martin kellu r-rwol fit-Tabib Min u d-Daleks fis-Seba 'Ċwievet għal Doomsday. Fl-aħħar tas-snin 1980, Jon Pertwee u Colin Baker it-tnejn lagħbu lit-tabib fi żminijiet differenti w"&amp;"aqt il-ġirja ta 'dramm bit-tema Doctor Who - l-Avventura Ultima. Għal żewġ wirjiet, waqt li Pertwee kien marid, David Banks (magħruf aħjar għal-logħob Cybermen) lagħab it-tabib. Drays oriġinali oħra ġew imtellgħin bħala produzzjonijiet ta 'dilettanti, b'a"&amp;"tturi oħra jdoqq it-tabib, filwaqt li Terry Nation kiteb The Curse of the Daleks, dramm tal-palk immuntat fl-aħħar tas-snin 1960, iżda mingħajr it-tabib.")</f>
        <v>Doctor Who deher fuq il-palk bosta drabi. Fil-bidu tas-snin sebgħin, Trevor Martin kellu r-rwol fit-Tabib Min u d-Daleks fis-Seba 'Ċwievet għal Doomsday. Fl-aħħar tas-snin 1980, Jon Pertwee u Colin Baker it-tnejn lagħbu lit-tabib fi żminijiet differenti waqt il-ġirja ta 'dramm bit-tema Doctor Who - l-Avventura Ultima. Għal żewġ wirjiet, waqt li Pertwee kien marid, David Banks (magħruf aħjar għal-logħob Cybermen) lagħab it-tabib. Drays oriġinali oħra ġew imtellgħin bħala produzzjonijiet ta 'dilettanti, b'atturi oħra jdoqq it-tabib, filwaqt li Terry Nation kiteb The Curse of the Daleks, dramm tal-palk immuntat fl-aħħar tas-snin 1960, iżda mingħajr it-tabib.</v>
      </c>
    </row>
    <row r="7903" ht="15.75" customHeight="1">
      <c r="A7903" s="2" t="s">
        <v>7903</v>
      </c>
      <c r="B7903" s="2" t="str">
        <f>IFERROR(__xludf.DUMMYFUNCTION("GOOGLETRANSLATE(A7903, ""en"", ""mt"")"),"Netwerk Internazzjonali tal-Komunikazzjonijiet tad-Dejta bil-kwartjieri ġenerali f'San Jose, CA")</f>
        <v>Netwerk Internazzjonali tal-Komunikazzjonijiet tad-Dejta bil-kwartjieri ġenerali f'San Jose, CA</v>
      </c>
    </row>
    <row r="7904" ht="15.75" customHeight="1">
      <c r="A7904" s="2" t="s">
        <v>7904</v>
      </c>
      <c r="B7904" s="2" t="str">
        <f>IFERROR(__xludf.DUMMYFUNCTION("GOOGLETRANSLATE(A7904, ""en"", ""mt"")"),"Dak li issa nsejħu gravità ma kienx identifikat bħala forza universali sa x-xogħol ta 'Isaac Newton. Qabel Newton, it-tendenza għall-oġġetti li jaqgħu lejn id-dinja ma kinitx mifhuma li hija relatata mal-mozzjonijiet ta 'oġġetti ċelesti. Galileo kien stru"&amp;"mentali biex jiddeskrivi l-karatteristiċi ta 'oġġetti li jaqgħu billi ddetermina li l-aċċellerazzjoni ta' kull oġġett fil-waqgħa ħielsa kienet kostanti u indipendenti mill-massa ta 'l-oġġett. Illum, din l-aċċellerazzjoni minħabba l-gravità lejn il-wiċċ ta"&amp;"d-dinja ġeneralment hija nominata bħala u għandha kobor ta 'madwar 9.81 metri kull sekonda kwadru (dan il-kejl jittieħed mil-livell tal-baħar u jista' jvarja skont il-post), u jindika lejn iċ-ċentru ta ' id-dinja. Din l-osservazzjoni tfisser li l-forza ta"&amp;"l-gravità fuq oġġett fil-wiċċ tad-dinja hija direttament proporzjonali għall-massa tal-oġġett. Għalhekk oġġett li għandu massa ta 'tesperjenza forza:")</f>
        <v>Dak li issa nsejħu gravità ma kienx identifikat bħala forza universali sa x-xogħol ta 'Isaac Newton. Qabel Newton, it-tendenza għall-oġġetti li jaqgħu lejn id-dinja ma kinitx mifhuma li hija relatata mal-mozzjonijiet ta 'oġġetti ċelesti. Galileo kien strumentali biex jiddeskrivi l-karatteristiċi ta 'oġġetti li jaqgħu billi ddetermina li l-aċċellerazzjoni ta' kull oġġett fil-waqgħa ħielsa kienet kostanti u indipendenti mill-massa ta 'l-oġġett. Illum, din l-aċċellerazzjoni minħabba l-gravità lejn il-wiċċ tad-dinja ġeneralment hija nominata bħala u għandha kobor ta 'madwar 9.81 metri kull sekonda kwadru (dan il-kejl jittieħed mil-livell tal-baħar u jista' jvarja skont il-post), u jindika lejn iċ-ċentru ta ' id-dinja. Din l-osservazzjoni tfisser li l-forza tal-gravità fuq oġġett fil-wiċċ tad-dinja hija direttament proporzjonali għall-massa tal-oġġett. Għalhekk oġġett li għandu massa ta 'tesperjenza forza:</v>
      </c>
    </row>
    <row r="7905" ht="15.75" customHeight="1">
      <c r="A7905" s="2" t="s">
        <v>7905</v>
      </c>
      <c r="B7905" s="2" t="str">
        <f>IFERROR(__xludf.DUMMYFUNCTION("GOOGLETRANSLATE(A7905, ""en"", ""mt"")"),"Spazji ħodor oħra fil-belt jinkludu l-Ġnien Botaniku u l-Ġnien tal-Librerija tal-Università. Huma għandhom ġabra botanika estensiva ta 'pjanti domestiċi u barranin rari, filwaqt li dar tal-palm fl-oranġerija l-ġdida turi pjanti ta' subtropiċi mid-dinja ko"&amp;"llha. Barra minn hekk, fil-fruntieri tal-belt, hemm ukoll: Pole Mokotowskie (park kbir fil-Mokotów tat-Tramuntana, fejn kien l-ewwel korsa taż-żwiemel u mbagħad l-ajruport), Park Ujazdowski (viċin it-Triq SEJM u John Lennon), Park tal-Kultura), Park tal-K"&amp;"ultura u mistrieħ f'Powsin, mill-fruntiera tan-Nofsinhar tal-Belt, Park Skaryszewski mill-Vistula Bank tal-lemin, fi Praga. L-eqdem park fi Praga, il-Park Praga, ġie stabbilit fl-1865-1871 u ddisinjat minn Jan Dobrowolski. Fl-1927 ġie stabbilit ġnien żool"&amp;"oġiku (Ogród Zoologiczny) fuq il-bażi tal-park, u fl-1952 ġirja tal-ors, għadha miftuħa sal-lum.")</f>
        <v>Spazji ħodor oħra fil-belt jinkludu l-Ġnien Botaniku u l-Ġnien tal-Librerija tal-Università. Huma għandhom ġabra botanika estensiva ta 'pjanti domestiċi u barranin rari, filwaqt li dar tal-palm fl-oranġerija l-ġdida turi pjanti ta' subtropiċi mid-dinja kollha. Barra minn hekk, fil-fruntieri tal-belt, hemm ukoll: Pole Mokotowskie (park kbir fil-Mokotów tat-Tramuntana, fejn kien l-ewwel korsa taż-żwiemel u mbagħad l-ajruport), Park Ujazdowski (viċin it-Triq SEJM u John Lennon), Park tal-Kultura), Park tal-Kultura u mistrieħ f'Powsin, mill-fruntiera tan-Nofsinhar tal-Belt, Park Skaryszewski mill-Vistula Bank tal-lemin, fi Praga. L-eqdem park fi Praga, il-Park Praga, ġie stabbilit fl-1865-1871 u ddisinjat minn Jan Dobrowolski. Fl-1927 ġie stabbilit ġnien żooloġiku (Ogród Zoologiczny) fuq il-bażi tal-park, u fl-1952 ġirja tal-ors, għadha miftuħa sal-lum.</v>
      </c>
    </row>
    <row r="7906" ht="15.75" customHeight="1">
      <c r="A7906" s="2" t="s">
        <v>7906</v>
      </c>
      <c r="B7906" s="2" t="str">
        <f>IFERROR(__xludf.DUMMYFUNCTION("GOOGLETRANSLATE(A7906, ""en"", ""mt"")"),"iżommu l-kuluri oriġinali tagħhom")</f>
        <v>iżommu l-kuluri oriġinali tagħhom</v>
      </c>
    </row>
    <row r="7907" ht="15.75" customHeight="1">
      <c r="A7907" s="2" t="s">
        <v>7907</v>
      </c>
      <c r="B7907" s="2" t="str">
        <f>IFERROR(__xludf.DUMMYFUNCTION("GOOGLETRANSLATE(A7907, ""en"", ""mt"")"),"L-Età tal-Imperjalizmu, perjodu ta 'żmien li jibda madwar l-1700, rajna nazzjonijiet (ġeneralment) li jidħlu fil-proċess tal-kolonizzazzjoni, l-influwenza u l-anness ta' partijiet oħra tad-dinja sabiex jiksbu poter politiku. [Ċitazzjoni meħtieġa] għalkemm"&amp;" il-prattiki imperjalisti għandhom Eżisti għal eluf ta 'snin, it-terminu ""età ta' l-imperjalizmu"" ġeneralment jirreferi għall-attivitajiet tal-poteri Ewropej mill-bidu tas-seklu 18 sa nofs is-seklu 20, pereżempju, il- ""logħba kbira"" fl-artijiet Persja"&amp;"ni, il- """" "" Scramble għall-Afrika ""u l-"" Politika tal-Bieb Miftuħ ""fiċ-Ċina.")</f>
        <v>L-Età tal-Imperjalizmu, perjodu ta 'żmien li jibda madwar l-1700, rajna nazzjonijiet (ġeneralment) li jidħlu fil-proċess tal-kolonizzazzjoni, l-influwenza u l-anness ta' partijiet oħra tad-dinja sabiex jiksbu poter politiku. [Ċitazzjoni meħtieġa] għalkemm il-prattiki imperjalisti għandhom Eżisti għal eluf ta 'snin, it-terminu "età ta' l-imperjalizmu" ġeneralment jirreferi għall-attivitajiet tal-poteri Ewropej mill-bidu tas-seklu 18 sa nofs is-seklu 20, pereżempju, il- "logħba kbira" fl-artijiet Persjani, il- "" " Scramble għall-Afrika "u l-" Politika tal-Bieb Miftuħ "fiċ-Ċina.</v>
      </c>
    </row>
    <row r="7908" ht="15.75" customHeight="1">
      <c r="A7908" s="2" t="s">
        <v>7908</v>
      </c>
      <c r="B7908" s="2" t="str">
        <f>IFERROR(__xludf.DUMMYFUNCTION("GOOGLETRANSLATE(A7908, ""en"", ""mt"")"),"karotenojd aħmar-oranġjo aħmar jgħajjat")</f>
        <v>karotenojd aħmar-oranġjo aħmar jgħajjat</v>
      </c>
    </row>
    <row r="7909" ht="15.75" customHeight="1">
      <c r="A7909" s="2" t="s">
        <v>7909</v>
      </c>
      <c r="B7909" s="2" t="str">
        <f>IFERROR(__xludf.DUMMYFUNCTION("GOOGLETRANSLATE(A7909, ""en"", ""mt"")"),"jissimula l-countdown ta 'tnedija")</f>
        <v>jissimula l-countdown ta 'tnedija</v>
      </c>
    </row>
    <row r="7910" ht="15.75" customHeight="1">
      <c r="A7910" s="2" t="s">
        <v>7910</v>
      </c>
      <c r="B7910" s="2" t="str">
        <f>IFERROR(__xludf.DUMMYFUNCTION("GOOGLETRANSLATE(A7910, ""en"", ""mt"")"),"Min jiġbor il-kontribuzzjonijiet tal-awturi?")</f>
        <v>Min jiġbor il-kontribuzzjonijiet tal-awturi?</v>
      </c>
    </row>
    <row r="7911" ht="15.75" customHeight="1">
      <c r="A7911" s="2" t="s">
        <v>7911</v>
      </c>
      <c r="B7911" s="2" t="str">
        <f>IFERROR(__xludf.DUMMYFUNCTION("GOOGLETRANSLATE(A7911, ""en"", ""mt"")"),"Matul il-perjodu li fih kienu qed isiru n-negozjati, Tesla qalet li saru sforzi biex jisraq l-invenzjoni. Il-kamra tiegħu kienet ġiet imdaħħla u l-karti tiegħu ġew skrutinizzati, iżda l-ħallelin, jew Spies, telqu b'idejhom vojta. Huwa qal li ma kien hemm "&amp;"l-ebda periklu li l-invenzjoni tiegħu tista 'tinsteraq, għax fl-ebda ħin ma kellu l-ebda parti minnha għall-karta; Il-blueprint għall-arma Teleforce kien kollu f’moħħu.")</f>
        <v>Matul il-perjodu li fih kienu qed isiru n-negozjati, Tesla qalet li saru sforzi biex jisraq l-invenzjoni. Il-kamra tiegħu kienet ġiet imdaħħla u l-karti tiegħu ġew skrutinizzati, iżda l-ħallelin, jew Spies, telqu b'idejhom vojta. Huwa qal li ma kien hemm l-ebda periklu li l-invenzjoni tiegħu tista 'tinsteraq, għax fl-ebda ħin ma kellu l-ebda parti minnha għall-karta; Il-blueprint għall-arma Teleforce kien kollu f’moħħu.</v>
      </c>
    </row>
    <row r="7912" ht="15.75" customHeight="1">
      <c r="A7912" s="2" t="s">
        <v>7912</v>
      </c>
      <c r="B7912" s="2" t="str">
        <f>IFERROR(__xludf.DUMMYFUNCTION("GOOGLETRANSLATE(A7912, ""en"", ""mt"")"),"F'liema ġurnata ġew trasmessi l-immaġini tal-wiċċ tal-qamar permezz tad-Dinja permezz ta 'immaġini televiżivi?")</f>
        <v>F'liema ġurnata ġew trasmessi l-immaġini tal-wiċċ tal-qamar permezz tad-Dinja permezz ta 'immaġini televiżivi?</v>
      </c>
    </row>
    <row r="7913" ht="15.75" customHeight="1">
      <c r="A7913" s="2" t="s">
        <v>7913</v>
      </c>
      <c r="B7913" s="2" t="str">
        <f>IFERROR(__xludf.DUMMYFUNCTION("GOOGLETRANSLATE(A7913, ""en"", ""mt"")"),"Min ma jistax jiġi impjegat fi skola b'xi mod?")</f>
        <v>Min ma jistax jiġi impjegat fi skola b'xi mod?</v>
      </c>
    </row>
    <row r="7914" ht="15.75" customHeight="1">
      <c r="A7914" s="2" t="s">
        <v>7914</v>
      </c>
      <c r="B7914" s="2" t="str">
        <f>IFERROR(__xludf.DUMMYFUNCTION("GOOGLETRANSLATE(A7914, ""en"", ""mt"")"),"żagħżugħ u anzjani")</f>
        <v>żagħżugħ u anzjani</v>
      </c>
    </row>
    <row r="7915" ht="15.75" customHeight="1">
      <c r="A7915" s="2" t="s">
        <v>7915</v>
      </c>
      <c r="B7915" s="2" t="str">
        <f>IFERROR(__xludf.DUMMYFUNCTION("GOOGLETRANSLATE(A7915, ""en"", ""mt"")"),"Ċidippids ta 'daqs żgħir")</f>
        <v>Ċidippids ta 'daqs żgħir</v>
      </c>
    </row>
    <row r="7916" ht="15.75" customHeight="1">
      <c r="A7916" s="2" t="s">
        <v>7916</v>
      </c>
      <c r="B7916" s="2" t="str">
        <f>IFERROR(__xludf.DUMMYFUNCTION("GOOGLETRANSLATE(A7916, ""en"", ""mt"")"),"Meta ġie ppreżentat l-editt tad-dud?")</f>
        <v>Meta ġie ppreżentat l-editt tad-dud?</v>
      </c>
    </row>
    <row r="7917" ht="15.75" customHeight="1">
      <c r="A7917" s="2" t="s">
        <v>7917</v>
      </c>
      <c r="B7917" s="2" t="str">
        <f>IFERROR(__xludf.DUMMYFUNCTION("GOOGLETRANSLATE(A7917, ""en"", ""mt"")"),"Fresno, _California")</f>
        <v>Fresno, _California</v>
      </c>
    </row>
    <row r="7918" ht="15.75" customHeight="1">
      <c r="A7918" s="2" t="s">
        <v>7918</v>
      </c>
      <c r="B7918" s="2" t="str">
        <f>IFERROR(__xludf.DUMMYFUNCTION("GOOGLETRANSLATE(A7918, ""en"", ""mt"")"),"Il-ftuħ uffiċjali mir-Reġina Victoria kien fit-22 ta 'Ġunju 1857. Fis-sena ta' wara, ġew introdotti fetħiet tard bil-lejl, magħmula possibbli bl-użu tad-dawl tal-gass. Dan kien biex jippermetti fi kliem Cole ""biex tivverifika prattikament liema sigħat hu"&amp;"ma l-iktar konvenjenti għall-klassijiet ta 'ħidma"" - dan kien marbut mal-użu tal-kollezzjonijiet kemm tal-arti applikata kif ukoll tax-xjenza bħala riżorsi edukattivi biex jgħinu biex jagħtu spinta lill-industrija produttiva. F’dawn is-snin bikrin l-użu "&amp;"prattiku tal-kollezzjoni ġie enfasizzat ħafna għall-kuntrarju ta ’“ arti għolja ”fil-gallerija nazzjonali u borża ta’ studju fil-British Museum. George Wallis (1811-1891), l-ewwel kustodju tal-kollezzjoni tal-arti fina, ippromwova b’passjoni l-idea ta ’ed"&amp;"ukazzjoni tal-arti wiesgħa permezz tal-kollezzjonijiet tal-mużew. Dan wassal għat-trasferiment għall-Mużew tal-Iskola tad-Disinn li kien twaqqaf fl-1837 fid-Dar Somerset; Wara t-trasferiment ġie msemmi bħala l-iskola tal-arti jew l-iskola tat-taħriġ tal-a"&amp;"rti, aktar tard sar il-Kulleġġ Irjali tal-Art li fl-aħħar kiseb indipendenza sħiħa fl-1949. Mill-1860s sal-1880s il-kollezzjonijiet xjentifiċi kienu mċaqalqa mis-sit tal-mużew ewlieni għal Diversi galleriji improvizzati lejn il-punent ta 'Triq il-Wirja. F"&amp;"l-1893 il- ""Mużew tax-Xjenza"" kien effettivament daħal fl-eżistenza meta ġie maħtur direttur separat.")</f>
        <v>Il-ftuħ uffiċjali mir-Reġina Victoria kien fit-22 ta 'Ġunju 1857. Fis-sena ta' wara, ġew introdotti fetħiet tard bil-lejl, magħmula possibbli bl-użu tad-dawl tal-gass. Dan kien biex jippermetti fi kliem Cole "biex tivverifika prattikament liema sigħat huma l-iktar konvenjenti għall-klassijiet ta 'ħidma" - dan kien marbut mal-użu tal-kollezzjonijiet kemm tal-arti applikata kif ukoll tax-xjenza bħala riżorsi edukattivi biex jgħinu biex jagħtu spinta lill-industrija produttiva. F’dawn is-snin bikrin l-użu prattiku tal-kollezzjoni ġie enfasizzat ħafna għall-kuntrarju ta ’“ arti għolja ”fil-gallerija nazzjonali u borża ta’ studju fil-British Museum. George Wallis (1811-1891), l-ewwel kustodju tal-kollezzjoni tal-arti fina, ippromwova b’passjoni l-idea ta ’edukazzjoni tal-arti wiesgħa permezz tal-kollezzjonijiet tal-mużew. Dan wassal għat-trasferiment għall-Mużew tal-Iskola tad-Disinn li kien twaqqaf fl-1837 fid-Dar Somerset; Wara t-trasferiment ġie msemmi bħala l-iskola tal-arti jew l-iskola tat-taħriġ tal-arti, aktar tard sar il-Kulleġġ Irjali tal-Art li fl-aħħar kiseb indipendenza sħiħa fl-1949. Mill-1860s sal-1880s il-kollezzjonijiet xjentifiċi kienu mċaqalqa mis-sit tal-mużew ewlieni għal Diversi galleriji improvizzati lejn il-punent ta 'Triq il-Wirja. Fl-1893 il- "Mużew tax-Xjenza" kien effettivament daħal fl-eżistenza meta ġie maħtur direttur separat.</v>
      </c>
    </row>
    <row r="7919" ht="15.75" customHeight="1">
      <c r="A7919" s="2" t="s">
        <v>7919</v>
      </c>
      <c r="B7919" s="2" t="str">
        <f>IFERROR(__xludf.DUMMYFUNCTION("GOOGLETRANSLATE(A7919, ""en"", ""mt"")"),"Mhux Ministru Skoċċiż")</f>
        <v>Mhux Ministru Skoċċiż</v>
      </c>
    </row>
    <row r="7920" ht="15.75" customHeight="1">
      <c r="A7920" s="2" t="s">
        <v>7920</v>
      </c>
      <c r="B7920" s="2" t="str">
        <f>IFERROR(__xludf.DUMMYFUNCTION("GOOGLETRANSLATE(A7920, ""en"", ""mt"")"),"it-tyne u l-ilbies tal-metro")</f>
        <v>it-tyne u l-ilbies tal-metro</v>
      </c>
    </row>
    <row r="7921" ht="15.75" customHeight="1">
      <c r="A7921" s="2" t="s">
        <v>7921</v>
      </c>
      <c r="B7921" s="2" t="str">
        <f>IFERROR(__xludf.DUMMYFUNCTION("GOOGLETRANSLATE(A7921, ""en"", ""mt"")"),"dejta dwar it-trasport, id-drenaġġ, l-iskart perikoluż u l-ilma")</f>
        <v>dejta dwar it-trasport, id-drenaġġ, l-iskart perikoluż u l-ilma</v>
      </c>
    </row>
    <row r="7922" ht="15.75" customHeight="1">
      <c r="A7922" s="2" t="s">
        <v>7922</v>
      </c>
      <c r="B7922" s="2" t="str">
        <f>IFERROR(__xludf.DUMMYFUNCTION("GOOGLETRANSLATE(A7922, ""en"", ""mt"")"),"Ippjanar, [ċitazzjoni meħtieġa] disinn, u finanzjament")</f>
        <v>Ippjanar, [ċitazzjoni meħtieġa] disinn, u finanzjament</v>
      </c>
    </row>
    <row r="7923" ht="15.75" customHeight="1">
      <c r="A7923" s="2" t="s">
        <v>7923</v>
      </c>
      <c r="B7923" s="2" t="str">
        <f>IFERROR(__xludf.DUMMYFUNCTION("GOOGLETRANSLATE(A7923, ""en"", ""mt"")"),"Esperimenti fiżiċi tal-pressjoni")</f>
        <v>Esperimenti fiżiċi tal-pressjoni</v>
      </c>
    </row>
    <row r="7924" ht="15.75" customHeight="1">
      <c r="A7924" s="2" t="s">
        <v>7924</v>
      </c>
      <c r="B7924" s="2" t="str">
        <f>IFERROR(__xludf.DUMMYFUNCTION("GOOGLETRANSLATE(A7924, ""en"", ""mt"")"),"Movimenti marġinali jew splinter")</f>
        <v>Movimenti marġinali jew splinter</v>
      </c>
    </row>
    <row r="7925" ht="15.75" customHeight="1">
      <c r="A7925" s="2" t="s">
        <v>7925</v>
      </c>
      <c r="B7925" s="2" t="str">
        <f>IFERROR(__xludf.DUMMYFUNCTION("GOOGLETRANSLATE(A7925, ""en"", ""mt"")"),"Ġeneralment bla bażi u marġinali wkoll għall-valutazzjoni")</f>
        <v>Ġeneralment bla bażi u marġinali wkoll għall-valutazzjoni</v>
      </c>
    </row>
    <row r="7926" ht="15.75" customHeight="1">
      <c r="A7926" s="2" t="s">
        <v>7926</v>
      </c>
      <c r="B7926" s="2" t="str">
        <f>IFERROR(__xludf.DUMMYFUNCTION("GOOGLETRANSLATE(A7926, ""en"", ""mt"")"),"l-ewwel tiżdied")</f>
        <v>l-ewwel tiżdied</v>
      </c>
    </row>
    <row r="7927" ht="15.75" customHeight="1">
      <c r="A7927" s="2" t="s">
        <v>7927</v>
      </c>
      <c r="B7927" s="2" t="str">
        <f>IFERROR(__xludf.DUMMYFUNCTION("GOOGLETRANSLATE(A7927, ""en"", ""mt"")"),"Immaniġġja d-Dipartiment tal-Ispiżerija")</f>
        <v>Immaniġġja d-Dipartiment tal-Ispiżerija</v>
      </c>
    </row>
    <row r="7928" ht="15.75" customHeight="1">
      <c r="A7928" s="2" t="s">
        <v>7928</v>
      </c>
      <c r="B7928" s="2" t="str">
        <f>IFERROR(__xludf.DUMMYFUNCTION("GOOGLETRANSLATE(A7928, ""en"", ""mt"")"),"""Ħabi wara (jew 'tara minn wara') is-sufan""")</f>
        <v>"Ħabi wara (jew 'tara minn wara') is-sufan"</v>
      </c>
    </row>
    <row r="7929" ht="15.75" customHeight="1">
      <c r="A7929" s="2" t="s">
        <v>7929</v>
      </c>
      <c r="B7929" s="2" t="str">
        <f>IFERROR(__xludf.DUMMYFUNCTION("GOOGLETRANSLATE(A7929, ""en"", ""mt"")"),"Il-qtil ta 'John F. Kennedy")</f>
        <v>Il-qtil ta 'John F. Kennedy</v>
      </c>
    </row>
    <row r="7930" ht="15.75" customHeight="1">
      <c r="A7930" s="2" t="s">
        <v>7930</v>
      </c>
      <c r="B7930" s="2" t="str">
        <f>IFERROR(__xludf.DUMMYFUNCTION("GOOGLETRANSLATE(A7930, ""en"", ""mt"")"),"Il-Battalja ta ’Hastings")</f>
        <v>Il-Battalja ta ’Hastings</v>
      </c>
    </row>
    <row r="7931" ht="15.75" customHeight="1">
      <c r="A7931" s="2" t="s">
        <v>7931</v>
      </c>
      <c r="B7931" s="2" t="str">
        <f>IFERROR(__xludf.DUMMYFUNCTION("GOOGLETRANSLATE(A7931, ""en"", ""mt"")"),"Xi wħud jemmnu li t-Trattat ta 'Versailles assistit fih?")</f>
        <v>Xi wħud jemmnu li t-Trattat ta 'Versailles assistit fih?</v>
      </c>
    </row>
    <row r="7932" ht="15.75" customHeight="1">
      <c r="A7932" s="2" t="s">
        <v>7932</v>
      </c>
      <c r="B7932" s="2" t="str">
        <f>IFERROR(__xludf.DUMMYFUNCTION("GOOGLETRANSLATE(A7932, ""en"", ""mt"")"),"xelters, assistenza edukattiva, kliniċi mediċi b’xejn jew bi prezz baxx, assistenza tad-djar")</f>
        <v>xelters, assistenza edukattiva, kliniċi mediċi b’xejn jew bi prezz baxx, assistenza tad-djar</v>
      </c>
    </row>
    <row r="7933" ht="15.75" customHeight="1">
      <c r="A7933" s="2" t="s">
        <v>7933</v>
      </c>
      <c r="B7933" s="2" t="str">
        <f>IFERROR(__xludf.DUMMYFUNCTION("GOOGLETRANSLATE(A7933, ""en"", ""mt"")"),"L-Istitut Amerikan tal-Inġiniera Elettriċi")</f>
        <v>L-Istitut Amerikan tal-Inġiniera Elettriċi</v>
      </c>
    </row>
    <row r="7934" ht="15.75" customHeight="1">
      <c r="A7934" s="2" t="s">
        <v>7934</v>
      </c>
      <c r="B7934" s="2" t="str">
        <f>IFERROR(__xludf.DUMMYFUNCTION("GOOGLETRANSLATE(A7934, ""en"", ""mt"")"),"poeżija politika")</f>
        <v>poeżija politika</v>
      </c>
    </row>
    <row r="7935" ht="15.75" customHeight="1">
      <c r="A7935" s="2" t="s">
        <v>7935</v>
      </c>
      <c r="B7935" s="2" t="str">
        <f>IFERROR(__xludf.DUMMYFUNCTION("GOOGLETRANSLATE(A7935, ""en"", ""mt"")"),"Jonqos Il-Ktieb tad-Dixxiplina")</f>
        <v>Jonqos Il-Ktieb tad-Dixxiplina</v>
      </c>
    </row>
    <row r="7936" ht="15.75" customHeight="1">
      <c r="A7936" s="2" t="s">
        <v>7936</v>
      </c>
      <c r="B7936" s="2" t="str">
        <f>IFERROR(__xludf.DUMMYFUNCTION("GOOGLETRANSLATE(A7936, ""en"", ""mt"")"),"Is-sistema illimitat il-prezz ta '""żejt qadim""")</f>
        <v>Is-sistema illimitat il-prezz ta '"żejt qadim"</v>
      </c>
    </row>
    <row r="7937" ht="15.75" customHeight="1">
      <c r="A7937" s="2" t="s">
        <v>7937</v>
      </c>
      <c r="B7937" s="2" t="str">
        <f>IFERROR(__xludf.DUMMYFUNCTION("GOOGLETRANSLATE(A7937, ""en"", ""mt"")"),"It-tieni")</f>
        <v>It-tieni</v>
      </c>
    </row>
    <row r="7938" ht="15.75" customHeight="1">
      <c r="A7938" s="2" t="s">
        <v>7938</v>
      </c>
      <c r="B7938" s="2" t="str">
        <f>IFERROR(__xludf.DUMMYFUNCTION("GOOGLETRANSLATE(A7938, ""en"", ""mt"")"),"X'inhi t-taskforce li ġiet organizzata biex tidentifika mal-pożizzjoni favur il-ħajja?")</f>
        <v>X'inhi t-taskforce li ġiet organizzata biex tidentifika mal-pożizzjoni favur il-ħajja?</v>
      </c>
    </row>
    <row r="7939" ht="15.75" customHeight="1">
      <c r="A7939" s="2" t="s">
        <v>7939</v>
      </c>
      <c r="B7939" s="2" t="str">
        <f>IFERROR(__xludf.DUMMYFUNCTION("GOOGLETRANSLATE(A7939, ""en"", ""mt"")"),"Kummissjoni v Awstrija")</f>
        <v>Kummissjoni v Awstrija</v>
      </c>
    </row>
    <row r="7940" ht="15.75" customHeight="1">
      <c r="A7940" s="2" t="s">
        <v>7940</v>
      </c>
      <c r="B7940" s="2" t="str">
        <f>IFERROR(__xludf.DUMMYFUNCTION("GOOGLETRANSLATE(A7940, ""en"", ""mt"")"),"L-ACME tal-magna orizzontali kienet il-magna tal-fwar Corliss, brevettata fl-1849, li kienet magna tal-fluss tal-counter b'erba 'valv b'ammissjoni tal-fwar separata u valvi tal-egżost u cutoff tal-fwar varjabbli awtomatiku. Meta Corliss ingħata l-midalja "&amp;"Rumford, il-kumitat qal li ""l-ebda invenzjoni minn żmien Watt tant tejjeb l-effiċjenza tal-magna tal-fwar"". Minbarra li tuża 30% inqas fwar, hija pprovdiet veloċità aktar uniformi minħabba l-fwar varjabbli maqtugħ, li jagħmilha adattata tajjeb għall-man"&amp;"ifattura, speċjalment l-għażil tal-qoton.")</f>
        <v>L-ACME tal-magna orizzontali kienet il-magna tal-fwar Corliss, brevettata fl-1849, li kienet magna tal-fluss tal-counter b'erba 'valv b'ammissjoni tal-fwar separata u valvi tal-egżost u cutoff tal-fwar varjabbli awtomatiku. Meta Corliss ingħata l-midalja Rumford, il-kumitat qal li "l-ebda invenzjoni minn żmien Watt tant tejjeb l-effiċjenza tal-magna tal-fwar". Minbarra li tuża 30% inqas fwar, hija pprovdiet veloċità aktar uniformi minħabba l-fwar varjabbli maqtugħ, li jagħmilha adattata tajjeb għall-manifattura, speċjalment l-għażil tal-qoton.</v>
      </c>
    </row>
    <row r="7941" ht="15.75" customHeight="1">
      <c r="A7941" s="2" t="s">
        <v>7941</v>
      </c>
      <c r="B7941" s="2" t="str">
        <f>IFERROR(__xludf.DUMMYFUNCTION("GOOGLETRANSLATE(A7941, ""en"", ""mt"")"),"fid-direzzjoni li fiha l-ħalq qed jipponta,")</f>
        <v>fid-direzzjoni li fiha l-ħalq qed jipponta,</v>
      </c>
    </row>
    <row r="7942" ht="15.75" customHeight="1">
      <c r="A7942" s="2" t="s">
        <v>7942</v>
      </c>
      <c r="B7942" s="2" t="str">
        <f>IFERROR(__xludf.DUMMYFUNCTION("GOOGLETRANSLATE(A7942, ""en"", ""mt"")"),"Għal xiex jista 'jiġi investigat xi ħadd?")</f>
        <v>Għal xiex jista 'jiġi investigat xi ħadd?</v>
      </c>
    </row>
    <row r="7943" ht="15.75" customHeight="1">
      <c r="A7943" s="2" t="s">
        <v>7943</v>
      </c>
      <c r="B7943" s="2" t="str">
        <f>IFERROR(__xludf.DUMMYFUNCTION("GOOGLETRANSLATE(A7943, ""en"", ""mt"")"),"Kemm għamlet tajjeb il-Kenja fl-Olimpjadi ta 'Beijing?")</f>
        <v>Kemm għamlet tajjeb il-Kenja fl-Olimpjadi ta 'Beijing?</v>
      </c>
    </row>
    <row r="7944" ht="15.75" customHeight="1">
      <c r="A7944" s="2" t="s">
        <v>7944</v>
      </c>
      <c r="B7944" s="2" t="str">
        <f>IFERROR(__xludf.DUMMYFUNCTION("GOOGLETRANSLATE(A7944, ""en"", ""mt"")"),"In-Nofsinhar tal-Kalifornja tinkludi ż-żona urbana mibnija ħafna tul il-kosta tal-Paċifiku minn Ventura, permezz tal-Greater Los Angeles Area u l-Imperu Intern, u 'l isfel għall-Greater San Diego. Il-popolazzjoni tan-Nofsinhar ta 'California tiġbor fiha s"&amp;"eba' żoni metropolitani, jew MSAs: iż-żona metropolitana ta 'Los Angeles, li tikkonsisti minn kontej ta' Los Angeles u Orange; l-imperu intern, li jikkonsisti minn kontej Riverside u San Bernardino; iż-żona metropolitana ta 'San Diego; Iż-żona metropolita"&amp;"na ta 'Oxnard - Elf Oaks-Ventura; iż-żona tal-metro Santa Barbara; iż-żona metropolitana ta 'San Luis Obispo; u ż-żona El Centro. Minn dawn, tlieta huma żoni b'popolazzjoni qawwija: iż-żona ta 'Los Angeles b'aktar minn 12-il miljun abitant, iż-żona Rivers"&amp;"ide-San Bernardino b'aktar minn erba' miljun abitant, u ż-żona ta 'San Diego b'aktar minn 3 miljun abitant. Għal skopijiet metropolitani CSA, il-ħames kontej ta 'Los Angeles, Orange, Riverside, San Bernardino, u Ventura huma kollha kkombinati biex jagħmlu"&amp;" l-akbar żona ta' Los Angeles b'aktar minn 17.5 miljun persuna. B'aktar minn 22 miljun persuna, in-Nofsinhar ta 'California fih madwar 60 fil-mija tal-popolazzjoni ta' California.")</f>
        <v>In-Nofsinhar tal-Kalifornja tinkludi ż-żona urbana mibnija ħafna tul il-kosta tal-Paċifiku minn Ventura, permezz tal-Greater Los Angeles Area u l-Imperu Intern, u 'l isfel għall-Greater San Diego. Il-popolazzjoni tan-Nofsinhar ta 'California tiġbor fiha seba' żoni metropolitani, jew MSAs: iż-żona metropolitana ta 'Los Angeles, li tikkonsisti minn kontej ta' Los Angeles u Orange; l-imperu intern, li jikkonsisti minn kontej Riverside u San Bernardino; iż-żona metropolitana ta 'San Diego; Iż-żona metropolitana ta 'Oxnard - Elf Oaks-Ventura; iż-żona tal-metro Santa Barbara; iż-żona metropolitana ta 'San Luis Obispo; u ż-żona El Centro. Minn dawn, tlieta huma żoni b'popolazzjoni qawwija: iż-żona ta 'Los Angeles b'aktar minn 12-il miljun abitant, iż-żona Riverside-San Bernardino b'aktar minn erba' miljun abitant, u ż-żona ta 'San Diego b'aktar minn 3 miljun abitant. Għal skopijiet metropolitani CSA, il-ħames kontej ta 'Los Angeles, Orange, Riverside, San Bernardino, u Ventura huma kollha kkombinati biex jagħmlu l-akbar żona ta' Los Angeles b'aktar minn 17.5 miljun persuna. B'aktar minn 22 miljun persuna, in-Nofsinhar ta 'California fih madwar 60 fil-mija tal-popolazzjoni ta' California.</v>
      </c>
    </row>
    <row r="7945" ht="15.75" customHeight="1">
      <c r="A7945" s="2" t="s">
        <v>7945</v>
      </c>
      <c r="B7945" s="2" t="str">
        <f>IFERROR(__xludf.DUMMYFUNCTION("GOOGLETRANSLATE(A7945, ""en"", ""mt"")"),"100–5,000")</f>
        <v>100–5,000</v>
      </c>
    </row>
    <row r="7946" ht="15.75" customHeight="1">
      <c r="A7946" s="2" t="s">
        <v>7946</v>
      </c>
      <c r="B7946" s="2" t="str">
        <f>IFERROR(__xludf.DUMMYFUNCTION("GOOGLETRANSLATE(A7946, ""en"", ""mt"")"),"Seklu 14")</f>
        <v>Seklu 14</v>
      </c>
    </row>
    <row r="7947" ht="15.75" customHeight="1">
      <c r="A7947" s="2" t="s">
        <v>7947</v>
      </c>
      <c r="B7947" s="2" t="str">
        <f>IFERROR(__xludf.DUMMYFUNCTION("GOOGLETRANSLATE(A7947, ""en"", ""mt"")"),"aġenziji pubbliċi")</f>
        <v>aġenziji pubbliċi</v>
      </c>
    </row>
    <row r="7948" ht="15.75" customHeight="1">
      <c r="A7948" s="2" t="s">
        <v>7948</v>
      </c>
      <c r="B7948" s="2" t="str">
        <f>IFERROR(__xludf.DUMMYFUNCTION("GOOGLETRANSLATE(A7948, ""en"", ""mt"")"),"Uża fl-arpanet")</f>
        <v>Uża fl-arpanet</v>
      </c>
    </row>
    <row r="7949" ht="15.75" customHeight="1">
      <c r="A7949" s="2" t="s">
        <v>7949</v>
      </c>
      <c r="B7949" s="2" t="str">
        <f>IFERROR(__xludf.DUMMYFUNCTION("GOOGLETRANSLATE(A7949, ""en"", ""mt"")"),"Lhud imkeċċija")</f>
        <v>Lhud imkeċċija</v>
      </c>
    </row>
    <row r="7950" ht="15.75" customHeight="1">
      <c r="A7950" s="2" t="s">
        <v>7950</v>
      </c>
      <c r="B7950" s="2" t="str">
        <f>IFERROR(__xludf.DUMMYFUNCTION("GOOGLETRANSLATE(A7950, ""en"", ""mt"")"),"Għal xiex kien magħruf Tugh Temur?")</f>
        <v>Għal xiex kien magħruf Tugh Temur?</v>
      </c>
    </row>
    <row r="7951" ht="15.75" customHeight="1">
      <c r="A7951" s="2" t="s">
        <v>7951</v>
      </c>
      <c r="B7951" s="2" t="str">
        <f>IFERROR(__xludf.DUMMYFUNCTION("GOOGLETRANSLATE(A7951, ""en"", ""mt"")"),"Ir-reġjun kien mexxej f'liema avveniment bejn l-2001 - 2007?")</f>
        <v>Ir-reġjun kien mexxej f'liema avveniment bejn l-2001 - 2007?</v>
      </c>
    </row>
    <row r="7952" ht="15.75" customHeight="1">
      <c r="A7952" s="2" t="s">
        <v>7952</v>
      </c>
      <c r="B7952" s="2" t="str">
        <f>IFERROR(__xludf.DUMMYFUNCTION("GOOGLETRANSLATE(A7952, ""en"", ""mt"")"),"Jiddependi fuq is-saħħa ta 'kull parti fil-Parlament")</f>
        <v>Jiddependi fuq is-saħħa ta 'kull parti fil-Parlament</v>
      </c>
    </row>
    <row r="7953" ht="15.75" customHeight="1">
      <c r="A7953" s="2" t="s">
        <v>7953</v>
      </c>
      <c r="B7953" s="2" t="str">
        <f>IFERROR(__xludf.DUMMYFUNCTION("GOOGLETRANSLATE(A7953, ""en"", ""mt"")"),"Tip II")</f>
        <v>Tip II</v>
      </c>
    </row>
    <row r="7954" ht="15.75" customHeight="1">
      <c r="A7954" s="2" t="s">
        <v>7954</v>
      </c>
      <c r="B7954" s="2" t="str">
        <f>IFERROR(__xludf.DUMMYFUNCTION("GOOGLETRANSLATE(A7954, ""en"", ""mt"")"),"in-natura li tista 'tinqata' tal-ħaddiem b'rabta max-xogħol partikolari tiegħu jew tagħha")</f>
        <v>in-natura li tista 'tinqata' tal-ħaddiem b'rabta max-xogħol partikolari tiegħu jew tagħha</v>
      </c>
    </row>
    <row r="7955" ht="15.75" customHeight="1">
      <c r="A7955" s="2" t="s">
        <v>7955</v>
      </c>
      <c r="B7955" s="2" t="str">
        <f>IFERROR(__xludf.DUMMYFUNCTION("GOOGLETRANSLATE(A7955, ""en"", ""mt"")"),"Il-konfessur tal-Papa huwa isqof?")</f>
        <v>Il-konfessur tal-Papa huwa isqof?</v>
      </c>
    </row>
    <row r="7956" ht="15.75" customHeight="1">
      <c r="A7956" s="2" t="s">
        <v>7956</v>
      </c>
      <c r="B7956" s="2" t="str">
        <f>IFERROR(__xludf.DUMMYFUNCTION("GOOGLETRANSLATE(A7956, ""en"", ""mt"")"),"Kemm kien twil fis-sodda mill-kolera?")</f>
        <v>Kemm kien twil fis-sodda mill-kolera?</v>
      </c>
    </row>
    <row r="7957" ht="15.75" customHeight="1">
      <c r="A7957" s="2" t="s">
        <v>7957</v>
      </c>
      <c r="B7957" s="2" t="str">
        <f>IFERROR(__xludf.DUMMYFUNCTION("GOOGLETRANSLATE(A7957, ""en"", ""mt"")"),"Fl-1968, ABC ħadet vantaġġ minn regolamenti ġodda ta 'sjieda tal-FCC li ppermettew lill-kumpaniji tax-xandir ikollhom massimu ta' seba 'stazzjonijiet tar-radju fuq livell nazzjonali sabiex jixtru l-istazzjonijiet tar-radju Houston KXYZ u KXYZ-FM għal $ 1 "&amp;"miljun f'ishma u $ 1.5 miljun f'bonds. Dik is-sena, Roone Arledge ġie msemmi president ta 'ABC Sports; Il-kumpanija waqqfet ukoll ABC Pictures, kumpanija tal-produzzjoni tal-films li ħarġet l-ewwel stampa tagħha dik is-sena, ir-Ralph Nelson-diretta Charly"&amp;". Ġie msejjaħ ABC Motion Pictures fl-1979; L-unità ġiet maħlula fl-1985. L-istudjo opera wkoll żewġ sussidjarji, Palomar Pictures International u Selmur Pictures. F'Lulju 1968, ABC kompla l-akkwisti tiegħu fis-settur tal-parks tad-divertiment bil-ftuħ ta "&amp;"'ABC Marine World f'Redwood City, California; Dak il-park inbiegħ fl-1972 u twaqqa 'fl-1986, bl-art li okkupat il-park aktar tard saret id-dar għall-kwartieri ġenerali ta' Oracle Corporation.")</f>
        <v>Fl-1968, ABC ħadet vantaġġ minn regolamenti ġodda ta 'sjieda tal-FCC li ppermettew lill-kumpaniji tax-xandir ikollhom massimu ta' seba 'stazzjonijiet tar-radju fuq livell nazzjonali sabiex jixtru l-istazzjonijiet tar-radju Houston KXYZ u KXYZ-FM għal $ 1 miljun f'ishma u $ 1.5 miljun f'bonds. Dik is-sena, Roone Arledge ġie msemmi president ta 'ABC Sports; Il-kumpanija waqqfet ukoll ABC Pictures, kumpanija tal-produzzjoni tal-films li ħarġet l-ewwel stampa tagħha dik is-sena, ir-Ralph Nelson-diretta Charly. Ġie msejjaħ ABC Motion Pictures fl-1979; L-unità ġiet maħlula fl-1985. L-istudjo opera wkoll żewġ sussidjarji, Palomar Pictures International u Selmur Pictures. F'Lulju 1968, ABC kompla l-akkwisti tiegħu fis-settur tal-parks tad-divertiment bil-ftuħ ta 'ABC Marine World f'Redwood City, California; Dak il-park inbiegħ fl-1972 u twaqqa 'fl-1986, bl-art li okkupat il-park aktar tard saret id-dar għall-kwartieri ġenerali ta' Oracle Corporation.</v>
      </c>
    </row>
    <row r="7958" ht="15.75" customHeight="1">
      <c r="A7958" s="2" t="s">
        <v>7958</v>
      </c>
      <c r="B7958" s="2" t="str">
        <f>IFERROR(__xludf.DUMMYFUNCTION("GOOGLETRANSLATE(A7958, ""en"", ""mt"")"),"Kmamar tal-ossiġnu")</f>
        <v>Kmamar tal-ossiġnu</v>
      </c>
    </row>
    <row r="7959" ht="15.75" customHeight="1">
      <c r="A7959" s="2" t="s">
        <v>7959</v>
      </c>
      <c r="B7959" s="2" t="str">
        <f>IFERROR(__xludf.DUMMYFUNCTION("GOOGLETRANSLATE(A7959, ""en"", ""mt"")"),"Il-bnadar fuq il-qamar li tħallew mill-Missjonijiet Apollo tal-Istati Uniti tal-Istati Uniti għadhom wieqfa ħlief għal liema bandiera tal-missjoni?")</f>
        <v>Il-bnadar fuq il-qamar li tħallew mill-Missjonijiet Apollo tal-Istati Uniti tal-Istati Uniti għadhom wieqfa ħlief għal liema bandiera tal-missjoni?</v>
      </c>
    </row>
    <row r="7960" ht="15.75" customHeight="1">
      <c r="A7960" s="2" t="s">
        <v>7960</v>
      </c>
      <c r="B7960" s="2" t="str">
        <f>IFERROR(__xludf.DUMMYFUNCTION("GOOGLETRANSLATE(A7960, ""en"", ""mt"")"),"Difensuri Torok")</f>
        <v>Difensuri Torok</v>
      </c>
    </row>
    <row r="7961" ht="15.75" customHeight="1">
      <c r="A7961" s="2" t="s">
        <v>7961</v>
      </c>
      <c r="B7961" s="2" t="str">
        <f>IFERROR(__xludf.DUMMYFUNCTION("GOOGLETRANSLATE(A7961, ""en"", ""mt"")"),"Conrad ta 'Montferrat")</f>
        <v>Conrad ta 'Montferrat</v>
      </c>
    </row>
    <row r="7962" ht="15.75" customHeight="1">
      <c r="A7962" s="2" t="s">
        <v>7962</v>
      </c>
      <c r="B7962" s="2" t="str">
        <f>IFERROR(__xludf.DUMMYFUNCTION("GOOGLETRANSLATE(A7962, ""en"", ""mt"")"),"X'jiġri biex taħli s-sħana fiċ-ċiklu ta 'Rankine?")</f>
        <v>X'jiġri biex taħli s-sħana fiċ-ċiklu ta 'Rankine?</v>
      </c>
    </row>
    <row r="7963" ht="15.75" customHeight="1">
      <c r="A7963" s="2" t="s">
        <v>7963</v>
      </c>
      <c r="B7963" s="2" t="str">
        <f>IFERROR(__xludf.DUMMYFUNCTION("GOOGLETRANSLATE(A7963, ""en"", ""mt"")"),"Fl-2004, il-V &amp; A flimkien mal-Istitut Irjali tal-Periti Brittaniċi fetaħ l-ewwel gallerija permanenti fir-Renju Unit li jkopri l-istorja tal-arkitettura b'displejs bl-użu ta 'mudelli, ritratti, elementi minn bini u tpinġijiet oriġinali. Bil-ftuħ tal-Gall"&amp;"erija l-Ġdida, il-kollezzjoni ta 'Dpinġijiet u Arkivji RIBA ġiet trasferita lill-mużew, li tgħaqqad il-kollezzjoni diġà estensiva miżmuma mill-V &amp; A. B'aktar minn 600,000 tpinġija, aktar minn 750,000 dokument u parafernalia, u aktar minn 700,000 ritratt m"&amp;"inn madwar id-dinja, flimkien jiffurmaw ir-riżorsa arkitettonika l-iktar komprensiva tad-dinja.")</f>
        <v>Fl-2004, il-V &amp; A flimkien mal-Istitut Irjali tal-Periti Brittaniċi fetaħ l-ewwel gallerija permanenti fir-Renju Unit li jkopri l-istorja tal-arkitettura b'displejs bl-użu ta 'mudelli, ritratti, elementi minn bini u tpinġijiet oriġinali. Bil-ftuħ tal-Gallerija l-Ġdida, il-kollezzjoni ta 'Dpinġijiet u Arkivji RIBA ġiet trasferita lill-mużew, li tgħaqqad il-kollezzjoni diġà estensiva miżmuma mill-V &amp; A. B'aktar minn 600,000 tpinġija, aktar minn 750,000 dokument u parafernalia, u aktar minn 700,000 ritratt minn madwar id-dinja, flimkien jiffurmaw ir-riżorsa arkitettonika l-iktar komprensiva tad-dinja.</v>
      </c>
    </row>
    <row r="7964" ht="15.75" customHeight="1">
      <c r="A7964" s="2" t="s">
        <v>7964</v>
      </c>
      <c r="B7964" s="2" t="str">
        <f>IFERROR(__xludf.DUMMYFUNCTION("GOOGLETRANSLATE(A7964, ""en"", ""mt"")"),"X'inhuma l-outputs molekulari għall-fotosintesi?")</f>
        <v>X'inhuma l-outputs molekulari għall-fotosintesi?</v>
      </c>
    </row>
    <row r="7965" ht="15.75" customHeight="1">
      <c r="A7965" s="2" t="s">
        <v>7965</v>
      </c>
      <c r="B7965" s="2" t="str">
        <f>IFERROR(__xludf.DUMMYFUNCTION("GOOGLETRANSLATE(A7965, ""en"", ""mt"")"),"frizzjoni")</f>
        <v>frizzjoni</v>
      </c>
    </row>
    <row r="7966" ht="15.75" customHeight="1">
      <c r="A7966" s="2" t="s">
        <v>7966</v>
      </c>
      <c r="B7966" s="2" t="str">
        <f>IFERROR(__xludf.DUMMYFUNCTION("GOOGLETRANSLATE(A7966, ""en"", ""mt"")"),"Xeriff għoli")</f>
        <v>Xeriff għoli</v>
      </c>
    </row>
    <row r="7967" ht="15.75" customHeight="1">
      <c r="A7967" s="2" t="s">
        <v>7967</v>
      </c>
      <c r="B7967" s="2" t="str">
        <f>IFERROR(__xludf.DUMMYFUNCTION("GOOGLETRANSLATE(A7967, ""en"", ""mt"")"),"Ġersijiet suwed bi qliezet tal-fidda.")</f>
        <v>Ġersijiet suwed bi qliezet tal-fidda.</v>
      </c>
    </row>
    <row r="7968" ht="15.75" customHeight="1">
      <c r="A7968" s="2" t="s">
        <v>7968</v>
      </c>
      <c r="B7968" s="2" t="str">
        <f>IFERROR(__xludf.DUMMYFUNCTION("GOOGLETRANSLATE(A7968, ""en"", ""mt"")"),"Imperatur Ningzong")</f>
        <v>Imperatur Ningzong</v>
      </c>
    </row>
    <row r="7969" ht="15.75" customHeight="1">
      <c r="A7969" s="2" t="s">
        <v>7969</v>
      </c>
      <c r="B7969" s="2" t="str">
        <f>IFERROR(__xludf.DUMMYFUNCTION("GOOGLETRANSLATE(A7969, ""en"", ""mt"")"),"Disinn bażiku tipiku tal-pajjiżi tal-blokk tal-Lvant")</f>
        <v>Disinn bażiku tipiku tal-pajjiżi tal-blokk tal-Lvant</v>
      </c>
    </row>
    <row r="7970" ht="15.75" customHeight="1">
      <c r="A7970" s="2" t="s">
        <v>7970</v>
      </c>
      <c r="B7970" s="2" t="str">
        <f>IFERROR(__xludf.DUMMYFUNCTION("GOOGLETRANSLATE(A7970, ""en"", ""mt"")"),"minimu")</f>
        <v>minimu</v>
      </c>
    </row>
    <row r="7971" ht="15.75" customHeight="1">
      <c r="A7971" s="2" t="s">
        <v>7971</v>
      </c>
      <c r="B7971" s="2" t="str">
        <f>IFERROR(__xludf.DUMMYFUNCTION("GOOGLETRANSLATE(A7971, ""en"", ""mt"")"),"L-Alpi")</f>
        <v>L-Alpi</v>
      </c>
    </row>
    <row r="7972" ht="15.75" customHeight="1">
      <c r="A7972" s="2" t="s">
        <v>7972</v>
      </c>
      <c r="B7972" s="2" t="str">
        <f>IFERROR(__xludf.DUMMYFUNCTION("GOOGLETRANSLATE(A7972, ""en"", ""mt"")"),"Determiniżmu Ambjentali")</f>
        <v>Determiniżmu Ambjentali</v>
      </c>
    </row>
    <row r="7973" ht="15.75" customHeight="1">
      <c r="A7973" s="2" t="s">
        <v>7973</v>
      </c>
      <c r="B7973" s="2" t="str">
        <f>IFERROR(__xludf.DUMMYFUNCTION("GOOGLETRANSLATE(A7973, ""en"", ""mt"")"),"X'tip ta 'oġġett huwa l-aktar probabbli li juri fis-sistema tal-kompjuter V &amp; A?")</f>
        <v>X'tip ta 'oġġett huwa l-aktar probabbli li juri fis-sistema tal-kompjuter V &amp; A?</v>
      </c>
    </row>
    <row r="7974" ht="15.75" customHeight="1">
      <c r="A7974" s="2" t="s">
        <v>7974</v>
      </c>
      <c r="B7974" s="2" t="str">
        <f>IFERROR(__xludf.DUMMYFUNCTION("GOOGLETRANSLATE(A7974, ""en"", ""mt"")"),"Artikolu 102")</f>
        <v>Artikolu 102</v>
      </c>
    </row>
    <row r="7975" ht="15.75" customHeight="1">
      <c r="A7975" s="2" t="s">
        <v>7975</v>
      </c>
      <c r="B7975" s="2" t="str">
        <f>IFERROR(__xludf.DUMMYFUNCTION("GOOGLETRANSLATE(A7975, ""en"", ""mt"")"),"Riċettur tal-Vitamina D")</f>
        <v>Riċettur tal-Vitamina D</v>
      </c>
    </row>
    <row r="7976" ht="15.75" customHeight="1">
      <c r="A7976" s="2" t="s">
        <v>7976</v>
      </c>
      <c r="B7976" s="2" t="str">
        <f>IFERROR(__xludf.DUMMYFUNCTION("GOOGLETRANSLATE(A7976, ""en"", ""mt"")"),"L-esperjenza annwali tal-NFL saret fiċ-Ċentru Moscone f'San Francisco. Barra minn hekk, ""Super Bowl City"" infetħet fit-30 ta 'Jannar f'Justin Herman Plaza fuq l-Embarcadero, li tinkludi logħob u attivitajiet li jenfasizzaw it-teknoloġija tal-Bajja, il-k"&amp;"reazzjonijiet kulinari, u d-diversità kulturali. Aktar minn miljun persuna huma mistennija jattendu l-festi f'San Francisco matul il-ġimgħa tas-Super Bowl. Is-Sindku ta 'San Francisco Ed Lee qal dwar il-preżenza viżibbli ħafna bla saqaf f'dan il-qasam ""l"&amp;"i se jkollhom jitilqu"". Is-Superviżur tal-Belt ta 'San Francisco Jane Kim għamlet pressjoni bla suċċess għall-NFL biex tirrimborża San Francisco għas-servizzi tal-belt fl-ammont ta' $ 5 miljun.")</f>
        <v>L-esperjenza annwali tal-NFL saret fiċ-Ċentru Moscone f'San Francisco. Barra minn hekk, "Super Bowl City" infetħet fit-30 ta 'Jannar f'Justin Herman Plaza fuq l-Embarcadero, li tinkludi logħob u attivitajiet li jenfasizzaw it-teknoloġija tal-Bajja, il-kreazzjonijiet kulinari, u d-diversità kulturali. Aktar minn miljun persuna huma mistennija jattendu l-festi f'San Francisco matul il-ġimgħa tas-Super Bowl. Is-Sindku ta 'San Francisco Ed Lee qal dwar il-preżenza viżibbli ħafna bla saqaf f'dan il-qasam "li se jkollhom jitilqu". Is-Superviżur tal-Belt ta 'San Francisco Jane Kim għamlet pressjoni bla suċċess għall-NFL biex tirrimborża San Francisco għas-servizzi tal-belt fl-ammont ta' $ 5 miljun.</v>
      </c>
    </row>
    <row r="7977" ht="15.75" customHeight="1">
      <c r="A7977" s="2" t="s">
        <v>7977</v>
      </c>
      <c r="B7977" s="2" t="str">
        <f>IFERROR(__xludf.DUMMYFUNCTION("GOOGLETRANSLATE(A7977, ""en"", ""mt"")"),"Valley San Fernando")</f>
        <v>Valley San Fernando</v>
      </c>
    </row>
    <row r="7978" ht="15.75" customHeight="1">
      <c r="A7978" s="2" t="s">
        <v>7978</v>
      </c>
      <c r="B7978" s="2" t="str">
        <f>IFERROR(__xludf.DUMMYFUNCTION("GOOGLETRANSLATE(A7978, ""en"", ""mt"")"),"Eżempji eċċezzjonali ta 'l-arkitettura burgheż tal-perjodi aktar tard ma ġewx restawrati mill-awtoritajiet komunisti wara l-gwerra (bħalma semmew il-Palazz Kronenberg u l-Kumpanija tal-Assikurazzjoni Rosja Building) jew inbnew mill-ġdid fl-istil ta' reali"&amp;"żmu soċjalista (bħal edifiċju ta 'Filarmonija ta' Varsavja oriġinarjament ispirati minn Palais Garnier fi Pariġi). Minkejja li l-Bini tal-Università tat-Teknoloġija ta 'Varsavja (1899-1902) huwa l-iktar interessanti ta' l-arkitettura tard tas-seklu 19. Xi"&amp;" bini tas-seklu 19 fid-distrett ta 'Praga (il-bank tal-lemin ta' Vistula) ġew restawrati għalkemm ħafna nżammu ħażin. L-awtoritajiet tal-gvern muniċipali ta 'Varsavja ddeċidew li jibnu mill-ġdid il-Palazz Sassonu u l-Palazz Brühl, l-iktar bini distintiv f"&amp;"i Prewar Varsavja.")</f>
        <v>Eżempji eċċezzjonali ta 'l-arkitettura burgheż tal-perjodi aktar tard ma ġewx restawrati mill-awtoritajiet komunisti wara l-gwerra (bħalma semmew il-Palazz Kronenberg u l-Kumpanija tal-Assikurazzjoni Rosja Building) jew inbnew mill-ġdid fl-istil ta' realiżmu soċjalista (bħal edifiċju ta 'Filarmonija ta' Varsavja oriġinarjament ispirati minn Palais Garnier fi Pariġi). Minkejja li l-Bini tal-Università tat-Teknoloġija ta 'Varsavja (1899-1902) huwa l-iktar interessanti ta' l-arkitettura tard tas-seklu 19. Xi bini tas-seklu 19 fid-distrett ta 'Praga (il-bank tal-lemin ta' Vistula) ġew restawrati għalkemm ħafna nżammu ħażin. L-awtoritajiet tal-gvern muniċipali ta 'Varsavja ddeċidew li jibnu mill-ġdid il-Palazz Sassonu u l-Palazz Brühl, l-iktar bini distintiv fi Prewar Varsavja.</v>
      </c>
    </row>
    <row r="7979" ht="15.75" customHeight="1">
      <c r="A7979" s="2" t="s">
        <v>7979</v>
      </c>
      <c r="B7979" s="2" t="str">
        <f>IFERROR(__xludf.DUMMYFUNCTION("GOOGLETRANSLATE(A7979, ""en"", ""mt"")"),"Irġiel żgħażagħ li ma kinux iġġieldu")</f>
        <v>Irġiel żgħażagħ li ma kinux iġġieldu</v>
      </c>
    </row>
    <row r="7980" ht="15.75" customHeight="1">
      <c r="A7980" s="2" t="s">
        <v>7980</v>
      </c>
      <c r="B7980" s="2" t="str">
        <f>IFERROR(__xludf.DUMMYFUNCTION("GOOGLETRANSLATE(A7980, ""en"", ""mt"")"),"Magdalen Tower")</f>
        <v>Magdalen Tower</v>
      </c>
    </row>
    <row r="7981" ht="15.75" customHeight="1">
      <c r="A7981" s="2" t="s">
        <v>7981</v>
      </c>
      <c r="B7981" s="2" t="str">
        <f>IFERROR(__xludf.DUMMYFUNCTION("GOOGLETRANSLATE(A7981, ""en"", ""mt"")"),"Għandhom ikunu rrakkomandati mill-konferenza tar-ragħaj u tal-knisja tagħhom jew tal-konferenza tal-ħlas, u jlestu l-kors bażiku għal lajk")</f>
        <v>Għandhom ikunu rrakkomandati mill-konferenza tar-ragħaj u tal-knisja tagħhom jew tal-konferenza tal-ħlas, u jlestu l-kors bażiku għal lajk</v>
      </c>
    </row>
    <row r="7982" ht="15.75" customHeight="1">
      <c r="A7982" s="2" t="s">
        <v>7982</v>
      </c>
      <c r="B7982" s="2" t="str">
        <f>IFERROR(__xludf.DUMMYFUNCTION("GOOGLETRANSLATE(A7982, ""en"", ""mt"")"),"L-Att dwar il-Kostituzzjoni tar-Rabat 1855")</f>
        <v>L-Att dwar il-Kostituzzjoni tar-Rabat 1855</v>
      </c>
    </row>
    <row r="7983" ht="15.75" customHeight="1">
      <c r="A7983" s="2" t="s">
        <v>7983</v>
      </c>
      <c r="B7983" s="2" t="str">
        <f>IFERROR(__xludf.DUMMYFUNCTION("GOOGLETRANSLATE(A7983, ""en"", ""mt"")"),"ugwaljanza akbar iżda mhux dħul per capita")</f>
        <v>ugwaljanza akbar iżda mhux dħul per capita</v>
      </c>
    </row>
    <row r="7984" ht="15.75" customHeight="1">
      <c r="A7984" s="2" t="s">
        <v>7984</v>
      </c>
      <c r="B7984" s="2" t="str">
        <f>IFERROR(__xludf.DUMMYFUNCTION("GOOGLETRANSLATE(A7984, ""en"", ""mt"")"),"Fil-bajjiet")</f>
        <v>Fil-bajjiet</v>
      </c>
    </row>
    <row r="7985" ht="15.75" customHeight="1">
      <c r="A7985" s="2" t="s">
        <v>7985</v>
      </c>
      <c r="B7985" s="2" t="str">
        <f>IFERROR(__xludf.DUMMYFUNCTION("GOOGLETRANSLATE(A7985, ""en"", ""mt"")"),"kwistjonijiet")</f>
        <v>kwistjonijiet</v>
      </c>
    </row>
    <row r="7986" ht="15.75" customHeight="1">
      <c r="A7986" s="2" t="s">
        <v>7986</v>
      </c>
      <c r="B7986" s="2" t="str">
        <f>IFERROR(__xludf.DUMMYFUNCTION("GOOGLETRANSLATE(A7986, ""en"", ""mt"")"),"Tesla serviet bħala viċi president tal-Istitut Amerikan tal-Inġiniera Elettriċi, il-prekursur (flimkien mal-Istitut tal-Inġiniera tar-Radju) tal-IEEE tal-ġurnata moderna, mill-1892 sal-1894.")</f>
        <v>Tesla serviet bħala viċi president tal-Istitut Amerikan tal-Inġiniera Elettriċi, il-prekursur (flimkien mal-Istitut tal-Inġiniera tar-Radju) tal-IEEE tal-ġurnata moderna, mill-1892 sal-1894.</v>
      </c>
    </row>
    <row r="7987" ht="15.75" customHeight="1">
      <c r="A7987" s="2" t="s">
        <v>7987</v>
      </c>
      <c r="B7987" s="2" t="str">
        <f>IFERROR(__xludf.DUMMYFUNCTION("GOOGLETRANSLATE(A7987, ""en"", ""mt"")"),"Side tal-Punent")</f>
        <v>Side tal-Punent</v>
      </c>
    </row>
    <row r="7988" ht="15.75" customHeight="1">
      <c r="A7988" s="2" t="s">
        <v>7988</v>
      </c>
      <c r="B7988" s="2" t="str">
        <f>IFERROR(__xludf.DUMMYFUNCTION("GOOGLETRANSLATE(A7988, ""en"", ""mt"")"),"Kif inħolqu xi inugwaljanzi ekonomiċi moderni?")</f>
        <v>Kif inħolqu xi inugwaljanzi ekonomiċi moderni?</v>
      </c>
    </row>
    <row r="7989" ht="15.75" customHeight="1">
      <c r="A7989" s="2" t="s">
        <v>7989</v>
      </c>
      <c r="B7989" s="2" t="str">
        <f>IFERROR(__xludf.DUMMYFUNCTION("GOOGLETRANSLATE(A7989, ""en"", ""mt"")"),"l-elettroni mhux imqabbla tagħha")</f>
        <v>l-elettroni mhux imqabbla tagħha</v>
      </c>
    </row>
    <row r="7990" ht="15.75" customHeight="1">
      <c r="A7990" s="2" t="s">
        <v>7990</v>
      </c>
      <c r="B7990" s="2" t="str">
        <f>IFERROR(__xludf.DUMMYFUNCTION("GOOGLETRANSLATE(A7990, ""en"", ""mt"")"),"pajjiż")</f>
        <v>pajjiż</v>
      </c>
    </row>
    <row r="7991" ht="15.75" customHeight="1">
      <c r="A7991" s="2" t="s">
        <v>7991</v>
      </c>
      <c r="B7991" s="2" t="str">
        <f>IFERROR(__xludf.DUMMYFUNCTION("GOOGLETRANSLATE(A7991, ""en"", ""mt"")"),"Kull min għandu għarfien jew ħiliet")</f>
        <v>Kull min għandu għarfien jew ħiliet</v>
      </c>
    </row>
    <row r="7992" ht="15.75" customHeight="1">
      <c r="A7992" s="2" t="s">
        <v>7992</v>
      </c>
      <c r="B7992" s="2" t="str">
        <f>IFERROR(__xludf.DUMMYFUNCTION("GOOGLETRANSLATE(A7992, ""en"", ""mt"")"),"Minbarra l-argumentazzjoni li l-popolazzjoni tal-firien ma kinitx biżżejjed biex tagħti kont ta 'pandemija tal-pesta bubonika, ix-xettiċi tat-teorija tal-pesta bubonika jindikaw li s-sintomi tal-mewt sewda mhumiex uniċi (u bla dubju f'xi kontijiet jistgħu"&amp;" jvarjaw mill-pesta bubonika); Dik it-trasferiment permezz ta 'briegħed fil-merkanzija x'aktarx li tkun ta' sinifikat marġinali; u li r-riżultati tad-DNA jistgħu jkunu difetti u forsi ma ġewx ripetuti x'imkien ieħor, minkejja kampjuni estensivi minn oqbra"&amp;" tal-massa oħra. Argumenti oħra jinkludu n-nuqqas ta ’kontijiet tal-mewt tal-firien qabel it-tifqigħ tal-pesta bejn is-sekli 14 u 17; temperaturi li huma kesħin wisq fl-Ewropa tat-Tramuntana għas-sopravivenza tal-briegħed; Dan, minkejja sistemi ta 'traspo"&amp;"rt primittivi, it-tixrid tal-mewt l-Iswed kien ferm aktar mgħaġġel minn dak tal-pesta bubonika moderna; Dik ir-rati ta 'mortalità tal-mewt l-Iswed jidhru li huma għoljin ħafna; Dan, filwaqt li l-pesta bubonika moderna hija fil-biċċa l-kbira endemika bħala"&amp;" marda rurali, il-Mewt l-Iswed laqtitha b'mod indiskriminat żoni urbani u rurali; u li x-xejra tal-mewt sewda, bi tifqigħat kbar fl-istess żoni separati minn 5 sa 15-il sena, hija differenti mill-pesta bubonika moderna - li ħafna drabi ssir endemika għal "&amp;"għexieren ta 'snin bi flare-ups annwali.")</f>
        <v>Minbarra l-argumentazzjoni li l-popolazzjoni tal-firien ma kinitx biżżejjed biex tagħti kont ta 'pandemija tal-pesta bubonika, ix-xettiċi tat-teorija tal-pesta bubonika jindikaw li s-sintomi tal-mewt sewda mhumiex uniċi (u bla dubju f'xi kontijiet jistgħu jvarjaw mill-pesta bubonika); Dik it-trasferiment permezz ta 'briegħed fil-merkanzija x'aktarx li tkun ta' sinifikat marġinali; u li r-riżultati tad-DNA jistgħu jkunu difetti u forsi ma ġewx ripetuti x'imkien ieħor, minkejja kampjuni estensivi minn oqbra tal-massa oħra. Argumenti oħra jinkludu n-nuqqas ta ’kontijiet tal-mewt tal-firien qabel it-tifqigħ tal-pesta bejn is-sekli 14 u 17; temperaturi li huma kesħin wisq fl-Ewropa tat-Tramuntana għas-sopravivenza tal-briegħed; Dan, minkejja sistemi ta 'trasport primittivi, it-tixrid tal-mewt l-Iswed kien ferm aktar mgħaġġel minn dak tal-pesta bubonika moderna; Dik ir-rati ta 'mortalità tal-mewt l-Iswed jidhru li huma għoljin ħafna; Dan, filwaqt li l-pesta bubonika moderna hija fil-biċċa l-kbira endemika bħala marda rurali, il-Mewt l-Iswed laqtitha b'mod indiskriminat żoni urbani u rurali; u li x-xejra tal-mewt sewda, bi tifqigħat kbar fl-istess żoni separati minn 5 sa 15-il sena, hija differenti mill-pesta bubonika moderna - li ħafna drabi ssir endemika għal għexieren ta 'snin bi flare-ups annwali.</v>
      </c>
    </row>
    <row r="7993" ht="15.75" customHeight="1">
      <c r="A7993" s="2" t="s">
        <v>7993</v>
      </c>
      <c r="B7993" s="2" t="str">
        <f>IFERROR(__xludf.DUMMYFUNCTION("GOOGLETRANSLATE(A7993, ""en"", ""mt"")"),"Żvilupp skoraġġut ta 'enerġiji alternattivi")</f>
        <v>Żvilupp skoraġġut ta 'enerġiji alternattivi</v>
      </c>
    </row>
    <row r="7994" ht="15.75" customHeight="1">
      <c r="A7994" s="2" t="s">
        <v>7994</v>
      </c>
      <c r="B7994" s="2" t="str">
        <f>IFERROR(__xludf.DUMMYFUNCTION("GOOGLETRANSLATE(A7994, ""en"", ""mt"")"),"Faċilitajiet elettriċi, ilma, drenaġġ, telefon u kejbil")</f>
        <v>Faċilitajiet elettriċi, ilma, drenaġġ, telefon u kejbil</v>
      </c>
    </row>
    <row r="7995" ht="15.75" customHeight="1">
      <c r="A7995" s="2" t="s">
        <v>7995</v>
      </c>
      <c r="B7995" s="2" t="str">
        <f>IFERROR(__xludf.DUMMYFUNCTION("GOOGLETRANSLATE(A7995, ""en"", ""mt"")"),"biedja")</f>
        <v>biedja</v>
      </c>
    </row>
    <row r="7996" ht="15.75" customHeight="1">
      <c r="A7996" s="2" t="s">
        <v>7996</v>
      </c>
      <c r="B7996" s="2" t="str">
        <f>IFERROR(__xludf.DUMMYFUNCTION("GOOGLETRANSLATE(A7996, ""en"", ""mt"")"),"Ġappun")</f>
        <v>Ġappun</v>
      </c>
    </row>
    <row r="7997" ht="15.75" customHeight="1">
      <c r="A7997" s="2" t="s">
        <v>7997</v>
      </c>
      <c r="B7997" s="2" t="str">
        <f>IFERROR(__xludf.DUMMYFUNCTION("GOOGLETRANSLATE(A7997, ""en"", ""mt"")"),"Għal liema jum inbidel Super Bowl 50 Media Day?")</f>
        <v>Għal liema jum inbidel Super Bowl 50 Media Day?</v>
      </c>
    </row>
    <row r="7998" ht="15.75" customHeight="1">
      <c r="A7998" s="2" t="s">
        <v>7998</v>
      </c>
      <c r="B7998" s="2" t="str">
        <f>IFERROR(__xludf.DUMMYFUNCTION("GOOGLETRANSLATE(A7998, ""en"", ""mt"")"),"L-eks kwartieri ġenerali tiegħu kienet il-WSE li tinsab fl-2000?")</f>
        <v>L-eks kwartieri ġenerali tiegħu kienet il-WSE li tinsab fl-2000?</v>
      </c>
    </row>
    <row r="7999" ht="15.75" customHeight="1">
      <c r="A7999" s="2" t="s">
        <v>7999</v>
      </c>
      <c r="B7999" s="2" t="str">
        <f>IFERROR(__xludf.DUMMYFUNCTION("GOOGLETRANSLATE(A7999, ""en"", ""mt"")"),"Ġnien tal-Palazz Krasiński")</f>
        <v>Ġnien tal-Palazz Krasiński</v>
      </c>
    </row>
    <row r="8000" ht="15.75" customHeight="1">
      <c r="A8000" s="2" t="s">
        <v>8000</v>
      </c>
      <c r="B8000" s="2" t="str">
        <f>IFERROR(__xludf.DUMMYFUNCTION("GOOGLETRANSLATE(A8000, ""en"", ""mt"")"),"Għal xiex inhu magħruf il-pajjiż?")</f>
        <v>Għal xiex inhu magħruf il-pajjiż?</v>
      </c>
    </row>
    <row r="8001" ht="15.75" customHeight="1">
      <c r="A8001" s="2" t="s">
        <v>8001</v>
      </c>
      <c r="B8001" s="2" t="str">
        <f>IFERROR(__xludf.DUMMYFUNCTION("GOOGLETRANSLATE(A8001, ""en"", ""mt"")"),"X'tip ta 'foresta hija l-foresta tropikali tal-Amażonja?")</f>
        <v>X'tip ta 'foresta hija l-foresta tropikali tal-Amażonja?</v>
      </c>
    </row>
    <row r="8002" ht="15.75" customHeight="1">
      <c r="A8002" s="2" t="s">
        <v>8002</v>
      </c>
      <c r="B8002" s="2" t="str">
        <f>IFERROR(__xludf.DUMMYFUNCTION("GOOGLETRANSLATE(A8002, ""en"", ""mt"")"),"Il-klijent tal-perit u l-kuntrattur ewlieni")</f>
        <v>Il-klijent tal-perit u l-kuntrattur ewlieni</v>
      </c>
    </row>
    <row r="8003" ht="15.75" customHeight="1">
      <c r="A8003" s="2" t="s">
        <v>8003</v>
      </c>
      <c r="B8003" s="2" t="str">
        <f>IFERROR(__xludf.DUMMYFUNCTION("GOOGLETRANSLATE(A8003, ""en"", ""mt"")"),"nofs")</f>
        <v>nofs</v>
      </c>
    </row>
    <row r="8004" ht="15.75" customHeight="1">
      <c r="A8004" s="2" t="s">
        <v>8004</v>
      </c>
      <c r="B8004" s="2" t="str">
        <f>IFERROR(__xludf.DUMMYFUNCTION("GOOGLETRANSLATE(A8004, ""en"", ""mt"")"),"Kumitati tal-Abbozzi Privati")</f>
        <v>Kumitati tal-Abbozzi Privati</v>
      </c>
    </row>
    <row r="8005" ht="15.75" customHeight="1">
      <c r="A8005" s="2" t="s">
        <v>8005</v>
      </c>
      <c r="B8005" s="2" t="str">
        <f>IFERROR(__xludf.DUMMYFUNCTION("GOOGLETRANSLATE(A8005, ""en"", ""mt"")"),"Korati tal-kor")</f>
        <v>Korati tal-kor</v>
      </c>
    </row>
    <row r="8006" ht="15.75" customHeight="1">
      <c r="A8006" s="2" t="s">
        <v>8006</v>
      </c>
      <c r="B8006" s="2" t="str">
        <f>IFERROR(__xludf.DUMMYFUNCTION("GOOGLETRANSLATE(A8006, ""en"", ""mt"")"),"gravitazzjonali")</f>
        <v>gravitazzjonali</v>
      </c>
    </row>
    <row r="8007" ht="15.75" customHeight="1">
      <c r="A8007" s="2" t="s">
        <v>8007</v>
      </c>
      <c r="B8007" s="2" t="str">
        <f>IFERROR(__xludf.DUMMYFUNCTION("GOOGLETRANSLATE(A8007, ""en"", ""mt"")"),"X'se jkunu jistgħu jbassru x-xebbiet billi jżommu l-kuruni tagħhom 'l isfel mill-vistula?")</f>
        <v>X'se jkunu jistgħu jbassru x-xebbiet billi jżommu l-kuruni tagħhom 'l isfel mill-vistula?</v>
      </c>
    </row>
    <row r="8008" ht="15.75" customHeight="1">
      <c r="A8008" s="2" t="s">
        <v>8008</v>
      </c>
      <c r="B8008" s="2" t="str">
        <f>IFERROR(__xludf.DUMMYFUNCTION("GOOGLETRANSLATE(A8008, ""en"", ""mt"")"),"Ikla fl-Unur Tiegħu")</f>
        <v>Ikla fl-Unur Tiegħu</v>
      </c>
    </row>
    <row r="8009" ht="15.75" customHeight="1">
      <c r="A8009" s="2" t="s">
        <v>8009</v>
      </c>
      <c r="B8009" s="2" t="str">
        <f>IFERROR(__xludf.DUMMYFUNCTION("GOOGLETRANSLATE(A8009, ""en"", ""mt"")"),"Qabel liema kampanja militari Chagatai kienet pubblikament tilwima l-paternità ta 'Jochi?")</f>
        <v>Qabel liema kampanja militari Chagatai kienet pubblikament tilwima l-paternità ta 'Jochi?</v>
      </c>
    </row>
    <row r="8010" ht="15.75" customHeight="1">
      <c r="A8010" s="2" t="s">
        <v>8010</v>
      </c>
      <c r="B8010" s="2" t="str">
        <f>IFERROR(__xludf.DUMMYFUNCTION("GOOGLETRANSLATE(A8010, ""en"", ""mt"")"),"Seclude lilu nnifsu bix-xogħol tiegħu")</f>
        <v>Seclude lilu nnifsu bix-xogħol tiegħu</v>
      </c>
    </row>
    <row r="8011" ht="15.75" customHeight="1">
      <c r="A8011" s="2" t="s">
        <v>8011</v>
      </c>
      <c r="B8011" s="2" t="str">
        <f>IFERROR(__xludf.DUMMYFUNCTION("GOOGLETRANSLATE(A8011, ""en"", ""mt"")"),"Fil-Mongolja llum, l-isem u x-xebh ta 'Genghis Khan huma approvati fuq prodotti, toroq, bini, u postijiet oħra. Wiċċu jista 'jinstab fuq prodotti ta' kuljum, minn fliexken tal-likur għal prodotti tal-ħelu, u fuq l-akbar denominazzjonijiet ta '500, 1,000, "&amp;"5,000, 10,000, u 20,000 Tögrög Mongoljan (₮). L-ajruport internazzjonali ewlieni tal-Mongolja f'Ulaanbaatar huwa msemmi l-Ajruport Internazzjonali ta 'Chinggis Khaan. L-istatwi ewlenin ta 'Genghis Khan inbnew quddiem il-Parlament u qrib Ulaanbaatar. Kien "&amp;"hemm diskussjonijiet ripetuti dwar ir-regolazzjoni tal-użu ta 'ismu u l-immaġni biex tevita trivjalizzazzjoni.")</f>
        <v>Fil-Mongolja llum, l-isem u x-xebh ta 'Genghis Khan huma approvati fuq prodotti, toroq, bini, u postijiet oħra. Wiċċu jista 'jinstab fuq prodotti ta' kuljum, minn fliexken tal-likur għal prodotti tal-ħelu, u fuq l-akbar denominazzjonijiet ta '500, 1,000, 5,000, 10,000, u 20,000 Tögrög Mongoljan (₮). L-ajruport internazzjonali ewlieni tal-Mongolja f'Ulaanbaatar huwa msemmi l-Ajruport Internazzjonali ta 'Chinggis Khaan. L-istatwi ewlenin ta 'Genghis Khan inbnew quddiem il-Parlament u qrib Ulaanbaatar. Kien hemm diskussjonijiet ripetuti dwar ir-regolazzjoni tal-użu ta 'ismu u l-immaġni biex tevita trivjalizzazzjoni.</v>
      </c>
    </row>
    <row r="8012" ht="15.75" customHeight="1">
      <c r="A8012" s="2" t="s">
        <v>8012</v>
      </c>
      <c r="B8012" s="2" t="str">
        <f>IFERROR(__xludf.DUMMYFUNCTION("GOOGLETRANSLATE(A8012, ""en"", ""mt"")"),"Nestorianism u Kattoliċiżmu Ruman")</f>
        <v>Nestorianism u Kattoliċiżmu Ruman</v>
      </c>
    </row>
    <row r="8013" ht="15.75" customHeight="1">
      <c r="A8013" s="2" t="s">
        <v>8013</v>
      </c>
      <c r="B8013" s="2" t="str">
        <f>IFERROR(__xludf.DUMMYFUNCTION("GOOGLETRANSLATE(A8013, ""en"", ""mt"")"),"Jochi miet fl-1226, matul ħajtu missieru. Xi studjużi, l-aktar Ratchnevsky, ikkummentaw dwar il-possibbiltà li Jochi kien segretament avvelenat minn ordni minn Genghis Khan. Rashid al-Din jirrapporta li l-Khan il-kbir bagħat għal uliedu fir-rebbiegħa tal-"&amp;"1223, u waqt li ħutu taw l-ordni, Jochi baqa 'f'Khorasan. Jusqjani jissuġġerixxi li n-nuqqas ta ’qbil inħoloq minn tilwima bejn Jochi u ħutu fl-assedju ta’ Urgench. Jochi kien ipprova jipproteġi lil Urgench mill-qerda, peress li kien jappartjeni għal terr"&amp;"itorju allokat lilu bħala fief. Huwa jikkonkludi l-istorja tiegħu bl-istqarrija apocryphal b'mod ċar minn Jochi: ""Genghis Khan huwa ġenn li massakra tant nies u waqqaf tant artijiet. Inkun qed nagħmel servizz jekk inqatel lil missieri meta jkun qed jikka"&amp;"ċċja, għamilt alleanza ma ' Is-Sultan Muhammad, ġab din l-art għall-ħajja u ta għajnuna u appoġġ lill-Musulmani. "" Jusqjani jiddikjara li kien bi tweġiba għas-smigħ ta 'dawn il-pjanijiet li Genghis Khan ordna lil ibnu segretament avvelenat; Madankollu, h"&amp;"ekk kif is-Sultan Muhammad kien diġà mejjet fl-1223, l-eżattezza ta 'din l-istorja hija dubjuża.")</f>
        <v>Jochi miet fl-1226, matul ħajtu missieru. Xi studjużi, l-aktar Ratchnevsky, ikkummentaw dwar il-possibbiltà li Jochi kien segretament avvelenat minn ordni minn Genghis Khan. Rashid al-Din jirrapporta li l-Khan il-kbir bagħat għal uliedu fir-rebbiegħa tal-1223, u waqt li ħutu taw l-ordni, Jochi baqa 'f'Khorasan. Jusqjani jissuġġerixxi li n-nuqqas ta ’qbil inħoloq minn tilwima bejn Jochi u ħutu fl-assedju ta’ Urgench. Jochi kien ipprova jipproteġi lil Urgench mill-qerda, peress li kien jappartjeni għal territorju allokat lilu bħala fief. Huwa jikkonkludi l-istorja tiegħu bl-istqarrija apocryphal b'mod ċar minn Jochi: "Genghis Khan huwa ġenn li massakra tant nies u waqqaf tant artijiet. Inkun qed nagħmel servizz jekk inqatel lil missieri meta jkun qed jikkaċċja, għamilt alleanza ma ' Is-Sultan Muhammad, ġab din l-art għall-ħajja u ta għajnuna u appoġġ lill-Musulmani. " Jusqjani jiddikjara li kien bi tweġiba għas-smigħ ta 'dawn il-pjanijiet li Genghis Khan ordna lil ibnu segretament avvelenat; Madankollu, hekk kif is-Sultan Muhammad kien diġà mejjet fl-1223, l-eżattezza ta 'din l-istorja hija dubjuża.</v>
      </c>
    </row>
    <row r="8014" ht="15.75" customHeight="1">
      <c r="A8014" s="2" t="s">
        <v>8014</v>
      </c>
      <c r="B8014" s="2" t="str">
        <f>IFERROR(__xludf.DUMMYFUNCTION("GOOGLETRANSLATE(A8014, ""en"", ""mt"")"),"X'kien l-isem għall-kampanja tal-immaġini li beda l-ABC fl-2007?")</f>
        <v>X'kien l-isem għall-kampanja tal-immaġini li beda l-ABC fl-2007?</v>
      </c>
    </row>
    <row r="8015" ht="15.75" customHeight="1">
      <c r="A8015" s="2" t="s">
        <v>8015</v>
      </c>
      <c r="B8015" s="2" t="str">
        <f>IFERROR(__xludf.DUMMYFUNCTION("GOOGLETRANSLATE(A8015, ""en"", ""mt"")"),"Il-magni tal-fwar ibbażati fuq l-art jistgħu jeżawrixxu ħafna mill-fwar tagħhom, peress li l-ilma tal-għalf ġeneralment kien disponibbli faċilment. Qabel u matul l-Ewwel Gwerra Dinjija, il-magna ta 'espansjoni ddominat applikazzjonijiet tal-baħar fejn il-"&amp;"veloċità għolja tal-bastiment ma kinitx essenzjali. Madankollu ġie sostitwit mit-turbina tal-fwar tal-invenzjoni Ingliża fejn kienet meħtieġa l-veloċità, pereżempju f'bastimenti tal-gwerra, bħalma huma l-vapuri tal-vapuri Dreadnought, u l-inforor tal-oċea"&amp;"ni. HMS Dreadnought tal-1905 kien l-ewwel bastiment tal-gwerra maġġuri li ħa post it-teknoloġija ppruvata tal-magna reċiprokanti bit-turbina tal-fwar ta 'dak iż-żmien. [Ċitazzjoni meħtieġa]")</f>
        <v>Il-magni tal-fwar ibbażati fuq l-art jistgħu jeżawrixxu ħafna mill-fwar tagħhom, peress li l-ilma tal-għalf ġeneralment kien disponibbli faċilment. Qabel u matul l-Ewwel Gwerra Dinjija, il-magna ta 'espansjoni ddominat applikazzjonijiet tal-baħar fejn il-veloċità għolja tal-bastiment ma kinitx essenzjali. Madankollu ġie sostitwit mit-turbina tal-fwar tal-invenzjoni Ingliża fejn kienet meħtieġa l-veloċità, pereżempju f'bastimenti tal-gwerra, bħalma huma l-vapuri tal-vapuri Dreadnought, u l-inforor tal-oċeani. HMS Dreadnought tal-1905 kien l-ewwel bastiment tal-gwerra maġġuri li ħa post it-teknoloġija ppruvata tal-magna reċiprokanti bit-turbina tal-fwar ta 'dak iż-żmien. [Ċitazzjoni meħtieġa]</v>
      </c>
    </row>
    <row r="8016" ht="15.75" customHeight="1">
      <c r="A8016" s="2" t="s">
        <v>8016</v>
      </c>
      <c r="B8016" s="2" t="str">
        <f>IFERROR(__xludf.DUMMYFUNCTION("GOOGLETRANSLATE(A8016, ""en"", ""mt"")"),"art vojta")</f>
        <v>art vojta</v>
      </c>
    </row>
    <row r="8017" ht="15.75" customHeight="1">
      <c r="A8017" s="2" t="s">
        <v>8017</v>
      </c>
      <c r="B8017" s="2" t="str">
        <f>IFERROR(__xludf.DUMMYFUNCTION("GOOGLETRANSLATE(A8017, ""en"", ""mt"")"),"Għalliema ta ’qabel l-iskola")</f>
        <v>Għalliema ta ’qabel l-iskola</v>
      </c>
    </row>
    <row r="8018" ht="15.75" customHeight="1">
      <c r="A8018" s="2" t="s">
        <v>8018</v>
      </c>
      <c r="B8018" s="2" t="str">
        <f>IFERROR(__xludf.DUMMYFUNCTION("GOOGLETRANSLATE(A8018, ""en"", ""mt"")"),"Huwa esplora")</f>
        <v>Huwa esplora</v>
      </c>
    </row>
    <row r="8019" ht="15.75" customHeight="1">
      <c r="A8019" s="2" t="s">
        <v>8019</v>
      </c>
      <c r="B8019" s="2" t="str">
        <f>IFERROR(__xludf.DUMMYFUNCTION("GOOGLETRANSLATE(A8019, ""en"", ""mt"")"),"Għal liema tip ta 'pagi jwasslu l-mekkanizzazzjoni u l-awtomazzjoni?")</f>
        <v>Għal liema tip ta 'pagi jwasslu l-mekkanizzazzjoni u l-awtomazzjoni?</v>
      </c>
    </row>
    <row r="8020" ht="15.75" customHeight="1">
      <c r="A8020" s="2" t="s">
        <v>8020</v>
      </c>
      <c r="B8020" s="2" t="str">
        <f>IFERROR(__xludf.DUMMYFUNCTION("GOOGLETRANSLATE(A8020, ""en"", ""mt"")"),"mhux restawrat mill-awtoritajiet komunisti wara l-gwerra")</f>
        <v>mhux restawrat mill-awtoritajiet komunisti wara l-gwerra</v>
      </c>
    </row>
    <row r="8021" ht="15.75" customHeight="1">
      <c r="A8021" s="2" t="s">
        <v>8021</v>
      </c>
      <c r="B8021" s="2" t="str">
        <f>IFERROR(__xludf.DUMMYFUNCTION("GOOGLETRANSLATE(A8021, ""en"", ""mt"")"),"22,000 sena ilu")</f>
        <v>22,000 sena ilu</v>
      </c>
    </row>
    <row r="8022" ht="15.75" customHeight="1">
      <c r="A8022" s="2" t="s">
        <v>8022</v>
      </c>
      <c r="B8022" s="2" t="str">
        <f>IFERROR(__xludf.DUMMYFUNCTION("GOOGLETRANSLATE(A8022, ""en"", ""mt"")"),"Xi jaħseb Paul Krugmen kellu effett osservabbli fuq l-inugwaljanza fl-Istati Uniti?")</f>
        <v>Xi jaħseb Paul Krugmen kellu effett osservabbli fuq l-inugwaljanza fl-Istati Uniti?</v>
      </c>
    </row>
    <row r="8023" ht="15.75" customHeight="1">
      <c r="A8023" s="2" t="s">
        <v>8023</v>
      </c>
      <c r="B8023" s="2" t="str">
        <f>IFERROR(__xludf.DUMMYFUNCTION("GOOGLETRANSLATE(A8023, ""en"", ""mt"")"),"Żona tal-belt Grainger")</f>
        <v>Żona tal-belt Grainger</v>
      </c>
    </row>
    <row r="8024" ht="15.75" customHeight="1">
      <c r="A8024" s="2" t="s">
        <v>8024</v>
      </c>
      <c r="B8024" s="2" t="str">
        <f>IFERROR(__xludf.DUMMYFUNCTION("GOOGLETRANSLATE(A8024, ""en"", ""mt"")"),"X'kien l-isem tal-leġiżlazzjoni mgħoddija fl-1850?")</f>
        <v>X'kien l-isem tal-leġiżlazzjoni mgħoddija fl-1850?</v>
      </c>
    </row>
    <row r="8025" ht="15.75" customHeight="1">
      <c r="A8025" s="2" t="s">
        <v>8025</v>
      </c>
      <c r="B8025" s="2" t="str">
        <f>IFERROR(__xludf.DUMMYFUNCTION("GOOGLETRANSLATE(A8025, ""en"", ""mt"")"),"X'inhi t-tkissir tas-snin f'livell differenti ta 'edukazzjoni?")</f>
        <v>X'inhi t-tkissir tas-snin f'livell differenti ta 'edukazzjoni?</v>
      </c>
    </row>
    <row r="8026" ht="15.75" customHeight="1">
      <c r="A8026" s="2" t="s">
        <v>8026</v>
      </c>
      <c r="B8026" s="2" t="str">
        <f>IFERROR(__xludf.DUMMYFUNCTION("GOOGLETRANSLATE(A8026, ""en"", ""mt"")"),"Min kien Konti ta 'Melfi")</f>
        <v>Min kien Konti ta 'Melfi</v>
      </c>
    </row>
    <row r="8027" ht="15.75" customHeight="1">
      <c r="A8027" s="2" t="s">
        <v>8027</v>
      </c>
      <c r="B8027" s="2" t="str">
        <f>IFERROR(__xludf.DUMMYFUNCTION("GOOGLETRANSLATE(A8027, ""en"", ""mt"")"),"X'tip ta 'mediċina uża l-Mongolja Shamans?")</f>
        <v>X'tip ta 'mediċina uża l-Mongolja Shamans?</v>
      </c>
    </row>
    <row r="8028" ht="15.75" customHeight="1">
      <c r="A8028" s="2" t="s">
        <v>8028</v>
      </c>
      <c r="B8028" s="2" t="str">
        <f>IFERROR(__xludf.DUMMYFUNCTION("GOOGLETRANSLATE(A8028, ""en"", ""mt"")"),"X'kienu l-karatteristiċi ta 'Apple Talk")</f>
        <v>X'kienu l-karatteristiċi ta 'Apple Talk</v>
      </c>
    </row>
    <row r="8029" ht="15.75" customHeight="1">
      <c r="A8029" s="2" t="s">
        <v>8029</v>
      </c>
      <c r="B8029" s="2" t="str">
        <f>IFERROR(__xludf.DUMMYFUNCTION("GOOGLETRANSLATE(A8029, ""en"", ""mt"")"),"Telf tal-bijodiversità")</f>
        <v>Telf tal-bijodiversità</v>
      </c>
    </row>
    <row r="8030" ht="15.75" customHeight="1">
      <c r="A8030" s="2" t="s">
        <v>8030</v>
      </c>
      <c r="B8030" s="2" t="str">
        <f>IFERROR(__xludf.DUMMYFUNCTION("GOOGLETRANSLATE(A8030, ""en"", ""mt"")"),"X'Jirridu jirriflettu s-sħubija fil-kumitati?")</f>
        <v>X'Jirridu jirriflettu s-sħubija fil-kumitati?</v>
      </c>
    </row>
    <row r="8031" ht="15.75" customHeight="1">
      <c r="A8031" s="2" t="s">
        <v>8031</v>
      </c>
      <c r="B8031" s="2" t="str">
        <f>IFERROR(__xludf.DUMMYFUNCTION("GOOGLETRANSLATE(A8031, ""en"", ""mt"")"),"X'inhi mġieba kriminali waħda li hija diffiċli biex tieqaf mill-awtoritajiet?")</f>
        <v>X'inhi mġieba kriminali waħda li hija diffiċli biex tieqaf mill-awtoritajiet?</v>
      </c>
    </row>
    <row r="8032" ht="15.75" customHeight="1">
      <c r="A8032" s="2" t="s">
        <v>8032</v>
      </c>
      <c r="B8032" s="2" t="str">
        <f>IFERROR(__xludf.DUMMYFUNCTION("GOOGLETRANSLATE(A8032, ""en"", ""mt"")"),"Iż-żona trasversali rilevanti għall-volum li għalih qed jiġi kkalkulat it-tensjoni tal-istress")</f>
        <v>Iż-żona trasversali rilevanti għall-volum li għalih qed jiġi kkalkulat it-tensjoni tal-istress</v>
      </c>
    </row>
    <row r="8033" ht="15.75" customHeight="1">
      <c r="A8033" s="2" t="s">
        <v>8033</v>
      </c>
      <c r="B8033" s="2" t="str">
        <f>IFERROR(__xludf.DUMMYFUNCTION("GOOGLETRANSLATE(A8033, ""en"", ""mt"")"),"Kong Duancao")</f>
        <v>Kong Duancao</v>
      </c>
    </row>
    <row r="8034" ht="15.75" customHeight="1">
      <c r="A8034" s="2" t="s">
        <v>8034</v>
      </c>
      <c r="B8034" s="2" t="str">
        <f>IFERROR(__xludf.DUMMYFUNCTION("GOOGLETRANSLATE(A8034, ""en"", ""mt"")"),"X'inhu eżempju ta 'komponent tal-pompa?")</f>
        <v>X'inhu eżempju ta 'komponent tal-pompa?</v>
      </c>
    </row>
    <row r="8035" ht="15.75" customHeight="1">
      <c r="A8035" s="2" t="s">
        <v>8035</v>
      </c>
      <c r="B8035" s="2" t="str">
        <f>IFERROR(__xludf.DUMMYFUNCTION("GOOGLETRANSLATE(A8035, ""en"", ""mt"")"),"Ko-president tal-Grupp ta 'Ħidma II IPCC")</f>
        <v>Ko-president tal-Grupp ta 'Ħidma II IPCC</v>
      </c>
    </row>
    <row r="8036" ht="15.75" customHeight="1">
      <c r="A8036" s="2" t="s">
        <v>8036</v>
      </c>
      <c r="B8036" s="2" t="str">
        <f>IFERROR(__xludf.DUMMYFUNCTION("GOOGLETRANSLATE(A8036, ""en"", ""mt"")"),"X'inhuma l-kromoplasti?")</f>
        <v>X'inhuma l-kromoplasti?</v>
      </c>
    </row>
    <row r="8037" ht="15.75" customHeight="1">
      <c r="A8037" s="2" t="s">
        <v>8037</v>
      </c>
      <c r="B8037" s="2" t="str">
        <f>IFERROR(__xludf.DUMMYFUNCTION("GOOGLETRANSLATE(A8037, ""en"", ""mt"")"),"X’għamlu lilu l-investituri ta ’Tesla?")</f>
        <v>X’għamlu lilu l-investituri ta ’Tesla?</v>
      </c>
    </row>
    <row r="8038" ht="15.75" customHeight="1">
      <c r="A8038" s="2" t="s">
        <v>8038</v>
      </c>
      <c r="B8038" s="2" t="str">
        <f>IFERROR(__xludf.DUMMYFUNCTION("GOOGLETRANSLATE(A8038, ""en"", ""mt"")"),"Min huma wħud mill-aqwa sewwieqa tar-rally li rebħu r-rally?")</f>
        <v>Min huma wħud mill-aqwa sewwieqa tar-rally li rebħu r-rally?</v>
      </c>
    </row>
    <row r="8039" ht="15.75" customHeight="1">
      <c r="A8039" s="2" t="s">
        <v>8039</v>
      </c>
      <c r="B8039" s="2" t="str">
        <f>IFERROR(__xludf.DUMMYFUNCTION("GOOGLETRANSLATE(A8039, ""en"", ""mt"")"),"Kontra dak li jilgħab l-ossiġnu reattiv fid-difiża tal-pjanti?")</f>
        <v>Kontra dak li jilgħab l-ossiġnu reattiv fid-difiża tal-pjanti?</v>
      </c>
    </row>
    <row r="8040" ht="15.75" customHeight="1">
      <c r="A8040" s="2" t="s">
        <v>8040</v>
      </c>
      <c r="B8040" s="2" t="str">
        <f>IFERROR(__xludf.DUMMYFUNCTION("GOOGLETRANSLATE(A8040, ""en"", ""mt"")"),"Morgan kif irreaġixxa għat-talba?")</f>
        <v>Morgan kif irreaġixxa għat-talba?</v>
      </c>
    </row>
    <row r="8041" ht="15.75" customHeight="1">
      <c r="A8041" s="2" t="s">
        <v>8041</v>
      </c>
      <c r="B8041" s="2" t="str">
        <f>IFERROR(__xludf.DUMMYFUNCTION("GOOGLETRANSLATE(A8041, ""en"", ""mt"")"),"Fuq liema huma r-rati miżjuda ta 'impjieg indipendenti?")</f>
        <v>Fuq liema huma r-rati miżjuda ta 'impjieg indipendenti?</v>
      </c>
    </row>
    <row r="8042" ht="15.75" customHeight="1">
      <c r="A8042" s="2" t="s">
        <v>8042</v>
      </c>
      <c r="B8042" s="2" t="str">
        <f>IFERROR(__xludf.DUMMYFUNCTION("GOOGLETRANSLATE(A8042, ""en"", ""mt"")"),"Kif in-nies tal-bniedem jinġabru tul il-banek tal-vistula għall-festival ta 'Wianki?")</f>
        <v>Kif in-nies tal-bniedem jinġabru tul il-banek tal-vistula għall-festival ta 'Wianki?</v>
      </c>
    </row>
    <row r="8043" ht="15.75" customHeight="1">
      <c r="A8043" s="2" t="s">
        <v>8043</v>
      </c>
      <c r="B8043" s="2" t="str">
        <f>IFERROR(__xludf.DUMMYFUNCTION("GOOGLETRANSLATE(A8043, ""en"", ""mt"")"),"Raġunijiet bibliċi,")</f>
        <v>Raġunijiet bibliċi,</v>
      </c>
    </row>
    <row r="8044" ht="15.75" customHeight="1">
      <c r="A8044" s="2" t="s">
        <v>8044</v>
      </c>
      <c r="B8044" s="2" t="str">
        <f>IFERROR(__xludf.DUMMYFUNCTION("GOOGLETRANSLATE(A8044, ""en"", ""mt"")"),"Madwar 11.5 pulzier")</f>
        <v>Madwar 11.5 pulzier</v>
      </c>
    </row>
    <row r="8045" ht="15.75" customHeight="1">
      <c r="A8045" s="2" t="s">
        <v>8045</v>
      </c>
      <c r="B8045" s="2" t="str">
        <f>IFERROR(__xludf.DUMMYFUNCTION("GOOGLETRANSLATE(A8045, ""en"", ""mt"")"),"X'tip ta 'inkurunazzjoni ġara?")</f>
        <v>X'tip ta 'inkurunazzjoni ġara?</v>
      </c>
    </row>
    <row r="8046" ht="15.75" customHeight="1">
      <c r="A8046" s="2" t="s">
        <v>8046</v>
      </c>
      <c r="B8046" s="2" t="str">
        <f>IFERROR(__xludf.DUMMYFUNCTION("GOOGLETRANSLATE(A8046, ""en"", ""mt"")"),"US $ 10 fil-Ġimgħa")</f>
        <v>US $ 10 fil-Ġimgħa</v>
      </c>
    </row>
    <row r="8047" ht="15.75" customHeight="1">
      <c r="A8047" s="2" t="s">
        <v>8047</v>
      </c>
      <c r="B8047" s="2" t="str">
        <f>IFERROR(__xludf.DUMMYFUNCTION("GOOGLETRANSLATE(A8047, ""en"", ""mt"")"),"persuna jew grupp ta 'nies")</f>
        <v>persuna jew grupp ta 'nies</v>
      </c>
    </row>
    <row r="8048" ht="15.75" customHeight="1">
      <c r="A8048" s="2" t="s">
        <v>8048</v>
      </c>
      <c r="B8048" s="2" t="str">
        <f>IFERROR(__xludf.DUMMYFUNCTION("GOOGLETRANSLATE(A8048, ""en"", ""mt"")"),"Liema korp ta 'tmexxija jaħtar kummissarji u l-Bord tal-Bank Ċentrali Ewropew?")</f>
        <v>Liema korp ta 'tmexxija jaħtar kummissarji u l-Bord tal-Bank Ċentrali Ewropew?</v>
      </c>
    </row>
    <row r="8049" ht="15.75" customHeight="1">
      <c r="A8049" s="2" t="s">
        <v>8049</v>
      </c>
      <c r="B8049" s="2" t="str">
        <f>IFERROR(__xludf.DUMMYFUNCTION("GOOGLETRANSLATE(A8049, ""en"", ""mt"")"),"effett tal-plaċebo")</f>
        <v>effett tal-plaċebo</v>
      </c>
    </row>
    <row r="8050" ht="15.75" customHeight="1">
      <c r="A8050" s="2" t="s">
        <v>8050</v>
      </c>
      <c r="B8050" s="2" t="str">
        <f>IFERROR(__xludf.DUMMYFUNCTION("GOOGLETRANSLATE(A8050, ""en"", ""mt"")"),"Min skjera l-armata tiegħu fl-Afganistan fl-1979?")</f>
        <v>Min skjera l-armata tiegħu fl-Afganistan fl-1979?</v>
      </c>
    </row>
    <row r="8051" ht="15.75" customHeight="1">
      <c r="A8051" s="2" t="s">
        <v>8051</v>
      </c>
      <c r="B8051" s="2" t="str">
        <f>IFERROR(__xludf.DUMMYFUNCTION("GOOGLETRANSLATE(A8051, ""en"", ""mt"")"),"Il-Kulleġġ ta 'l-Università ta' Chicago jagħti Baċellerat fl-Arti u Baċellerat ta 'Gradi tax-Xjenza f'50 maġġuri akkademiċi u 28 minorenni. L-akkademiċi tal-kulleġġ huma maqsuma f'ħames diviżjonijiet: id-Diviżjoni tal-Kolleġġjata tax-Xjenzi Bijoloġiċi, id"&amp;"-Diviżjoni Kolleġġjata tax-Xjenzi Fiżiċi, id-Diviżjoni Kolleġġjata tax-Xjenzi Soċjali, id-Diviżjoni Kolleġġjata tal-Umanistika, u d-Diviżjoni Kolleġġjata l-Ġdida. L-ewwel erbgħa huma sezzjonijiet fi ħdan id-diviżjonijiet tal-gradwati korrispondenti tagħho"&amp;"m, filwaqt li d-diviżjoni kolleġjali l-ġdida tamministra maġġuri interdixxiplinarji u studji li ma jidħlux f'waħda mill-erba 'diviżjonijiet l-oħra.")</f>
        <v>Il-Kulleġġ ta 'l-Università ta' Chicago jagħti Baċellerat fl-Arti u Baċellerat ta 'Gradi tax-Xjenza f'50 maġġuri akkademiċi u 28 minorenni. L-akkademiċi tal-kulleġġ huma maqsuma f'ħames diviżjonijiet: id-Diviżjoni tal-Kolleġġjata tax-Xjenzi Bijoloġiċi, id-Diviżjoni Kolleġġjata tax-Xjenzi Fiżiċi, id-Diviżjoni Kolleġġjata tax-Xjenzi Soċjali, id-Diviżjoni Kolleġġjata tal-Umanistika, u d-Diviżjoni Kolleġġjata l-Ġdida. L-ewwel erbgħa huma sezzjonijiet fi ħdan id-diviżjonijiet tal-gradwati korrispondenti tagħhom, filwaqt li d-diviżjoni kolleġjali l-ġdida tamministra maġġuri interdixxiplinarji u studji li ma jidħlux f'waħda mill-erba 'diviżjonijiet l-oħra.</v>
      </c>
    </row>
    <row r="8052" ht="15.75" customHeight="1">
      <c r="A8052" s="2" t="s">
        <v>8052</v>
      </c>
      <c r="B8052" s="2" t="str">
        <f>IFERROR(__xludf.DUMMYFUNCTION("GOOGLETRANSLATE(A8052, ""en"", ""mt"")"),"Għaliex inħarġu r-rapporti speċjali tal-2011?")</f>
        <v>Għaliex inħarġu r-rapporti speċjali tal-2011?</v>
      </c>
    </row>
    <row r="8053" ht="15.75" customHeight="1">
      <c r="A8053" s="2" t="s">
        <v>8053</v>
      </c>
      <c r="B8053" s="2" t="str">
        <f>IFERROR(__xludf.DUMMYFUNCTION("GOOGLETRANSLATE(A8053, ""en"", ""mt"")"),"Meta l-ammont preżenti ta 'finanzjament ma jistax ikopri l-ispejjeż kurrenti għax-xogħol u l-materjali")</f>
        <v>Meta l-ammont preżenti ta 'finanzjament ma jistax ikopri l-ispejjeż kurrenti għax-xogħol u l-materjali</v>
      </c>
    </row>
    <row r="8054" ht="15.75" customHeight="1">
      <c r="A8054" s="2" t="s">
        <v>8054</v>
      </c>
      <c r="B8054" s="2" t="str">
        <f>IFERROR(__xludf.DUMMYFUNCTION("GOOGLETRANSLATE(A8054, ""en"", ""mt"")"),"""Distrett Storiku ta 'Triq Huguenot"" fi New Paltz")</f>
        <v>"Distrett Storiku ta 'Triq Huguenot" fi New Paltz</v>
      </c>
    </row>
    <row r="8055" ht="15.75" customHeight="1">
      <c r="A8055" s="2" t="s">
        <v>8055</v>
      </c>
      <c r="B8055" s="2" t="str">
        <f>IFERROR(__xludf.DUMMYFUNCTION("GOOGLETRANSLATE(A8055, ""en"", ""mt"")"),"18 ta ’Frar 1546")</f>
        <v>18 ta ’Frar 1546</v>
      </c>
    </row>
    <row r="8056" ht="15.75" customHeight="1">
      <c r="A8056" s="2" t="s">
        <v>8056</v>
      </c>
      <c r="B8056" s="2" t="str">
        <f>IFERROR(__xludf.DUMMYFUNCTION("GOOGLETRANSLATE(A8056, ""en"", ""mt"")"),"ferita tal-vleġġa")</f>
        <v>ferita tal-vleġġa</v>
      </c>
    </row>
    <row r="8057" ht="15.75" customHeight="1">
      <c r="A8057" s="2" t="s">
        <v>8057</v>
      </c>
      <c r="B8057" s="2" t="str">
        <f>IFERROR(__xludf.DUMMYFUNCTION("GOOGLETRANSLATE(A8057, ""en"", ""mt"")"),"365.2425 Jiem tas-Sena")</f>
        <v>365.2425 Jiem tas-Sena</v>
      </c>
    </row>
    <row r="8058" ht="15.75" customHeight="1">
      <c r="A8058" s="2" t="s">
        <v>8058</v>
      </c>
      <c r="B8058" s="2" t="str">
        <f>IFERROR(__xludf.DUMMYFUNCTION("GOOGLETRANSLATE(A8058, ""en"", ""mt"")"),"Korruzzjoni tas-settur pubbliku")</f>
        <v>Korruzzjoni tas-settur pubbliku</v>
      </c>
    </row>
    <row r="8059" ht="15.75" customHeight="1">
      <c r="A8059" s="2" t="s">
        <v>8059</v>
      </c>
      <c r="B8059" s="2" t="str">
        <f>IFERROR(__xludf.DUMMYFUNCTION("GOOGLETRANSLATE(A8059, ""en"", ""mt"")"),"Kif il-graffs huma kodifikati bħala kordi binarji")</f>
        <v>Kif il-graffs huma kodifikati bħala kordi binarji</v>
      </c>
    </row>
    <row r="8060" ht="15.75" customHeight="1">
      <c r="A8060" s="2" t="s">
        <v>8060</v>
      </c>
      <c r="B8060" s="2" t="str">
        <f>IFERROR(__xludf.DUMMYFUNCTION("GOOGLETRANSLATE(A8060, ""en"", ""mt"")"),"Il-Kenja rebħet diversi midalji waqt l-Olimpjadi ta ’Beijing, sitt deheb, erba’ fidda u erba ’bronż, li għamlu l-iktar nazzjon ta’ suċċess tal-Afrika fl-Olimpjadi tal-2008. Atleti ġodda kisbu l-attenzjoni, bħal Pamela Jelimo, il-medalista tad-deheb tan-ni"&amp;"sa 800m li marru 'l quddiem biex jirbħu l-jackpot tal-IAAF Golden League, u Samuel Wanjiru li rebaħ il-maratona tal-irġiel. Iċ-champion tal-Logħob Olimpiku u tal-Commonwealth irtirat Kipchoge Keino għen biex joħroġ fid-dinastija distanza kontinwa tal-Kenj"&amp;"a fis-snin sebgħin u kien segwit mill-korda spettakolari taċ-champion tal-Commonwealth Henry Rono ta 'wirjiet rekord dinjija. Dan l-aħħar, kien hemm kontroversja fiċ-ċrieki tal-atletika Kenjana, bid-defection ta 'numru ta' atleti Kenjani biex jirrappreżen"&amp;"taw pajjiżi oħra, prinċipalment il-Baħrejn u l-Qatar. Il-Ministeru tal-Isport tal-Kenja pprova jwaqqaf id-difetti, iżda huma komplew xorta waħda, b'Bernard Lagat l-aktar reċenti, billi għażlu li jirrappreżentaw l-Istati Uniti. Ħafna minn dawn id-difetti j"&amp;"seħħu minħabba fatturi ekonomiċi jew finanzjarji. Xi runners elite Kenjani li ma jistgħux jikkwalifikaw għat-tim nazzjonali qawwi ta 'pajjiżhom isibuha aktar faċli biex jikkwalifikaw billi jmexxu għal pajjiżi oħra. [Ċitazzjoni meħtieġa]")</f>
        <v>Il-Kenja rebħet diversi midalji waqt l-Olimpjadi ta ’Beijing, sitt deheb, erba’ fidda u erba ’bronż, li għamlu l-iktar nazzjon ta’ suċċess tal-Afrika fl-Olimpjadi tal-2008. Atleti ġodda kisbu l-attenzjoni, bħal Pamela Jelimo, il-medalista tad-deheb tan-nisa 800m li marru 'l quddiem biex jirbħu l-jackpot tal-IAAF Golden League, u Samuel Wanjiru li rebaħ il-maratona tal-irġiel. Iċ-champion tal-Logħob Olimpiku u tal-Commonwealth irtirat Kipchoge Keino għen biex joħroġ fid-dinastija distanza kontinwa tal-Kenja fis-snin sebgħin u kien segwit mill-korda spettakolari taċ-champion tal-Commonwealth Henry Rono ta 'wirjiet rekord dinjija. Dan l-aħħar, kien hemm kontroversja fiċ-ċrieki tal-atletika Kenjana, bid-defection ta 'numru ta' atleti Kenjani biex jirrappreżentaw pajjiżi oħra, prinċipalment il-Baħrejn u l-Qatar. Il-Ministeru tal-Isport tal-Kenja pprova jwaqqaf id-difetti, iżda huma komplew xorta waħda, b'Bernard Lagat l-aktar reċenti, billi għażlu li jirrappreżentaw l-Istati Uniti. Ħafna minn dawn id-difetti jseħħu minħabba fatturi ekonomiċi jew finanzjarji. Xi runners elite Kenjani li ma jistgħux jikkwalifikaw għat-tim nazzjonali qawwi ta 'pajjiżhom isibuha aktar faċli biex jikkwalifikaw billi jmexxu għal pajjiżi oħra. [Ċitazzjoni meħtieġa]</v>
      </c>
    </row>
    <row r="8061" ht="15.75" customHeight="1">
      <c r="A8061" s="2" t="s">
        <v>8061</v>
      </c>
      <c r="B8061" s="2" t="str">
        <f>IFERROR(__xludf.DUMMYFUNCTION("GOOGLETRANSLATE(A8061, ""en"", ""mt"")"),"BSKYB inizjalment iċċarġja miżati ta 'abbonament addizzjonali għall-użu ta' Sky + PVR bis-servizz tagħhom; It-tneħħija tal-ħlas għall-abbonati li l-pakkett tagħhom kien jinkludi żewġ kanali premium jew aktar. Dan inbidel mill-1 ta 'Lulju 2007, u issa l-kl"&amp;"ijenti li għandhom Sky + u jissottoskrivu għal kwalunkwe pakkett ta' abbonament BSKYB jiksbu Sky + inklużi mingħajr ħlas żejjed. Klijenti li ma jissottoskrivux għall-kanali ta 'BSKYB xorta jistgħu jħallsu miżata kull xahar biex jippermettu funzjonijiet Sk"&amp;"y +. F'Jannar 2010 BSKYB waqqaf il-kaxxa Sky +, illimitat il-kaxxa tas-sema standard għal upgrade multiroom biss u beda joħroġ il-kaxxa Sky + HD bħala standard, u b'hekk tagħti lill-abbonati l-ġodda kollha l-funzjonijiet ta 'Sky +. Fi Frar 2011 BSKYB waqq"&amp;"fet il-varjant mhux HD tal-kaxxa multiroom tagħha, li toffri verżjoni iżgħar tal-kaxxa SkyHD mingħajr Sky + Funzjonalità. F’Settembru 2007, Sky nediet kampanja ta ’reklamar tat-TV ġdida mmirata lejn Sky + fuq in-nisa. Mill-31 ta 'Marzu 2008, Sky kellha 3,"&amp;"393,000 utent Sky +.")</f>
        <v>BSKYB inizjalment iċċarġja miżati ta 'abbonament addizzjonali għall-użu ta' Sky + PVR bis-servizz tagħhom; It-tneħħija tal-ħlas għall-abbonati li l-pakkett tagħhom kien jinkludi żewġ kanali premium jew aktar. Dan inbidel mill-1 ta 'Lulju 2007, u issa l-klijenti li għandhom Sky + u jissottoskrivu għal kwalunkwe pakkett ta' abbonament BSKYB jiksbu Sky + inklużi mingħajr ħlas żejjed. Klijenti li ma jissottoskrivux għall-kanali ta 'BSKYB xorta jistgħu jħallsu miżata kull xahar biex jippermettu funzjonijiet Sky +. F'Jannar 2010 BSKYB waqqaf il-kaxxa Sky +, illimitat il-kaxxa tas-sema standard għal upgrade multiroom biss u beda joħroġ il-kaxxa Sky + HD bħala standard, u b'hekk tagħti lill-abbonati l-ġodda kollha l-funzjonijiet ta 'Sky +. Fi Frar 2011 BSKYB waqqfet il-varjant mhux HD tal-kaxxa multiroom tagħha, li toffri verżjoni iżgħar tal-kaxxa SkyHD mingħajr Sky + Funzjonalità. F’Settembru 2007, Sky nediet kampanja ta ’reklamar tat-TV ġdida mmirata lejn Sky + fuq in-nisa. Mill-31 ta 'Marzu 2008, Sky kellha 3,393,000 utent Sky +.</v>
      </c>
    </row>
    <row r="8062" ht="15.75" customHeight="1">
      <c r="A8062" s="2" t="s">
        <v>8062</v>
      </c>
      <c r="B8062" s="2" t="str">
        <f>IFERROR(__xludf.DUMMYFUNCTION("GOOGLETRANSLATE(A8062, ""en"", ""mt"")"),"Dejta aktar ġdida bis-satellita")</f>
        <v>Dejta aktar ġdida bis-satellita</v>
      </c>
    </row>
    <row r="8063" ht="15.75" customHeight="1">
      <c r="A8063" s="2" t="s">
        <v>8063</v>
      </c>
      <c r="B8063" s="2" t="str">
        <f>IFERROR(__xludf.DUMMYFUNCTION("GOOGLETRANSLATE(A8063, ""en"", ""mt"")"),"ossiġnu likwidu")</f>
        <v>ossiġnu likwidu</v>
      </c>
    </row>
    <row r="8064" ht="15.75" customHeight="1">
      <c r="A8064" s="2" t="s">
        <v>8064</v>
      </c>
      <c r="B8064" s="2" t="str">
        <f>IFERROR(__xludf.DUMMYFUNCTION("GOOGLETRANSLATE(A8064, ""en"", ""mt"")"),"Teknoloġija tal-istampar 3D")</f>
        <v>Teknoloġija tal-istampar 3D</v>
      </c>
    </row>
    <row r="8065" ht="15.75" customHeight="1">
      <c r="A8065" s="2" t="s">
        <v>8065</v>
      </c>
      <c r="B8065" s="2" t="str">
        <f>IFERROR(__xludf.DUMMYFUNCTION("GOOGLETRANSLATE(A8065, ""en"", ""mt"")"),"Fejn jiġri avvenimenti turistiċi oħra fir-Rabat barra minn Melbourne?")</f>
        <v>Fejn jiġri avvenimenti turistiċi oħra fir-Rabat barra minn Melbourne?</v>
      </c>
    </row>
    <row r="8066" ht="15.75" customHeight="1">
      <c r="A8066" s="2" t="s">
        <v>8066</v>
      </c>
      <c r="B8066" s="2" t="str">
        <f>IFERROR(__xludf.DUMMYFUNCTION("GOOGLETRANSLATE(A8066, ""en"", ""mt"")"),"X’taqsam ma ’Tesla aċċidentalment?")</f>
        <v>X’taqsam ma ’Tesla aċċidentalment?</v>
      </c>
    </row>
    <row r="8067" ht="15.75" customHeight="1">
      <c r="A8067" s="2" t="s">
        <v>8067</v>
      </c>
      <c r="B8067" s="2" t="str">
        <f>IFERROR(__xludf.DUMMYFUNCTION("GOOGLETRANSLATE(A8067, ""en"", ""mt"")"),"Filwaqt li l-ideat ta 'Qutb saru dejjem aktar radikali matul il-ħabs tiegħu qabel l-eżekuzzjoni tiegħu fl-1966, it-tmexxija tal-fratellanza, immexxija minn Hasan al-Hudaybi, baqgħet moderata u interessata fin-negozjar politiku u l-attiviżmu. Movimenti mar"&amp;"ġinali jew splinter ispirati mill-kitbiet finali ta 'QUTB f'nofs is-snin 1960 (partikolarment il-manifest importanti, a.k.a. Ma'alim fi-l-tariq) żviluppaw, madankollu, żviluppaw u huma segwew direzzjoni aktar radikali. Fis-snin sebgħin, il-fratellanza kie"&amp;"net irrinunzjat għall-vjolenza bħala mezz biex tilħaq l-għanijiet tagħha.")</f>
        <v>Filwaqt li l-ideat ta 'Qutb saru dejjem aktar radikali matul il-ħabs tiegħu qabel l-eżekuzzjoni tiegħu fl-1966, it-tmexxija tal-fratellanza, immexxija minn Hasan al-Hudaybi, baqgħet moderata u interessata fin-negozjar politiku u l-attiviżmu. Movimenti marġinali jew splinter ispirati mill-kitbiet finali ta 'QUTB f'nofs is-snin 1960 (partikolarment il-manifest importanti, a.k.a. Ma'alim fi-l-tariq) żviluppaw, madankollu, żviluppaw u huma segwew direzzjoni aktar radikali. Fis-snin sebgħin, il-fratellanza kienet irrinunzjat għall-vjolenza bħala mezz biex tilħaq l-għanijiet tagħha.</v>
      </c>
    </row>
    <row r="8068" ht="15.75" customHeight="1">
      <c r="A8068" s="2" t="s">
        <v>8068</v>
      </c>
      <c r="B8068" s="2" t="str">
        <f>IFERROR(__xludf.DUMMYFUNCTION("GOOGLETRANSLATE(A8068, ""en"", ""mt"")"),"L-aħħar dikjarazzjoni tiegħu")</f>
        <v>L-aħħar dikjarazzjoni tiegħu</v>
      </c>
    </row>
    <row r="8069" ht="15.75" customHeight="1">
      <c r="A8069" s="2" t="s">
        <v>8069</v>
      </c>
      <c r="B8069" s="2" t="str">
        <f>IFERROR(__xludf.DUMMYFUNCTION("GOOGLETRANSLATE(A8069, ""en"", ""mt"")"),"Għalkemm il-biċċa l-kbira mhumiex allinjati, uħud mill-iskejjel indipendenti l-aktar magħrufa jappartjenu wkoll għall-pedamenti reliġjużi l-kbar li ilhom stabbiliti, bħall-Knisja Anglikana, l-għaqda tal-Knisja u l-Knisja Presbiterjana, iżda f'ħafna każiji"&amp;"et, ma jinsistux fuq l-istudenti tagħhom 'lealtà reliġjuża. Dawn l-iskejjel huma tipikament meqjusa bħala 'skejjel elite'. Ħafna mill- ""iskejjel tal-grammatika"" jaqgħu wkoll f'din il-kategorija. Normalment huma skejjel għaljin li għandhom it-tendenza li"&amp;" jkunu fis-suq u fl-istil tradizzjonali, xi skejjel Kattoliċi jaqgħu f'din il-kategorija wkoll, p.e. St Joseph's College, Gregory Terrace, Saint Injatius 'College, Riverview, St Gregory's College, Campbelltown, St Aloysius' College (Sydney) u St Joseph's "&amp;"College, Hunters Hill, kif ukoll Loreto Kirribilli, Monte Sant Angelo Mercy College, St Ursula College, College's u Loreto Normanhurst għall-bniet.")</f>
        <v>Għalkemm il-biċċa l-kbira mhumiex allinjati, uħud mill-iskejjel indipendenti l-aktar magħrufa jappartjenu wkoll għall-pedamenti reliġjużi l-kbar li ilhom stabbiliti, bħall-Knisja Anglikana, l-għaqda tal-Knisja u l-Knisja Presbiterjana, iżda f'ħafna każijiet, ma jinsistux fuq l-istudenti tagħhom 'lealtà reliġjuża. Dawn l-iskejjel huma tipikament meqjusa bħala 'skejjel elite'. Ħafna mill- "iskejjel tal-grammatika" jaqgħu wkoll f'din il-kategorija. Normalment huma skejjel għaljin li għandhom it-tendenza li jkunu fis-suq u fl-istil tradizzjonali, xi skejjel Kattoliċi jaqgħu f'din il-kategorija wkoll, p.e. St Joseph's College, Gregory Terrace, Saint Injatius 'College, Riverview, St Gregory's College, Campbelltown, St Aloysius' College (Sydney) u St Joseph's College, Hunters Hill, kif ukoll Loreto Kirribilli, Monte Sant Angelo Mercy College, St Ursula College, College's u Loreto Normanhurst għall-bniet.</v>
      </c>
    </row>
    <row r="8070" ht="15.75" customHeight="1">
      <c r="A8070" s="2" t="s">
        <v>8070</v>
      </c>
      <c r="B8070" s="2" t="str">
        <f>IFERROR(__xludf.DUMMYFUNCTION("GOOGLETRANSLATE(A8070, ""en"", ""mt"")"),"il-hostmen")</f>
        <v>il-hostmen</v>
      </c>
    </row>
    <row r="8071" ht="15.75" customHeight="1">
      <c r="A8071" s="2" t="s">
        <v>8071</v>
      </c>
      <c r="B8071" s="2" t="str">
        <f>IFERROR(__xludf.DUMMYFUNCTION("GOOGLETRANSLATE(A8071, ""en"", ""mt"")"),"8,000 sena ilu")</f>
        <v>8,000 sena ilu</v>
      </c>
    </row>
    <row r="8072" ht="15.75" customHeight="1">
      <c r="A8072" s="2" t="s">
        <v>8072</v>
      </c>
      <c r="B8072" s="2" t="str">
        <f>IFERROR(__xludf.DUMMYFUNCTION("GOOGLETRANSLATE(A8072, ""en"", ""mt"")"),"X'kien l-iskor finali tas-Super Bowl XXXIII?")</f>
        <v>X'kien l-iskor finali tas-Super Bowl XXXIII?</v>
      </c>
    </row>
    <row r="8073" ht="15.75" customHeight="1">
      <c r="A8073" s="2" t="s">
        <v>8073</v>
      </c>
      <c r="B8073" s="2" t="str">
        <f>IFERROR(__xludf.DUMMYFUNCTION("GOOGLETRANSLATE(A8073, ""en"", ""mt"")"),"Amministrazzjoni Kolonjali Nażista Ġermaniża")</f>
        <v>Amministrazzjoni Kolonjali Nażista Ġermaniża</v>
      </c>
    </row>
    <row r="8074" ht="15.75" customHeight="1">
      <c r="A8074" s="2" t="s">
        <v>8074</v>
      </c>
      <c r="B8074" s="2" t="str">
        <f>IFERROR(__xludf.DUMMYFUNCTION("GOOGLETRANSLATE(A8074, ""en"", ""mt"")"),"It-tieni u t-tielet ġirja films, flimkien ma 'films klassiċi")</f>
        <v>It-tieni u t-tielet ġirja films, flimkien ma 'films klassiċi</v>
      </c>
    </row>
    <row r="8075" ht="15.75" customHeight="1">
      <c r="A8075" s="2" t="s">
        <v>8075</v>
      </c>
      <c r="B8075" s="2" t="str">
        <f>IFERROR(__xludf.DUMMYFUNCTION("GOOGLETRANSLATE(A8075, ""en"", ""mt"")"),"ogħla minn għalliema li ma wrewx ħafna entużjażmu")</f>
        <v>ogħla minn għalliema li ma wrewx ħafna entużjażmu</v>
      </c>
    </row>
    <row r="8076" ht="15.75" customHeight="1">
      <c r="A8076" s="2" t="s">
        <v>8076</v>
      </c>
      <c r="B8076" s="2" t="str">
        <f>IFERROR(__xludf.DUMMYFUNCTION("GOOGLETRANSLATE(A8076, ""en"", ""mt"")"),"Minflok in-numri Rumani, x'qed juża l-NFL?")</f>
        <v>Minflok in-numri Rumani, x'qed juża l-NFL?</v>
      </c>
    </row>
    <row r="8077" ht="15.75" customHeight="1">
      <c r="A8077" s="2" t="s">
        <v>8077</v>
      </c>
      <c r="B8077" s="2" t="str">
        <f>IFERROR(__xludf.DUMMYFUNCTION("GOOGLETRANSLATE(A8077, ""en"", ""mt"")"),"kwistjonijiet li jistgħu jkunu ta 'interess għal qasam partikolari bħal kostitwenza ta' membru stess")</f>
        <v>kwistjonijiet li jistgħu jkunu ta 'interess għal qasam partikolari bħal kostitwenza ta' membru stess</v>
      </c>
    </row>
    <row r="8078" ht="15.75" customHeight="1">
      <c r="A8078" s="2" t="s">
        <v>8078</v>
      </c>
      <c r="B8078" s="2" t="str">
        <f>IFERROR(__xludf.DUMMYFUNCTION("GOOGLETRANSLATE(A8078, ""en"", ""mt"")"),"X'inhi kwistjoni waħda li żżid mal-kumplessità ta 'xogħol ta' spiżjar?")</f>
        <v>X'inhi kwistjoni waħda li żżid mal-kumplessità ta 'xogħol ta' spiżjar?</v>
      </c>
    </row>
    <row r="8079" ht="15.75" customHeight="1">
      <c r="A8079" s="2" t="s">
        <v>8079</v>
      </c>
      <c r="B8079" s="2" t="str">
        <f>IFERROR(__xludf.DUMMYFUNCTION("GOOGLETRANSLATE(A8079, ""en"", ""mt"")"),"Liema xogħol huwa utli għar-ragħajja?")</f>
        <v>Liema xogħol huwa utli għar-ragħajja?</v>
      </c>
    </row>
    <row r="8080" ht="15.75" customHeight="1">
      <c r="A8080" s="2" t="s">
        <v>8080</v>
      </c>
      <c r="B8080" s="2" t="str">
        <f>IFERROR(__xludf.DUMMYFUNCTION("GOOGLETRANSLATE(A8080, ""en"", ""mt"")"),"Perjodu tan-nofs ta 'l-antikità klassika")</f>
        <v>Perjodu tan-nofs ta 'l-antikità klassika</v>
      </c>
    </row>
    <row r="8081" ht="15.75" customHeight="1">
      <c r="A8081" s="2" t="s">
        <v>8081</v>
      </c>
      <c r="B8081" s="2" t="str">
        <f>IFERROR(__xludf.DUMMYFUNCTION("GOOGLETRANSLATE(A8081, ""en"", ""mt"")"),"X'tip ta 'bnedmin jagħmel it-tabib li ġeneralment jieħu miegħu fuq il-vjaġġi tiegħu?")</f>
        <v>X'tip ta 'bnedmin jagħmel it-tabib li ġeneralment jieħu miegħu fuq il-vjaġġi tiegħu?</v>
      </c>
    </row>
    <row r="8082" ht="15.75" customHeight="1">
      <c r="A8082" s="2" t="s">
        <v>8082</v>
      </c>
      <c r="B8082" s="2" t="str">
        <f>IFERROR(__xludf.DUMMYFUNCTION("GOOGLETRANSLATE(A8082, ""en"", ""mt"")"),"jeqirdu mikrobi li jinvadu")</f>
        <v>jeqirdu mikrobi li jinvadu</v>
      </c>
    </row>
    <row r="8083" ht="15.75" customHeight="1">
      <c r="A8083" s="2" t="s">
        <v>8083</v>
      </c>
      <c r="B8083" s="2" t="str">
        <f>IFERROR(__xludf.DUMMYFUNCTION("GOOGLETRANSLATE(A8083, ""en"", ""mt"")"),"132 miljun")</f>
        <v>132 miljun</v>
      </c>
    </row>
    <row r="8084" ht="15.75" customHeight="1">
      <c r="A8084" s="2" t="s">
        <v>8084</v>
      </c>
      <c r="B8084" s="2" t="str">
        <f>IFERROR(__xludf.DUMMYFUNCTION("GOOGLETRANSLATE(A8084, ""en"", ""mt"")"),"Minn liema perjodu ġew l-oġġetti fil-kollezzjoni Soulages?")</f>
        <v>Minn liema perjodu ġew l-oġġetti fil-kollezzjoni Soulages?</v>
      </c>
    </row>
    <row r="8085" ht="15.75" customHeight="1">
      <c r="A8085" s="2" t="s">
        <v>8085</v>
      </c>
      <c r="B8085" s="2" t="str">
        <f>IFERROR(__xludf.DUMMYFUNCTION("GOOGLETRANSLATE(A8085, ""en"", ""mt"")"),"jgħix bil-fidi")</f>
        <v>jgħix bil-fidi</v>
      </c>
    </row>
    <row r="8086" ht="15.75" customHeight="1">
      <c r="A8086" s="2" t="s">
        <v>8086</v>
      </c>
      <c r="B8086" s="2" t="str">
        <f>IFERROR(__xludf.DUMMYFUNCTION("GOOGLETRANSLATE(A8086, ""en"", ""mt"")"),"Guo Shoujing applika l-matematika għall-kostruzzjoni ta 'kalendarji. Huwa kien wieħed mill-ewwel matematiċi fiċ-Ċina biex jaħdem fuq trigonometrija sferika. Gou ħareġ formula ta 'interpolazzjoni kubika għall-kalkoli astronomiċi tiegħu. Il-kalendarju tiegħ"&amp;"u, il-Shoushi Li (授時暦) jew il-kalendarju għall-iffissar tal-istaġuni, ġie mxerred fl-1281 bħala l-kalendarju uffiċjali tad-dinastija Yuan. Il-kalendarju seta ’kien influwenzat biss mix-xogħol tal-astronomu tad-dinastija tal-kanzunetta Shen Kuo jew possibi"&amp;"lment mix-xogħol tal-astronomi Għarab. M'hemm l-ebda sinjali espliċiti ta 'influwenzi Musulmani fil-kalendarju ta' Shoushi, iżda l-ħakkiema Mongoljani kienu magħrufa li huma interessati fil-kalendarji Musulmani. L-għarfien matematiku mill-Lvant Nofsani ġi"&amp;"e introdott fiċ-Ċina taħt il-Mongoli, u l-astronomi Musulmani ġabu numri Għarbi fiċ-Ċina fis-seklu 13.")</f>
        <v>Guo Shoujing applika l-matematika għall-kostruzzjoni ta 'kalendarji. Huwa kien wieħed mill-ewwel matematiċi fiċ-Ċina biex jaħdem fuq trigonometrija sferika. Gou ħareġ formula ta 'interpolazzjoni kubika għall-kalkoli astronomiċi tiegħu. Il-kalendarju tiegħu, il-Shoushi Li (授時暦) jew il-kalendarju għall-iffissar tal-istaġuni, ġie mxerred fl-1281 bħala l-kalendarju uffiċjali tad-dinastija Yuan. Il-kalendarju seta ’kien influwenzat biss mix-xogħol tal-astronomu tad-dinastija tal-kanzunetta Shen Kuo jew possibilment mix-xogħol tal-astronomi Għarab. M'hemm l-ebda sinjali espliċiti ta 'influwenzi Musulmani fil-kalendarju ta' Shoushi, iżda l-ħakkiema Mongoljani kienu magħrufa li huma interessati fil-kalendarji Musulmani. L-għarfien matematiku mill-Lvant Nofsani ġie introdott fiċ-Ċina taħt il-Mongoli, u l-astronomi Musulmani ġabu numri Għarbi fiċ-Ċina fis-seklu 13.</v>
      </c>
    </row>
    <row r="8087" ht="15.75" customHeight="1">
      <c r="A8087" s="2" t="s">
        <v>8087</v>
      </c>
      <c r="B8087" s="2" t="str">
        <f>IFERROR(__xludf.DUMMYFUNCTION("GOOGLETRANSLATE(A8087, ""en"", ""mt"")"),"Stalin kien ostili għall-idea ta 'Polonja indipendenti")</f>
        <v>Stalin kien ostili għall-idea ta 'Polonja indipendenti</v>
      </c>
    </row>
    <row r="8088" ht="15.75" customHeight="1">
      <c r="A8088" s="2" t="s">
        <v>8088</v>
      </c>
      <c r="B8088" s="2" t="str">
        <f>IFERROR(__xludf.DUMMYFUNCTION("GOOGLETRANSLATE(A8088, ""en"", ""mt"")"),"Kemm malajr qed jiżdied il-livell tal-baħar?")</f>
        <v>Kemm malajr qed jiżdied il-livell tal-baħar?</v>
      </c>
    </row>
    <row r="8089" ht="15.75" customHeight="1">
      <c r="A8089" s="2" t="s">
        <v>8089</v>
      </c>
      <c r="B8089" s="2" t="str">
        <f>IFERROR(__xludf.DUMMYFUNCTION("GOOGLETRANSLATE(A8089, ""en"", ""mt"")"),"Netwerk tad-dejta bbażat fuq dan in-netwerk tal-vuċi tat-telefown kien iddisinjat biex jgħaqqad l-erba 'ċentri tal-bejgħ u s-servizzi tal-kompjuter ta' GE")</f>
        <v>Netwerk tad-dejta bbażat fuq dan in-netwerk tal-vuċi tat-telefown kien iddisinjat biex jgħaqqad l-erba 'ċentri tal-bejgħ u s-servizzi tal-kompjuter ta' GE</v>
      </c>
    </row>
    <row r="8090" ht="15.75" customHeight="1">
      <c r="A8090" s="2" t="s">
        <v>8090</v>
      </c>
      <c r="B8090" s="2" t="str">
        <f>IFERROR(__xludf.DUMMYFUNCTION("GOOGLETRANSLATE(A8090, ""en"", ""mt"")"),"karozzi kbar")</f>
        <v>karozzi kbar</v>
      </c>
    </row>
    <row r="8091" ht="15.75" customHeight="1">
      <c r="A8091" s="2" t="s">
        <v>8091</v>
      </c>
      <c r="B8091" s="2" t="str">
        <f>IFERROR(__xludf.DUMMYFUNCTION("GOOGLETRANSLATE(A8091, ""en"", ""mt"")"),"Jekk il-Parlament jaqbel f'vot għall-prinċipju ġenerali ta 'abbozz ta' liġi, x'jiġri mbagħad?")</f>
        <v>Jekk il-Parlament jaqbel f'vot għall-prinċipju ġenerali ta 'abbozz ta' liġi, x'jiġri mbagħad?</v>
      </c>
    </row>
    <row r="8092" ht="15.75" customHeight="1">
      <c r="A8092" s="2" t="s">
        <v>8092</v>
      </c>
      <c r="B8092" s="2" t="str">
        <f>IFERROR(__xludf.DUMMYFUNCTION("GOOGLETRANSLATE(A8092, ""en"", ""mt"")"),"Skop ta 'telnet")</f>
        <v>Skop ta 'telnet</v>
      </c>
    </row>
    <row r="8093" ht="15.75" customHeight="1">
      <c r="A8093" s="2" t="s">
        <v>8093</v>
      </c>
      <c r="B8093" s="2" t="str">
        <f>IFERROR(__xludf.DUMMYFUNCTION("GOOGLETRANSLATE(A8093, ""en"", ""mt"")"),"Knisja Metodista ta ’San Ġorġ, Magħquda,")</f>
        <v>Knisja Metodista ta ’San Ġorġ, Magħquda,</v>
      </c>
    </row>
    <row r="8094" ht="15.75" customHeight="1">
      <c r="A8094" s="2" t="s">
        <v>8094</v>
      </c>
      <c r="B8094" s="2" t="str">
        <f>IFERROR(__xludf.DUMMYFUNCTION("GOOGLETRANSLATE(A8094, ""en"", ""mt"")"),"Liġijiet inġusti.")</f>
        <v>Liġijiet inġusti.</v>
      </c>
    </row>
    <row r="8095" ht="15.75" customHeight="1">
      <c r="A8095" s="2" t="s">
        <v>8095</v>
      </c>
      <c r="B8095" s="2" t="str">
        <f>IFERROR(__xludf.DUMMYFUNCTION("GOOGLETRANSLATE(A8095, ""en"", ""mt"")"),"X'tip ta 'esperimenti ta' deformazzjoni fil-blat iwettqu l-ġeoloġi strutturali?")</f>
        <v>X'tip ta 'esperimenti ta' deformazzjoni fil-blat iwettqu l-ġeoloġi strutturali?</v>
      </c>
    </row>
    <row r="8096" ht="15.75" customHeight="1">
      <c r="A8096" s="2" t="s">
        <v>8096</v>
      </c>
      <c r="B8096" s="2" t="str">
        <f>IFERROR(__xludf.DUMMYFUNCTION("GOOGLETRANSLATE(A8096, ""en"", ""mt"")"),"Meta Tesla ppruvat tirreġistra lil Mark Twain, x'kienet l-unika ħaġa li ħarġet fuq l-immaġni?")</f>
        <v>Meta Tesla ppruvat tirreġistra lil Mark Twain, x'kienet l-unika ħaġa li ħarġet fuq l-immaġni?</v>
      </c>
    </row>
    <row r="8097" ht="15.75" customHeight="1">
      <c r="A8097" s="2" t="s">
        <v>8097</v>
      </c>
      <c r="B8097" s="2" t="str">
        <f>IFERROR(__xludf.DUMMYFUNCTION("GOOGLETRANSLATE(A8097, ""en"", ""mt"")"),"Rati ta 'tkabbir għoljin")</f>
        <v>Rati ta 'tkabbir għoljin</v>
      </c>
    </row>
    <row r="8098" ht="15.75" customHeight="1">
      <c r="A8098" s="2" t="s">
        <v>8098</v>
      </c>
      <c r="B8098" s="2" t="str">
        <f>IFERROR(__xludf.DUMMYFUNCTION("GOOGLETRANSLATE(A8098, ""en"", ""mt"")"),"Ir-reġjuni ripetuti maqluba")</f>
        <v>Ir-reġjuni ripetuti maqluba</v>
      </c>
    </row>
    <row r="8099" ht="15.75" customHeight="1">
      <c r="A8099" s="2" t="s">
        <v>8099</v>
      </c>
      <c r="B8099" s="2" t="str">
        <f>IFERROR(__xludf.DUMMYFUNCTION("GOOGLETRANSLATE(A8099, ""en"", ""mt"")"),"Seine")</f>
        <v>Seine</v>
      </c>
    </row>
    <row r="8100" ht="15.75" customHeight="1">
      <c r="A8100" s="2" t="s">
        <v>8100</v>
      </c>
      <c r="B8100" s="2" t="str">
        <f>IFERROR(__xludf.DUMMYFUNCTION("GOOGLETRANSLATE(A8100, ""en"", ""mt"")"),"Il-popolazzjoni ta 'Newcastle kienet 189,863 skond liema ċensiment tas-sena?")</f>
        <v>Il-popolazzjoni ta 'Newcastle kienet 189,863 skond liema ċensiment tas-sena?</v>
      </c>
    </row>
    <row r="8101" ht="15.75" customHeight="1">
      <c r="A8101" s="2" t="s">
        <v>8101</v>
      </c>
      <c r="B8101" s="2" t="str">
        <f>IFERROR(__xludf.DUMMYFUNCTION("GOOGLETRANSLATE(A8101, ""en"", ""mt"")"),"Eġittu")</f>
        <v>Eġittu</v>
      </c>
    </row>
    <row r="8102" ht="15.75" customHeight="1">
      <c r="A8102" s="2" t="s">
        <v>8102</v>
      </c>
      <c r="B8102" s="2" t="str">
        <f>IFERROR(__xludf.DUMMYFUNCTION("GOOGLETRANSLATE(A8102, ""en"", ""mt"")"),"Endosymbiont primarju")</f>
        <v>Endosymbiont primarju</v>
      </c>
    </row>
    <row r="8103" ht="15.75" customHeight="1">
      <c r="A8103" s="2" t="s">
        <v>8103</v>
      </c>
      <c r="B8103" s="2" t="str">
        <f>IFERROR(__xludf.DUMMYFUNCTION("GOOGLETRANSLATE(A8103, ""en"", ""mt"")"),"X’għamlet il-partikula lil Tesla?")</f>
        <v>X’għamlet il-partikula lil Tesla?</v>
      </c>
    </row>
    <row r="8104" ht="15.75" customHeight="1">
      <c r="A8104" s="2" t="s">
        <v>8104</v>
      </c>
      <c r="B8104" s="2" t="str">
        <f>IFERROR(__xludf.DUMMYFUNCTION("GOOGLETRANSLATE(A8104, ""en"", ""mt"")"),"X'inhuma eżempji ta 'servizzi kliniċi li l-ispiżjara jistgħu jipprovdu?")</f>
        <v>X'inhuma eżempji ta 'servizzi kliniċi li l-ispiżjara jistgħu jipprovdu?</v>
      </c>
    </row>
    <row r="8105" ht="15.75" customHeight="1">
      <c r="A8105" s="2" t="s">
        <v>8105</v>
      </c>
      <c r="B8105" s="2" t="str">
        <f>IFERROR(__xludf.DUMMYFUNCTION("GOOGLETRANSLATE(A8105, ""en"", ""mt"")"),"Minħabba s-saħħa tal-forzi Franċiżi fi Louisbourg, x’għamel Loudoun?")</f>
        <v>Minħabba s-saħħa tal-forzi Franċiżi fi Louisbourg, x’għamel Loudoun?</v>
      </c>
    </row>
    <row r="8106" ht="15.75" customHeight="1">
      <c r="A8106" s="2" t="s">
        <v>8106</v>
      </c>
      <c r="B8106" s="2" t="str">
        <f>IFERROR(__xludf.DUMMYFUNCTION("GOOGLETRANSLATE(A8106, ""en"", ""mt"")"),"Klassiku")</f>
        <v>Klassiku</v>
      </c>
    </row>
    <row r="8107" ht="15.75" customHeight="1">
      <c r="A8107" s="2" t="s">
        <v>8107</v>
      </c>
      <c r="B8107" s="2" t="str">
        <f>IFERROR(__xludf.DUMMYFUNCTION("GOOGLETRANSLATE(A8107, ""en"", ""mt"")"),"X'għan għandhom ħafna minn dawn il-protesti?")</f>
        <v>X'għan għandhom ħafna minn dawn il-protesti?</v>
      </c>
    </row>
    <row r="8108" ht="15.75" customHeight="1">
      <c r="A8108" s="2" t="s">
        <v>8108</v>
      </c>
      <c r="B8108" s="2" t="str">
        <f>IFERROR(__xludf.DUMMYFUNCTION("GOOGLETRANSLATE(A8108, ""en"", ""mt"")"),"X'inhu kejl użat komunement biex jiġi ddeterminat il-kumplessità ta 'problema tal-komputazzjoni?")</f>
        <v>X'inhu kejl użat komunement biex jiġi ddeterminat il-kumplessità ta 'problema tal-komputazzjoni?</v>
      </c>
    </row>
    <row r="8109" ht="15.75" customHeight="1">
      <c r="A8109" s="2" t="s">
        <v>8109</v>
      </c>
      <c r="B8109" s="2" t="str">
        <f>IFERROR(__xludf.DUMMYFUNCTION("GOOGLETRANSLATE(A8109, ""en"", ""mt"")"),"Karluk Kara-Khanid")</f>
        <v>Karluk Kara-Khanid</v>
      </c>
    </row>
    <row r="8110" ht="15.75" customHeight="1">
      <c r="A8110" s="2" t="s">
        <v>8110</v>
      </c>
      <c r="B8110" s="2" t="str">
        <f>IFERROR(__xludf.DUMMYFUNCTION("GOOGLETRANSLATE(A8110, ""en"", ""mt"")"),"X'tip ta 'awtorità jippreferu l-iskejjel ta' Sudbury?")</f>
        <v>X'tip ta 'awtorità jippreferu l-iskejjel ta' Sudbury?</v>
      </c>
    </row>
    <row r="8111" ht="15.75" customHeight="1">
      <c r="A8111" s="2" t="s">
        <v>8111</v>
      </c>
      <c r="B8111" s="2" t="str">
        <f>IFERROR(__xludf.DUMMYFUNCTION("GOOGLETRANSLATE(A8111, ""en"", ""mt"")"),"Liema katalisti oħra jistgħu jintużaw biex jipproduċu ossiġnu?")</f>
        <v>Liema katalisti oħra jistgħu jintużaw biex jipproduċu ossiġnu?</v>
      </c>
    </row>
    <row r="8112" ht="15.75" customHeight="1">
      <c r="A8112" s="2" t="s">
        <v>8112</v>
      </c>
      <c r="B8112" s="2" t="str">
        <f>IFERROR(__xludf.DUMMYFUNCTION("GOOGLETRANSLATE(A8112, ""en"", ""mt"")"),"Il-batterji spiss inixxu x'tip ta 'proteini jinġerixxu barriera fiżika?")</f>
        <v>Il-batterji spiss inixxu x'tip ta 'proteini jinġerixxu barriera fiżika?</v>
      </c>
    </row>
    <row r="8113" ht="15.75" customHeight="1">
      <c r="A8113" s="2" t="s">
        <v>8113</v>
      </c>
      <c r="B8113" s="2" t="str">
        <f>IFERROR(__xludf.DUMMYFUNCTION("GOOGLETRANSLATE(A8113, ""en"", ""mt"")"),"Fejn kien Melanchthon dak iż-żmien?")</f>
        <v>Fejn kien Melanchthon dak iż-żmien?</v>
      </c>
    </row>
    <row r="8114" ht="15.75" customHeight="1">
      <c r="A8114" s="2" t="s">
        <v>8114</v>
      </c>
      <c r="B8114" s="2" t="str">
        <f>IFERROR(__xludf.DUMMYFUNCTION("GOOGLETRANSLATE(A8114, ""en"", ""mt"")"),"L-isem Rijn, minn hawn 'il quddiem, jintuża biss għal nixxigħat iżgħar' il bogħod lejn it-tramuntana, li flimkien iffurmaw ix-xmara ewlenija Rhine fi żminijiet Rumani. Għalkemm żammew l-isem, dawn il-flussi m'għadhomx iġorru l-ilma mir-Renu, iżda jintużaw"&amp;" biex ixxotta l-art tal-madwar u l-polders. Minn Wijk Bij Duurstede, il-fergħa l-qadima tat-Tramuntana tar-Renu tissejjaħ Kromme Rijn (""Bent Rhine"") passat Utrecht, l-ewwel Leidse Rijn (""Rhine of Leiden"") u mbagħad, Oud Rijn (""Old Rhine""). Dan tal-a"&amp;"ħħar jiċċirkola lejn il-punent ġo sluice f'Katwijk, fejn l-ilmijiet tiegħu jistgħu jiġu mormija fil-Baħar tat-Tramuntana. Din il-fergħa darba ffurmat il-linja li matulu nbnew il-Ġermaniku. Matul perjodi ta 'livelli aktar baxxi tal-baħar fi ħdan l-etajiet "&amp;"tas-silġ varji, ir-Rhine ħa dawra fuq ix-xellug, li ħoloq ix-Xmara Channel, li l-kors tiegħu issa jinsab taħt il-Kanal Ingliż.")</f>
        <v>L-isem Rijn, minn hawn 'il quddiem, jintuża biss għal nixxigħat iżgħar' il bogħod lejn it-tramuntana, li flimkien iffurmaw ix-xmara ewlenija Rhine fi żminijiet Rumani. Għalkemm żammew l-isem, dawn il-flussi m'għadhomx iġorru l-ilma mir-Renu, iżda jintużaw biex ixxotta l-art tal-madwar u l-polders. Minn Wijk Bij Duurstede, il-fergħa l-qadima tat-Tramuntana tar-Renu tissejjaħ Kromme Rijn ("Bent Rhine") passat Utrecht, l-ewwel Leidse Rijn ("Rhine of Leiden") u mbagħad, Oud Rijn ("Old Rhine"). Dan tal-aħħar jiċċirkola lejn il-punent ġo sluice f'Katwijk, fejn l-ilmijiet tiegħu jistgħu jiġu mormija fil-Baħar tat-Tramuntana. Din il-fergħa darba ffurmat il-linja li matulu nbnew il-Ġermaniku. Matul perjodi ta 'livelli aktar baxxi tal-baħar fi ħdan l-etajiet tas-silġ varji, ir-Rhine ħa dawra fuq ix-xellug, li ħoloq ix-Xmara Channel, li l-kors tiegħu issa jinsab taħt il-Kanal Ingliż.</v>
      </c>
    </row>
    <row r="8115" ht="15.75" customHeight="1">
      <c r="A8115" s="2" t="s">
        <v>8115</v>
      </c>
      <c r="B8115" s="2" t="str">
        <f>IFERROR(__xludf.DUMMYFUNCTION("GOOGLETRANSLATE(A8115, ""en"", ""mt"")"),"Il-patoġeni jistgħu jevolvu malajr u jadattaw")</f>
        <v>Il-patoġeni jistgħu jevolvu malajr u jadattaw</v>
      </c>
    </row>
    <row r="8116" ht="15.75" customHeight="1">
      <c r="A8116" s="2" t="s">
        <v>8116</v>
      </c>
      <c r="B8116" s="2" t="str">
        <f>IFERROR(__xludf.DUMMYFUNCTION("GOOGLETRANSLATE(A8116, ""en"", ""mt"")"),"mezz biex tagħmel it-teknoloġija arpanet pubblika")</f>
        <v>mezz biex tagħmel it-teknoloġija arpanet pubblika</v>
      </c>
    </row>
    <row r="8117" ht="15.75" customHeight="1">
      <c r="A8117" s="2" t="s">
        <v>8117</v>
      </c>
      <c r="B8117" s="2" t="str">
        <f>IFERROR(__xludf.DUMMYFUNCTION("GOOGLETRANSLATE(A8117, ""en"", ""mt"")"),"Iż-żieda attwali fil-livell tal-baħar kienet 'il fuq mill-parti ta' fuq tal-firxa")</f>
        <v>Iż-żieda attwali fil-livell tal-baħar kienet 'il fuq mill-parti ta' fuq tal-firxa</v>
      </c>
    </row>
    <row r="8118" ht="15.75" customHeight="1">
      <c r="A8118" s="2" t="s">
        <v>8118</v>
      </c>
      <c r="B8118" s="2" t="str">
        <f>IFERROR(__xludf.DUMMYFUNCTION("GOOGLETRANSLATE(A8118, ""en"", ""mt"")"),"Heavy / Highway, Heavy Civil jew Heavy Engineering")</f>
        <v>Heavy / Highway, Heavy Civil jew Heavy Engineering</v>
      </c>
    </row>
    <row r="8119" ht="15.75" customHeight="1">
      <c r="A8119" s="2" t="s">
        <v>8119</v>
      </c>
      <c r="B8119" s="2" t="str">
        <f>IFERROR(__xludf.DUMMYFUNCTION("GOOGLETRANSLATE(A8119, ""en"", ""mt"")"),"Meta l-Bord Ġenerali tal-Knisja u s-Soċjetà tal-UMC talab lill-Metodisti Magħquda kollha biex jastjenu mill-alkoħol għar-Randan?")</f>
        <v>Meta l-Bord Ġenerali tal-Knisja u s-Soċjetà tal-UMC talab lill-Metodisti Magħquda kollha biex jastjenu mill-alkoħol għar-Randan?</v>
      </c>
    </row>
    <row r="8120" ht="15.75" customHeight="1">
      <c r="A8120" s="2" t="s">
        <v>8120</v>
      </c>
      <c r="B8120" s="2" t="str">
        <f>IFERROR(__xludf.DUMMYFUNCTION("GOOGLETRANSLATE(A8120, ""en"", ""mt"")"),"Tesla vvinta oxxillatur mekkaniku li jaħdem bil-fwar - l-oxxillatur ta 'Tesla. Waqt li esperimenta ma 'oxxillaturi mekkaniċi fil-laboratorju tiegħu ta' Triq Houston, Tesla allegatament iġġenera reżonanza ta 'diversi binjiet. Hekk kif il-veloċità kibret, j"&amp;"ingħad li l-magna oxxillat fil-frekwenza tar-reżonanza tal-bini tiegħu stess u, billi rrealizza tard il-periklu, huwa ġie mġiegħel juża martell ta 'slitta biex itemm l-esperiment, hekk kif waslet il-pulizija.: 162-164 Fi Frar tal-1912, artiklu - ""Nikola "&amp;"Tesla, Dreamer"" minn Allan L. Benson - ġie ppubblikat fid-Dinja Illum, li fih l-illustrazzjoni ta 'artist tidher li turi d-Dinja kollha xquq bin-nofs bit-titlu, ""Tesla ssostni li fi ftit ġimgħat Huwa seta 'jwaqqaf il-qoxra tad-Dinja f'tali stat ta' vibr"&amp;"azzjoni li kienet titla 'u taqa' mijiet ta 'saqajn u prattikament teqred iċ-ċiviltà. Tkomplija ta' dan il-proċess tkun, qal, eventwalment taqsam id-Dinja fi tnejn. """)</f>
        <v>Tesla vvinta oxxillatur mekkaniku li jaħdem bil-fwar - l-oxxillatur ta 'Tesla. Waqt li esperimenta ma 'oxxillaturi mekkaniċi fil-laboratorju tiegħu ta' Triq Houston, Tesla allegatament iġġenera reżonanza ta 'diversi binjiet. Hekk kif il-veloċità kibret, jingħad li l-magna oxxillat fil-frekwenza tar-reżonanza tal-bini tiegħu stess u, billi rrealizza tard il-periklu, huwa ġie mġiegħel juża martell ta 'slitta biex itemm l-esperiment, hekk kif waslet il-pulizija.: 162-164 Fi Frar tal-1912, artiklu - "Nikola Tesla, Dreamer" minn Allan L. Benson - ġie ppubblikat fid-Dinja Illum, li fih l-illustrazzjoni ta 'artist tidher li turi d-Dinja kollha xquq bin-nofs bit-titlu, "Tesla ssostni li fi ftit ġimgħat Huwa seta 'jwaqqaf il-qoxra tad-Dinja f'tali stat ta' vibrazzjoni li kienet titla 'u taqa' mijiet ta 'saqajn u prattikament teqred iċ-ċiviltà. Tkomplija ta' dan il-proċess tkun, qal, eventwalment taqsam id-Dinja fi tnejn. "</v>
      </c>
    </row>
    <row r="8121" ht="15.75" customHeight="1">
      <c r="A8121" s="2" t="s">
        <v>8121</v>
      </c>
      <c r="B8121" s="2" t="str">
        <f>IFERROR(__xludf.DUMMYFUNCTION("GOOGLETRANSLATE(A8121, ""en"", ""mt"")"),"X'inhi l-professjoni ta 'Michael Carrick u Alan Shearer?")</f>
        <v>X'inhi l-professjoni ta 'Michael Carrick u Alan Shearer?</v>
      </c>
    </row>
    <row r="8122" ht="15.75" customHeight="1">
      <c r="A8122" s="2" t="s">
        <v>8122</v>
      </c>
      <c r="B8122" s="2" t="str">
        <f>IFERROR(__xludf.DUMMYFUNCTION("GOOGLETRANSLATE(A8122, ""en"", ""mt"")"),"kellu jitwettaq b'suċċess")</f>
        <v>kellu jitwettaq b'suċċess</v>
      </c>
    </row>
    <row r="8123" ht="15.75" customHeight="1">
      <c r="A8123" s="2" t="s">
        <v>8123</v>
      </c>
      <c r="B8123" s="2" t="str">
        <f>IFERROR(__xludf.DUMMYFUNCTION("GOOGLETRANSLATE(A8123, ""en"", ""mt"")"),"F'liema oqsma oħra l-missjonijiet Apollo għenu biex jixprunaw l-avvanzi?")</f>
        <v>F'liema oqsma oħra l-missjonijiet Apollo għenu biex jixprunaw l-avvanzi?</v>
      </c>
    </row>
    <row r="8124" ht="15.75" customHeight="1">
      <c r="A8124" s="2" t="s">
        <v>8124</v>
      </c>
      <c r="B8124" s="2" t="str">
        <f>IFERROR(__xludf.DUMMYFUNCTION("GOOGLETRANSLATE(A8124, ""en"", ""mt"")"),"Il-kundizzjonijiet tas-sit, ir-regolamenti lokali, l-ekonomiji ta 'skala u d-disponibbiltà ta' negozjanti tas-sengħa kollha jaffettwaw x'inhuma?")</f>
        <v>Il-kundizzjonijiet tas-sit, ir-regolamenti lokali, l-ekonomiji ta 'skala u d-disponibbiltà ta' negozjanti tas-sengħa kollha jaffettwaw x'inhuma?</v>
      </c>
    </row>
    <row r="8125" ht="15.75" customHeight="1">
      <c r="A8125" s="2" t="s">
        <v>8125</v>
      </c>
      <c r="B8125" s="2" t="str">
        <f>IFERROR(__xludf.DUMMYFUNCTION("GOOGLETRANSLATE(A8125, ""en"", ""mt"")"),"Prototip għall-Konfederazzjoni")</f>
        <v>Prototip għall-Konfederazzjoni</v>
      </c>
    </row>
    <row r="8126" ht="15.75" customHeight="1">
      <c r="A8126" s="2" t="s">
        <v>8126</v>
      </c>
      <c r="B8126" s="2" t="str">
        <f>IFERROR(__xludf.DUMMYFUNCTION("GOOGLETRANSLATE(A8126, ""en"", ""mt"")"),"ugwaljanza")</f>
        <v>ugwaljanza</v>
      </c>
    </row>
    <row r="8127" ht="15.75" customHeight="1">
      <c r="A8127" s="2" t="s">
        <v>8127</v>
      </c>
      <c r="B8127" s="2" t="str">
        <f>IFERROR(__xludf.DUMMYFUNCTION("GOOGLETRANSLATE(A8127, ""en"", ""mt"")"),"ABC bħalissa għandu d-drittijiet tax-xandir għall-Premjijiet tal-Akkademja, Emmy Awards (li huma mdawra fl-erba 'netwerks ewlenin kollha fuq bażi ta' sena għal sena), American Music Awards, Disney Parks Christmas Day Parade, Tournament of Roses Parade, Co"&amp;"untry Music Association Premjijiet u l-Festival tal-Mużika CMA. Mill-2000, ABC kellha wkoll id-drittijiet tat-televiżjoni għal ħafna mill-ispeċjalitajiet tat-televiżjoni tal-karawett, wara li akkwistat id-drittijiet tax-xandir mingħand CBS, li oriġinaw l-"&amp;"ispeċjalitajiet fl-1965 bid-debutt ta 'Charlie Brown Christmas (speċjali tal-karawett imxandra kull sena minn ABC, inkluż A Charlie Brown Christmas, Inkludi It's The Great Pumpkin, Charlie Brown u Charlie Brown Radd il-Ħajr).")</f>
        <v>ABC bħalissa għandu d-drittijiet tax-xandir għall-Premjijiet tal-Akkademja, Emmy Awards (li huma mdawra fl-erba 'netwerks ewlenin kollha fuq bażi ta' sena għal sena), American Music Awards, Disney Parks Christmas Day Parade, Tournament of Roses Parade, Country Music Association Premjijiet u l-Festival tal-Mużika CMA. Mill-2000, ABC kellha wkoll id-drittijiet tat-televiżjoni għal ħafna mill-ispeċjalitajiet tat-televiżjoni tal-karawett, wara li akkwistat id-drittijiet tax-xandir mingħand CBS, li oriġinaw l-ispeċjalitajiet fl-1965 bid-debutt ta 'Charlie Brown Christmas (speċjali tal-karawett imxandra kull sena minn ABC, inkluż A Charlie Brown Christmas, Inkludi It's The Great Pumpkin, Charlie Brown u Charlie Brown Radd il-Ħajr).</v>
      </c>
    </row>
    <row r="8128" ht="15.75" customHeight="1">
      <c r="A8128" s="2" t="s">
        <v>8128</v>
      </c>
      <c r="B8128" s="2" t="str">
        <f>IFERROR(__xludf.DUMMYFUNCTION("GOOGLETRANSLATE(A8128, ""en"", ""mt"")"),"X'kien maħsub li jistabbilixxi l-kollokazzjoni Marburg?")</f>
        <v>X'kien maħsub li jistabbilixxi l-kollokazzjoni Marburg?</v>
      </c>
    </row>
    <row r="8129" ht="15.75" customHeight="1">
      <c r="A8129" s="2" t="s">
        <v>8129</v>
      </c>
      <c r="B8129" s="2" t="str">
        <f>IFERROR(__xludf.DUMMYFUNCTION("GOOGLETRANSLATE(A8129, ""en"", ""mt"")"),"X'inhu l-mekkaniżmu tad-difiża ewlieni tal-batterji magħruf bħala?")</f>
        <v>X'inhu l-mekkaniżmu tad-difiża ewlieni tal-batterji magħruf bħala?</v>
      </c>
    </row>
    <row r="8130" ht="15.75" customHeight="1">
      <c r="A8130" s="2" t="s">
        <v>8130</v>
      </c>
      <c r="B8130" s="2" t="str">
        <f>IFERROR(__xludf.DUMMYFUNCTION("GOOGLETRANSLATE(A8130, ""en"", ""mt"")"),"Siġill")</f>
        <v>Siġill</v>
      </c>
    </row>
    <row r="8131" ht="15.75" customHeight="1">
      <c r="A8131" s="2" t="s">
        <v>8131</v>
      </c>
      <c r="B8131" s="2" t="str">
        <f>IFERROR(__xludf.DUMMYFUNCTION("GOOGLETRANSLATE(A8131, ""en"", ""mt"")"),"Baħar tal-Ġappun")</f>
        <v>Baħar tal-Ġappun</v>
      </c>
    </row>
    <row r="8132" ht="15.75" customHeight="1">
      <c r="A8132" s="2" t="s">
        <v>8132</v>
      </c>
      <c r="B8132" s="2" t="str">
        <f>IFERROR(__xludf.DUMMYFUNCTION("GOOGLETRANSLATE(A8132, ""en"", ""mt"")"),"X'tip ta 'labra kienet użata fil-ħolqien tat-tapizzerija ta' Bayeux?")</f>
        <v>X'tip ta 'labra kienet użata fil-ħolqien tat-tapizzerija ta' Bayeux?</v>
      </c>
    </row>
    <row r="8133" ht="15.75" customHeight="1">
      <c r="A8133" s="2" t="s">
        <v>8133</v>
      </c>
      <c r="B8133" s="2" t="str">
        <f>IFERROR(__xludf.DUMMYFUNCTION("GOOGLETRANSLATE(A8133, ""en"", ""mt"")"),"Fis-snin immedjati ta 'wara l-gwerra kien hemm ftit flus disponibbli għal tiswijiet essenzjali. Is-snin 1950 u l-bidu tas-snin 1960 raw ftit fil-mod ta 'bini tax-xogħol; L-ewwel xogħol ewlieni kien il-ħolqien ta 'spazju ta' ħażna ġdid għall-kotba fil-libr"&amp;"erija tal-arti fl-1966 u fl-1967. Dan kien jinvolvi art fuq is-sala ewlenija ta 'Aston Webb biex tifforma l-munzelli tal-kotba, b'gallerija medjevali ġdida fil-pjan terran (issa l-ħanut, miftuħa fl-2006). Imbagħad il-galleriji ta 'l-art ta' isfel fil-part"&amp;"i tal-lbiċ ġew iddisinjati mill-ġdid, li fetħu fl-1978 biex jiffurmaw il-galleriji l-ġodda li jkopru l-arti kontinentali 1600-1800 (Rinaxximent tard, Barokk permezz ta 'Rococo u Neo-Klassiku). Fl-1974 il-mużew kien akkwista dak li issa hu l-Wing Henry Col"&amp;"e mill-Royal College of Science. Sabiex jadattaw il-bini bħala galleriji, l-interjuri kollha ta 'Vittorjan ħlief għat-taraġ ġew imfassla mill-ġdid waqt it-tibdil mill-ġdid. Biex tgħaqqad dan mal-bqija tal-mużew, ġie mibni bini ġdid fuq is-sit tad-dar tal-"&amp;"bojler ta 'qabel, is-sit maħsub tal-ispirall, bejn l-1978 u l-1982. Dan il-bini huwa ta' konkrit u funzjonali ħafna, l-uniku tisbiħ huwa Il-Gates tal-Ħadid minn Christopher Hay u Douglas Coyne tar-Royal College of Art. Dawn huma stabbiliti fil-ħajt tal-is"&amp;"krin kolumned iddisinjat minn Aston Webb li jifforma l-faċċata.")</f>
        <v>Fis-snin immedjati ta 'wara l-gwerra kien hemm ftit flus disponibbli għal tiswijiet essenzjali. Is-snin 1950 u l-bidu tas-snin 1960 raw ftit fil-mod ta 'bini tax-xogħol; L-ewwel xogħol ewlieni kien il-ħolqien ta 'spazju ta' ħażna ġdid għall-kotba fil-librerija tal-arti fl-1966 u fl-1967. Dan kien jinvolvi art fuq is-sala ewlenija ta 'Aston Webb biex tifforma l-munzelli tal-kotba, b'gallerija medjevali ġdida fil-pjan terran (issa l-ħanut, miftuħa fl-2006). Imbagħad il-galleriji ta 'l-art ta' isfel fil-parti tal-lbiċ ġew iddisinjati mill-ġdid, li fetħu fl-1978 biex jiffurmaw il-galleriji l-ġodda li jkopru l-arti kontinentali 1600-1800 (Rinaxximent tard, Barokk permezz ta 'Rococo u Neo-Klassiku). Fl-1974 il-mużew kien akkwista dak li issa hu l-Wing Henry Cole mill-Royal College of Science. Sabiex jadattaw il-bini bħala galleriji, l-interjuri kollha ta 'Vittorjan ħlief għat-taraġ ġew imfassla mill-ġdid waqt it-tibdil mill-ġdid. Biex tgħaqqad dan mal-bqija tal-mużew, ġie mibni bini ġdid fuq is-sit tad-dar tal-bojler ta 'qabel, is-sit maħsub tal-ispirall, bejn l-1978 u l-1982. Dan il-bini huwa ta' konkrit u funzjonali ħafna, l-uniku tisbiħ huwa Il-Gates tal-Ħadid minn Christopher Hay u Douglas Coyne tar-Royal College of Art. Dawn huma stabbiliti fil-ħajt tal-iskrin kolumned iddisinjat minn Aston Webb li jifforma l-faċċata.</v>
      </c>
    </row>
    <row r="8134" ht="15.75" customHeight="1">
      <c r="A8134" s="2" t="s">
        <v>8134</v>
      </c>
      <c r="B8134" s="2" t="str">
        <f>IFERROR(__xludf.DUMMYFUNCTION("GOOGLETRANSLATE(A8134, ""en"", ""mt"")"),"Liema maltempata kellha l-iktar impatt sinifikanti fuq Jacksonville?")</f>
        <v>Liema maltempata kellha l-iktar impatt sinifikanti fuq Jacksonville?</v>
      </c>
    </row>
    <row r="8135" ht="15.75" customHeight="1">
      <c r="A8135" s="2" t="s">
        <v>8135</v>
      </c>
      <c r="B8135" s="2" t="str">
        <f>IFERROR(__xludf.DUMMYFUNCTION("GOOGLETRANSLATE(A8135, ""en"", ""mt"")"),"Bejn wieħed u ieħor kemm hemm oġġetti fil-ġbir tal-kostumi tal-V &amp; A?")</f>
        <v>Bejn wieħed u ieħor kemm hemm oġġetti fil-ġbir tal-kostumi tal-V &amp; A?</v>
      </c>
    </row>
    <row r="8136" ht="15.75" customHeight="1">
      <c r="A8136" s="2" t="s">
        <v>8136</v>
      </c>
      <c r="B8136" s="2" t="str">
        <f>IFERROR(__xludf.DUMMYFUNCTION("GOOGLETRANSLATE(A8136, ""en"", ""mt"")"),"X'kien l-istil tas-salut ta 'Luther fl-aħħar tad-diskors tiegħu?")</f>
        <v>X'kien l-istil tas-salut ta 'Luther fl-aħħar tad-diskors tiegħu?</v>
      </c>
    </row>
    <row r="8137" ht="15.75" customHeight="1">
      <c r="A8137" s="2" t="s">
        <v>8137</v>
      </c>
      <c r="B8137" s="2" t="str">
        <f>IFERROR(__xludf.DUMMYFUNCTION("GOOGLETRANSLATE(A8137, ""en"", ""mt"")"),"L-Islam Konservattiv jikklassifika l-Musulmani li jsegwu l-interpretazzjoni Shia?")</f>
        <v>L-Islam Konservattiv jikklassifika l-Musulmani li jsegwu l-interpretazzjoni Shia?</v>
      </c>
    </row>
    <row r="8138" ht="15.75" customHeight="1">
      <c r="A8138" s="2" t="s">
        <v>8138</v>
      </c>
      <c r="B8138" s="2" t="str">
        <f>IFERROR(__xludf.DUMMYFUNCTION("GOOGLETRANSLATE(A8138, ""en"", ""mt"")"),"X'inhu essenzjali għall-eżekuzzjoni b'suċċess ta 'proġett?")</f>
        <v>X'inhu essenzjali għall-eżekuzzjoni b'suċċess ta 'proġett?</v>
      </c>
    </row>
    <row r="8139" ht="15.75" customHeight="1">
      <c r="A8139" s="2" t="s">
        <v>8139</v>
      </c>
      <c r="B8139" s="2" t="str">
        <f>IFERROR(__xludf.DUMMYFUNCTION("GOOGLETRANSLATE(A8139, ""en"", ""mt"")"),"Kemm huwa l-Kulleġġ Fresno City mid-Distrett tat-Torri?")</f>
        <v>Kemm huwa l-Kulleġġ Fresno City mid-Distrett tat-Torri?</v>
      </c>
    </row>
    <row r="8140" ht="15.75" customHeight="1">
      <c r="A8140" s="2" t="s">
        <v>8140</v>
      </c>
      <c r="B8140" s="2" t="str">
        <f>IFERROR(__xludf.DUMMYFUNCTION("GOOGLETRANSLATE(A8140, ""en"", ""mt"")"),"kmieni fid-disgħinijiet")</f>
        <v>kmieni fid-disgħinijiet</v>
      </c>
    </row>
    <row r="8141" ht="15.75" customHeight="1">
      <c r="A8141" s="2" t="s">
        <v>8141</v>
      </c>
      <c r="B8141" s="2" t="str">
        <f>IFERROR(__xludf.DUMMYFUNCTION("GOOGLETRANSLATE(A8141, ""en"", ""mt"")"),"L-għajbien ta 'Luther waqt il-vjaġġ tar-ritorn tiegħu lura lejn Wittenberg kien ippjanat. Frederick III kellu miegħu interċettat fi triqtu lejn id-dar fil-foresta ħdejn Wittenberg minn kavallieri mgħottija li kienu magħmula biex jidhru bħala awtostradi ar"&amp;"mati. Huma skortaw lil Luther għas-sigurtà tal-Kastell ta 'Wartburg f'Eisenach. Matul il-waqfa tiegħu f'Wartburg, li hu rrefera għalih bħala ""Patmos tiegħi"", Luther tradotta t-Testment il-Ġdid mill-Grieg lejn il-Ġermaniż u nefa 'kitbiet duttrinali u pol"&amp;"emiċi. Dawn kienu jinkludu attakk imġedded fuq l-Arċisqof Albrecht ta 'Mainz, li hu mistħija biex iwaqqaf il-bejgħ ta' indulġenzi fl-episkopati tiegħu, u ""rifutazzjoni ta 'l-argument ta' Latomus,"" li fih huwa espost il-prinċipju ta 'ġustifikazzjoni għal"&amp;" Jacobus latomus, teologu Ortodoss Minn Louvain.")</f>
        <v>L-għajbien ta 'Luther waqt il-vjaġġ tar-ritorn tiegħu lura lejn Wittenberg kien ippjanat. Frederick III kellu miegħu interċettat fi triqtu lejn id-dar fil-foresta ħdejn Wittenberg minn kavallieri mgħottija li kienu magħmula biex jidhru bħala awtostradi armati. Huma skortaw lil Luther għas-sigurtà tal-Kastell ta 'Wartburg f'Eisenach. Matul il-waqfa tiegħu f'Wartburg, li hu rrefera għalih bħala "Patmos tiegħi", Luther tradotta t-Testment il-Ġdid mill-Grieg lejn il-Ġermaniż u nefa 'kitbiet duttrinali u polemiċi. Dawn kienu jinkludu attakk imġedded fuq l-Arċisqof Albrecht ta 'Mainz, li hu mistħija biex iwaqqaf il-bejgħ ta' indulġenzi fl-episkopati tiegħu, u "rifutazzjoni ta 'l-argument ta' Latomus," li fih huwa espost il-prinċipju ta 'ġustifikazzjoni għal Jacobus latomus, teologu Ortodoss Minn Louvain.</v>
      </c>
    </row>
    <row r="8142" ht="15.75" customHeight="1">
      <c r="A8142" s="2" t="s">
        <v>8142</v>
      </c>
      <c r="B8142" s="2" t="str">
        <f>IFERROR(__xludf.DUMMYFUNCTION("GOOGLETRANSLATE(A8142, ""en"", ""mt"")"),"X'inhu eżempju wieħed ta 'dak li jinvolvu d-dmirijiet ta' spiżjar kliniku?")</f>
        <v>X'inhu eżempju wieħed ta 'dak li jinvolvu d-dmirijiet ta' spiżjar kliniku?</v>
      </c>
    </row>
    <row r="8143" ht="15.75" customHeight="1">
      <c r="A8143" s="2" t="s">
        <v>8143</v>
      </c>
      <c r="B8143" s="2" t="str">
        <f>IFERROR(__xludf.DUMMYFUNCTION("GOOGLETRANSLATE(A8143, ""en"", ""mt"")"),"ossiġnu gassuż")</f>
        <v>ossiġnu gassuż</v>
      </c>
    </row>
    <row r="8144" ht="15.75" customHeight="1">
      <c r="A8144" s="2" t="s">
        <v>8144</v>
      </c>
      <c r="B8144" s="2" t="str">
        <f>IFERROR(__xludf.DUMMYFUNCTION("GOOGLETRANSLATE(A8144, ""en"", ""mt"")"),"Meta beda l-programm ta 'ritratt tar-Rhine?")</f>
        <v>Meta beda l-programm ta 'ritratt tar-Rhine?</v>
      </c>
    </row>
    <row r="8145" ht="15.75" customHeight="1">
      <c r="A8145" s="2" t="s">
        <v>8145</v>
      </c>
      <c r="B8145" s="2" t="str">
        <f>IFERROR(__xludf.DUMMYFUNCTION("GOOGLETRANSLATE(A8145, ""en"", ""mt"")"),"Ħxejjex")</f>
        <v>Ħxejjex</v>
      </c>
    </row>
    <row r="8146" ht="15.75" customHeight="1">
      <c r="A8146" s="2" t="s">
        <v>8146</v>
      </c>
      <c r="B8146" s="2" t="str">
        <f>IFERROR(__xludf.DUMMYFUNCTION("GOOGLETRANSLATE(A8146, ""en"", ""mt"")"),"Il-Qilla ta ’Alla lill-Insara")</f>
        <v>Il-Qilla ta ’Alla lill-Insara</v>
      </c>
    </row>
    <row r="8147" ht="15.75" customHeight="1">
      <c r="A8147" s="2" t="s">
        <v>8147</v>
      </c>
      <c r="B8147" s="2" t="str">
        <f>IFERROR(__xludf.DUMMYFUNCTION("GOOGLETRANSLATE(A8147, ""en"", ""mt"")"),"Minn xiex hija magħmula l-leġiżlatur tal-Unjoni Ewropea?")</f>
        <v>Minn xiex hija magħmula l-leġiżlatur tal-Unjoni Ewropea?</v>
      </c>
    </row>
    <row r="8148" ht="15.75" customHeight="1">
      <c r="A8148" s="2" t="s">
        <v>8148</v>
      </c>
      <c r="B8148" s="2" t="str">
        <f>IFERROR(__xludf.DUMMYFUNCTION("GOOGLETRANSLATE(A8148, ""en"", ""mt"")"),"flus minn sistemi bankarji Iżlamisti barranin")</f>
        <v>flus minn sistemi bankarji Iżlamisti barranin</v>
      </c>
    </row>
    <row r="8149" ht="15.75" customHeight="1">
      <c r="A8149" s="2" t="s">
        <v>8149</v>
      </c>
      <c r="B8149" s="2" t="str">
        <f>IFERROR(__xludf.DUMMYFUNCTION("GOOGLETRANSLATE(A8149, ""en"", ""mt"")"),"Dwar x’tip Tesla għat-telf tal-flus inizjali?")</f>
        <v>Dwar x’tip Tesla għat-telf tal-flus inizjali?</v>
      </c>
    </row>
    <row r="8150" ht="15.75" customHeight="1">
      <c r="A8150" s="2" t="s">
        <v>8150</v>
      </c>
      <c r="B8150" s="2" t="str">
        <f>IFERROR(__xludf.DUMMYFUNCTION("GOOGLETRANSLATE(A8150, ""en"", ""mt"")"),"Disa 'Fatturi")</f>
        <v>Disa 'Fatturi</v>
      </c>
    </row>
    <row r="8151" ht="15.75" customHeight="1">
      <c r="A8151" s="2" t="s">
        <v>8151</v>
      </c>
      <c r="B8151" s="2" t="str">
        <f>IFERROR(__xludf.DUMMYFUNCTION("GOOGLETRANSLATE(A8151, ""en"", ""mt"")"),"X'inhuma ż-żewġ sottotipi ewlenin taċ-ċelloli T?")</f>
        <v>X'inhuma ż-żewġ sottotipi ewlenin taċ-ċelloli T?</v>
      </c>
    </row>
    <row r="8152" ht="15.75" customHeight="1">
      <c r="A8152" s="2" t="s">
        <v>8152</v>
      </c>
      <c r="B8152" s="2" t="str">
        <f>IFERROR(__xludf.DUMMYFUNCTION("GOOGLETRANSLATE(A8152, ""en"", ""mt"")"),"Apollo 1 Crew Backup.")</f>
        <v>Apollo 1 Crew Backup.</v>
      </c>
    </row>
    <row r="8153" ht="15.75" customHeight="1">
      <c r="A8153" s="2" t="s">
        <v>8153</v>
      </c>
      <c r="B8153" s="2" t="str">
        <f>IFERROR(__xludf.DUMMYFUNCTION("GOOGLETRANSLATE(A8153, ""en"", ""mt"")"),"Għaliex iseħħu dawn id-difetti?")</f>
        <v>Għaliex iseħħu dawn id-difetti?</v>
      </c>
    </row>
    <row r="8154" ht="15.75" customHeight="1">
      <c r="A8154" s="2" t="s">
        <v>8154</v>
      </c>
      <c r="B8154" s="2" t="str">
        <f>IFERROR(__xludf.DUMMYFUNCTION("GOOGLETRANSLATE(A8154, ""en"", ""mt"")"),"Il-wiċċ ta 'barra jġorr ġeneralment tmien ringieli tal-moxt, imsejħa pjanċi tal-għawm, li jintużaw għall-għawm. Ir-ringieli huma orjentati biex jimxu minn ħdejn il-ħalq (l- ""arblu orali"") sat-tarf oppost (l- ""arblu aboral""), u huma spazjati ftit jew w"&amp;"isq indaqs madwar il-ġisem, għalkemm ix-xejriet tal-ispazjar ivarjaw skont l-ispeċi u f'ħafna mill-ispeċi Ir-ringieli tal-moxt jestendu biss parti mid-distanza mill-arblu aboral lejn il-ħalq. Il- ""pettnijiet"" (imsejħa wkoll ""ctenes"" jew ""pjanċi tal-m"&amp;"oxt"") jimxu madwar kull ringiela, u kull wieħed jikkonsisti f'eluf ta 'ċili mhux tas-soltu twal, sa 2 millimetri (0.079 in). B'differenza minn cilia konvenzjonali u flagella, li għandha struttura ta 'filament irranġata f'disinn ta' 9 + 2, dawn iċ-ċili hu"&amp;"ma rranġati f'disinn ta '9 + 3, fejn il-filament kompatt żejjed huwa suspettat li għandu funzjoni ta' sostenn. Dawn normalment jegħlbu sabiex il-puplesija tal-propulsjoni tkun 'il bogħod mill-ħalq, għalkemm jistgħu wkoll ibiddlu d-direzzjoni. Għalhekk cte"&amp;"nophores ġeneralment jgħumu fid-direzzjoni li fiha l-ħalq ikun qed jipponta, b'differenza mill-bram. Meta tipprova taħrab mill-predaturi, speċi waħda tista 'tħaffef għal sitt darbiet il-veloċità normali tagħha; Xi speċi oħra jdawru d-direzzjoni bħala part"&amp;"i mill-imġieba tal-ħarba tagħhom, billi jreġġgħu lura l-power puplesija tal-pjanċa tal-moxt.")</f>
        <v>Il-wiċċ ta 'barra jġorr ġeneralment tmien ringieli tal-moxt, imsejħa pjanċi tal-għawm, li jintużaw għall-għawm. Ir-ringieli huma orjentati biex jimxu minn ħdejn il-ħalq (l- "arblu orali") sat-tarf oppost (l- "arblu aboral"), u huma spazjati ftit jew wisq indaqs madwar il-ġisem, għalkemm ix-xejriet tal-ispazjar ivarjaw skont l-ispeċi u f'ħafna mill-ispeċi Ir-ringieli tal-moxt jestendu biss parti mid-distanza mill-arblu aboral lejn il-ħalq. Il- "pettnijiet" (imsejħa wkoll "ctenes" jew "pjanċi tal-moxt") jimxu madwar kull ringiela, u kull wieħed jikkonsisti f'eluf ta 'ċili mhux tas-soltu twal, sa 2 millimetri (0.079 in). B'differenza minn cilia konvenzjonali u flagella, li għandha struttura ta 'filament irranġata f'disinn ta' 9 + 2, dawn iċ-ċili huma rranġati f'disinn ta '9 + 3, fejn il-filament kompatt żejjed huwa suspettat li għandu funzjoni ta' sostenn. Dawn normalment jegħlbu sabiex il-puplesija tal-propulsjoni tkun 'il bogħod mill-ħalq, għalkemm jistgħu wkoll ibiddlu d-direzzjoni. Għalhekk ctenophores ġeneralment jgħumu fid-direzzjoni li fiha l-ħalq ikun qed jipponta, b'differenza mill-bram. Meta tipprova taħrab mill-predaturi, speċi waħda tista 'tħaffef għal sitt darbiet il-veloċità normali tagħha; Xi speċi oħra jdawru d-direzzjoni bħala parti mill-imġieba tal-ħarba tagħhom, billi jreġġgħu lura l-power puplesija tal-pjanċa tal-moxt.</v>
      </c>
    </row>
    <row r="8155" ht="15.75" customHeight="1">
      <c r="A8155" s="2" t="s">
        <v>8155</v>
      </c>
      <c r="B8155" s="2" t="str">
        <f>IFERROR(__xludf.DUMMYFUNCTION("GOOGLETRANSLATE(A8155, ""en"", ""mt"")"),"Studji kkontrollati u sperimentali")</f>
        <v>Studji kkontrollati u sperimentali</v>
      </c>
    </row>
    <row r="8156" ht="15.75" customHeight="1">
      <c r="A8156" s="2" t="s">
        <v>8156</v>
      </c>
      <c r="B8156" s="2" t="str">
        <f>IFERROR(__xludf.DUMMYFUNCTION("GOOGLETRANSLATE(A8156, ""en"", ""mt"")"),"'Ragħaj lokali liċenzjat")</f>
        <v>'Ragħaj lokali liċenzjat</v>
      </c>
    </row>
    <row r="8157" ht="15.75" customHeight="1">
      <c r="A8157" s="2" t="s">
        <v>8157</v>
      </c>
      <c r="B8157" s="2" t="str">
        <f>IFERROR(__xludf.DUMMYFUNCTION("GOOGLETRANSLATE(A8157, ""en"", ""mt"")"),"L-ispeċifiċità tal-antiġen tippermetti tweġibiet li huma speċifiċi għal ċerti tipi ta 'xiex?")</f>
        <v>L-ispeċifiċità tal-antiġen tippermetti tweġibiet li huma speċifiċi għal ċerti tipi ta 'xiex?</v>
      </c>
    </row>
    <row r="8158" ht="15.75" customHeight="1">
      <c r="A8158" s="2" t="s">
        <v>8158</v>
      </c>
      <c r="B8158" s="2" t="str">
        <f>IFERROR(__xludf.DUMMYFUNCTION("GOOGLETRANSLATE(A8158, ""en"", ""mt"")"),"Kemm qabel kif ukoll wara s-silta tal-1708 tal-Att dwar in-Naturalizzazzjoni tal-Protestanti Barranin, huwa stmat li 50,000 walloon Protestanti u Huguenots ħarbu lejn l-Ingilterra, b'ħafna jimxu lejn l-Irlanda u x'imkien ieħor. F'termini relattivi, dan ki"&amp;"en wieħed mill-ikbar mewġ ta 'immigrazzjoni li qatt kien hemm komunità etnika waħda lejn il-Gran Brittanja. Andrew Lortie (imwieled André Lortie), teologu u kittieb ewlieni ta 'Huguenot li mexxa l-komunità eżiljata f'Londra, sar magħruf għall-artikolazzjo"&amp;"ni tal-kritika tagħhom dwar il-Papa u d-duttrina ta' trans-swaba waqt il-massa.")</f>
        <v>Kemm qabel kif ukoll wara s-silta tal-1708 tal-Att dwar in-Naturalizzazzjoni tal-Protestanti Barranin, huwa stmat li 50,000 walloon Protestanti u Huguenots ħarbu lejn l-Ingilterra, b'ħafna jimxu lejn l-Irlanda u x'imkien ieħor. F'termini relattivi, dan kien wieħed mill-ikbar mewġ ta 'immigrazzjoni li qatt kien hemm komunità etnika waħda lejn il-Gran Brittanja. Andrew Lortie (imwieled André Lortie), teologu u kittieb ewlieni ta 'Huguenot li mexxa l-komunità eżiljata f'Londra, sar magħruf għall-artikolazzjoni tal-kritika tagħhom dwar il-Papa u d-duttrina ta' trans-swaba waqt il-massa.</v>
      </c>
    </row>
    <row r="8159" ht="15.75" customHeight="1">
      <c r="A8159" s="2" t="s">
        <v>8159</v>
      </c>
      <c r="B8159" s="2" t="str">
        <f>IFERROR(__xludf.DUMMYFUNCTION("GOOGLETRANSLATE(A8159, ""en"", ""mt"")"),"Sit tal-Wirt Dinji")</f>
        <v>Sit tal-Wirt Dinji</v>
      </c>
    </row>
    <row r="8160" ht="15.75" customHeight="1">
      <c r="A8160" s="2" t="s">
        <v>8160</v>
      </c>
      <c r="B8160" s="2" t="str">
        <f>IFERROR(__xludf.DUMMYFUNCTION("GOOGLETRANSLATE(A8160, ""en"", ""mt"")"),"10")</f>
        <v>10</v>
      </c>
    </row>
    <row r="8161" ht="15.75" customHeight="1">
      <c r="A8161" s="2" t="s">
        <v>8161</v>
      </c>
      <c r="B8161" s="2" t="str">
        <f>IFERROR(__xludf.DUMMYFUNCTION("GOOGLETRANSLATE(A8161, ""en"", ""mt"")"),"Kemm speċi ta 'ctenophora ġew ivvalidati?")</f>
        <v>Kemm speċi ta 'ctenophora ġew ivvalidati?</v>
      </c>
    </row>
    <row r="8162" ht="15.75" customHeight="1">
      <c r="A8162" s="2" t="s">
        <v>8162</v>
      </c>
      <c r="B8162" s="2" t="str">
        <f>IFERROR(__xludf.DUMMYFUNCTION("GOOGLETRANSLATE(A8162, ""en"", ""mt"")"),"Sport uffiċjali tal-iskola")</f>
        <v>Sport uffiċjali tal-iskola</v>
      </c>
    </row>
    <row r="8163" ht="15.75" customHeight="1">
      <c r="A8163" s="2" t="s">
        <v>8163</v>
      </c>
      <c r="B8163" s="2" t="str">
        <f>IFERROR(__xludf.DUMMYFUNCTION("GOOGLETRANSLATE(A8163, ""en"", ""mt"")"),"Sal-1998, il-VBNs kibru biex jgħaqqdu aktar minn 100 università u istituzzjonijiet ta 'riċerka u inġinerija permezz ta '12 -il punt nazzjonali ta' preżenza ma 'DS-3")</f>
        <v>Sal-1998, il-VBNs kibru biex jgħaqqdu aktar minn 100 università u istituzzjonijiet ta 'riċerka u inġinerija permezz ta '12 -il punt nazzjonali ta' preżenza ma 'DS-3</v>
      </c>
    </row>
    <row r="8164" ht="15.75" customHeight="1">
      <c r="A8164" s="2" t="s">
        <v>8164</v>
      </c>
      <c r="B8164" s="2" t="str">
        <f>IFERROR(__xludf.DUMMYFUNCTION("GOOGLETRANSLATE(A8164, ""en"", ""mt"")"),"Deher ċar ukoll li Apollo se jegħleb il-faċilitajiet ta 'tnedija ta' Canaveral fi Florida. Iż-żewġ kumplessi l-aktar ġodda tal-varar kienu diġà qed jinbnew għar-rokits Saturn I u IB fit-tarf tat-tramuntana: LC-34 u LC-37. Iżda faċilità saħansitra akbar tk"&amp;"un meħtieġa għar-rokit Mammoth meħtieġ għall-missjoni lunari mgħammra, u għalhekk l-akkwist tal-art beda f'Lulju 1961 għal Ċentru ta 'Operazzjonijiet ta' Tnedija (LOC) immedjatament fit-tramuntana ta 'Canaveral fil-Gżira Merritt. Id-disinn, l-iżvilupp u l"&amp;"-kostruzzjoni taċ-ċentru tmexxew minn Kurt H. Debus, membru tat-tim oriġinali tal-Inġinerija tar-Rocket V-2 ta 'Dr Wernher Von Braun. Debus ġie msemmi l-ewwel direttur tal-LOC. Il-kostruzzjoni bdiet f'Novembru tal-1962. Mal-mewt ta 'Kennedy, il-President "&amp;"Johnson ħareġ ordni eżekuttiva fid-29 ta' Novembru, 1963, biex jismu mill-ġdid il-Loc u l-Cape Canaveral ad unur Kennedy.")</f>
        <v>Deher ċar ukoll li Apollo se jegħleb il-faċilitajiet ta 'tnedija ta' Canaveral fi Florida. Iż-żewġ kumplessi l-aktar ġodda tal-varar kienu diġà qed jinbnew għar-rokits Saturn I u IB fit-tarf tat-tramuntana: LC-34 u LC-37. Iżda faċilità saħansitra akbar tkun meħtieġa għar-rokit Mammoth meħtieġ għall-missjoni lunari mgħammra, u għalhekk l-akkwist tal-art beda f'Lulju 1961 għal Ċentru ta 'Operazzjonijiet ta' Tnedija (LOC) immedjatament fit-tramuntana ta 'Canaveral fil-Gżira Merritt. Id-disinn, l-iżvilupp u l-kostruzzjoni taċ-ċentru tmexxew minn Kurt H. Debus, membru tat-tim oriġinali tal-Inġinerija tar-Rocket V-2 ta 'Dr Wernher Von Braun. Debus ġie msemmi l-ewwel direttur tal-LOC. Il-kostruzzjoni bdiet f'Novembru tal-1962. Mal-mewt ta 'Kennedy, il-President Johnson ħareġ ordni eżekuttiva fid-29 ta' Novembru, 1963, biex jismu mill-ġdid il-Loc u l-Cape Canaveral ad unur Kennedy.</v>
      </c>
    </row>
    <row r="8165" ht="15.75" customHeight="1">
      <c r="A8165" s="2" t="s">
        <v>8165</v>
      </c>
      <c r="B8165" s="2" t="str">
        <f>IFERROR(__xludf.DUMMYFUNCTION("GOOGLETRANSLATE(A8165, ""en"", ""mt"")"),"X'inhi t-temperatura approssimattiva tal-kondensatur fit-turbina?")</f>
        <v>X'inhi t-temperatura approssimattiva tal-kondensatur fit-turbina?</v>
      </c>
    </row>
    <row r="8166" ht="15.75" customHeight="1">
      <c r="A8166" s="2" t="s">
        <v>8166</v>
      </c>
      <c r="B8166" s="2" t="str">
        <f>IFERROR(__xludf.DUMMYFUNCTION("GOOGLETRANSLATE(A8166, ""en"", ""mt"")"),"Flimkien ma 'solari, faħam u nukleari, x'tip ta' pjanti notevoli jużaw il-proċess ta 'Rankine?")</f>
        <v>Flimkien ma 'solari, faħam u nukleari, x'tip ta' pjanti notevoli jużaw il-proċess ta 'Rankine?</v>
      </c>
    </row>
    <row r="8167" ht="15.75" customHeight="1">
      <c r="A8167" s="2" t="s">
        <v>8167</v>
      </c>
      <c r="B8167" s="2" t="str">
        <f>IFERROR(__xludf.DUMMYFUNCTION("GOOGLETRANSLATE(A8167, ""en"", ""mt"")"),"X'tip ta 'żwieġ interetniku sar komuni fid-dinastija Jin?")</f>
        <v>X'tip ta 'żwieġ interetniku sar komuni fid-dinastija Jin?</v>
      </c>
    </row>
    <row r="8168" ht="15.75" customHeight="1">
      <c r="A8168" s="2" t="s">
        <v>8168</v>
      </c>
      <c r="B8168" s="2" t="str">
        <f>IFERROR(__xludf.DUMMYFUNCTION("GOOGLETRANSLATE(A8168, ""en"", ""mt"")"),"X'inhi d-Duttrina Kattolika ta 'Fides Caritate Formata?")</f>
        <v>X'inhi d-Duttrina Kattolika ta 'Fides Caritate Formata?</v>
      </c>
    </row>
    <row r="8169" ht="15.75" customHeight="1">
      <c r="A8169" s="2" t="s">
        <v>8169</v>
      </c>
      <c r="B8169" s="2" t="str">
        <f>IFERROR(__xludf.DUMMYFUNCTION("GOOGLETRANSLATE(A8169, ""en"", ""mt"")"),"Min kiteb ""Walking in Fresno?""")</f>
        <v>Min kiteb "Walking in Fresno?"</v>
      </c>
    </row>
    <row r="8170" ht="15.75" customHeight="1">
      <c r="A8170" s="2" t="s">
        <v>8170</v>
      </c>
      <c r="B8170" s="2" t="str">
        <f>IFERROR(__xludf.DUMMYFUNCTION("GOOGLETRANSLATE(A8170, ""en"", ""mt"")"),"Gimgha")</f>
        <v>Gimgha</v>
      </c>
    </row>
    <row r="8171" ht="15.75" customHeight="1">
      <c r="A8171" s="2" t="s">
        <v>8171</v>
      </c>
      <c r="B8171" s="2" t="str">
        <f>IFERROR(__xludf.DUMMYFUNCTION("GOOGLETRANSLATE(A8171, ""en"", ""mt"")"),"Tipprojbixxi ċ-ċelebrazzjoni tal-għaqdiet tal-istess sess.")</f>
        <v>Tipprojbixxi ċ-ċelebrazzjoni tal-għaqdiet tal-istess sess.</v>
      </c>
    </row>
    <row r="8172" ht="15.75" customHeight="1">
      <c r="A8172" s="2" t="s">
        <v>8172</v>
      </c>
      <c r="B8172" s="2" t="str">
        <f>IFERROR(__xludf.DUMMYFUNCTION("GOOGLETRANSLATE(A8172, ""en"", ""mt"")"),"Liema grupp Luther ried jifhem ix-xogħlijiet tiegħu?")</f>
        <v>Liema grupp Luther ried jifhem ix-xogħlijiet tiegħu?</v>
      </c>
    </row>
    <row r="8173" ht="15.75" customHeight="1">
      <c r="A8173" s="2" t="s">
        <v>8173</v>
      </c>
      <c r="B8173" s="2" t="str">
        <f>IFERROR(__xludf.DUMMYFUNCTION("GOOGLETRANSLATE(A8173, ""en"", ""mt"")"),"Knisja Kattolika")</f>
        <v>Knisja Kattolika</v>
      </c>
    </row>
    <row r="8174" ht="15.75" customHeight="1">
      <c r="A8174" s="2" t="s">
        <v>8174</v>
      </c>
      <c r="B8174" s="2" t="str">
        <f>IFERROR(__xludf.DUMMYFUNCTION("GOOGLETRANSLATE(A8174, ""en"", ""mt"")"),"515 miljun sena ilu")</f>
        <v>515 miljun sena ilu</v>
      </c>
    </row>
    <row r="8175" ht="15.75" customHeight="1">
      <c r="A8175" s="2" t="s">
        <v>8175</v>
      </c>
      <c r="B8175" s="2" t="str">
        <f>IFERROR(__xludf.DUMMYFUNCTION("GOOGLETRANSLATE(A8175, ""en"", ""mt"")"),"L-ewwel xogħol ewlieni biex jikkontesta direttament it-teorija tal-pesta bubonika,")</f>
        <v>L-ewwel xogħol ewlieni biex jikkontesta direttament it-teorija tal-pesta bubonika,</v>
      </c>
    </row>
    <row r="8176" ht="15.75" customHeight="1">
      <c r="A8176" s="2" t="s">
        <v>8176</v>
      </c>
      <c r="B8176" s="2" t="str">
        <f>IFERROR(__xludf.DUMMYFUNCTION("GOOGLETRANSLATE(A8176, ""en"", ""mt"")"),"Madwar l-1685, ir-refuġjati Huguenot sabu kenn fil-Luterani u stati riformati fil-Ġermanja u fl-Iskandinavja. Kważi 50,000 Huguenots stabbilixxew ruħhom fil-Ġermanja, li 20,000 minnhom ġew milqugħa fi Brandenburg-Prussja, fejn ingħataw privileġġi speċjali"&amp;" (editt ta 'Potsdam) u knejjes li fihom għandhom jaduraw (bħalma huma l-Knisja ta' San Pietru u San Pawl, Angermünde ) minn Frederick William, l-Elettur ta 'Brandenburg u Duka tal-Prussja. Il-Huguenots ipprovda żewġ reġimenti ġodda tal-armata tiegħu: ir-r"&amp;"eġimenti tal-infanterija Altpreußische Nru 13 (Reġiment fuq Foot Varenne) u 15 (Regiment fuq Foot Wylich). 4,000 Huguenots oħra stabbilixxew fit-territorji Ġermaniżi ta 'Baden, Franconia (il-Prinċipat ta' Bayreuth, il-Prinċipat ta 'Ansbach), Landgraviate "&amp;"ta' Hesse-Kassel, Dukat ta 'Württemberg, fl-Assoċjazzjoni ta' Wetterau ta 'l-Imperjali, fil-Palatinat u Palatinat-Zweibrücken, Rhine-Main-Area (Frankfurt), fis-Saarland tal-ġurnata moderna; u 1,500 sabu kenn f'Hamburg, Bremen u Sassonja t'Isfel. Tliet mit"&amp;"t refuġjat ingħataw ażil fil-qorti ta ’George William, Duka ta’ Brunswick-Lüneburg f’Celle.")</f>
        <v>Madwar l-1685, ir-refuġjati Huguenot sabu kenn fil-Luterani u stati riformati fil-Ġermanja u fl-Iskandinavja. Kważi 50,000 Huguenots stabbilixxew ruħhom fil-Ġermanja, li 20,000 minnhom ġew milqugħa fi Brandenburg-Prussja, fejn ingħataw privileġġi speċjali (editt ta 'Potsdam) u knejjes li fihom għandhom jaduraw (bħalma huma l-Knisja ta' San Pietru u San Pawl, Angermünde ) minn Frederick William, l-Elettur ta 'Brandenburg u Duka tal-Prussja. Il-Huguenots ipprovda żewġ reġimenti ġodda tal-armata tiegħu: ir-reġimenti tal-infanterija Altpreußische Nru 13 (Reġiment fuq Foot Varenne) u 15 (Regiment fuq Foot Wylich). 4,000 Huguenots oħra stabbilixxew fit-territorji Ġermaniżi ta 'Baden, Franconia (il-Prinċipat ta' Bayreuth, il-Prinċipat ta 'Ansbach), Landgraviate ta' Hesse-Kassel, Dukat ta 'Württemberg, fl-Assoċjazzjoni ta' Wetterau ta 'l-Imperjali, fil-Palatinat u Palatinat-Zweibrücken, Rhine-Main-Area (Frankfurt), fis-Saarland tal-ġurnata moderna; u 1,500 sabu kenn f'Hamburg, Bremen u Sassonja t'Isfel. Tliet mitt refuġjat ingħataw ażil fil-qorti ta ’George William, Duka ta’ Brunswick-Lüneburg f’Celle.</v>
      </c>
    </row>
    <row r="8177" ht="15.75" customHeight="1">
      <c r="A8177" s="2" t="s">
        <v>8177</v>
      </c>
      <c r="B8177" s="2" t="str">
        <f>IFERROR(__xludf.DUMMYFUNCTION("GOOGLETRANSLATE(A8177, ""en"", ""mt"")"),"ABC tippossjedi wkoll The Times Square Studios fil-1500 Broadway fuq art fi Times Square li hija proprjetà ta ’fond ta’ żvilupp għat-42nd Street Project; Miftuħa fl-1999, Good Morning America u Nightline huma mxandra minn din il-faċilità partikolari. ABC "&amp;"News għandha bini ftit iktar fit-Triq tal-Punent 66, f'bini ta 'sitt sulari li jokkupa plott ta' 196 pied (60 m) × 379 pied (116 m) fi 121-135 West End Avenue. Il-blokka ta ’West End Avenue li tospita l-bini tal-aħbarijiet ABC ġiet imsejħa mill-ġdid Peter"&amp;" Jennings Way fl-2006 ad unur il-kap ta’ l-ABC News li ilu żmien mejjet u l-ankra ta ’World News Tonight.")</f>
        <v>ABC tippossjedi wkoll The Times Square Studios fil-1500 Broadway fuq art fi Times Square li hija proprjetà ta ’fond ta’ żvilupp għat-42nd Street Project; Miftuħa fl-1999, Good Morning America u Nightline huma mxandra minn din il-faċilità partikolari. ABC News għandha bini ftit iktar fit-Triq tal-Punent 66, f'bini ta 'sitt sulari li jokkupa plott ta' 196 pied (60 m) × 379 pied (116 m) fi 121-135 West End Avenue. Il-blokka ta ’West End Avenue li tospita l-bini tal-aħbarijiet ABC ġiet imsejħa mill-ġdid Peter Jennings Way fl-2006 ad unur il-kap ta’ l-ABC News li ilu żmien mejjet u l-ankra ta ’World News Tonight.</v>
      </c>
    </row>
    <row r="8178" ht="15.75" customHeight="1">
      <c r="A8178" s="2" t="s">
        <v>8178</v>
      </c>
      <c r="B8178" s="2" t="str">
        <f>IFERROR(__xludf.DUMMYFUNCTION("GOOGLETRANSLATE(A8178, ""en"", ""mt"")"),"Tnejn miż-zijiet ta ’Tesla")</f>
        <v>Tnejn miż-zijiet ta ’Tesla</v>
      </c>
    </row>
    <row r="8179" ht="15.75" customHeight="1">
      <c r="A8179" s="2" t="s">
        <v>8179</v>
      </c>
      <c r="B8179" s="2" t="str">
        <f>IFERROR(__xludf.DUMMYFUNCTION("GOOGLETRANSLATE(A8179, ""en"", ""mt"")"),"Patmos tiegħi")</f>
        <v>Patmos tiegħi</v>
      </c>
    </row>
    <row r="8180" ht="15.75" customHeight="1">
      <c r="A8180" s="2" t="s">
        <v>8180</v>
      </c>
      <c r="B8180" s="2" t="str">
        <f>IFERROR(__xludf.DUMMYFUNCTION("GOOGLETRANSLATE(A8180, ""en"", ""mt"")"),"X'inhuma t-tliet setturi tal-kostruzzjoni?")</f>
        <v>X'inhuma t-tliet setturi tal-kostruzzjoni?</v>
      </c>
    </row>
    <row r="8181" ht="15.75" customHeight="1">
      <c r="A8181" s="2" t="s">
        <v>8181</v>
      </c>
      <c r="B8181" s="2" t="str">
        <f>IFERROR(__xludf.DUMMYFUNCTION("GOOGLETRANSLATE(A8181, ""en"", ""mt"")"),"Kif bdew it-trattati tal-prinċipju li jiffurmaw l-Unjoni Ewropea?")</f>
        <v>Kif bdew it-trattati tal-prinċipju li jiffurmaw l-Unjoni Ewropea?</v>
      </c>
    </row>
    <row r="8182" ht="15.75" customHeight="1">
      <c r="A8182" s="2" t="s">
        <v>8182</v>
      </c>
      <c r="B8182" s="2" t="str">
        <f>IFERROR(__xludf.DUMMYFUNCTION("GOOGLETRANSLATE(A8182, ""en"", ""mt"")"),"Sea Gooseberry")</f>
        <v>Sea Gooseberry</v>
      </c>
    </row>
    <row r="8183" ht="15.75" customHeight="1">
      <c r="A8183" s="2" t="s">
        <v>8183</v>
      </c>
      <c r="B8183" s="2" t="str">
        <f>IFERROR(__xludf.DUMMYFUNCTION("GOOGLETRANSLATE(A8183, ""en"", ""mt"")"),"Rati ta 'intraprenditorija")</f>
        <v>Rati ta 'intraprenditorija</v>
      </c>
    </row>
    <row r="8184" ht="15.75" customHeight="1">
      <c r="A8184" s="2" t="s">
        <v>8184</v>
      </c>
      <c r="B8184" s="2" t="str">
        <f>IFERROR(__xludf.DUMMYFUNCTION("GOOGLETRANSLATE(A8184, ""en"", ""mt"")"),"X'kienet il-horsepower imqiegħed mit-turbini fil-Waterside Power Station")</f>
        <v>X'kienet il-horsepower imqiegħed mit-turbini fil-Waterside Power Station</v>
      </c>
    </row>
    <row r="8185" ht="15.75" customHeight="1">
      <c r="A8185" s="2" t="s">
        <v>8185</v>
      </c>
      <c r="B8185" s="2" t="str">
        <f>IFERROR(__xludf.DUMMYFUNCTION("GOOGLETRANSLATE(A8185, ""en"", ""mt"")"),"Espressjonijiet mhux verbali ta 'entużjażmu")</f>
        <v>Espressjonijiet mhux verbali ta 'entużjażmu</v>
      </c>
    </row>
    <row r="8186" ht="15.75" customHeight="1">
      <c r="A8186" s="2" t="s">
        <v>8186</v>
      </c>
      <c r="B8186" s="2" t="str">
        <f>IFERROR(__xludf.DUMMYFUNCTION("GOOGLETRANSLATE(A8186, ""en"", ""mt"")"),"50 fond")</f>
        <v>50 fond</v>
      </c>
    </row>
    <row r="8187" ht="15.75" customHeight="1">
      <c r="A8187" s="2" t="s">
        <v>8187</v>
      </c>
      <c r="B8187" s="2" t="str">
        <f>IFERROR(__xludf.DUMMYFUNCTION("GOOGLETRANSLATE(A8187, ""en"", ""mt"")"),"Il-kloroplasti tal-kloroplastidan, jew kloroplasti ħodor, huma nisel ieħor tal-kloroplast primarju kbir, divers ħafna. L-organiżmi ospitanti tagħhom huma komunement magħrufa bħala l-alka ħadra u l-pjanti tal-art. Huma differenti minn glaukofite u kloropla"&amp;"sti tal-alka ħamra billi tilfu l-phycobilisomes tagħhom, u fihom il-klorofilla B minflok. Il-biċċa l-kbira tal-kloroplasti ħodor huma (ovvjament) ħodor, għalkemm xi wħud mhumiex, bħal xi forom ta 'hæmatococcus pluvialis, minħabba pigmenti aċċessorji li jw"&amp;"arrbu l-kuluri ħodor tal-klorofillli. Il-kloroplasti tal-kloroplastidan tilfu l-ħajt tal-peptidoglycan bejn il-membrana doppja tagħhom, u biddluh bi spazju intermembrane. Xi pjanti jidhru li żammew il-ġeni għas-sintesi tas-saff tal-peptidoglycan, għalkemm"&amp;" minflok ġew imdaħħlin mill-ġdid għall-użu fid-diviżjoni tal-kloroplast minflok.")</f>
        <v>Il-kloroplasti tal-kloroplastidan, jew kloroplasti ħodor, huma nisel ieħor tal-kloroplast primarju kbir, divers ħafna. L-organiżmi ospitanti tagħhom huma komunement magħrufa bħala l-alka ħadra u l-pjanti tal-art. Huma differenti minn glaukofite u kloroplasti tal-alka ħamra billi tilfu l-phycobilisomes tagħhom, u fihom il-klorofilla B minflok. Il-biċċa l-kbira tal-kloroplasti ħodor huma (ovvjament) ħodor, għalkemm xi wħud mhumiex, bħal xi forom ta 'hæmatococcus pluvialis, minħabba pigmenti aċċessorji li jwarrbu l-kuluri ħodor tal-klorofillli. Il-kloroplasti tal-kloroplastidan tilfu l-ħajt tal-peptidoglycan bejn il-membrana doppja tagħhom, u biddluh bi spazju intermembrane. Xi pjanti jidhru li żammew il-ġeni għas-sintesi tas-saff tal-peptidoglycan, għalkemm minflok ġew imdaħħlin mill-ġdid għall-użu fid-diviżjoni tal-kloroplast minflok.</v>
      </c>
    </row>
    <row r="8188" ht="15.75" customHeight="1">
      <c r="A8188" s="2" t="s">
        <v>8188</v>
      </c>
      <c r="B8188" s="2" t="str">
        <f>IFERROR(__xludf.DUMMYFUNCTION("GOOGLETRANSLATE(A8188, ""en"", ""mt"")"),"Min kienu s-Semuren?")</f>
        <v>Min kienu s-Semuren?</v>
      </c>
    </row>
    <row r="8189" ht="15.75" customHeight="1">
      <c r="A8189" s="2" t="s">
        <v>8189</v>
      </c>
      <c r="B8189" s="2" t="str">
        <f>IFERROR(__xludf.DUMMYFUNCTION("GOOGLETRANSLATE(A8189, ""en"", ""mt"")"),"Serje ta 'strajkijiet minn minaturi tal-faħam u ħaddiema tal-ferrovija")</f>
        <v>Serje ta 'strajkijiet minn minaturi tal-faħam u ħaddiema tal-ferrovija</v>
      </c>
    </row>
    <row r="8190" ht="15.75" customHeight="1">
      <c r="A8190" s="2" t="s">
        <v>8190</v>
      </c>
      <c r="B8190" s="2" t="str">
        <f>IFERROR(__xludf.DUMMYFUNCTION("GOOGLETRANSLATE(A8190, ""en"", ""mt"")"),"Luther kien kittieb tal-innu prolifiku, li jawtorizza innijiet bħal ""Ein Feste Burg ist Unser Gott"" (""Fortizza Qawwija huwa Alla tagħna""), ibbażat fuq Salm 46, u ""Vom Himmel Hoch, da Komm ich tagħha"" (""minn Il-Ġenna 'l fuq lejn l-art niġi ""), ibba"&amp;"żat fuq Luqa 2: 11–12. Luther qabbad arti għolja u mużika folkloristika, ukoll il-klassijiet kollha, kleru u lajċi, irġiel, nisa u tfal. L-għodda tal-għażla tiegħu għal din il-konnessjoni kienet il-kant ta 'innijiet Ġermaniżi b'rabta mal-qima, l-iskola, i"&amp;"d-dar, u l-arena pubblika. Huwa spiss akkumpanja l-innijiet kantati bil-lute, aktar tard inħoloq bħala l-Waldzither li sar strument nazzjonali tal-Ġermanja fis-seklu 20.")</f>
        <v>Luther kien kittieb tal-innu prolifiku, li jawtorizza innijiet bħal "Ein Feste Burg ist Unser Gott" ("Fortizza Qawwija huwa Alla tagħna"), ibbażat fuq Salm 46, u "Vom Himmel Hoch, da Komm ich tagħha" ("minn Il-Ġenna 'l fuq lejn l-art niġi "), ibbażat fuq Luqa 2: 11–12. Luther qabbad arti għolja u mużika folkloristika, ukoll il-klassijiet kollha, kleru u lajċi, irġiel, nisa u tfal. L-għodda tal-għażla tiegħu għal din il-konnessjoni kienet il-kant ta 'innijiet Ġermaniżi b'rabta mal-qima, l-iskola, id-dar, u l-arena pubblika. Huwa spiss akkumpanja l-innijiet kantati bil-lute, aktar tard inħoloq bħala l-Waldzither li sar strument nazzjonali tal-Ġermanja fis-seklu 20.</v>
      </c>
    </row>
    <row r="8191" ht="15.75" customHeight="1">
      <c r="A8191" s="2" t="s">
        <v>8191</v>
      </c>
      <c r="B8191" s="2" t="str">
        <f>IFERROR(__xludf.DUMMYFUNCTION("GOOGLETRANSLATE(A8191, ""en"", ""mt"")"),"Papat")</f>
        <v>Papat</v>
      </c>
    </row>
    <row r="8192" ht="15.75" customHeight="1">
      <c r="A8192" s="2" t="s">
        <v>8192</v>
      </c>
      <c r="B8192" s="2" t="str">
        <f>IFERROR(__xludf.DUMMYFUNCTION("GOOGLETRANSLATE(A8192, ""en"", ""mt"")"),"skadut")</f>
        <v>skadut</v>
      </c>
    </row>
    <row r="8193" ht="15.75" customHeight="1">
      <c r="A8193" s="2" t="s">
        <v>8193</v>
      </c>
      <c r="B8193" s="2" t="str">
        <f>IFERROR(__xludf.DUMMYFUNCTION("GOOGLETRANSLATE(A8193, ""en"", ""mt"")"),"X'inhuma t-tliet sorsi tal-liġi tal-Unjoni Ewropea?")</f>
        <v>X'inhuma t-tliet sorsi tal-liġi tal-Unjoni Ewropea?</v>
      </c>
    </row>
    <row r="8194" ht="15.75" customHeight="1">
      <c r="A8194" s="2" t="s">
        <v>8194</v>
      </c>
      <c r="B8194" s="2" t="str">
        <f>IFERROR(__xludf.DUMMYFUNCTION("GOOGLETRANSLATE(A8194, ""en"", ""mt"")"),"anerobiku")</f>
        <v>anerobiku</v>
      </c>
    </row>
    <row r="8195" ht="15.75" customHeight="1">
      <c r="A8195" s="2" t="s">
        <v>8195</v>
      </c>
      <c r="B8195" s="2" t="str">
        <f>IFERROR(__xludf.DUMMYFUNCTION("GOOGLETRANSLATE(A8195, ""en"", ""mt"")"),"ikkonfermat")</f>
        <v>ikkonfermat</v>
      </c>
    </row>
    <row r="8196" ht="15.75" customHeight="1">
      <c r="A8196" s="2" t="s">
        <v>8196</v>
      </c>
      <c r="B8196" s="2" t="str">
        <f>IFERROR(__xludf.DUMMYFUNCTION("GOOGLETRANSLATE(A8196, ""en"", ""mt"")"),"seba 'stazzjonijiet tar-radju")</f>
        <v>seba 'stazzjonijiet tar-radju</v>
      </c>
    </row>
    <row r="8197" ht="15.75" customHeight="1">
      <c r="A8197" s="2" t="s">
        <v>8197</v>
      </c>
      <c r="B8197" s="2" t="str">
        <f>IFERROR(__xludf.DUMMYFUNCTION("GOOGLETRANSLATE(A8197, ""en"", ""mt"")"),"Komunità tal-Afrika tal-Lvant")</f>
        <v>Komunità tal-Afrika tal-Lvant</v>
      </c>
    </row>
    <row r="8198" ht="15.75" customHeight="1">
      <c r="A8198" s="2" t="s">
        <v>8198</v>
      </c>
      <c r="B8198" s="2" t="str">
        <f>IFERROR(__xludf.DUMMYFUNCTION("GOOGLETRANSLATE(A8198, ""en"", ""mt"")"),"Suite proprjetarja ta 'protokolli ta' netwerking żviluppati minn Apple Inc. fl-1985")</f>
        <v>Suite proprjetarja ta 'protokolli ta' netwerking żviluppati minn Apple Inc. fl-1985</v>
      </c>
    </row>
    <row r="8199" ht="15.75" customHeight="1">
      <c r="A8199" s="2" t="s">
        <v>8199</v>
      </c>
      <c r="B8199" s="2" t="str">
        <f>IFERROR(__xludf.DUMMYFUNCTION("GOOGLETRANSLATE(A8199, ""en"", ""mt"")"),"Il-Kenja kif titrażżan il-corruzzjoni?")</f>
        <v>Il-Kenja kif titrażżan il-corruzzjoni?</v>
      </c>
    </row>
    <row r="8200" ht="15.75" customHeight="1">
      <c r="A8200" s="2" t="s">
        <v>8200</v>
      </c>
      <c r="B8200" s="2" t="str">
        <f>IFERROR(__xludf.DUMMYFUNCTION("GOOGLETRANSLATE(A8200, ""en"", ""mt"")"),"Kemm iddikjara li l-enerġija mekkanika tista 'tiġi trasmessa?")</f>
        <v>Kemm iddikjara li l-enerġija mekkanika tista 'tiġi trasmessa?</v>
      </c>
    </row>
    <row r="8201" ht="15.75" customHeight="1">
      <c r="A8201" s="2" t="s">
        <v>8201</v>
      </c>
      <c r="B8201" s="2" t="str">
        <f>IFERROR(__xludf.DUMMYFUNCTION("GOOGLETRANSLATE(A8201, ""en"", ""mt"")"),"Fejn faqqgħet gwerra ċivili mdemma?")</f>
        <v>Fejn faqqgħet gwerra ċivili mdemma?</v>
      </c>
    </row>
    <row r="8202" ht="15.75" customHeight="1">
      <c r="A8202" s="2" t="s">
        <v>8202</v>
      </c>
      <c r="B8202" s="2" t="str">
        <f>IFERROR(__xludf.DUMMYFUNCTION("GOOGLETRANSLATE(A8202, ""en"", ""mt"")"),"Teatru tat-Torri")</f>
        <v>Teatru tat-Torri</v>
      </c>
    </row>
    <row r="8203" ht="15.75" customHeight="1">
      <c r="A8203" s="2" t="s">
        <v>8203</v>
      </c>
      <c r="B8203" s="2" t="str">
        <f>IFERROR(__xludf.DUMMYFUNCTION("GOOGLETRANSLATE(A8203, ""en"", ""mt"")"),"kilometri")</f>
        <v>kilometri</v>
      </c>
    </row>
    <row r="8204" ht="15.75" customHeight="1">
      <c r="A8204" s="2" t="s">
        <v>8204</v>
      </c>
      <c r="B8204" s="2" t="str">
        <f>IFERROR(__xludf.DUMMYFUNCTION("GOOGLETRANSLATE(A8204, ""en"", ""mt"")"),"Mill-mewt ta ’Augustus fl-14 ta’ wara sa wara s-70 ta ’wara, Ruma aċċettat bħala l-fruntiera Ġermanika tagħha l-fruntiera tal-ilma tar-Renu u tad-Danubju ta’ Fuq. Lil hinn minn dawn ix-xmajjar hija kellha biss il-pjanura fertili ta 'Frankfurt, faċċata tal"&amp;"-Fortizza tal-Fruntiera Rumana ta' Moguntiacum (Mainz), l-għoljiet tan-nofsinhar tal-foresta s-sewda u ftit irjus tal-pont imxerrdin. It-taqsima tat-tramuntana ta 'din il-fruntiera, fejn ir-Renu hija fonda u wiesgħa, baqgħet il-konfini Rumana sakemm waqa'"&amp;" l-imperu. Il-parti tan-Nofsinhar kienet differenti. Ir-Renu ta ’Fuq u d-Danubju ta’ Fuq jinqasmu faċilment. Il-fruntiera li huma jiffurmaw hija twila inkonvenjent, li tagħlaq feles akut ta 'territorju barrani bejn il-Baden modern u l-Württemberg. Il-popo"&amp;"lazzjonijiet Ġermaniċi ta 'dawn l-artijiet jidhru fi żminijiet Rumani li kienu skarsi, u s-suġġetti Rumani mill-Alsace-Lorraine moderna kienu injorati madwar ix-xmara lejn il-lvant.")</f>
        <v>Mill-mewt ta ’Augustus fl-14 ta’ wara sa wara s-70 ta ’wara, Ruma aċċettat bħala l-fruntiera Ġermanika tagħha l-fruntiera tal-ilma tar-Renu u tad-Danubju ta’ Fuq. Lil hinn minn dawn ix-xmajjar hija kellha biss il-pjanura fertili ta 'Frankfurt, faċċata tal-Fortizza tal-Fruntiera Rumana ta' Moguntiacum (Mainz), l-għoljiet tan-nofsinhar tal-foresta s-sewda u ftit irjus tal-pont imxerrdin. It-taqsima tat-tramuntana ta 'din il-fruntiera, fejn ir-Renu hija fonda u wiesgħa, baqgħet il-konfini Rumana sakemm waqa' l-imperu. Il-parti tan-Nofsinhar kienet differenti. Ir-Renu ta ’Fuq u d-Danubju ta’ Fuq jinqasmu faċilment. Il-fruntiera li huma jiffurmaw hija twila inkonvenjent, li tagħlaq feles akut ta 'territorju barrani bejn il-Baden modern u l-Württemberg. Il-popolazzjonijiet Ġermaniċi ta 'dawn l-artijiet jidhru fi żminijiet Rumani li kienu skarsi, u s-suġġetti Rumani mill-Alsace-Lorraine moderna kienu injorati madwar ix-xmara lejn il-lvant.</v>
      </c>
    </row>
    <row r="8205" ht="15.75" customHeight="1">
      <c r="A8205" s="2" t="s">
        <v>8205</v>
      </c>
      <c r="B8205" s="2" t="str">
        <f>IFERROR(__xludf.DUMMYFUNCTION("GOOGLETRANSLATE(A8205, ""en"", ""mt"")"),"Min kiteb il-karta li l-graff ""Millennial Northern Emisfera Reconstruction"" kien ibbażat?")</f>
        <v>Min kiteb il-karta li l-graff "Millennial Northern Emisfera Reconstruction" kien ibbażat?</v>
      </c>
    </row>
    <row r="8206" ht="15.75" customHeight="1">
      <c r="A8206" s="2" t="s">
        <v>8206</v>
      </c>
      <c r="B8206" s="2" t="str">
        <f>IFERROR(__xludf.DUMMYFUNCTION("GOOGLETRANSLATE(A8206, ""en"", ""mt"")"),"wieħed minn kull sitta")</f>
        <v>wieħed minn kull sitta</v>
      </c>
    </row>
    <row r="8207" ht="15.75" customHeight="1">
      <c r="A8207" s="2" t="s">
        <v>8207</v>
      </c>
      <c r="B8207" s="2" t="str">
        <f>IFERROR(__xludf.DUMMYFUNCTION("GOOGLETRANSLATE(A8207, ""en"", ""mt"")"),"Il-ministri jippermettu biex jorganizzaw tiġijiet tal-istess sess")</f>
        <v>Il-ministri jippermettu biex jorganizzaw tiġijiet tal-istess sess</v>
      </c>
    </row>
    <row r="8208" ht="15.75" customHeight="1">
      <c r="A8208" s="2" t="s">
        <v>8208</v>
      </c>
      <c r="B8208" s="2" t="str">
        <f>IFERROR(__xludf.DUMMYFUNCTION("GOOGLETRANSLATE(A8208, ""en"", ""mt"")"),"Huma jaraw il-valur ekonomiku tal-kannamieli tal-gżejjer tal-Karibew biex ikun akbar")</f>
        <v>Huma jaraw il-valur ekonomiku tal-kannamieli tal-gżejjer tal-Karibew biex ikun akbar</v>
      </c>
    </row>
    <row r="8209" ht="15.75" customHeight="1">
      <c r="A8209" s="2" t="s">
        <v>8209</v>
      </c>
      <c r="B8209" s="2" t="str">
        <f>IFERROR(__xludf.DUMMYFUNCTION("GOOGLETRANSLATE(A8209, ""en"", ""mt"")"),"prestazzjoni")</f>
        <v>prestazzjoni</v>
      </c>
    </row>
    <row r="8210" ht="15.75" customHeight="1">
      <c r="A8210" s="2" t="s">
        <v>8210</v>
      </c>
      <c r="B8210" s="2" t="str">
        <f>IFERROR(__xludf.DUMMYFUNCTION("GOOGLETRANSLATE(A8210, ""en"", ""mt"")"),"l-għanijiet li jirċievi mis-superjur tiegħu.")</f>
        <v>l-għanijiet li jirċievi mis-superjur tiegħu.</v>
      </c>
    </row>
    <row r="8211" ht="15.75" customHeight="1">
      <c r="A8211" s="2" t="s">
        <v>8211</v>
      </c>
      <c r="B8211" s="2" t="str">
        <f>IFERROR(__xludf.DUMMYFUNCTION("GOOGLETRANSLATE(A8211, ""en"", ""mt"")"),"Id-difiża u l-ġustifikazzjoni tal-bini tal-imperu huma bbażati fuq raġunijiet apparentement razzjonali")</f>
        <v>Id-difiża u l-ġustifikazzjoni tal-bini tal-imperu huma bbażati fuq raġunijiet apparentement razzjonali</v>
      </c>
    </row>
    <row r="8212" ht="15.75" customHeight="1">
      <c r="A8212" s="2" t="s">
        <v>8212</v>
      </c>
      <c r="B8212" s="2" t="str">
        <f>IFERROR(__xludf.DUMMYFUNCTION("GOOGLETRANSLATE(A8212, ""en"", ""mt"")"),"L-aħħar tas-snin 1980")</f>
        <v>L-aħħar tas-snin 1980</v>
      </c>
    </row>
    <row r="8213" ht="15.75" customHeight="1">
      <c r="A8213" s="2" t="s">
        <v>8213</v>
      </c>
      <c r="B8213" s="2" t="str">
        <f>IFERROR(__xludf.DUMMYFUNCTION("GOOGLETRANSLATE(A8213, ""en"", ""mt"")"),"Influwenza tat-tisħin")</f>
        <v>Influwenza tat-tisħin</v>
      </c>
    </row>
    <row r="8214" ht="15.75" customHeight="1">
      <c r="A8214" s="2" t="s">
        <v>8214</v>
      </c>
      <c r="B8214" s="2" t="str">
        <f>IFERROR(__xludf.DUMMYFUNCTION("GOOGLETRANSLATE(A8214, ""en"", ""mt"")"),"Fis-17 ta 'Diċembru 1941, seba' konfederazzjonijiet tal-Knisja Reġjonali Protestanti ħarġu dikjarazzjoni li taqbel mal-politika li ġiegħel lill-Lhud jilbsu l-badge isfar, ""peress li wara l-esperjenza morra tiegħu Luther kien diġà ssuġġerixxa miżuri preve"&amp;"ntivi kontra l-Lhud u t-tkeċċija tagħhom mit-territorju Ġermaniż."" Skond Daniel Goldhagen, l-Isqof Martin Sasse, knisja ewlenija Protestanti, ippubblika kompendju tal-kitbiet ta 'Luther ftit wara Kristallnacht, li għalih Diarmaid Macculloch, professur ta"&amp;"l-istorja tal-knisja fl-Università ta' Oxford argumenta li l-kitba ta 'Luther kienet ""blueprint. "" Sasse faħħar il-ħruq tas-sinagogi u l-koinċidenza tal-ġurnata, kitbet fl-introduzzjoni, ""Fl-10 ta 'Novembru 1938, f'għeluq Luther, is-sinagogi qed jaħarq"&amp;"u fil-Ġermanja."" Il-poplu Ġermaniż, huwa ħeġġeġ, kellu jagħti kas dawn il-kliem ""tal-ikbar antisemit ta 'żmienu, il-Warner tal-poplu tiegħu kontra l-Lhud.""")</f>
        <v>Fis-17 ta 'Diċembru 1941, seba' konfederazzjonijiet tal-Knisja Reġjonali Protestanti ħarġu dikjarazzjoni li taqbel mal-politika li ġiegħel lill-Lhud jilbsu l-badge isfar, "peress li wara l-esperjenza morra tiegħu Luther kien diġà ssuġġerixxa miżuri preventivi kontra l-Lhud u t-tkeċċija tagħhom mit-territorju Ġermaniż." Skond Daniel Goldhagen, l-Isqof Martin Sasse, knisja ewlenija Protestanti, ippubblika kompendju tal-kitbiet ta 'Luther ftit wara Kristallnacht, li għalih Diarmaid Macculloch, professur tal-istorja tal-knisja fl-Università ta' Oxford argumenta li l-kitba ta 'Luther kienet "blueprint. " Sasse faħħar il-ħruq tas-sinagogi u l-koinċidenza tal-ġurnata, kitbet fl-introduzzjoni, "Fl-10 ta 'Novembru 1938, f'għeluq Luther, is-sinagogi qed jaħarqu fil-Ġermanja." Il-poplu Ġermaniż, huwa ħeġġeġ, kellu jagħti kas dawn il-kliem "tal-ikbar antisemit ta 'żmienu, il-Warner tal-poplu tiegħu kontra l-Lhud."</v>
      </c>
    </row>
    <row r="8215" ht="15.75" customHeight="1">
      <c r="A8215" s="2" t="s">
        <v>8215</v>
      </c>
      <c r="B8215" s="2" t="str">
        <f>IFERROR(__xludf.DUMMYFUNCTION("GOOGLETRANSLATE(A8215, ""en"", ""mt"")"),"għar-re")</f>
        <v>għar-re</v>
      </c>
    </row>
    <row r="8216" ht="15.75" customHeight="1">
      <c r="A8216" s="2" t="s">
        <v>8216</v>
      </c>
      <c r="B8216" s="2" t="str">
        <f>IFERROR(__xludf.DUMMYFUNCTION("GOOGLETRANSLATE(A8216, ""en"", ""mt"")"),"Liema viċinat jinsab fil-punent tal-41 Freeway?")</f>
        <v>Liema viċinat jinsab fil-punent tal-41 Freeway?</v>
      </c>
    </row>
    <row r="8217" ht="15.75" customHeight="1">
      <c r="A8217" s="2" t="s">
        <v>8217</v>
      </c>
      <c r="B8217" s="2" t="str">
        <f>IFERROR(__xludf.DUMMYFUNCTION("GOOGLETRANSLATE(A8217, ""en"", ""mt"")"),"X'inhu terminu derogatorju għall-akkademji Kristjani li qamu wara d-desegregazzjoni tal-iskola?")</f>
        <v>X'inhu terminu derogatorju għall-akkademji Kristjani li qamu wara d-desegregazzjoni tal-iskola?</v>
      </c>
    </row>
    <row r="8218" ht="15.75" customHeight="1">
      <c r="A8218" s="2" t="s">
        <v>8218</v>
      </c>
      <c r="B8218" s="2" t="str">
        <f>IFERROR(__xludf.DUMMYFUNCTION("GOOGLETRANSLATE(A8218, ""en"", ""mt"")"),"Liema kollezzjoni ġiet trasferita lill-mużew meta nfetħet il-Gallerija l-ġdida tal-Istorja Arkitettonika?")</f>
        <v>Liema kollezzjoni ġiet trasferita lill-mużew meta nfetħet il-Gallerija l-ġdida tal-Istorja Arkitettonika?</v>
      </c>
    </row>
    <row r="8219" ht="15.75" customHeight="1">
      <c r="A8219" s="2" t="s">
        <v>8219</v>
      </c>
      <c r="B8219" s="2" t="str">
        <f>IFERROR(__xludf.DUMMYFUNCTION("GOOGLETRANSLATE(A8219, ""en"", ""mt"")"),"Kemm mill-parteċipanti tal-IPCC huma rappreżentanti tal-gvern?")</f>
        <v>Kemm mill-parteċipanti tal-IPCC huma rappreżentanti tal-gvern?</v>
      </c>
    </row>
    <row r="8220" ht="15.75" customHeight="1">
      <c r="A8220" s="2" t="s">
        <v>8220</v>
      </c>
      <c r="B8220" s="2" t="str">
        <f>IFERROR(__xludf.DUMMYFUNCTION("GOOGLETRANSLATE(A8220, ""en"", ""mt"")"),"konflitti interni")</f>
        <v>konflitti interni</v>
      </c>
    </row>
    <row r="8221" ht="15.75" customHeight="1">
      <c r="A8221" s="2" t="s">
        <v>8221</v>
      </c>
      <c r="B8221" s="2" t="str">
        <f>IFERROR(__xludf.DUMMYFUNCTION("GOOGLETRANSLATE(A8221, ""en"", ""mt"")"),"Il-pesta nfirxet fl-Iskandinavja jew il-Ġermanja l-ewwel?")</f>
        <v>Il-pesta nfirxet fl-Iskandinavja jew il-Ġermanja l-ewwel?</v>
      </c>
    </row>
    <row r="8222" ht="15.75" customHeight="1">
      <c r="A8222" s="2" t="s">
        <v>8222</v>
      </c>
      <c r="B8222" s="2" t="str">
        <f>IFERROR(__xludf.DUMMYFUNCTION("GOOGLETRANSLATE(A8222, ""en"", ""mt"")"),"Dotazzjonijiet")</f>
        <v>Dotazzjonijiet</v>
      </c>
    </row>
    <row r="8223" ht="15.75" customHeight="1">
      <c r="A8223" s="2" t="s">
        <v>8223</v>
      </c>
      <c r="B8223" s="2" t="str">
        <f>IFERROR(__xludf.DUMMYFUNCTION("GOOGLETRANSLATE(A8223, ""en"", ""mt"")"),"F’liema seklu Mayow u Boyle wettqu l-esperimenti tagħhom?")</f>
        <v>F’liema seklu Mayow u Boyle wettqu l-esperimenti tagħhom?</v>
      </c>
    </row>
    <row r="8224" ht="15.75" customHeight="1">
      <c r="A8224" s="2" t="s">
        <v>8224</v>
      </c>
      <c r="B8224" s="2" t="str">
        <f>IFERROR(__xludf.DUMMYFUNCTION("GOOGLETRANSLATE(A8224, ""en"", ""mt"")"),"Fuq liema teorema hija l-formula li ta 'spiss tiġġenera n-numru 2 u l-primes l-oħra kollha preċiżament darba bbażati fuqhom?")</f>
        <v>Fuq liema teorema hija l-formula li ta 'spiss tiġġenera n-numru 2 u l-primes l-oħra kollha preċiżament darba bbażati fuqhom?</v>
      </c>
    </row>
    <row r="8225" ht="15.75" customHeight="1">
      <c r="A8225" s="2" t="s">
        <v>8225</v>
      </c>
      <c r="B8225" s="2" t="str">
        <f>IFERROR(__xludf.DUMMYFUNCTION("GOOGLETRANSLATE(A8225, ""en"", ""mt"")"),"Aqta 'l-fortizzi tal-fruntiera Franċiża")</f>
        <v>Aqta 'l-fortizzi tal-fruntiera Franċiża</v>
      </c>
    </row>
    <row r="8226" ht="15.75" customHeight="1">
      <c r="A8226" s="2" t="s">
        <v>8226</v>
      </c>
      <c r="B8226" s="2" t="str">
        <f>IFERROR(__xludf.DUMMYFUNCTION("GOOGLETRANSLATE(A8226, ""en"", ""mt"")"),"Upper Rhine")</f>
        <v>Upper Rhine</v>
      </c>
    </row>
    <row r="8227" ht="15.75" customHeight="1">
      <c r="A8227" s="2" t="s">
        <v>8227</v>
      </c>
      <c r="B8227" s="2" t="str">
        <f>IFERROR(__xludf.DUMMYFUNCTION("GOOGLETRANSLATE(A8227, ""en"", ""mt"")"),"Ġie mmuntat il-Skylab fuq il-wiċċ tad-Dinja jew fl-ispazju?")</f>
        <v>Ġie mmuntat il-Skylab fuq il-wiċċ tad-Dinja jew fl-ispazju?</v>
      </c>
    </row>
    <row r="8228" ht="15.75" customHeight="1">
      <c r="A8228" s="2" t="s">
        <v>8228</v>
      </c>
      <c r="B8228" s="2" t="str">
        <f>IFERROR(__xludf.DUMMYFUNCTION("GOOGLETRANSLATE(A8228, ""en"", ""mt"")"),"Liema pajjiżi jużaw is-salib aħdar Grieg bħala simbolu tal-ispiżerija?")</f>
        <v>Liema pajjiżi jużaw is-salib aħdar Grieg bħala simbolu tal-ispiżerija?</v>
      </c>
    </row>
    <row r="8229" ht="15.75" customHeight="1">
      <c r="A8229" s="2" t="s">
        <v>8229</v>
      </c>
      <c r="B8229" s="2" t="str">
        <f>IFERROR(__xludf.DUMMYFUNCTION("GOOGLETRANSLATE(A8229, ""en"", ""mt"")"),"L-edukazzjoni ta 'Luther")</f>
        <v>L-edukazzjoni ta 'Luther</v>
      </c>
    </row>
    <row r="8230" ht="15.75" customHeight="1">
      <c r="A8230" s="2" t="s">
        <v>8230</v>
      </c>
      <c r="B8230" s="2" t="str">
        <f>IFERROR(__xludf.DUMMYFUNCTION("GOOGLETRANSLATE(A8230, ""en"", ""mt"")"),"Skond il-ftehim bejn Iroquois u l-Ingliżi, fejn kellha tinbena dar b'saħħitha?")</f>
        <v>Skond il-ftehim bejn Iroquois u l-Ingliżi, fejn kellha tinbena dar b'saħħitha?</v>
      </c>
    </row>
    <row r="8231" ht="15.75" customHeight="1">
      <c r="A8231" s="2" t="s">
        <v>8231</v>
      </c>
      <c r="B8231" s="2" t="str">
        <f>IFERROR(__xludf.DUMMYFUNCTION("GOOGLETRANSLATE(A8231, ""en"", ""mt"")"),"Sptar Ġenerali")</f>
        <v>Sptar Ġenerali</v>
      </c>
    </row>
    <row r="8232" ht="15.75" customHeight="1">
      <c r="A8232" s="2" t="s">
        <v>8232</v>
      </c>
      <c r="B8232" s="2" t="str">
        <f>IFERROR(__xludf.DUMMYFUNCTION("GOOGLETRANSLATE(A8232, ""en"", ""mt"")"),"Ir-Reġistru tal-Oqsma tas-Sess")</f>
        <v>Ir-Reġistru tal-Oqsma tas-Sess</v>
      </c>
    </row>
    <row r="8233" ht="15.75" customHeight="1">
      <c r="A8233" s="2" t="s">
        <v>8233</v>
      </c>
      <c r="B8233" s="2" t="str">
        <f>IFERROR(__xludf.DUMMYFUNCTION("GOOGLETRANSLATE(A8233, ""en"", ""mt"")"),"X’wassal lil Luther jikteb innijiet?")</f>
        <v>X’wassal lil Luther jikteb innijiet?</v>
      </c>
    </row>
    <row r="8234" ht="15.75" customHeight="1">
      <c r="A8234" s="2" t="s">
        <v>8234</v>
      </c>
      <c r="B8234" s="2" t="str">
        <f>IFERROR(__xludf.DUMMYFUNCTION("GOOGLETRANSLATE(A8234, ""en"", ""mt"")"),"Liema entità ta 'l-Istati Uniti qalet li l-kastig korporali kien kostituzzjonali?")</f>
        <v>Liema entità ta 'l-Istati Uniti qalet li l-kastig korporali kien kostituzzjonali?</v>
      </c>
    </row>
    <row r="8235" ht="15.75" customHeight="1">
      <c r="A8235" s="2" t="s">
        <v>8235</v>
      </c>
      <c r="B8235" s="2" t="str">
        <f>IFERROR(__xludf.DUMMYFUNCTION("GOOGLETRANSLATE(A8235, ""en"", ""mt"")"),"f’moħħu")</f>
        <v>f’moħħu</v>
      </c>
    </row>
    <row r="8236" ht="15.75" customHeight="1">
      <c r="A8236" s="2" t="s">
        <v>8236</v>
      </c>
      <c r="B8236" s="2" t="str">
        <f>IFERROR(__xludf.DUMMYFUNCTION("GOOGLETRANSLATE(A8236, ""en"", ""mt"")"),"Liema monument inbena snin wara l-mewt u d-difna ta 'Genghis Khan?")</f>
        <v>Liema monument inbena snin wara l-mewt u d-difna ta 'Genghis Khan?</v>
      </c>
    </row>
    <row r="8237" ht="15.75" customHeight="1">
      <c r="A8237" s="2" t="s">
        <v>8237</v>
      </c>
      <c r="B8237" s="2" t="str">
        <f>IFERROR(__xludf.DUMMYFUNCTION("GOOGLETRANSLATE(A8237, ""en"", ""mt"")"),"movimenti dgħajfa tax-xogħol")</f>
        <v>movimenti dgħajfa tax-xogħol</v>
      </c>
    </row>
    <row r="8238" ht="15.75" customHeight="1">
      <c r="A8238" s="2" t="s">
        <v>8238</v>
      </c>
      <c r="B8238" s="2" t="str">
        <f>IFERROR(__xludf.DUMMYFUNCTION("GOOGLETRANSLATE(A8238, ""en"", ""mt"")"),"X'irwol għandu bħalissa John Elway fil-franchise Broncos?")</f>
        <v>X'irwol għandu bħalissa John Elway fil-franchise Broncos?</v>
      </c>
    </row>
    <row r="8239" ht="15.75" customHeight="1">
      <c r="A8239" s="2" t="s">
        <v>8239</v>
      </c>
      <c r="B8239" s="2" t="str">
        <f>IFERROR(__xludf.DUMMYFUNCTION("GOOGLETRANSLATE(A8239, ""en"", ""mt"")"),"Is-servizz tal-Ħadd tal-Metodisti fl-Amerika ta ’Fuq kien verżjoni riveduta ta’ liema ktieb?")</f>
        <v>Is-servizz tal-Ħadd tal-Metodisti fl-Amerika ta ’Fuq kien verżjoni riveduta ta’ liema ktieb?</v>
      </c>
    </row>
    <row r="8240" ht="15.75" customHeight="1">
      <c r="A8240" s="2" t="s">
        <v>8240</v>
      </c>
      <c r="B8240" s="2" t="str">
        <f>IFERROR(__xludf.DUMMYFUNCTION("GOOGLETRANSLATE(A8240, ""en"", ""mt"")"),"jittradixxi l-preżenza ta 'raġel fid-dar")</f>
        <v>jittradixxi l-preżenza ta 'raġel fid-dar</v>
      </c>
    </row>
    <row r="8241" ht="15.75" customHeight="1">
      <c r="A8241" s="2" t="s">
        <v>8241</v>
      </c>
      <c r="B8241" s="2" t="str">
        <f>IFERROR(__xludf.DUMMYFUNCTION("GOOGLETRANSLATE(A8241, ""en"", ""mt"")"),"Għaxra")</f>
        <v>Għaxra</v>
      </c>
    </row>
    <row r="8242" ht="15.75" customHeight="1">
      <c r="A8242" s="2" t="s">
        <v>8242</v>
      </c>
      <c r="B8242" s="2" t="str">
        <f>IFERROR(__xludf.DUMMYFUNCTION("GOOGLETRANSLATE(A8242, ""en"", ""mt"")"),"Il-Ktieb tad-Dixxiplina")</f>
        <v>Il-Ktieb tad-Dixxiplina</v>
      </c>
    </row>
    <row r="8243" ht="15.75" customHeight="1">
      <c r="A8243" s="2" t="s">
        <v>8243</v>
      </c>
      <c r="B8243" s="2" t="str">
        <f>IFERROR(__xludf.DUMMYFUNCTION("GOOGLETRANSLATE(A8243, ""en"", ""mt"")"),"Fejn kien jinsab is-sit tad-dfin użat għall-ittestjar?")</f>
        <v>Fejn kien jinsab is-sit tad-dfin użat għall-ittestjar?</v>
      </c>
    </row>
    <row r="8244" ht="15.75" customHeight="1">
      <c r="A8244" s="2" t="s">
        <v>8244</v>
      </c>
      <c r="B8244" s="2" t="str">
        <f>IFERROR(__xludf.DUMMYFUNCTION("GOOGLETRANSLATE(A8244, ""en"", ""mt"")"),"Xi jwassal inqas edukazzjoni meta taħdem?")</f>
        <v>Xi jwassal inqas edukazzjoni meta taħdem?</v>
      </c>
    </row>
    <row r="8245" ht="15.75" customHeight="1">
      <c r="A8245" s="2" t="s">
        <v>8245</v>
      </c>
      <c r="B8245" s="2" t="str">
        <f>IFERROR(__xludf.DUMMYFUNCTION("GOOGLETRANSLATE(A8245, ""en"", ""mt"")"),"Apoptożi rapida")</f>
        <v>Apoptożi rapida</v>
      </c>
    </row>
    <row r="8246" ht="15.75" customHeight="1">
      <c r="A8246" s="2" t="s">
        <v>8246</v>
      </c>
      <c r="B8246" s="2" t="str">
        <f>IFERROR(__xludf.DUMMYFUNCTION("GOOGLETRANSLATE(A8246, ""en"", ""mt"")"),"11,700 sena ilu")</f>
        <v>11,700 sena ilu</v>
      </c>
    </row>
    <row r="8247" ht="15.75" customHeight="1">
      <c r="A8247" s="2" t="s">
        <v>8247</v>
      </c>
      <c r="B8247" s="2" t="str">
        <f>IFERROR(__xludf.DUMMYFUNCTION("GOOGLETRANSLATE(A8247, ""en"", ""mt"")"),"Xi jfisser li għoqda tkun ikkunsidrata li ma tistax tiġi kkunsidrata?")</f>
        <v>Xi jfisser li għoqda tkun ikkunsidrata li ma tistax tiġi kkunsidrata?</v>
      </c>
    </row>
    <row r="8248" ht="15.75" customHeight="1">
      <c r="A8248" s="2" t="s">
        <v>8248</v>
      </c>
      <c r="B8248" s="2" t="str">
        <f>IFERROR(__xludf.DUMMYFUNCTION("GOOGLETRANSLATE(A8248, ""en"", ""mt"")"),"L-ossiġnu jeżisti fl-atmosfera permezz ta 'xiex?")</f>
        <v>L-ossiġnu jeżisti fl-atmosfera permezz ta 'xiex?</v>
      </c>
    </row>
    <row r="8249" ht="15.75" customHeight="1">
      <c r="A8249" s="2" t="s">
        <v>8249</v>
      </c>
      <c r="B8249" s="2" t="str">
        <f>IFERROR(__xludf.DUMMYFUNCTION("GOOGLETRANSLATE(A8249, ""en"", ""mt"")"),"plejers tal-futbol internazzjonali")</f>
        <v>plejers tal-futbol internazzjonali</v>
      </c>
    </row>
    <row r="8250" ht="15.75" customHeight="1">
      <c r="A8250" s="2" t="s">
        <v>8250</v>
      </c>
      <c r="B8250" s="2" t="str">
        <f>IFERROR(__xludf.DUMMYFUNCTION("GOOGLETRANSLATE(A8250, ""en"", ""mt"")"),"Fejn tista 't-teoriji ta' Tesla dwar dak li kkawża l-ħsara fil-ġilda tinstab?")</f>
        <v>Fejn tista 't-teoriji ta' Tesla dwar dak li kkawża l-ħsara fil-ġilda tinstab?</v>
      </c>
    </row>
    <row r="8251" ht="15.75" customHeight="1">
      <c r="A8251" s="2" t="s">
        <v>8251</v>
      </c>
      <c r="B8251" s="2" t="str">
        <f>IFERROR(__xludf.DUMMYFUNCTION("GOOGLETRANSLATE(A8251, ""en"", ""mt"")"),"Is-Soċjetà Letterarja u Filosofika ta ’Newcastle Upon Tyne")</f>
        <v>Is-Soċjetà Letterarja u Filosofika ta ’Newcastle Upon Tyne</v>
      </c>
    </row>
    <row r="8252" ht="15.75" customHeight="1">
      <c r="A8252" s="2" t="s">
        <v>8252</v>
      </c>
      <c r="B8252" s="2" t="str">
        <f>IFERROR(__xludf.DUMMYFUNCTION("GOOGLETRANSLATE(A8252, ""en"", ""mt"")"),"Kemm huwa twil it-terminu ta 'membru tal-kunsill ġudizzjarju?")</f>
        <v>Kemm huwa twil it-terminu ta 'membru tal-kunsill ġudizzjarju?</v>
      </c>
    </row>
    <row r="8253" ht="15.75" customHeight="1">
      <c r="A8253" s="2" t="s">
        <v>8253</v>
      </c>
      <c r="B8253" s="2" t="str">
        <f>IFERROR(__xludf.DUMMYFUNCTION("GOOGLETRANSLATE(A8253, ""en"", ""mt"")"),"Min kienu ż-żewġ predikaturi lajċi li Wesley ordnaw bħala presbyters?")</f>
        <v>Min kienu ż-żewġ predikaturi lajċi li Wesley ordnaw bħala presbyters?</v>
      </c>
    </row>
    <row r="8254" ht="15.75" customHeight="1">
      <c r="A8254" s="2" t="s">
        <v>8254</v>
      </c>
      <c r="B8254" s="2" t="str">
        <f>IFERROR(__xludf.DUMMYFUNCTION("GOOGLETRANSLATE(A8254, ""en"", ""mt"")"),"L-Għargħar ta ’Santa Eliżabetta")</f>
        <v>L-Għargħar ta ’Santa Eliżabetta</v>
      </c>
    </row>
    <row r="8255" ht="15.75" customHeight="1">
      <c r="A8255" s="2" t="s">
        <v>8255</v>
      </c>
      <c r="B8255" s="2" t="str">
        <f>IFERROR(__xludf.DUMMYFUNCTION("GOOGLETRANSLATE(A8255, ""en"", ""mt"")"),"X'tipi ta 'responsabbiltajiet jista' jkollu tekniku tal-ispiżerija?")</f>
        <v>X'tipi ta 'responsabbiltajiet jista' jkollu tekniku tal-ispiżerija?</v>
      </c>
    </row>
    <row r="8256" ht="15.75" customHeight="1">
      <c r="A8256" s="2" t="s">
        <v>8256</v>
      </c>
      <c r="B8256" s="2" t="str">
        <f>IFERROR(__xludf.DUMMYFUNCTION("GOOGLETRANSLATE(A8256, ""en"", ""mt"")"),"Kważi ċ-ċtenofori kollha huma predaturi")</f>
        <v>Kważi ċ-ċtenofori kollha huma predaturi</v>
      </c>
    </row>
    <row r="8257" ht="15.75" customHeight="1">
      <c r="A8257" s="2" t="s">
        <v>8257</v>
      </c>
      <c r="B8257" s="2" t="str">
        <f>IFERROR(__xludf.DUMMYFUNCTION("GOOGLETRANSLATE(A8257, ""en"", ""mt"")"),"X'inhu l-isem tal-istadium ta 'San Francisco meta ħares bħala possibbiltà għas-Super Bowl 50?")</f>
        <v>X'inhu l-isem tal-istadium ta 'San Francisco meta ħares bħala possibbiltà għas-Super Bowl 50?</v>
      </c>
    </row>
    <row r="8258" ht="15.75" customHeight="1">
      <c r="A8258" s="2" t="s">
        <v>8258</v>
      </c>
      <c r="B8258" s="2" t="str">
        <f>IFERROR(__xludf.DUMMYFUNCTION("GOOGLETRANSLATE(A8258, ""en"", ""mt"")"),"sa 3 sold fil-lira")</f>
        <v>sa 3 sold fil-lira</v>
      </c>
    </row>
    <row r="8259" ht="15.75" customHeight="1">
      <c r="A8259" s="2" t="s">
        <v>8259</v>
      </c>
      <c r="B8259" s="2" t="str">
        <f>IFERROR(__xludf.DUMMYFUNCTION("GOOGLETRANSLATE(A8259, ""en"", ""mt"")"),"1950s")</f>
        <v>1950s</v>
      </c>
    </row>
    <row r="8260" ht="15.75" customHeight="1">
      <c r="A8260" s="2" t="s">
        <v>8260</v>
      </c>
      <c r="B8260" s="2" t="str">
        <f>IFERROR(__xludf.DUMMYFUNCTION("GOOGLETRANSLATE(A8260, ""en"", ""mt"")"),"Għażla wiesgħa ta 'serje huma disponibbli mill-vidjow tal-BBC fuq DVD, għall-bejgħ fir-Renju Unit, l-Awstralja, il-Kanada u l-Istati Uniti. Kull serje kompletament eżistenti ġiet rilaxxata fuq VHS, u l-BBC Worldwide tkompli tirrilaxxa regolarment serjali "&amp;"fuq DVD. Is-serje 2005 hija wkoll disponibbli fl-intier tagħha fuq UMD għall-PlayStation Portable. Tmien serje oriġinali ġew rilaxxati fuq LaserDisc u ħafna ġew rilaxxati wkoll fuq Betamax Tape u Video 2000. Episodju ta 'Doctor Who (The Infinite Quest) ġi"&amp;"e rilaxxat fuq VCD. Is-serje biss mill-2009 'il quddiem huma disponibbli fuq Blu-ray, ħlief għall-istorja tal-1970 Spearhead mill-Ispazju, rilaxxata f'Lulju 2013. Ħafna ħarġiet bikrija reġgħu ġew rilaxxati bħala edizzjonijiet speċjali, b'aktar karatterist"&amp;"iċi bonus.")</f>
        <v>Għażla wiesgħa ta 'serje huma disponibbli mill-vidjow tal-BBC fuq DVD, għall-bejgħ fir-Renju Unit, l-Awstralja, il-Kanada u l-Istati Uniti. Kull serje kompletament eżistenti ġiet rilaxxata fuq VHS, u l-BBC Worldwide tkompli tirrilaxxa regolarment serjali fuq DVD. Is-serje 2005 hija wkoll disponibbli fl-intier tagħha fuq UMD għall-PlayStation Portable. Tmien serje oriġinali ġew rilaxxati fuq LaserDisc u ħafna ġew rilaxxati wkoll fuq Betamax Tape u Video 2000. Episodju ta 'Doctor Who (The Infinite Quest) ġie rilaxxat fuq VCD. Is-serje biss mill-2009 'il quddiem huma disponibbli fuq Blu-ray, ħlief għall-istorja tal-1970 Spearhead mill-Ispazju, rilaxxata f'Lulju 2013. Ħafna ħarġiet bikrija reġgħu ġew rilaxxati bħala edizzjonijiet speċjali, b'aktar karatteristiċi bonus.</v>
      </c>
    </row>
    <row r="8261" ht="15.75" customHeight="1">
      <c r="A8261" s="2" t="s">
        <v>8261</v>
      </c>
      <c r="B8261" s="2" t="str">
        <f>IFERROR(__xludf.DUMMYFUNCTION("GOOGLETRANSLATE(A8261, ""en"", ""mt"")"),"X'hemm bżonn li jsir biex tiżgura li membri ifqar tas-soċjetà jistgħu jipparteċipaw fit-tkabbir ekonomiku?")</f>
        <v>X'hemm bżonn li jsir biex tiżgura li membri ifqar tas-soċjetà jistgħu jipparteċipaw fit-tkabbir ekonomiku?</v>
      </c>
    </row>
    <row r="8262" ht="15.75" customHeight="1">
      <c r="A8262" s="2" t="s">
        <v>8262</v>
      </c>
      <c r="B8262" s="2" t="str">
        <f>IFERROR(__xludf.DUMMYFUNCTION("GOOGLETRANSLATE(A8262, ""en"", ""mt"")"),"Matriċi ta 'l-aġġustanza")</f>
        <v>Matriċi ta 'l-aġġustanza</v>
      </c>
    </row>
    <row r="8263" ht="15.75" customHeight="1">
      <c r="A8263" s="2" t="s">
        <v>8263</v>
      </c>
      <c r="B8263" s="2" t="str">
        <f>IFERROR(__xludf.DUMMYFUNCTION("GOOGLETRANSLATE(A8263, ""en"", ""mt"")"),"X'inhu l-isem uffiċjali tad-dinastija Yuan?")</f>
        <v>X'inhu l-isem uffiċjali tad-dinastija Yuan?</v>
      </c>
    </row>
    <row r="8264" ht="15.75" customHeight="1">
      <c r="A8264" s="2" t="s">
        <v>8264</v>
      </c>
      <c r="B8264" s="2" t="str">
        <f>IFERROR(__xludf.DUMMYFUNCTION("GOOGLETRANSLATE(A8264, ""en"", ""mt"")"),"Minħabba l-post ċentrali tiegħu")</f>
        <v>Minħabba l-post ċentrali tiegħu</v>
      </c>
    </row>
    <row r="8265" ht="15.75" customHeight="1">
      <c r="A8265" s="2" t="s">
        <v>8265</v>
      </c>
      <c r="B8265" s="2" t="str">
        <f>IFERROR(__xludf.DUMMYFUNCTION("GOOGLETRANSLATE(A8265, ""en"", ""mt"")"),"Liema awtorità infurzat il-projbizzjoni fuq il-95 teżi?")</f>
        <v>Liema awtorità infurzat il-projbizzjoni fuq il-95 teżi?</v>
      </c>
    </row>
    <row r="8266" ht="15.75" customHeight="1">
      <c r="A8266" s="2" t="s">
        <v>8266</v>
      </c>
      <c r="B8266" s="2" t="str">
        <f>IFERROR(__xludf.DUMMYFUNCTION("GOOGLETRANSLATE(A8266, ""en"", ""mt"")"),"Kemm hemm kmamar tal-piż fiċ-Ċentru Atletiku tal-Malkin")</f>
        <v>Kemm hemm kmamar tal-piż fiċ-Ċentru Atletiku tal-Malkin</v>
      </c>
    </row>
    <row r="8267" ht="15.75" customHeight="1">
      <c r="A8267" s="2" t="s">
        <v>8267</v>
      </c>
      <c r="B8267" s="2" t="str">
        <f>IFERROR(__xludf.DUMMYFUNCTION("GOOGLETRANSLATE(A8267, ""en"", ""mt"")"),"X'inhuma żewġ eżempji ta 'tipi differenti ta' tnaqqis?")</f>
        <v>X'inhuma żewġ eżempji ta 'tipi differenti ta' tnaqqis?</v>
      </c>
    </row>
    <row r="8268" ht="15.75" customHeight="1">
      <c r="A8268" s="2" t="s">
        <v>8268</v>
      </c>
      <c r="B8268" s="2" t="str">
        <f>IFERROR(__xludf.DUMMYFUNCTION("GOOGLETRANSLATE(A8268, ""en"", ""mt"")"),"Ir-Rebels Turban Red")</f>
        <v>Ir-Rebels Turban Red</v>
      </c>
    </row>
    <row r="8269" ht="15.75" customHeight="1">
      <c r="A8269" s="2" t="s">
        <v>8269</v>
      </c>
      <c r="B8269" s="2" t="str">
        <f>IFERROR(__xludf.DUMMYFUNCTION("GOOGLETRANSLATE(A8269, ""en"", ""mt"")"),"Kif jissejjaħ il-grupp li ma jaqbilx mal-gvern?")</f>
        <v>Kif jissejjaħ il-grupp li ma jaqbilx mal-gvern?</v>
      </c>
    </row>
    <row r="8270" ht="15.75" customHeight="1">
      <c r="A8270" s="2" t="s">
        <v>8270</v>
      </c>
      <c r="B8270" s="2" t="str">
        <f>IFERROR(__xludf.DUMMYFUNCTION("GOOGLETRANSLATE(A8270, ""en"", ""mt"")"),"vettura spazjali biex tintuża bħala ""dgħajsa tas-salvataġġ""")</f>
        <v>vettura spazjali biex tintuża bħala "dgħajsa tas-salvataġġ"</v>
      </c>
    </row>
    <row r="8271" ht="15.75" customHeight="1">
      <c r="A8271" s="2" t="s">
        <v>8271</v>
      </c>
      <c r="B8271" s="2" t="str">
        <f>IFERROR(__xludf.DUMMYFUNCTION("GOOGLETRANSLATE(A8271, ""en"", ""mt"")"),"Unità tal-Intelliġenza Ekonomista")</f>
        <v>Unità tal-Intelliġenza Ekonomista</v>
      </c>
    </row>
    <row r="8272" ht="15.75" customHeight="1">
      <c r="A8272" s="2" t="s">
        <v>8272</v>
      </c>
      <c r="B8272" s="2" t="str">
        <f>IFERROR(__xludf.DUMMYFUNCTION("GOOGLETRANSLATE(A8272, ""en"", ""mt"")"),"L-Assoċjazzjoni tal-Atletika tal-Università")</f>
        <v>L-Assoċjazzjoni tal-Atletika tal-Università</v>
      </c>
    </row>
    <row r="8273" ht="15.75" customHeight="1">
      <c r="A8273" s="2" t="s">
        <v>8273</v>
      </c>
      <c r="B8273" s="2" t="str">
        <f>IFERROR(__xludf.DUMMYFUNCTION("GOOGLETRANSLATE(A8273, ""en"", ""mt"")"),"F’liema għexieren ta ’snin kien l-iktar attiv Dudley Simpson biex jikkontribwixxi għat-Tabib Min?")</f>
        <v>F’liema għexieren ta ’snin kien l-iktar attiv Dudley Simpson biex jikkontribwixxi għat-Tabib Min?</v>
      </c>
    </row>
    <row r="8274" ht="15.75" customHeight="1">
      <c r="A8274" s="2" t="s">
        <v>8274</v>
      </c>
      <c r="B8274" s="2" t="str">
        <f>IFERROR(__xludf.DUMMYFUNCTION("GOOGLETRANSLATE(A8274, ""en"", ""mt"")"),"300 m3 / s (11,000 cu ft / s)")</f>
        <v>300 m3 / s (11,000 cu ft / s)</v>
      </c>
    </row>
    <row r="8275" ht="15.75" customHeight="1">
      <c r="A8275" s="2" t="s">
        <v>8275</v>
      </c>
      <c r="B8275" s="2" t="str">
        <f>IFERROR(__xludf.DUMMYFUNCTION("GOOGLETRANSLATE(A8275, ""en"", ""mt"")"),"Meta fl-aħħar Edward il-konfessur irritorna mir-refuġju ta 'missieru fl-1041, fuq stedina tan-nofs ħuh Harthacnut tiegħu, huwa ġab miegħu moħħ edukat minn Norman. Huwa ġab ukoll bosta konsulenti u ġellieda Norman, li wħud minnhom stabbilixxew forza tal-ka"&amp;"vallerija Ingliża. Dan il-kunċett qatt ma ħa l-għeruq, iżda huwa eżempju tipiku tal-attitudnijiet ta 'Edward. Huwa ħatar lil Robert tal-Arċisqof ta 'Jumièges ta' Canterbury u għamel lil Ralph il-Earl timidu ta 'Hereford. Huwa stieden lil ħuh Eustace II, K"&amp;"onti ta 'Boulogne fil-qorti tiegħu fl-1051, avveniment li rriżulta fl-akbar kunflitti bikrija bejn Sassonu u Norman u fl-aħħar irriżulta fl-eżilju ta' Earl Godwin ta 'Wessex.")</f>
        <v>Meta fl-aħħar Edward il-konfessur irritorna mir-refuġju ta 'missieru fl-1041, fuq stedina tan-nofs ħuh Harthacnut tiegħu, huwa ġab miegħu moħħ edukat minn Norman. Huwa ġab ukoll bosta konsulenti u ġellieda Norman, li wħud minnhom stabbilixxew forza tal-kavallerija Ingliża. Dan il-kunċett qatt ma ħa l-għeruq, iżda huwa eżempju tipiku tal-attitudnijiet ta 'Edward. Huwa ħatar lil Robert tal-Arċisqof ta 'Jumièges ta' Canterbury u għamel lil Ralph il-Earl timidu ta 'Hereford. Huwa stieden lil ħuh Eustace II, Konti ta 'Boulogne fil-qorti tiegħu fl-1051, avveniment li rriżulta fl-akbar kunflitti bikrija bejn Sassonu u Norman u fl-aħħar irriżulta fl-eżilju ta' Earl Godwin ta 'Wessex.</v>
      </c>
    </row>
    <row r="8276" ht="15.75" customHeight="1">
      <c r="A8276" s="2" t="s">
        <v>8276</v>
      </c>
      <c r="B8276" s="2" t="str">
        <f>IFERROR(__xludf.DUMMYFUNCTION("GOOGLETRANSLATE(A8276, ""en"", ""mt"")"),"linji jew esej tal-kastig")</f>
        <v>linji jew esej tal-kastig</v>
      </c>
    </row>
    <row r="8277" ht="15.75" customHeight="1">
      <c r="A8277" s="2" t="s">
        <v>8277</v>
      </c>
      <c r="B8277" s="2" t="str">
        <f>IFERROR(__xludf.DUMMYFUNCTION("GOOGLETRANSLATE(A8277, ""en"", ""mt"")"),"bi jew mingħajr l-għoqiedi li jibgħat intermedji")</f>
        <v>bi jew mingħajr l-għoqiedi li jibgħat intermedji</v>
      </c>
    </row>
    <row r="8278" ht="15.75" customHeight="1">
      <c r="A8278" s="2" t="s">
        <v>8278</v>
      </c>
      <c r="B8278" s="2" t="str">
        <f>IFERROR(__xludf.DUMMYFUNCTION("GOOGLETRANSLATE(A8278, ""en"", ""mt"")"),"Perjodu ta '4 ġimgħat")</f>
        <v>Perjodu ta '4 ġimgħat</v>
      </c>
    </row>
    <row r="8279" ht="15.75" customHeight="1">
      <c r="A8279" s="2" t="s">
        <v>8279</v>
      </c>
      <c r="B8279" s="2" t="str">
        <f>IFERROR(__xludf.DUMMYFUNCTION("GOOGLETRANSLATE(A8279, ""en"", ""mt"")"),"Ventilaturi mekkaniċi")</f>
        <v>Ventilaturi mekkaniċi</v>
      </c>
    </row>
    <row r="8280" ht="15.75" customHeight="1">
      <c r="A8280" s="2" t="s">
        <v>8280</v>
      </c>
      <c r="B8280" s="2" t="str">
        <f>IFERROR(__xludf.DUMMYFUNCTION("GOOGLETRANSLATE(A8280, ""en"", ""mt"")"),"attività ekonomika")</f>
        <v>attività ekonomika</v>
      </c>
    </row>
    <row r="8281" ht="15.75" customHeight="1">
      <c r="A8281" s="2" t="s">
        <v>8281</v>
      </c>
      <c r="B8281" s="2" t="str">
        <f>IFERROR(__xludf.DUMMYFUNCTION("GOOGLETRANSLATE(A8281, ""en"", ""mt"")"),"Liema kummissjoni ġiet iċċensurata fl-1999, u witta t-triq għall-kummissarji biex jabbużaw mill-poter tagħhom?")</f>
        <v>Liema kummissjoni ġiet iċċensurata fl-1999, u witta t-triq għall-kummissarji biex jabbużaw mill-poter tagħhom?</v>
      </c>
    </row>
    <row r="8282" ht="15.75" customHeight="1">
      <c r="A8282" s="2" t="s">
        <v>8282</v>
      </c>
      <c r="B8282" s="2" t="str">
        <f>IFERROR(__xludf.DUMMYFUNCTION("GOOGLETRANSLATE(A8282, ""en"", ""mt"")"),"Xogħol")</f>
        <v>Xogħol</v>
      </c>
    </row>
    <row r="8283" ht="15.75" customHeight="1">
      <c r="A8283" s="2" t="s">
        <v>8283</v>
      </c>
      <c r="B8283" s="2" t="str">
        <f>IFERROR(__xludf.DUMMYFUNCTION("GOOGLETRANSLATE(A8283, ""en"", ""mt"")"),"rivoluzzjoni")</f>
        <v>rivoluzzjoni</v>
      </c>
    </row>
    <row r="8284" ht="15.75" customHeight="1">
      <c r="A8284" s="2" t="s">
        <v>8284</v>
      </c>
      <c r="B8284" s="2" t="str">
        <f>IFERROR(__xludf.DUMMYFUNCTION("GOOGLETRANSLATE(A8284, ""en"", ""mt"")"),"Tip I.")</f>
        <v>Tip I.</v>
      </c>
    </row>
    <row r="8285" ht="15.75" customHeight="1">
      <c r="A8285" s="2" t="s">
        <v>8285</v>
      </c>
      <c r="B8285" s="2" t="str">
        <f>IFERROR(__xludf.DUMMYFUNCTION("GOOGLETRANSLATE(A8285, ""en"", ""mt"")"),"X'tip ta 'kamp huwa meħtieġ biex jipproduċi effett ta' kalamita fil-molekuli ta 'ossiġnu?")</f>
        <v>X'tip ta 'kamp huwa meħtieġ biex jipproduċi effett ta' kalamita fil-molekuli ta 'ossiġnu?</v>
      </c>
    </row>
    <row r="8286" ht="15.75" customHeight="1">
      <c r="A8286" s="2" t="s">
        <v>8286</v>
      </c>
      <c r="B8286" s="2" t="str">
        <f>IFERROR(__xludf.DUMMYFUNCTION("GOOGLETRANSLATE(A8286, ""en"", ""mt"")"),"idub")</f>
        <v>idub</v>
      </c>
    </row>
    <row r="8287" ht="15.75" customHeight="1">
      <c r="A8287" s="2" t="s">
        <v>8287</v>
      </c>
      <c r="B8287" s="2" t="str">
        <f>IFERROR(__xludf.DUMMYFUNCTION("GOOGLETRANSLATE(A8287, ""en"", ""mt"")"),"Il-Knisja Metodista Magħquda")</f>
        <v>Il-Knisja Metodista Magħquda</v>
      </c>
    </row>
    <row r="8288" ht="15.75" customHeight="1">
      <c r="A8288" s="2" t="s">
        <v>8288</v>
      </c>
      <c r="B8288" s="2" t="str">
        <f>IFERROR(__xludf.DUMMYFUNCTION("GOOGLETRANSLATE(A8288, ""en"", ""mt"")"),"Liema premju ngħata lil Corliss?")</f>
        <v>Liema premju ngħata lil Corliss?</v>
      </c>
    </row>
    <row r="8289" ht="15.75" customHeight="1">
      <c r="A8289" s="2" t="s">
        <v>8289</v>
      </c>
      <c r="B8289" s="2" t="str">
        <f>IFERROR(__xludf.DUMMYFUNCTION("GOOGLETRANSLATE(A8289, ""en"", ""mt"")"),"ma twettaqx riċerka u lanqas tissorvelja d-dejta relatata mal-klima")</f>
        <v>ma twettaqx riċerka u lanqas tissorvelja d-dejta relatata mal-klima</v>
      </c>
    </row>
    <row r="8290" ht="15.75" customHeight="1">
      <c r="A8290" s="2" t="s">
        <v>8290</v>
      </c>
      <c r="B8290" s="2" t="str">
        <f>IFERROR(__xludf.DUMMYFUNCTION("GOOGLETRANSLATE(A8290, ""en"", ""mt"")"),"Liema pjaneta dehret il-liġijiet gravitazzjonali ta 'Buck Newton?")</f>
        <v>Liema pjaneta dehret il-liġijiet gravitazzjonali ta 'Buck Newton?</v>
      </c>
    </row>
    <row r="8291" ht="15.75" customHeight="1">
      <c r="A8291" s="2" t="s">
        <v>8291</v>
      </c>
      <c r="B8291" s="2" t="str">
        <f>IFERROR(__xludf.DUMMYFUNCTION("GOOGLETRANSLATE(A8291, ""en"", ""mt"")"),"X'kienet l-ispiża medja ta 'kummerċjali ta '30 sekonda?")</f>
        <v>X'kienet l-ispiża medja ta 'kummerċjali ta '30 sekonda?</v>
      </c>
    </row>
    <row r="8292" ht="15.75" customHeight="1">
      <c r="A8292" s="2" t="s">
        <v>8292</v>
      </c>
      <c r="B8292" s="2" t="str">
        <f>IFERROR(__xludf.DUMMYFUNCTION("GOOGLETRANSLATE(A8292, ""en"", ""mt"")"),"annimal wieħed jista 'jipproduċi kemm bajd kif ukoll sperma")</f>
        <v>annimal wieħed jista 'jipproduċi kemm bajd kif ukoll sperma</v>
      </c>
    </row>
    <row r="8293" ht="15.75" customHeight="1">
      <c r="A8293" s="2" t="s">
        <v>8293</v>
      </c>
      <c r="B8293" s="2" t="str">
        <f>IFERROR(__xludf.DUMMYFUNCTION("GOOGLETRANSLATE(A8293, ""en"", ""mt"")"),"probabbiltà li tirrepeti l-azzjonijiet illegali tagħha")</f>
        <v>probabbiltà li tirrepeti l-azzjonijiet illegali tagħha</v>
      </c>
    </row>
    <row r="8294" ht="15.75" customHeight="1">
      <c r="A8294" s="2" t="s">
        <v>8294</v>
      </c>
      <c r="B8294" s="2" t="str">
        <f>IFERROR(__xludf.DUMMYFUNCTION("GOOGLETRANSLATE(A8294, ""en"", ""mt"")"),"Meta nbnew l-iżviluppi tad-djar pubbliċi fil-viċinat?")</f>
        <v>Meta nbnew l-iżviluppi tad-djar pubbliċi fil-viċinat?</v>
      </c>
    </row>
    <row r="8295" ht="15.75" customHeight="1">
      <c r="A8295" s="2" t="s">
        <v>8295</v>
      </c>
      <c r="B8295" s="2" t="str">
        <f>IFERROR(__xludf.DUMMYFUNCTION("GOOGLETRANSLATE(A8295, ""en"", ""mt"")"),"Il-Konferenza Ġenerali")</f>
        <v>Il-Konferenza Ġenerali</v>
      </c>
    </row>
    <row r="8296" ht="15.75" customHeight="1">
      <c r="A8296" s="2" t="s">
        <v>8296</v>
      </c>
      <c r="B8296" s="2" t="str">
        <f>IFERROR(__xludf.DUMMYFUNCTION("GOOGLETRANSLATE(A8296, ""en"", ""mt"")"),"Is-suċċess ta 'kwalunkwe patoġen jiddependi fuq il-kapaċità tiegħu li jeħles ir-risponsi immuni ospitanti. Għalhekk, il-patoġeni evolvew diversi metodi li jippermettulhom jinfettaw b'suċċess lil host, filwaqt li jevadu d-detezzjoni jew il-qerda mis-sistem"&amp;"a immunitarja. Il-batterji ħafna drabi jegħlbu l-ostakli fiżiċi billi jneħħu enzimi li jiddiġerixxu l-barriera, pereżempju, billi jużaw sistema ta 'sekrezzjoni tat-tip II. Alternattivament, bl-użu ta 'sistema ta' sekrezzjoni tat-tip III, huma jistgħu jdaħ"&amp;"ħlu tubu vojt fiċ-ċellula ospitanti, u jipprovdu rotta diretta għall-proteini biex jimxu mill-patoġen għall-ospitanti. Dawn il-proteini ħafna drabi jintużaw biex jagħlqu d-difiżi ospitanti.")</f>
        <v>Is-suċċess ta 'kwalunkwe patoġen jiddependi fuq il-kapaċità tiegħu li jeħles ir-risponsi immuni ospitanti. Għalhekk, il-patoġeni evolvew diversi metodi li jippermettulhom jinfettaw b'suċċess lil host, filwaqt li jevadu d-detezzjoni jew il-qerda mis-sistema immunitarja. Il-batterji ħafna drabi jegħlbu l-ostakli fiżiċi billi jneħħu enzimi li jiddiġerixxu l-barriera, pereżempju, billi jużaw sistema ta 'sekrezzjoni tat-tip II. Alternattivament, bl-użu ta 'sistema ta' sekrezzjoni tat-tip III, huma jistgħu jdaħħlu tubu vojt fiċ-ċellula ospitanti, u jipprovdu rotta diretta għall-proteini biex jimxu mill-patoġen għall-ospitanti. Dawn il-proteini ħafna drabi jintużaw biex jagħlqu d-difiżi ospitanti.</v>
      </c>
    </row>
    <row r="8297" ht="15.75" customHeight="1">
      <c r="A8297" s="2" t="s">
        <v>8297</v>
      </c>
      <c r="B8297" s="2" t="str">
        <f>IFERROR(__xludf.DUMMYFUNCTION("GOOGLETRANSLATE(A8297, ""en"", ""mt"")"),"ħażin")</f>
        <v>ħażin</v>
      </c>
    </row>
    <row r="8298" ht="15.75" customHeight="1">
      <c r="A8298" s="2" t="s">
        <v>8298</v>
      </c>
      <c r="B8298" s="2" t="str">
        <f>IFERROR(__xludf.DUMMYFUNCTION("GOOGLETRANSLATE(A8298, ""en"", ""mt"")"),"Fittex fil-kollezzjonijiet,")</f>
        <v>Fittex fil-kollezzjonijiet,</v>
      </c>
    </row>
    <row r="8299" ht="15.75" customHeight="1">
      <c r="A8299" s="2" t="s">
        <v>8299</v>
      </c>
      <c r="B8299" s="2" t="str">
        <f>IFERROR(__xludf.DUMMYFUNCTION("GOOGLETRANSLATE(A8299, ""en"", ""mt"")"),"Jikkonsma ATP u Ossiġenu, jirrilaxxa s-CO2, u ma jipproduċi l-ebda zokkor")</f>
        <v>Jikkonsma ATP u Ossiġenu, jirrilaxxa s-CO2, u ma jipproduċi l-ebda zokkor</v>
      </c>
    </row>
    <row r="8300" ht="15.75" customHeight="1">
      <c r="A8300" s="2" t="s">
        <v>8300</v>
      </c>
      <c r="B8300" s="2" t="str">
        <f>IFERROR(__xludf.DUMMYFUNCTION("GOOGLETRANSLATE(A8300, ""en"", ""mt"")"),"Us")</f>
        <v>Us</v>
      </c>
    </row>
    <row r="8301" ht="15.75" customHeight="1">
      <c r="A8301" s="2" t="s">
        <v>8301</v>
      </c>
      <c r="B8301" s="2" t="str">
        <f>IFERROR(__xludf.DUMMYFUNCTION("GOOGLETRANSLATE(A8301, ""en"", ""mt"")"),"Permezz tal-funzjonazzjonijiet dejjem jiżdiedu")</f>
        <v>Permezz tal-funzjonazzjonijiet dejjem jiżdiedu</v>
      </c>
    </row>
    <row r="8302" ht="15.75" customHeight="1">
      <c r="A8302" s="2" t="s">
        <v>8302</v>
      </c>
      <c r="B8302" s="2" t="str">
        <f>IFERROR(__xludf.DUMMYFUNCTION("GOOGLETRANSLATE(A8302, ""en"", ""mt"")"),"Meta ħarġet il-karta tal-patoġeni PLOS?")</f>
        <v>Meta ħarġet il-karta tal-patoġeni PLOS?</v>
      </c>
    </row>
    <row r="8303" ht="15.75" customHeight="1">
      <c r="A8303" s="2" t="s">
        <v>8303</v>
      </c>
      <c r="B8303" s="2" t="str">
        <f>IFERROR(__xludf.DUMMYFUNCTION("GOOGLETRANSLATE(A8303, ""en"", ""mt"")"),"L-ebda indikazzjoni")</f>
        <v>L-ebda indikazzjoni</v>
      </c>
    </row>
    <row r="8304" ht="15.75" customHeight="1">
      <c r="A8304" s="2" t="s">
        <v>8304</v>
      </c>
      <c r="B8304" s="2" t="str">
        <f>IFERROR(__xludf.DUMMYFUNCTION("GOOGLETRANSLATE(A8304, ""en"", ""mt"")"),"xjenza")</f>
        <v>xjenza</v>
      </c>
    </row>
    <row r="8305" ht="15.75" customHeight="1">
      <c r="A8305" s="2" t="s">
        <v>8305</v>
      </c>
      <c r="B8305" s="2" t="str">
        <f>IFERROR(__xludf.DUMMYFUNCTION("GOOGLETRANSLATE(A8305, ""en"", ""mt"")"),"Estrazzjoni ta 'ilma, faħam u idrokarburi")</f>
        <v>Estrazzjoni ta 'ilma, faħam u idrokarburi</v>
      </c>
    </row>
    <row r="8306" ht="15.75" customHeight="1">
      <c r="A8306" s="2" t="s">
        <v>8306</v>
      </c>
      <c r="B8306" s="2" t="str">
        <f>IFERROR(__xludf.DUMMYFUNCTION("GOOGLETRANSLATE(A8306, ""en"", ""mt"")"),"Il-Knisja Parrokkjali ta ’St Andrew")</f>
        <v>Il-Knisja Parrokkjali ta ’St Andrew</v>
      </c>
    </row>
    <row r="8307" ht="15.75" customHeight="1">
      <c r="A8307" s="2" t="s">
        <v>8307</v>
      </c>
      <c r="B8307" s="2" t="str">
        <f>IFERROR(__xludf.DUMMYFUNCTION("GOOGLETRANSLATE(A8307, ""en"", ""mt"")"),"X'kienet id-data tal-ewwel episodju ta 'Doctor Who?")</f>
        <v>X'kienet id-data tal-ewwel episodju ta 'Doctor Who?</v>
      </c>
    </row>
    <row r="8308" ht="15.75" customHeight="1">
      <c r="A8308" s="2" t="s">
        <v>8308</v>
      </c>
      <c r="B8308" s="2" t="str">
        <f>IFERROR(__xludf.DUMMYFUNCTION("GOOGLETRANSLATE(A8308, ""en"", ""mt"")"),"problema tal-komputazzjoni")</f>
        <v>problema tal-komputazzjoni</v>
      </c>
    </row>
    <row r="8309" ht="15.75" customHeight="1">
      <c r="A8309" s="2" t="s">
        <v>8309</v>
      </c>
      <c r="B8309" s="2" t="str">
        <f>IFERROR(__xludf.DUMMYFUNCTION("GOOGLETRANSLATE(A8309, ""en"", ""mt"")"),"Ko-tagħlim")</f>
        <v>Ko-tagħlim</v>
      </c>
    </row>
    <row r="8310" ht="15.75" customHeight="1">
      <c r="A8310" s="2" t="s">
        <v>8310</v>
      </c>
      <c r="B8310" s="2" t="str">
        <f>IFERROR(__xludf.DUMMYFUNCTION("GOOGLETRANSLATE(A8310, ""en"", ""mt"")"),"Papillomavirus uman")</f>
        <v>Papillomavirus uman</v>
      </c>
    </row>
    <row r="8311" ht="15.75" customHeight="1">
      <c r="A8311" s="2" t="s">
        <v>8311</v>
      </c>
      <c r="B8311" s="2" t="str">
        <f>IFERROR(__xludf.DUMMYFUNCTION("GOOGLETRANSLATE(A8311, ""en"", ""mt"")"),"Meta Regola Temur?")</f>
        <v>Meta Regola Temur?</v>
      </c>
    </row>
    <row r="8312" ht="15.75" customHeight="1">
      <c r="A8312" s="2" t="s">
        <v>8312</v>
      </c>
      <c r="B8312" s="2" t="str">
        <f>IFERROR(__xludf.DUMMYFUNCTION("GOOGLETRANSLATE(A8312, ""en"", ""mt"")"),"Kienu nomadi")</f>
        <v>Kienu nomadi</v>
      </c>
    </row>
    <row r="8313" ht="15.75" customHeight="1">
      <c r="A8313" s="2" t="s">
        <v>8313</v>
      </c>
      <c r="B8313" s="2" t="str">
        <f>IFERROR(__xludf.DUMMYFUNCTION("GOOGLETRANSLATE(A8313, ""en"", ""mt"")"),"Mexxejja ""apostati"" ta 'stati Musulmani,")</f>
        <v>Mexxejja "apostati" ta 'stati Musulmani,</v>
      </c>
    </row>
    <row r="8314" ht="15.75" customHeight="1">
      <c r="A8314" s="2" t="s">
        <v>8314</v>
      </c>
      <c r="B8314" s="2" t="str">
        <f>IFERROR(__xludf.DUMMYFUNCTION("GOOGLETRANSLATE(A8314, ""en"", ""mt"")"),"Żid l-erja tal-wiċċ tal-kloroplast għat-trasport tal-membrana bejn l-istoma u ċ-ċitoplasma taċ-ċellula")</f>
        <v>Żid l-erja tal-wiċċ tal-kloroplast għat-trasport tal-membrana bejn l-istoma u ċ-ċitoplasma taċ-ċellula</v>
      </c>
    </row>
    <row r="8315" ht="15.75" customHeight="1">
      <c r="A8315" s="2" t="s">
        <v>8315</v>
      </c>
      <c r="B8315" s="2" t="str">
        <f>IFERROR(__xludf.DUMMYFUNCTION("GOOGLETRANSLATE(A8315, ""en"", ""mt"")"),"X'inhu t-tieni l-akbar kontributur għall-PGD tal-Kenja?")</f>
        <v>X'inhu t-tieni l-akbar kontributur għall-PGD tal-Kenja?</v>
      </c>
    </row>
    <row r="8316" ht="15.75" customHeight="1">
      <c r="A8316" s="2" t="s">
        <v>8316</v>
      </c>
      <c r="B8316" s="2" t="str">
        <f>IFERROR(__xludf.DUMMYFUNCTION("GOOGLETRANSLATE(A8316, ""en"", ""mt"")"),"X'inhi t-teorija tal-ajru ħażina magħrufa uffiċjalment bħala?")</f>
        <v>X'inhi t-teorija tal-ajru ħażina magħrufa uffiċjalment bħala?</v>
      </c>
    </row>
    <row r="8317" ht="15.75" customHeight="1">
      <c r="A8317" s="2" t="s">
        <v>8317</v>
      </c>
      <c r="B8317" s="2" t="str">
        <f>IFERROR(__xludf.DUMMYFUNCTION("GOOGLETRANSLATE(A8317, ""en"", ""mt"")"),"ħames fażijiet")</f>
        <v>ħames fażijiet</v>
      </c>
    </row>
    <row r="8318" ht="15.75" customHeight="1">
      <c r="A8318" s="2" t="s">
        <v>8318</v>
      </c>
      <c r="B8318" s="2" t="str">
        <f>IFERROR(__xludf.DUMMYFUNCTION("GOOGLETRANSLATE(A8318, ""en"", ""mt"")"),"taqsam")</f>
        <v>taqsam</v>
      </c>
    </row>
    <row r="8319" ht="15.75" customHeight="1">
      <c r="A8319" s="2" t="s">
        <v>8319</v>
      </c>
      <c r="B8319" s="2" t="str">
        <f>IFERROR(__xludf.DUMMYFUNCTION("GOOGLETRANSLATE(A8319, ""en"", ""mt"")"),"komponenti ortogonali")</f>
        <v>komponenti ortogonali</v>
      </c>
    </row>
    <row r="8320" ht="15.75" customHeight="1">
      <c r="A8320" s="2" t="s">
        <v>8320</v>
      </c>
      <c r="B8320" s="2" t="str">
        <f>IFERROR(__xludf.DUMMYFUNCTION("GOOGLETRANSLATE(A8320, ""en"", ""mt"")"),"Ħafna problemi importanti jistgħu jintwerew li għandhom soluzzjonijiet aktar effiċjenti")</f>
        <v>Ħafna problemi importanti jistgħu jintwerew li għandhom soluzzjonijiet aktar effiċjenti</v>
      </c>
    </row>
    <row r="8321" ht="15.75" customHeight="1">
      <c r="A8321" s="2" t="s">
        <v>8321</v>
      </c>
      <c r="B8321" s="2" t="str">
        <f>IFERROR(__xludf.DUMMYFUNCTION("GOOGLETRANSLATE(A8321, ""en"", ""mt"")"),"Mozzjoni kontinwa")</f>
        <v>Mozzjoni kontinwa</v>
      </c>
    </row>
    <row r="8322" ht="15.75" customHeight="1">
      <c r="A8322" s="2" t="s">
        <v>8322</v>
      </c>
      <c r="B8322" s="2" t="str">
        <f>IFERROR(__xludf.DUMMYFUNCTION("GOOGLETRANSLATE(A8322, ""en"", ""mt"")"),"kien diżastru")</f>
        <v>kien diżastru</v>
      </c>
    </row>
    <row r="8323" ht="15.75" customHeight="1">
      <c r="A8323" s="2" t="s">
        <v>8323</v>
      </c>
      <c r="B8323" s="2" t="str">
        <f>IFERROR(__xludf.DUMMYFUNCTION("GOOGLETRANSLATE(A8323, ""en"", ""mt"")"),"19 ta 'Ottubru, 2005")</f>
        <v>19 ta 'Ottubru, 2005</v>
      </c>
    </row>
    <row r="8324" ht="15.75" customHeight="1">
      <c r="A8324" s="2" t="s">
        <v>8324</v>
      </c>
      <c r="B8324" s="2" t="str">
        <f>IFERROR(__xludf.DUMMYFUNCTION("GOOGLETRANSLATE(A8324, ""en"", ""mt"")"),"pigmenti aċċessorji li jwarrbu l-kuluri ħodor tal-klorofilla")</f>
        <v>pigmenti aċċessorji li jwarrbu l-kuluri ħodor tal-klorofilla</v>
      </c>
    </row>
    <row r="8325" ht="15.75" customHeight="1">
      <c r="A8325" s="2" t="s">
        <v>8325</v>
      </c>
      <c r="B8325" s="2" t="str">
        <f>IFERROR(__xludf.DUMMYFUNCTION("GOOGLETRANSLATE(A8325, ""en"", ""mt"")"),"X'inhu katalist importanti ta 'tkabbir ekonomiku?")</f>
        <v>X'inhu katalist importanti ta 'tkabbir ekonomiku?</v>
      </c>
    </row>
    <row r="8326" ht="15.75" customHeight="1">
      <c r="A8326" s="2" t="s">
        <v>8326</v>
      </c>
      <c r="B8326" s="2" t="str">
        <f>IFERROR(__xludf.DUMMYFUNCTION("GOOGLETRANSLATE(A8326, ""en"", ""mt"")"),"Seklu tmintax")</f>
        <v>Seklu tmintax</v>
      </c>
    </row>
    <row r="8327" ht="15.75" customHeight="1">
      <c r="A8327" s="2" t="s">
        <v>8327</v>
      </c>
      <c r="B8327" s="2" t="str">
        <f>IFERROR(__xludf.DUMMYFUNCTION("GOOGLETRANSLATE(A8327, ""en"", ""mt"")"),"It-Tapizzerija ta 'Bayeux")</f>
        <v>It-Tapizzerija ta 'Bayeux</v>
      </c>
    </row>
    <row r="8328" ht="15.75" customHeight="1">
      <c r="A8328" s="2" t="s">
        <v>8328</v>
      </c>
      <c r="B8328" s="2" t="str">
        <f>IFERROR(__xludf.DUMMYFUNCTION("GOOGLETRANSLATE(A8328, ""en"", ""mt"")"),"Għal xiex ifisser l-AFC?")</f>
        <v>Għal xiex ifisser l-AFC?</v>
      </c>
    </row>
    <row r="8329" ht="15.75" customHeight="1">
      <c r="A8329" s="2" t="s">
        <v>8329</v>
      </c>
      <c r="B8329" s="2" t="str">
        <f>IFERROR(__xludf.DUMMYFUNCTION("GOOGLETRANSLATE(A8329, ""en"", ""mt"")"),"Min għandu d-distakk fil-paga bejn is-sessi?")</f>
        <v>Min għandu d-distakk fil-paga bejn is-sessi?</v>
      </c>
    </row>
    <row r="8330" ht="15.75" customHeight="1">
      <c r="A8330" s="2" t="s">
        <v>8330</v>
      </c>
      <c r="B8330" s="2" t="str">
        <f>IFERROR(__xludf.DUMMYFUNCTION("GOOGLETRANSLATE(A8330, ""en"", ""mt"")"),"Patoġenesi intraċellulari")</f>
        <v>Patoġenesi intraċellulari</v>
      </c>
    </row>
    <row r="8331" ht="15.75" customHeight="1">
      <c r="A8331" s="2" t="s">
        <v>8331</v>
      </c>
      <c r="B8331" s="2" t="str">
        <f>IFERROR(__xludf.DUMMYFUNCTION("GOOGLETRANSLATE(A8331, ""en"", ""mt"")"),"Il-Mi'kmaq u l-Abenaki")</f>
        <v>Il-Mi'kmaq u l-Abenaki</v>
      </c>
    </row>
    <row r="8332" ht="15.75" customHeight="1">
      <c r="A8332" s="2" t="s">
        <v>8332</v>
      </c>
      <c r="B8332" s="2" t="str">
        <f>IFERROR(__xludf.DUMMYFUNCTION("GOOGLETRANSLATE(A8332, ""en"", ""mt"")"),"X'jista 'jidher bejn hadrons?")</f>
        <v>X'jista 'jidher bejn hadrons?</v>
      </c>
    </row>
    <row r="8333" ht="15.75" customHeight="1">
      <c r="A8333" s="2" t="s">
        <v>8333</v>
      </c>
      <c r="B8333" s="2" t="str">
        <f>IFERROR(__xludf.DUMMYFUNCTION("GOOGLETRANSLATE(A8333, ""en"", ""mt"")"),"Qilla ta ’Alla")</f>
        <v>Qilla ta ’Alla</v>
      </c>
    </row>
    <row r="8334" ht="15.75" customHeight="1">
      <c r="A8334" s="2" t="s">
        <v>8334</v>
      </c>
      <c r="B8334" s="2" t="str">
        <f>IFERROR(__xludf.DUMMYFUNCTION("GOOGLETRANSLATE(A8334, ""en"", ""mt"")"),"Il-pakketti jistgħu jitwasslu skont skema ta 'aċċess multipli")</f>
        <v>Il-pakketti jistgħu jitwasslu skont skema ta 'aċċess multipli</v>
      </c>
    </row>
    <row r="8335" ht="15.75" customHeight="1">
      <c r="A8335" s="2" t="s">
        <v>8335</v>
      </c>
      <c r="B8335" s="2" t="str">
        <f>IFERROR(__xludf.DUMMYFUNCTION("GOOGLETRANSLATE(A8335, ""en"", ""mt"")"),"In-nazzjonaliżmu Għarbi sekulari ġie akkużat kemm għat-telfa tat-truppi Għarab kif ukoll għal liema tip ta 'staġnar?")</f>
        <v>In-nazzjonaliżmu Għarbi sekulari ġie akkużat kemm għat-telfa tat-truppi Għarab kif ukoll għal liema tip ta 'staġnar?</v>
      </c>
    </row>
    <row r="8336" ht="15.75" customHeight="1">
      <c r="A8336" s="2" t="s">
        <v>8336</v>
      </c>
      <c r="B8336" s="2" t="str">
        <f>IFERROR(__xludf.DUMMYFUNCTION("GOOGLETRANSLATE(A8336, ""en"", ""mt"")"),"il-gruppi ta 'età kollha")</f>
        <v>il-gruppi ta 'età kollha</v>
      </c>
    </row>
    <row r="8337" ht="15.75" customHeight="1">
      <c r="A8337" s="2" t="s">
        <v>8337</v>
      </c>
      <c r="B8337" s="2" t="str">
        <f>IFERROR(__xludf.DUMMYFUNCTION("GOOGLETRANSLATE(A8337, ""en"", ""mt"")"),"VBNS installa waħda mill-ewwel produzzjoni ta ’links IP OC-48C (2.5 GBIT / S) fi Frar 1999 u kompliet taġġorna s-sinsla kollha għal OC-48C")</f>
        <v>VBNS installa waħda mill-ewwel produzzjoni ta ’links IP OC-48C (2.5 GBIT / S) fi Frar 1999 u kompliet taġġorna s-sinsla kollha għal OC-48C</v>
      </c>
    </row>
    <row r="8338" ht="15.75" customHeight="1">
      <c r="A8338" s="2" t="s">
        <v>8338</v>
      </c>
      <c r="B8338" s="2" t="str">
        <f>IFERROR(__xludf.DUMMYFUNCTION("GOOGLETRANSLATE(A8338, ""en"", ""mt"")"),"Kif tista 'd-deposizzjoni ta' kumpliment toqtol iċ-ċelloli invażin direttament?")</f>
        <v>Kif tista 'd-deposizzjoni ta' kumpliment toqtol iċ-ċelloli invażin direttament?</v>
      </c>
    </row>
    <row r="8339" ht="15.75" customHeight="1">
      <c r="A8339" s="2" t="s">
        <v>8339</v>
      </c>
      <c r="B8339" s="2" t="str">
        <f>IFERROR(__xludf.DUMMYFUNCTION("GOOGLETRANSLATE(A8339, ""en"", ""mt"")"),"Spejjeż żejda")</f>
        <v>Spejjeż żejda</v>
      </c>
    </row>
    <row r="8340" ht="15.75" customHeight="1">
      <c r="A8340" s="2" t="s">
        <v>8340</v>
      </c>
      <c r="B8340" s="2" t="str">
        <f>IFERROR(__xludf.DUMMYFUNCTION("GOOGLETRANSLATE(A8340, ""en"", ""mt"")"),"X'għandhom l-MSPs li mhumiex fil-kamra meta l-qanpiena tad-diviżjoni terġa 'tagħmel?")</f>
        <v>X'għandhom l-MSPs li mhumiex fil-kamra meta l-qanpiena tad-diviżjoni terġa 'tagħmel?</v>
      </c>
    </row>
    <row r="8341" ht="15.75" customHeight="1">
      <c r="A8341" s="2" t="s">
        <v>8341</v>
      </c>
      <c r="B8341" s="2" t="str">
        <f>IFERROR(__xludf.DUMMYFUNCTION("GOOGLETRANSLATE(A8341, ""en"", ""mt"")"),"il-pubbliku")</f>
        <v>il-pubbliku</v>
      </c>
    </row>
    <row r="8342" ht="15.75" customHeight="1">
      <c r="A8342" s="2" t="s">
        <v>8342</v>
      </c>
      <c r="B8342" s="2" t="str">
        <f>IFERROR(__xludf.DUMMYFUNCTION("GOOGLETRANSLATE(A8342, ""en"", ""mt"")"),"George, Margrave ta 'Brandenburg-Ansbach")</f>
        <v>George, Margrave ta 'Brandenburg-Ansbach</v>
      </c>
    </row>
    <row r="8343" ht="15.75" customHeight="1">
      <c r="A8343" s="2" t="s">
        <v>8343</v>
      </c>
      <c r="B8343" s="2" t="str">
        <f>IFERROR(__xludf.DUMMYFUNCTION("GOOGLETRANSLATE(A8343, ""en"", ""mt"")"),"Sabiex tkun ikkunsidrata fl-aqwa perċentili, persuna jkollha bżonn tiġbor kemm flus kull sena?")</f>
        <v>Sabiex tkun ikkunsidrata fl-aqwa perċentili, persuna jkollha bżonn tiġbor kemm flus kull sena?</v>
      </c>
    </row>
    <row r="8344" ht="15.75" customHeight="1">
      <c r="A8344" s="2" t="s">
        <v>8344</v>
      </c>
      <c r="B8344" s="2" t="str">
        <f>IFERROR(__xludf.DUMMYFUNCTION("GOOGLETRANSLATE(A8344, ""en"", ""mt"")"),"negattiv fit-tul")</f>
        <v>negattiv fit-tul</v>
      </c>
    </row>
    <row r="8345" ht="15.75" customHeight="1">
      <c r="A8345" s="2" t="s">
        <v>8345</v>
      </c>
      <c r="B8345" s="2" t="str">
        <f>IFERROR(__xludf.DUMMYFUNCTION("GOOGLETRANSLATE(A8345, ""en"", ""mt"")"),"X'inhi l-applikazzjoni tan-numri ewlenin użati fit-teknoloġija tal-informazzjoni li tuża l-fatt li l-fattur ta 'numri ewlenin kbar ħafna huwa ta' sfida ħafna?")</f>
        <v>X'inhi l-applikazzjoni tan-numri ewlenin użati fit-teknoloġija tal-informazzjoni li tuża l-fatt li l-fattur ta 'numri ewlenin kbar ħafna huwa ta' sfida ħafna?</v>
      </c>
    </row>
    <row r="8346" ht="15.75" customHeight="1">
      <c r="A8346" s="2" t="s">
        <v>8346</v>
      </c>
      <c r="B8346" s="2" t="str">
        <f>IFERROR(__xludf.DUMMYFUNCTION("GOOGLETRANSLATE(A8346, ""en"", ""mt"")"),"Brażil")</f>
        <v>Brażil</v>
      </c>
    </row>
    <row r="8347" ht="15.75" customHeight="1">
      <c r="A8347" s="2" t="s">
        <v>8347</v>
      </c>
      <c r="B8347" s="2" t="str">
        <f>IFERROR(__xludf.DUMMYFUNCTION("GOOGLETRANSLATE(A8347, ""en"", ""mt"")"),"Meta bskyb waqqaf il-kaxxa tas-sema +?")</f>
        <v>Meta bskyb waqqaf il-kaxxa tas-sema +?</v>
      </c>
    </row>
    <row r="8348" ht="15.75" customHeight="1">
      <c r="A8348" s="2" t="s">
        <v>8348</v>
      </c>
      <c r="B8348" s="2" t="str">
        <f>IFERROR(__xludf.DUMMYFUNCTION("GOOGLETRANSLATE(A8348, ""en"", ""mt"")"),"Fuq liema karatteristika kimika tiddependi mis-solubilità ta 'Oxygen?")</f>
        <v>Fuq liema karatteristika kimika tiddependi mis-solubilità ta 'Oxygen?</v>
      </c>
    </row>
    <row r="8349" ht="15.75" customHeight="1">
      <c r="A8349" s="2" t="s">
        <v>8349</v>
      </c>
      <c r="B8349" s="2" t="str">
        <f>IFERROR(__xludf.DUMMYFUNCTION("GOOGLETRANSLATE(A8349, ""en"", ""mt"")"),"Elimina l-pożizzjoni tal-Prim Ministru u fl-istess ħin tnaqqas il-poteri tal-President")</f>
        <v>Elimina l-pożizzjoni tal-Prim Ministru u fl-istess ħin tnaqqas il-poteri tal-President</v>
      </c>
    </row>
    <row r="8350" ht="15.75" customHeight="1">
      <c r="A8350" s="2" t="s">
        <v>8350</v>
      </c>
      <c r="B8350" s="2" t="str">
        <f>IFERROR(__xludf.DUMMYFUNCTION("GOOGLETRANSLATE(A8350, ""en"", ""mt"")"),"L-istanza tal-problema hija tipikament ikkaratterizzata bħala astratta jew konkreta?")</f>
        <v>L-istanza tal-problema hija tipikament ikkaratterizzata bħala astratta jew konkreta?</v>
      </c>
    </row>
    <row r="8351" ht="15.75" customHeight="1">
      <c r="A8351" s="2" t="s">
        <v>8351</v>
      </c>
      <c r="B8351" s="2" t="str">
        <f>IFERROR(__xludf.DUMMYFUNCTION("GOOGLETRANSLATE(A8351, ""en"", ""mt"")"),"Skola Groton")</f>
        <v>Skola Groton</v>
      </c>
    </row>
    <row r="8352" ht="15.75" customHeight="1">
      <c r="A8352" s="2" t="s">
        <v>8352</v>
      </c>
      <c r="B8352" s="2" t="str">
        <f>IFERROR(__xludf.DUMMYFUNCTION("GOOGLETRANSLATE(A8352, ""en"", ""mt"")"),"2011 u 2012")</f>
        <v>2011 u 2012</v>
      </c>
    </row>
    <row r="8353" ht="15.75" customHeight="1">
      <c r="A8353" s="2" t="s">
        <v>8353</v>
      </c>
      <c r="B8353" s="2" t="str">
        <f>IFERROR(__xludf.DUMMYFUNCTION("GOOGLETRANSLATE(A8353, ""en"", ""mt"")"),"sar il-prototip għall-konfederazzjoni matul il-gwerra tal-indipendenza")</f>
        <v>sar il-prototip għall-konfederazzjoni matul il-gwerra tal-indipendenza</v>
      </c>
    </row>
    <row r="8354" ht="15.75" customHeight="1">
      <c r="A8354" s="2" t="s">
        <v>8354</v>
      </c>
      <c r="B8354" s="2" t="str">
        <f>IFERROR(__xludf.DUMMYFUNCTION("GOOGLETRANSLATE(A8354, ""en"", ""mt"")"),"intransigenza notorja")</f>
        <v>intransigenza notorja</v>
      </c>
    </row>
    <row r="8355" ht="15.75" customHeight="1">
      <c r="A8355" s="2" t="s">
        <v>8355</v>
      </c>
      <c r="B8355" s="2" t="str">
        <f>IFERROR(__xludf.DUMMYFUNCTION("GOOGLETRANSLATE(A8355, ""en"", ""mt"")"),"L-ispettaklu tard tard ma 'James Corden")</f>
        <v>L-ispettaklu tard tard ma 'James Corden</v>
      </c>
    </row>
    <row r="8356" ht="15.75" customHeight="1">
      <c r="A8356" s="2" t="s">
        <v>8356</v>
      </c>
      <c r="B8356" s="2" t="str">
        <f>IFERROR(__xludf.DUMMYFUNCTION("GOOGLETRANSLATE(A8356, ""en"", ""mt"")"),"Il-Kumitat Ospitanti tas-Super Bowl 50 wegħdet li tkun ""l-iktar li tagħti Super Bowl"", u se tiddedika 25 fil-mija tal-flus kollha li tqajjem għal kawżi filantropiċi fiż-Żona tal-Bajja. Il-kumitat ħoloq il-50 fond bħala l-inizjattiva filantropika tiegħu "&amp;"u jiffoka fuq l-għoti ta 'għotjiet biex jgħinu l-iżvilupp taż-żgħażagħ, l-investiment fil-komunità u l-ambjenti sostenibbli.")</f>
        <v>Il-Kumitat Ospitanti tas-Super Bowl 50 wegħdet li tkun "l-iktar li tagħti Super Bowl", u se tiddedika 25 fil-mija tal-flus kollha li tqajjem għal kawżi filantropiċi fiż-Żona tal-Bajja. Il-kumitat ħoloq il-50 fond bħala l-inizjattiva filantropika tiegħu u jiffoka fuq l-għoti ta 'għotjiet biex jgħinu l-iżvilupp taż-żgħażagħ, l-investiment fil-komunità u l-ambjenti sostenibbli.</v>
      </c>
    </row>
    <row r="8357" ht="15.75" customHeight="1">
      <c r="A8357" s="2" t="s">
        <v>8357</v>
      </c>
      <c r="B8357" s="2" t="str">
        <f>IFERROR(__xludf.DUMMYFUNCTION("GOOGLETRANSLATE(A8357, ""en"", ""mt"")"),"M'hemm l-ebda każ magħruf")</f>
        <v>M'hemm l-ebda każ magħruf</v>
      </c>
    </row>
    <row r="8358" ht="15.75" customHeight="1">
      <c r="A8358" s="2" t="s">
        <v>8358</v>
      </c>
      <c r="B8358" s="2" t="str">
        <f>IFERROR(__xludf.DUMMYFUNCTION("GOOGLETRANSLATE(A8358, ""en"", ""mt"")"),"Meta l-Ewropa bil-mod bdiet tisħon mill-aħħar era tas-silġ?")</f>
        <v>Meta l-Ewropa bil-mod bdiet tisħon mill-aħħar era tas-silġ?</v>
      </c>
    </row>
    <row r="8359" ht="15.75" customHeight="1">
      <c r="A8359" s="2" t="s">
        <v>8359</v>
      </c>
      <c r="B8359" s="2" t="str">
        <f>IFERROR(__xludf.DUMMYFUNCTION("GOOGLETRANSLATE(A8359, ""en"", ""mt"")"),"Kemm hemm nazzjonijiet fil-Baċin tal-Amażonja?")</f>
        <v>Kemm hemm nazzjonijiet fil-Baċin tal-Amażonja?</v>
      </c>
    </row>
    <row r="8360" ht="15.75" customHeight="1">
      <c r="A8360" s="2" t="s">
        <v>8360</v>
      </c>
      <c r="B8360" s="2" t="str">
        <f>IFERROR(__xludf.DUMMYFUNCTION("GOOGLETRANSLATE(A8360, ""en"", ""mt"")"),"It-Tyneside Flat")</f>
        <v>It-Tyneside Flat</v>
      </c>
    </row>
    <row r="8361" ht="15.75" customHeight="1">
      <c r="A8361" s="2" t="s">
        <v>8361</v>
      </c>
      <c r="B8361" s="2" t="str">
        <f>IFERROR(__xludf.DUMMYFUNCTION("GOOGLETRANSLATE(A8361, ""en"", ""mt"")"),"inugwaljanza")</f>
        <v>inugwaljanza</v>
      </c>
    </row>
    <row r="8362" ht="15.75" customHeight="1">
      <c r="A8362" s="2" t="s">
        <v>8362</v>
      </c>
      <c r="B8362" s="2" t="str">
        <f>IFERROR(__xludf.DUMMYFUNCTION("GOOGLETRANSLATE(A8362, ""en"", ""mt"")"),"Rivoluzzjoni Amerikana")</f>
        <v>Rivoluzzjoni Amerikana</v>
      </c>
    </row>
    <row r="8363" ht="15.75" customHeight="1">
      <c r="A8363" s="2" t="s">
        <v>8363</v>
      </c>
      <c r="B8363" s="2" t="str">
        <f>IFERROR(__xludf.DUMMYFUNCTION("GOOGLETRANSLATE(A8363, ""en"", ""mt"")"),"Ix-xejra moderna fid-disinn hija lejn l-integrazzjoni ta 'xiex?")</f>
        <v>Ix-xejra moderna fid-disinn hija lejn l-integrazzjoni ta 'xiex?</v>
      </c>
    </row>
    <row r="8364" ht="15.75" customHeight="1">
      <c r="A8364" s="2" t="s">
        <v>8364</v>
      </c>
      <c r="B8364" s="2" t="str">
        <f>IFERROR(__xludf.DUMMYFUNCTION("GOOGLETRANSLATE(A8364, ""en"", ""mt"")"),"Jistgħu jieħdu kenn wara xulxin")</f>
        <v>Jistgħu jieħdu kenn wara xulxin</v>
      </c>
    </row>
    <row r="8365" ht="15.75" customHeight="1">
      <c r="A8365" s="2" t="s">
        <v>8365</v>
      </c>
      <c r="B8365" s="2" t="str">
        <f>IFERROR(__xludf.DUMMYFUNCTION("GOOGLETRANSLATE(A8365, ""en"", ""mt"")"),"Kemm telespettaturi tar-Renju Unit jaraw il-film tat-Tabib Min?")</f>
        <v>Kemm telespettaturi tar-Renju Unit jaraw il-film tat-Tabib Min?</v>
      </c>
    </row>
    <row r="8366" ht="15.75" customHeight="1">
      <c r="A8366" s="2" t="s">
        <v>8366</v>
      </c>
      <c r="B8366" s="2" t="str">
        <f>IFERROR(__xludf.DUMMYFUNCTION("GOOGLETRANSLATE(A8366, ""en"", ""mt"")"),"Sistema kurrenti alternattiva biex titħaddem il-streetcars tal-belt")</f>
        <v>Sistema kurrenti alternattiva biex titħaddem il-streetcars tal-belt</v>
      </c>
    </row>
    <row r="8367" ht="15.75" customHeight="1">
      <c r="A8367" s="2" t="s">
        <v>8367</v>
      </c>
      <c r="B8367" s="2" t="str">
        <f>IFERROR(__xludf.DUMMYFUNCTION("GOOGLETRANSLATE(A8367, ""en"", ""mt"")"),"Fejn irid il-Ħamas jistabbilixxi stat Iżlamiku?")</f>
        <v>Fejn irid il-Ħamas jistabbilixxi stat Iżlamiku?</v>
      </c>
    </row>
    <row r="8368" ht="15.75" customHeight="1">
      <c r="A8368" s="2" t="s">
        <v>8368</v>
      </c>
      <c r="B8368" s="2" t="str">
        <f>IFERROR(__xludf.DUMMYFUNCTION("GOOGLETRANSLATE(A8368, ""en"", ""mt"")"),"Seklu 17")</f>
        <v>Seklu 17</v>
      </c>
    </row>
    <row r="8369" ht="15.75" customHeight="1">
      <c r="A8369" s="2" t="s">
        <v>8369</v>
      </c>
      <c r="B8369" s="2" t="str">
        <f>IFERROR(__xludf.DUMMYFUNCTION("GOOGLETRANSLATE(A8369, ""en"", ""mt"")"),"Xi dibattitu li hemm korrelazzjoni bejn il-kapitaliżmu, l-imperjalizmu, u xiex?")</f>
        <v>Xi dibattitu li hemm korrelazzjoni bejn il-kapitaliżmu, l-imperjalizmu, u xiex?</v>
      </c>
    </row>
    <row r="8370" ht="15.75" customHeight="1">
      <c r="A8370" s="2" t="s">
        <v>8370</v>
      </c>
      <c r="B8370" s="2" t="str">
        <f>IFERROR(__xludf.DUMMYFUNCTION("GOOGLETRANSLATE(A8370, ""en"", ""mt"")"),"kittieb tal-innu")</f>
        <v>kittieb tal-innu</v>
      </c>
    </row>
    <row r="8371" ht="15.75" customHeight="1">
      <c r="A8371" s="2" t="s">
        <v>8371</v>
      </c>
      <c r="B8371" s="2" t="str">
        <f>IFERROR(__xludf.DUMMYFUNCTION("GOOGLETRANSLATE(A8371, ""en"", ""mt"")"),"Il-kitbiet u l-kummenti tiegħu")</f>
        <v>Il-kitbiet u l-kummenti tiegħu</v>
      </c>
    </row>
    <row r="8372" ht="15.75" customHeight="1">
      <c r="A8372" s="2" t="s">
        <v>8372</v>
      </c>
      <c r="B8372" s="2" t="str">
        <f>IFERROR(__xludf.DUMMYFUNCTION("GOOGLETRANSLATE(A8372, ""en"", ""mt"")"),"Liema kulur intuża biex jenfasizza l-50 anniversarju tas-Super Bowl?")</f>
        <v>Liema kulur intuża biex jenfasizza l-50 anniversarju tas-Super Bowl?</v>
      </c>
    </row>
    <row r="8373" ht="15.75" customHeight="1">
      <c r="A8373" s="2" t="s">
        <v>8373</v>
      </c>
      <c r="B8373" s="2" t="str">
        <f>IFERROR(__xludf.DUMMYFUNCTION("GOOGLETRANSLATE(A8373, ""en"", ""mt"")"),"Irbaħ il-ħelsien u evita l-ħabs jew multa")</f>
        <v>Irbaħ il-ħelsien u evita l-ħabs jew multa</v>
      </c>
    </row>
    <row r="8374" ht="15.75" customHeight="1">
      <c r="A8374" s="2" t="s">
        <v>8374</v>
      </c>
      <c r="B8374" s="2" t="str">
        <f>IFERROR(__xludf.DUMMYFUNCTION("GOOGLETRANSLATE(A8374, ""en"", ""mt"")"),"Il-V &amp; A tkopri 12.5 acres (51,000 m2) u 145 galleriji. Il-kollezzjoni tagħha tifrex 5,000 sena ta ’arti, minn żminijiet antiki sal-lum, mill-kulturi tal-Ewropa, l-Amerika ta’ Fuq, l-Asja u l-Afrika ta ’Fuq. L-azjendi taċ-ċeramika, ħġieġ, tessuti, kostumi"&amp;", fidda, xogħol tal-ħadid, ġojjelli, għamara, oġġetti medjevali, skultura, stampi u stampar, tpinġijiet u ritratti huma fost l-akbar u l-iktar komprensivi fid-dinja. Il-mużew jippossjedi l-akbar ġabra tad-dinja ta 'skultura post-klassika, bl-azjendi ta' o"&amp;"ġġetti ta 'rinaxximent Taljan huma l-akbar barra l-Italja. Id-dipartimenti tal-Asja jinkludu arti mill-Asja t'Isfel, iċ-Ċina, il-Ġappun, il-Korea u d-dinja Iżlamika. Il-kollezzjonijiet tal-Asja tal-Lvant huma fost l-aqwa fl-Ewropa, b’saħħithom partikolari"&amp;" fiċ-ċeramika u x-xogħol tal-metall, filwaqt li l-kollezzjoni Iżlamika hija fost l-ikbar fid-dinja tal-Punent. B'mod ġenerali, huwa wieħed mill-akbar mużewijiet fid-dinja.")</f>
        <v>Il-V &amp; A tkopri 12.5 acres (51,000 m2) u 145 galleriji. Il-kollezzjoni tagħha tifrex 5,000 sena ta ’arti, minn żminijiet antiki sal-lum, mill-kulturi tal-Ewropa, l-Amerika ta’ Fuq, l-Asja u l-Afrika ta ’Fuq. L-azjendi taċ-ċeramika, ħġieġ, tessuti, kostumi, fidda, xogħol tal-ħadid, ġojjelli, għamara, oġġetti medjevali, skultura, stampi u stampar, tpinġijiet u ritratti huma fost l-akbar u l-iktar komprensivi fid-dinja. Il-mużew jippossjedi l-akbar ġabra tad-dinja ta 'skultura post-klassika, bl-azjendi ta' oġġetti ta 'rinaxximent Taljan huma l-akbar barra l-Italja. Id-dipartimenti tal-Asja jinkludu arti mill-Asja t'Isfel, iċ-Ċina, il-Ġappun, il-Korea u d-dinja Iżlamika. Il-kollezzjonijiet tal-Asja tal-Lvant huma fost l-aqwa fl-Ewropa, b’saħħithom partikolari fiċ-ċeramika u x-xogħol tal-metall, filwaqt li l-kollezzjoni Iżlamika hija fost l-ikbar fid-dinja tal-Punent. B'mod ġenerali, huwa wieħed mill-akbar mużewijiet fid-dinja.</v>
      </c>
    </row>
    <row r="8375" ht="15.75" customHeight="1">
      <c r="A8375" s="2" t="s">
        <v>8375</v>
      </c>
      <c r="B8375" s="2" t="str">
        <f>IFERROR(__xludf.DUMMYFUNCTION("GOOGLETRANSLATE(A8375, ""en"", ""mt"")"),"il-kompetenzi devoluti")</f>
        <v>il-kompetenzi devoluti</v>
      </c>
    </row>
    <row r="8376" ht="15.75" customHeight="1">
      <c r="A8376" s="2" t="s">
        <v>8376</v>
      </c>
      <c r="B8376" s="2" t="str">
        <f>IFERROR(__xludf.DUMMYFUNCTION("GOOGLETRANSLATE(A8376, ""en"", ""mt"")"),"Luther kien l-iktar awtur li qara l-ġenerazzjoni tiegħu, u fil-Ġermanja huwa akkwista l-istatus ta 'profeta. Skond il-fehma prevalenti fost l-istoriċi, ir-retorika anti-Lhudija tiegħu kkontribwixxiet b'mod sinifikanti għall-iżvilupp ta 'antisemitiżmu fil-"&amp;"Ġermanja, u fis-snin 30 u 1940 ipprovdew ""irfid ideali"" għall-attakki tan-Nazi fuq il-Lhud. Reinhold Lewin jikteb li kull min ""kiteb kontra l-Lhud għal kwalunkwe raġuni emmen li kellu d-dritt li jiġġustifika lilu nnifsu billi jirreferi trijonfanti għal"&amp;" Luther."" Skond Michael, kważi kull ktieb anti-Lhudi stampat fit-Tielet Reich kien fih referenzi għal u kwotazzjonijiet minn Luther. Heinrich Himmler kiteb b'mod ammirabbli mill-kitbiet u l-priedki tiegħu fuq il-Lhud fl-1940. Il-belt ta 'Nuremberg ippreż"&amp;"entat l-ewwel edizzjoni ta' On The Lhud u l-gideb tagħhom lil Julius Streicher, editur tal-gazzetta Nażista Der Stürmer, f'għeluq l-1937 fl-1937; Il-gazzetta ddeskrivietha bħala l-iktar passaġġ antisemitiku radikalment li qatt ġie ppubblikat. Ġie esebit p"&amp;"ubblikament f'każ tal-ħġieġ fil-manifestazzjonijiet ta 'Nuremberg u kkwotat fi spjegazzjoni ta '54 paġna tal-liġi ta' Aryan minn Dr E.H. Schulz u Dr R. Frercks.")</f>
        <v>Luther kien l-iktar awtur li qara l-ġenerazzjoni tiegħu, u fil-Ġermanja huwa akkwista l-istatus ta 'profeta. Skond il-fehma prevalenti fost l-istoriċi, ir-retorika anti-Lhudija tiegħu kkontribwixxiet b'mod sinifikanti għall-iżvilupp ta 'antisemitiżmu fil-Ġermanja, u fis-snin 30 u 1940 ipprovdew "irfid ideali" għall-attakki tan-Nazi fuq il-Lhud. Reinhold Lewin jikteb li kull min "kiteb kontra l-Lhud għal kwalunkwe raġuni emmen li kellu d-dritt li jiġġustifika lilu nnifsu billi jirreferi trijonfanti għal Luther." Skond Michael, kważi kull ktieb anti-Lhudi stampat fit-Tielet Reich kien fih referenzi għal u kwotazzjonijiet minn Luther. Heinrich Himmler kiteb b'mod ammirabbli mill-kitbiet u l-priedki tiegħu fuq il-Lhud fl-1940. Il-belt ta 'Nuremberg ippreżentat l-ewwel edizzjoni ta' On The Lhud u l-gideb tagħhom lil Julius Streicher, editur tal-gazzetta Nażista Der Stürmer, f'għeluq l-1937 fl-1937; Il-gazzetta ddeskrivietha bħala l-iktar passaġġ antisemitiku radikalment li qatt ġie ppubblikat. Ġie esebit pubblikament f'każ tal-ħġieġ fil-manifestazzjonijiet ta 'Nuremberg u kkwotat fi spjegazzjoni ta '54 paġna tal-liġi ta' Aryan minn Dr E.H. Schulz u Dr R. Frercks.</v>
      </c>
    </row>
    <row r="8377" ht="15.75" customHeight="1">
      <c r="A8377" s="2" t="s">
        <v>8377</v>
      </c>
      <c r="B8377" s="2" t="str">
        <f>IFERROR(__xludf.DUMMYFUNCTION("GOOGLETRANSLATE(A8377, ""en"", ""mt"")"),"Liema forom ta 'arti uża Luther biex jgħaqqad l-innijiet tiegħu?")</f>
        <v>Liema forom ta 'arti uża Luther biex jgħaqqad l-innijiet tiegħu?</v>
      </c>
    </row>
    <row r="8378" ht="15.75" customHeight="1">
      <c r="A8378" s="2" t="s">
        <v>8378</v>
      </c>
      <c r="B8378" s="2" t="str">
        <f>IFERROR(__xludf.DUMMYFUNCTION("GOOGLETRANSLATE(A8378, ""en"", ""mt"")"),"Han Ċiniż")</f>
        <v>Han Ċiniż</v>
      </c>
    </row>
    <row r="8379" ht="15.75" customHeight="1">
      <c r="A8379" s="2" t="s">
        <v>8379</v>
      </c>
      <c r="B8379" s="2" t="str">
        <f>IFERROR(__xludf.DUMMYFUNCTION("GOOGLETRANSLATE(A8379, ""en"", ""mt"")"),"Kif xi wħud jissuspettaw li Polo tgħallmu dwar iċ-Ċina minflok ma żżurha fil-fatt?")</f>
        <v>Kif xi wħud jissuspettaw li Polo tgħallmu dwar iċ-Ċina minflok ma żżurha fil-fatt?</v>
      </c>
    </row>
    <row r="8380" ht="15.75" customHeight="1">
      <c r="A8380" s="2" t="s">
        <v>8380</v>
      </c>
      <c r="B8380" s="2" t="str">
        <f>IFERROR(__xludf.DUMMYFUNCTION("GOOGLETRANSLATE(A8380, ""en"", ""mt"")"),"Bil-bosta l-iktar xogħol famuż ta 'l-arti Norman huwa t-tapizzerija ta' Bayeux, li mhix tapizzerija imma xogħol ta 'rakkmu. Ġie kkummissjonat minn Odo, l-Isqof ta 'Bayeux u l-ewwel Earl ta' Kent, li jimpjegaw indiġeni minn Kent li tgħallmu fit-tradizzjoni"&amp;"jiet Nordiċi importati fin-nofs tas-seklu ta 'qabel mill-Vikingi Daniżi.")</f>
        <v>Bil-bosta l-iktar xogħol famuż ta 'l-arti Norman huwa t-tapizzerija ta' Bayeux, li mhix tapizzerija imma xogħol ta 'rakkmu. Ġie kkummissjonat minn Odo, l-Isqof ta 'Bayeux u l-ewwel Earl ta' Kent, li jimpjegaw indiġeni minn Kent li tgħallmu fit-tradizzjonijiet Nordiċi importati fin-nofs tas-seklu ta 'qabel mill-Vikingi Daniżi.</v>
      </c>
    </row>
    <row r="8381" ht="15.75" customHeight="1">
      <c r="A8381" s="2" t="s">
        <v>8381</v>
      </c>
      <c r="B8381" s="2" t="str">
        <f>IFERROR(__xludf.DUMMYFUNCTION("GOOGLETRANSLATE(A8381, ""en"", ""mt"")"),"Sinclair Broadcast Group")</f>
        <v>Sinclair Broadcast Group</v>
      </c>
    </row>
    <row r="8382" ht="15.75" customHeight="1">
      <c r="A8382" s="2" t="s">
        <v>8382</v>
      </c>
      <c r="B8382" s="2" t="str">
        <f>IFERROR(__xludf.DUMMYFUNCTION("GOOGLETRANSLATE(A8382, ""en"", ""mt"")"),"Sitta sa Disa 'fil-mija")</f>
        <v>Sitta sa Disa 'fil-mija</v>
      </c>
    </row>
    <row r="8383" ht="15.75" customHeight="1">
      <c r="A8383" s="2" t="s">
        <v>8383</v>
      </c>
      <c r="B8383" s="2" t="str">
        <f>IFERROR(__xludf.DUMMYFUNCTION("GOOGLETRANSLATE(A8383, ""en"", ""mt"")"),"Għaliex il-gvern Pollakk eżiljat f'Londra ordna lill-Armata tad-Dar taħt l-art biex taħtaf il-kontroll ta 'Varsavja qabel il-wasla tal-Armata l-Ħamra?")</f>
        <v>Għaliex il-gvern Pollakk eżiljat f'Londra ordna lill-Armata tad-Dar taħt l-art biex taħtaf il-kontroll ta 'Varsavja qabel il-wasla tal-Armata l-Ħamra?</v>
      </c>
    </row>
    <row r="8384" ht="15.75" customHeight="1">
      <c r="A8384" s="2" t="s">
        <v>8384</v>
      </c>
      <c r="B8384" s="2" t="str">
        <f>IFERROR(__xludf.DUMMYFUNCTION("GOOGLETRANSLATE(A8384, ""en"", ""mt"")"),"Is-suq Grainger ħa post suq preċedenti mibni oriġinarjament fl-1808 imsejjaħ The Butcher Market. Is-suq tal-Grainger innifsu, infetaħ fl-1835 u kien l-ewwel suq ta 'ġewwa ta' Newcastle. Fil-ħin tal-ftuħ tagħha fl-1835 kien qal li kien wieħed mill-akbar u "&amp;"l-isbaħ swieq fl-Ewropa. Il-ftuħ ġie ċċelebrat bi pranzu grandjuż li għalih attendew 2000 mistieden, u l-Laing Art Gallery għandha pittura ta 'dan l-avveniment. Bl-eċċezzjoni tas-saqaf tal-injam li nqered minn nirien fl-1901 u mibdul minn arkati tal-azzar"&amp;" bil-kannizzata, is-suq huwa fil-biċċa l-kbira fil-kundizzjoni oriġinali tiegħu. L-arkitettura tas-suq Grainger, bħall-biċċa l-kbira fil-belt ta 'Grainger, li huma elenkati ta' Grad I jew II, ġiet elenkata grad I fl-1954 mill-Wirt Ingliż.")</f>
        <v>Is-suq Grainger ħa post suq preċedenti mibni oriġinarjament fl-1808 imsejjaħ The Butcher Market. Is-suq tal-Grainger innifsu, infetaħ fl-1835 u kien l-ewwel suq ta 'ġewwa ta' Newcastle. Fil-ħin tal-ftuħ tagħha fl-1835 kien qal li kien wieħed mill-akbar u l-isbaħ swieq fl-Ewropa. Il-ftuħ ġie ċċelebrat bi pranzu grandjuż li għalih attendew 2000 mistieden, u l-Laing Art Gallery għandha pittura ta 'dan l-avveniment. Bl-eċċezzjoni tas-saqaf tal-injam li nqered minn nirien fl-1901 u mibdul minn arkati tal-azzar bil-kannizzata, is-suq huwa fil-biċċa l-kbira fil-kundizzjoni oriġinali tiegħu. L-arkitettura tas-suq Grainger, bħall-biċċa l-kbira fil-belt ta 'Grainger, li huma elenkati ta' Grad I jew II, ġiet elenkata grad I fl-1954 mill-Wirt Ingliż.</v>
      </c>
    </row>
    <row r="8385" ht="15.75" customHeight="1">
      <c r="A8385" s="2" t="s">
        <v>8385</v>
      </c>
      <c r="B8385" s="2" t="str">
        <f>IFERROR(__xludf.DUMMYFUNCTION("GOOGLETRANSLATE(A8385, ""en"", ""mt"")"),"Il-Port ta ’Los Angeles")</f>
        <v>Il-Port ta ’Los Angeles</v>
      </c>
    </row>
    <row r="8386" ht="15.75" customHeight="1">
      <c r="A8386" s="2" t="s">
        <v>8386</v>
      </c>
      <c r="B8386" s="2" t="str">
        <f>IFERROR(__xludf.DUMMYFUNCTION("GOOGLETRANSLATE(A8386, ""en"", ""mt"")"),"X'tip ta 'ċelloli jaħkmu jew jieklu patoġeni u partiċelli barranin?")</f>
        <v>X'tip ta 'ċelloli jaħkmu jew jieklu patoġeni u partiċelli barranin?</v>
      </c>
    </row>
    <row r="8387" ht="15.75" customHeight="1">
      <c r="A8387" s="2" t="s">
        <v>8387</v>
      </c>
      <c r="B8387" s="2" t="str">
        <f>IFERROR(__xludf.DUMMYFUNCTION("GOOGLETRANSLATE(A8387, ""en"", ""mt"")"),"fit-tessut tal-collenchyma")</f>
        <v>fit-tessut tal-collenchyma</v>
      </c>
    </row>
    <row r="8388" ht="15.75" customHeight="1">
      <c r="A8388" s="2" t="s">
        <v>8388</v>
      </c>
      <c r="B8388" s="2" t="str">
        <f>IFERROR(__xludf.DUMMYFUNCTION("GOOGLETRANSLATE(A8388, ""en"", ""mt"")"),"Kemm timijiet lagħbu Manning għal dak li laħaq is-Super Bowl, waqt li kien fit-tim tagħhom?")</f>
        <v>Kemm timijiet lagħbu Manning għal dak li laħaq is-Super Bowl, waqt li kien fit-tim tagħhom?</v>
      </c>
    </row>
    <row r="8389" ht="15.75" customHeight="1">
      <c r="A8389" s="2" t="s">
        <v>8389</v>
      </c>
      <c r="B8389" s="2" t="str">
        <f>IFERROR(__xludf.DUMMYFUNCTION("GOOGLETRANSLATE(A8389, ""en"", ""mt"")"),"Dak li ġeneralment ma jippermettix liċ-ċittadini biex iħarrku ċittadini oħra?")</f>
        <v>Dak li ġeneralment ma jippermettix liċ-ċittadini biex iħarrku ċittadini oħra?</v>
      </c>
    </row>
    <row r="8390" ht="15.75" customHeight="1">
      <c r="A8390" s="2" t="s">
        <v>8390</v>
      </c>
      <c r="B8390" s="2" t="str">
        <f>IFERROR(__xludf.DUMMYFUNCTION("GOOGLETRANSLATE(A8390, ""en"", ""mt"")"),"konxjament determinat li jerġa 'jinbena")</f>
        <v>konxjament determinat li jerġa 'jinbena</v>
      </c>
    </row>
    <row r="8391" ht="15.75" customHeight="1">
      <c r="A8391" s="2" t="s">
        <v>8391</v>
      </c>
      <c r="B8391" s="2" t="str">
        <f>IFERROR(__xludf.DUMMYFUNCTION("GOOGLETRANSLATE(A8391, ""en"", ""mt"")"),"il-koordinatur tal-proġett")</f>
        <v>il-koordinatur tal-proġett</v>
      </c>
    </row>
    <row r="8392" ht="15.75" customHeight="1">
      <c r="A8392" s="2" t="s">
        <v>8392</v>
      </c>
      <c r="B8392" s="2" t="str">
        <f>IFERROR(__xludf.DUMMYFUNCTION("GOOGLETRANSLATE(A8392, ""en"", ""mt"")"),"ġew miktuba algoritmi")</f>
        <v>ġew miktuba algoritmi</v>
      </c>
    </row>
    <row r="8393" ht="15.75" customHeight="1">
      <c r="A8393" s="2" t="s">
        <v>8393</v>
      </c>
      <c r="B8393" s="2" t="str">
        <f>IFERROR(__xludf.DUMMYFUNCTION("GOOGLETRANSLATE(A8393, ""en"", ""mt"")"),"Il-parti tax-Xlokk tal-Khwarzemia")</f>
        <v>Il-parti tax-Xlokk tal-Khwarzemia</v>
      </c>
    </row>
    <row r="8394" ht="15.75" customHeight="1">
      <c r="A8394" s="2" t="s">
        <v>8394</v>
      </c>
      <c r="B8394" s="2" t="str">
        <f>IFERROR(__xludf.DUMMYFUNCTION("GOOGLETRANSLATE(A8394, ""en"", ""mt"")"),"ikkawża ħsara dejjiema")</f>
        <v>ikkawża ħsara dejjiema</v>
      </c>
    </row>
    <row r="8395" ht="15.75" customHeight="1">
      <c r="A8395" s="2" t="s">
        <v>8395</v>
      </c>
      <c r="B8395" s="2" t="str">
        <f>IFERROR(__xludf.DUMMYFUNCTION("GOOGLETRANSLATE(A8395, ""en"", ""mt"")"),"huwa li jaqleb f'daqqa għal spirtu ta 'sussistenza")</f>
        <v>huwa li jaqleb f'daqqa għal spirtu ta 'sussistenza</v>
      </c>
    </row>
    <row r="8396" ht="15.75" customHeight="1">
      <c r="A8396" s="2" t="s">
        <v>8396</v>
      </c>
      <c r="B8396" s="2" t="str">
        <f>IFERROR(__xludf.DUMMYFUNCTION("GOOGLETRANSLATE(A8396, ""en"", ""mt"")"),"Meta seħħet l-attività tal-bini fuq il-Knisja ta ’San Kazimierz?")</f>
        <v>Meta seħħet l-attività tal-bini fuq il-Knisja ta ’San Kazimierz?</v>
      </c>
    </row>
    <row r="8397" ht="15.75" customHeight="1">
      <c r="A8397" s="2" t="s">
        <v>8397</v>
      </c>
      <c r="B8397" s="2" t="str">
        <f>IFERROR(__xludf.DUMMYFUNCTION("GOOGLETRANSLATE(A8397, ""en"", ""mt"")"),"X'insabu l-fossili fis-shale Burgess?")</f>
        <v>X'insabu l-fossili fis-shale Burgess?</v>
      </c>
    </row>
    <row r="8398" ht="15.75" customHeight="1">
      <c r="A8398" s="2" t="s">
        <v>8398</v>
      </c>
      <c r="B8398" s="2" t="str">
        <f>IFERROR(__xludf.DUMMYFUNCTION("GOOGLETRANSLATE(A8398, ""en"", ""mt"")"),"Liema slogan akkumpanja l-logo tal-40 anniversarju għal ABC?")</f>
        <v>Liema slogan akkumpanja l-logo tal-40 anniversarju għal ABC?</v>
      </c>
    </row>
    <row r="8399" ht="15.75" customHeight="1">
      <c r="A8399" s="2" t="s">
        <v>8399</v>
      </c>
      <c r="B8399" s="2" t="str">
        <f>IFERROR(__xludf.DUMMYFUNCTION("GOOGLETRANSLATE(A8399, ""en"", ""mt"")"),"is-seklu 20")</f>
        <v>is-seklu 20</v>
      </c>
    </row>
    <row r="8400" ht="15.75" customHeight="1">
      <c r="A8400" s="2" t="s">
        <v>8400</v>
      </c>
      <c r="B8400" s="2" t="str">
        <f>IFERROR(__xludf.DUMMYFUNCTION("GOOGLETRANSLATE(A8400, ""en"", ""mt"")"),"Punent")</f>
        <v>Punent</v>
      </c>
    </row>
    <row r="8401" ht="15.75" customHeight="1">
      <c r="A8401" s="2" t="s">
        <v>8401</v>
      </c>
      <c r="B8401" s="2" t="str">
        <f>IFERROR(__xludf.DUMMYFUNCTION("GOOGLETRANSLATE(A8401, ""en"", ""mt"")"),"demografija u rabtiet ekonomiċi")</f>
        <v>demografija u rabtiet ekonomiċi</v>
      </c>
    </row>
    <row r="8402" ht="15.75" customHeight="1">
      <c r="A8402" s="2" t="s">
        <v>8402</v>
      </c>
      <c r="B8402" s="2" t="str">
        <f>IFERROR(__xludf.DUMMYFUNCTION("GOOGLETRANSLATE(A8402, ""en"", ""mt"")"),"Matul liema perjodu ta 'żmien inugwaljanza fid-dħul naqset fl-Istati Uniti?")</f>
        <v>Matul liema perjodu ta 'żmien inugwaljanza fid-dħul naqset fl-Istati Uniti?</v>
      </c>
    </row>
    <row r="8403" ht="15.75" customHeight="1">
      <c r="A8403" s="2" t="s">
        <v>8403</v>
      </c>
      <c r="B8403" s="2" t="str">
        <f>IFERROR(__xludf.DUMMYFUNCTION("GOOGLETRANSLATE(A8403, ""en"", ""mt"")"),"F'Mejju 2002, fejn tmur tindirizza l-Parlament?")</f>
        <v>F'Mejju 2002, fejn tmur tindirizza l-Parlament?</v>
      </c>
    </row>
    <row r="8404" ht="15.75" customHeight="1">
      <c r="A8404" s="2" t="s">
        <v>8404</v>
      </c>
      <c r="B8404" s="2" t="str">
        <f>IFERROR(__xludf.DUMMYFUNCTION("GOOGLETRANSLATE(A8404, ""en"", ""mt"")"),"pjan għal invażjoni tal-Ewropa tal-Punent")</f>
        <v>pjan għal invażjoni tal-Ewropa tal-Punent</v>
      </c>
    </row>
    <row r="8405" ht="15.75" customHeight="1">
      <c r="A8405" s="2" t="s">
        <v>8405</v>
      </c>
      <c r="B8405" s="2" t="str">
        <f>IFERROR(__xludf.DUMMYFUNCTION("GOOGLETRANSLATE(A8405, ""en"", ""mt"")"),"Xi jgħin l-Istitut tal-Edukazzjoni Urbana?")</f>
        <v>Xi jgħin l-Istitut tal-Edukazzjoni Urbana?</v>
      </c>
    </row>
    <row r="8406" ht="15.75" customHeight="1">
      <c r="A8406" s="2" t="s">
        <v>8406</v>
      </c>
      <c r="B8406" s="2" t="str">
        <f>IFERROR(__xludf.DUMMYFUNCTION("GOOGLETRANSLATE(A8406, ""en"", ""mt"")"),"X'kien l-isem taż-żmien li r-Renu ta 'Fuq jifforma fruntiera bejn Franza u l-Ġermanja?")</f>
        <v>X'kien l-isem taż-żmien li r-Renu ta 'Fuq jifforma fruntiera bejn Franza u l-Ġermanja?</v>
      </c>
    </row>
    <row r="8407" ht="15.75" customHeight="1">
      <c r="A8407" s="2" t="s">
        <v>8407</v>
      </c>
      <c r="B8407" s="2" t="str">
        <f>IFERROR(__xludf.DUMMYFUNCTION("GOOGLETRANSLATE(A8407, ""en"", ""mt"")"),"Rudyard Kipling kien kelliem influwenti għal xiex?")</f>
        <v>Rudyard Kipling kien kelliem influwenti għal xiex?</v>
      </c>
    </row>
    <row r="8408" ht="15.75" customHeight="1">
      <c r="A8408" s="2" t="s">
        <v>8408</v>
      </c>
      <c r="B8408" s="2" t="str">
        <f>IFERROR(__xludf.DUMMYFUNCTION("GOOGLETRANSLATE(A8408, ""en"", ""mt"")"),"191.766 biljun PLN")</f>
        <v>191.766 biljun PLN</v>
      </c>
    </row>
    <row r="8409" ht="15.75" customHeight="1">
      <c r="A8409" s="2" t="s">
        <v>8409</v>
      </c>
      <c r="B8409" s="2" t="str">
        <f>IFERROR(__xludf.DUMMYFUNCTION("GOOGLETRANSLATE(A8409, ""en"", ""mt"")"),"X'inhu eżempju ta 'problema li għaliha l-algoritmi effettivi pprovdew soluzzjoni minkejja l-intrattabilità assoċjata mal-wisa' tad-daqsijiet?")</f>
        <v>X'inhu eżempju ta 'problema li għaliha l-algoritmi effettivi pprovdew soluzzjoni minkejja l-intrattabilità assoċjata mal-wisa' tad-daqsijiet?</v>
      </c>
    </row>
    <row r="8410" ht="15.75" customHeight="1">
      <c r="A8410" s="2" t="s">
        <v>8410</v>
      </c>
      <c r="B8410" s="2" t="str">
        <f>IFERROR(__xludf.DUMMYFUNCTION("GOOGLETRANSLATE(A8410, ""en"", ""mt"")"),"X'imkien fil-Mongolja f'post mhux magħruf")</f>
        <v>X'imkien fil-Mongolja f'post mhux magħruf</v>
      </c>
    </row>
    <row r="8411" ht="15.75" customHeight="1">
      <c r="A8411" s="2" t="s">
        <v>8411</v>
      </c>
      <c r="B8411" s="2" t="str">
        <f>IFERROR(__xludf.DUMMYFUNCTION("GOOGLETRANSLATE(A8411, ""en"", ""mt"")"),"X'tip ta 'programmi jistgħu jiġu kkreditati għas-suċċess ta' ABC fl-aħħar tas-snin 1950?")</f>
        <v>X'tip ta 'programmi jistgħu jiġu kkreditati għas-suċċess ta' ABC fl-aħħar tas-snin 1950?</v>
      </c>
    </row>
    <row r="8412" ht="15.75" customHeight="1">
      <c r="A8412" s="2" t="s">
        <v>8412</v>
      </c>
      <c r="B8412" s="2" t="str">
        <f>IFERROR(__xludf.DUMMYFUNCTION("GOOGLETRANSLATE(A8412, ""en"", ""mt"")"),"Meta ġie ppruvat it-Teorema tan-Numru Prim?")</f>
        <v>Meta ġie ppruvat it-Teorema tan-Numru Prim?</v>
      </c>
    </row>
    <row r="8413" ht="15.75" customHeight="1">
      <c r="A8413" s="2" t="s">
        <v>8413</v>
      </c>
      <c r="B8413" s="2" t="str">
        <f>IFERROR(__xludf.DUMMYFUNCTION("GOOGLETRANSLATE(A8413, ""en"", ""mt"")"),"It-tnaqqis ulterjuri tal-istat tal-affarijiet Biżantini witta t-triq għat-tielet attakk fl-1185, meta armata Norman kbira invadiet Dyrrachium, minħabba t-tradiment ta 'uffiċjali għoljin Biżantini. Xi żmien wara, id-Dyrrachium - waħda mill-aktar bażijiet n"&amp;"avali importanti tal-Adrijatiku - jerġa 'jġib l-idejn Biżantini.")</f>
        <v>It-tnaqqis ulterjuri tal-istat tal-affarijiet Biżantini witta t-triq għat-tielet attakk fl-1185, meta armata Norman kbira invadiet Dyrrachium, minħabba t-tradiment ta 'uffiċjali għoljin Biżantini. Xi żmien wara, id-Dyrrachium - waħda mill-aktar bażijiet navali importanti tal-Adrijatiku - jerġa 'jġib l-idejn Biżantini.</v>
      </c>
    </row>
    <row r="8414" ht="15.75" customHeight="1">
      <c r="A8414" s="2" t="s">
        <v>8414</v>
      </c>
      <c r="B8414" s="2" t="str">
        <f>IFERROR(__xludf.DUMMYFUNCTION("GOOGLETRANSLATE(A8414, ""en"", ""mt"")"),"Ekonomista")</f>
        <v>Ekonomista</v>
      </c>
    </row>
    <row r="8415" ht="15.75" customHeight="1">
      <c r="A8415" s="2" t="s">
        <v>8415</v>
      </c>
      <c r="B8415" s="2" t="str">
        <f>IFERROR(__xludf.DUMMYFUNCTION("GOOGLETRANSLATE(A8415, ""en"", ""mt"")"),"stat ħieles")</f>
        <v>stat ħieles</v>
      </c>
    </row>
    <row r="8416" ht="15.75" customHeight="1">
      <c r="A8416" s="2" t="s">
        <v>8416</v>
      </c>
      <c r="B8416" s="2" t="str">
        <f>IFERROR(__xludf.DUMMYFUNCTION("GOOGLETRANSLATE(A8416, ""en"", ""mt"")"),"l-għerq kwadru ta 'n")</f>
        <v>l-għerq kwadru ta 'n</v>
      </c>
    </row>
    <row r="8417" ht="15.75" customHeight="1">
      <c r="A8417" s="2" t="s">
        <v>8417</v>
      </c>
      <c r="B8417" s="2" t="str">
        <f>IFERROR(__xludf.DUMMYFUNCTION("GOOGLETRANSLATE(A8417, ""en"", ""mt"")"),"X'tip ta 'sehem tal-udjenza MNF ippermetta lil ABC biex jilħaq skond Goldenson?")</f>
        <v>X'tip ta 'sehem tal-udjenza MNF ippermetta lil ABC biex jilħaq skond Goldenson?</v>
      </c>
    </row>
    <row r="8418" ht="15.75" customHeight="1">
      <c r="A8418" s="2" t="s">
        <v>8418</v>
      </c>
      <c r="B8418" s="2" t="str">
        <f>IFERROR(__xludf.DUMMYFUNCTION("GOOGLETRANSLATE(A8418, ""en"", ""mt"")"),"Ġid li jintiret")</f>
        <v>Ġid li jintiret</v>
      </c>
    </row>
    <row r="8419" ht="15.75" customHeight="1">
      <c r="A8419" s="2" t="s">
        <v>8419</v>
      </c>
      <c r="B8419" s="2" t="str">
        <f>IFERROR(__xludf.DUMMYFUNCTION("GOOGLETRANSLATE(A8419, ""en"", ""mt"")"),"Liema attur Amerikan huwa wkoll gradwat universitarju?")</f>
        <v>Liema attur Amerikan huwa wkoll gradwat universitarju?</v>
      </c>
    </row>
    <row r="8420" ht="15.75" customHeight="1">
      <c r="A8420" s="2" t="s">
        <v>8420</v>
      </c>
      <c r="B8420" s="2" t="str">
        <f>IFERROR(__xludf.DUMMYFUNCTION("GOOGLETRANSLATE(A8420, ""en"", ""mt"")"),"Abercrombie ġie mfakkar u sostitwit minn Jeffery Amherst,")</f>
        <v>Abercrombie ġie mfakkar u sostitwit minn Jeffery Amherst,</v>
      </c>
    </row>
    <row r="8421" ht="15.75" customHeight="1">
      <c r="A8421" s="2" t="s">
        <v>8421</v>
      </c>
      <c r="B8421" s="2" t="str">
        <f>IFERROR(__xludf.DUMMYFUNCTION("GOOGLETRANSLATE(A8421, ""en"", ""mt"")"),"F’inċident ieħor, għall-ħabta tal-1177, huwa nqabad f’raid u żamm priġunier mill-ex alleati ta ’missieru, it-Tayichi'ud. It-Tayichi'ud skjavja lil Temüjin (allegatament ma 'cangue, tip ta' ħażniet portabbli), iżda bl-għajnuna ta 'gwardja simpatetika, il-m"&amp;"issier ta' Chilaun (li aktar tard sar ġenerali ta 'Genghis Khan), huwa kien kapaċi jaħrab mill- Ger (yurt) f'nofs il-lejl billi ħeba fix-xmara tax-xmara. [Ċitazzjoni meħtieġa] Kien madwar dan iż-żmien li Jelme u Bo'orchu, tnejn mill-ġeneral futuri ta 'Gen"&amp;"ghis Khan, ingħaqdu miegħu. Ir-reputazzjoni ta 'Temüjin saret ukoll mifruxa wara l-ħarba tiegħu mit-Tayichi'ud.")</f>
        <v>F’inċident ieħor, għall-ħabta tal-1177, huwa nqabad f’raid u żamm priġunier mill-ex alleati ta ’missieru, it-Tayichi'ud. It-Tayichi'ud skjavja lil Temüjin (allegatament ma 'cangue, tip ta' ħażniet portabbli), iżda bl-għajnuna ta 'gwardja simpatetika, il-missier ta' Chilaun (li aktar tard sar ġenerali ta 'Genghis Khan), huwa kien kapaċi jaħrab mill- Ger (yurt) f'nofs il-lejl billi ħeba fix-xmara tax-xmara. [Ċitazzjoni meħtieġa] Kien madwar dan iż-żmien li Jelme u Bo'orchu, tnejn mill-ġeneral futuri ta 'Genghis Khan, ingħaqdu miegħu. Ir-reputazzjoni ta 'Temüjin saret ukoll mifruxa wara l-ħarba tiegħu mit-Tayichi'ud.</v>
      </c>
    </row>
    <row r="8422" ht="15.75" customHeight="1">
      <c r="A8422" s="2" t="s">
        <v>8422</v>
      </c>
      <c r="B8422" s="2" t="str">
        <f>IFERROR(__xludf.DUMMYFUNCTION("GOOGLETRANSLATE(A8422, ""en"", ""mt"")"),"Relazzjonijiet bejn l-istudenti-għalliema")</f>
        <v>Relazzjonijiet bejn l-istudenti-għalliema</v>
      </c>
    </row>
    <row r="8423" ht="15.75" customHeight="1">
      <c r="A8423" s="2" t="s">
        <v>8423</v>
      </c>
      <c r="B8423" s="2" t="str">
        <f>IFERROR(__xludf.DUMMYFUNCTION("GOOGLETRANSLATE(A8423, ""en"", ""mt"")"),"Kompożizzjoni organika tal-kapital")</f>
        <v>Kompożizzjoni organika tal-kapital</v>
      </c>
    </row>
    <row r="8424" ht="15.75" customHeight="1">
      <c r="A8424" s="2" t="s">
        <v>8424</v>
      </c>
      <c r="B8424" s="2" t="str">
        <f>IFERROR(__xludf.DUMMYFUNCTION("GOOGLETRANSLATE(A8424, ""en"", ""mt"")"),"Dak li daħal fis-seħħ wara li l-kostituzzjoni l-ġdida kienet Herald?")</f>
        <v>Dak li daħal fis-seħħ wara li l-kostituzzjoni l-ġdida kienet Herald?</v>
      </c>
    </row>
    <row r="8425" ht="15.75" customHeight="1">
      <c r="A8425" s="2" t="s">
        <v>8425</v>
      </c>
      <c r="B8425" s="2" t="str">
        <f>IFERROR(__xludf.DUMMYFUNCTION("GOOGLETRANSLATE(A8425, ""en"", ""mt"")"),"L-Ekonomija tad-Dinja")</f>
        <v>L-Ekonomija tad-Dinja</v>
      </c>
    </row>
    <row r="8426" ht="15.75" customHeight="1">
      <c r="A8426" s="2" t="s">
        <v>8426</v>
      </c>
      <c r="B8426" s="2" t="str">
        <f>IFERROR(__xludf.DUMMYFUNCTION("GOOGLETRANSLATE(A8426, ""en"", ""mt"")"),"Sa l-1990, l-Arabja Sawdita kellha rwol importanti fit-trażżin ta 'liema gruppi?")</f>
        <v>Sa l-1990, l-Arabja Sawdita kellha rwol importanti fit-trażżin ta 'liema gruppi?</v>
      </c>
    </row>
    <row r="8427" ht="15.75" customHeight="1">
      <c r="A8427" s="2" t="s">
        <v>8427</v>
      </c>
      <c r="B8427" s="2" t="str">
        <f>IFERROR(__xludf.DUMMYFUNCTION("GOOGLETRANSLATE(A8427, ""en"", ""mt"")"),"X'inhu pajjiż ta 'Tesla?")</f>
        <v>X'inhu pajjiż ta 'Tesla?</v>
      </c>
    </row>
    <row r="8428" ht="15.75" customHeight="1">
      <c r="A8428" s="2" t="s">
        <v>8428</v>
      </c>
      <c r="B8428" s="2" t="str">
        <f>IFERROR(__xludf.DUMMYFUNCTION("GOOGLETRANSLATE(A8428, ""en"", ""mt"")"),"It-tielet liġi")</f>
        <v>It-tielet liġi</v>
      </c>
    </row>
    <row r="8429" ht="15.75" customHeight="1">
      <c r="A8429" s="2" t="s">
        <v>8429</v>
      </c>
      <c r="B8429" s="2" t="str">
        <f>IFERROR(__xludf.DUMMYFUNCTION("GOOGLETRANSLATE(A8429, ""en"", ""mt"")"),"Liema dnub kienu l-mexxejja li l-estremisti attakkaw ħatja?")</f>
        <v>Liema dnub kienu l-mexxejja li l-estremisti attakkaw ħatja?</v>
      </c>
    </row>
    <row r="8430" ht="15.75" customHeight="1">
      <c r="A8430" s="2" t="s">
        <v>8430</v>
      </c>
      <c r="B8430" s="2" t="str">
        <f>IFERROR(__xludf.DUMMYFUNCTION("GOOGLETRANSLATE(A8430, ""en"", ""mt"")"),"Il-Ħamis")</f>
        <v>Il-Ħamis</v>
      </c>
    </row>
    <row r="8431" ht="15.75" customHeight="1">
      <c r="A8431" s="2" t="s">
        <v>8431</v>
      </c>
      <c r="B8431" s="2" t="str">
        <f>IFERROR(__xludf.DUMMYFUNCTION("GOOGLETRANSLATE(A8431, ""en"", ""mt"")"),"livell aktar baxx ta 'utilità ekonomika fis-soċjetà")</f>
        <v>livell aktar baxx ta 'utilità ekonomika fis-soċjetà</v>
      </c>
    </row>
    <row r="8432" ht="15.75" customHeight="1">
      <c r="A8432" s="2" t="s">
        <v>8432</v>
      </c>
      <c r="B8432" s="2" t="str">
        <f>IFERROR(__xludf.DUMMYFUNCTION("GOOGLETRANSLATE(A8432, ""en"", ""mt"")"),"Nuqqas ta 'dispjaċir")</f>
        <v>Nuqqas ta 'dispjaċir</v>
      </c>
    </row>
    <row r="8433" ht="15.75" customHeight="1">
      <c r="A8433" s="2" t="s">
        <v>8433</v>
      </c>
      <c r="B8433" s="2" t="str">
        <f>IFERROR(__xludf.DUMMYFUNCTION("GOOGLETRANSLATE(A8433, ""en"", ""mt"")"),"L-Iskema ta 'Kontraenti tas-Servizz ta' l-Edukazzjoni tal-Gvern tipprovdi għajnuna finanzjarja għat-tagħlim u miżati oħra ta 'studenti tbiegħdu mill-iskejjel għolja pubbliċi minħabba tfur ta' l-iskrizzjoni. Is-suppliment tat-tariffa tat-tagħlim huwa mmira"&amp;"t għal studenti rreġistrati f'korsijiet ta 'prijorità fi programmi post-sekondarji u mhux tal-grad, inklużi korsijiet vokazzjonali u tekniċi. L-assistenza finanzjarja tal-istudenti tal-edukazzjoni privata hija disponibbli għal gradwati mhux privileġġjati,"&amp;" iżda li jistħoqqilhom l-iskola sekondarja, li jixtiequ jsegwu l-edukazzjoni tal-kulleġġ / teknika f'kulleġġi privati ​​u universitajiet.")</f>
        <v>L-Iskema ta 'Kontraenti tas-Servizz ta' l-Edukazzjoni tal-Gvern tipprovdi għajnuna finanzjarja għat-tagħlim u miżati oħra ta 'studenti tbiegħdu mill-iskejjel għolja pubbliċi minħabba tfur ta' l-iskrizzjoni. Is-suppliment tat-tariffa tat-tagħlim huwa mmirat għal studenti rreġistrati f'korsijiet ta 'prijorità fi programmi post-sekondarji u mhux tal-grad, inklużi korsijiet vokazzjonali u tekniċi. L-assistenza finanzjarja tal-istudenti tal-edukazzjoni privata hija disponibbli għal gradwati mhux privileġġjati, iżda li jistħoqqilhom l-iskola sekondarja, li jixtiequ jsegwu l-edukazzjoni tal-kulleġġ / teknika f'kulleġġi privati ​​u universitajiet.</v>
      </c>
    </row>
    <row r="8434" ht="15.75" customHeight="1">
      <c r="A8434" s="2" t="s">
        <v>8434</v>
      </c>
      <c r="B8434" s="2" t="str">
        <f>IFERROR(__xludf.DUMMYFUNCTION("GOOGLETRANSLATE(A8434, ""en"", ""mt"")"),"l-endosymbiont primarju")</f>
        <v>l-endosymbiont primarju</v>
      </c>
    </row>
    <row r="8435" ht="15.75" customHeight="1">
      <c r="A8435" s="2" t="s">
        <v>8435</v>
      </c>
      <c r="B8435" s="2" t="str">
        <f>IFERROR(__xludf.DUMMYFUNCTION("GOOGLETRANSLATE(A8435, ""en"", ""mt"")"),"Aktar fil-preżent il-prevalenza tad-diżubbidjenza ċivili nbidlet u qalet li hi?")</f>
        <v>Aktar fil-preżent il-prevalenza tad-diżubbidjenza ċivili nbidlet u qalet li hi?</v>
      </c>
    </row>
    <row r="8436" ht="15.75" customHeight="1">
      <c r="A8436" s="2" t="s">
        <v>8436</v>
      </c>
      <c r="B8436" s="2" t="str">
        <f>IFERROR(__xludf.DUMMYFUNCTION("GOOGLETRANSLATE(A8436, ""en"", ""mt"")"),"Liema persentaġġ tal-vot għal assemblea Skoċċiża favurha?")</f>
        <v>Liema persentaġġ tal-vot għal assemblea Skoċċiża favurha?</v>
      </c>
    </row>
    <row r="8437" ht="15.75" customHeight="1">
      <c r="A8437" s="2" t="s">
        <v>8437</v>
      </c>
      <c r="B8437" s="2" t="str">
        <f>IFERROR(__xludf.DUMMYFUNCTION("GOOGLETRANSLATE(A8437, ""en"", ""mt"")"),"Michael P. Milladi")</f>
        <v>Michael P. Milladi</v>
      </c>
    </row>
    <row r="8438" ht="15.75" customHeight="1">
      <c r="A8438" s="2" t="s">
        <v>8438</v>
      </c>
      <c r="B8438" s="2" t="str">
        <f>IFERROR(__xludf.DUMMYFUNCTION("GOOGLETRANSLATE(A8438, ""en"", ""mt"")"),"Liema motivazzjoni hija mmexxija mill-intraprenditorija bbażata fuq l-opportunità?")</f>
        <v>Liema motivazzjoni hija mmexxija mill-intraprenditorija bbażata fuq l-opportunità?</v>
      </c>
    </row>
    <row r="8439" ht="15.75" customHeight="1">
      <c r="A8439" s="2" t="s">
        <v>8439</v>
      </c>
      <c r="B8439" s="2" t="str">
        <f>IFERROR(__xludf.DUMMYFUNCTION("GOOGLETRANSLATE(A8439, ""en"", ""mt"")"),"L-aħħar 7000 sena")</f>
        <v>L-aħħar 7000 sena</v>
      </c>
    </row>
    <row r="8440" ht="15.75" customHeight="1">
      <c r="A8440" s="2" t="s">
        <v>8440</v>
      </c>
      <c r="B8440" s="2" t="str">
        <f>IFERROR(__xludf.DUMMYFUNCTION("GOOGLETRANSLATE(A8440, ""en"", ""mt"")"),"marġinali")</f>
        <v>marġinali</v>
      </c>
    </row>
    <row r="8441" ht="15.75" customHeight="1">
      <c r="A8441" s="2" t="s">
        <v>8441</v>
      </c>
      <c r="B8441" s="2" t="str">
        <f>IFERROR(__xludf.DUMMYFUNCTION("GOOGLETRANSLATE(A8441, ""en"", ""mt"")"),"Bacteriophage T4.")</f>
        <v>Bacteriophage T4.</v>
      </c>
    </row>
    <row r="8442" ht="15.75" customHeight="1">
      <c r="A8442" s="2" t="s">
        <v>8442</v>
      </c>
      <c r="B8442" s="2" t="str">
        <f>IFERROR(__xludf.DUMMYFUNCTION("GOOGLETRANSLATE(A8442, ""en"", ""mt"")"),"Celeron kif kien jieħu ħsieb in-negozju fuq il-vjaġġ?")</f>
        <v>Celeron kif kien jieħu ħsieb in-negozju fuq il-vjaġġ?</v>
      </c>
    </row>
    <row r="8443" ht="15.75" customHeight="1">
      <c r="A8443" s="2" t="s">
        <v>8443</v>
      </c>
      <c r="B8443" s="2" t="str">
        <f>IFERROR(__xludf.DUMMYFUNCTION("GOOGLETRANSLATE(A8443, ""en"", ""mt"")"),"Liġijiet")</f>
        <v>Liġijiet</v>
      </c>
    </row>
    <row r="8444" ht="15.75" customHeight="1">
      <c r="A8444" s="2" t="s">
        <v>8444</v>
      </c>
      <c r="B8444" s="2" t="str">
        <f>IFERROR(__xludf.DUMMYFUNCTION("GOOGLETRANSLATE(A8444, ""en"", ""mt"")"),"Taħt il-Mongoli")</f>
        <v>Taħt il-Mongoli</v>
      </c>
    </row>
    <row r="8445" ht="15.75" customHeight="1">
      <c r="A8445" s="2" t="s">
        <v>8445</v>
      </c>
      <c r="B8445" s="2" t="str">
        <f>IFERROR(__xludf.DUMMYFUNCTION("GOOGLETRANSLATE(A8445, ""en"", ""mt"")"),"Liema kunċett jispjega għaliex l-oġġetti jkomplu f'moviment kostanti?")</f>
        <v>Liema kunċett jispjega għaliex l-oġġetti jkomplu f'moviment kostanti?</v>
      </c>
    </row>
    <row r="8446" ht="15.75" customHeight="1">
      <c r="A8446" s="2" t="s">
        <v>8446</v>
      </c>
      <c r="B8446" s="2" t="str">
        <f>IFERROR(__xludf.DUMMYFUNCTION("GOOGLETRANSLATE(A8446, ""en"", ""mt"")"),"elettrifikat")</f>
        <v>elettrifikat</v>
      </c>
    </row>
    <row r="8447" ht="15.75" customHeight="1">
      <c r="A8447" s="2" t="s">
        <v>8447</v>
      </c>
      <c r="B8447" s="2" t="str">
        <f>IFERROR(__xludf.DUMMYFUNCTION("GOOGLETRANSLATE(A8447, ""en"", ""mt"")"),"Id-dħul tal-undergraduate f'Harvard huwa kkaratterizzat mill-Fondazzjoni Carnegie bħala ""aktar selettiv, aktar baxx ta 'trasferiment"". Il-Kulleġġ ta ’Harvard aċċetta 5.3% tal-applikanti għall-Klassi tal-2019, rekord baxx u t-tieni rata ta’ aċċettazzjoni"&amp;" l-iktar baxxa fost l-universitajiet nazzjonali kollha. Il-Kulleġġ ta 'Harvard temm il-programm ta' ammissjoni bikrija tiegħu fl-2007 peress li l-programm kien maħsub li żvantaġġja applikanti ta 'minoranza bi dħul baxx u mhux rappreżentati li japplikaw għ"&amp;"al universitajiet selettivi, iżda għall-klassi tal-2016 ġie introdott programm ta' azzjoni bikrija.")</f>
        <v>Id-dħul tal-undergraduate f'Harvard huwa kkaratterizzat mill-Fondazzjoni Carnegie bħala "aktar selettiv, aktar baxx ta 'trasferiment". Il-Kulleġġ ta ’Harvard aċċetta 5.3% tal-applikanti għall-Klassi tal-2019, rekord baxx u t-tieni rata ta’ aċċettazzjoni l-iktar baxxa fost l-universitajiet nazzjonali kollha. Il-Kulleġġ ta 'Harvard temm il-programm ta' ammissjoni bikrija tiegħu fl-2007 peress li l-programm kien maħsub li żvantaġġja applikanti ta 'minoranza bi dħul baxx u mhux rappreżentati li japplikaw għal universitajiet selettivi, iżda għall-klassi tal-2016 ġie introdott programm ta' azzjoni bikrija.</v>
      </c>
    </row>
    <row r="8448" ht="15.75" customHeight="1">
      <c r="A8448" s="2" t="s">
        <v>8448</v>
      </c>
      <c r="B8448" s="2" t="str">
        <f>IFERROR(__xludf.DUMMYFUNCTION("GOOGLETRANSLATE(A8448, ""en"", ""mt"")"),"X'inhi l-iktar kawża komuni ta 'korriment fuq il-post?")</f>
        <v>X'inhi l-iktar kawża komuni ta 'korriment fuq il-post?</v>
      </c>
    </row>
    <row r="8449" ht="15.75" customHeight="1">
      <c r="A8449" s="2" t="s">
        <v>8449</v>
      </c>
      <c r="B8449" s="2" t="str">
        <f>IFERROR(__xludf.DUMMYFUNCTION("GOOGLETRANSLATE(A8449, ""en"", ""mt"")"),"X'kienet l-Unjoni Sovjetika tipprova trażżan l-armata tagħha?")</f>
        <v>X'kienet l-Unjoni Sovjetika tipprova trażżan l-armata tagħha?</v>
      </c>
    </row>
    <row r="8450" ht="15.75" customHeight="1">
      <c r="A8450" s="2" t="s">
        <v>8450</v>
      </c>
      <c r="B8450" s="2" t="str">
        <f>IFERROR(__xludf.DUMMYFUNCTION("GOOGLETRANSLATE(A8450, ""en"", ""mt"")"),"kodifikazzjoni")</f>
        <v>kodifikazzjoni</v>
      </c>
    </row>
    <row r="8451" ht="15.75" customHeight="1">
      <c r="A8451" s="2" t="s">
        <v>8451</v>
      </c>
      <c r="B8451" s="2" t="str">
        <f>IFERROR(__xludf.DUMMYFUNCTION("GOOGLETRANSLATE(A8451, ""en"", ""mt"")"),"X'jiddikjara li t-teoloġija Metodista Magħquda hija f'daqqa ""Kattolika, Evanġelika u Riformata?""")</f>
        <v>X'jiddikjara li t-teoloġija Metodista Magħquda hija f'daqqa "Kattolika, Evanġelika u Riformata?"</v>
      </c>
    </row>
    <row r="8452" ht="15.75" customHeight="1">
      <c r="A8452" s="2" t="s">
        <v>8452</v>
      </c>
      <c r="B8452" s="2" t="str">
        <f>IFERROR(__xludf.DUMMYFUNCTION("GOOGLETRANSLATE(A8452, ""en"", ""mt"")"),"Genghis Khan huwa meqjus bħala wieħed mill-mexxejja prominenti fl-istorja tal-Mongolja. Huwa responsabbli għall-ħolqien tal-Mongoli bħala identità politika u etnika minħabba li ma kien hemm l-ebda identità unifikata bejn it-tribujiet li kellhom xebh kultu"&amp;"rali. Huwa rrinfurza ħafna tradizzjonijiet Mongoljani u pprovda stabbiltà u għaqda matul żmien ta 'gwerra kważi endemika bejn it-tribujiet. Huwa jingħata wkoll kreditu għall-introduzzjoni tal-iskrittura Mongoljana tradizzjonali u l-ħolqien tal-IKH Zasag ("&amp;"amministrazzjoni kbira), l-ewwel liġi Mongoljana miktuba. ""Il-liġi Ikh Zasag adottata matul iż-żmien ta 'Genghis Khan fil-Mongolja kellha punti biex tikkastiga kwistjonijiet illegali relatati mal-korruzzjoni u t-tixħim ħafna,"" innota l-President Mongolj"&amp;"an Tsakhiagiin Elbegdorj. Il-President Elbegdorj jara lil Genghis Khan bħala mexxej li minnu jitgħallem għall-isforzi kontra l-korruzzjoni hekk kif Genghis Khan fittex protezzjoni ugwali skont il-liġi għaċ-ċittadini kollha irrispettivament mill-istatus je"&amp;"w mill-ġid. ""Chinggis (Genghis Khan) ... kien raġel li rrealizza profondament li l-ġustizzja tibda u tikkonsolida bl-ugwaljanza tal-liġi, u mhux bid-distinzjonijiet bejn in-nies. Huwa kien raġel li kien jaf li l-liġijiet tajbin u r-regoli għexu aktar min"&amp;"n Palazzi fancy, ""qal Elbegdorj fid-diskors tiegħu fit-850 anniversarju tat-twelid ta 'Chinggis Khaan. Fil-qosor, il-Mongoljani jarawh bħala l-figura fundamentali fil-fondazzjoni tal-imperu Mongoljan u għalhekk il-bażi għall-Mongolja bħala pajjiż.")</f>
        <v>Genghis Khan huwa meqjus bħala wieħed mill-mexxejja prominenti fl-istorja tal-Mongolja. Huwa responsabbli għall-ħolqien tal-Mongoli bħala identità politika u etnika minħabba li ma kien hemm l-ebda identità unifikata bejn it-tribujiet li kellhom xebh kulturali. Huwa rrinfurza ħafna tradizzjonijiet Mongoljani u pprovda stabbiltà u għaqda matul żmien ta 'gwerra kważi endemika bejn it-tribujiet. Huwa jingħata wkoll kreditu għall-introduzzjoni tal-iskrittura Mongoljana tradizzjonali u l-ħolqien tal-IKH Zasag (amministrazzjoni kbira), l-ewwel liġi Mongoljana miktuba. "Il-liġi Ikh Zasag adottata matul iż-żmien ta 'Genghis Khan fil-Mongolja kellha punti biex tikkastiga kwistjonijiet illegali relatati mal-korruzzjoni u t-tixħim ħafna," innota l-President Mongoljan Tsakhiagiin Elbegdorj. Il-President Elbegdorj jara lil Genghis Khan bħala mexxej li minnu jitgħallem għall-isforzi kontra l-korruzzjoni hekk kif Genghis Khan fittex protezzjoni ugwali skont il-liġi għaċ-ċittadini kollha irrispettivament mill-istatus jew mill-ġid. "Chinggis (Genghis Khan) ... kien raġel li rrealizza profondament li l-ġustizzja tibda u tikkonsolida bl-ugwaljanza tal-liġi, u mhux bid-distinzjonijiet bejn in-nies. Huwa kien raġel li kien jaf li l-liġijiet tajbin u r-regoli għexu aktar minn Palazzi fancy, "qal Elbegdorj fid-diskors tiegħu fit-850 anniversarju tat-twelid ta 'Chinggis Khaan. Fil-qosor, il-Mongoljani jarawh bħala l-figura fundamentali fil-fondazzjoni tal-imperu Mongoljan u għalhekk il-bażi għall-Mongolja bħala pajjiż.</v>
      </c>
    </row>
    <row r="8453" ht="15.75" customHeight="1">
      <c r="A8453" s="2" t="s">
        <v>8453</v>
      </c>
      <c r="B8453" s="2" t="str">
        <f>IFERROR(__xludf.DUMMYFUNCTION("GOOGLETRANSLATE(A8453, ""en"", ""mt"")"),"l-Iżraeljani")</f>
        <v>l-Iżraeljani</v>
      </c>
    </row>
    <row r="8454" ht="15.75" customHeight="1">
      <c r="A8454" s="2" t="s">
        <v>8454</v>
      </c>
      <c r="B8454" s="2" t="str">
        <f>IFERROR(__xludf.DUMMYFUNCTION("GOOGLETRANSLATE(A8454, ""en"", ""mt"")"),"Il-qbid ta 'warũhiũ itote (magħruf ukoll bħala ċ-Ċina ġenerali) fil-15 ta' Jannar 1954 u l-interrogazzjoni sussegwenti wasslet għal fehim aħjar tal-istruttura tal-kmand ta 'Mau Mau. L-Operazzjoni Anvil infetħet fl-24 ta 'April 1954, wara ġimgħat ta' ppjan"&amp;"ar mill-Armata bl-approvazzjoni tal-Kunsill tal-Gwerra. L-operazzjoni poġġiet b'mod effettiv lil Nairobi taħt assedju militari, u l-okkupanti ġew skrinjati u l-partitarji ta 'Mau Mau marru jgħixu f'kampijiet ta' detenzjoni. Il-gwardja tad-dar iffurmat il-"&amp;"qalba tal-istrateġija tal-gvern peress li kienet magħmula minn Afrikani lealiżi, mhux forzi barranin bħall-armata Ingliża u x-xkubetti Afrikani tar-Re. Sa tmiem l-emerġenza, il-gwardja tad-dar kienet qatlet 4,686 Mau Mau, li jammontaw għal 42% tal-ribelli"&amp;" totali. Il-qbid ta 'Dedan Kimathi fil-21 ta' Ottubru 1956 fi Nyeri fisser it-telfa aħħarija tal-Mau Mau u essenzjalment temm l-offensiva militari. Matul dan il-perjodu, seħħew bidliet governattivi sostanzjali fil-mandat tal-art. L-iktar importanti minn d"&amp;"awn kien il-pjan Swynnerton, li kien użat kemm biex jippremja l-lealiżi u jikkastiga lil Mau Mau.")</f>
        <v>Il-qbid ta 'warũhiũ itote (magħruf ukoll bħala ċ-Ċina ġenerali) fil-15 ta' Jannar 1954 u l-interrogazzjoni sussegwenti wasslet għal fehim aħjar tal-istruttura tal-kmand ta 'Mau Mau. L-Operazzjoni Anvil infetħet fl-24 ta 'April 1954, wara ġimgħat ta' ppjanar mill-Armata bl-approvazzjoni tal-Kunsill tal-Gwerra. L-operazzjoni poġġiet b'mod effettiv lil Nairobi taħt assedju militari, u l-okkupanti ġew skrinjati u l-partitarji ta 'Mau Mau marru jgħixu f'kampijiet ta' detenzjoni. Il-gwardja tad-dar iffurmat il-qalba tal-istrateġija tal-gvern peress li kienet magħmula minn Afrikani lealiżi, mhux forzi barranin bħall-armata Ingliża u x-xkubetti Afrikani tar-Re. Sa tmiem l-emerġenza, il-gwardja tad-dar kienet qatlet 4,686 Mau Mau, li jammontaw għal 42% tal-ribelli totali. Il-qbid ta 'Dedan Kimathi fil-21 ta' Ottubru 1956 fi Nyeri fisser it-telfa aħħarija tal-Mau Mau u essenzjalment temm l-offensiva militari. Matul dan il-perjodu, seħħew bidliet governattivi sostanzjali fil-mandat tal-art. L-iktar importanti minn dawn kien il-pjan Swynnerton, li kien użat kemm biex jippremja l-lealiżi u jikkastiga lil Mau Mau.</v>
      </c>
    </row>
    <row r="8455" ht="15.75" customHeight="1">
      <c r="A8455" s="2" t="s">
        <v>8455</v>
      </c>
      <c r="B8455" s="2" t="str">
        <f>IFERROR(__xludf.DUMMYFUNCTION("GOOGLETRANSLATE(A8455, ""en"", ""mt"")"),"il-formazzjoni ta 'amiloplasti li jinħażnu l-lamtu")</f>
        <v>il-formazzjoni ta 'amiloplasti li jinħażnu l-lamtu</v>
      </c>
    </row>
    <row r="8456" ht="15.75" customHeight="1">
      <c r="A8456" s="2" t="s">
        <v>8456</v>
      </c>
      <c r="B8456" s="2" t="str">
        <f>IFERROR(__xludf.DUMMYFUNCTION("GOOGLETRANSLATE(A8456, ""en"", ""mt"")"),"stat tal-moħħ li qed jonqos")</f>
        <v>stat tal-moħħ li qed jonqos</v>
      </c>
    </row>
    <row r="8457" ht="15.75" customHeight="1">
      <c r="A8457" s="2" t="s">
        <v>8457</v>
      </c>
      <c r="B8457" s="2" t="str">
        <f>IFERROR(__xludf.DUMMYFUNCTION("GOOGLETRANSLATE(A8457, ""en"", ""mt"")"),"Mudell tal-kompjuter ta 'bidla fil-klima futura kkawżata mill-emissjonijiet ta' gass b'effett serra juri li l-foresta tropikali tal-Amażonja tista 'ssir insostenibbli f'kundizzjonijiet ta' xita mnaqqsa severament u żieda fit-temperaturi, li twassal għal t"&amp;"elf kważi komplet ta 'kopertura tal-foresta tropikali fil-baċin b'2100. Madankollu, simulazzjonijiet ta' Amazon It-tibdil fil-klima tal-baċin f'ħafna mudelli differenti mhumiex konsistenti fl-istima tagħhom ta 'xi rispons ta' xita, li jvarja minn żidiet d"&amp;"għajfa għal tnaqqis qawwi. Ir-riżultat jindika li l-foresta tropikali tista 'tkun mhedda għalkemm is-seklu 21 permezz tat-tibdil fil-klima minbarra d-deforestazzjoni.")</f>
        <v>Mudell tal-kompjuter ta 'bidla fil-klima futura kkawżata mill-emissjonijiet ta' gass b'effett serra juri li l-foresta tropikali tal-Amażonja tista 'ssir insostenibbli f'kundizzjonijiet ta' xita mnaqqsa severament u żieda fit-temperaturi, li twassal għal telf kważi komplet ta 'kopertura tal-foresta tropikali fil-baċin b'2100. Madankollu, simulazzjonijiet ta' Amazon It-tibdil fil-klima tal-baċin f'ħafna mudelli differenti mhumiex konsistenti fl-istima tagħhom ta 'xi rispons ta' xita, li jvarja minn żidiet dgħajfa għal tnaqqis qawwi. Ir-riżultat jindika li l-foresta tropikali tista 'tkun mhedda għalkemm is-seklu 21 permezz tat-tibdil fil-klima minbarra d-deforestazzjoni.</v>
      </c>
    </row>
    <row r="8458" ht="15.75" customHeight="1">
      <c r="A8458" s="2" t="s">
        <v>8458</v>
      </c>
      <c r="B8458" s="2" t="str">
        <f>IFERROR(__xludf.DUMMYFUNCTION("GOOGLETRANSLATE(A8458, ""en"", ""mt"")"),"Fis-17 ta 'Mejju 1899, Tesla marret tgħix Colorado Springs, fejn kien se jkollu spazju għall-esperimenti ta' frekwenza għolja tiegħu ta 'vultaġġ għoli; Il-laboratorju tiegħu kien jinsab ħdejn Foote Ave. u Kiowa St. Huwa għażel din il-lokalità minħabba li "&amp;"s-sistema ta 'distribuzzjoni tal-enerġija tal-kurrent tal-polifażi kienet ġiet introdotta hemmhekk u kellu assoċjati li kienu lesti jagħtuh il-poter kollu li kellu bżonn mingħajr ma jiċċarġja għaliha. Mal-wasla tiegħu, huwa qal lill-ġurnalisti li kien qed"&amp;" imexxi esperimenti tat-telegrafija mingħajr fili, jittrasmetti sinjali minn Pikes Peak għal Pariġi. [Ċitazzjoni meħtieġa] Il-ktieb tal-1978 Colorado Springs Noti, 1899-1900 fih deskrizzjonijiet tal-esperimenti ta 'Tesla. Fil-15 ta 'Ġunju 1899, Tesla wett"&amp;"aq l-ewwel esperimenti tiegħu fil-Colorado Springs Lab tiegħu; Huwa rreġistra t-tul inizjali tal-ispark tiegħu f'ħames pulzieri twil, iżda ħoxnin ħafna u storbjuż.")</f>
        <v>Fis-17 ta 'Mejju 1899, Tesla marret tgħix Colorado Springs, fejn kien se jkollu spazju għall-esperimenti ta' frekwenza għolja tiegħu ta 'vultaġġ għoli; Il-laboratorju tiegħu kien jinsab ħdejn Foote Ave. u Kiowa St. Huwa għażel din il-lokalità minħabba li s-sistema ta 'distribuzzjoni tal-enerġija tal-kurrent tal-polifażi kienet ġiet introdotta hemmhekk u kellu assoċjati li kienu lesti jagħtuh il-poter kollu li kellu bżonn mingħajr ma jiċċarġja għaliha. Mal-wasla tiegħu, huwa qal lill-ġurnalisti li kien qed imexxi esperimenti tat-telegrafija mingħajr fili, jittrasmetti sinjali minn Pikes Peak għal Pariġi. [Ċitazzjoni meħtieġa] Il-ktieb tal-1978 Colorado Springs Noti, 1899-1900 fih deskrizzjonijiet tal-esperimenti ta 'Tesla. Fil-15 ta 'Ġunju 1899, Tesla wettaq l-ewwel esperimenti tiegħu fil-Colorado Springs Lab tiegħu; Huwa rreġistra t-tul inizjali tal-ispark tiegħu f'ħames pulzieri twil, iżda ħoxnin ħafna u storbjuż.</v>
      </c>
    </row>
    <row r="8459" ht="15.75" customHeight="1">
      <c r="A8459" s="2" t="s">
        <v>8459</v>
      </c>
      <c r="B8459" s="2" t="str">
        <f>IFERROR(__xludf.DUMMYFUNCTION("GOOGLETRANSLATE(A8459, ""en"", ""mt"")"),"X'inhu l-proċess li żżid struttura ma 'proprjetà immobbli jew kostruzzjoni ta' bini?")</f>
        <v>X'inhu l-proċess li żżid struttura ma 'proprjetà immobbli jew kostruzzjoni ta' bini?</v>
      </c>
    </row>
    <row r="8460" ht="15.75" customHeight="1">
      <c r="A8460" s="2" t="s">
        <v>8460</v>
      </c>
      <c r="B8460" s="2" t="str">
        <f>IFERROR(__xludf.DUMMYFUNCTION("GOOGLETRANSLATE(A8460, ""en"", ""mt"")"),"dik il-grazzja ta ’Alla li ssostni lil dawk li jemmnu fil-vjaġġ lejn il-perfezzjoni Nisranija")</f>
        <v>dik il-grazzja ta ’Alla li ssostni lil dawk li jemmnu fil-vjaġġ lejn il-perfezzjoni Nisranija</v>
      </c>
    </row>
    <row r="8461" ht="15.75" customHeight="1">
      <c r="A8461" s="2" t="s">
        <v>8461</v>
      </c>
      <c r="B8461" s="2" t="str">
        <f>IFERROR(__xludf.DUMMYFUNCTION("GOOGLETRANSLATE(A8461, ""en"", ""mt"")"),"L-iktar stima aċċettata b'mod wiesa 'għall-Lvant Nofsani, inklużi l-Iraq, l-Iran u s-Sirja, matul dan iż-żmien, hija għal rata ta' mewt ta 'madwar terz. Il-mewt l-Iswed qatlet madwar 40% tal-popolazzjoni tal-Eġittu. Nofs il-popolazzjoni ta 'Pariġi ta' 100"&amp;",000 persuna mietet. Fl-Italja, il-popolazzjoni ta 'Firenze tnaqqset minn 110-120 elf abitant fl-1338' l isfel għal 50 elf fl-1351. Mill-inqas 60% tal-popolazzjoni ta 'Hamburg u Bremen jitħassru, u persentaġġ simili ta' Londoners seta 'miet mill-marda bħa"&amp;"la Ukoll. Interessanti filwaqt li r-rapporti kontemporanji jammontaw għall-fosos tad-dfin tal-massa li qed jinħolqu b'reazzjoni għan-numru kbir ta 'investigazzjonijiet xjentifiċi riċenti ta' fossa tax-xandir fiċ-ċentru ta 'Londra sabu individwi ppreservat"&amp;"i sew biex jiġu midfuna f'qabra iżolati, spazjati b'mod indaqs, li jissuġġerixxu mill-inqas xi wħud -Panning u Dfin Kristjan f'dan il-ħin. Qabel l-1350, kien hemm madwar 170,000 insedjament fil-Ġermanja, u dan tnaqqas bi kważi 40,000 sal-1450. Fl-1348, il"&amp;"-pesta nfirxet malajr li qabel ma xi tobba jew awtoritajiet tal-gvern kellhom il-ħin biex jirriflettu fuq l-oriġini tiegħu, madwar terz tal-Ewropew Il-popolazzjoni kienet diġà miexja. Fi bliet iffullati, ma kienx komuni għal daqs 50% tal-popolazzjoni li t"&amp;"mut. Il-marda qabżet xi żoni, u l-iktar żoni iżolati kienu inqas vulnerabbli għall-kontaġju. Il-patrijiet u s-saċerdoti kienu milquta speċjalment minn meta kienu jieħdu ħsieb il-vittmi tal-mewt sewda.")</f>
        <v>L-iktar stima aċċettata b'mod wiesa 'għall-Lvant Nofsani, inklużi l-Iraq, l-Iran u s-Sirja, matul dan iż-żmien, hija għal rata ta' mewt ta 'madwar terz. Il-mewt l-Iswed qatlet madwar 40% tal-popolazzjoni tal-Eġittu. Nofs il-popolazzjoni ta 'Pariġi ta' 100,000 persuna mietet. Fl-Italja, il-popolazzjoni ta 'Firenze tnaqqset minn 110-120 elf abitant fl-1338' l isfel għal 50 elf fl-1351. Mill-inqas 60% tal-popolazzjoni ta 'Hamburg u Bremen jitħassru, u persentaġġ simili ta' Londoners seta 'miet mill-marda bħala Ukoll. Interessanti filwaqt li r-rapporti kontemporanji jammontaw għall-fosos tad-dfin tal-massa li qed jinħolqu b'reazzjoni għan-numru kbir ta 'investigazzjonijiet xjentifiċi riċenti ta' fossa tax-xandir fiċ-ċentru ta 'Londra sabu individwi ppreservati sew biex jiġu midfuna f'qabra iżolati, spazjati b'mod indaqs, li jissuġġerixxu mill-inqas xi wħud -Panning u Dfin Kristjan f'dan il-ħin. Qabel l-1350, kien hemm madwar 170,000 insedjament fil-Ġermanja, u dan tnaqqas bi kważi 40,000 sal-1450. Fl-1348, il-pesta nfirxet malajr li qabel ma xi tobba jew awtoritajiet tal-gvern kellhom il-ħin biex jirriflettu fuq l-oriġini tiegħu, madwar terz tal-Ewropew Il-popolazzjoni kienet diġà miexja. Fi bliet iffullati, ma kienx komuni għal daqs 50% tal-popolazzjoni li tmut. Il-marda qabżet xi żoni, u l-iktar żoni iżolati kienu inqas vulnerabbli għall-kontaġju. Il-patrijiet u s-saċerdoti kienu milquta speċjalment minn meta kienu jieħdu ħsieb il-vittmi tal-mewt sewda.</v>
      </c>
    </row>
    <row r="8462" ht="15.75" customHeight="1">
      <c r="A8462" s="2" t="s">
        <v>8462</v>
      </c>
      <c r="B8462" s="2" t="str">
        <f>IFERROR(__xludf.DUMMYFUNCTION("GOOGLETRANSLATE(A8462, ""en"", ""mt"")"),"Fit-8 ta 'Frar 2007, BSKYB ħabbret l-intenzjoni tagħha li tissostitwixxi t-tliet kanali terrestri diġitali free-to-air tagħha b'erba' kanali ta 'abbonament. Ġie propost li dawn il-kanali joffru firxa ta 'kontenut mill-portafoll tal-BSKYB inkluż l-Isport ("&amp;"inkluż il-futbol Ingliż Premier League), films, divertiment u aħbarijiet. It-tħabbira waslet jum wara li Setanta Sports ikkonfermat li se tniedi f'Marzu bħala servizz ta 'abbonament fuq il-pjattaforma diġitali terrestri, u fl-istess jum li s-servizzi ta' "&amp;"NTL reġgħu marbuta bħala Virgin Media. Madankollu, is-sorsi tal-industrija jemmnu li BSKYB se jkun imġiegħel jippjana li jirtira l-kanali tiegħu minn Freeview u jibdilhom b'kanali ta 'abbonament, minħabba dħul possibbli għar-reklamar mitluf.")</f>
        <v>Fit-8 ta 'Frar 2007, BSKYB ħabbret l-intenzjoni tagħha li tissostitwixxi t-tliet kanali terrestri diġitali free-to-air tagħha b'erba' kanali ta 'abbonament. Ġie propost li dawn il-kanali joffru firxa ta 'kontenut mill-portafoll tal-BSKYB inkluż l-Isport (inkluż il-futbol Ingliż Premier League), films, divertiment u aħbarijiet. It-tħabbira waslet jum wara li Setanta Sports ikkonfermat li se tniedi f'Marzu bħala servizz ta 'abbonament fuq il-pjattaforma diġitali terrestri, u fl-istess jum li s-servizzi ta' NTL reġgħu marbuta bħala Virgin Media. Madankollu, is-sorsi tal-industrija jemmnu li BSKYB se jkun imġiegħel jippjana li jirtira l-kanali tiegħu minn Freeview u jibdilhom b'kanali ta 'abbonament, minħabba dħul possibbli għar-reklamar mitluf.</v>
      </c>
    </row>
    <row r="8463" ht="15.75" customHeight="1">
      <c r="A8463" s="2" t="s">
        <v>8463</v>
      </c>
      <c r="B8463" s="2" t="str">
        <f>IFERROR(__xludf.DUMMYFUNCTION("GOOGLETRANSLATE(A8463, ""en"", ""mt"")"),"X'għamel il-bdil ta 'blokka ta' messaġġi adattivi distribwiti")</f>
        <v>X'għamel il-bdil ta 'blokka ta' messaġġi adattivi distribwiti</v>
      </c>
    </row>
    <row r="8464" ht="15.75" customHeight="1">
      <c r="A8464" s="2" t="s">
        <v>8464</v>
      </c>
      <c r="B8464" s="2" t="str">
        <f>IFERROR(__xludf.DUMMYFUNCTION("GOOGLETRANSLATE(A8464, ""en"", ""mt"")"),"Fit-18 ta ’Novembru 2015, Sky ħabbret Sky Q, firxa ta’ prodotti u servizzi li għandhom ikunu disponibbli fl-2016. Il-firxa Sky Q tikkonsisti fi tliet kaxex tal-aqwa sett (Sky Q, Sky Q Silver u Sky Q Mini), router tal-broadband (Sky Q Hub) u applikazzjonij"&amp;"iet mobbli. Il-kaxex ta 'fuq tas-Sky Q jintroduċu interface tal-utent ġdid, funzjonalità Wi-Fi Hotspot, power-line u konnettività Bluetooth u kontroll mill-bogħod ġdid sensittiv għall-mess. Is-Sema Q Mini Set Top Boxes jaqbdu mal-kaxex ta 'fuq tas-Silda S"&amp;"ett tal-Fidda b'konnessjoni Wi-Fi jew Power-Line minflok ma jirċievu l-għalf tas-satellita tagħhom stess. Dan jippermetti l-kaxxi ta 'fuq kollha stabbiliti f'familja biex jaqsmu reġistrazzjonijiet u midja oħra. Il-kaxxa ta 'fuq tas-Silda Sy Silver hija ka"&amp;"paċi tirċievi u turi xandiriet UHD, li Sky se tintroduċi aktar tard fl-2016.")</f>
        <v>Fit-18 ta ’Novembru 2015, Sky ħabbret Sky Q, firxa ta’ prodotti u servizzi li għandhom ikunu disponibbli fl-2016. Il-firxa Sky Q tikkonsisti fi tliet kaxex tal-aqwa sett (Sky Q, Sky Q Silver u Sky Q Mini), router tal-broadband (Sky Q Hub) u applikazzjonijiet mobbli. Il-kaxex ta 'fuq tas-Sky Q jintroduċu interface tal-utent ġdid, funzjonalità Wi-Fi Hotspot, power-line u konnettività Bluetooth u kontroll mill-bogħod ġdid sensittiv għall-mess. Is-Sema Q Mini Set Top Boxes jaqbdu mal-kaxex ta 'fuq tas-Silda Sett tal-Fidda b'konnessjoni Wi-Fi jew Power-Line minflok ma jirċievu l-għalf tas-satellita tagħhom stess. Dan jippermetti l-kaxxi ta 'fuq kollha stabbiliti f'familja biex jaqsmu reġistrazzjonijiet u midja oħra. Il-kaxxa ta 'fuq tas-Silda Sy Silver hija kapaċi tirċievi u turi xandiriet UHD, li Sky se tintroduċi aktar tard fl-2016.</v>
      </c>
    </row>
    <row r="8465" ht="15.75" customHeight="1">
      <c r="A8465" s="2" t="s">
        <v>8465</v>
      </c>
      <c r="B8465" s="2" t="str">
        <f>IFERROR(__xludf.DUMMYFUNCTION("GOOGLETRANSLATE(A8465, ""en"", ""mt"")"),"Idealiżmu u filantropija")</f>
        <v>Idealiżmu u filantropija</v>
      </c>
    </row>
    <row r="8466" ht="15.75" customHeight="1">
      <c r="A8466" s="2" t="s">
        <v>8466</v>
      </c>
      <c r="B8466" s="2" t="str">
        <f>IFERROR(__xludf.DUMMYFUNCTION("GOOGLETRANSLATE(A8466, ""en"", ""mt"")"),"L-esperjenza annwali tal-NFL")</f>
        <v>L-esperjenza annwali tal-NFL</v>
      </c>
    </row>
    <row r="8467" ht="15.75" customHeight="1">
      <c r="A8467" s="2" t="s">
        <v>8467</v>
      </c>
      <c r="B8467" s="2" t="str">
        <f>IFERROR(__xludf.DUMMYFUNCTION("GOOGLETRANSLATE(A8467, ""en"", ""mt"")"),"Katastrofizmu")</f>
        <v>Katastrofizmu</v>
      </c>
    </row>
    <row r="8468" ht="15.75" customHeight="1">
      <c r="A8468" s="2" t="s">
        <v>8468</v>
      </c>
      <c r="B8468" s="2" t="str">
        <f>IFERROR(__xludf.DUMMYFUNCTION("GOOGLETRANSLATE(A8468, ""en"", ""mt"")"),"X’wassal għall-produzzjoni ta ’parafernalia tat-te bħaċ-Ċina u l-kaddijiet matul il-perjodu Ġeorġjan?")</f>
        <v>X’wassal għall-produzzjoni ta ’parafernalia tat-te bħaċ-Ċina u l-kaddijiet matul il-perjodu Ġeorġjan?</v>
      </c>
    </row>
    <row r="8469" ht="15.75" customHeight="1">
      <c r="A8469" s="2" t="s">
        <v>8469</v>
      </c>
      <c r="B8469" s="2" t="str">
        <f>IFERROR(__xludf.DUMMYFUNCTION("GOOGLETRANSLATE(A8469, ""en"", ""mt"")"),"Louisiana Franċiża")</f>
        <v>Louisiana Franċiża</v>
      </c>
    </row>
    <row r="8470" ht="15.75" customHeight="1">
      <c r="A8470" s="2" t="s">
        <v>8470</v>
      </c>
      <c r="B8470" s="2" t="str">
        <f>IFERROR(__xludf.DUMMYFUNCTION("GOOGLETRANSLATE(A8470, ""en"", ""mt"")"),"erbgħa")</f>
        <v>erbgħa</v>
      </c>
    </row>
    <row r="8471" ht="15.75" customHeight="1">
      <c r="A8471" s="2" t="s">
        <v>8471</v>
      </c>
      <c r="B8471" s="2" t="str">
        <f>IFERROR(__xludf.DUMMYFUNCTION("GOOGLETRANSLATE(A8471, ""en"", ""mt"")"),"L-ebda mod ma jikkontribwixxi")</f>
        <v>L-ebda mod ma jikkontribwixxi</v>
      </c>
    </row>
    <row r="8472" ht="15.75" customHeight="1">
      <c r="A8472" s="2" t="s">
        <v>8472</v>
      </c>
      <c r="B8472" s="2" t="str">
        <f>IFERROR(__xludf.DUMMYFUNCTION("GOOGLETRANSLATE(A8472, ""en"", ""mt"")"),"Huguenots ipprovda żewġ reġimenti ġodda")</f>
        <v>Huguenots ipprovda żewġ reġimenti ġodda</v>
      </c>
    </row>
    <row r="8473" ht="15.75" customHeight="1">
      <c r="A8473" s="2" t="s">
        <v>8473</v>
      </c>
      <c r="B8473" s="2" t="str">
        <f>IFERROR(__xludf.DUMMYFUNCTION("GOOGLETRANSLATE(A8473, ""en"", ""mt"")"),"X'inhu l-piż medju tal-bijomassa għal kull ettaru fl-Amażonja?")</f>
        <v>X'inhu l-piż medju tal-bijomassa għal kull ettaru fl-Amażonja?</v>
      </c>
    </row>
    <row r="8474" ht="15.75" customHeight="1">
      <c r="A8474" s="2" t="s">
        <v>8474</v>
      </c>
      <c r="B8474" s="2" t="str">
        <f>IFERROR(__xludf.DUMMYFUNCTION("GOOGLETRANSLATE(A8474, ""en"", ""mt"")"),"Defection ta 'numru ta' atleti Kenjani")</f>
        <v>Defection ta 'numru ta' atleti Kenjani</v>
      </c>
    </row>
    <row r="8475" ht="15.75" customHeight="1">
      <c r="A8475" s="2" t="s">
        <v>8475</v>
      </c>
      <c r="B8475" s="2" t="str">
        <f>IFERROR(__xludf.DUMMYFUNCTION("GOOGLETRANSLATE(A8475, ""en"", ""mt"")"),"VHF ta 'faxxa baxxa")</f>
        <v>VHF ta 'faxxa baxxa</v>
      </c>
    </row>
    <row r="8476" ht="15.75" customHeight="1">
      <c r="A8476" s="2" t="s">
        <v>8476</v>
      </c>
      <c r="B8476" s="2" t="str">
        <f>IFERROR(__xludf.DUMMYFUNCTION("GOOGLETRANSLATE(A8476, ""en"", ""mt"")"),"X'impatt l-inugwaljanza bejn is-sessi fil-pagi?")</f>
        <v>X'impatt l-inugwaljanza bejn is-sessi fil-pagi?</v>
      </c>
    </row>
    <row r="8477" ht="15.75" customHeight="1">
      <c r="A8477" s="2" t="s">
        <v>8477</v>
      </c>
      <c r="B8477" s="2" t="str">
        <f>IFERROR(__xludf.DUMMYFUNCTION("GOOGLETRANSLATE(A8477, ""en"", ""mt"")"),"Iż-żelu reliġjuż leġġendarju tan-Normanni ġie eżerċitat fi gwerer reliġjużi ħafna qabel l-ewwel kruċjata minquxa prinċipat Norman f'Antijokja. Kienu parteċipanti barranin kbar fir-Reconquista fl-Iberia. Fl-1018, Roger de Tosny ivvjaġġa lejn il-Peniżola Ib"&amp;"erika biex ifittex stat għalih innifsu mill-artijiet Moorish, iżda falla. Fl-1064, matul il-Gwerra ta ’Barbastro, William ta’ Montreuil mexxa l-armata papali u ħa booty enormi.")</f>
        <v>Iż-żelu reliġjuż leġġendarju tan-Normanni ġie eżerċitat fi gwerer reliġjużi ħafna qabel l-ewwel kruċjata minquxa prinċipat Norman f'Antijokja. Kienu parteċipanti barranin kbar fir-Reconquista fl-Iberia. Fl-1018, Roger de Tosny ivvjaġġa lejn il-Peniżola Iberika biex ifittex stat għalih innifsu mill-artijiet Moorish, iżda falla. Fl-1064, matul il-Gwerra ta ’Barbastro, William ta’ Montreuil mexxa l-armata papali u ħa booty enormi.</v>
      </c>
    </row>
    <row r="8478" ht="15.75" customHeight="1">
      <c r="A8478" s="2" t="s">
        <v>8478</v>
      </c>
      <c r="B8478" s="2" t="str">
        <f>IFERROR(__xludf.DUMMYFUNCTION("GOOGLETRANSLATE(A8478, ""en"", ""mt"")"),"Typhoon inauspicious")</f>
        <v>Typhoon inauspicious</v>
      </c>
    </row>
    <row r="8479" ht="15.75" customHeight="1">
      <c r="A8479" s="2" t="s">
        <v>8479</v>
      </c>
      <c r="B8479" s="2" t="str">
        <f>IFERROR(__xludf.DUMMYFUNCTION("GOOGLETRANSLATE(A8479, ""en"", ""mt"")"),"indipendenti")</f>
        <v>indipendenti</v>
      </c>
    </row>
    <row r="8480" ht="15.75" customHeight="1">
      <c r="A8480" s="2" t="s">
        <v>8480</v>
      </c>
      <c r="B8480" s="2" t="str">
        <f>IFERROR(__xludf.DUMMYFUNCTION("GOOGLETRANSLATE(A8480, ""en"", ""mt"")"),"Tentakli li jġorru t-Tentilla")</f>
        <v>Tentakli li jġorru t-Tentilla</v>
      </c>
    </row>
    <row r="8481" ht="15.75" customHeight="1">
      <c r="A8481" s="2" t="s">
        <v>8481</v>
      </c>
      <c r="B8481" s="2" t="str">
        <f>IFERROR(__xludf.DUMMYFUNCTION("GOOGLETRANSLATE(A8481, ""en"", ""mt"")"),"Għal xiex għandu jżommu proġett?")</f>
        <v>Għal xiex għandu jżommu proġett?</v>
      </c>
    </row>
    <row r="8482" ht="15.75" customHeight="1">
      <c r="A8482" s="2" t="s">
        <v>8482</v>
      </c>
      <c r="B8482" s="2" t="str">
        <f>IFERROR(__xludf.DUMMYFUNCTION("GOOGLETRANSLATE(A8482, ""en"", ""mt"")"),"L-iskejjel privati ​​fl-Awstralja jistgħu jiġu ffavoriti għal ħafna raġunijiet: prestiġju u l-istatus soċjali ta 'l-'intabta ta' l-iskola antika '; Infrastruttura fiżika ta 'kwalità aħjar u aktar faċilitajiet (e.ż. kampijiet ta' logħob, pixxini, eċċ.), Għ"&amp;"alliema ta 'ħlas ogħla; u / jew it-twemmin li l-iskejjel privati ​​joffru kwalità ogħla ta 'edukazzjoni. Xi skejjel joffru t-tneħħija tad-distrazzjonijiet allegati ta 'ko-edukazzjoni; il-preżenza ta 'faċilitajiet ta' imbark; jew dixxiplina aktar stretta b"&amp;"bażata fuq il-poter ta 'tkeċċija tagħhom, għodda mhux disponibbli għall-iskejjel tal-gvern. L-uniformijiet tal-istudenti għall-iskejjel privati ​​Awstraljani huma ġeneralment aktar stretti u aktar formali milli fl-iskejjel tal-gvern - pereżempju, blazer o"&amp;"bbligatorju. L-iskejjel privati ​​fl-Awstralja huma dejjem aktar għoljin mill-kontropartijiet pubbliċi tagħhom. [Ċitazzjoni meħtieġa]")</f>
        <v>L-iskejjel privati ​​fl-Awstralja jistgħu jiġu ffavoriti għal ħafna raġunijiet: prestiġju u l-istatus soċjali ta 'l-'intabta ta' l-iskola antika '; Infrastruttura fiżika ta 'kwalità aħjar u aktar faċilitajiet (e.ż. kampijiet ta' logħob, pixxini, eċċ.), Għalliema ta 'ħlas ogħla; u / jew it-twemmin li l-iskejjel privati ​​joffru kwalità ogħla ta 'edukazzjoni. Xi skejjel joffru t-tneħħija tad-distrazzjonijiet allegati ta 'ko-edukazzjoni; il-preżenza ta 'faċilitajiet ta' imbark; jew dixxiplina aktar stretta bbażata fuq il-poter ta 'tkeċċija tagħhom, għodda mhux disponibbli għall-iskejjel tal-gvern. L-uniformijiet tal-istudenti għall-iskejjel privati ​​Awstraljani huma ġeneralment aktar stretti u aktar formali milli fl-iskejjel tal-gvern - pereżempju, blazer obbligatorju. L-iskejjel privati ​​fl-Awstralja huma dejjem aktar għoljin mill-kontropartijiet pubbliċi tagħhom. [Ċitazzjoni meħtieġa]</v>
      </c>
    </row>
    <row r="8483" ht="15.75" customHeight="1">
      <c r="A8483" s="2" t="s">
        <v>8483</v>
      </c>
      <c r="B8483" s="2" t="str">
        <f>IFERROR(__xludf.DUMMYFUNCTION("GOOGLETRANSLATE(A8483, ""en"", ""mt"")"),"Kemm jgħix 17.7% tal-popolazzjoni kuljum?")</f>
        <v>Kemm jgħix 17.7% tal-popolazzjoni kuljum?</v>
      </c>
    </row>
    <row r="8484" ht="15.75" customHeight="1">
      <c r="A8484" s="2" t="s">
        <v>8484</v>
      </c>
      <c r="B8484" s="2" t="str">
        <f>IFERROR(__xludf.DUMMYFUNCTION("GOOGLETRANSLATE(A8484, ""en"", ""mt"")"),"Baħar Kaspju sal-Baħar tal-Ġappun")</f>
        <v>Baħar Kaspju sal-Baħar tal-Ġappun</v>
      </c>
    </row>
    <row r="8485" ht="15.75" customHeight="1">
      <c r="A8485" s="2" t="s">
        <v>8485</v>
      </c>
      <c r="B8485" s="2" t="str">
        <f>IFERROR(__xludf.DUMMYFUNCTION("GOOGLETRANSLATE(A8485, ""en"", ""mt"")"),"Kliem mitkellma minn Ġesù")</f>
        <v>Kliem mitkellma minn Ġesù</v>
      </c>
    </row>
    <row r="8486" ht="15.75" customHeight="1">
      <c r="A8486" s="2" t="s">
        <v>8486</v>
      </c>
      <c r="B8486" s="2" t="str">
        <f>IFERROR(__xludf.DUMMYFUNCTION("GOOGLETRANSLATE(A8486, ""en"", ""mt"")"),"katalitiku")</f>
        <v>katalitiku</v>
      </c>
    </row>
    <row r="8487" ht="15.75" customHeight="1">
      <c r="A8487" s="2" t="s">
        <v>8487</v>
      </c>
      <c r="B8487" s="2" t="str">
        <f>IFERROR(__xludf.DUMMYFUNCTION("GOOGLETRANSLATE(A8487, ""en"", ""mt"")"),"Segretarju")</f>
        <v>Segretarju</v>
      </c>
    </row>
    <row r="8488" ht="15.75" customHeight="1">
      <c r="A8488" s="2" t="s">
        <v>8488</v>
      </c>
      <c r="B8488" s="2" t="str">
        <f>IFERROR(__xludf.DUMMYFUNCTION("GOOGLETRANSLATE(A8488, ""en"", ""mt"")"),"Dokumenti Xjentifiċi u Riżultati Dokumentati Indipendentement")</f>
        <v>Dokumenti Xjentifiċi u Riżultati Dokumentati Indipendentement</v>
      </c>
    </row>
    <row r="8489" ht="15.75" customHeight="1">
      <c r="A8489" s="2" t="s">
        <v>8489</v>
      </c>
      <c r="B8489" s="2" t="str">
        <f>IFERROR(__xludf.DUMMYFUNCTION("GOOGLETRANSLATE(A8489, ""en"", ""mt"")"),"X’testjaw dawn it-titjiriet fuq is-CM?")</f>
        <v>X’testjaw dawn it-titjiriet fuq is-CM?</v>
      </c>
    </row>
    <row r="8490" ht="15.75" customHeight="1">
      <c r="A8490" s="2" t="s">
        <v>8490</v>
      </c>
      <c r="B8490" s="2" t="str">
        <f>IFERROR(__xludf.DUMMYFUNCTION("GOOGLETRANSLATE(A8490, ""en"", ""mt"")"),"Ipersensittività li tiddependi mill-antikorpi tappartjeni għal liema klassi ta 'sensittività eċċessiva?")</f>
        <v>Ipersensittività li tiddependi mill-antikorpi tappartjeni għal liema klassi ta 'sensittività eċċessiva?</v>
      </c>
    </row>
    <row r="8491" ht="15.75" customHeight="1">
      <c r="A8491" s="2" t="s">
        <v>8491</v>
      </c>
      <c r="B8491" s="2" t="str">
        <f>IFERROR(__xludf.DUMMYFUNCTION("GOOGLETRANSLATE(A8491, ""en"", ""mt"")"),"sport")</f>
        <v>sport</v>
      </c>
    </row>
    <row r="8492" ht="15.75" customHeight="1">
      <c r="A8492" s="2" t="s">
        <v>8492</v>
      </c>
      <c r="B8492" s="2" t="str">
        <f>IFERROR(__xludf.DUMMYFUNCTION("GOOGLETRANSLATE(A8492, ""en"", ""mt"")"),"Huwa joskura l-fatt li l-Indjani ġġieldu fuq iż-żewġ naħat tal-kunflitt")</f>
        <v>Huwa joskura l-fatt li l-Indjani ġġieldu fuq iż-żewġ naħat tal-kunflitt</v>
      </c>
    </row>
    <row r="8493" ht="15.75" customHeight="1">
      <c r="A8493" s="2" t="s">
        <v>8493</v>
      </c>
      <c r="B8493" s="2" t="str">
        <f>IFERROR(__xludf.DUMMYFUNCTION("GOOGLETRANSLATE(A8493, ""en"", ""mt"")"),"swieq")</f>
        <v>swieq</v>
      </c>
    </row>
    <row r="8494" ht="15.75" customHeight="1">
      <c r="A8494" s="2" t="s">
        <v>8494</v>
      </c>
      <c r="B8494" s="2" t="str">
        <f>IFERROR(__xludf.DUMMYFUNCTION("GOOGLETRANSLATE(A8494, ""en"", ""mt"")"),"Minimalità")</f>
        <v>Minimalità</v>
      </c>
    </row>
    <row r="8495" ht="15.75" customHeight="1">
      <c r="A8495" s="2" t="s">
        <v>8495</v>
      </c>
      <c r="B8495" s="2" t="str">
        <f>IFERROR(__xludf.DUMMYFUNCTION("GOOGLETRANSLATE(A8495, ""en"", ""mt"")"),"In-Nofsinhar ta 'California, ħafna drabi mqassra SoCal, huwa reġjun ġeografiku u kulturali li ġeneralment jinkludi l-iktar 10 kontej tan-nofsinhar ta' California. Ir-reġjun huwa tradizzjonalment deskritt bħala ""tmien kontej"", ibbażat fuq demografija u r"&amp;"abtiet ekonomiċi: Imperial, Los Angeles, Orange, Riverside, San Bernardino, San Diego, Santa Barbara, u Ventura. Id-definizzjoni aktar estensiva ta '10 kontea, inklużi l-kontej Kern u San Luis Obispo, tintuża wkoll abbażi ta 'diviżjonijiet politiċi storiċ"&amp;"i. In-Nofsinhar ta ’California huwa ċentru ekonomiku ewlieni għall-Istat ta’ Kalifornja u l-Istati Uniti.")</f>
        <v>In-Nofsinhar ta 'California, ħafna drabi mqassra SoCal, huwa reġjun ġeografiku u kulturali li ġeneralment jinkludi l-iktar 10 kontej tan-nofsinhar ta' California. Ir-reġjun huwa tradizzjonalment deskritt bħala "tmien kontej", ibbażat fuq demografija u rabtiet ekonomiċi: Imperial, Los Angeles, Orange, Riverside, San Bernardino, San Diego, Santa Barbara, u Ventura. Id-definizzjoni aktar estensiva ta '10 kontea, inklużi l-kontej Kern u San Luis Obispo, tintuża wkoll abbażi ta 'diviżjonijiet politiċi storiċi. In-Nofsinhar ta ’California huwa ċentru ekonomiku ewlieni għall-Istat ta’ Kalifornja u l-Istati Uniti.</v>
      </c>
    </row>
    <row r="8496" ht="15.75" customHeight="1">
      <c r="A8496" s="2" t="s">
        <v>8496</v>
      </c>
      <c r="B8496" s="2" t="str">
        <f>IFERROR(__xludf.DUMMYFUNCTION("GOOGLETRANSLATE(A8496, ""en"", ""mt"")"),"Xogħol relattivament żgħir huwa meħtieġ biex issuq il-pompa,")</f>
        <v>Xogħol relattivament żgħir huwa meħtieġ biex issuq il-pompa,</v>
      </c>
    </row>
    <row r="8497" ht="15.75" customHeight="1">
      <c r="A8497" s="2" t="s">
        <v>8497</v>
      </c>
      <c r="B8497" s="2" t="str">
        <f>IFERROR(__xludf.DUMMYFUNCTION("GOOGLETRANSLATE(A8497, ""en"", ""mt"")"),"Liema hu anzjan l-Imperu Brittaniku jew l-Imperu Etjopjan?")</f>
        <v>Liema hu anzjan l-Imperu Brittaniku jew l-Imperu Etjopjan?</v>
      </c>
    </row>
    <row r="8498" ht="15.75" customHeight="1">
      <c r="A8498" s="2" t="s">
        <v>8498</v>
      </c>
      <c r="B8498" s="2" t="str">
        <f>IFERROR(__xludf.DUMMYFUNCTION("GOOGLETRANSLATE(A8498, ""en"", ""mt"")"),"Forza gravitazzjonali")</f>
        <v>Forza gravitazzjonali</v>
      </c>
    </row>
    <row r="8499" ht="15.75" customHeight="1">
      <c r="A8499" s="2" t="s">
        <v>8499</v>
      </c>
      <c r="B8499" s="2" t="str">
        <f>IFERROR(__xludf.DUMMYFUNCTION("GOOGLETRANSLATE(A8499, ""en"", ""mt"")"),"helicosproidia")</f>
        <v>helicosproidia</v>
      </c>
    </row>
    <row r="8500" ht="15.75" customHeight="1">
      <c r="A8500" s="2" t="s">
        <v>8500</v>
      </c>
      <c r="B8500" s="2" t="str">
        <f>IFERROR(__xludf.DUMMYFUNCTION("GOOGLETRANSLATE(A8500, ""en"", ""mt"")"),"il-BBC")</f>
        <v>il-BBC</v>
      </c>
    </row>
    <row r="8501" ht="15.75" customHeight="1">
      <c r="A8501" s="2" t="s">
        <v>8501</v>
      </c>
      <c r="B8501" s="2" t="str">
        <f>IFERROR(__xludf.DUMMYFUNCTION("GOOGLETRANSLATE(A8501, ""en"", ""mt"")"),"Kull meta ltaqa 'ma' negozjanti Ingliżi jew negozji tal-pil, Céloron għarrafhom bit-talbiet Franċiżi fit-territorju u qalilhom biex jitilqu")</f>
        <v>Kull meta ltaqa 'ma' negozjanti Ingliżi jew negozji tal-pil, Céloron għarrafhom bit-talbiet Franċiżi fit-territorju u qalilhom biex jitilqu</v>
      </c>
    </row>
    <row r="8502" ht="15.75" customHeight="1">
      <c r="A8502" s="2" t="s">
        <v>8502</v>
      </c>
      <c r="B8502" s="2" t="str">
        <f>IFERROR(__xludf.DUMMYFUNCTION("GOOGLETRANSLATE(A8502, ""en"", ""mt"")"),"Liema storja għandha ftit pedament fil-verità?")</f>
        <v>Liema storja għandha ftit pedament fil-verità?</v>
      </c>
    </row>
    <row r="8503" ht="15.75" customHeight="1">
      <c r="A8503" s="2" t="s">
        <v>8503</v>
      </c>
      <c r="B8503" s="2" t="str">
        <f>IFERROR(__xludf.DUMMYFUNCTION("GOOGLETRANSLATE(A8503, ""en"", ""mt"")"),"Tech Coast")</f>
        <v>Tech Coast</v>
      </c>
    </row>
    <row r="8504" ht="15.75" customHeight="1">
      <c r="A8504" s="2" t="s">
        <v>8504</v>
      </c>
      <c r="B8504" s="2" t="str">
        <f>IFERROR(__xludf.DUMMYFUNCTION("GOOGLETRANSLATE(A8504, ""en"", ""mt"")"),"Kopertura ta 'qabel il-logħba u f'ħin il-mistrieħ.")</f>
        <v>Kopertura ta 'qabel il-logħba u f'ħin il-mistrieħ.</v>
      </c>
    </row>
    <row r="8505" ht="15.75" customHeight="1">
      <c r="A8505" s="2" t="s">
        <v>8505</v>
      </c>
      <c r="B8505" s="2" t="str">
        <f>IFERROR(__xludf.DUMMYFUNCTION("GOOGLETRANSLATE(A8505, ""en"", ""mt"")"),"Metodi ta 'ħażna ta' ossiġnu jinkludu tankijiet ta 'ossiġenu bi pressjoni għolja, krijoġeniċi u komposti kimiċi. Għal raġunijiet ta 'ekonomija, l-ossiġenu spiss jiġi ttrasportat bl-ingrossa bħala likwidu fit-tankers iżolati apposta, peress li litru ta' os"&amp;"siġnu likwifikat huwa ekwivalenti għal 840 litru ta 'ossiġenu gassuż bi pressjoni atmosferika u 20 ° C (68 ° F). Dawn it-tankers jintużaw biex jerġgħu jimlew il-kontenituri tal-ħażna tal-ossiġnu likwidu bl-ingrossa, li joqogħdu barra l-isptarijiet u istit"&amp;"uzzjonijiet oħra li għandhom bżonn volumi kbar ta 'gass tal-ossiġnu pur. L-ossiġnu likwidu jgħaddi minn skambjaturi tas-sħana, li jikkonvertu l-likwidu krijoġeniku f'gass qabel ma jidħol fil-bini. L-ossiġnu jinħażen ukoll u jintbagħat f'ċilindri iżgħar li"&amp;" fihom il-gass ikkompressat; Formola li hija utli f'ċerti applikazzjonijiet mediċi portabbli u wweldjar u qtugħ ta 'fjuwil bl-ossidabbli.")</f>
        <v>Metodi ta 'ħażna ta' ossiġnu jinkludu tankijiet ta 'ossiġenu bi pressjoni għolja, krijoġeniċi u komposti kimiċi. Għal raġunijiet ta 'ekonomija, l-ossiġenu spiss jiġi ttrasportat bl-ingrossa bħala likwidu fit-tankers iżolati apposta, peress li litru ta' ossiġnu likwifikat huwa ekwivalenti għal 840 litru ta 'ossiġenu gassuż bi pressjoni atmosferika u 20 ° C (68 ° F). Dawn it-tankers jintużaw biex jerġgħu jimlew il-kontenituri tal-ħażna tal-ossiġnu likwidu bl-ingrossa, li joqogħdu barra l-isptarijiet u istituzzjonijiet oħra li għandhom bżonn volumi kbar ta 'gass tal-ossiġnu pur. L-ossiġnu likwidu jgħaddi minn skambjaturi tas-sħana, li jikkonvertu l-likwidu krijoġeniku f'gass qabel ma jidħol fil-bini. L-ossiġnu jinħażen ukoll u jintbagħat f'ċilindri iżgħar li fihom il-gass ikkompressat; Formola li hija utli f'ċerti applikazzjonijiet mediċi portabbli u wweldjar u qtugħ ta 'fjuwil bl-ossidabbli.</v>
      </c>
    </row>
    <row r="8506" ht="15.75" customHeight="1">
      <c r="A8506" s="2" t="s">
        <v>8506</v>
      </c>
      <c r="B8506" s="2" t="str">
        <f>IFERROR(__xludf.DUMMYFUNCTION("GOOGLETRANSLATE(A8506, ""en"", ""mt"")"),"fuq il-parti ta 'fuq")</f>
        <v>fuq il-parti ta 'fuq</v>
      </c>
    </row>
    <row r="8507" ht="15.75" customHeight="1">
      <c r="A8507" s="2" t="s">
        <v>8507</v>
      </c>
      <c r="B8507" s="2" t="str">
        <f>IFERROR(__xludf.DUMMYFUNCTION("GOOGLETRANSLATE(A8507, ""en"", ""mt"")"),"Thomas Edison u Nikola Tesla")</f>
        <v>Thomas Edison u Nikola Tesla</v>
      </c>
    </row>
    <row r="8508" ht="15.75" customHeight="1">
      <c r="A8508" s="2" t="s">
        <v>8508</v>
      </c>
      <c r="B8508" s="2" t="str">
        <f>IFERROR(__xludf.DUMMYFUNCTION("GOOGLETRANSLATE(A8508, ""en"", ""mt"")"),"Il- ""Kunsill Ewropew""")</f>
        <v>Il- "Kunsill Ewropew"</v>
      </c>
    </row>
    <row r="8509" ht="15.75" customHeight="1">
      <c r="A8509" s="2" t="s">
        <v>8509</v>
      </c>
      <c r="B8509" s="2" t="str">
        <f>IFERROR(__xludf.DUMMYFUNCTION("GOOGLETRANSLATE(A8509, ""en"", ""mt"")"),"Luther ittrattat il-Lhud bl-istess mod hekk kif ittratta liema grupp?")</f>
        <v>Luther ittrattat il-Lhud bl-istess mod hekk kif ittratta liema grupp?</v>
      </c>
    </row>
    <row r="8510" ht="15.75" customHeight="1">
      <c r="A8510" s="2" t="s">
        <v>8510</v>
      </c>
      <c r="B8510" s="2" t="str">
        <f>IFERROR(__xludf.DUMMYFUNCTION("GOOGLETRANSLATE(A8510, ""en"", ""mt"")"),"Kemm korpi ta 'ilma jiffurmaw il-Lag Constance?")</f>
        <v>Kemm korpi ta 'ilma jiffurmaw il-Lag Constance?</v>
      </c>
    </row>
    <row r="8511" ht="15.75" customHeight="1">
      <c r="A8511" s="2" t="s">
        <v>8511</v>
      </c>
      <c r="B8511" s="2" t="str">
        <f>IFERROR(__xludf.DUMMYFUNCTION("GOOGLETRANSLATE(A8511, ""en"", ""mt"")"),"Tour tat-Turingija")</f>
        <v>Tour tat-Turingija</v>
      </c>
    </row>
    <row r="8512" ht="15.75" customHeight="1">
      <c r="A8512" s="2" t="s">
        <v>8512</v>
      </c>
      <c r="B8512" s="2" t="str">
        <f>IFERROR(__xludf.DUMMYFUNCTION("GOOGLETRANSLATE(A8512, ""en"", ""mt"")"),"Minn min Genghis Khan tgħallem il-gwerra seige?")</f>
        <v>Minn min Genghis Khan tgħallem il-gwerra seige?</v>
      </c>
    </row>
    <row r="8513" ht="15.75" customHeight="1">
      <c r="A8513" s="2" t="s">
        <v>8513</v>
      </c>
      <c r="B8513" s="2" t="str">
        <f>IFERROR(__xludf.DUMMYFUNCTION("GOOGLETRANSLATE(A8513, ""en"", ""mt"")"),"X'korriment Manning sofra s-sajf qabel ma beda l-istaġun?")</f>
        <v>X'korriment Manning sofra s-sajf qabel ma beda l-istaġun?</v>
      </c>
    </row>
    <row r="8514" ht="15.75" customHeight="1">
      <c r="A8514" s="2" t="s">
        <v>8514</v>
      </c>
      <c r="B8514" s="2" t="str">
        <f>IFERROR(__xludf.DUMMYFUNCTION("GOOGLETRANSLATE(A8514, ""en"", ""mt"")"),"Jekk detenzjoni titlob lill-istudent biex jikteb, x'jikteb?")</f>
        <v>Jekk detenzjoni titlob lill-istudent biex jikteb, x'jikteb?</v>
      </c>
    </row>
    <row r="8515" ht="15.75" customHeight="1">
      <c r="A8515" s="2" t="s">
        <v>8515</v>
      </c>
      <c r="B8515" s="2" t="str">
        <f>IFERROR(__xludf.DUMMYFUNCTION("GOOGLETRANSLATE(A8515, ""en"", ""mt"")"),"Li ttrasportat l-irmied ta ’Tesla mill-Istati Uniti.")</f>
        <v>Li ttrasportat l-irmied ta ’Tesla mill-Istati Uniti.</v>
      </c>
    </row>
    <row r="8516" ht="15.75" customHeight="1">
      <c r="A8516" s="2" t="s">
        <v>8516</v>
      </c>
      <c r="B8516" s="2" t="str">
        <f>IFERROR(__xludf.DUMMYFUNCTION("GOOGLETRANSLATE(A8516, ""en"", ""mt"")"),"Neħħi s-sorveljanza tal-gvern")</f>
        <v>Neħħi s-sorveljanza tal-gvern</v>
      </c>
    </row>
    <row r="8517" ht="15.75" customHeight="1">
      <c r="A8517" s="2" t="s">
        <v>8517</v>
      </c>
      <c r="B8517" s="2" t="str">
        <f>IFERROR(__xludf.DUMMYFUNCTION("GOOGLETRANSLATE(A8517, ""en"", ""mt"")"),"l-oċeani tad-dinja")</f>
        <v>l-oċeani tad-dinja</v>
      </c>
    </row>
    <row r="8518" ht="15.75" customHeight="1">
      <c r="A8518" s="2" t="s">
        <v>8518</v>
      </c>
      <c r="B8518" s="2" t="str">
        <f>IFERROR(__xludf.DUMMYFUNCTION("GOOGLETRANSLATE(A8518, ""en"", ""mt"")"),"L-ekonomija tar-Rabat hija diversifikata ħafna: setturi tas-servizzi li jinkludu servizzi finanzjarji u tal-propjetà, saħħa, edukazzjoni, bejgħ bl-ingrossa, bejgħ bl-imnut, ospitalità u manifattura jikkostitwixxu l-maġġoranza tal-impjiegi. Il-prodott tota"&amp;"li ta 'l-istat gross ta' Victoria (GSP) huwa kklassifikat it-tieni fl-Awstralja, għalkemm ir-Rabat hija kklassifikata r-raba 'f'termini ta' GSP per capita minħabba l-attività limitata tagħha tal-minjieri. Kulturalment, Melbourne hija dar għal numru ta 'mu"&amp;"żewijiet, galleriji tal-arti u teatri u hija deskritta wkoll bħala l- ""kapitali sportiva tal-Awstralja"". Il-Melbourne Cricket Ground huwa l-akbar grawnd fl-Awstralja, u l-ospitanti tal-Olimpjadi tas-Sajf tal-1956 u l-Logħob tal-Commonwealth tal-2006. L-"&amp;"art hija meqjusa wkoll bħala d- ""dar spiritwali"" tal-cricket Awstraljan u r-regoli Awstraljani tal-futbol, ​​u tospita l-finali tal-Lega tal-Futbol Awstraljan (AFL) kull sena, ġeneralment tiġbed folol ta 'aktar minn 95,000 persuna. Ir-Rabat tinkludi tmi"&amp;"en universitajiet pubbliċi, bl-eqdem, l-Università ta ’Melbourne, wara li twaqqfet fl-1853.")</f>
        <v>L-ekonomija tar-Rabat hija diversifikata ħafna: setturi tas-servizzi li jinkludu servizzi finanzjarji u tal-propjetà, saħħa, edukazzjoni, bejgħ bl-ingrossa, bejgħ bl-imnut, ospitalità u manifattura jikkostitwixxu l-maġġoranza tal-impjiegi. Il-prodott totali ta 'l-istat gross ta' Victoria (GSP) huwa kklassifikat it-tieni fl-Awstralja, għalkemm ir-Rabat hija kklassifikata r-raba 'f'termini ta' GSP per capita minħabba l-attività limitata tagħha tal-minjieri. Kulturalment, Melbourne hija dar għal numru ta 'mużewijiet, galleriji tal-arti u teatri u hija deskritta wkoll bħala l- "kapitali sportiva tal-Awstralja". Il-Melbourne Cricket Ground huwa l-akbar grawnd fl-Awstralja, u l-ospitanti tal-Olimpjadi tas-Sajf tal-1956 u l-Logħob tal-Commonwealth tal-2006. L-art hija meqjusa wkoll bħala d- "dar spiritwali" tal-cricket Awstraljan u r-regoli Awstraljani tal-futbol, ​​u tospita l-finali tal-Lega tal-Futbol Awstraljan (AFL) kull sena, ġeneralment tiġbed folol ta 'aktar minn 95,000 persuna. Ir-Rabat tinkludi tmien universitajiet pubbliċi, bl-eqdem, l-Università ta ’Melbourne, wara li twaqqfet fl-1853.</v>
      </c>
    </row>
    <row r="8519" ht="15.75" customHeight="1">
      <c r="A8519" s="2" t="s">
        <v>8519</v>
      </c>
      <c r="B8519" s="2" t="str">
        <f>IFERROR(__xludf.DUMMYFUNCTION("GOOGLETRANSLATE(A8519, ""en"", ""mt"")"),"X’qal Luther patrijiet u sorijiet dwar il-wegħdiet tagħhom?")</f>
        <v>X’qal Luther patrijiet u sorijiet dwar il-wegħdiet tagħhom?</v>
      </c>
    </row>
    <row r="8520" ht="15.75" customHeight="1">
      <c r="A8520" s="2" t="s">
        <v>8520</v>
      </c>
      <c r="B8520" s="2" t="str">
        <f>IFERROR(__xludf.DUMMYFUNCTION("GOOGLETRANSLATE(A8520, ""en"", ""mt"")"),"skola tad-dar")</f>
        <v>skola tad-dar</v>
      </c>
    </row>
    <row r="8521" ht="15.75" customHeight="1">
      <c r="A8521" s="2" t="s">
        <v>8521</v>
      </c>
      <c r="B8521" s="2" t="str">
        <f>IFERROR(__xludf.DUMMYFUNCTION("GOOGLETRANSLATE(A8521, ""en"", ""mt"")"),"In-Nofsinhar tal-Kalifornja hija maqsuma kulturalment, politikament, u ekonomikament f'reġjuni distintivi, kull wieħed fih il-kultura u l-atmosfera tagħha stess, ankrata ġeneralment minn belt kemm b'rikonoxximent nazzjonali u xi kultant globali, li ħafna "&amp;"drabi huma l-hub tal-attività ekonomika għar-reġjun rispettiv tagħha u li huma d-dar għal ħafna destinazzjonijiet turistiċi. Kull reġjun huwa maqsum aktar f'ħafna żoni kulturalment distinti iżda kollu kemm hu jikkombina biex joħloq l-atmosfera tan-Nofsinh"&amp;"ar ta 'California.")</f>
        <v>In-Nofsinhar tal-Kalifornja hija maqsuma kulturalment, politikament, u ekonomikament f'reġjuni distintivi, kull wieħed fih il-kultura u l-atmosfera tagħha stess, ankrata ġeneralment minn belt kemm b'rikonoxximent nazzjonali u xi kultant globali, li ħafna drabi huma l-hub tal-attività ekonomika għar-reġjun rispettiv tagħha u li huma d-dar għal ħafna destinazzjonijiet turistiċi. Kull reġjun huwa maqsum aktar f'ħafna żoni kulturalment distinti iżda kollu kemm hu jikkombina biex joħloq l-atmosfera tan-Nofsinhar ta 'California.</v>
      </c>
    </row>
    <row r="8522" ht="15.75" customHeight="1">
      <c r="A8522" s="2" t="s">
        <v>8522</v>
      </c>
      <c r="B8522" s="2" t="str">
        <f>IFERROR(__xludf.DUMMYFUNCTION("GOOGLETRANSLATE(A8522, ""en"", ""mt"")"),"Liema kummiedja li tidher stand up kummidjant Tim Allen iddebutta fl-1991?")</f>
        <v>Liema kummiedja li tidher stand up kummidjant Tim Allen iddebutta fl-1991?</v>
      </c>
    </row>
    <row r="8523" ht="15.75" customHeight="1">
      <c r="A8523" s="2" t="s">
        <v>8523</v>
      </c>
      <c r="B8523" s="2" t="str">
        <f>IFERROR(__xludf.DUMMYFUNCTION("GOOGLETRANSLATE(A8523, ""en"", ""mt"")"),"200,000 Krone Daniż")</f>
        <v>200,000 Krone Daniż</v>
      </c>
    </row>
    <row r="8524" ht="15.75" customHeight="1">
      <c r="A8524" s="2" t="s">
        <v>8524</v>
      </c>
      <c r="B8524" s="2" t="str">
        <f>IFERROR(__xludf.DUMMYFUNCTION("GOOGLETRANSLATE(A8524, ""en"", ""mt"")"),"Ħafna mill-Kanadiżi, inkluż l-uffiċjal kmandant tagħhom, Joseph Coulon de Jumonville")</f>
        <v>Ħafna mill-Kanadiżi, inkluż l-uffiċjal kmandant tagħhom, Joseph Coulon de Jumonville</v>
      </c>
    </row>
    <row r="8525" ht="15.75" customHeight="1">
      <c r="A8525" s="2" t="s">
        <v>8525</v>
      </c>
      <c r="B8525" s="2" t="str">
        <f>IFERROR(__xludf.DUMMYFUNCTION("GOOGLETRANSLATE(A8525, ""en"", ""mt"")"),"X'impatt għandhom aktar ħaddiema li jaħdmu aktar fuq il-produttività ta 'negozju?")</f>
        <v>X'impatt għandhom aktar ħaddiema li jaħdmu aktar fuq il-produttività ta 'negozju?</v>
      </c>
    </row>
    <row r="8526" ht="15.75" customHeight="1">
      <c r="A8526" s="2" t="s">
        <v>8526</v>
      </c>
      <c r="B8526" s="2" t="str">
        <f>IFERROR(__xludf.DUMMYFUNCTION("GOOGLETRANSLATE(A8526, ""en"", ""mt"")"),"Il-gallerija ewlenija ġiet iddisinjata mill-ġdid fl-1994, il-balustrada tal-ħġieġ fuq it-taraġ u l-mezzanin huma x-xogħol ta 'Danny Lane, il-gallerija li tkopri l-ħġieġ kontemporanju miftuħa fl-2004 u l-fidda sagra u l-gallerija tal-ħġieġ imtebba' fl-2005"&amp;". F'din l-aħħar gallerija tal-ħġieġ imtebba muri flimkien ma 'oġġetti tal-fidda li jibdew fis-seklu 12 u jkomplu sal-preżent. Uħud mill-iktar ħġieġ imtebba 'pendenti, datat 1243-48 ġej mis-Sainte-Chapelle, huwa muri flimkien ma' eżempji oħra fil-galleriji"&amp;" l-ġodda medjevali u tar-Rinaxximent. Il-beaker importanti tal-ħġieġ tas-seklu 13 magħruf bħala x-xorti ta 'Edenhall huwa wkoll muri f'dawn il-galleriji. Eżempji ta 'ħġieġ imtebba Brittaniku huma murija fil-galleriji Ingliżi. Wieħed mill-aktar oġġetti spe"&amp;"ttakolari fil-kollezzjoni huwa l-linef minn Dale Chihuly fir-Rotunda fid-daħla ewlenija tal-mużew.")</f>
        <v>Il-gallerija ewlenija ġiet iddisinjata mill-ġdid fl-1994, il-balustrada tal-ħġieġ fuq it-taraġ u l-mezzanin huma x-xogħol ta 'Danny Lane, il-gallerija li tkopri l-ħġieġ kontemporanju miftuħa fl-2004 u l-fidda sagra u l-gallerija tal-ħġieġ imtebba' fl-2005. F'din l-aħħar gallerija tal-ħġieġ imtebba muri flimkien ma 'oġġetti tal-fidda li jibdew fis-seklu 12 u jkomplu sal-preżent. Uħud mill-iktar ħġieġ imtebba 'pendenti, datat 1243-48 ġej mis-Sainte-Chapelle, huwa muri flimkien ma' eżempji oħra fil-galleriji l-ġodda medjevali u tar-Rinaxximent. Il-beaker importanti tal-ħġieġ tas-seklu 13 magħruf bħala x-xorti ta 'Edenhall huwa wkoll muri f'dawn il-galleriji. Eżempji ta 'ħġieġ imtebba Brittaniku huma murija fil-galleriji Ingliżi. Wieħed mill-aktar oġġetti spettakolari fil-kollezzjoni huwa l-linef minn Dale Chihuly fir-Rotunda fid-daħla ewlenija tal-mużew.</v>
      </c>
    </row>
    <row r="8527" ht="15.75" customHeight="1">
      <c r="A8527" s="2" t="s">
        <v>8527</v>
      </c>
      <c r="B8527" s="2" t="str">
        <f>IFERROR(__xludf.DUMMYFUNCTION("GOOGLETRANSLATE(A8527, ""en"", ""mt"")"),"X'kienu l-elezzjonijiet nazzjonali fl-1991 ikkanċellati minn?")</f>
        <v>X'kienu l-elezzjonijiet nazzjonali fl-1991 ikkanċellati minn?</v>
      </c>
    </row>
    <row r="8528" ht="15.75" customHeight="1">
      <c r="A8528" s="2" t="s">
        <v>8528</v>
      </c>
      <c r="B8528" s="2" t="str">
        <f>IFERROR(__xludf.DUMMYFUNCTION("GOOGLETRANSLATE(A8528, ""en"", ""mt"")"),"Ferrovija")</f>
        <v>Ferrovija</v>
      </c>
    </row>
    <row r="8529" ht="15.75" customHeight="1">
      <c r="A8529" s="2" t="s">
        <v>8529</v>
      </c>
      <c r="B8529" s="2" t="str">
        <f>IFERROR(__xludf.DUMMYFUNCTION("GOOGLETRANSLATE(A8529, ""en"", ""mt"")"),"3 miljun")</f>
        <v>3 miljun</v>
      </c>
    </row>
    <row r="8530" ht="15.75" customHeight="1">
      <c r="A8530" s="2" t="s">
        <v>8530</v>
      </c>
      <c r="B8530" s="2" t="str">
        <f>IFERROR(__xludf.DUMMYFUNCTION("GOOGLETRANSLATE(A8530, ""en"", ""mt"")"),"9 ta ’Marzu 1508")</f>
        <v>9 ta ’Marzu 1508</v>
      </c>
    </row>
    <row r="8531" ht="15.75" customHeight="1">
      <c r="A8531" s="2" t="s">
        <v>8531</v>
      </c>
      <c r="B8531" s="2" t="str">
        <f>IFERROR(__xludf.DUMMYFUNCTION("GOOGLETRANSLATE(A8531, ""en"", ""mt"")"),"Trespassing f'installazzjoni ta 'missili nukleari")</f>
        <v>Trespassing f'installazzjoni ta 'missili nukleari</v>
      </c>
    </row>
    <row r="8532" ht="15.75" customHeight="1">
      <c r="A8532" s="2" t="s">
        <v>8532</v>
      </c>
      <c r="B8532" s="2" t="str">
        <f>IFERROR(__xludf.DUMMYFUNCTION("GOOGLETRANSLATE(A8532, ""en"", ""mt"")"),"ambjent li fih għexu")</f>
        <v>ambjent li fih għexu</v>
      </c>
    </row>
    <row r="8533" ht="15.75" customHeight="1">
      <c r="A8533" s="2" t="s">
        <v>8533</v>
      </c>
      <c r="B8533" s="2" t="str">
        <f>IFERROR(__xludf.DUMMYFUNCTION("GOOGLETRANSLATE(A8533, ""en"", ""mt"")"),"żewġ punti")</f>
        <v>żewġ punti</v>
      </c>
    </row>
    <row r="8534" ht="15.75" customHeight="1">
      <c r="A8534" s="2" t="s">
        <v>8534</v>
      </c>
      <c r="B8534" s="2" t="str">
        <f>IFERROR(__xludf.DUMMYFUNCTION("GOOGLETRANSLATE(A8534, ""en"", ""mt"")"),"X'żieda żieda fit-tkabbir tas-sedimenti u d-delta pproduċa wkoll fir-Renu?")</f>
        <v>X'żieda żieda fit-tkabbir tas-sedimenti u d-delta pproduċa wkoll fir-Renu?</v>
      </c>
    </row>
    <row r="8535" ht="15.75" customHeight="1">
      <c r="A8535" s="2" t="s">
        <v>8535</v>
      </c>
      <c r="B8535" s="2" t="str">
        <f>IFERROR(__xludf.DUMMYFUNCTION("GOOGLETRANSLATE(A8535, ""en"", ""mt"")"),"Sa liema seklu r-riċerkaturi raw li setgħu likwidi l-arja?")</f>
        <v>Sa liema seklu r-riċerkaturi raw li setgħu likwidi l-arja?</v>
      </c>
    </row>
    <row r="8536" ht="15.75" customHeight="1">
      <c r="A8536" s="2" t="s">
        <v>8536</v>
      </c>
      <c r="B8536" s="2" t="str">
        <f>IFERROR(__xludf.DUMMYFUNCTION("GOOGLETRANSLATE(A8536, ""en"", ""mt"")"),"Pjan aħjar ta 'Jacksonville")</f>
        <v>Pjan aħjar ta 'Jacksonville</v>
      </c>
    </row>
    <row r="8537" ht="15.75" customHeight="1">
      <c r="A8537" s="2" t="s">
        <v>8537</v>
      </c>
      <c r="B8537" s="2" t="str">
        <f>IFERROR(__xludf.DUMMYFUNCTION("GOOGLETRANSLATE(A8537, ""en"", ""mt"")"),"Qrar u assoluzzjoni privata")</f>
        <v>Qrar u assoluzzjoni privata</v>
      </c>
    </row>
    <row r="8538" ht="15.75" customHeight="1">
      <c r="A8538" s="2" t="s">
        <v>8538</v>
      </c>
      <c r="B8538" s="2" t="str">
        <f>IFERROR(__xludf.DUMMYFUNCTION("GOOGLETRANSLATE(A8538, ""en"", ""mt"")"),"Standard tal-Kura Pastorali u l-Edukazzjoni Nisranija")</f>
        <v>Standard tal-Kura Pastorali u l-Edukazzjoni Nisranija</v>
      </c>
    </row>
    <row r="8539" ht="15.75" customHeight="1">
      <c r="A8539" s="2" t="s">
        <v>8539</v>
      </c>
      <c r="B8539" s="2" t="str">
        <f>IFERROR(__xludf.DUMMYFUNCTION("GOOGLETRANSLATE(A8539, ""en"", ""mt"")"),"Kif infirxet il-mediċina Ċiniża?")</f>
        <v>Kif infirxet il-mediċina Ċiniża?</v>
      </c>
    </row>
    <row r="8540" ht="15.75" customHeight="1">
      <c r="A8540" s="2" t="s">
        <v>8540</v>
      </c>
      <c r="B8540" s="2" t="str">
        <f>IFERROR(__xludf.DUMMYFUNCTION("GOOGLETRANSLATE(A8540, ""en"", ""mt"")"),"Wieħed mir-refuġjati l-aktar prominenti Huguenot fl-Olanda kien Pierre Bayle. Huwa beda jgħallem f'Rotterdam, fejn spiċċa jikteb u jippubblika l-kapolavur multi-volum tiegħu, dizzjunarju storiku u kritiku. Dan sar wieħed mill-100 test fundamentali tal-Lib"&amp;"rerija tal-Kungress tal-Istati Uniti. Xi dixxendenti Huguenot fl-Olanda jistgħu jiġu nnotati mill-ismijiet tal-familja Franċiżi, għalkemm tipikament jużaw ismijiet Olandiżi. Minħabba r-rabtiet bikrija ta 'Huguenots mat-tmexxija tar-rewwixta Olandiża u l-p"&amp;"arteċipazzjoni tagħhom stess, uħud mill-patriġġjati Olandiżi huma ta' dixxendenza parti minn Huguenot. Xi familji Huguenot żammew diversi tradizzjonijiet, bħaċ-ċelebrazzjoni u l-festa tal-patrun tagħhom San Nicolas, simili għall-festa Olandiża Sint Nicola"&amp;"as (Sinterklaas).")</f>
        <v>Wieħed mir-refuġjati l-aktar prominenti Huguenot fl-Olanda kien Pierre Bayle. Huwa beda jgħallem f'Rotterdam, fejn spiċċa jikteb u jippubblika l-kapolavur multi-volum tiegħu, dizzjunarju storiku u kritiku. Dan sar wieħed mill-100 test fundamentali tal-Librerija tal-Kungress tal-Istati Uniti. Xi dixxendenti Huguenot fl-Olanda jistgħu jiġu nnotati mill-ismijiet tal-familja Franċiżi, għalkemm tipikament jużaw ismijiet Olandiżi. Minħabba r-rabtiet bikrija ta 'Huguenots mat-tmexxija tar-rewwixta Olandiża u l-parteċipazzjoni tagħhom stess, uħud mill-patriġġjati Olandiżi huma ta' dixxendenza parti minn Huguenot. Xi familji Huguenot żammew diversi tradizzjonijiet, bħaċ-ċelebrazzjoni u l-festa tal-patrun tagħhom San Nicolas, simili għall-festa Olandiża Sint Nicolaas (Sinterklaas).</v>
      </c>
    </row>
    <row r="8541" ht="15.75" customHeight="1">
      <c r="A8541" s="2" t="s">
        <v>8541</v>
      </c>
      <c r="B8541" s="2" t="str">
        <f>IFERROR(__xludf.DUMMYFUNCTION("GOOGLETRANSLATE(A8541, ""en"", ""mt"")"),"jipprevjenu t-tkabbir")</f>
        <v>jipprevjenu t-tkabbir</v>
      </c>
    </row>
    <row r="8542" ht="15.75" customHeight="1">
      <c r="A8542" s="2" t="s">
        <v>8542</v>
      </c>
      <c r="B8542" s="2" t="str">
        <f>IFERROR(__xludf.DUMMYFUNCTION("GOOGLETRANSLATE(A8542, ""en"", ""mt"")"),"konverżjoni, ""taċċetta lil Ġesù bħala l-Mulej u s-Salvatur personali tiegħek,"" jew li ""Twieled mill-ġdid")</f>
        <v>konverżjoni, "taċċetta lil Ġesù bħala l-Mulej u s-Salvatur personali tiegħek," jew li "Twieled mill-ġdid</v>
      </c>
    </row>
    <row r="8543" ht="15.75" customHeight="1">
      <c r="A8543" s="2" t="s">
        <v>8543</v>
      </c>
      <c r="B8543" s="2" t="str">
        <f>IFERROR(__xludf.DUMMYFUNCTION("GOOGLETRANSLATE(A8543, ""en"", ""mt"")"),"X'kienu qed jinżammu proċeduri tal-Qorti Għolja?")</f>
        <v>X'kienu qed jinżammu proċeduri tal-Qorti Għolja?</v>
      </c>
    </row>
    <row r="8544" ht="15.75" customHeight="1">
      <c r="A8544" s="2" t="s">
        <v>8544</v>
      </c>
      <c r="B8544" s="2" t="str">
        <f>IFERROR(__xludf.DUMMYFUNCTION("GOOGLETRANSLATE(A8544, ""en"", ""mt"")"),"Xi jfisser Newcastle għadu fih ħafna?")</f>
        <v>Xi jfisser Newcastle għadu fih ħafna?</v>
      </c>
    </row>
    <row r="8545" ht="15.75" customHeight="1">
      <c r="A8545" s="2" t="s">
        <v>8545</v>
      </c>
      <c r="B8545" s="2" t="str">
        <f>IFERROR(__xludf.DUMMYFUNCTION("GOOGLETRANSLATE(A8545, ""en"", ""mt"")"),"Wieħed mill-mudell li jikkompetu għar-replikazzjoni ta 'cpDNA jafferma li l-biċċa l-kbira ta' cpDNA huwa lineari u jipparteċipa fi strutturi ta 'rikombinazzjoni u replikazzjoni omologi simili għall-batterjofage T4. Ġie stabbilit li xi pjanti għandhom cpDN"&amp;"A lineari, bħall-qamħirrum, u li aktar speċi għadhom fihom strutturi kumplessi li x-xjenzati għadhom ma jifhmux. Meta ġew imwettqa l-esperimenti oriġinali fuq cpDNA, ix-xjentisti nnotaw strutturi lineari; Madankollu, huma attribwew dawn il-forom lineari l"&amp;"il ċrieki miksura. Jekk l-istrutturi ramifikati u kumplessi li jidhru fl-esperimenti ta 'cpDNA huma reali u mhux artifatti ta' DNA ċirkolari kkonċatenati jew ċrieki miksura, allura mekkaniżmu ta 'replikazzjoni b'ċirkwit D huwa insuffiċjenti biex jispjega "&amp;"kif dawk l-istrutturi jirreplikaw. Fl-istess ħin, rikombinazzjoni omologa ma tespandix il-multipli a -&gt; g gradjenti li dehru fil-plastomi. Minħabba n-nuqqas li jispjega l-gradjent tad-deamination kif ukoll l-ispeċijiet tal-pjanti numerużi li ntwerew li għ"&amp;"andhom cpDNA ċirkolari, it-teorija predominanti tkompli żżomm li l-biċċa l-kbira ta 'cpDNA hija ċirkolari u x'aktarx tirreplika permezz ta' mekkaniżmu ta 'linja D.")</f>
        <v>Wieħed mill-mudell li jikkompetu għar-replikazzjoni ta 'cpDNA jafferma li l-biċċa l-kbira ta' cpDNA huwa lineari u jipparteċipa fi strutturi ta 'rikombinazzjoni u replikazzjoni omologi simili għall-batterjofage T4. Ġie stabbilit li xi pjanti għandhom cpDNA lineari, bħall-qamħirrum, u li aktar speċi għadhom fihom strutturi kumplessi li x-xjenzati għadhom ma jifhmux. Meta ġew imwettqa l-esperimenti oriġinali fuq cpDNA, ix-xjentisti nnotaw strutturi lineari; Madankollu, huma attribwew dawn il-forom lineari lil ċrieki miksura. Jekk l-istrutturi ramifikati u kumplessi li jidhru fl-esperimenti ta 'cpDNA huma reali u mhux artifatti ta' DNA ċirkolari kkonċatenati jew ċrieki miksura, allura mekkaniżmu ta 'replikazzjoni b'ċirkwit D huwa insuffiċjenti biex jispjega kif dawk l-istrutturi jirreplikaw. Fl-istess ħin, rikombinazzjoni omologa ma tespandix il-multipli a -&gt; g gradjenti li dehru fil-plastomi. Minħabba n-nuqqas li jispjega l-gradjent tad-deamination kif ukoll l-ispeċijiet tal-pjanti numerużi li ntwerew li għandhom cpDNA ċirkolari, it-teorija predominanti tkompli żżomm li l-biċċa l-kbira ta 'cpDNA hija ċirkolari u x'aktarx tirreplika permezz ta' mekkaniżmu ta 'linja D.</v>
      </c>
    </row>
    <row r="8546" ht="15.75" customHeight="1">
      <c r="A8546" s="2" t="s">
        <v>8546</v>
      </c>
      <c r="B8546" s="2" t="str">
        <f>IFERROR(__xludf.DUMMYFUNCTION("GOOGLETRANSLATE(A8546, ""en"", ""mt"")"),"X'tip ta 'nies jattendu l-laqgħat tal-IPCC?")</f>
        <v>X'tip ta 'nies jattendu l-laqgħat tal-IPCC?</v>
      </c>
    </row>
    <row r="8547" ht="15.75" customHeight="1">
      <c r="A8547" s="2" t="s">
        <v>8547</v>
      </c>
      <c r="B8547" s="2" t="str">
        <f>IFERROR(__xludf.DUMMYFUNCTION("GOOGLETRANSLATE(A8547, ""en"", ""mt"")"),"X'qed isiru molekuli instabbli ta '6 karbonju?")</f>
        <v>X'qed isiru molekuli instabbli ta '6 karbonju?</v>
      </c>
    </row>
    <row r="8548" ht="15.75" customHeight="1">
      <c r="A8548" s="2" t="s">
        <v>8548</v>
      </c>
      <c r="B8548" s="2" t="str">
        <f>IFERROR(__xludf.DUMMYFUNCTION("GOOGLETRANSLATE(A8548, ""en"", ""mt"")"),"L-FBI ordna lill-kustodju tal-propjetà aljena biex jaħtaf l-affarijiet ta 'Tesla")</f>
        <v>L-FBI ordna lill-kustodju tal-propjetà aljena biex jaħtaf l-affarijiet ta 'Tesla</v>
      </c>
    </row>
    <row r="8549" ht="15.75" customHeight="1">
      <c r="A8549" s="2" t="s">
        <v>8549</v>
      </c>
      <c r="B8549" s="2" t="str">
        <f>IFERROR(__xludf.DUMMYFUNCTION("GOOGLETRANSLATE(A8549, ""en"", ""mt"")"),"Liema persentaġġ ta 'ossiġnu ġeneralment jiġi fornut minn maskra medika?")</f>
        <v>Liema persentaġġ ta 'ossiġnu ġeneralment jiġi fornut minn maskra medika?</v>
      </c>
    </row>
    <row r="8550" ht="15.75" customHeight="1">
      <c r="A8550" s="2" t="s">
        <v>8550</v>
      </c>
      <c r="B8550" s="2" t="str">
        <f>IFERROR(__xludf.DUMMYFUNCTION("GOOGLETRANSLATE(A8550, ""en"", ""mt"")"),"F'liema data ddeċidiet il-Leġislatura ta 'Florida kontra l-pjan li tirranġa l-Miami Stadium?")</f>
        <v>F'liema data ddeċidiet il-Leġislatura ta 'Florida kontra l-pjan li tirranġa l-Miami Stadium?</v>
      </c>
    </row>
    <row r="8551" ht="15.75" customHeight="1">
      <c r="A8551" s="2" t="s">
        <v>8551</v>
      </c>
      <c r="B8551" s="2" t="str">
        <f>IFERROR(__xludf.DUMMYFUNCTION("GOOGLETRANSLATE(A8551, ""en"", ""mt"")"),"Netwerk Internet2")</f>
        <v>Netwerk Internet2</v>
      </c>
    </row>
    <row r="8552" ht="15.75" customHeight="1">
      <c r="A8552" s="2" t="s">
        <v>8552</v>
      </c>
      <c r="B8552" s="2" t="str">
        <f>IFERROR(__xludf.DUMMYFUNCTION("GOOGLETRANSLATE(A8552, ""en"", ""mt"")"),"Liema ċelloli tal-pjanti għandhom kloroplasti fihom?")</f>
        <v>Liema ċelloli tal-pjanti għandhom kloroplasti fihom?</v>
      </c>
    </row>
    <row r="8553" ht="15.75" customHeight="1">
      <c r="A8553" s="2" t="s">
        <v>8553</v>
      </c>
      <c r="B8553" s="2" t="str">
        <f>IFERROR(__xludf.DUMMYFUNCTION("GOOGLETRANSLATE(A8553, ""en"", ""mt"")"),"X'għandu bżonn membru tal-komunità biex jgħallem b'mod informali?")</f>
        <v>X'għandu bżonn membru tal-komunità biex jgħallem b'mod informali?</v>
      </c>
    </row>
    <row r="8554" ht="15.75" customHeight="1">
      <c r="A8554" s="2" t="s">
        <v>8554</v>
      </c>
      <c r="B8554" s="2" t="str">
        <f>IFERROR(__xludf.DUMMYFUNCTION("GOOGLETRANSLATE(A8554, ""en"", ""mt"")"),"Id-djakni jservu terminu ta 'kemm snin bħala djakni proviżorji?")</f>
        <v>Id-djakni jservu terminu ta 'kemm snin bħala djakni proviżorji?</v>
      </c>
    </row>
    <row r="8555" ht="15.75" customHeight="1">
      <c r="A8555" s="2" t="s">
        <v>8555</v>
      </c>
      <c r="B8555" s="2" t="str">
        <f>IFERROR(__xludf.DUMMYFUNCTION("GOOGLETRANSLATE(A8555, ""en"", ""mt"")"),"Show tard ma 'Stephen Colbert")</f>
        <v>Show tard ma 'Stephen Colbert</v>
      </c>
    </row>
    <row r="8556" ht="15.75" customHeight="1">
      <c r="A8556" s="2" t="s">
        <v>8556</v>
      </c>
      <c r="B8556" s="2" t="str">
        <f>IFERROR(__xludf.DUMMYFUNCTION("GOOGLETRANSLATE(A8556, ""en"", ""mt"")"),"Minn liema oqsma rreklutaw il-Franċiżi?")</f>
        <v>Minn liema oqsma rreklutaw il-Franċiżi?</v>
      </c>
    </row>
    <row r="8557" ht="15.75" customHeight="1">
      <c r="A8557" s="2" t="s">
        <v>8557</v>
      </c>
      <c r="B8557" s="2" t="str">
        <f>IFERROR(__xludf.DUMMYFUNCTION("GOOGLETRANSLATE(A8557, ""en"", ""mt"")"),"Skond it-teorija tal-konċentrazzjoni tal-ġid, liema vantaġġ għandhom is-sinjur fl-akkumulazzjoni ta 'ġid ġdid?")</f>
        <v>Skond it-teorija tal-konċentrazzjoni tal-ġid, liema vantaġġ għandhom is-sinjur fl-akkumulazzjoni ta 'ġid ġdid?</v>
      </c>
    </row>
    <row r="8558" ht="15.75" customHeight="1">
      <c r="A8558" s="2" t="s">
        <v>8558</v>
      </c>
      <c r="B8558" s="2" t="str">
        <f>IFERROR(__xludf.DUMMYFUNCTION("GOOGLETRANSLATE(A8558, ""en"", ""mt"")"),"F'termini ta 'stokk tad-djar, l-awtorità hija waħda mill-ftit awtoritajiet li tara l-proporzjon ta' djar maqtugħin jiżdiedu fiċ-ċensiment tal-2010 (sa 7.8%), f'dan il-każ dan kien akkoppjat ma 'żieda simili fil-flats u l-appartamenti tal-baħar ma' 25.6%, "&amp;"u l-proporzjon ta 'djar konvertiti jew maqsuma fl-2011 jirrendi dan it-tip ta' abitazzjoni fl-ogħla wieħed mill-ħames parentesi kodifikati bil-kulur f'5,9%, u bl-istess mod ma 'Oxford u l-qari, akbar minn Manchester u Liverpool u taħt numru żgħir ta' stor"&amp;"iku okkupat b'mod dens , Swieq li bla dubju żżejjed fl-awtoritajiet lokali: Harrogate, Cheltenham, Bath, Inner London, Hastings, Brighton u Tunbridge Wells.")</f>
        <v>F'termini ta 'stokk tad-djar, l-awtorità hija waħda mill-ftit awtoritajiet li tara l-proporzjon ta' djar maqtugħin jiżdiedu fiċ-ċensiment tal-2010 (sa 7.8%), f'dan il-każ dan kien akkoppjat ma 'żieda simili fil-flats u l-appartamenti tal-baħar ma' 25.6%, u l-proporzjon ta 'djar konvertiti jew maqsuma fl-2011 jirrendi dan it-tip ta' abitazzjoni fl-ogħla wieħed mill-ħames parentesi kodifikati bil-kulur f'5,9%, u bl-istess mod ma 'Oxford u l-qari, akbar minn Manchester u Liverpool u taħt numru żgħir ta' storiku okkupat b'mod dens , Swieq li bla dubju żżejjed fl-awtoritajiet lokali: Harrogate, Cheltenham, Bath, Inner London, Hastings, Brighton u Tunbridge Wells.</v>
      </c>
    </row>
    <row r="8559" ht="15.75" customHeight="1">
      <c r="A8559" s="2" t="s">
        <v>8559</v>
      </c>
      <c r="B8559" s="2" t="str">
        <f>IFERROR(__xludf.DUMMYFUNCTION("GOOGLETRANSLATE(A8559, ""en"", ""mt"")"),"Metodu ta 'rotta tolleranti għall-ħsarat u effiċjenti")</f>
        <v>Metodu ta 'rotta tolleranti għall-ħsarat u effiċjenti</v>
      </c>
    </row>
    <row r="8560" ht="15.75" customHeight="1">
      <c r="A8560" s="2" t="s">
        <v>8560</v>
      </c>
      <c r="B8560" s="2" t="str">
        <f>IFERROR(__xludf.DUMMYFUNCTION("GOOGLETRANSLATE(A8560, ""en"", ""mt"")"),"bits tal-metall")</f>
        <v>bits tal-metall</v>
      </c>
    </row>
    <row r="8561" ht="15.75" customHeight="1">
      <c r="A8561" s="2" t="s">
        <v>8561</v>
      </c>
      <c r="B8561" s="2" t="str">
        <f>IFERROR(__xludf.DUMMYFUNCTION("GOOGLETRANSLATE(A8561, ""en"", ""mt"")"),"il-protezzjoni tiegħu")</f>
        <v>il-protezzjoni tiegħu</v>
      </c>
    </row>
    <row r="8562" ht="15.75" customHeight="1">
      <c r="A8562" s="2" t="s">
        <v>8562</v>
      </c>
      <c r="B8562" s="2" t="str">
        <f>IFERROR(__xludf.DUMMYFUNCTION("GOOGLETRANSLATE(A8562, ""en"", ""mt"")"),"Ossiġnu diatomiku")</f>
        <v>Ossiġnu diatomiku</v>
      </c>
    </row>
    <row r="8563" ht="15.75" customHeight="1">
      <c r="A8563" s="2" t="s">
        <v>8563</v>
      </c>
      <c r="B8563" s="2" t="str">
        <f>IFERROR(__xludf.DUMMYFUNCTION("GOOGLETRANSLATE(A8563, ""en"", ""mt"")"),"Il-modulu tal-kmand (CM) kien il-kabina tal-ekwipaġġ koniku, iddisinjat biex iġorr tliet astronawti mit-tnedija sal-orbita lunari u lura għal inżul tal-oċean tad-dinja. Kien l-uniku komponent tal-vettura spazjali Apollo biex jgħix mingħajr bidliet kbar ta"&amp;" 'konfigurazzjoni hekk kif il-programm evolva mid-disinji ta' studju ta 'Apollo bikrija. Il-parti ta 'barra tagħha kienet mgħottija bi tarka tas-sħana ablattiva, u kellha l-magni tas-sistema ta' kontroll ta 'reazzjoni tagħha stess (RCS) biex tikkontrolla "&amp;"l-attitudni tagħha u tidderieġi t-triq tad-dħul atmosferiku tagħha. Il-paraxut inġarru biex inaqqsu d-dixxendenza tagħha għal splashdown. Il-modulu kien ta ’11 .42 pied (3.48 m) tall, 12.83 pied (3.91 m) dijametru, u jiżen madwar 12,250 libbra (5,560 kg).")</f>
        <v>Il-modulu tal-kmand (CM) kien il-kabina tal-ekwipaġġ koniku, iddisinjat biex iġorr tliet astronawti mit-tnedija sal-orbita lunari u lura għal inżul tal-oċean tad-dinja. Kien l-uniku komponent tal-vettura spazjali Apollo biex jgħix mingħajr bidliet kbar ta 'konfigurazzjoni hekk kif il-programm evolva mid-disinji ta' studju ta 'Apollo bikrija. Il-parti ta 'barra tagħha kienet mgħottija bi tarka tas-sħana ablattiva, u kellha l-magni tas-sistema ta' kontroll ta 'reazzjoni tagħha stess (RCS) biex tikkontrolla l-attitudni tagħha u tidderieġi t-triq tad-dħul atmosferiku tagħha. Il-paraxut inġarru biex inaqqsu d-dixxendenza tagħha għal splashdown. Il-modulu kien ta ’11 .42 pied (3.48 m) tall, 12.83 pied (3.91 m) dijametru, u jiżen madwar 12,250 libbra (5,560 kg).</v>
      </c>
    </row>
    <row r="8564" ht="15.75" customHeight="1">
      <c r="A8564" s="2" t="s">
        <v>8564</v>
      </c>
      <c r="B8564" s="2" t="str">
        <f>IFERROR(__xludf.DUMMYFUNCTION("GOOGLETRANSLATE(A8564, ""en"", ""mt"")"),"Mudelli matematiċi ta 'komputazzjoni")</f>
        <v>Mudelli matematiċi ta 'komputazzjoni</v>
      </c>
    </row>
    <row r="8565" ht="15.75" customHeight="1">
      <c r="A8565" s="2" t="s">
        <v>8565</v>
      </c>
      <c r="B8565" s="2" t="str">
        <f>IFERROR(__xludf.DUMMYFUNCTION("GOOGLETRANSLATE(A8565, ""en"", ""mt"")"),"Konferenza Ġenerali")</f>
        <v>Konferenza Ġenerali</v>
      </c>
    </row>
    <row r="8566" ht="15.75" customHeight="1">
      <c r="A8566" s="2" t="s">
        <v>8566</v>
      </c>
      <c r="B8566" s="2" t="str">
        <f>IFERROR(__xludf.DUMMYFUNCTION("GOOGLETRANSLATE(A8566, ""en"", ""mt"")"),"Kolonisti Ingliżi.")</f>
        <v>Kolonisti Ingliżi.</v>
      </c>
    </row>
    <row r="8567" ht="15.75" customHeight="1">
      <c r="A8567" s="2" t="s">
        <v>8567</v>
      </c>
      <c r="B8567" s="2" t="str">
        <f>IFERROR(__xludf.DUMMYFUNCTION("GOOGLETRANSLATE(A8567, ""en"", ""mt"")"),"Min ippubblika l-kitbiet ta 'Tesla?")</f>
        <v>Min ippubblika l-kitbiet ta 'Tesla?</v>
      </c>
    </row>
    <row r="8568" ht="15.75" customHeight="1">
      <c r="A8568" s="2" t="s">
        <v>8568</v>
      </c>
      <c r="B8568" s="2" t="str">
        <f>IFERROR(__xludf.DUMMYFUNCTION("GOOGLETRANSLATE(A8568, ""en"", ""mt"")"),"naqqsu l-metaboliżmu tal-annimal")</f>
        <v>naqqsu l-metaboliżmu tal-annimal</v>
      </c>
    </row>
    <row r="8569" ht="15.75" customHeight="1">
      <c r="A8569" s="2" t="s">
        <v>8569</v>
      </c>
      <c r="B8569" s="2" t="str">
        <f>IFERROR(__xludf.DUMMYFUNCTION("GOOGLETRANSLATE(A8569, ""en"", ""mt"")"),"Liema knisja hija organizzata f'konferenzi?")</f>
        <v>Liema knisja hija organizzata f'konferenzi?</v>
      </c>
    </row>
    <row r="8570" ht="15.75" customHeight="1">
      <c r="A8570" s="2" t="s">
        <v>8570</v>
      </c>
      <c r="B8570" s="2" t="str">
        <f>IFERROR(__xludf.DUMMYFUNCTION("GOOGLETRANSLATE(A8570, ""en"", ""mt"")"),"dawl tax-xemx")</f>
        <v>dawl tax-xemx</v>
      </c>
    </row>
    <row r="8571" ht="15.75" customHeight="1">
      <c r="A8571" s="2" t="s">
        <v>8571</v>
      </c>
      <c r="B8571" s="2" t="str">
        <f>IFERROR(__xludf.DUMMYFUNCTION("GOOGLETRANSLATE(A8571, ""en"", ""mt"")"),"Kemm-il linji jispiċċaw mill-belt ta ’Los Angeles?")</f>
        <v>Kemm-il linji jispiċċaw mill-belt ta ’Los Angeles?</v>
      </c>
    </row>
    <row r="8572" ht="15.75" customHeight="1">
      <c r="A8572" s="2" t="s">
        <v>8572</v>
      </c>
      <c r="B8572" s="2" t="str">
        <f>IFERROR(__xludf.DUMMYFUNCTION("GOOGLETRANSLATE(A8572, ""en"", ""mt"")"),"Wirja ta 'Londra")</f>
        <v>Wirja ta 'Londra</v>
      </c>
    </row>
    <row r="8573" ht="15.75" customHeight="1">
      <c r="A8573" s="2" t="s">
        <v>8573</v>
      </c>
      <c r="B8573" s="2" t="str">
        <f>IFERROR(__xludf.DUMMYFUNCTION("GOOGLETRANSLATE(A8573, ""en"", ""mt"")"),"L-Assoċjazzjoni Medika Amerikana (AMA)")</f>
        <v>L-Assoċjazzjoni Medika Amerikana (AMA)</v>
      </c>
    </row>
    <row r="8574" ht="15.75" customHeight="1">
      <c r="A8574" s="2" t="s">
        <v>8574</v>
      </c>
      <c r="B8574" s="2" t="str">
        <f>IFERROR(__xludf.DUMMYFUNCTION("GOOGLETRANSLATE(A8574, ""en"", ""mt"")"),"ir-riskju għoli ta 'kunflitt ta' interess u / jew l-evitar ta 'poteri assoluti")</f>
        <v>ir-riskju għoli ta 'kunflitt ta' interess u / jew l-evitar ta 'poteri assoluti</v>
      </c>
    </row>
    <row r="8575" ht="15.75" customHeight="1">
      <c r="A8575" s="2" t="s">
        <v>8575</v>
      </c>
      <c r="B8575" s="2" t="str">
        <f>IFERROR(__xludf.DUMMYFUNCTION("GOOGLETRANSLATE(A8575, ""en"", ""mt"")"),"Min jistabbilixxi l-aġenda għax-xogħol tal-UE?")</f>
        <v>Min jistabbilixxi l-aġenda għax-xogħol tal-UE?</v>
      </c>
    </row>
    <row r="8576" ht="15.75" customHeight="1">
      <c r="A8576" s="2" t="s">
        <v>8576</v>
      </c>
      <c r="B8576" s="2" t="str">
        <f>IFERROR(__xludf.DUMMYFUNCTION("GOOGLETRANSLATE(A8576, ""en"", ""mt"")"),"Min jista 'jintroduċi liġijiet jew emendi ġodda għal-liġijiet diġà fuq il-kotba bħala abbozz?")</f>
        <v>Min jista 'jintroduċi liġijiet jew emendi ġodda għal-liġijiet diġà fuq il-kotba bħala abbozz?</v>
      </c>
    </row>
    <row r="8577" ht="15.75" customHeight="1">
      <c r="A8577" s="2" t="s">
        <v>8577</v>
      </c>
      <c r="B8577" s="2" t="str">
        <f>IFERROR(__xludf.DUMMYFUNCTION("GOOGLETRANSLATE(A8577, ""en"", ""mt"")"),"Il-kolonna ta 'King Sigimund hija eżempju ta' x'tip ta 'attrazzjoni f'Varsavja?")</f>
        <v>Il-kolonna ta 'King Sigimund hija eżempju ta' x'tip ta 'attrazzjoni f'Varsavja?</v>
      </c>
    </row>
    <row r="8578" ht="15.75" customHeight="1">
      <c r="A8578" s="2" t="s">
        <v>8578</v>
      </c>
      <c r="B8578" s="2" t="str">
        <f>IFERROR(__xludf.DUMMYFUNCTION("GOOGLETRANSLATE(A8578, ""en"", ""mt"")"),"Deforestazzjoni")</f>
        <v>Deforestazzjoni</v>
      </c>
    </row>
    <row r="8579" ht="15.75" customHeight="1">
      <c r="A8579" s="2" t="s">
        <v>8579</v>
      </c>
      <c r="B8579" s="2" t="str">
        <f>IFERROR(__xludf.DUMMYFUNCTION("GOOGLETRANSLATE(A8579, ""en"", ""mt"")"),"Il-pesta rritornat ripetutament fl-Ewropa tal-Haunt u l-Mediterran matul is-sekli 14 sa 17. Skond Biraben, il-pesta kienet preżenti x'imkien fl-Ewropa kull sena bejn l-1346 u l-1671. It-tieni pandemija kienet partikolarment mifruxa fis-snin ta 'wara: 1360"&amp;"-63; 1374; 1400; 1438–39; 1456–57; 1464–66; 1481–85; 1500–03; 1518–31; 1544–48; 1563–66; 1573–88; 1596–99; 1602–11; 1623–40; 1644–54; u 1664–67. Tfaqqigħ sussegwenti, għalkemm sever, immarka l-irtir mill-biċċa l-kbira tal-Ewropa (seklu 18) u l-Afrika ta ’"&amp;"Fuq (seklu 19). Skond Geoffrey Parker, ""Franza waħedha tilfet kważi miljun persuna fil-pesta fl-epidemija tal-1628-31.""")</f>
        <v>Il-pesta rritornat ripetutament fl-Ewropa tal-Haunt u l-Mediterran matul is-sekli 14 sa 17. Skond Biraben, il-pesta kienet preżenti x'imkien fl-Ewropa kull sena bejn l-1346 u l-1671. It-tieni pandemija kienet partikolarment mifruxa fis-snin ta 'wara: 1360-63; 1374; 1400; 1438–39; 1456–57; 1464–66; 1481–85; 1500–03; 1518–31; 1544–48; 1563–66; 1573–88; 1596–99; 1602–11; 1623–40; 1644–54; u 1664–67. Tfaqqigħ sussegwenti, għalkemm sever, immarka l-irtir mill-biċċa l-kbira tal-Ewropa (seklu 18) u l-Afrika ta ’Fuq (seklu 19). Skond Geoffrey Parker, "Franza waħedha tilfet kważi miljun persuna fil-pesta fl-epidemija tal-1628-31."</v>
      </c>
    </row>
    <row r="8580" ht="15.75" customHeight="1">
      <c r="A8580" s="2" t="s">
        <v>8580</v>
      </c>
      <c r="B8580" s="2" t="str">
        <f>IFERROR(__xludf.DUMMYFUNCTION("GOOGLETRANSLATE(A8580, ""en"", ""mt"")"),"Liema xmara hija akbar mir-Rhine?")</f>
        <v>Liema xmara hija akbar mir-Rhine?</v>
      </c>
    </row>
    <row r="8581" ht="15.75" customHeight="1">
      <c r="A8581" s="2" t="s">
        <v>8581</v>
      </c>
      <c r="B8581" s="2" t="str">
        <f>IFERROR(__xludf.DUMMYFUNCTION("GOOGLETRANSLATE(A8581, ""en"", ""mt"")"),"magni komposti")</f>
        <v>magni komposti</v>
      </c>
    </row>
    <row r="8582" ht="15.75" customHeight="1">
      <c r="A8582" s="2" t="s">
        <v>8582</v>
      </c>
      <c r="B8582" s="2" t="str">
        <f>IFERROR(__xludf.DUMMYFUNCTION("GOOGLETRANSLATE(A8582, ""en"", ""mt"")"),"Djalogu Nazzjonali tal-Kenja u Rikonċiljazzjoni")</f>
        <v>Djalogu Nazzjonali tal-Kenja u Rikonċiljazzjoni</v>
      </c>
    </row>
    <row r="8583" ht="15.75" customHeight="1">
      <c r="A8583" s="2" t="s">
        <v>8583</v>
      </c>
      <c r="B8583" s="2" t="str">
        <f>IFERROR(__xludf.DUMMYFUNCTION("GOOGLETRANSLATE(A8583, ""en"", ""mt"")"),"Lbiċ ta ’Franza")</f>
        <v>Lbiċ ta ’Franza</v>
      </c>
    </row>
    <row r="8584" ht="15.75" customHeight="1">
      <c r="A8584" s="2" t="s">
        <v>8584</v>
      </c>
      <c r="B8584" s="2" t="str">
        <f>IFERROR(__xludf.DUMMYFUNCTION("GOOGLETRANSLATE(A8584, ""en"", ""mt"")"),"L-Università ta ’California, Irvine")</f>
        <v>L-Università ta ’California, Irvine</v>
      </c>
    </row>
    <row r="8585" ht="15.75" customHeight="1">
      <c r="A8585" s="2" t="s">
        <v>8585</v>
      </c>
      <c r="B8585" s="2" t="str">
        <f>IFERROR(__xludf.DUMMYFUNCTION("GOOGLETRANSLATE(A8585, ""en"", ""mt"")"),"iċċattjat")</f>
        <v>iċċattjat</v>
      </c>
    </row>
    <row r="8586" ht="15.75" customHeight="1">
      <c r="A8586" s="2" t="s">
        <v>8586</v>
      </c>
      <c r="B8586" s="2" t="str">
        <f>IFERROR(__xludf.DUMMYFUNCTION("GOOGLETRANSLATE(A8586, ""en"", ""mt"")"),"9.1 miljun")</f>
        <v>9.1 miljun</v>
      </c>
    </row>
    <row r="8587" ht="15.75" customHeight="1">
      <c r="A8587" s="2" t="s">
        <v>8587</v>
      </c>
      <c r="B8587" s="2" t="str">
        <f>IFERROR(__xludf.DUMMYFUNCTION("GOOGLETRANSLATE(A8587, ""en"", ""mt"")"),"Mewt ta 'eretiku")</f>
        <v>Mewt ta 'eretiku</v>
      </c>
    </row>
    <row r="8588" ht="15.75" customHeight="1">
      <c r="A8588" s="2" t="s">
        <v>8588</v>
      </c>
      <c r="B8588" s="2" t="str">
        <f>IFERROR(__xludf.DUMMYFUNCTION("GOOGLETRANSLATE(A8588, ""en"", ""mt"")"),"Il-Knisja Metodista Magħquda tikkonferma l-qdusija tal-ħajja tal-bniedem kemm tat-tarbija kif ukoll tal-omm. Bħala riżultat, il-knisja hija ""ħerqana li tafferma l-abort bħala prattika aċċettabbli,"" u tikkundanna l-użu ta 'abort tat-twelid tard jew parzj"&amp;"ali ħlief bħala ħtieġa medika. Id-denominazzjoni kollha kemm hi hija impenjata li ""tassisti [l-ing] il-Ministeru tal-Kriżi Ċentri tat-Tqala u Ċentri ta 'Riżorsi tat-Tqala li jgħinu b'mod kompassjonali lin-nisa jsibu alternattivi fattibbli għall-abort."" "&amp;"Xorta, id-denominazzjoni hija favur l-għażla u wkoll ""kienet membru fundatur tal-koalizzjoni reliġjuża għall-għażla riproduttiva ... [u] l-2008 Konferenza Ġenerali [marret] fuq rekord b'appoġġ għall-ħidma tal-koalizzjoni reliġjuża għall-għażla riprodutti"&amp;"va"".")</f>
        <v>Il-Knisja Metodista Magħquda tikkonferma l-qdusija tal-ħajja tal-bniedem kemm tat-tarbija kif ukoll tal-omm. Bħala riżultat, il-knisja hija "ħerqana li tafferma l-abort bħala prattika aċċettabbli," u tikkundanna l-użu ta 'abort tat-twelid tard jew parzjali ħlief bħala ħtieġa medika. Id-denominazzjoni kollha kemm hi hija impenjata li "tassisti [l-ing] il-Ministeru tal-Kriżi Ċentri tat-Tqala u Ċentri ta 'Riżorsi tat-Tqala li jgħinu b'mod kompassjonali lin-nisa jsibu alternattivi fattibbli għall-abort." Xorta, id-denominazzjoni hija favur l-għażla u wkoll "kienet membru fundatur tal-koalizzjoni reliġjuża għall-għażla riproduttiva ... [u] l-2008 Konferenza Ġenerali [marret] fuq rekord b'appoġġ għall-ħidma tal-koalizzjoni reliġjuża għall-għażla riproduttiva".</v>
      </c>
    </row>
    <row r="8589" ht="15.75" customHeight="1">
      <c r="A8589" s="2" t="s">
        <v>8589</v>
      </c>
      <c r="B8589" s="2" t="str">
        <f>IFERROR(__xludf.DUMMYFUNCTION("GOOGLETRANSLATE(A8589, ""en"", ""mt"")"),"mewt u ġudizzju divin,")</f>
        <v>mewt u ġudizzju divin,</v>
      </c>
    </row>
    <row r="8590" ht="15.75" customHeight="1">
      <c r="A8590" s="2" t="s">
        <v>8590</v>
      </c>
      <c r="B8590" s="2" t="str">
        <f>IFERROR(__xludf.DUMMYFUNCTION("GOOGLETRANSLATE(A8590, ""en"", ""mt"")"),"Paċi ta 'Westphalia")</f>
        <v>Paċi ta 'Westphalia</v>
      </c>
    </row>
    <row r="8591" ht="15.75" customHeight="1">
      <c r="A8591" s="2" t="s">
        <v>8591</v>
      </c>
      <c r="B8591" s="2" t="str">
        <f>IFERROR(__xludf.DUMMYFUNCTION("GOOGLETRANSLATE(A8591, ""en"", ""mt"")"),"Għalliema tal-iskola sekondarja")</f>
        <v>Għalliema tal-iskola sekondarja</v>
      </c>
    </row>
    <row r="8592" ht="15.75" customHeight="1">
      <c r="A8592" s="2" t="s">
        <v>8592</v>
      </c>
      <c r="B8592" s="2" t="str">
        <f>IFERROR(__xludf.DUMMYFUNCTION("GOOGLETRANSLATE(A8592, ""en"", ""mt"")"),"Liema karatteristika normalment tippermetti lit-TARDIS jaħbi lilu nnifsu?")</f>
        <v>Liema karatteristika normalment tippermetti lit-TARDIS jaħbi lilu nnifsu?</v>
      </c>
    </row>
    <row r="8593" ht="15.75" customHeight="1">
      <c r="A8593" s="2" t="s">
        <v>8593</v>
      </c>
      <c r="B8593" s="2" t="str">
        <f>IFERROR(__xludf.DUMMYFUNCTION("GOOGLETRANSLATE(A8593, ""en"", ""mt"")"),"f'inqas minn żmien kwadratiku")</f>
        <v>f'inqas minn żmien kwadratiku</v>
      </c>
    </row>
    <row r="8594" ht="15.75" customHeight="1">
      <c r="A8594" s="2" t="s">
        <v>8594</v>
      </c>
      <c r="B8594" s="2" t="str">
        <f>IFERROR(__xludf.DUMMYFUNCTION("GOOGLETRANSLATE(A8594, ""en"", ""mt"")"),"Kummissjoni dwar l-Etika u l-Kontra l-Korruzzjoni")</f>
        <v>Kummissjoni dwar l-Etika u l-Kontra l-Korruzzjoni</v>
      </c>
    </row>
    <row r="8595" ht="15.75" customHeight="1">
      <c r="A8595" s="2" t="s">
        <v>8595</v>
      </c>
      <c r="B8595" s="2" t="str">
        <f>IFERROR(__xludf.DUMMYFUNCTION("GOOGLETRANSLATE(A8595, ""en"", ""mt"")"),"Edward Burne-Jones")</f>
        <v>Edward Burne-Jones</v>
      </c>
    </row>
    <row r="8596" ht="15.75" customHeight="1">
      <c r="A8596" s="2" t="s">
        <v>8596</v>
      </c>
      <c r="B8596" s="2" t="str">
        <f>IFERROR(__xludf.DUMMYFUNCTION("GOOGLETRANSLATE(A8596, ""en"", ""mt"")"),"Kif il-Mongoljani xi darba jiddeskrivu r-relazzjoni tagħhom ma 'Genghis Khan?")</f>
        <v>Kif il-Mongoljani xi darba jiddeskrivu r-relazzjoni tagħhom ma 'Genghis Khan?</v>
      </c>
    </row>
    <row r="8597" ht="15.75" customHeight="1">
      <c r="A8597" s="2" t="s">
        <v>8597</v>
      </c>
      <c r="B8597" s="2" t="str">
        <f>IFERROR(__xludf.DUMMYFUNCTION("GOOGLETRANSLATE(A8597, ""en"", ""mt"")"),"sanzjoni għall-qtil.")</f>
        <v>sanzjoni għall-qtil.</v>
      </c>
    </row>
    <row r="8598" ht="15.75" customHeight="1">
      <c r="A8598" s="2" t="s">
        <v>8598</v>
      </c>
      <c r="B8598" s="2" t="str">
        <f>IFERROR(__xludf.DUMMYFUNCTION("GOOGLETRANSLATE(A8598, ""en"", ""mt"")"),"Teoloġija ta ’Wesleyan")</f>
        <v>Teoloġija ta ’Wesleyan</v>
      </c>
    </row>
    <row r="8599" ht="15.75" customHeight="1">
      <c r="A8599" s="2" t="s">
        <v>8599</v>
      </c>
      <c r="B8599" s="2" t="str">
        <f>IFERROR(__xludf.DUMMYFUNCTION("GOOGLETRANSLATE(A8599, ""en"", ""mt"")"),"Kontra l-kulur")</f>
        <v>Kontra l-kulur</v>
      </c>
    </row>
    <row r="8600" ht="15.75" customHeight="1">
      <c r="A8600" s="2" t="s">
        <v>8600</v>
      </c>
      <c r="B8600" s="2" t="str">
        <f>IFERROR(__xludf.DUMMYFUNCTION("GOOGLETRANSLATE(A8600, ""en"", ""mt"")"),"Għal liema post ġab il-ħamiem imweġġa 'biex jieħu ħsiebhom?")</f>
        <v>Għal liema post ġab il-ħamiem imweġġa 'biex jieħu ħsiebhom?</v>
      </c>
    </row>
    <row r="8601" ht="15.75" customHeight="1">
      <c r="A8601" s="2" t="s">
        <v>8601</v>
      </c>
      <c r="B8601" s="2" t="str">
        <f>IFERROR(__xludf.DUMMYFUNCTION("GOOGLETRANSLATE(A8601, ""en"", ""mt"")"),"Kotba antiki bir-riċetta u drogi antiki")</f>
        <v>Kotba antiki bir-riċetta u drogi antiki</v>
      </c>
    </row>
    <row r="8602" ht="15.75" customHeight="1">
      <c r="A8602" s="2" t="s">
        <v>8602</v>
      </c>
      <c r="B8602" s="2" t="str">
        <f>IFERROR(__xludf.DUMMYFUNCTION("GOOGLETRANSLATE(A8602, ""en"", ""mt"")"),"Dispożizzjonijiet ""għeruq""")</f>
        <v>Dispożizzjonijiet "għeruq"</v>
      </c>
    </row>
    <row r="8603" ht="15.75" customHeight="1">
      <c r="A8603" s="2" t="s">
        <v>8603</v>
      </c>
      <c r="B8603" s="2" t="str">
        <f>IFERROR(__xludf.DUMMYFUNCTION("GOOGLETRANSLATE(A8603, ""en"", ""mt"")"),"L-ekwipaġġ ta 'Apollo 8 bagħat l-ewwel ritratti televiżivi ħajjin tad-Dinja u l-Qamar lura lejn id-Dinja, u qrajt mill-istorja tal-ħolqien fil-Ktieb tal-Ġenesi, Lejliet il-Milied, 1968. Stima kwart tal-popolazzjoni tad-dinja raw - jew live jew ittardjati "&amp;"- it-trasmissjoni ta ’Lejliet il-Milied matul id-disa’ orbita tal-qamar. Il-Missjoni u l-Milied ipprovdew tmiem ta ’ispirazzjoni għall-1968, li kienet sena mnikkta għall-Istati Uniti, immarkata mill-protesti tal-Gwerra tal-Vjetnam, irvellijiet tar-razza, "&amp;"u l-qtil tal-mexxej tad-drittijiet ċivili Martin Luther King, Jr., u s-Senatur Robert F. Kennedy -")</f>
        <v>L-ekwipaġġ ta 'Apollo 8 bagħat l-ewwel ritratti televiżivi ħajjin tad-Dinja u l-Qamar lura lejn id-Dinja, u qrajt mill-istorja tal-ħolqien fil-Ktieb tal-Ġenesi, Lejliet il-Milied, 1968. Stima kwart tal-popolazzjoni tad-dinja raw - jew live jew ittardjati - it-trasmissjoni ta ’Lejliet il-Milied matul id-disa’ orbita tal-qamar. Il-Missjoni u l-Milied ipprovdew tmiem ta ’ispirazzjoni għall-1968, li kienet sena mnikkta għall-Istati Uniti, immarkata mill-protesti tal-Gwerra tal-Vjetnam, irvellijiet tar-razza, u l-qtil tal-mexxej tad-drittijiet ċivili Martin Luther King, Jr., u s-Senatur Robert F. Kennedy -</v>
      </c>
    </row>
    <row r="8604" ht="15.75" customHeight="1">
      <c r="A8604" s="2" t="s">
        <v>8604</v>
      </c>
      <c r="B8604" s="2" t="str">
        <f>IFERROR(__xludf.DUMMYFUNCTION("GOOGLETRANSLATE(A8604, ""en"", ""mt"")"),"Minn liema materjal huwa magħmul il-Becket Casket?")</f>
        <v>Minn liema materjal huwa magħmul il-Becket Casket?</v>
      </c>
    </row>
    <row r="8605" ht="15.75" customHeight="1">
      <c r="A8605" s="2" t="s">
        <v>8605</v>
      </c>
      <c r="B8605" s="2" t="str">
        <f>IFERROR(__xludf.DUMMYFUNCTION("GOOGLETRANSLATE(A8605, ""en"", ""mt"")"),"Afrika")</f>
        <v>Afrika</v>
      </c>
    </row>
    <row r="8606" ht="15.75" customHeight="1">
      <c r="A8606" s="2" t="s">
        <v>8606</v>
      </c>
      <c r="B8606" s="2" t="str">
        <f>IFERROR(__xludf.DUMMYFUNCTION("GOOGLETRANSLATE(A8606, ""en"", ""mt"")"),"billi toqgħod mal-istess grupp ta 'sħabhom għall-klassijiet kollha")</f>
        <v>billi toqgħod mal-istess grupp ta 'sħabhom għall-klassijiet kollha</v>
      </c>
    </row>
    <row r="8607" ht="15.75" customHeight="1">
      <c r="A8607" s="2" t="s">
        <v>8607</v>
      </c>
      <c r="B8607" s="2" t="str">
        <f>IFERROR(__xludf.DUMMYFUNCTION("GOOGLETRANSLATE(A8607, ""en"", ""mt"")"),"L-arrest tiegħu ma kien kopert fl-ebda gazzetta")</f>
        <v>L-arrest tiegħu ma kien kopert fl-ebda gazzetta</v>
      </c>
    </row>
    <row r="8608" ht="15.75" customHeight="1">
      <c r="A8608" s="2" t="s">
        <v>8608</v>
      </c>
      <c r="B8608" s="2" t="str">
        <f>IFERROR(__xludf.DUMMYFUNCTION("GOOGLETRANSLATE(A8608, ""en"", ""mt"")"),"Kif il-BBC kisbet verżjonijiet awdjo tal-episodji mitlufa?")</f>
        <v>Kif il-BBC kisbet verżjonijiet awdjo tal-episodji mitlufa?</v>
      </c>
    </row>
    <row r="8609" ht="15.75" customHeight="1">
      <c r="A8609" s="2" t="s">
        <v>8609</v>
      </c>
      <c r="B8609" s="2" t="str">
        <f>IFERROR(__xludf.DUMMYFUNCTION("GOOGLETRANSLATE(A8609, ""en"", ""mt"")"),"inqas minn sena")</f>
        <v>inqas minn sena</v>
      </c>
    </row>
    <row r="8610" ht="15.75" customHeight="1">
      <c r="A8610" s="2" t="s">
        <v>8610</v>
      </c>
      <c r="B8610" s="2" t="str">
        <f>IFERROR(__xludf.DUMMYFUNCTION("GOOGLETRANSLATE(A8610, ""en"", ""mt"")"),"simbjotiku")</f>
        <v>simbjotiku</v>
      </c>
    </row>
    <row r="8611" ht="15.75" customHeight="1">
      <c r="A8611" s="2" t="s">
        <v>8611</v>
      </c>
      <c r="B8611" s="2" t="str">
        <f>IFERROR(__xludf.DUMMYFUNCTION("GOOGLETRANSLATE(A8611, ""en"", ""mt"")"),"kabina fjammabbli u materjali tal-libsa spazjali")</f>
        <v>kabina fjammabbli u materjali tal-libsa spazjali</v>
      </c>
    </row>
    <row r="8612" ht="15.75" customHeight="1">
      <c r="A8612" s="2" t="s">
        <v>8612</v>
      </c>
      <c r="B8612" s="2" t="str">
        <f>IFERROR(__xludf.DUMMYFUNCTION("GOOGLETRANSLATE(A8612, ""en"", ""mt"")"),"Prestazzjoni ta 'tlieta sa ħames miljun telespettatur kienet meqjusa bħala fqira")</f>
        <v>Prestazzjoni ta 'tlieta sa ħames miljun telespettatur kienet meqjusa bħala fqira</v>
      </c>
    </row>
    <row r="8613" ht="15.75" customHeight="1">
      <c r="A8613" s="2" t="s">
        <v>8613</v>
      </c>
      <c r="B8613" s="2" t="str">
        <f>IFERROR(__xludf.DUMMYFUNCTION("GOOGLETRANSLATE(A8613, ""en"", ""mt"")"),"programmi")</f>
        <v>programmi</v>
      </c>
    </row>
    <row r="8614" ht="15.75" customHeight="1">
      <c r="A8614" s="2" t="s">
        <v>8614</v>
      </c>
      <c r="B8614" s="2" t="str">
        <f>IFERROR(__xludf.DUMMYFUNCTION("GOOGLETRANSLATE(A8614, ""en"", ""mt"")"),"Xi jfisser l-Għaxar Kmandamenti mill-Insara?")</f>
        <v>Xi jfisser l-Għaxar Kmandamenti mill-Insara?</v>
      </c>
    </row>
    <row r="8615" ht="15.75" customHeight="1">
      <c r="A8615" s="2" t="s">
        <v>8615</v>
      </c>
      <c r="B8615" s="2" t="str">
        <f>IFERROR(__xludf.DUMMYFUNCTION("GOOGLETRANSLATE(A8615, ""en"", ""mt"")"),"kaċċa")</f>
        <v>kaċċa</v>
      </c>
    </row>
    <row r="8616" ht="15.75" customHeight="1">
      <c r="A8616" s="2" t="s">
        <v>8616</v>
      </c>
      <c r="B8616" s="2" t="str">
        <f>IFERROR(__xludf.DUMMYFUNCTION("GOOGLETRANSLATE(A8616, ""en"", ""mt"")"),"Fejn jittrasferixxu l-ġeni nukleomorfi?")</f>
        <v>Fejn jittrasferixxu l-ġeni nukleomorfi?</v>
      </c>
    </row>
    <row r="8617" ht="15.75" customHeight="1">
      <c r="A8617" s="2" t="s">
        <v>8617</v>
      </c>
      <c r="B8617" s="2" t="str">
        <f>IFERROR(__xludf.DUMMYFUNCTION("GOOGLETRANSLATE(A8617, ""en"", ""mt"")"),"Il-kloroplasti taċ-ċelloli tal-pjanti u tal-alka jistgħu jorjentaw ruħhom biex jaqdu l-aħjar id-dawl disponibbli. F'kundizzjonijiet ta 'dawl baxx, dawn jinfirxu f'folja - timmassimizza l-erja tal-wiċċ biex tassorbi d-dawl. Taħt dawl intens, huma jfittxu k"&amp;"enn billi jallinjaw f'kolonni vertikali tul il-ħajt taċ-ċellula taċ-ċellula tal-pjanti jew iduru mal-ġenb sabiex id-dawl jolqothom 'il fuq. Dan inaqqas l-esponiment u jipproteġihom minn ħsara fotoossidattiva. Din il-ħila li tqassam il-kloroplasti sabiex i"&amp;"kunu jistgħu jieħdu kenn wara xulxin jew jinfirxu tista 'tkun ir-raġuni għaliex il-pjanti tal-art evolvew biex ikollhom ħafna kloroplasti żgħar minflok ftit kbar. Il-moviment tal-kloroplast huwa meqjus bħala wieħed mis-sistemi ta 'rispons għall-istimolu l"&amp;"-iktar regolat mill-qrib li jistgħu jinstabu fil-pjanti. Il-mitokondrija ġiet osservata wkoll li ssegwi l-kloroplasti hekk kif jimxu.")</f>
        <v>Il-kloroplasti taċ-ċelloli tal-pjanti u tal-alka jistgħu jorjentaw ruħhom biex jaqdu l-aħjar id-dawl disponibbli. F'kundizzjonijiet ta 'dawl baxx, dawn jinfirxu f'folja - timmassimizza l-erja tal-wiċċ biex tassorbi d-dawl. Taħt dawl intens, huma jfittxu kenn billi jallinjaw f'kolonni vertikali tul il-ħajt taċ-ċellula taċ-ċellula tal-pjanti jew iduru mal-ġenb sabiex id-dawl jolqothom 'il fuq. Dan inaqqas l-esponiment u jipproteġihom minn ħsara fotoossidattiva. Din il-ħila li tqassam il-kloroplasti sabiex ikunu jistgħu jieħdu kenn wara xulxin jew jinfirxu tista 'tkun ir-raġuni għaliex il-pjanti tal-art evolvew biex ikollhom ħafna kloroplasti żgħar minflok ftit kbar. Il-moviment tal-kloroplast huwa meqjus bħala wieħed mis-sistemi ta 'rispons għall-istimolu l-iktar regolat mill-qrib li jistgħu jinstabu fil-pjanti. Il-mitokondrija ġiet osservata wkoll li ssegwi l-kloroplasti hekk kif jimxu.</v>
      </c>
    </row>
    <row r="8618" ht="15.75" customHeight="1">
      <c r="A8618" s="2" t="s">
        <v>8618</v>
      </c>
      <c r="B8618" s="2" t="str">
        <f>IFERROR(__xludf.DUMMYFUNCTION("GOOGLETRANSLATE(A8618, ""en"", ""mt"")"),"Akkademiku")</f>
        <v>Akkademiku</v>
      </c>
    </row>
    <row r="8619" ht="15.75" customHeight="1">
      <c r="A8619" s="2" t="s">
        <v>8619</v>
      </c>
      <c r="B8619" s="2" t="str">
        <f>IFERROR(__xludf.DUMMYFUNCTION("GOOGLETRANSLATE(A8619, ""en"", ""mt"")"),"tkun maqtula permezz ta 'xogħol żejjed")</f>
        <v>tkun maqtula permezz ta 'xogħol żejjed</v>
      </c>
    </row>
    <row r="8620" ht="15.75" customHeight="1">
      <c r="A8620" s="2" t="s">
        <v>8620</v>
      </c>
      <c r="B8620" s="2" t="str">
        <f>IFERROR(__xludf.DUMMYFUNCTION("GOOGLETRANSLATE(A8620, ""en"", ""mt"")"),"Ħu evidenza minn xhieda, twettaq inkjesti u tifli l-leġiżlazzjoni")</f>
        <v>Ħu evidenza minn xhieda, twettaq inkjesti u tifli l-leġiżlazzjoni</v>
      </c>
    </row>
    <row r="8621" ht="15.75" customHeight="1">
      <c r="A8621" s="2" t="s">
        <v>8621</v>
      </c>
      <c r="B8621" s="2" t="str">
        <f>IFERROR(__xludf.DUMMYFUNCTION("GOOGLETRANSLATE(A8621, ""en"", ""mt"")"),"Ctenophores, cnidarians u liema grupp ieħor huma ttikkettjati diploblastic?")</f>
        <v>Ctenophores, cnidarians u liema grupp ieħor huma ttikkettjati diploblastic?</v>
      </c>
    </row>
    <row r="8622" ht="15.75" customHeight="1">
      <c r="A8622" s="2" t="s">
        <v>8622</v>
      </c>
      <c r="B8622" s="2" t="str">
        <f>IFERROR(__xludf.DUMMYFUNCTION("GOOGLETRANSLATE(A8622, ""en"", ""mt"")"),"X’sejjaħ Davies is-sistema")</f>
        <v>X’sejjaħ Davies is-sistema</v>
      </c>
    </row>
    <row r="8623" ht="15.75" customHeight="1">
      <c r="A8623" s="2" t="s">
        <v>8623</v>
      </c>
      <c r="B8623" s="2" t="str">
        <f>IFERROR(__xludf.DUMMYFUNCTION("GOOGLETRANSLATE(A8623, ""en"", ""mt"")"),"Teoriji dwar l-imperjalizmu jużaw liema pajjiż bħala mudell?")</f>
        <v>Teoriji dwar l-imperjalizmu jużaw liema pajjiż bħala mudell?</v>
      </c>
    </row>
    <row r="8624" ht="15.75" customHeight="1">
      <c r="A8624" s="2" t="s">
        <v>8624</v>
      </c>
      <c r="B8624" s="2" t="str">
        <f>IFERROR(__xludf.DUMMYFUNCTION("GOOGLETRANSLATE(A8624, ""en"", ""mt"")"),"Ir-ragħajja lokali huma msejħa minn Alla, affermati mill-Knisja, u maħtura minn isqof għal ministeru tal-kelma, sagrament, ordni u servizz fil-knisja. Ir-ragħaj lokali jingħata l-awtorità biex jippridka l-Kelma ta ’Alla, jamministra s-sagramenti tal-Knisj"&amp;"a, biex jipprovdi kura u pariri, u jordna l-ħajja tal-Knisja għall-ministeru u l-missjoni, iżda mhux ordnati. Meta l-anzjani ma jkunux disponibbli biex jinħatru għal knisja lokali, la permezz ta 'nuqqas ta' persunal jew tbatija finanzjarja ta 'ħlas pastor"&amp;"ali, l-Isqof jista' jaħtar ""ragħaj lokali"" biex iservi l-ħatra pastorali. Ir-ragħajja lokali ħafna drabi huma bi-vokazzjonali, jgħixu s-sejħa ministerjali tagħhom fil-knisja lokali u fil-qasam tal-impjieg tagħhom. Ir-ragħajja lokali liċenzjati full-time"&amp;" u part-time taħt ħatra huma kleru u sħubija fil-konferenza annwali u mhux fil-knisja lokali. It-titlu uffiċjali tar-ragħaj lokali huwa ""ragħaj lokali liċenzjat"" u huwa maħtur bħala kleru għall-knisja lokali fejn jippridka, imexxi l-qima divina u jwetta"&amp;"q id-dmirijiet regolari ta 'ragħaj. Ir-ragħaj lokali liċenzjat għandu l-awtorità ta 'ragħaj biss fil-kuntest u matul iż-żmien tal-ħatra u m'għandux jestendi lil hinn minnu. Ir-rgħajja lokali mhumiex meħtieġa li jkollhom gradi avvanzati iżda huma meħtieġa "&amp;"jattendu skola tal-liċenzji u jattendu u jgħaddu kors ta 'studju approvat ta' ħames snin f'seminarju Metodist approvat jew kors ta 'skola ta' studju, komplut b'suċċess eżamijiet bil-miktub u orali, u jidher qabel Il-Kumitat Distrettwali għall-Ministeru u "&amp;"l-Bord tal-Konferenza tal-Ministeru Ordnat. Huma jistgħu jkomplu lejn is-sħubija assoċjata li tippermettilhom jirtiraw bħala kleru. Huma jistgħu wkoll ikomplu lejn l-ordinazzjoni jekk itemmu l-grad tal-baċellerat tagħhom, ir-rekwiżiti tal-Bord tal-Konfere"&amp;"nza partikolari tagħhom tal-Ministeru Ordnat, kif ukoll kors avvanzat jew studju jew korsijiet tas-seminarju preskritti f'seminarju approvat. Meta jirtiraw, ir-ragħajja lokali jerġgħu lura għall-konferenza tal-ħlas tagħhom bħala membri lajċi.")</f>
        <v>Ir-ragħajja lokali huma msejħa minn Alla, affermati mill-Knisja, u maħtura minn isqof għal ministeru tal-kelma, sagrament, ordni u servizz fil-knisja. Ir-ragħaj lokali jingħata l-awtorità biex jippridka l-Kelma ta ’Alla, jamministra s-sagramenti tal-Knisja, biex jipprovdi kura u pariri, u jordna l-ħajja tal-Knisja għall-ministeru u l-missjoni, iżda mhux ordnati. Meta l-anzjani ma jkunux disponibbli biex jinħatru għal knisja lokali, la permezz ta 'nuqqas ta' persunal jew tbatija finanzjarja ta 'ħlas pastorali, l-Isqof jista' jaħtar "ragħaj lokali" biex iservi l-ħatra pastorali. Ir-ragħajja lokali ħafna drabi huma bi-vokazzjonali, jgħixu s-sejħa ministerjali tagħhom fil-knisja lokali u fil-qasam tal-impjieg tagħhom. Ir-ragħajja lokali liċenzjati full-time u part-time taħt ħatra huma kleru u sħubija fil-konferenza annwali u mhux fil-knisja lokali. It-titlu uffiċjali tar-ragħaj lokali huwa "ragħaj lokali liċenzjat" u huwa maħtur bħala kleru għall-knisja lokali fejn jippridka, imexxi l-qima divina u jwettaq id-dmirijiet regolari ta 'ragħaj. Ir-ragħaj lokali liċenzjat għandu l-awtorità ta 'ragħaj biss fil-kuntest u matul iż-żmien tal-ħatra u m'għandux jestendi lil hinn minnu. Ir-rgħajja lokali mhumiex meħtieġa li jkollhom gradi avvanzati iżda huma meħtieġa jattendu skola tal-liċenzji u jattendu u jgħaddu kors ta 'studju approvat ta' ħames snin f'seminarju Metodist approvat jew kors ta 'skola ta' studju, komplut b'suċċess eżamijiet bil-miktub u orali, u jidher qabel Il-Kumitat Distrettwali għall-Ministeru u l-Bord tal-Konferenza tal-Ministeru Ordnat. Huma jistgħu jkomplu lejn is-sħubija assoċjata li tippermettilhom jirtiraw bħala kleru. Huma jistgħu wkoll ikomplu lejn l-ordinazzjoni jekk itemmu l-grad tal-baċellerat tagħhom, ir-rekwiżiti tal-Bord tal-Konferenza partikolari tagħhom tal-Ministeru Ordnat, kif ukoll kors avvanzat jew studju jew korsijiet tas-seminarju preskritti f'seminarju approvat. Meta jirtiraw, ir-ragħajja lokali jerġgħu lura għall-konferenza tal-ħlas tagħhom bħala membri lajċi.</v>
      </c>
    </row>
    <row r="8625" ht="15.75" customHeight="1">
      <c r="A8625" s="2" t="s">
        <v>8625</v>
      </c>
      <c r="B8625" s="2" t="str">
        <f>IFERROR(__xludf.DUMMYFUNCTION("GOOGLETRANSLATE(A8625, ""en"", ""mt"")"),"Għaliex wieħed irid jagħti aktar kastig?")</f>
        <v>Għaliex wieħed irid jagħti aktar kastig?</v>
      </c>
    </row>
    <row r="8626" ht="15.75" customHeight="1">
      <c r="A8626" s="2" t="s">
        <v>8626</v>
      </c>
      <c r="B8626" s="2" t="str">
        <f>IFERROR(__xludf.DUMMYFUNCTION("GOOGLETRANSLATE(A8626, ""en"", ""mt"")"),"Dak li serva bħala ġustifikazzjoni għall-impożizzjoni ta 'politiki imperjalisti fuq ċerti popli jew reġjuni?")</f>
        <v>Dak li serva bħala ġustifikazzjoni għall-impożizzjoni ta 'politiki imperjalisti fuq ċerti popli jew reġjuni?</v>
      </c>
    </row>
    <row r="8627" ht="15.75" customHeight="1">
      <c r="A8627" s="2" t="s">
        <v>8627</v>
      </c>
      <c r="B8627" s="2" t="str">
        <f>IFERROR(__xludf.DUMMYFUNCTION("GOOGLETRANSLATE(A8627, ""en"", ""mt"")"),"In-nisel tal-kloroplast aħdar")</f>
        <v>In-nisel tal-kloroplast aħdar</v>
      </c>
    </row>
    <row r="8628" ht="15.75" customHeight="1">
      <c r="A8628" s="2" t="s">
        <v>8628</v>
      </c>
      <c r="B8628" s="2" t="str">
        <f>IFERROR(__xludf.DUMMYFUNCTION("GOOGLETRANSLATE(A8628, ""en"", ""mt"")"),"il-laboratorju")</f>
        <v>il-laboratorju</v>
      </c>
    </row>
    <row r="8629" ht="15.75" customHeight="1">
      <c r="A8629" s="2" t="s">
        <v>8629</v>
      </c>
      <c r="B8629" s="2" t="str">
        <f>IFERROR(__xludf.DUMMYFUNCTION("GOOGLETRANSLATE(A8629, ""en"", ""mt"")"),"18-il miljun")</f>
        <v>18-il miljun</v>
      </c>
    </row>
    <row r="8630" ht="15.75" customHeight="1">
      <c r="A8630" s="2" t="s">
        <v>8630</v>
      </c>
      <c r="B8630" s="2" t="str">
        <f>IFERROR(__xludf.DUMMYFUNCTION("GOOGLETRANSLATE(A8630, ""en"", ""mt"")"),"Għaliex kien l-avukat Olandiż li mar il-Belġju filwaqt li ta parir lil klijent f'każ tas-soċjetà soċjali qal li ma jistax ikompli?")</f>
        <v>Għaliex kien l-avukat Olandiż li mar il-Belġju filwaqt li ta parir lil klijent f'każ tas-soċjetà soċjali qal li ma jistax ikompli?</v>
      </c>
    </row>
    <row r="8631" ht="15.75" customHeight="1">
      <c r="A8631" s="2" t="s">
        <v>8631</v>
      </c>
      <c r="B8631" s="2" t="str">
        <f>IFERROR(__xludf.DUMMYFUNCTION("GOOGLETRANSLATE(A8631, ""en"", ""mt"")"),"Muturi elettriċi")</f>
        <v>Muturi elettriċi</v>
      </c>
    </row>
    <row r="8632" ht="15.75" customHeight="1">
      <c r="A8632" s="2" t="s">
        <v>8632</v>
      </c>
      <c r="B8632" s="2" t="str">
        <f>IFERROR(__xludf.DUMMYFUNCTION("GOOGLETRANSLATE(A8632, ""en"", ""mt"")"),"is-sistema immuni adatta")</f>
        <v>is-sistema immuni adatta</v>
      </c>
    </row>
    <row r="8633" ht="15.75" customHeight="1">
      <c r="A8633" s="2" t="s">
        <v>8633</v>
      </c>
      <c r="B8633" s="2" t="str">
        <f>IFERROR(__xludf.DUMMYFUNCTION("GOOGLETRANSLATE(A8633, ""en"", ""mt"")"),"Liema pajjiż kompla r-Renu jiżdied matul l-Oloken?")</f>
        <v>Liema pajjiż kompla r-Renu jiżdied matul l-Oloken?</v>
      </c>
    </row>
    <row r="8634" ht="15.75" customHeight="1">
      <c r="A8634" s="2" t="s">
        <v>8634</v>
      </c>
      <c r="B8634" s="2" t="str">
        <f>IFERROR(__xludf.DUMMYFUNCTION("GOOGLETRANSLATE(A8634, ""en"", ""mt"")"),"Jum l-Indipendenza: qawmien mill-ġdid")</f>
        <v>Jum l-Indipendenza: qawmien mill-ġdid</v>
      </c>
    </row>
    <row r="8635" ht="15.75" customHeight="1">
      <c r="A8635" s="2" t="s">
        <v>8635</v>
      </c>
      <c r="B8635" s="2" t="str">
        <f>IFERROR(__xludf.DUMMYFUNCTION("GOOGLETRANSLATE(A8635, ""en"", ""mt"")"),"arkitettura tal-manjerista")</f>
        <v>arkitettura tal-manjerista</v>
      </c>
    </row>
    <row r="8636" ht="15.75" customHeight="1">
      <c r="A8636" s="2" t="s">
        <v>8636</v>
      </c>
      <c r="B8636" s="2" t="str">
        <f>IFERROR(__xludf.DUMMYFUNCTION("GOOGLETRANSLATE(A8636, ""en"", ""mt"")"),"Qabbad kompjuters ospitanti (servers) f'eluf ta 'kumpaniji kbar, istituzzjonijiet edukattivi, u aġenziji tal-gvern")</f>
        <v>Qabbad kompjuters ospitanti (servers) f'eluf ta 'kumpaniji kbar, istituzzjonijiet edukattivi, u aġenziji tal-gvern</v>
      </c>
    </row>
    <row r="8637" ht="15.75" customHeight="1">
      <c r="A8637" s="2" t="s">
        <v>8637</v>
      </c>
      <c r="B8637" s="2" t="str">
        <f>IFERROR(__xludf.DUMMYFUNCTION("GOOGLETRANSLATE(A8637, ""en"", ""mt"")"),"F'liema kompost jinstab l-ossiġnu f'ammonti żgħar fl-atmosfera?")</f>
        <v>F'liema kompost jinstab l-ossiġnu f'ammonti żgħar fl-atmosfera?</v>
      </c>
    </row>
    <row r="8638" ht="15.75" customHeight="1">
      <c r="A8638" s="2" t="s">
        <v>8638</v>
      </c>
      <c r="B8638" s="2" t="str">
        <f>IFERROR(__xludf.DUMMYFUNCTION("GOOGLETRANSLATE(A8638, ""en"", ""mt"")"),"pontijiet ġodda u mkabbra, servizz tax-shuttle u / jew tram")</f>
        <v>pontijiet ġodda u mkabbra, servizz tax-shuttle u / jew tram</v>
      </c>
    </row>
    <row r="8639" ht="15.75" customHeight="1">
      <c r="A8639" s="2" t="s">
        <v>8639</v>
      </c>
      <c r="B8639" s="2" t="str">
        <f>IFERROR(__xludf.DUMMYFUNCTION("GOOGLETRANSLATE(A8639, ""en"", ""mt"")"),"Il-foresta tropikali tal-Amazon saret l-aktar foresta interna madwar liema avveniment globali?")</f>
        <v>Il-foresta tropikali tal-Amazon saret l-aktar foresta interna madwar liema avveniment globali?</v>
      </c>
    </row>
    <row r="8640" ht="15.75" customHeight="1">
      <c r="A8640" s="2" t="s">
        <v>8640</v>
      </c>
      <c r="B8640" s="2" t="str">
        <f>IFERROR(__xludf.DUMMYFUNCTION("GOOGLETRANSLATE(A8640, ""en"", ""mt"")"),"In-NASA kellha wkoll tagħmel il-fondi disponibbli")</f>
        <v>In-NASA kellha wkoll tagħmel il-fondi disponibbli</v>
      </c>
    </row>
    <row r="8641" ht="15.75" customHeight="1">
      <c r="A8641" s="2" t="s">
        <v>8641</v>
      </c>
      <c r="B8641" s="2" t="str">
        <f>IFERROR(__xludf.DUMMYFUNCTION("GOOGLETRANSLATE(A8641, ""en"", ""mt"")"),"fi pressjonijiet parzjali elevati")</f>
        <v>fi pressjonijiet parzjali elevati</v>
      </c>
    </row>
    <row r="8642" ht="15.75" customHeight="1">
      <c r="A8642" s="2" t="s">
        <v>8642</v>
      </c>
      <c r="B8642" s="2" t="str">
        <f>IFERROR(__xludf.DUMMYFUNCTION("GOOGLETRANSLATE(A8642, ""en"", ""mt"")"),"Speċi reattivi ta 'ossiġnu, bħal jone superoxide (O−
2) u perossidu tal-idroġenu (h
2o
2), huma prodotti sekondarji perikolużi ta 'użu ta' ossiġnu f'organiżmi. Partijiet mis-sistema immunitarja ta 'organiżmi ogħla joħolqu perossidu, superossidu u ossiġnu "&amp;"singlet biex jeqirdu mikrobi li jinvadu. Speċi reattivi ta 'ossiġnu għandhom ukoll rwol importanti fir-rispons ipersensittiv ta' pjanti kontra attakk ta 'patoġeni. L-ossiġnu huwa tossiku għal organiżmi anerobiċi obbligatament, li kienu l-forma dominanti t"&amp;"al-ħajja bikrija fid-dinja sakemm o
2 bdew jakkumulaw fl-atmosfera madwar 2.5 biljun sena ilu matul l-avveniment tal-ossiġenazzjoni l-kbira, madwar biljun sena wara l-ewwel dehra ta 'dawn l-organiżmi.")</f>
        <v>Speċi reattivi ta 'ossiġnu, bħal jone superoxide (O−
2) u perossidu tal-idroġenu (h
2o
2), huma prodotti sekondarji perikolużi ta 'użu ta' ossiġnu f'organiżmi. Partijiet mis-sistema immunitarja ta 'organiżmi ogħla joħolqu perossidu, superossidu u ossiġnu singlet biex jeqirdu mikrobi li jinvadu. Speċi reattivi ta 'ossiġnu għandhom ukoll rwol importanti fir-rispons ipersensittiv ta' pjanti kontra attakk ta 'patoġeni. L-ossiġnu huwa tossiku għal organiżmi anerobiċi obbligatament, li kienu l-forma dominanti tal-ħajja bikrija fid-dinja sakemm o
2 bdew jakkumulaw fl-atmosfera madwar 2.5 biljun sena ilu matul l-avveniment tal-ossiġenazzjoni l-kbira, madwar biljun sena wara l-ewwel dehra ta 'dawn l-organiżmi.</v>
      </c>
    </row>
    <row r="8643" ht="15.75" customHeight="1">
      <c r="A8643" s="2" t="s">
        <v>8643</v>
      </c>
      <c r="B8643" s="2" t="str">
        <f>IFERROR(__xludf.DUMMYFUNCTION("GOOGLETRANSLATE(A8643, ""en"", ""mt"")"),"Artisti Pollakki u Internazzjonali")</f>
        <v>Artisti Pollakki u Internazzjonali</v>
      </c>
    </row>
    <row r="8644" ht="15.75" customHeight="1">
      <c r="A8644" s="2" t="s">
        <v>8644</v>
      </c>
      <c r="B8644" s="2" t="str">
        <f>IFERROR(__xludf.DUMMYFUNCTION("GOOGLETRANSLATE(A8644, ""en"", ""mt"")"),"L-ispeċjalitajiet 2008-2010")</f>
        <v>L-ispeċjalitajiet 2008-2010</v>
      </c>
    </row>
    <row r="8645" ht="15.75" customHeight="1">
      <c r="A8645" s="2" t="s">
        <v>8645</v>
      </c>
      <c r="B8645" s="2" t="str">
        <f>IFERROR(__xludf.DUMMYFUNCTION("GOOGLETRANSLATE(A8645, ""en"", ""mt"")"),"1493-1500,")</f>
        <v>1493-1500,</v>
      </c>
    </row>
    <row r="8646" ht="15.75" customHeight="1">
      <c r="A8646" s="2" t="s">
        <v>8646</v>
      </c>
      <c r="B8646" s="2" t="str">
        <f>IFERROR(__xludf.DUMMYFUNCTION("GOOGLETRANSLATE(A8646, ""en"", ""mt"")"),"Żieda fil-karozzi importati")</f>
        <v>Żieda fil-karozzi importati</v>
      </c>
    </row>
    <row r="8647" ht="15.75" customHeight="1">
      <c r="A8647" s="2" t="s">
        <v>8647</v>
      </c>
      <c r="B8647" s="2" t="str">
        <f>IFERROR(__xludf.DUMMYFUNCTION("GOOGLETRANSLATE(A8647, ""en"", ""mt"")"),"X'inhuma t-theddid ewlieni li qed tiffaċċja l-Amazon Rainforest fis-seklu attwali?")</f>
        <v>X'inhuma t-theddid ewlieni li qed tiffaċċja l-Amazon Rainforest fis-seklu attwali?</v>
      </c>
    </row>
    <row r="8648" ht="15.75" customHeight="1">
      <c r="A8648" s="2" t="s">
        <v>8648</v>
      </c>
      <c r="B8648" s="2" t="str">
        <f>IFERROR(__xludf.DUMMYFUNCTION("GOOGLETRANSLATE(A8648, ""en"", ""mt"")"),"Kumplessi ta 'proteina relattivament kbar")</f>
        <v>Kumplessi ta 'proteina relattivament kbar</v>
      </c>
    </row>
    <row r="8649" ht="15.75" customHeight="1">
      <c r="A8649" s="2" t="s">
        <v>8649</v>
      </c>
      <c r="B8649" s="2" t="str">
        <f>IFERROR(__xludf.DUMMYFUNCTION("GOOGLETRANSLATE(A8649, ""en"", ""mt"")"),"X'jista 'spiss jiġi mbassar minn qabel?")</f>
        <v>X'jista 'spiss jiġi mbassar minn qabel?</v>
      </c>
    </row>
    <row r="8650" ht="15.75" customHeight="1">
      <c r="A8650" s="2" t="s">
        <v>8650</v>
      </c>
      <c r="B8650" s="2" t="str">
        <f>IFERROR(__xludf.DUMMYFUNCTION("GOOGLETRANSLATE(A8650, ""en"", ""mt"")"),"Ħafna nies tal-post u turisti jiffrekwentaw il-kosta tan-Nofsinhar ta 'California għall-bajjiet popolari tagħha, u l-belt tad-deżert ta' Palm Springs hija popolari għall-sensazzjoni ta 'resort tagħha u l-ispazji miftuħa fil-viċin.")</f>
        <v>Ħafna nies tal-post u turisti jiffrekwentaw il-kosta tan-Nofsinhar ta 'California għall-bajjiet popolari tagħha, u l-belt tad-deżert ta' Palm Springs hija popolari għall-sensazzjoni ta 'resort tagħha u l-ispazji miftuħa fil-viċin.</v>
      </c>
    </row>
    <row r="8651" ht="15.75" customHeight="1">
      <c r="A8651" s="2" t="s">
        <v>8651</v>
      </c>
      <c r="B8651" s="2" t="str">
        <f>IFERROR(__xludf.DUMMYFUNCTION("GOOGLETRANSLATE(A8651, ""en"", ""mt"")"),"Min jgħidu l-biċċa l-kbira tal-ġurisdizzjonijiet jistgħu jagħtu drogi skedati lill-pubbliku?")</f>
        <v>Min jgħidu l-biċċa l-kbira tal-ġurisdizzjonijiet jistgħu jagħtu drogi skedati lill-pubbliku?</v>
      </c>
    </row>
    <row r="8652" ht="15.75" customHeight="1">
      <c r="A8652" s="2" t="s">
        <v>8652</v>
      </c>
      <c r="B8652" s="2" t="str">
        <f>IFERROR(__xludf.DUMMYFUNCTION("GOOGLETRANSLATE(A8652, ""en"", ""mt"")"),"Liema serje oħra msemmija rritornat bi tkomplija tal-plott?")</f>
        <v>Liema serje oħra msemmija rritornat bi tkomplija tal-plott?</v>
      </c>
    </row>
    <row r="8653" ht="15.75" customHeight="1">
      <c r="A8653" s="2" t="s">
        <v>8653</v>
      </c>
      <c r="B8653" s="2" t="str">
        <f>IFERROR(__xludf.DUMMYFUNCTION("GOOGLETRANSLATE(A8653, ""en"", ""mt"")"),"Ġie ddikjarat li t-trasmissjoni tal-ewwel episodju ġiet ittardjata b'għaxar minuti minħabba kopertura estiża tal-aħbarijiet tal-qtil tal-President Amerikan John F. Kennedy il-ġurnata ta 'qabel; Billi fil-fatt ħareġ wara dewmien ta 'tmenin sekonda. Il-BBC "&amp;"jemmnu li ħafna telespettaturi falla din l-introduzzjoni għal serje ġdida minħabba l-kopertura tal-qtil, kif ukoll serje ta 'blackouts tal-enerġija madwar il-pajjiż, u jerġgħu jxandruha fit-30 ta' Novembru 1963, eżatt qabel l-episodju tnejn.")</f>
        <v>Ġie ddikjarat li t-trasmissjoni tal-ewwel episodju ġiet ittardjata b'għaxar minuti minħabba kopertura estiża tal-aħbarijiet tal-qtil tal-President Amerikan John F. Kennedy il-ġurnata ta 'qabel; Billi fil-fatt ħareġ wara dewmien ta 'tmenin sekonda. Il-BBC jemmnu li ħafna telespettaturi falla din l-introduzzjoni għal serje ġdida minħabba l-kopertura tal-qtil, kif ukoll serje ta 'blackouts tal-enerġija madwar il-pajjiż, u jerġgħu jxandruha fit-30 ta' Novembru 1963, eżatt qabel l-episodju tnejn.</v>
      </c>
    </row>
    <row r="8654" ht="15.75" customHeight="1">
      <c r="A8654" s="2" t="s">
        <v>8654</v>
      </c>
      <c r="B8654" s="2" t="str">
        <f>IFERROR(__xludf.DUMMYFUNCTION("GOOGLETRANSLATE(A8654, ""en"", ""mt"")"),"Mill-1294 sal-1307")</f>
        <v>Mill-1294 sal-1307</v>
      </c>
    </row>
    <row r="8655" ht="15.75" customHeight="1">
      <c r="A8655" s="2" t="s">
        <v>8655</v>
      </c>
      <c r="B8655" s="2" t="str">
        <f>IFERROR(__xludf.DUMMYFUNCTION("GOOGLETRANSLATE(A8655, ""en"", ""mt"")"),"suspettat li huwa inugwali")</f>
        <v>suspettat li huwa inugwali</v>
      </c>
    </row>
    <row r="8656" ht="15.75" customHeight="1">
      <c r="A8656" s="2" t="s">
        <v>8656</v>
      </c>
      <c r="B8656" s="2" t="str">
        <f>IFERROR(__xludf.DUMMYFUNCTION("GOOGLETRANSLATE(A8656, ""en"", ""mt"")"),"priża planktonika")</f>
        <v>priża planktonika</v>
      </c>
    </row>
    <row r="8657" ht="15.75" customHeight="1">
      <c r="A8657" s="2" t="s">
        <v>8657</v>
      </c>
      <c r="B8657" s="2" t="str">
        <f>IFERROR(__xludf.DUMMYFUNCTION("GOOGLETRANSLATE(A8657, ""en"", ""mt"")"),"Konferenza Ġenerali tal-1996")</f>
        <v>Konferenza Ġenerali tal-1996</v>
      </c>
    </row>
    <row r="8658" ht="15.75" customHeight="1">
      <c r="A8658" s="2" t="s">
        <v>8658</v>
      </c>
      <c r="B8658" s="2" t="str">
        <f>IFERROR(__xludf.DUMMYFUNCTION("GOOGLETRANSLATE(A8658, ""en"", ""mt"")"),"Li tivvjaġġa lejn in-nofsinhar fuq l-Interstate 5, id-distakk ewlieni għall-urbanizzazzjoni kontinwa huwa Camp Pendleton. Il-bliet u l-komunitajiet tul l-Interstate 15 u l-Interstate 215 huma daqshekk relatati li Temecula u Murrieta għandhom konnessjoni d"&amp;"aqshekk maż-żona metropolitana ta 'San Diego bħalma jagħmlu ma' l-Imperu Intern. Fil-Lvant, l-Uffiċċju taċ-Ċensiment ta 'l-Istati Uniti jqis iż-żoni tal-Kontea ta' San Bernardino u Riverside, iż-żona ta 'Riverside-san Bernardino bħala żona metropolitana s"&amp;"eparata mill-Kontea ta' Los Angeles. Filwaqt li ħafna jivvjaġġaw lejn il-kontej L.A. u Orange, hemm xi differenzi fl-iżvilupp, peress li l-biċċa l-kbira tal-kontej ta 'San Bernardino u Riverside (il-porzjonijiet mhux deżerta) ġew żviluppati fis-snin 1980 "&amp;"u disgħinijiet. Exurbs li għadhom kemm ġew żviluppati ffurmati fil-Wied ta 'Antelope fit-tramuntana ta' Los Angeles, il-Wied ta 'Victor u l-Wied Coachella mal-Wied Imperjali. Ukoll, it-tkabbir tal-popolazzjoni kien għoli fiż-żoni tal-Kontea ta 'Bakersfiel"&amp;"d-Kern, Santa Maria u San Luis Obispo.")</f>
        <v>Li tivvjaġġa lejn in-nofsinhar fuq l-Interstate 5, id-distakk ewlieni għall-urbanizzazzjoni kontinwa huwa Camp Pendleton. Il-bliet u l-komunitajiet tul l-Interstate 15 u l-Interstate 215 huma daqshekk relatati li Temecula u Murrieta għandhom konnessjoni daqshekk maż-żona metropolitana ta 'San Diego bħalma jagħmlu ma' l-Imperu Intern. Fil-Lvant, l-Uffiċċju taċ-Ċensiment ta 'l-Istati Uniti jqis iż-żoni tal-Kontea ta' San Bernardino u Riverside, iż-żona ta 'Riverside-san Bernardino bħala żona metropolitana separata mill-Kontea ta' Los Angeles. Filwaqt li ħafna jivvjaġġaw lejn il-kontej L.A. u Orange, hemm xi differenzi fl-iżvilupp, peress li l-biċċa l-kbira tal-kontej ta 'San Bernardino u Riverside (il-porzjonijiet mhux deżerta) ġew żviluppati fis-snin 1980 u disgħinijiet. Exurbs li għadhom kemm ġew żviluppati ffurmati fil-Wied ta 'Antelope fit-tramuntana ta' Los Angeles, il-Wied ta 'Victor u l-Wied Coachella mal-Wied Imperjali. Ukoll, it-tkabbir tal-popolazzjoni kien għoli fiż-żoni tal-Kontea ta 'Bakersfield-Kern, Santa Maria u San Luis Obispo.</v>
      </c>
    </row>
    <row r="8659" ht="15.75" customHeight="1">
      <c r="A8659" s="2" t="s">
        <v>8659</v>
      </c>
      <c r="B8659" s="2" t="str">
        <f>IFERROR(__xludf.DUMMYFUNCTION("GOOGLETRANSLATE(A8659, ""en"", ""mt"")"),"Konsorzju tan-Netwerking tal-Kompjuter tal-Istati Uniti mhux għall-profitt")</f>
        <v>Konsorzju tan-Netwerking tal-Kompjuter tal-Istati Uniti mhux għall-profitt</v>
      </c>
    </row>
    <row r="8660" ht="15.75" customHeight="1">
      <c r="A8660" s="2" t="s">
        <v>8660</v>
      </c>
      <c r="B8660" s="2" t="str">
        <f>IFERROR(__xludf.DUMMYFUNCTION("GOOGLETRANSLATE(A8660, ""en"", ""mt"")"),"Kif hija rranġata l-biċċa l-kbira tal-pjanti tal-pjanti?")</f>
        <v>Kif hija rranġata l-biċċa l-kbira tal-pjanti tal-pjanti?</v>
      </c>
    </row>
    <row r="8661" ht="15.75" customHeight="1">
      <c r="A8661" s="2" t="s">
        <v>8661</v>
      </c>
      <c r="B8661" s="2" t="str">
        <f>IFERROR(__xludf.DUMMYFUNCTION("GOOGLETRANSLATE(A8661, ""en"", ""mt"")"),"6 piedi 2 pulzieri")</f>
        <v>6 piedi 2 pulzieri</v>
      </c>
    </row>
    <row r="8662" ht="15.75" customHeight="1">
      <c r="A8662" s="2" t="s">
        <v>8662</v>
      </c>
      <c r="B8662" s="2" t="str">
        <f>IFERROR(__xludf.DUMMYFUNCTION("GOOGLETRANSLATE(A8662, ""en"", ""mt"")"),"Ir-reġjun huwa dar għal madwar 2.5 miljun speċi ta 'insetti, għexieren ta' eluf ta 'pjanti, u madwar 2,000 għasafar u mammiferi. Sal-lum, mill-inqas 40,000 speċi ta ’pjanti, 2,200 ħut, 1,294 għasafar, 427 mammiferi, 428 anfibji, u 378 rettili ġew klassifi"&amp;"kati xjentifikament fir-reġjun. Waħda minn kull ħamsa mill-ispeċi kollha tal-għasafar fid-dinja tgħix fil-foresti tropikali tal-Amażonja, u waħda minn kull ħamsa mill-ispeċi tal-ħut jgħixu fix-xmajjar u n-nixxigħat tal-Amażonja. Ix-xjentisti ddeskrivew be"&amp;"jn 96,660 u 128,843 speċi invertebrati fil-Brażil biss.")</f>
        <v>Ir-reġjun huwa dar għal madwar 2.5 miljun speċi ta 'insetti, għexieren ta' eluf ta 'pjanti, u madwar 2,000 għasafar u mammiferi. Sal-lum, mill-inqas 40,000 speċi ta ’pjanti, 2,200 ħut, 1,294 għasafar, 427 mammiferi, 428 anfibji, u 378 rettili ġew klassifikati xjentifikament fir-reġjun. Waħda minn kull ħamsa mill-ispeċi kollha tal-għasafar fid-dinja tgħix fil-foresti tropikali tal-Amażonja, u waħda minn kull ħamsa mill-ispeċi tal-ħut jgħixu fix-xmajjar u n-nixxigħat tal-Amażonja. Ix-xjentisti ddeskrivew bejn 96,660 u 128,843 speċi invertebrati fil-Brażil biss.</v>
      </c>
    </row>
    <row r="8663" ht="15.75" customHeight="1">
      <c r="A8663" s="2" t="s">
        <v>8663</v>
      </c>
      <c r="B8663" s="2" t="str">
        <f>IFERROR(__xludf.DUMMYFUNCTION("GOOGLETRANSLATE(A8663, ""en"", ""mt"")"),"Mill-2012, skejjel privati ​​ta 'kwalità fl-Istati Uniti akkużaw tagħlim sostanzjali, qrib $ 40,000 kull sena għall-iskejjel ta' kuljum fi New York City, u kważi $ 50,000 għall-iskejjel tal-imbark. Madankollu, it-tagħlim ma jkoprix l-ispejjeż operattivi, "&amp;"partikolarment fl-iskejjel tal-imbark. L-iskejjel ewlenin bħall-Iskola Groton kellhom għotjiet sostanzjali li jmexxu mijiet ta 'miljuni ta' dollari supplimentati mill-ġbir ta 'fondi. L-iskejjel imbarkati b’reputazzjoni għall-kwalità fl-Istati Uniti għandh"&amp;"om korp ta ’studenti miġbud minn madwar il-pajjiż, tabilħaqq il-globu, u lista ta’ applikanti li jaqbżu bil-bosta l-kapaċità tagħhom.")</f>
        <v>Mill-2012, skejjel privati ​​ta 'kwalità fl-Istati Uniti akkużaw tagħlim sostanzjali, qrib $ 40,000 kull sena għall-iskejjel ta' kuljum fi New York City, u kważi $ 50,000 għall-iskejjel tal-imbark. Madankollu, it-tagħlim ma jkoprix l-ispejjeż operattivi, partikolarment fl-iskejjel tal-imbark. L-iskejjel ewlenin bħall-Iskola Groton kellhom għotjiet sostanzjali li jmexxu mijiet ta 'miljuni ta' dollari supplimentati mill-ġbir ta 'fondi. L-iskejjel imbarkati b’reputazzjoni għall-kwalità fl-Istati Uniti għandhom korp ta ’studenti miġbud minn madwar il-pajjiż, tabilħaqq il-globu, u lista ta’ applikanti li jaqbżu bil-bosta l-kapaċità tagħhom.</v>
      </c>
    </row>
    <row r="8664" ht="15.75" customHeight="1">
      <c r="A8664" s="2" t="s">
        <v>8664</v>
      </c>
      <c r="B8664" s="2" t="str">
        <f>IFERROR(__xludf.DUMMYFUNCTION("GOOGLETRANSLATE(A8664, ""en"", ""mt"")"),"Għaxar darbiet il-piż tagħhom stess")</f>
        <v>Għaxar darbiet il-piż tagħhom stess</v>
      </c>
    </row>
    <row r="8665" ht="15.75" customHeight="1">
      <c r="A8665" s="2" t="s">
        <v>8665</v>
      </c>
      <c r="B8665" s="2" t="str">
        <f>IFERROR(__xludf.DUMMYFUNCTION("GOOGLETRANSLATE(A8665, ""en"", ""mt"")"),"tifforma sħubijiet kummerċjali ma 'tobba")</f>
        <v>tifforma sħubijiet kummerċjali ma 'tobba</v>
      </c>
    </row>
    <row r="8666" ht="15.75" customHeight="1">
      <c r="A8666" s="2" t="s">
        <v>8666</v>
      </c>
      <c r="B8666" s="2" t="str">
        <f>IFERROR(__xludf.DUMMYFUNCTION("GOOGLETRANSLATE(A8666, ""en"", ""mt"")"),"Fejn tgħallem Tesla bil-Gospika?")</f>
        <v>Fejn tgħallem Tesla bil-Gospika?</v>
      </c>
    </row>
    <row r="8667" ht="15.75" customHeight="1">
      <c r="A8667" s="2" t="s">
        <v>8667</v>
      </c>
      <c r="B8667" s="2" t="str">
        <f>IFERROR(__xludf.DUMMYFUNCTION("GOOGLETRANSLATE(A8667, ""en"", ""mt"")"),"Drittijiet ta 'tagħlim baxxi ħafna")</f>
        <v>Drittijiet ta 'tagħlim baxxi ħafna</v>
      </c>
    </row>
    <row r="8668" ht="15.75" customHeight="1">
      <c r="A8668" s="2" t="s">
        <v>8668</v>
      </c>
      <c r="B8668" s="2" t="str">
        <f>IFERROR(__xludf.DUMMYFUNCTION("GOOGLETRANSLATE(A8668, ""en"", ""mt"")"),"Irrappreżentat tajjeb fil-kollezzjoni hemm Meissen Porcelain, mill-ewwel fabbrika fl-Ewropa biex tiskopri l-metodu Ċiniż biex tagħmel il-porċellana. Fost l-ifjen eżempji hemm il-Meissen Vulture mill-1731 u s-Servizz tal-Pranzu Möllendorff, iddisinjat fl-1"&amp;"762 minn Frederick II il-Kbir. Iċ-ċeramika mill-manifattura Nationale de Sèvres huma estensivi, speċjalment mis-sekli 18 u 19. Il-kollezzjoni tal-porċellana Ingliża tas-seklu 18 hija l-akbar u l-ifjen fid-dinja. Eżempji minn kull fabbrika huma rrappreżent"&amp;"ati, il-kollezzjonijiet tal-porċellana ta 'Chelsea u tal-porċellana ta' Worcester huma speċjalment tajbin. Il-fabbriki Ingliżi ewlenin kollha tas-seklu 19 huma rrappreżentati wkoll. Spinta kbira għall-kollezzjonijiet kienet il-bequest tat-tlugħ magħmul fl"&amp;"-1909, li għajjat ​​l-istokk tal-mużew taċ-ċeramika Ċiniża u Ġappuniża. Dan il-bequest jifforma parti mill-ifjen kollezzjoni ta 'fuħħar u porċellana tal-Asja tal-Lvant fid-dinja, inkluż Kakiemon Ware.")</f>
        <v>Irrappreżentat tajjeb fil-kollezzjoni hemm Meissen Porcelain, mill-ewwel fabbrika fl-Ewropa biex tiskopri l-metodu Ċiniż biex tagħmel il-porċellana. Fost l-ifjen eżempji hemm il-Meissen Vulture mill-1731 u s-Servizz tal-Pranzu Möllendorff, iddisinjat fl-1762 minn Frederick II il-Kbir. Iċ-ċeramika mill-manifattura Nationale de Sèvres huma estensivi, speċjalment mis-sekli 18 u 19. Il-kollezzjoni tal-porċellana Ingliża tas-seklu 18 hija l-akbar u l-ifjen fid-dinja. Eżempji minn kull fabbrika huma rrappreżentati, il-kollezzjonijiet tal-porċellana ta 'Chelsea u tal-porċellana ta' Worcester huma speċjalment tajbin. Il-fabbriki Ingliżi ewlenin kollha tas-seklu 19 huma rrappreżentati wkoll. Spinta kbira għall-kollezzjonijiet kienet il-bequest tat-tlugħ magħmul fl-1909, li għajjat ​​l-istokk tal-mużew taċ-ċeramika Ċiniża u Ġappuniża. Dan il-bequest jifforma parti mill-ifjen kollezzjoni ta 'fuħħar u porċellana tal-Asja tal-Lvant fid-dinja, inkluż Kakiemon Ware.</v>
      </c>
    </row>
    <row r="8669" ht="15.75" customHeight="1">
      <c r="A8669" s="2" t="s">
        <v>8669</v>
      </c>
      <c r="B8669" s="2" t="str">
        <f>IFERROR(__xludf.DUMMYFUNCTION("GOOGLETRANSLATE(A8669, ""en"", ""mt"")"),"Fl-aħħar wasslet it-teorija elettromanjetika?")</f>
        <v>Fl-aħħar wasslet it-teorija elettromanjetika?</v>
      </c>
    </row>
    <row r="8670" ht="15.75" customHeight="1">
      <c r="A8670" s="2" t="s">
        <v>8670</v>
      </c>
      <c r="B8670" s="2" t="str">
        <f>IFERROR(__xludf.DUMMYFUNCTION("GOOGLETRANSLATE(A8670, ""en"", ""mt"")"),"Assoċjazzjoni Internazzjonali ta 'Skejjel, Kulleġġi u Universitajiet relatati mal-Metodisti")</f>
        <v>Assoċjazzjoni Internazzjonali ta 'Skejjel, Kulleġġi u Universitajiet relatati mal-Metodisti</v>
      </c>
    </row>
    <row r="8671" ht="15.75" customHeight="1">
      <c r="A8671" s="2" t="s">
        <v>8671</v>
      </c>
      <c r="B8671" s="2" t="str">
        <f>IFERROR(__xludf.DUMMYFUNCTION("GOOGLETRANSLATE(A8671, ""en"", ""mt"")"),"Erba 'rġiel li jattendu l-Kulleġġ ta' Harvard għal kull mara li tistudja f'Radcliffe")</f>
        <v>Erba 'rġiel li jattendu l-Kulleġġ ta' Harvard għal kull mara li tistudja f'Radcliffe</v>
      </c>
    </row>
    <row r="8672" ht="15.75" customHeight="1">
      <c r="A8672" s="2" t="s">
        <v>8672</v>
      </c>
      <c r="B8672" s="2" t="str">
        <f>IFERROR(__xludf.DUMMYFUNCTION("GOOGLETRANSLATE(A8672, ""en"", ""mt"")"),"Fl-Istati Uniti speċjalment, diversi każijiet ta 'profil għoli bħal Debra Lafave, Pamela Rogers, u Mary Kay Letourneau kkawżaw żieda fl-iskrutinju fuq kondotta ħażina tal-għalliema.")</f>
        <v>Fl-Istati Uniti speċjalment, diversi każijiet ta 'profil għoli bħal Debra Lafave, Pamela Rogers, u Mary Kay Letourneau kkawżaw żieda fl-iskrutinju fuq kondotta ħażina tal-għalliema.</v>
      </c>
    </row>
    <row r="8673" ht="15.75" customHeight="1">
      <c r="A8673" s="2" t="s">
        <v>8673</v>
      </c>
      <c r="B8673" s="2" t="str">
        <f>IFERROR(__xludf.DUMMYFUNCTION("GOOGLETRANSLATE(A8673, ""en"", ""mt"")"),"Riħa stramba")</f>
        <v>Riħa stramba</v>
      </c>
    </row>
    <row r="8674" ht="15.75" customHeight="1">
      <c r="A8674" s="2" t="s">
        <v>8674</v>
      </c>
      <c r="B8674" s="2" t="str">
        <f>IFERROR(__xludf.DUMMYFUNCTION("GOOGLETRANSLATE(A8674, ""en"", ""mt"")"),"Liema kwistjoni kienet qed ibati l-moviment tad-diżubbidjenza ċivili.")</f>
        <v>Liema kwistjoni kienet qed ibati l-moviment tad-diżubbidjenza ċivili.</v>
      </c>
    </row>
    <row r="8675" ht="15.75" customHeight="1">
      <c r="A8675" s="2" t="s">
        <v>8675</v>
      </c>
      <c r="B8675" s="2" t="str">
        <f>IFERROR(__xludf.DUMMYFUNCTION("GOOGLETRANSLATE(A8675, ""en"", ""mt"")"),"X'kien ivvota Newcastlegateshead fl-2006?")</f>
        <v>X'kien ivvota Newcastlegateshead fl-2006?</v>
      </c>
    </row>
    <row r="8676" ht="15.75" customHeight="1">
      <c r="A8676" s="2" t="s">
        <v>8676</v>
      </c>
      <c r="B8676" s="2" t="str">
        <f>IFERROR(__xludf.DUMMYFUNCTION("GOOGLETRANSLATE(A8676, ""en"", ""mt"")"),"litosfera")</f>
        <v>litosfera</v>
      </c>
    </row>
    <row r="8677" ht="15.75" customHeight="1">
      <c r="A8677" s="2" t="s">
        <v>8677</v>
      </c>
      <c r="B8677" s="2" t="str">
        <f>IFERROR(__xludf.DUMMYFUNCTION("GOOGLETRANSLATE(A8677, ""en"", ""mt"")"),"X'tip ta 'antenna ntużat għall-komunikazzjoni fuq it-titjiriet Lunar?")</f>
        <v>X'tip ta 'antenna ntużat għall-komunikazzjoni fuq it-titjiriet Lunar?</v>
      </c>
    </row>
    <row r="8678" ht="15.75" customHeight="1">
      <c r="A8678" s="2" t="s">
        <v>8678</v>
      </c>
      <c r="B8678" s="2" t="str">
        <f>IFERROR(__xludf.DUMMYFUNCTION("GOOGLETRANSLATE(A8678, ""en"", ""mt"")"),"Il-Partit Laburista Awstraljan taċ-Ċentru-Xellug (ALP), il-Partit Liberali taċ-Ċentru-Right tal-Awstralja, il-Partit Nazzjonali bbażat fuq l-Awstralja bbażat fuq rurali, u l-Ambjentalisti tal-Ħodor Awstraljani huma l-partiti politiċi ewlenin tar-Rabat. Tr"&amp;"adizzjonalment, ix-xogħol huwa l-iktar qawwi fil-klassi tal-ħaddiema ta 'Melbourne fil-punent u s-subborgi tat-tramuntana, u l-ibliet reġjonali ta' Ballarat, Bendigo u Geelong. L-appoġġ ewlieni tal-Liberali jinsab fis-subborgi tal-Lvant u ta 'barra l-akta"&amp;"r sinjuri ta' Melbourne, u f'xi ċentri rurali u reġjonali. Iċ-ċittadini huma l-aktar b'saħħithom fiż-żoni reġjonali rurali tal-Majjistral u tal-Lvant tar-Rabat. Il-Ħodor, li rebħu l-ewwel siġġijiet tad-dar t'isfel tagħhom fl-2014, huma l-aktar b'saħħithom"&amp;" f'Melbourne ta 'ġewwa.")</f>
        <v>Il-Partit Laburista Awstraljan taċ-Ċentru-Xellug (ALP), il-Partit Liberali taċ-Ċentru-Right tal-Awstralja, il-Partit Nazzjonali bbażat fuq l-Awstralja bbażat fuq rurali, u l-Ambjentalisti tal-Ħodor Awstraljani huma l-partiti politiċi ewlenin tar-Rabat. Tradizzjonalment, ix-xogħol huwa l-iktar qawwi fil-klassi tal-ħaddiema ta 'Melbourne fil-punent u s-subborgi tat-tramuntana, u l-ibliet reġjonali ta' Ballarat, Bendigo u Geelong. L-appoġġ ewlieni tal-Liberali jinsab fis-subborgi tal-Lvant u ta 'barra l-aktar sinjuri ta' Melbourne, u f'xi ċentri rurali u reġjonali. Iċ-ċittadini huma l-aktar b'saħħithom fiż-żoni reġjonali rurali tal-Majjistral u tal-Lvant tar-Rabat. Il-Ħodor, li rebħu l-ewwel siġġijiet tad-dar t'isfel tagħhom fl-2014, huma l-aktar b'saħħithom f'Melbourne ta 'ġewwa.</v>
      </c>
    </row>
    <row r="8679" ht="15.75" customHeight="1">
      <c r="A8679" s="2" t="s">
        <v>8679</v>
      </c>
      <c r="B8679" s="2" t="str">
        <f>IFERROR(__xludf.DUMMYFUNCTION("GOOGLETRANSLATE(A8679, ""en"", ""mt"")"),"Ipprojbixxa t-tkabbir tal-kafè, introduċa taxxa għarix, u l-art mingħajr art ingħataw inqas u inqas art")</f>
        <v>Ipprojbixxa t-tkabbir tal-kafè, introduċa taxxa għarix, u l-art mingħajr art ingħataw inqas u inqas art</v>
      </c>
    </row>
    <row r="8680" ht="15.75" customHeight="1">
      <c r="A8680" s="2" t="s">
        <v>8680</v>
      </c>
      <c r="B8680" s="2" t="str">
        <f>IFERROR(__xludf.DUMMYFUNCTION("GOOGLETRANSLATE(A8680, ""en"", ""mt"")"),"Iċ-Ċina tan-Nofsinhar issostni u ġġieldet għall-aħħar")</f>
        <v>Iċ-Ċina tan-Nofsinhar issostni u ġġieldet għall-aħħar</v>
      </c>
    </row>
    <row r="8681" ht="15.75" customHeight="1">
      <c r="A8681" s="2" t="s">
        <v>8681</v>
      </c>
      <c r="B8681" s="2" t="str">
        <f>IFERROR(__xludf.DUMMYFUNCTION("GOOGLETRANSLATE(A8681, ""en"", ""mt"")"),"21 ta 'Mejju, 2013")</f>
        <v>21 ta 'Mejju, 2013</v>
      </c>
    </row>
    <row r="8682" ht="15.75" customHeight="1">
      <c r="A8682" s="2" t="s">
        <v>8682</v>
      </c>
      <c r="B8682" s="2" t="str">
        <f>IFERROR(__xludf.DUMMYFUNCTION("GOOGLETRANSLATE(A8682, ""en"", ""mt"")"),"Aqsam biex tifforma pirenojdi ġodda, jew tiġi prodotta ""de novo""")</f>
        <v>Aqsam biex tifforma pirenojdi ġodda, jew tiġi prodotta "de novo"</v>
      </c>
    </row>
    <row r="8683" ht="15.75" customHeight="1">
      <c r="A8683" s="2" t="s">
        <v>8683</v>
      </c>
      <c r="B8683" s="2" t="str">
        <f>IFERROR(__xludf.DUMMYFUNCTION("GOOGLETRANSLATE(A8683, ""en"", ""mt"")"),"Xenoliti")</f>
        <v>Xenoliti</v>
      </c>
    </row>
    <row r="8684" ht="15.75" customHeight="1">
      <c r="A8684" s="2" t="s">
        <v>8684</v>
      </c>
      <c r="B8684" s="2" t="str">
        <f>IFERROR(__xludf.DUMMYFUNCTION("GOOGLETRANSLATE(A8684, ""en"", ""mt"")"),"""Bairn"" u ""Hyem"", li jfissru ""tifel"" u ""dar"", rispettivament, huma eżempji ta 'kliem ta' Geordie b'oriġini fl-Iskandinavja; Barn u Hjem huma l-kliem moderni korrispondenti tan-Norveġja u Daniż. Xi kliem użat fid-djalett ta 'Geordie jintuża x'imkie"&amp;"n ieħor fir-Renju Unit tat-Tramuntana. Il-kliem ""bonny"" (li jfisser ""pjuttost""), ""howay"" (""come on""), ""stot"" (""bounce"") u ""hadaway"" (""go away"" jew ""int qed tiċċajta""), kollha jidhru li jintuża fl-Iskoċċiżi; ""Aye"" (""Iva"") u ""Nowt"" ("&amp;"IPA: // Naʊt /, Rhymes ma 'Out, ""Xejn"") jintużaw x'imkien ieħor fit-Tramuntana tal-Ingilterra. Ħafna kliem, madankollu, jidhru li jintużaw esklussivament fi Newcastle u fiż-żona tal-madwar, bħal ""canny"" (kelma versatili li tfisser ""tajjeb"", ""sabiħ"&amp;""" jew ""ħafna""), ""hacky"" (""maħmuġ""), "" Netty ""("" toilet ""),"" Hoy ""("" tarmi "", mill-Gooien Olandiż, permezz tal-West Frisjan),"" Hockle ""("" Spit "").")</f>
        <v>"Bairn" u "Hyem", li jfissru "tifel" u "dar", rispettivament, huma eżempji ta 'kliem ta' Geordie b'oriġini fl-Iskandinavja; Barn u Hjem huma l-kliem moderni korrispondenti tan-Norveġja u Daniż. Xi kliem użat fid-djalett ta 'Geordie jintuża x'imkien ieħor fir-Renju Unit tat-Tramuntana. Il-kliem "bonny" (li jfisser "pjuttost"), "howay" ("come on"), "stot" ("bounce") u "hadaway" ("go away" jew "int qed tiċċajta"), kollha jidhru li jintuża fl-Iskoċċiżi; "Aye" ("Iva") u "Nowt" (IPA: // Naʊt /, Rhymes ma 'Out, "Xejn") jintużaw x'imkien ieħor fit-Tramuntana tal-Ingilterra. Ħafna kliem, madankollu, jidhru li jintużaw esklussivament fi Newcastle u fiż-żona tal-madwar, bħal "canny" (kelma versatili li tfisser "tajjeb", "sabiħ" jew "ħafna"), "hacky" ("maħmuġ"), " Netty "(" toilet ")," Hoy "(" tarmi ", mill-Gooien Olandiż, permezz tal-West Frisjan)," Hockle "(" Spit ").</v>
      </c>
    </row>
    <row r="8685" ht="15.75" customHeight="1">
      <c r="A8685" s="2" t="s">
        <v>8685</v>
      </c>
      <c r="B8685" s="2" t="str">
        <f>IFERROR(__xludf.DUMMYFUNCTION("GOOGLETRANSLATE(A8685, ""en"", ""mt"")"),"Liema żewġ ħakkiema oħra kellhom l-oqbra tagħhom moħbija taħt xmara?")</f>
        <v>Liema żewġ ħakkiema oħra kellhom l-oqbra tagħhom moħbija taħt xmara?</v>
      </c>
    </row>
    <row r="8686" ht="15.75" customHeight="1">
      <c r="A8686" s="2" t="s">
        <v>8686</v>
      </c>
      <c r="B8686" s="2" t="str">
        <f>IFERROR(__xludf.DUMMYFUNCTION("GOOGLETRANSLATE(A8686, ""en"", ""mt"")"),"X'kien żviluppat mill-kejl ta 'Watt fuq magna tal-fwar mudell?")</f>
        <v>X'kien żviluppat mill-kejl ta 'Watt fuq magna tal-fwar mudell?</v>
      </c>
    </row>
    <row r="8687" ht="15.75" customHeight="1">
      <c r="A8687" s="2" t="s">
        <v>8687</v>
      </c>
      <c r="B8687" s="2" t="str">
        <f>IFERROR(__xludf.DUMMYFUNCTION("GOOGLETRANSLATE(A8687, ""en"", ""mt"")"),"X'inhu membru fundatur tal-Kenja?")</f>
        <v>X'inhu membru fundatur tal-Kenja?</v>
      </c>
    </row>
    <row r="8688" ht="15.75" customHeight="1">
      <c r="A8688" s="2" t="s">
        <v>8688</v>
      </c>
      <c r="B8688" s="2" t="str">
        <f>IFERROR(__xludf.DUMMYFUNCTION("GOOGLETRANSLATE(A8688, ""en"", ""mt"")"),"estensjoni tas-saqaf")</f>
        <v>estensjoni tas-saqaf</v>
      </c>
    </row>
    <row r="8689" ht="15.75" customHeight="1">
      <c r="A8689" s="2" t="s">
        <v>8689</v>
      </c>
      <c r="B8689" s="2" t="str">
        <f>IFERROR(__xludf.DUMMYFUNCTION("GOOGLETRANSLATE(A8689, ""en"", ""mt"")"),"In-netwerk kien inġinerija u mħaddem minn telekomunikazzjonijiet MCI taħt ftehim kooperattiv mal-NSF")</f>
        <v>In-netwerk kien inġinerija u mħaddem minn telekomunikazzjonijiet MCI taħt ftehim kooperattiv mal-NSF</v>
      </c>
    </row>
    <row r="8690" ht="15.75" customHeight="1">
      <c r="A8690" s="2" t="s">
        <v>8690</v>
      </c>
      <c r="B8690" s="2" t="str">
        <f>IFERROR(__xludf.DUMMYFUNCTION("GOOGLETRANSLATE(A8690, ""en"", ""mt"")"),"F'liema klassi ta 'kumplessità jeżistu problemi ta' problemi ta 'NP?")</f>
        <v>F'liema klassi ta 'kumplessità jeżistu problemi ta' problemi ta 'NP?</v>
      </c>
    </row>
    <row r="8691" ht="15.75" customHeight="1">
      <c r="A8691" s="2" t="s">
        <v>8691</v>
      </c>
      <c r="B8691" s="2" t="str">
        <f>IFERROR(__xludf.DUMMYFUNCTION("GOOGLETRANSLATE(A8691, ""en"", ""mt"")"),"L-ideali ewlenin huma l-punti ta 'oġġetti alġebro-ġeometriċi, permezz tal-kunċett ta' l-ispettru ta 'ċirku. Il-ġeometrija aritmetika tibbenefika wkoll minn din il-kunċett, u ħafna kunċetti jeżistu kemm fil-ġeometrija kif ukoll fit-teorija tan-numri. Pereż"&amp;"empju, fatorizzazzjoni jew ramifikazzjoni ta 'ideali ewlenin meta titneħħa għal qasam ta' estensjoni, problema bażika tat-teorija tan-numri alġebriċi, għandha xebh ma 'ramifikazzjoni fil-ġeometrija. Mistoqsijiet ta 'ramifikazzjoni bħal dawn iseħħu anke fi"&amp;" mistoqsijiet teoretiċi b'numri kkonċernati biss ma' numri interi. Pereżempju, ideali ewlenin fiċ-ċirku ta 'numru sħiħ ta' oqsma ta 'numri kwadratiċi jistgħu jintużaw biex jippruvaw reċiproċità kwadratika, dikjarazzjoni li tikkonċerna s-solvabilità ta' ek"&amp;"wazzjonijiet kwadratiċi")</f>
        <v>L-ideali ewlenin huma l-punti ta 'oġġetti alġebro-ġeometriċi, permezz tal-kunċett ta' l-ispettru ta 'ċirku. Il-ġeometrija aritmetika tibbenefika wkoll minn din il-kunċett, u ħafna kunċetti jeżistu kemm fil-ġeometrija kif ukoll fit-teorija tan-numri. Pereżempju, fatorizzazzjoni jew ramifikazzjoni ta 'ideali ewlenin meta titneħħa għal qasam ta' estensjoni, problema bażika tat-teorija tan-numri alġebriċi, għandha xebh ma 'ramifikazzjoni fil-ġeometrija. Mistoqsijiet ta 'ramifikazzjoni bħal dawn iseħħu anke fi mistoqsijiet teoretiċi b'numri kkonċernati biss ma' numri interi. Pereżempju, ideali ewlenin fiċ-ċirku ta 'numru sħiħ ta' oqsma ta 'numri kwadratiċi jistgħu jintużaw biex jippruvaw reċiproċità kwadratika, dikjarazzjoni li tikkonċerna s-solvabilità ta' ekwazzjonijiet kwadratiċi</v>
      </c>
    </row>
    <row r="8692" ht="15.75" customHeight="1">
      <c r="A8692" s="2" t="s">
        <v>8692</v>
      </c>
      <c r="B8692" s="2" t="str">
        <f>IFERROR(__xludf.DUMMYFUNCTION("GOOGLETRANSLATE(A8692, ""en"", ""mt"")"),"Koalizzjoni reliġjuża għall-għażla riproduttiva")</f>
        <v>Koalizzjoni reliġjuża għall-għażla riproduttiva</v>
      </c>
    </row>
    <row r="8693" ht="15.75" customHeight="1">
      <c r="A8693" s="2" t="s">
        <v>8693</v>
      </c>
      <c r="B8693" s="2" t="str">
        <f>IFERROR(__xludf.DUMMYFUNCTION("GOOGLETRANSLATE(A8693, ""en"", ""mt"")"),"Magħtu Tesla ma qabilx ma 'Tesla?")</f>
        <v>Magħtu Tesla ma qabilx ma 'Tesla?</v>
      </c>
    </row>
    <row r="8694" ht="15.75" customHeight="1">
      <c r="A8694" s="2" t="s">
        <v>8694</v>
      </c>
      <c r="B8694" s="2" t="str">
        <f>IFERROR(__xludf.DUMMYFUNCTION("GOOGLETRANSLATE(A8694, ""en"", ""mt"")"),"Fejn tinsab il-ħalq fuq il-Pleuobrachia?")</f>
        <v>Fejn tinsab il-ħalq fuq il-Pleuobrachia?</v>
      </c>
    </row>
    <row r="8695" ht="15.75" customHeight="1">
      <c r="A8695" s="2" t="s">
        <v>8695</v>
      </c>
      <c r="B8695" s="2" t="str">
        <f>IFERROR(__xludf.DUMMYFUNCTION("GOOGLETRANSLATE(A8695, ""en"", ""mt"")"),"Ċentru tar-Riċerka dwar il-Woods Hole")</f>
        <v>Ċentru tar-Riċerka dwar il-Woods Hole</v>
      </c>
    </row>
    <row r="8696" ht="15.75" customHeight="1">
      <c r="A8696" s="2" t="s">
        <v>8696</v>
      </c>
      <c r="B8696" s="2" t="str">
        <f>IFERROR(__xludf.DUMMYFUNCTION("GOOGLETRANSLATE(A8696, ""en"", ""mt"")"),"Liema pajjiż ma jintlaqatx ħażin mill-embargo?")</f>
        <v>Liema pajjiż ma jintlaqatx ħażin mill-embargo?</v>
      </c>
    </row>
    <row r="8697" ht="15.75" customHeight="1">
      <c r="A8697" s="2" t="s">
        <v>8697</v>
      </c>
      <c r="B8697" s="2" t="str">
        <f>IFERROR(__xludf.DUMMYFUNCTION("GOOGLETRANSLATE(A8697, ""en"", ""mt"")"),"X'tip ta 'allegazzjonijiet tressqu wara l-elezzjoni tal-2007?")</f>
        <v>X'tip ta 'allegazzjonijiet tressqu wara l-elezzjoni tal-2007?</v>
      </c>
    </row>
    <row r="8698" ht="15.75" customHeight="1">
      <c r="A8698" s="2" t="s">
        <v>8698</v>
      </c>
      <c r="B8698" s="2" t="str">
        <f>IFERROR(__xludf.DUMMYFUNCTION("GOOGLETRANSLATE(A8698, ""en"", ""mt"")"),"Fl-Iżvezja, l-istudenti huma liberi li jagħżlu skola privata u l-iskola privata titħallas l-istess ammont bħall-iskejjel muniċipali. Aktar minn 10% tal-istudenti Żvediżi ġew irreġistrati fi skejjel privati ​​fl-2008. L-Iżvezja hija magħrufa internazzjonal"&amp;"ment għal dan il-mudell innovattiv tal-vawċer tal-iskola li jipprovdi lill-istudenti Żvediżi l-opportunità li jagħżlu l-iskola li jippreferu. Pereżempju, l-akbar katina tal-iskejjel, Kunskapskolan (“The Glowaning School”), toffri 30 skola u ambjent ibbaża"&amp;"t fuq il-web, għandha 700 impjegat u tgħallem kważi 10,000 student. Is-sistema Żvediża ġiet irrakkomandata lil Barack Obama.")</f>
        <v>Fl-Iżvezja, l-istudenti huma liberi li jagħżlu skola privata u l-iskola privata titħallas l-istess ammont bħall-iskejjel muniċipali. Aktar minn 10% tal-istudenti Żvediżi ġew irreġistrati fi skejjel privati ​​fl-2008. L-Iżvezja hija magħrufa internazzjonalment għal dan il-mudell innovattiv tal-vawċer tal-iskola li jipprovdi lill-istudenti Żvediżi l-opportunità li jagħżlu l-iskola li jippreferu. Pereżempju, l-akbar katina tal-iskejjel, Kunskapskolan (“The Glowaning School”), toffri 30 skola u ambjent ibbażat fuq il-web, għandha 700 impjegat u tgħallem kważi 10,000 student. Is-sistema Żvediża ġiet irrakkomandata lil Barack Obama.</v>
      </c>
    </row>
    <row r="8699" ht="15.75" customHeight="1">
      <c r="A8699" s="2" t="s">
        <v>8699</v>
      </c>
      <c r="B8699" s="2" t="str">
        <f>IFERROR(__xludf.DUMMYFUNCTION("GOOGLETRANSLATE(A8699, ""en"", ""mt"")"),"Xi qal Paul Rose li Luther żied mal-ħsieb Ġermaniż?")</f>
        <v>Xi qal Paul Rose li Luther żied mal-ħsieb Ġermaniż?</v>
      </c>
    </row>
    <row r="8700" ht="15.75" customHeight="1">
      <c r="A8700" s="2" t="s">
        <v>8700</v>
      </c>
      <c r="B8700" s="2" t="str">
        <f>IFERROR(__xludf.DUMMYFUNCTION("GOOGLETRANSLATE(A8700, ""en"", ""mt"")"),"Żewġ membrani tal-lipidi lipidi-lost")</f>
        <v>Żewġ membrani tal-lipidi lipidi-lost</v>
      </c>
    </row>
    <row r="8701" ht="15.75" customHeight="1">
      <c r="A8701" s="2" t="s">
        <v>8701</v>
      </c>
      <c r="B8701" s="2" t="str">
        <f>IFERROR(__xludf.DUMMYFUNCTION("GOOGLETRANSLATE(A8701, ""en"", ""mt"")"),"kotba u artikli")</f>
        <v>kotba u artikli</v>
      </c>
    </row>
    <row r="8702" ht="15.75" customHeight="1">
      <c r="A8702" s="2" t="s">
        <v>8702</v>
      </c>
      <c r="B8702" s="2" t="str">
        <f>IFERROR(__xludf.DUMMYFUNCTION("GOOGLETRANSLATE(A8702, ""en"", ""mt"")"),"Meta r-Rhine saret fruntieri ma 'Francia?")</f>
        <v>Meta r-Rhine saret fruntieri ma 'Francia?</v>
      </c>
    </row>
    <row r="8703" ht="15.75" customHeight="1">
      <c r="A8703" s="2" t="s">
        <v>8703</v>
      </c>
      <c r="B8703" s="2" t="str">
        <f>IFERROR(__xludf.DUMMYFUNCTION("GOOGLETRANSLATE(A8703, ""en"", ""mt"")"),"Celeron kif kien imexxi l-laqgħa ma 'Brittaniku l-Qadim?")</f>
        <v>Celeron kif kien imexxi l-laqgħa ma 'Brittaniku l-Qadim?</v>
      </c>
    </row>
    <row r="8704" ht="15.75" customHeight="1">
      <c r="A8704" s="2" t="s">
        <v>8704</v>
      </c>
      <c r="B8704" s="2" t="str">
        <f>IFERROR(__xludf.DUMMYFUNCTION("GOOGLETRANSLATE(A8704, ""en"", ""mt"")"),"7:00 sad-9.00 a.m. matul il-ġimgħa")</f>
        <v>7:00 sad-9.00 a.m. matul il-ġimgħa</v>
      </c>
    </row>
    <row r="8705" ht="15.75" customHeight="1">
      <c r="A8705" s="2" t="s">
        <v>8705</v>
      </c>
      <c r="B8705" s="2" t="str">
        <f>IFERROR(__xludf.DUMMYFUNCTION("GOOGLETRANSLATE(A8705, ""en"", ""mt"")"),"il-parlament")</f>
        <v>il-parlament</v>
      </c>
    </row>
    <row r="8706" ht="15.75" customHeight="1">
      <c r="A8706" s="2" t="s">
        <v>8706</v>
      </c>
      <c r="B8706" s="2" t="str">
        <f>IFERROR(__xludf.DUMMYFUNCTION("GOOGLETRANSLATE(A8706, ""en"", ""mt"")"),"Ġiet qawmien mill-ġdid fl-aħħar tas-seklu 19, bil-ġirja għall-Afrika u żidiet kbar fl-Asja u l-Lvant Nofsani. L-ispirtu Ingliż tal-imperjalizmu kien espress minn Joseph Chamberlain u Lord Rosebury, u implimentat fl-Afrika minn Cecil Rhodes. Il-psewdo-xjen"&amp;"zi tad-darwiniżmu soċjali u t-teoriji tar-razza ffurmaw irfid ideoloġiku matul dan iż-żmien. Kelliema oħra influwenti kienu jinkludu Lord Cromer, Lord Curzon, Ġeneral Kitchner, Lord Milner, u l-kittieb Rudyard Kipling. L-Imperu Brittaniku kien l-akbar imp"&amp;"eru li d-dinja qatt rat kemm f'termini ta 'landmass kif ukoll ta' popolazzjoni. Il-poter tagħha, kemm militari kif ukoll ekonomiku, baqa 'mhux imqabbel.")</f>
        <v>Ġiet qawmien mill-ġdid fl-aħħar tas-seklu 19, bil-ġirja għall-Afrika u żidiet kbar fl-Asja u l-Lvant Nofsani. L-ispirtu Ingliż tal-imperjalizmu kien espress minn Joseph Chamberlain u Lord Rosebury, u implimentat fl-Afrika minn Cecil Rhodes. Il-psewdo-xjenzi tad-darwiniżmu soċjali u t-teoriji tar-razza ffurmaw irfid ideoloġiku matul dan iż-żmien. Kelliema oħra influwenti kienu jinkludu Lord Cromer, Lord Curzon, Ġeneral Kitchner, Lord Milner, u l-kittieb Rudyard Kipling. L-Imperu Brittaniku kien l-akbar imperu li d-dinja qatt rat kemm f'termini ta 'landmass kif ukoll ta' popolazzjoni. Il-poter tagħha, kemm militari kif ukoll ekonomiku, baqa 'mhux imqabbel.</v>
      </c>
    </row>
    <row r="8707" ht="15.75" customHeight="1">
      <c r="A8707" s="2" t="s">
        <v>8707</v>
      </c>
      <c r="B8707" s="2" t="str">
        <f>IFERROR(__xludf.DUMMYFUNCTION("GOOGLETRANSLATE(A8707, ""en"", ""mt"")"),"It-tiswir ta 'ideat dwar is-suq ħieles")</f>
        <v>It-tiswir ta 'ideat dwar is-suq ħieles</v>
      </c>
    </row>
    <row r="8708" ht="15.75" customHeight="1">
      <c r="A8708" s="2" t="s">
        <v>8708</v>
      </c>
      <c r="B8708" s="2" t="str">
        <f>IFERROR(__xludf.DUMMYFUNCTION("GOOGLETRANSLATE(A8708, ""en"", ""mt"")"),"F'liema każ il-Qorti tal-Ġustizzja qalet li l-avukati Taljani li jirrikjedu konformi mat-tariffi massimi sakemm ma kienx hemm ftehim ma 'klijent ma kienx restrizzjoni?")</f>
        <v>F'liema każ il-Qorti tal-Ġustizzja qalet li l-avukati Taljani li jirrikjedu konformi mat-tariffi massimi sakemm ma kienx hemm ftehim ma 'klijent ma kienx restrizzjoni?</v>
      </c>
    </row>
    <row r="8709" ht="15.75" customHeight="1">
      <c r="A8709" s="2" t="s">
        <v>8709</v>
      </c>
      <c r="B8709" s="2" t="str">
        <f>IFERROR(__xludf.DUMMYFUNCTION("GOOGLETRANSLATE(A8709, ""en"", ""mt"")"),"Kull ammont kbir minnu jdgħajjef il-liġi")</f>
        <v>Kull ammont kbir minnu jdgħajjef il-liġi</v>
      </c>
    </row>
    <row r="8710" ht="15.75" customHeight="1">
      <c r="A8710" s="2" t="s">
        <v>8710</v>
      </c>
      <c r="B8710" s="2" t="str">
        <f>IFERROR(__xludf.DUMMYFUNCTION("GOOGLETRANSLATE(A8710, ""en"", ""mt"")"),"Liema reġjun beda jikber u jafferma ruħu fis-snin 2000?")</f>
        <v>Liema reġjun beda jikber u jafferma ruħu fis-snin 2000?</v>
      </c>
    </row>
    <row r="8711" ht="15.75" customHeight="1">
      <c r="A8711" s="2" t="s">
        <v>8711</v>
      </c>
      <c r="B8711" s="2" t="str">
        <f>IFERROR(__xludf.DUMMYFUNCTION("GOOGLETRANSLATE(A8711, ""en"", ""mt"")"),"ferħ")</f>
        <v>ferħ</v>
      </c>
    </row>
    <row r="8712" ht="15.75" customHeight="1">
      <c r="A8712" s="2" t="s">
        <v>8712</v>
      </c>
      <c r="B8712" s="2" t="str">
        <f>IFERROR(__xludf.DUMMYFUNCTION("GOOGLETRANSLATE(A8712, ""en"", ""mt"")"),"X'inhu l-isem ta 'Mulej ta' żmien li t-tabib li ġġieled?")</f>
        <v>X'inhu l-isem ta 'Mulej ta' żmien li t-tabib li ġġieled?</v>
      </c>
    </row>
    <row r="8713" ht="15.75" customHeight="1">
      <c r="A8713" s="2" t="s">
        <v>8713</v>
      </c>
      <c r="B8713" s="2" t="str">
        <f>IFERROR(__xludf.DUMMYFUNCTION("GOOGLETRANSLATE(A8713, ""en"", ""mt"")"),"infidili")</f>
        <v>infidili</v>
      </c>
    </row>
    <row r="8714" ht="15.75" customHeight="1">
      <c r="A8714" s="2" t="s">
        <v>8714</v>
      </c>
      <c r="B8714" s="2" t="str">
        <f>IFERROR(__xludf.DUMMYFUNCTION("GOOGLETRANSLATE(A8714, ""en"", ""mt"")"),"Ġudikat ""Ħażin"" minn kuxjenza individwali")</f>
        <v>Ġudikat "Ħażin" minn kuxjenza individwali</v>
      </c>
    </row>
    <row r="8715" ht="15.75" customHeight="1">
      <c r="A8715" s="2" t="s">
        <v>8715</v>
      </c>
      <c r="B8715" s="2" t="str">
        <f>IFERROR(__xludf.DUMMYFUNCTION("GOOGLETRANSLATE(A8715, ""en"", ""mt"")"),"Min speċifikament HT jimmira biex ibiddel l-opinjoni?")</f>
        <v>Min speċifikament HT jimmira biex ibiddel l-opinjoni?</v>
      </c>
    </row>
    <row r="8716" ht="15.75" customHeight="1">
      <c r="A8716" s="2" t="s">
        <v>8716</v>
      </c>
      <c r="B8716" s="2" t="str">
        <f>IFERROR(__xludf.DUMMYFUNCTION("GOOGLETRANSLATE(A8716, ""en"", ""mt"")"),"Meta jinżamm id-dibattitu tal-membri?")</f>
        <v>Meta jinżamm id-dibattitu tal-membri?</v>
      </c>
    </row>
    <row r="8717" ht="15.75" customHeight="1">
      <c r="A8717" s="2" t="s">
        <v>8717</v>
      </c>
      <c r="B8717" s="2" t="str">
        <f>IFERROR(__xludf.DUMMYFUNCTION("GOOGLETRANSLATE(A8717, ""en"", ""mt"")"),"""Wise up jew imut.""")</f>
        <v>"Wise up jew imut."</v>
      </c>
    </row>
    <row r="8718" ht="15.75" customHeight="1">
      <c r="A8718" s="2" t="s">
        <v>8718</v>
      </c>
      <c r="B8718" s="2" t="str">
        <f>IFERROR(__xludf.DUMMYFUNCTION("GOOGLETRANSLATE(A8718, ""en"", ""mt"")"),"Lokomottivi tal-ferrovija")</f>
        <v>Lokomottivi tal-ferrovija</v>
      </c>
    </row>
    <row r="8719" ht="15.75" customHeight="1">
      <c r="A8719" s="2" t="s">
        <v>8719</v>
      </c>
      <c r="B8719" s="2" t="str">
        <f>IFERROR(__xludf.DUMMYFUNCTION("GOOGLETRANSLATE(A8719, ""en"", ""mt"")"),"interess pubbliku")</f>
        <v>interess pubbliku</v>
      </c>
    </row>
    <row r="8720" ht="15.75" customHeight="1">
      <c r="A8720" s="2" t="s">
        <v>8720</v>
      </c>
      <c r="B8720" s="2" t="str">
        <f>IFERROR(__xludf.DUMMYFUNCTION("GOOGLETRANSLATE(A8720, ""en"", ""mt"")"),"Kemm nies Franċiżi ntilfu għall-pesta bejn l-1628-31?")</f>
        <v>Kemm nies Franċiżi ntilfu għall-pesta bejn l-1628-31?</v>
      </c>
    </row>
    <row r="8721" ht="15.75" customHeight="1">
      <c r="A8721" s="2" t="s">
        <v>8721</v>
      </c>
      <c r="B8721" s="2" t="str">
        <f>IFERROR(__xludf.DUMMYFUNCTION("GOOGLETRANSLATE(A8721, ""en"", ""mt"")"),"Qabel l-Għargħar ta 'Santa Eliżabetta (1421), il-Meuse ħarġet eżatt fin-Nofsinhar tal-linja tal-lum MerWede-Oute Maas lejn il-Baħar tat-Tramuntana u ffurmat estwarju simili għall-arċipelagu ma' Waal u Lek. Din is-sistema ta 'bosta bajjiet, xmajjar estiżi "&amp;"simili għall-estwarju, ħafna gżejjer u bidliet kostanti tal-kosta, hija diffiċli biex timmaġina llum. Mill-1421 sal-1904, il-Meuse u Waal ingħaqdu aktar 'il fuq f'Gorinchem biex jiffurmaw MerWede. Għal raġunijiet ta 'protezzjoni ta' l-għargħar, il-Meuse ġ"&amp;"iet separata mill-Waal permezz ta 'serratura u ddevjat f'żbokk ġdid imsejjaħ ""Bergse Maas"", imbagħad Amer u mbagħad flussi fl-ex Bay Hollands Diep.")</f>
        <v>Qabel l-Għargħar ta 'Santa Eliżabetta (1421), il-Meuse ħarġet eżatt fin-Nofsinhar tal-linja tal-lum MerWede-Oute Maas lejn il-Baħar tat-Tramuntana u ffurmat estwarju simili għall-arċipelagu ma' Waal u Lek. Din is-sistema ta 'bosta bajjiet, xmajjar estiżi simili għall-estwarju, ħafna gżejjer u bidliet kostanti tal-kosta, hija diffiċli biex timmaġina llum. Mill-1421 sal-1904, il-Meuse u Waal ingħaqdu aktar 'il fuq f'Gorinchem biex jiffurmaw MerWede. Għal raġunijiet ta 'protezzjoni ta' l-għargħar, il-Meuse ġiet separata mill-Waal permezz ta 'serratura u ddevjat f'żbokk ġdid imsejjaħ "Bergse Maas", imbagħad Amer u mbagħad flussi fl-ex Bay Hollands Diep.</v>
      </c>
    </row>
    <row r="8722" ht="15.75" customHeight="1">
      <c r="A8722" s="2" t="s">
        <v>8722</v>
      </c>
      <c r="B8722" s="2" t="str">
        <f>IFERROR(__xludf.DUMMYFUNCTION("GOOGLETRANSLATE(A8722, ""en"", ""mt"")"),"Li ddeċidiet id-dukat tan-Normandija")</f>
        <v>Li ddeċidiet id-dukat tan-Normandija</v>
      </c>
    </row>
    <row r="8723" ht="15.75" customHeight="1">
      <c r="A8723" s="2" t="s">
        <v>8723</v>
      </c>
      <c r="B8723" s="2" t="str">
        <f>IFERROR(__xludf.DUMMYFUNCTION("GOOGLETRANSLATE(A8723, ""en"", ""mt"")"),"Id-Distrett ta ’Charleston Orange")</f>
        <v>Id-Distrett ta ’Charleston Orange</v>
      </c>
    </row>
    <row r="8724" ht="15.75" customHeight="1">
      <c r="A8724" s="2" t="s">
        <v>8724</v>
      </c>
      <c r="B8724" s="2" t="str">
        <f>IFERROR(__xludf.DUMMYFUNCTION("GOOGLETRANSLATE(A8724, ""en"", ""mt"")"),"X'inhu t-tieni l-iktar element abbundanti?")</f>
        <v>X'inhu t-tieni l-iktar element abbundanti?</v>
      </c>
    </row>
    <row r="8725" ht="15.75" customHeight="1">
      <c r="A8725" s="2" t="s">
        <v>8725</v>
      </c>
      <c r="B8725" s="2" t="str">
        <f>IFERROR(__xludf.DUMMYFUNCTION("GOOGLETRANSLATE(A8725, ""en"", ""mt"")"),"Sir William Henry Bragg u William Lawrence Bragg")</f>
        <v>Sir William Henry Bragg u William Lawrence Bragg</v>
      </c>
    </row>
    <row r="8726" ht="15.75" customHeight="1">
      <c r="A8726" s="2" t="s">
        <v>8726</v>
      </c>
      <c r="B8726" s="2" t="str">
        <f>IFERROR(__xludf.DUMMYFUNCTION("GOOGLETRANSLATE(A8726, ""en"", ""mt"")"),"Liema karatteristika ġeoloġika hija magħmula minn ossidi ta 'ossiġnu?")</f>
        <v>Liema karatteristika ġeoloġika hija magħmula minn ossidi ta 'ossiġnu?</v>
      </c>
    </row>
    <row r="8727" ht="15.75" customHeight="1">
      <c r="A8727" s="2" t="s">
        <v>8727</v>
      </c>
      <c r="B8727" s="2" t="str">
        <f>IFERROR(__xludf.DUMMYFUNCTION("GOOGLETRANSLATE(A8727, ""en"", ""mt"")"),"Templar tal-Kavallieri")</f>
        <v>Templar tal-Kavallieri</v>
      </c>
    </row>
    <row r="8728" ht="15.75" customHeight="1">
      <c r="A8728" s="2" t="s">
        <v>8728</v>
      </c>
      <c r="B8728" s="2" t="str">
        <f>IFERROR(__xludf.DUMMYFUNCTION("GOOGLETRANSLATE(A8728, ""en"", ""mt"")"),"ossidi u oxoacids")</f>
        <v>ossidi u oxoacids</v>
      </c>
    </row>
    <row r="8729" ht="15.75" customHeight="1">
      <c r="A8729" s="2" t="s">
        <v>8729</v>
      </c>
      <c r="B8729" s="2" t="str">
        <f>IFERROR(__xludf.DUMMYFUNCTION("GOOGLETRANSLATE(A8729, ""en"", ""mt"")"),"It-tieni grad ta 'baċellerat")</f>
        <v>It-tieni grad ta 'baċellerat</v>
      </c>
    </row>
    <row r="8730" ht="15.75" customHeight="1">
      <c r="A8730" s="2" t="s">
        <v>8730</v>
      </c>
      <c r="B8730" s="2" t="str">
        <f>IFERROR(__xludf.DUMMYFUNCTION("GOOGLETRANSLATE(A8730, ""en"", ""mt"")"),"definizzjonijiet ikkumplikati")</f>
        <v>definizzjonijiet ikkumplikati</v>
      </c>
    </row>
    <row r="8731" ht="15.75" customHeight="1">
      <c r="A8731" s="2" t="s">
        <v>8731</v>
      </c>
      <c r="B8731" s="2" t="str">
        <f>IFERROR(__xludf.DUMMYFUNCTION("GOOGLETRANSLATE(A8731, ""en"", ""mt"")"),"in-nofsinhar")</f>
        <v>in-nofsinhar</v>
      </c>
    </row>
    <row r="8732" ht="15.75" customHeight="1">
      <c r="A8732" s="2" t="s">
        <v>8732</v>
      </c>
      <c r="B8732" s="2" t="str">
        <f>IFERROR(__xludf.DUMMYFUNCTION("GOOGLETRANSLATE(A8732, ""en"", ""mt"")"),"F'dan iż-żmien fejn kienet iċċentrata l-enfasi ta 'Luther?")</f>
        <v>F'dan iż-żmien fejn kienet iċċentrata l-enfasi ta 'Luther?</v>
      </c>
    </row>
    <row r="8733" ht="15.75" customHeight="1">
      <c r="A8733" s="2" t="s">
        <v>8733</v>
      </c>
      <c r="B8733" s="2" t="str">
        <f>IFERROR(__xludf.DUMMYFUNCTION("GOOGLETRANSLATE(A8733, ""en"", ""mt"")"),"Meta ġew żviluppati t-teoriji li jissuġġerixxu inugwaljanza jista 'jkollu xi effett pożittiv fuq l-iżvilupp ekonomiku?")</f>
        <v>Meta ġew żviluppati t-teoriji li jissuġġerixxu inugwaljanza jista 'jkollu xi effett pożittiv fuq l-iżvilupp ekonomiku?</v>
      </c>
    </row>
    <row r="8734" ht="15.75" customHeight="1">
      <c r="A8734" s="2" t="s">
        <v>8734</v>
      </c>
      <c r="B8734" s="2" t="str">
        <f>IFERROR(__xludf.DUMMYFUNCTION("GOOGLETRANSLATE(A8734, ""en"", ""mt"")"),"X'inhu l-Inġinerija tal-Aħbarijiet-Record?")</f>
        <v>X'inhu l-Inġinerija tal-Aħbarijiet-Record?</v>
      </c>
    </row>
    <row r="8735" ht="15.75" customHeight="1">
      <c r="A8735" s="2" t="s">
        <v>8735</v>
      </c>
      <c r="B8735" s="2" t="str">
        <f>IFERROR(__xludf.DUMMYFUNCTION("GOOGLETRANSLATE(A8735, ""en"", ""mt"")"),"Liema riċerkaturi tal-kanċer kienu wkoll apparti l-fakultà tal-università?")</f>
        <v>Liema riċerkaturi tal-kanċer kienu wkoll apparti l-fakultà tal-università?</v>
      </c>
    </row>
    <row r="8736" ht="15.75" customHeight="1">
      <c r="A8736" s="2" t="s">
        <v>8736</v>
      </c>
      <c r="B8736" s="2" t="str">
        <f>IFERROR(__xludf.DUMMYFUNCTION("GOOGLETRANSLATE(A8736, ""en"", ""mt"")"),"Akkademja tax-Xjenzi Pollakka")</f>
        <v>Akkademja tax-Xjenzi Pollakka</v>
      </c>
    </row>
    <row r="8737" ht="15.75" customHeight="1">
      <c r="A8737" s="2" t="s">
        <v>8737</v>
      </c>
      <c r="B8737" s="2" t="str">
        <f>IFERROR(__xludf.DUMMYFUNCTION("GOOGLETRANSLATE(A8737, ""en"", ""mt"")"),"diski statiċi)")</f>
        <v>diski statiċi)</v>
      </c>
    </row>
    <row r="8738" ht="15.75" customHeight="1">
      <c r="A8738" s="2" t="s">
        <v>8738</v>
      </c>
      <c r="B8738" s="2" t="str">
        <f>IFERROR(__xludf.DUMMYFUNCTION("GOOGLETRANSLATE(A8738, ""en"", ""mt"")"),"X'kienet waħda mit-teoriji dwar dak li kkawża l-marda mhux speċifikata ta 'missier Tesla?")</f>
        <v>X'kienet waħda mit-teoriji dwar dak li kkawża l-marda mhux speċifikata ta 'missier Tesla?</v>
      </c>
    </row>
    <row r="8739" ht="15.75" customHeight="1">
      <c r="A8739" s="2" t="s">
        <v>8739</v>
      </c>
      <c r="B8739" s="2" t="str">
        <f>IFERROR(__xludf.DUMMYFUNCTION("GOOGLETRANSLATE(A8739, ""en"", ""mt"")"),"Fatturi Ambjentali")</f>
        <v>Fatturi Ambjentali</v>
      </c>
    </row>
    <row r="8740" ht="15.75" customHeight="1">
      <c r="A8740" s="2" t="s">
        <v>8740</v>
      </c>
      <c r="B8740" s="2" t="str">
        <f>IFERROR(__xludf.DUMMYFUNCTION("GOOGLETRANSLATE(A8740, ""en"", ""mt"")"),"Minħabba l-kontenut ogħla ta 'ossiġnu tagħhom")</f>
        <v>Minħabba l-kontenut ogħla ta 'ossiġnu tagħhom</v>
      </c>
    </row>
    <row r="8741" ht="15.75" customHeight="1">
      <c r="A8741" s="2" t="s">
        <v>8741</v>
      </c>
      <c r="B8741" s="2" t="str">
        <f>IFERROR(__xludf.DUMMYFUNCTION("GOOGLETRANSLATE(A8741, ""en"", ""mt"")"),"Is-Soċjetà Letterarja u Filosofika ta 'Newcastle upon Tyne (magħrufa popolarment bħala' Lit &amp; Phil ') hija l-ikbar librerija indipendenti barra minn Londra, li tospita aktar minn 150,000 kotba. Il-librerija tal-mużika tagħha fiha 8000 CDs u 10,000 LPS. Il"&amp;"-bini attwali mixgħul u Phil inbena fl-1825 u l-bini kien iddisinjat minn John u Benjamin Green. Jopera mill-1793 u mwaqqaf bħala ""klabb ta 'konversazzjoni"", it-teatru tat-taħdita tiegħu kien l-ewwel bini pubbliku li kien mixgħul bid-dawl elettriku, waq"&amp;"t taħdita minn Joseph Swan fl-20 ta' Ottubru 1880.")</f>
        <v>Is-Soċjetà Letterarja u Filosofika ta 'Newcastle upon Tyne (magħrufa popolarment bħala' Lit &amp; Phil ') hija l-ikbar librerija indipendenti barra minn Londra, li tospita aktar minn 150,000 kotba. Il-librerija tal-mużika tagħha fiha 8000 CDs u 10,000 LPS. Il-bini attwali mixgħul u Phil inbena fl-1825 u l-bini kien iddisinjat minn John u Benjamin Green. Jopera mill-1793 u mwaqqaf bħala "klabb ta 'konversazzjoni", it-teatru tat-taħdita tiegħu kien l-ewwel bini pubbliku li kien mixgħul bid-dawl elettriku, waqt taħdita minn Joseph Swan fl-20 ta' Ottubru 1880.</v>
      </c>
    </row>
    <row r="8742" ht="15.75" customHeight="1">
      <c r="A8742" s="2" t="s">
        <v>8742</v>
      </c>
      <c r="B8742" s="2" t="str">
        <f>IFERROR(__xludf.DUMMYFUNCTION("GOOGLETRANSLATE(A8742, ""en"", ""mt"")"),"Min jista 'ma jirrikjedix li l-għalliema tiegħu jiġu ċċertifikati?")</f>
        <v>Min jista 'ma jirrikjedix li l-għalliema tiegħu jiġu ċċertifikati?</v>
      </c>
    </row>
    <row r="8743" ht="15.75" customHeight="1">
      <c r="A8743" s="2" t="s">
        <v>8743</v>
      </c>
      <c r="B8743" s="2" t="str">
        <f>IFERROR(__xludf.DUMMYFUNCTION("GOOGLETRANSLATE(A8743, ""en"", ""mt"")"),"Antisemitiżmu")</f>
        <v>Antisemitiżmu</v>
      </c>
    </row>
    <row r="8744" ht="15.75" customHeight="1">
      <c r="A8744" s="2" t="s">
        <v>8744</v>
      </c>
      <c r="B8744" s="2" t="str">
        <f>IFERROR(__xludf.DUMMYFUNCTION("GOOGLETRANSLATE(A8744, ""en"", ""mt"")"),"Dubbidjenza ċivili mhux vjolenti")</f>
        <v>Dubbidjenza ċivili mhux vjolenti</v>
      </c>
    </row>
    <row r="8745" ht="15.75" customHeight="1">
      <c r="A8745" s="2" t="s">
        <v>8745</v>
      </c>
      <c r="B8745" s="2" t="str">
        <f>IFERROR(__xludf.DUMMYFUNCTION("GOOGLETRANSLATE(A8745, ""en"", ""mt"")"),"Aqbeż mill-koljaturi u teqred l-insulazzjoni")</f>
        <v>Aqbeż mill-koljaturi u teqred l-insulazzjoni</v>
      </c>
    </row>
    <row r="8746" ht="15.75" customHeight="1">
      <c r="A8746" s="2" t="s">
        <v>8746</v>
      </c>
      <c r="B8746" s="2" t="str">
        <f>IFERROR(__xludf.DUMMYFUNCTION("GOOGLETRANSLATE(A8746, ""en"", ""mt"")"),"Għall-kuntrarju tax-xandiriet tas-serje Primetime, CBS ixandar episodji speċjali tat-talk-shows tard tagħha bħala l-programmi ta 'tmexxija tagħha għal Super Bowl 50, li jibda b'episodju speċjali ta' The Late Show ma 'Stephen Colbert wara l-logħba. Wara wa"&amp;"qfa għall-ipprogrammar lokali tard, CBS xandar ukoll episodju speċjali ta 'The Late Late Show ma' James Corden.")</f>
        <v>Għall-kuntrarju tax-xandiriet tas-serje Primetime, CBS ixandar episodji speċjali tat-talk-shows tard tagħha bħala l-programmi ta 'tmexxija tagħha għal Super Bowl 50, li jibda b'episodju speċjali ta' The Late Show ma 'Stephen Colbert wara l-logħba. Wara waqfa għall-ipprogrammar lokali tard, CBS xandar ukoll episodju speċjali ta 'The Late Late Show ma' James Corden.</v>
      </c>
    </row>
    <row r="8747" ht="15.75" customHeight="1">
      <c r="A8747" s="2" t="s">
        <v>8747</v>
      </c>
      <c r="B8747" s="2" t="str">
        <f>IFERROR(__xludf.DUMMYFUNCTION("GOOGLETRANSLATE(A8747, ""en"", ""mt"")"),"X’wassal għal protesti u tiftaħ skreditazzjoni tal-Eck?")</f>
        <v>X’wassal għal protesti u tiftaħ skreditazzjoni tal-Eck?</v>
      </c>
    </row>
    <row r="8748" ht="15.75" customHeight="1">
      <c r="A8748" s="2" t="s">
        <v>8748</v>
      </c>
      <c r="B8748" s="2" t="str">
        <f>IFERROR(__xludf.DUMMYFUNCTION("GOOGLETRANSLATE(A8748, ""en"", ""mt"")"),"Università Renmin")</f>
        <v>Università Renmin</v>
      </c>
    </row>
    <row r="8749" ht="15.75" customHeight="1">
      <c r="A8749" s="2" t="s">
        <v>8749</v>
      </c>
      <c r="B8749" s="2" t="str">
        <f>IFERROR(__xludf.DUMMYFUNCTION("GOOGLETRANSLATE(A8749, ""en"", ""mt"")"),"huma ewlenin għal kwalunkwe numru naturali n. Hawnhekk jirrappreżenta l-funzjoni tal-paviment, i.e., l-akbar numru sħiħ mhux akbar min-numru in kwistjoni. Din l-aħħar formula tista 'tintwera bl-użu tal-postulat ta' Bertrand (ippruvat l-ewwel minn Chebyshe"&amp;"v), li jiddikjara li dejjem jeżisti mill-inqas numru ewlieni p b'n &lt;p &lt;2n - 2, għal kwalunkwe numru naturali n&gt; 3. Madankollu, il-komputazzjoni a jew μ teħtieġ l-għarfien ta 'ħafna primes infinitament biex tibda. Formula oħra hija bbażata fuq it-teorema t"&amp;"a 'Wilson u tiġġenera n-numru 2 ħafna drabi u l-primes l-oħra kollha eżattament darba.")</f>
        <v>huma ewlenin għal kwalunkwe numru naturali n. Hawnhekk jirrappreżenta l-funzjoni tal-paviment, i.e., l-akbar numru sħiħ mhux akbar min-numru in kwistjoni. Din l-aħħar formula tista 'tintwera bl-użu tal-postulat ta' Bertrand (ippruvat l-ewwel minn Chebyshev), li jiddikjara li dejjem jeżisti mill-inqas numru ewlieni p b'n &lt;p &lt;2n - 2, għal kwalunkwe numru naturali n&gt; 3. Madankollu, il-komputazzjoni a jew μ teħtieġ l-għarfien ta 'ħafna primes infinitament biex tibda. Formula oħra hija bbażata fuq it-teorema ta 'Wilson u tiġġenera n-numru 2 ħafna drabi u l-primes l-oħra kollha eżattament darba.</v>
      </c>
    </row>
    <row r="8750" ht="15.75" customHeight="1">
      <c r="A8750" s="2" t="s">
        <v>8750</v>
      </c>
      <c r="B8750" s="2" t="str">
        <f>IFERROR(__xludf.DUMMYFUNCTION("GOOGLETRANSLATE(A8750, ""en"", ""mt"")"),"Iktar kmieni huma ċedew lill-Mongoli, iktar ikunu tqiegħdu")</f>
        <v>Iktar kmieni huma ċedew lill-Mongoli, iktar ikunu tqiegħdu</v>
      </c>
    </row>
    <row r="8751" ht="15.75" customHeight="1">
      <c r="A8751" s="2" t="s">
        <v>8751</v>
      </c>
      <c r="B8751" s="2" t="str">
        <f>IFERROR(__xludf.DUMMYFUNCTION("GOOGLETRANSLATE(A8751, ""en"", ""mt"")"),"kastità")</f>
        <v>kastità</v>
      </c>
    </row>
    <row r="8752" ht="15.75" customHeight="1">
      <c r="A8752" s="2" t="s">
        <v>8752</v>
      </c>
      <c r="B8752" s="2" t="str">
        <f>IFERROR(__xludf.DUMMYFUNCTION("GOOGLETRANSLATE(A8752, ""en"", ""mt"")"),"Serje tar-Roti Warner Bros. Rigali")</f>
        <v>Serje tar-Roti Warner Bros. Rigali</v>
      </c>
    </row>
    <row r="8753" ht="15.75" customHeight="1">
      <c r="A8753" s="2" t="s">
        <v>8753</v>
      </c>
      <c r="B8753" s="2" t="str">
        <f>IFERROR(__xludf.DUMMYFUNCTION("GOOGLETRANSLATE(A8753, ""en"", ""mt"")"),"Politeknika Awstrijaka")</f>
        <v>Politeknika Awstrijaka</v>
      </c>
    </row>
    <row r="8754" ht="15.75" customHeight="1">
      <c r="A8754" s="2" t="s">
        <v>8754</v>
      </c>
      <c r="B8754" s="2" t="str">
        <f>IFERROR(__xludf.DUMMYFUNCTION("GOOGLETRANSLATE(A8754, ""en"", ""mt"")"),"il-massa tas-CSM u lm")</f>
        <v>il-massa tas-CSM u lm</v>
      </c>
    </row>
    <row r="8755" ht="15.75" customHeight="1">
      <c r="A8755" s="2" t="s">
        <v>8755</v>
      </c>
      <c r="B8755" s="2" t="str">
        <f>IFERROR(__xludf.DUMMYFUNCTION("GOOGLETRANSLATE(A8755, ""en"", ""mt"")"),"Liema entità oħra ġiet stabbilita fl-istess ħin bħall-Konvenzjoni Ewropea dwar id-Drittijiet tal-Bniedem?")</f>
        <v>Liema entità oħra ġiet stabbilita fl-istess ħin bħall-Konvenzjoni Ewropea dwar id-Drittijiet tal-Bniedem?</v>
      </c>
    </row>
    <row r="8756" ht="15.75" customHeight="1">
      <c r="A8756" s="2" t="s">
        <v>8756</v>
      </c>
      <c r="B8756" s="2" t="str">
        <f>IFERROR(__xludf.DUMMYFUNCTION("GOOGLETRANSLATE(A8756, ""en"", ""mt"")"),"Seklu 13")</f>
        <v>Seklu 13</v>
      </c>
    </row>
    <row r="8757" ht="15.75" customHeight="1">
      <c r="A8757" s="2" t="s">
        <v>8757</v>
      </c>
      <c r="B8757" s="2" t="str">
        <f>IFERROR(__xludf.DUMMYFUNCTION("GOOGLETRANSLATE(A8757, ""en"", ""mt"")"),"membrana doppja mitokondrijali")</f>
        <v>membrana doppja mitokondrijali</v>
      </c>
    </row>
    <row r="8758" ht="15.75" customHeight="1">
      <c r="A8758" s="2" t="s">
        <v>8758</v>
      </c>
      <c r="B8758" s="2" t="str">
        <f>IFERROR(__xludf.DUMMYFUNCTION("GOOGLETRANSLATE(A8758, ""en"", ""mt"")"),"Liema parti mis-sistema immuni innata tidentifika l-mikrobi u tikkawża rispons immuni?")</f>
        <v>Liema parti mis-sistema immuni innata tidentifika l-mikrobi u tikkawża rispons immuni?</v>
      </c>
    </row>
    <row r="8759" ht="15.75" customHeight="1">
      <c r="A8759" s="2" t="s">
        <v>8759</v>
      </c>
      <c r="B8759" s="2" t="str">
        <f>IFERROR(__xludf.DUMMYFUNCTION("GOOGLETRANSLATE(A8759, ""en"", ""mt"")"),"PS. 31: 5")</f>
        <v>PS. 31: 5</v>
      </c>
    </row>
    <row r="8760" ht="15.75" customHeight="1">
      <c r="A8760" s="2" t="s">
        <v>8760</v>
      </c>
      <c r="B8760" s="2" t="str">
        <f>IFERROR(__xludf.DUMMYFUNCTION("GOOGLETRANSLATE(A8760, ""en"", ""mt"")"),"Liema pajjiż invada n-Normanni fl-1169?")</f>
        <v>Liema pajjiż invada n-Normanni fl-1169?</v>
      </c>
    </row>
    <row r="8761" ht="15.75" customHeight="1">
      <c r="A8761" s="2" t="s">
        <v>8761</v>
      </c>
      <c r="B8761" s="2" t="str">
        <f>IFERROR(__xludf.DUMMYFUNCTION("GOOGLETRANSLATE(A8761, ""en"", ""mt"")"),"Il-moviment kliniku tal-ispiżerija inizjalment beda ġewwa sptarijiet u kliniċi")</f>
        <v>Il-moviment kliniku tal-ispiżerija inizjalment beda ġewwa sptarijiet u kliniċi</v>
      </c>
    </row>
    <row r="8762" ht="15.75" customHeight="1">
      <c r="A8762" s="2" t="s">
        <v>8762</v>
      </c>
      <c r="B8762" s="2" t="str">
        <f>IFERROR(__xludf.DUMMYFUNCTION("GOOGLETRANSLATE(A8762, ""en"", ""mt"")"),"effett negattiv")</f>
        <v>effett negattiv</v>
      </c>
    </row>
    <row r="8763" ht="15.75" customHeight="1">
      <c r="A8763" s="2" t="s">
        <v>8763</v>
      </c>
      <c r="B8763" s="2" t="str">
        <f>IFERROR(__xludf.DUMMYFUNCTION("GOOGLETRANSLATE(A8763, ""en"", ""mt"")"),"X’għamel ABC li kien speċjali fl-2003?")</f>
        <v>X’għamel ABC li kien speċjali fl-2003?</v>
      </c>
    </row>
    <row r="8764" ht="15.75" customHeight="1">
      <c r="A8764" s="2" t="s">
        <v>8764</v>
      </c>
      <c r="B8764" s="2" t="str">
        <f>IFERROR(__xludf.DUMMYFUNCTION("GOOGLETRANSLATE(A8764, ""en"", ""mt"")"),"Alka ħadra")</f>
        <v>Alka ħadra</v>
      </c>
    </row>
    <row r="8765" ht="15.75" customHeight="1">
      <c r="A8765" s="2" t="s">
        <v>8765</v>
      </c>
      <c r="B8765" s="2" t="str">
        <f>IFERROR(__xludf.DUMMYFUNCTION("GOOGLETRANSLATE(A8765, ""en"", ""mt"")"),"Futbol Ingliż Premier League")</f>
        <v>Futbol Ingliż Premier League</v>
      </c>
    </row>
    <row r="8766" ht="15.75" customHeight="1">
      <c r="A8766" s="2" t="s">
        <v>8766</v>
      </c>
      <c r="B8766" s="2" t="str">
        <f>IFERROR(__xludf.DUMMYFUNCTION("GOOGLETRANSLATE(A8766, ""en"", ""mt"")"),"Tal-Ingilterra")</f>
        <v>Tal-Ingilterra</v>
      </c>
    </row>
    <row r="8767" ht="15.75" customHeight="1">
      <c r="A8767" s="2" t="s">
        <v>8767</v>
      </c>
      <c r="B8767" s="2" t="str">
        <f>IFERROR(__xludf.DUMMYFUNCTION("GOOGLETRANSLATE(A8767, ""en"", ""mt"")"),"Dawl aħdar ta 'kwalità fqira")</f>
        <v>Dawl aħdar ta 'kwalità fqira</v>
      </c>
    </row>
    <row r="8768" ht="15.75" customHeight="1">
      <c r="A8768" s="2" t="s">
        <v>8768</v>
      </c>
      <c r="B8768" s="2" t="str">
        <f>IFERROR(__xludf.DUMMYFUNCTION("GOOGLETRANSLATE(A8768, ""en"", ""mt"")"),"Liema omen ġie rrappurtat li Genghis Khan kien ra l-iżgurar tar-rebħa li ġejja tiegħu kontra t-Tanguts?")</f>
        <v>Liema omen ġie rrappurtat li Genghis Khan kien ra l-iżgurar tar-rebħa li ġejja tiegħu kontra t-Tanguts?</v>
      </c>
    </row>
    <row r="8769" ht="15.75" customHeight="1">
      <c r="A8769" s="2" t="s">
        <v>8769</v>
      </c>
      <c r="B8769" s="2" t="str">
        <f>IFERROR(__xludf.DUMMYFUNCTION("GOOGLETRANSLATE(A8769, ""en"", ""mt"")"),"'S Napuljun")</f>
        <v>'S Napuljun</v>
      </c>
    </row>
    <row r="8770" ht="15.75" customHeight="1">
      <c r="A8770" s="2" t="s">
        <v>8770</v>
      </c>
      <c r="B8770" s="2" t="str">
        <f>IFERROR(__xludf.DUMMYFUNCTION("GOOGLETRANSLATE(A8770, ""en"", ""mt"")"),"Kalkulu integrali")</f>
        <v>Kalkulu integrali</v>
      </c>
    </row>
    <row r="8771" ht="15.75" customHeight="1">
      <c r="A8771" s="2" t="s">
        <v>8771</v>
      </c>
      <c r="B8771" s="2" t="str">
        <f>IFERROR(__xludf.DUMMYFUNCTION("GOOGLETRANSLATE(A8771, ""en"", ""mt"")"),"Ekwilibriju statiku")</f>
        <v>Ekwilibriju statiku</v>
      </c>
    </row>
    <row r="8772" ht="15.75" customHeight="1">
      <c r="A8772" s="2" t="s">
        <v>8772</v>
      </c>
      <c r="B8772" s="2" t="str">
        <f>IFERROR(__xludf.DUMMYFUNCTION("GOOGLETRANSLATE(A8772, ""en"", ""mt"")"),"Soċjaliżmu")</f>
        <v>Soċjaliżmu</v>
      </c>
    </row>
    <row r="8773" ht="15.75" customHeight="1">
      <c r="A8773" s="2" t="s">
        <v>8773</v>
      </c>
      <c r="B8773" s="2" t="str">
        <f>IFERROR(__xludf.DUMMYFUNCTION("GOOGLETRANSLATE(A8773, ""en"", ""mt"")"),"Ħong Kong")</f>
        <v>Ħong Kong</v>
      </c>
    </row>
    <row r="8774" ht="15.75" customHeight="1">
      <c r="A8774" s="2" t="s">
        <v>8774</v>
      </c>
      <c r="B8774" s="2" t="str">
        <f>IFERROR(__xludf.DUMMYFUNCTION("GOOGLETRANSLATE(A8774, ""en"", ""mt"")"),"madwar 50% kompożizzjoni ta 'ossiġnu bi pressjoni standard")</f>
        <v>madwar 50% kompożizzjoni ta 'ossiġnu bi pressjoni standard</v>
      </c>
    </row>
    <row r="8775" ht="15.75" customHeight="1">
      <c r="A8775" s="2" t="s">
        <v>8775</v>
      </c>
      <c r="B8775" s="2" t="str">
        <f>IFERROR(__xludf.DUMMYFUNCTION("GOOGLETRANSLATE(A8775, ""en"", ""mt"")"),"il-finanzi tagħhom")</f>
        <v>il-finanzi tagħhom</v>
      </c>
    </row>
    <row r="8776" ht="15.75" customHeight="1">
      <c r="A8776" s="2" t="s">
        <v>8776</v>
      </c>
      <c r="B8776" s="2" t="str">
        <f>IFERROR(__xludf.DUMMYFUNCTION("GOOGLETRANSLATE(A8776, ""en"", ""mt"")"),"18 ta ’Lulju 2000")</f>
        <v>18 ta ’Lulju 2000</v>
      </c>
    </row>
    <row r="8777" ht="15.75" customHeight="1">
      <c r="A8777" s="2" t="s">
        <v>8777</v>
      </c>
      <c r="B8777" s="2" t="str">
        <f>IFERROR(__xludf.DUMMYFUNCTION("GOOGLETRANSLATE(A8777, ""en"", ""mt"")"),"bitħa")</f>
        <v>bitħa</v>
      </c>
    </row>
    <row r="8778" ht="15.75" customHeight="1">
      <c r="A8778" s="2" t="s">
        <v>8778</v>
      </c>
      <c r="B8778" s="2" t="str">
        <f>IFERROR(__xludf.DUMMYFUNCTION("GOOGLETRANSLATE(A8778, ""en"", ""mt"")"),"nisa")</f>
        <v>nisa</v>
      </c>
    </row>
    <row r="8779" ht="15.75" customHeight="1">
      <c r="A8779" s="2" t="s">
        <v>8779</v>
      </c>
      <c r="B8779" s="2" t="str">
        <f>IFERROR(__xludf.DUMMYFUNCTION("GOOGLETRANSLATE(A8779, ""en"", ""mt"")"),"Din il-kombinazzjoni ta 'kanċellazzjonijiet u σ u π tirkeb tirriżulta fil-karattru u r-reattività ta' bond doppju ta 'dijossiġnu, u fi stat ta' art elettroniku triplet. Konfigurazzjoni ta 'elettroni b'żewġ elettroni mhux imqabbda kif misjuba fid-dijossiġn"&amp;"u (ara l-orbitali mimlija π * fid-dijagramma), orbitali li huma ta' enerġija ugwali - i.e., deġenerati - hija konfigurazzjoni msejħa stat tripletta spin. Għalhekk, l-istat tal-ground tal-O
2 molekula hija msejħa ossiġenu triplet. [B] L-ogħla enerġija, orb"&amp;"itali mimlijin parzjalment huma antibonding, u għalhekk il-mili tagħhom jiddgħajjef l-ordni tal-bond minn tlieta sa tnejn. Minħabba l-elettroni mhux imqabbla tiegħu, l-ossiġnu triplet jirreaġixxi biss bil-mod bil-biċċa l-kbira tal-molekuli organiċi, li għ"&amp;"andhom spins tal-elettroni mqabbla; Dan jipprevjeni kombustjoni spontanja.")</f>
        <v>Din il-kombinazzjoni ta 'kanċellazzjonijiet u σ u π tirkeb tirriżulta fil-karattru u r-reattività ta' bond doppju ta 'dijossiġnu, u fi stat ta' art elettroniku triplet. Konfigurazzjoni ta 'elettroni b'żewġ elettroni mhux imqabbda kif misjuba fid-dijossiġnu (ara l-orbitali mimlija π * fid-dijagramma), orbitali li huma ta' enerġija ugwali - i.e., deġenerati - hija konfigurazzjoni msejħa stat tripletta spin. Għalhekk, l-istat tal-ground tal-O
2 molekula hija msejħa ossiġenu triplet. [B] L-ogħla enerġija, orbitali mimlijin parzjalment huma antibonding, u għalhekk il-mili tagħhom jiddgħajjef l-ordni tal-bond minn tlieta sa tnejn. Minħabba l-elettroni mhux imqabbla tiegħu, l-ossiġnu triplet jirreaġixxi biss bil-mod bil-biċċa l-kbira tal-molekuli organiċi, li għandhom spins tal-elettroni mqabbla; Dan jipprevjeni kombustjoni spontanja.</v>
      </c>
    </row>
    <row r="8780" ht="15.75" customHeight="1">
      <c r="A8780" s="2" t="s">
        <v>8780</v>
      </c>
      <c r="B8780" s="2" t="str">
        <f>IFERROR(__xludf.DUMMYFUNCTION("GOOGLETRANSLATE(A8780, ""en"", ""mt"")"),"L-Artikolu 17 (3)")</f>
        <v>L-Artikolu 17 (3)</v>
      </c>
    </row>
    <row r="8781" ht="15.75" customHeight="1">
      <c r="A8781" s="2" t="s">
        <v>8781</v>
      </c>
      <c r="B8781" s="2" t="str">
        <f>IFERROR(__xludf.DUMMYFUNCTION("GOOGLETRANSLATE(A8781, ""en"", ""mt"")"),"Fl-1928, Tesla rċeviet l-aħħar privattiva tiegħu, brevett ta 'l-Istati Uniti 1,655,114, għal biplan li kapaċi jneħħi vertikalment (ajruplan VTOL) u mbagħad ikun ""gradwalment inklinat permezz tal-manipulazzjoni tal-apparati tal-lift"" waqt it-titjira sake"&amp;"mm kien qed itajjar bħal pjan konvenzjonali. Tesla ħasbet li l-ajruplan se jbiegħ għal inqas minn $ 1,000.: 251 Għalkemm l-inġenju tal-ajru probabbilment ma jkunx prattiku, jista 'jkun l-ewwel disinn magħruf għal dak li sar il-kunċett Tiltrotor / tilt-win"&amp;"g kif ukoll l-ewwel proposta għall-użu ta' magni tat-turbini fi Ajruplani tar-rotor. [Sintesi mhux xierqa?]")</f>
        <v>Fl-1928, Tesla rċeviet l-aħħar privattiva tiegħu, brevett ta 'l-Istati Uniti 1,655,114, għal biplan li kapaċi jneħħi vertikalment (ajruplan VTOL) u mbagħad ikun "gradwalment inklinat permezz tal-manipulazzjoni tal-apparati tal-lift" waqt it-titjira sakemm kien qed itajjar bħal pjan konvenzjonali. Tesla ħasbet li l-ajruplan se jbiegħ għal inqas minn $ 1,000.: 251 Għalkemm l-inġenju tal-ajru probabbilment ma jkunx prattiku, jista 'jkun l-ewwel disinn magħruf għal dak li sar il-kunċett Tiltrotor / tilt-wing kif ukoll l-ewwel proposta għall-użu ta' magni tat-turbini fi Ajruplani tar-rotor. [Sintesi mhux xierqa?]</v>
      </c>
    </row>
    <row r="8782" ht="15.75" customHeight="1">
      <c r="A8782" s="2" t="s">
        <v>8782</v>
      </c>
      <c r="B8782" s="2" t="str">
        <f>IFERROR(__xludf.DUMMYFUNCTION("GOOGLETRANSLATE(A8782, ""en"", ""mt"")"),"miżata għal kull unità ta 'informazzjoni trażmessa")</f>
        <v>miżata għal kull unità ta 'informazzjoni trażmessa</v>
      </c>
    </row>
    <row r="8783" ht="15.75" customHeight="1">
      <c r="A8783" s="2" t="s">
        <v>8783</v>
      </c>
      <c r="B8783" s="2" t="str">
        <f>IFERROR(__xludf.DUMMYFUNCTION("GOOGLETRANSLATE(A8783, ""en"", ""mt"")"),"Liema programm li jixxandar bejn Last Man Standing u Shark Tank ġie kkanċellat minn ABC fl-2013?")</f>
        <v>Liema programm li jixxandar bejn Last Man Standing u Shark Tank ġie kkanċellat minn ABC fl-2013?</v>
      </c>
    </row>
    <row r="8784" ht="15.75" customHeight="1">
      <c r="A8784" s="2" t="s">
        <v>8784</v>
      </c>
      <c r="B8784" s="2" t="str">
        <f>IFERROR(__xludf.DUMMYFUNCTION("GOOGLETRANSLATE(A8784, ""en"", ""mt"")"),"Iċ-ċelloli T Delta Gamma għandhom verżjoni differenti ta 'liema riċettur?")</f>
        <v>Iċ-ċelloli T Delta Gamma għandhom verżjoni differenti ta 'liema riċettur?</v>
      </c>
    </row>
    <row r="8785" ht="15.75" customHeight="1">
      <c r="A8785" s="2" t="s">
        <v>8785</v>
      </c>
      <c r="B8785" s="2" t="str">
        <f>IFERROR(__xludf.DUMMYFUNCTION("GOOGLETRANSLATE(A8785, ""en"", ""mt"")"),"Università ta ’Aberdeen")</f>
        <v>Università ta ’Aberdeen</v>
      </c>
    </row>
    <row r="8786" ht="15.75" customHeight="1">
      <c r="A8786" s="2" t="s">
        <v>8786</v>
      </c>
      <c r="B8786" s="2" t="str">
        <f>IFERROR(__xludf.DUMMYFUNCTION("GOOGLETRANSLATE(A8786, ""en"", ""mt"")"),"Ġeoloġija")</f>
        <v>Ġeoloġija</v>
      </c>
    </row>
    <row r="8787" ht="15.75" customHeight="1">
      <c r="A8787" s="2" t="s">
        <v>8787</v>
      </c>
      <c r="B8787" s="2" t="str">
        <f>IFERROR(__xludf.DUMMYFUNCTION("GOOGLETRANSLATE(A8787, ""en"", ""mt"")"),"F'liema oqsma jistgħu jaħdmu wkoll l-informatika tal-ispiżerija?")</f>
        <v>F'liema oqsma jistgħu jaħdmu wkoll l-informatika tal-ispiżerija?</v>
      </c>
    </row>
    <row r="8788" ht="15.75" customHeight="1">
      <c r="A8788" s="2" t="s">
        <v>8788</v>
      </c>
      <c r="B8788" s="2" t="str">
        <f>IFERROR(__xludf.DUMMYFUNCTION("GOOGLETRANSLATE(A8788, ""en"", ""mt"")"),"Għaliex l-ilma tar-Renu jaqa 'fil-fond fir-Rheinbrech?")</f>
        <v>Għaliex l-ilma tar-Renu jaqa 'fil-fond fir-Rheinbrech?</v>
      </c>
    </row>
    <row r="8789" ht="15.75" customHeight="1">
      <c r="A8789" s="2" t="s">
        <v>8789</v>
      </c>
      <c r="B8789" s="2" t="str">
        <f>IFERROR(__xludf.DUMMYFUNCTION("GOOGLETRANSLATE(A8789, ""en"", ""mt"")"),"Minn liema seklu ġie l-isem tar-Renu?")</f>
        <v>Minn liema seklu ġie l-isem tar-Renu?</v>
      </c>
    </row>
    <row r="8790" ht="15.75" customHeight="1">
      <c r="A8790" s="2" t="s">
        <v>8790</v>
      </c>
      <c r="B8790" s="2" t="str">
        <f>IFERROR(__xludf.DUMMYFUNCTION("GOOGLETRANSLATE(A8790, ""en"", ""mt"")"),"""Kolonjaliżmu Intern""")</f>
        <v>"Kolonjaliżmu Intern"</v>
      </c>
    </row>
    <row r="8791" ht="15.75" customHeight="1">
      <c r="A8791" s="2" t="s">
        <v>8791</v>
      </c>
      <c r="B8791" s="2" t="str">
        <f>IFERROR(__xludf.DUMMYFUNCTION("GOOGLETRANSLATE(A8791, ""en"", ""mt"")"),"Il-kavità interna tifforma: ħalq li normalment jista 'jingħalaq mill-muskoli; farinġi (""gerżuma""); żona usa 'fiċ-ċentru li taġixxi bħala stonku; u sistema ta 'kanali interni. Dawn il-fergħa permezz tal-mesoglea għall-iktar partijiet attivi tal-annimal: "&amp;"il-ħalq u l-farinġi; l-għeruq tat-tentakli, jekk preżenti; tul in-naħa ta ’taħt kollha ta’ kull ringiela tal-moxt; u erba 'fergħat madwar il-kumpless sensorju fit-tarf' il bogħod mill-ħalq - tnejn minn dawn l-erba 'fergħat jintemmu fil-pori anali. Il-wiċċ"&amp;" ta 'ġewwa tal-kavità huwa miksi b'epitelju, il-gastrodermis. Il-ħalq u l-farinġi għandhom kemm ċili kif ukoll muskoli żviluppati sew. F'partijiet oħra tas-sistema tal-kanal, il-gastrodermis hija differenti fuq il-ġnub l-iktar viċin u l-iktar 'il bogħod m"&amp;"ill-organu li tipprovdi. In-naħa l-aktar viċin hija magħmula minn ċelloli nutrittivi għoljin li jaħżnu nutrijenti fil-vakuoles (kompartimenti interni), ċelloli ġerminali li jipproduċu bajd jew sperma, u fotokiti li jipproduċu bioluminesċenza. Il-ġenb l-ik"&amp;"tar 'il bogħod mill-organu huwa mgħotti b'ċelloli ċiljati li jiċċirkolaw l-ilma minn ġol-kanali, imqabbda minn rosettes ciliary, pori li huma mdawra minn whorls doppji ta' cilia u jgħaqqdu mal-mesoglea.")</f>
        <v>Il-kavità interna tifforma: ħalq li normalment jista 'jingħalaq mill-muskoli; farinġi ("gerżuma"); żona usa 'fiċ-ċentru li taġixxi bħala stonku; u sistema ta 'kanali interni. Dawn il-fergħa permezz tal-mesoglea għall-iktar partijiet attivi tal-annimal: il-ħalq u l-farinġi; l-għeruq tat-tentakli, jekk preżenti; tul in-naħa ta ’taħt kollha ta’ kull ringiela tal-moxt; u erba 'fergħat madwar il-kumpless sensorju fit-tarf' il bogħod mill-ħalq - tnejn minn dawn l-erba 'fergħat jintemmu fil-pori anali. Il-wiċċ ta 'ġewwa tal-kavità huwa miksi b'epitelju, il-gastrodermis. Il-ħalq u l-farinġi għandhom kemm ċili kif ukoll muskoli żviluppati sew. F'partijiet oħra tas-sistema tal-kanal, il-gastrodermis hija differenti fuq il-ġnub l-iktar viċin u l-iktar 'il bogħod mill-organu li tipprovdi. In-naħa l-aktar viċin hija magħmula minn ċelloli nutrittivi għoljin li jaħżnu nutrijenti fil-vakuoles (kompartimenti interni), ċelloli ġerminali li jipproduċu bajd jew sperma, u fotokiti li jipproduċu bioluminesċenza. Il-ġenb l-iktar 'il bogħod mill-organu huwa mgħotti b'ċelloli ċiljati li jiċċirkolaw l-ilma minn ġol-kanali, imqabbda minn rosettes ciliary, pori li huma mdawra minn whorls doppji ta' cilia u jgħaqqdu mal-mesoglea.</v>
      </c>
    </row>
    <row r="8792" ht="15.75" customHeight="1">
      <c r="A8792" s="2" t="s">
        <v>8792</v>
      </c>
      <c r="B8792" s="2" t="str">
        <f>IFERROR(__xludf.DUMMYFUNCTION("GOOGLETRANSLATE(A8792, ""en"", ""mt"")"),"Hemm xi kunċetti żbaljati komuni dwar il-membrani ta 'barra u ta' ġewwa tal-kloroplast. Il-fatt li l-kloroplasti huma mdawra minn membrana doppja ħafna drabi huwa kkwotat bħala evidenza li huma d-dixxendenti ta 'ċjanobatterji endosimbjotiċi. Dan spiss jiġ"&amp;"i interpretat bħala li jfisser li l-membrana tal-kloroplast ta 'barra hija l-prodott tal-membrana taċ-ċellula tal-ospitanti li tinfetaħ biex tifforma vesicle biex tdawwar l-antenat Cyanobacterium - li mhux veru - iż-żewġ membrani tal-kloroplast huma omolo"&amp;"gi għall-membrani doppji oriġinali ta' Cyanobacterium.")</f>
        <v>Hemm xi kunċetti żbaljati komuni dwar il-membrani ta 'barra u ta' ġewwa tal-kloroplast. Il-fatt li l-kloroplasti huma mdawra minn membrana doppja ħafna drabi huwa kkwotat bħala evidenza li huma d-dixxendenti ta 'ċjanobatterji endosimbjotiċi. Dan spiss jiġi interpretat bħala li jfisser li l-membrana tal-kloroplast ta 'barra hija l-prodott tal-membrana taċ-ċellula tal-ospitanti li tinfetaħ biex tifforma vesicle biex tdawwar l-antenat Cyanobacterium - li mhux veru - iż-żewġ membrani tal-kloroplast huma omologi għall-membrani doppji oriġinali ta' Cyanobacterium.</v>
      </c>
    </row>
    <row r="8793" ht="15.75" customHeight="1">
      <c r="A8793" s="2" t="s">
        <v>8793</v>
      </c>
      <c r="B8793" s="2" t="str">
        <f>IFERROR(__xludf.DUMMYFUNCTION("GOOGLETRANSLATE(A8793, ""en"", ""mt"")"),"X'inhi l-grazzja li ""tmur quddiemna?""")</f>
        <v>X'inhi l-grazzja li "tmur quddiemna?"</v>
      </c>
    </row>
    <row r="8794" ht="15.75" customHeight="1">
      <c r="A8794" s="2" t="s">
        <v>8794</v>
      </c>
      <c r="B8794" s="2" t="str">
        <f>IFERROR(__xludf.DUMMYFUNCTION("GOOGLETRANSLATE(A8794, ""en"", ""mt"")"),"Dak li japplika għall-istess mozzjoni tal-veloċità kostanti kif jagħmel għall-mistrieħ.")</f>
        <v>Dak li japplika għall-istess mozzjoni tal-veloċità kostanti kif jagħmel għall-mistrieħ.</v>
      </c>
    </row>
    <row r="8795" ht="15.75" customHeight="1">
      <c r="A8795" s="2" t="s">
        <v>8795</v>
      </c>
      <c r="B8795" s="2" t="str">
        <f>IFERROR(__xludf.DUMMYFUNCTION("GOOGLETRANSLATE(A8795, ""en"", ""mt"")"),"Sas-snin sebgħin")</f>
        <v>Sas-snin sebgħin</v>
      </c>
    </row>
    <row r="8796" ht="15.75" customHeight="1">
      <c r="A8796" s="2" t="s">
        <v>8796</v>
      </c>
      <c r="B8796" s="2" t="str">
        <f>IFERROR(__xludf.DUMMYFUNCTION("GOOGLETRANSLATE(A8796, ""en"", ""mt"")"),"Nodi Intermedji tan-Netwerk")</f>
        <v>Nodi Intermedji tan-Netwerk</v>
      </c>
    </row>
    <row r="8797" ht="15.75" customHeight="1">
      <c r="A8797" s="2" t="s">
        <v>8797</v>
      </c>
      <c r="B8797" s="2" t="str">
        <f>IFERROR(__xludf.DUMMYFUNCTION("GOOGLETRANSLATE(A8797, ""en"", ""mt"")"),"Skoperta mill-ġdid ta '""Kristu u s-Salvazzjoni Tiegħu""")</f>
        <v>Skoperta mill-ġdid ta '"Kristu u s-Salvazzjoni Tiegħu"</v>
      </c>
    </row>
    <row r="8798" ht="15.75" customHeight="1">
      <c r="A8798" s="2" t="s">
        <v>8798</v>
      </c>
      <c r="B8798" s="2" t="str">
        <f>IFERROR(__xludf.DUMMYFUNCTION("GOOGLETRANSLATE(A8798, ""en"", ""mt"")"),"ambigwità")</f>
        <v>ambigwità</v>
      </c>
    </row>
    <row r="8799" ht="15.75" customHeight="1">
      <c r="A8799" s="2" t="s">
        <v>8799</v>
      </c>
      <c r="B8799" s="2" t="str">
        <f>IFERROR(__xludf.DUMMYFUNCTION("GOOGLETRANSLATE(A8799, ""en"", ""mt"")"),"Dan in-netwerk influwenzat mudelli aktar tard ta '")</f>
        <v>Dan in-netwerk influwenzat mudelli aktar tard ta '</v>
      </c>
    </row>
    <row r="8800" ht="15.75" customHeight="1">
      <c r="A8800" s="2" t="s">
        <v>8800</v>
      </c>
      <c r="B8800" s="2" t="str">
        <f>IFERROR(__xludf.DUMMYFUNCTION("GOOGLETRANSLATE(A8800, ""en"", ""mt"")"),"X'inhi ż-żona tal-art ta 'Jacksonville?")</f>
        <v>X'inhi ż-żona tal-art ta 'Jacksonville?</v>
      </c>
    </row>
    <row r="8801" ht="15.75" customHeight="1">
      <c r="A8801" s="2" t="s">
        <v>8801</v>
      </c>
      <c r="B8801" s="2" t="str">
        <f>IFERROR(__xludf.DUMMYFUNCTION("GOOGLETRANSLATE(A8801, ""en"", ""mt"")"),"1.4 u 5.8 ° C")</f>
        <v>1.4 u 5.8 ° C</v>
      </c>
    </row>
    <row r="8802" ht="15.75" customHeight="1">
      <c r="A8802" s="2" t="s">
        <v>8802</v>
      </c>
      <c r="B8802" s="2" t="str">
        <f>IFERROR(__xludf.DUMMYFUNCTION("GOOGLETRANSLATE(A8802, ""en"", ""mt"")"),"Ħin polinomjali")</f>
        <v>Ħin polinomjali</v>
      </c>
    </row>
    <row r="8803" ht="15.75" customHeight="1">
      <c r="A8803" s="2" t="s">
        <v>8803</v>
      </c>
      <c r="B8803" s="2" t="str">
        <f>IFERROR(__xludf.DUMMYFUNCTION("GOOGLETRANSLATE(A8803, ""en"", ""mt"")"),"X'inhuma ż-żewġ tweġibiet interi għal problema ta 'deċiżjoni?")</f>
        <v>X'inhuma ż-żewġ tweġibiet interi għal problema ta 'deċiżjoni?</v>
      </c>
    </row>
    <row r="8804" ht="15.75" customHeight="1">
      <c r="A8804" s="2" t="s">
        <v>8804</v>
      </c>
      <c r="B8804" s="2" t="str">
        <f>IFERROR(__xludf.DUMMYFUNCTION("GOOGLETRANSLATE(A8804, ""en"", ""mt"")"),"Assassinju tal-President Amerikan John F. Kennedy")</f>
        <v>Assassinju tal-President Amerikan John F. Kennedy</v>
      </c>
    </row>
    <row r="8805" ht="15.75" customHeight="1">
      <c r="A8805" s="2" t="s">
        <v>8805</v>
      </c>
      <c r="B8805" s="2" t="str">
        <f>IFERROR(__xludf.DUMMYFUNCTION("GOOGLETRANSLATE(A8805, ""en"", ""mt"")"),"Min allegatament haunted il-bieb?")</f>
        <v>Min allegatament haunted il-bieb?</v>
      </c>
    </row>
    <row r="8806" ht="15.75" customHeight="1">
      <c r="A8806" s="2" t="s">
        <v>8806</v>
      </c>
      <c r="B8806" s="2" t="str">
        <f>IFERROR(__xludf.DUMMYFUNCTION("GOOGLETRANSLATE(A8806, ""en"", ""mt"")"),"Aqbadni Min Jista '")</f>
        <v>Aqbadni Min Jista '</v>
      </c>
    </row>
    <row r="8807" ht="15.75" customHeight="1">
      <c r="A8807" s="2" t="s">
        <v>8807</v>
      </c>
      <c r="B8807" s="2" t="str">
        <f>IFERROR(__xludf.DUMMYFUNCTION("GOOGLETRANSLATE(A8807, ""en"", ""mt"")"),"Studju mill-Istitut Dinji għar-Riċerka dwar l-Ekonomija għall-Iżvilupp fl-Università tan-Nazzjonijiet Uniti jirrapporta li l-aktar sinjuri 1% tal-adulti biss kellhom 40% tal-assi globali fis-sena 2000. L-aktar tliet persuni sinjuri fid-dinja għandhom akta"&amp;"r assi finanzjarji mill-inqas 48 nazzjon magħquda. Il-ġid ikkombinat tal- ""10 miljun dollaru ta 'miljunarji"" kiber għal kważi $ 41 triljun fl-2008. Rapport ta' Jannar 2014 minn Oxfam jiddikjara li l-85 individwu sinjur fid-dinja għandhom ġid ikkombinat "&amp;"daqs dak tal-qiegħ 50% tal-popolazzjoni tad-dinja , jew madwar 3.5 biljun persuna. Skond analiżi tar-rapport ta 'Los Angeles Times, l-aktar sinjur 1% għandu 46% tal-ġid tad-dinja; Il-85 persuna l-aktar sinjura, parti żgħira tal-1% sinjura, għandhom madwar"&amp;" 0.7% tal-ġid tal-popolazzjoni umana, li hija l-istess bħan-nofs tal-qiegħ tal-popolazzjoni. Aktar reċentement, f'Jannar 2015, Oxfam irrapporta li l-aktar sinjur 1 fil-mija se jkollu aktar minn nofs il-ġid globali sal-2016. Studju ta 'Ottubru 2014 minn Cr"&amp;"edit Suisse jiddikjara wkoll li l-aqwa 1% issa għandhom kważi nofs nofs il-ġid tad-dinja u dak Id-disparità tal-aċċellerazzjoni tista 'tikkawża riċessjoni. F’Ottubru 2015, Credit Suisse ppubblikat studju li juri li l-inugwaljanza globali qed tkompli tiżdi"&amp;"ed, u li nofs il-ġid tad-dinja issa jinsab f’idejn dawk fl-aqwa perċentili, li l-assi tagħhom jaqbżu kull $ 759,900. Rapport tal-2016 minn Oxfam jiddikjara li t-62 individwu l-aktar sinjur għandhom daqshekk ġid daqs l-ifqar nofs tal-popolazzjoni globali f"&amp;"limkien. It-talbiet ta 'Oxfam madankollu ġew interrogati fuq il-bażi tal-metodoloġija uża Iċ-Ċina (minħabba tendenza akbar li tieħu d-djun). [Sors mhux affidabbli?] [Sors mhux affidabbli?] Anthony Shorrocks, l-awtur ewlieni tar-Rapport Credit Suisse li hu"&amp;"wa wieħed mis-sorsi tad-dejta ta 'Oxfam, iqis il-kritika dwar id-dejn tkun ""argument iblah"" u ""nuqqas ta 'ħruġ ... devjazzjoni.""")</f>
        <v>Studju mill-Istitut Dinji għar-Riċerka dwar l-Ekonomija għall-Iżvilupp fl-Università tan-Nazzjonijiet Uniti jirrapporta li l-aktar sinjuri 1% tal-adulti biss kellhom 40% tal-assi globali fis-sena 2000. L-aktar tliet persuni sinjuri fid-dinja għandhom aktar assi finanzjarji mill-inqas 48 nazzjon magħquda. Il-ġid ikkombinat tal- "10 miljun dollaru ta 'miljunarji" kiber għal kważi $ 41 triljun fl-2008. Rapport ta' Jannar 2014 minn Oxfam jiddikjara li l-85 individwu sinjur fid-dinja għandhom ġid ikkombinat daqs dak tal-qiegħ 50% tal-popolazzjoni tad-dinja , jew madwar 3.5 biljun persuna. Skond analiżi tar-rapport ta 'Los Angeles Times, l-aktar sinjur 1% għandu 46% tal-ġid tad-dinja; Il-85 persuna l-aktar sinjura, parti żgħira tal-1% sinjura, għandhom madwar 0.7% tal-ġid tal-popolazzjoni umana, li hija l-istess bħan-nofs tal-qiegħ tal-popolazzjoni. Aktar reċentement, f'Jannar 2015, Oxfam irrapporta li l-aktar sinjur 1 fil-mija se jkollu aktar minn nofs il-ġid globali sal-2016. Studju ta 'Ottubru 2014 minn Credit Suisse jiddikjara wkoll li l-aqwa 1% issa għandhom kważi nofs nofs il-ġid tad-dinja u dak Id-disparità tal-aċċellerazzjoni tista 'tikkawża riċessjoni. F’Ottubru 2015, Credit Suisse ppubblikat studju li juri li l-inugwaljanza globali qed tkompli tiżdied, u li nofs il-ġid tad-dinja issa jinsab f’idejn dawk fl-aqwa perċentili, li l-assi tagħhom jaqbżu kull $ 759,900. Rapport tal-2016 minn Oxfam jiddikjara li t-62 individwu l-aktar sinjur għandhom daqshekk ġid daqs l-ifqar nofs tal-popolazzjoni globali flimkien. It-talbiet ta 'Oxfam madankollu ġew interrogati fuq il-bażi tal-metodoloġija uża Iċ-Ċina (minħabba tendenza akbar li tieħu d-djun). [Sors mhux affidabbli?] [Sors mhux affidabbli?] Anthony Shorrocks, l-awtur ewlieni tar-Rapport Credit Suisse li huwa wieħed mis-sorsi tad-dejta ta 'Oxfam, iqis il-kritika dwar id-dejn tkun "argument iblah" u "nuqqas ta 'ħruġ ... devjazzjoni."</v>
      </c>
    </row>
    <row r="8808" ht="15.75" customHeight="1">
      <c r="A8808" s="2" t="s">
        <v>8808</v>
      </c>
      <c r="B8808" s="2" t="str">
        <f>IFERROR(__xludf.DUMMYFUNCTION("GOOGLETRANSLATE(A8808, ""en"", ""mt"")"),"Kilogramma-Forza (KGF)")</f>
        <v>Kilogramma-Forza (KGF)</v>
      </c>
    </row>
    <row r="8809" ht="15.75" customHeight="1">
      <c r="A8809" s="2" t="s">
        <v>8809</v>
      </c>
      <c r="B8809" s="2" t="str">
        <f>IFERROR(__xludf.DUMMYFUNCTION("GOOGLETRANSLATE(A8809, ""en"", ""mt"")"),"ewforika ħafifa")</f>
        <v>ewforika ħafifa</v>
      </c>
    </row>
    <row r="8810" ht="15.75" customHeight="1">
      <c r="A8810" s="2" t="s">
        <v>8810</v>
      </c>
      <c r="B8810" s="2" t="str">
        <f>IFERROR(__xludf.DUMMYFUNCTION("GOOGLETRANSLATE(A8810, ""en"", ""mt"")"),"(Eżodu 1: 15-19)")</f>
        <v>(Eżodu 1: 15-19)</v>
      </c>
    </row>
    <row r="8811" ht="15.75" customHeight="1">
      <c r="A8811" s="2" t="s">
        <v>8811</v>
      </c>
      <c r="B8811" s="2" t="str">
        <f>IFERROR(__xludf.DUMMYFUNCTION("GOOGLETRANSLATE(A8811, ""en"", ""mt"")"),"Boomer Esiason u Dan Fouts")</f>
        <v>Boomer Esiason u Dan Fouts</v>
      </c>
    </row>
    <row r="8812" ht="15.75" customHeight="1">
      <c r="A8812" s="2" t="s">
        <v>8812</v>
      </c>
      <c r="B8812" s="2" t="str">
        <f>IFERROR(__xludf.DUMMYFUNCTION("GOOGLETRANSLATE(A8812, ""en"", ""mt"")"),"Tliet kmamar tal-piż")</f>
        <v>Tliet kmamar tal-piż</v>
      </c>
    </row>
    <row r="8813" ht="15.75" customHeight="1">
      <c r="A8813" s="2" t="s">
        <v>8813</v>
      </c>
      <c r="B8813" s="2" t="str">
        <f>IFERROR(__xludf.DUMMYFUNCTION("GOOGLETRANSLATE(A8813, ""en"", ""mt"")"),"ABC meta bdiet tagħmel serje orjentata lejn il-familja?")</f>
        <v>ABC meta bdiet tagħmel serje orjentata lejn il-familja?</v>
      </c>
    </row>
    <row r="8814" ht="15.75" customHeight="1">
      <c r="A8814" s="2" t="s">
        <v>8814</v>
      </c>
      <c r="B8814" s="2" t="str">
        <f>IFERROR(__xludf.DUMMYFUNCTION("GOOGLETRANSLATE(A8814, ""en"", ""mt"")"),"il-mudell tad-datagramma")</f>
        <v>il-mudell tad-datagramma</v>
      </c>
    </row>
    <row r="8815" ht="15.75" customHeight="1">
      <c r="A8815" s="2" t="s">
        <v>8815</v>
      </c>
      <c r="B8815" s="2" t="str">
        <f>IFERROR(__xludf.DUMMYFUNCTION("GOOGLETRANSLATE(A8815, ""en"", ""mt"")"),"Gandhi spiss irrefera l-poeżija ta 'Shelley fl-isforzi tiegħu biex jagħmel xiex?")</f>
        <v>Gandhi spiss irrefera l-poeżija ta 'Shelley fl-isforzi tiegħu biex jagħmel xiex?</v>
      </c>
    </row>
    <row r="8816" ht="15.75" customHeight="1">
      <c r="A8816" s="2" t="s">
        <v>8816</v>
      </c>
      <c r="B8816" s="2" t="str">
        <f>IFERROR(__xludf.DUMMYFUNCTION("GOOGLETRANSLATE(A8816, ""en"", ""mt"")"),"X'qed jiġri għall-età medja tal-għalliema f'Wales?")</f>
        <v>X'qed jiġri għall-età medja tal-għalliema f'Wales?</v>
      </c>
    </row>
    <row r="8817" ht="15.75" customHeight="1">
      <c r="A8817" s="2" t="s">
        <v>8817</v>
      </c>
      <c r="B8817" s="2" t="str">
        <f>IFERROR(__xludf.DUMMYFUNCTION("GOOGLETRANSLATE(A8817, ""en"", ""mt"")"),"Għaliex Tetzel kien qed ifittex flus fil-Ġermanja?")</f>
        <v>Għaliex Tetzel kien qed ifittex flus fil-Ġermanja?</v>
      </c>
    </row>
    <row r="8818" ht="15.75" customHeight="1">
      <c r="A8818" s="2" t="s">
        <v>8818</v>
      </c>
      <c r="B8818" s="2" t="str">
        <f>IFERROR(__xludf.DUMMYFUNCTION("GOOGLETRANSLATE(A8818, ""en"", ""mt"")"),"Gvern Skoċċiż.")</f>
        <v>Gvern Skoċċiż.</v>
      </c>
    </row>
    <row r="8819" ht="15.75" customHeight="1">
      <c r="A8819" s="2" t="s">
        <v>8819</v>
      </c>
      <c r="B8819" s="2" t="str">
        <f>IFERROR(__xludf.DUMMYFUNCTION("GOOGLETRANSLATE(A8819, ""en"", ""mt"")"),"X’Rew se jkun it-turisti ta ’Jacksonville lejn destinazzjonijiet oħra ta’ Florida?")</f>
        <v>X’Rew se jkun it-turisti ta ’Jacksonville lejn destinazzjonijiet oħra ta’ Florida?</v>
      </c>
    </row>
    <row r="8820" ht="15.75" customHeight="1">
      <c r="A8820" s="2" t="s">
        <v>8820</v>
      </c>
      <c r="B8820" s="2" t="str">
        <f>IFERROR(__xludf.DUMMYFUNCTION("GOOGLETRANSLATE(A8820, ""en"", ""mt"")"),"X'tip ta 'kumpanija hija Sky UK Limited?")</f>
        <v>X'tip ta 'kumpanija hija Sky UK Limited?</v>
      </c>
    </row>
    <row r="8821" ht="15.75" customHeight="1">
      <c r="A8821" s="2" t="s">
        <v>8821</v>
      </c>
      <c r="B8821" s="2" t="str">
        <f>IFERROR(__xludf.DUMMYFUNCTION("GOOGLETRANSLATE(A8821, ""en"", ""mt"")"),"Ingħaqad ma 'Politeknika Vokazzjonali taż-Żgħażagħ / Village")</f>
        <v>Ingħaqad ma 'Politeknika Vokazzjonali taż-Żgħażagħ / Village</v>
      </c>
    </row>
    <row r="8822" ht="15.75" customHeight="1">
      <c r="A8822" s="2" t="s">
        <v>8822</v>
      </c>
      <c r="B8822" s="2" t="str">
        <f>IFERROR(__xludf.DUMMYFUNCTION("GOOGLETRANSLATE(A8822, ""en"", ""mt"")"),"nies li għandhom piż żejjed")</f>
        <v>nies li għandhom piż żejjed</v>
      </c>
    </row>
    <row r="8823" ht="15.75" customHeight="1">
      <c r="A8823" s="2" t="s">
        <v>8823</v>
      </c>
      <c r="B8823" s="2" t="str">
        <f>IFERROR(__xludf.DUMMYFUNCTION("GOOGLETRANSLATE(A8823, ""en"", ""mt"")"),"temperatura ta 'għeluq partikolari")</f>
        <v>temperatura ta 'għeluq partikolari</v>
      </c>
    </row>
    <row r="8824" ht="15.75" customHeight="1">
      <c r="A8824" s="2" t="s">
        <v>8824</v>
      </c>
      <c r="B8824" s="2" t="str">
        <f>IFERROR(__xludf.DUMMYFUNCTION("GOOGLETRANSLATE(A8824, ""en"", ""mt"")"),"Il-Ġermanja u l-Awstrija")</f>
        <v>Il-Ġermanja u l-Awstrija</v>
      </c>
    </row>
    <row r="8825" ht="15.75" customHeight="1">
      <c r="A8825" s="2" t="s">
        <v>8825</v>
      </c>
      <c r="B8825" s="2" t="str">
        <f>IFERROR(__xludf.DUMMYFUNCTION("GOOGLETRANSLATE(A8825, ""en"", ""mt"")"),"X'inhuma l-iktar tip abbundanti ta 'fagoċiti?")</f>
        <v>X'inhuma l-iktar tip abbundanti ta 'fagoċiti?</v>
      </c>
    </row>
    <row r="8826" ht="15.75" customHeight="1">
      <c r="A8826" s="2" t="s">
        <v>8826</v>
      </c>
      <c r="B8826" s="2" t="str">
        <f>IFERROR(__xludf.DUMMYFUNCTION("GOOGLETRANSLATE(A8826, ""en"", ""mt"")"),"it-traduzzjoni")</f>
        <v>it-traduzzjoni</v>
      </c>
    </row>
    <row r="8827" ht="15.75" customHeight="1">
      <c r="A8827" s="2" t="s">
        <v>8827</v>
      </c>
      <c r="B8827" s="2" t="str">
        <f>IFERROR(__xludf.DUMMYFUNCTION("GOOGLETRANSLATE(A8827, ""en"", ""mt"")"),"Neħħi numru massiv ta 'tejps manjetiċi mill-arkivji nazzjonali u l-amministrazzjoni tar-rekords li għandhom jiġu rreġistrati")</f>
        <v>Neħħi numru massiv ta 'tejps manjetiċi mill-arkivji nazzjonali u l-amministrazzjoni tar-rekords li għandhom jiġu rreġistrati</v>
      </c>
    </row>
    <row r="8828" ht="15.75" customHeight="1">
      <c r="A8828" s="2" t="s">
        <v>8828</v>
      </c>
      <c r="B8828" s="2" t="str">
        <f>IFERROR(__xludf.DUMMYFUNCTION("GOOGLETRANSLATE(A8828, ""en"", ""mt"")"),"Kemm trattati oriġinali jistabbilixxu d-drittijiet fundamentali protetti mill-UE?")</f>
        <v>Kemm trattati oriġinali jistabbilixxu d-drittijiet fundamentali protetti mill-UE?</v>
      </c>
    </row>
    <row r="8829" ht="15.75" customHeight="1">
      <c r="A8829" s="2" t="s">
        <v>8829</v>
      </c>
      <c r="B8829" s="2" t="str">
        <f>IFERROR(__xludf.DUMMYFUNCTION("GOOGLETRANSLATE(A8829, ""en"", ""mt"")"),"Bħala ewforika kif jintuża l-ossiġnu fil-vireg?")</f>
        <v>Bħala ewforika kif jintuża l-ossiġnu fil-vireg?</v>
      </c>
    </row>
    <row r="8830" ht="15.75" customHeight="1">
      <c r="A8830" s="2" t="s">
        <v>8830</v>
      </c>
      <c r="B8830" s="2" t="str">
        <f>IFERROR(__xludf.DUMMYFUNCTION("GOOGLETRANSLATE(A8830, ""en"", ""mt"")"),"X'inhi deċiżjoni personali importanti għal diżubbidjenti ċivili?")</f>
        <v>X'inhi deċiżjoni personali importanti għal diżubbidjenti ċivili?</v>
      </c>
    </row>
    <row r="8831" ht="15.75" customHeight="1">
      <c r="A8831" s="2" t="s">
        <v>8831</v>
      </c>
      <c r="B8831" s="2" t="str">
        <f>IFERROR(__xludf.DUMMYFUNCTION("GOOGLETRANSLATE(A8831, ""en"", ""mt"")"),"Apollo 1 ekwipaġġ")</f>
        <v>Apollo 1 ekwipaġġ</v>
      </c>
    </row>
    <row r="8832" ht="15.75" customHeight="1">
      <c r="A8832" s="2" t="s">
        <v>8832</v>
      </c>
      <c r="B8832" s="2" t="str">
        <f>IFERROR(__xludf.DUMMYFUNCTION("GOOGLETRANSLATE(A8832, ""en"", ""mt"")"),"Essenzjali")</f>
        <v>Essenzjali</v>
      </c>
    </row>
    <row r="8833" ht="15.75" customHeight="1">
      <c r="A8833" s="2" t="s">
        <v>8833</v>
      </c>
      <c r="B8833" s="2" t="str">
        <f>IFERROR(__xludf.DUMMYFUNCTION("GOOGLETRANSLATE(A8833, ""en"", ""mt"")"),"ibbażat popolarment")</f>
        <v>ibbażat popolarment</v>
      </c>
    </row>
    <row r="8834" ht="15.75" customHeight="1">
      <c r="A8834" s="2" t="s">
        <v>8834</v>
      </c>
      <c r="B8834" s="2" t="str">
        <f>IFERROR(__xludf.DUMMYFUNCTION("GOOGLETRANSLATE(A8834, ""en"", ""mt"")"),"Malfunzjoni fiċ-ċirkwit tal-kamaleont")</f>
        <v>Malfunzjoni fiċ-ċirkwit tal-kamaleont</v>
      </c>
    </row>
    <row r="8835" ht="15.75" customHeight="1">
      <c r="A8835" s="2" t="s">
        <v>8835</v>
      </c>
      <c r="B8835" s="2" t="str">
        <f>IFERROR(__xludf.DUMMYFUNCTION("GOOGLETRANSLATE(A8835, ""en"", ""mt"")"),"fuq il-kwistjoni tal-lajċi li jkollok vuċi u tivvota fl-amministrazzjoni tal-knisja")</f>
        <v>fuq il-kwistjoni tal-lajċi li jkollok vuċi u tivvota fl-amministrazzjoni tal-knisja</v>
      </c>
    </row>
    <row r="8836" ht="15.75" customHeight="1">
      <c r="A8836" s="2" t="s">
        <v>8836</v>
      </c>
      <c r="B8836" s="2" t="str">
        <f>IFERROR(__xludf.DUMMYFUNCTION("GOOGLETRANSLATE(A8836, ""en"", ""mt"")"),"F'liema tip ta 'xogħol kien Luther prolifiku?")</f>
        <v>F'liema tip ta 'xogħol kien Luther prolifiku?</v>
      </c>
    </row>
    <row r="8837" ht="15.75" customHeight="1">
      <c r="A8837" s="2" t="s">
        <v>8837</v>
      </c>
      <c r="B8837" s="2" t="str">
        <f>IFERROR(__xludf.DUMMYFUNCTION("GOOGLETRANSLATE(A8837, ""en"", ""mt"")"),"Il-Qorti Ewropea tal-Ġustizzja ma tistax iżżomm miżuri li huma inkompatibbli ma 'xiex?")</f>
        <v>Il-Qorti Ewropea tal-Ġustizzja ma tistax iżżomm miżuri li huma inkompatibbli ma 'xiex?</v>
      </c>
    </row>
    <row r="8838" ht="15.75" customHeight="1">
      <c r="A8838" s="2" t="s">
        <v>8838</v>
      </c>
      <c r="B8838" s="2" t="str">
        <f>IFERROR(__xludf.DUMMYFUNCTION("GOOGLETRANSLATE(A8838, ""en"", ""mt"")"),"Fil-ħarifa ta 'l-1949, ABC sab ruħu fil-pożizzjoni ta' barrani, b'inqas kopertura minn tnejn min-netwerks li jikkompetu, CBS u NBC, minkejja li kienet fl-istess mod magħhom f'xi bliet kbar u kellha headstart fuq it-tielet rivali tagħha Dak iż-żmien, in-Ne"&amp;"twerk tat-Televiżjoni Dumont. Qabel ma ntemmet l-iffriżar fl-1952, kien hemm biss 108 stazzjonijiet tat-televiżjoni eżistenti fl-Istati Uniti; Ftit bliet kbar (bħal Boston) kellhom biss żewġ stazzjonijiet televiżivi, ħafna bliet oħra (bħal Pittsburgh u St"&amp;" Louis) kellhom waħda biss, u għadhom ħafna oħrajn (bħal Denver u Portland) għadhom ma kellhom l-ebda servizz televiżiv. Ir-riżultat kien perjodu stramb fejn it-televiżjoni iffjorixxa f'ċerti oqsma u r-radju tan-netwerk baqa 's-sors ewlieni ta' divertimen"&amp;"t u aħbarijiet ta 'xandir f'oħrajn.")</f>
        <v>Fil-ħarifa ta 'l-1949, ABC sab ruħu fil-pożizzjoni ta' barrani, b'inqas kopertura minn tnejn min-netwerks li jikkompetu, CBS u NBC, minkejja li kienet fl-istess mod magħhom f'xi bliet kbar u kellha headstart fuq it-tielet rivali tagħha Dak iż-żmien, in-Netwerk tat-Televiżjoni Dumont. Qabel ma ntemmet l-iffriżar fl-1952, kien hemm biss 108 stazzjonijiet tat-televiżjoni eżistenti fl-Istati Uniti; Ftit bliet kbar (bħal Boston) kellhom biss żewġ stazzjonijiet televiżivi, ħafna bliet oħra (bħal Pittsburgh u St Louis) kellhom waħda biss, u għadhom ħafna oħrajn (bħal Denver u Portland) għadhom ma kellhom l-ebda servizz televiżiv. Ir-riżultat kien perjodu stramb fejn it-televiżjoni iffjorixxa f'ċerti oqsma u r-radju tan-netwerk baqa 's-sors ewlieni ta' divertiment u aħbarijiet ta 'xandir f'oħrajn.</v>
      </c>
    </row>
    <row r="8839" ht="15.75" customHeight="1">
      <c r="A8839" s="2" t="s">
        <v>8839</v>
      </c>
      <c r="B8839" s="2" t="str">
        <f>IFERROR(__xludf.DUMMYFUNCTION("GOOGLETRANSLATE(A8839, ""en"", ""mt"")"),"biex ma tagħtix tfittxija ta 'kunsens")</f>
        <v>biex ma tagħtix tfittxija ta 'kunsens</v>
      </c>
    </row>
    <row r="8840" ht="15.75" customHeight="1">
      <c r="A8840" s="2" t="s">
        <v>8840</v>
      </c>
      <c r="B8840" s="2" t="str">
        <f>IFERROR(__xludf.DUMMYFUNCTION("GOOGLETRANSLATE(A8840, ""en"", ""mt"")"),"gass ​​diatomiku")</f>
        <v>gass ​​diatomiku</v>
      </c>
    </row>
    <row r="8841" ht="15.75" customHeight="1">
      <c r="A8841" s="2" t="s">
        <v>8841</v>
      </c>
      <c r="B8841" s="2" t="str">
        <f>IFERROR(__xludf.DUMMYFUNCTION("GOOGLETRANSLATE(A8841, ""en"", ""mt"")"),"Tesla, bħal ħafna mill-era tiegħu, saret proponent ta 'verżjoni selettiva ta' trobbija selettiva ta 'eugenics. L-opinjoni tiegħu ħarġet mit-twemmin li l- ""ħasra"" tal-bnedmin kienet interferiet mal-ħidma naturali ta 'natura bla ħniena, aktar milli mill-k"&amp;"unċetti ta' ""razza kaptan"" jew superjorità inerenti ta 'persuna fuq oħra. L-avukatura tiegħu dwarha kienet, madankollu, li timbottaha aktar. F'intervista tal-1937, huwa ddikjara:")</f>
        <v>Tesla, bħal ħafna mill-era tiegħu, saret proponent ta 'verżjoni selettiva ta' trobbija selettiva ta 'eugenics. L-opinjoni tiegħu ħarġet mit-twemmin li l- "ħasra" tal-bnedmin kienet interferiet mal-ħidma naturali ta 'natura bla ħniena, aktar milli mill-kunċetti ta' "razza kaptan" jew superjorità inerenti ta 'persuna fuq oħra. L-avukatura tiegħu dwarha kienet, madankollu, li timbottaha aktar. F'intervista tal-1937, huwa ddikjara:</v>
      </c>
    </row>
    <row r="8842" ht="15.75" customHeight="1">
      <c r="A8842" s="2" t="s">
        <v>8842</v>
      </c>
      <c r="B8842" s="2" t="str">
        <f>IFERROR(__xludf.DUMMYFUNCTION("GOOGLETRANSLATE(A8842, ""en"", ""mt"")"),"B'liema rata l-Kontea ta 'Orange qed tiżviluppa ċ-ċentri tan-negozju tagħha?")</f>
        <v>B'liema rata l-Kontea ta 'Orange qed tiżviluppa ċ-ċentri tan-negozju tagħha?</v>
      </c>
    </row>
    <row r="8843" ht="15.75" customHeight="1">
      <c r="A8843" s="2" t="s">
        <v>8843</v>
      </c>
      <c r="B8843" s="2" t="str">
        <f>IFERROR(__xludf.DUMMYFUNCTION("GOOGLETRANSLATE(A8843, ""en"", ""mt"")"),"repulsjoni ta 'piżijiet simili taħt l-influwenza tal-forza elettromanjetika")</f>
        <v>repulsjoni ta 'piżijiet simili taħt l-influwenza tal-forza elettromanjetika</v>
      </c>
    </row>
    <row r="8844" ht="15.75" customHeight="1">
      <c r="A8844" s="2" t="s">
        <v>8844</v>
      </c>
      <c r="B8844" s="2" t="str">
        <f>IFERROR(__xludf.DUMMYFUNCTION("GOOGLETRANSLATE(A8844, ""en"", ""mt"")"),"Liema proċess jattribwixxi ġid ġdid lil dawk li diġà għandhom?")</f>
        <v>Liema proċess jattribwixxi ġid ġdid lil dawk li diġà għandhom?</v>
      </c>
    </row>
    <row r="8845" ht="15.75" customHeight="1">
      <c r="A8845" s="2" t="s">
        <v>8845</v>
      </c>
      <c r="B8845" s="2" t="str">
        <f>IFERROR(__xludf.DUMMYFUNCTION("GOOGLETRANSLATE(A8845, ""en"", ""mt"")"),"Ikseb informazzjoni dwar il-klima tal-passat")</f>
        <v>Ikseb informazzjoni dwar il-klima tal-passat</v>
      </c>
    </row>
    <row r="8846" ht="15.75" customHeight="1">
      <c r="A8846" s="2" t="s">
        <v>8846</v>
      </c>
      <c r="B8846" s="2" t="str">
        <f>IFERROR(__xludf.DUMMYFUNCTION("GOOGLETRANSLATE(A8846, ""en"", ""mt"")"),"X'inhi l-ogħla qorti fil-liġi tal-Unjoni Ewropea?")</f>
        <v>X'inhi l-ogħla qorti fil-liġi tal-Unjoni Ewropea?</v>
      </c>
    </row>
    <row r="8847" ht="15.75" customHeight="1">
      <c r="A8847" s="2" t="s">
        <v>8847</v>
      </c>
      <c r="B8847" s="2" t="str">
        <f>IFERROR(__xludf.DUMMYFUNCTION("GOOGLETRANSLATE(A8847, ""en"", ""mt"")"),"Dejjem aktar")</f>
        <v>Dejjem aktar</v>
      </c>
    </row>
    <row r="8848" ht="15.75" customHeight="1">
      <c r="A8848" s="2" t="s">
        <v>8848</v>
      </c>
      <c r="B8848" s="2" t="str">
        <f>IFERROR(__xludf.DUMMYFUNCTION("GOOGLETRANSLATE(A8848, ""en"", ""mt"")"),"Min kien miġbud lejn Jacksonville fl-1910?")</f>
        <v>Min kien miġbud lejn Jacksonville fl-1910?</v>
      </c>
    </row>
    <row r="8849" ht="15.75" customHeight="1">
      <c r="A8849" s="2" t="s">
        <v>8849</v>
      </c>
      <c r="B8849" s="2" t="str">
        <f>IFERROR(__xludf.DUMMYFUNCTION("GOOGLETRANSLATE(A8849, ""en"", ""mt"")"),"profezija tal-ħorn żgħir")</f>
        <v>profezija tal-ħorn żgħir</v>
      </c>
    </row>
    <row r="8850" ht="15.75" customHeight="1">
      <c r="A8850" s="2" t="s">
        <v>8850</v>
      </c>
      <c r="B8850" s="2" t="str">
        <f>IFERROR(__xludf.DUMMYFUNCTION("GOOGLETRANSLATE(A8850, ""en"", ""mt"")"),"Genghis Khan poġġa fiduċja assoluta fil-ġenerali tiegħu, bħal Muqali, Jebe u Subutai, u jqishom bħala konsulenti mill-qrib, ħafna drabi jestenduhom l-istess privileġġi u fiduċja normalment riservati għal membri tal-familja mill-qrib. Huwa ppermettilhom ji"&amp;"eħdu deċiżjonijiet waħedhom meta daħlu f'kampanji 'l bogħod mill-Kapitali tal-Imperu tal-Mongol Karakorum. Muqali, logutenent fdat, ingħata l-kmand tal-forzi tal-Mongolja kontra d-dinastija Jin waqt li Genghis Khan kien qed jiġġieled fl-Asja Ċentrali, u S"&amp;"ubutai u Jebe tħallew isegwu r-rejd il-kbir fil-Kawkasu u Kievan Rus ', idea li kienu ppreżentaw lill-Khagan fuq l-inizjattiva tagħhom stess. Filwaqt li ta lill-ġenerali tiegħu ammont kbir ta 'awtonomija fit-teħid ta' deċiżjonijiet ta 'kmand, Genghis Khan"&amp;" ukoll mistenni li lealtà bla waqfien minnhom.")</f>
        <v>Genghis Khan poġġa fiduċja assoluta fil-ġenerali tiegħu, bħal Muqali, Jebe u Subutai, u jqishom bħala konsulenti mill-qrib, ħafna drabi jestenduhom l-istess privileġġi u fiduċja normalment riservati għal membri tal-familja mill-qrib. Huwa ppermettilhom jieħdu deċiżjonijiet waħedhom meta daħlu f'kampanji 'l bogħod mill-Kapitali tal-Imperu tal-Mongol Karakorum. Muqali, logutenent fdat, ingħata l-kmand tal-forzi tal-Mongolja kontra d-dinastija Jin waqt li Genghis Khan kien qed jiġġieled fl-Asja Ċentrali, u Subutai u Jebe tħallew isegwu r-rejd il-kbir fil-Kawkasu u Kievan Rus ', idea li kienu ppreżentaw lill-Khagan fuq l-inizjattiva tagħhom stess. Filwaqt li ta lill-ġenerali tiegħu ammont kbir ta 'awtonomija fit-teħid ta' deċiżjonijiet ta 'kmand, Genghis Khan ukoll mistenni li lealtà bla waqfien minnhom.</v>
      </c>
    </row>
    <row r="8851" ht="15.75" customHeight="1">
      <c r="A8851" s="2" t="s">
        <v>8851</v>
      </c>
      <c r="B8851" s="2" t="str">
        <f>IFERROR(__xludf.DUMMYFUNCTION("GOOGLETRANSLATE(A8851, ""en"", ""mt"")"),"Fl-1900, il-Los Angeles Times iddefinixxew in-Nofsinhar tal-Kalifornja bħala li jinkludu ""Is-Seba 'Pajjiżi ta' Los Angeles, San Bernardino, Orange, Riverside, San Diego, Ventura u Santa Barbara."" Fl-1999, The Times żiedet kontea aktar ġdida - imperjali "&amp;"- għal dik il-lista.")</f>
        <v>Fl-1900, il-Los Angeles Times iddefinixxew in-Nofsinhar tal-Kalifornja bħala li jinkludu "Is-Seba 'Pajjiżi ta' Los Angeles, San Bernardino, Orange, Riverside, San Diego, Ventura u Santa Barbara." Fl-1999, The Times żiedet kontea aktar ġdida - imperjali - għal dik il-lista.</v>
      </c>
    </row>
    <row r="8852" ht="15.75" customHeight="1">
      <c r="A8852" s="2" t="s">
        <v>8852</v>
      </c>
      <c r="B8852" s="2" t="str">
        <f>IFERROR(__xludf.DUMMYFUNCTION("GOOGLETRANSLATE(A8852, ""en"", ""mt"")"),"Fejn huma r-reġjuni l-aktar ta 'suċċess ta' prodcution agrikolu?")</f>
        <v>Fejn huma r-reġjuni l-aktar ta 'suċċess ta' prodcution agrikolu?</v>
      </c>
    </row>
    <row r="8853" ht="15.75" customHeight="1">
      <c r="A8853" s="2" t="s">
        <v>8853</v>
      </c>
      <c r="B8853" s="2" t="str">
        <f>IFERROR(__xludf.DUMMYFUNCTION("GOOGLETRANSLATE(A8853, ""en"", ""mt"")"),"Path paraboliku mgħawweġ")</f>
        <v>Path paraboliku mgħawweġ</v>
      </c>
    </row>
    <row r="8854" ht="15.75" customHeight="1">
      <c r="A8854" s="2" t="s">
        <v>8854</v>
      </c>
      <c r="B8854" s="2" t="str">
        <f>IFERROR(__xludf.DUMMYFUNCTION("GOOGLETRANSLATE(A8854, ""en"", ""mt"")"),"Min kien stabbilixxa l-Imperu Russu għall-glorja preċedenti tiegħu qabel l-1921?")</f>
        <v>Min kien stabbilixxa l-Imperu Russu għall-glorja preċedenti tiegħu qabel l-1921?</v>
      </c>
    </row>
    <row r="8855" ht="15.75" customHeight="1">
      <c r="A8855" s="2" t="s">
        <v>8855</v>
      </c>
      <c r="B8855" s="2" t="str">
        <f>IFERROR(__xludf.DUMMYFUNCTION("GOOGLETRANSLATE(A8855, ""en"", ""mt"")"),"Minbarra li tinsab fuq il-kosta, dak li jikkontribwixxi għan-nuqqas ta 'temp kiesaħ ta' Jacksonville?")</f>
        <v>Minbarra li tinsab fuq il-kosta, dak li jikkontribwixxi għan-nuqqas ta 'temp kiesaħ ta' Jacksonville?</v>
      </c>
    </row>
    <row r="8856" ht="15.75" customHeight="1">
      <c r="A8856" s="2" t="s">
        <v>8856</v>
      </c>
      <c r="B8856" s="2" t="str">
        <f>IFERROR(__xludf.DUMMYFUNCTION("GOOGLETRANSLATE(A8856, ""en"", ""mt"")"),"Lag Balkhash")</f>
        <v>Lag Balkhash</v>
      </c>
    </row>
    <row r="8857" ht="15.75" customHeight="1">
      <c r="A8857" s="2" t="s">
        <v>8857</v>
      </c>
      <c r="B8857" s="2" t="str">
        <f>IFERROR(__xludf.DUMMYFUNCTION("GOOGLETRANSLATE(A8857, ""en"", ""mt"")"),"sistema ta 'kanali interni")</f>
        <v>sistema ta 'kanali interni</v>
      </c>
    </row>
    <row r="8858" ht="15.75" customHeight="1">
      <c r="A8858" s="2" t="s">
        <v>8858</v>
      </c>
      <c r="B8858" s="2" t="str">
        <f>IFERROR(__xludf.DUMMYFUNCTION("GOOGLETRANSLATE(A8858, ""en"", ""mt"")"),"Minbarra l-belt tad-deżert għaliex ħafna nies tal-post u turisti jiffrekwentaw in-Nofsinhar ta 'California?")</f>
        <v>Minbarra l-belt tad-deżert għaliex ħafna nies tal-post u turisti jiffrekwentaw in-Nofsinhar ta 'California?</v>
      </c>
    </row>
    <row r="8859" ht="15.75" customHeight="1">
      <c r="A8859" s="2" t="s">
        <v>8859</v>
      </c>
      <c r="B8859" s="2" t="str">
        <f>IFERROR(__xludf.DUMMYFUNCTION("GOOGLETRANSLATE(A8859, ""en"", ""mt"")"),"Assoċjazzjoni tal-Atletika tal-Università (UAA)")</f>
        <v>Assoċjazzjoni tal-Atletika tal-Università (UAA)</v>
      </c>
    </row>
    <row r="8860" ht="15.75" customHeight="1">
      <c r="A8860" s="2" t="s">
        <v>8860</v>
      </c>
      <c r="B8860" s="2" t="str">
        <f>IFERROR(__xludf.DUMMYFUNCTION("GOOGLETRANSLATE(A8860, ""en"", ""mt"")"),"Minn fejn bagħat l-ewwel vjeġġ ta 'minerali?")</f>
        <v>Minn fejn bagħat l-ewwel vjeġġ ta 'minerali?</v>
      </c>
    </row>
    <row r="8861" ht="15.75" customHeight="1">
      <c r="A8861" s="2" t="s">
        <v>8861</v>
      </c>
      <c r="B8861" s="2" t="str">
        <f>IFERROR(__xludf.DUMMYFUNCTION("GOOGLETRANSLATE(A8861, ""en"", ""mt"")"),"Kemm-il siegħa wieħed jista 'jistenna li jirkeb il-ferrovija minn Newcastle għal King's Cross?")</f>
        <v>Kemm-il siegħa wieħed jista 'jistenna li jirkeb il-ferrovija minn Newcastle għal King's Cross?</v>
      </c>
    </row>
    <row r="8862" ht="15.75" customHeight="1">
      <c r="A8862" s="2" t="s">
        <v>8862</v>
      </c>
      <c r="B8862" s="2" t="str">
        <f>IFERROR(__xludf.DUMMYFUNCTION("GOOGLETRANSLATE(A8862, ""en"", ""mt"")"),"Għal x'jista 'l-użu ta' nifs fit-tul ta 'ossiġnu f'ċomb ta '60 kPa?")</f>
        <v>Għal x'jista 'l-użu ta' nifs fit-tul ta 'ossiġnu f'ċomb ta '60 kPa?</v>
      </c>
    </row>
    <row r="8863" ht="15.75" customHeight="1">
      <c r="A8863" s="2" t="s">
        <v>8863</v>
      </c>
      <c r="B8863" s="2" t="str">
        <f>IFERROR(__xludf.DUMMYFUNCTION("GOOGLETRANSLATE(A8863, ""en"", ""mt"")"),"Il-kleru huma membri ta 'liema grupp aktar milli ta' xi kongregazzjoni lokali?")</f>
        <v>Il-kleru huma membri ta 'liema grupp aktar milli ta' xi kongregazzjoni lokali?</v>
      </c>
    </row>
    <row r="8864" ht="15.75" customHeight="1">
      <c r="A8864" s="2" t="s">
        <v>8864</v>
      </c>
      <c r="B8864" s="2" t="str">
        <f>IFERROR(__xludf.DUMMYFUNCTION("GOOGLETRANSLATE(A8864, ""en"", ""mt"")"),"L-Iskambju Ewlenin Diffie - Hellman")</f>
        <v>L-Iskambju Ewlenin Diffie - Hellman</v>
      </c>
    </row>
    <row r="8865" ht="15.75" customHeight="1">
      <c r="A8865" s="2" t="s">
        <v>8865</v>
      </c>
      <c r="B8865" s="2" t="str">
        <f>IFERROR(__xludf.DUMMYFUNCTION("GOOGLETRANSLATE(A8865, ""en"", ""mt"")"),"Ir-Renu")</f>
        <v>Ir-Renu</v>
      </c>
    </row>
    <row r="8866" ht="15.75" customHeight="1">
      <c r="A8866" s="2" t="s">
        <v>8866</v>
      </c>
      <c r="B8866" s="2" t="str">
        <f>IFERROR(__xludf.DUMMYFUNCTION("GOOGLETRANSLATE(A8866, ""en"", ""mt"")"),"Il-Beroida, magħrufa wkoll bħala Nuda, m'għandhom l-ebda appendiċi ta 'l-għalf, iżda l-farinġi kbir tagħhom, eżatt ġewwa l-ħalq il-kbir u jimlew ħafna mill-ġisem tas-sakka, iġorru ""makrocilia"" fit-tarf orali. Dawn il-gzuz imdewba ta 'bosta eluf ta' ċili"&amp;" kbar huma kapaċi ""jigdem"" biċċiet ta 'priża li huma kbar wisq biex jibilgħu sħaħ - kważi dejjem ċtenofori oħra. Quddiem il-qasam tal-makrocilia, fuq il-ħalq ""xufftejn"" f'xi speċi ta 'beroe, hemm par ta' strixxi dojoq ta 'ċelloli epiteljali li jeħlu f"&amp;"uq il-ħajt tal-istonku li ""biż-żipp"" il-ħalq jingħalaq meta l-annimal ma jkunx qed jitma', billi jifforma Konnessjonijiet interċellulari mal-istrixxa tal-kolla opposta. Dan l-għeluq issikkat jissimplifika l-faċċata tal-annimal meta jkun qed isegwi l-pri"&amp;"ża.")</f>
        <v>Il-Beroida, magħrufa wkoll bħala Nuda, m'għandhom l-ebda appendiċi ta 'l-għalf, iżda l-farinġi kbir tagħhom, eżatt ġewwa l-ħalq il-kbir u jimlew ħafna mill-ġisem tas-sakka, iġorru "makrocilia" fit-tarf orali. Dawn il-gzuz imdewba ta 'bosta eluf ta' ċili kbar huma kapaċi "jigdem" biċċiet ta 'priża li huma kbar wisq biex jibilgħu sħaħ - kważi dejjem ċtenofori oħra. Quddiem il-qasam tal-makrocilia, fuq il-ħalq "xufftejn" f'xi speċi ta 'beroe, hemm par ta' strixxi dojoq ta 'ċelloli epiteljali li jeħlu fuq il-ħajt tal-istonku li "biż-żipp" il-ħalq jingħalaq meta l-annimal ma jkunx qed jitma', billi jifforma Konnessjonijiet interċellulari mal-istrixxa tal-kolla opposta. Dan l-għeluq issikkat jissimplifika l-faċċata tal-annimal meta jkun qed isegwi l-priża.</v>
      </c>
    </row>
    <row r="8867" ht="15.75" customHeight="1">
      <c r="A8867" s="2" t="s">
        <v>8867</v>
      </c>
      <c r="B8867" s="2" t="str">
        <f>IFERROR(__xludf.DUMMYFUNCTION("GOOGLETRANSLATE(A8867, ""en"", ""mt"")"),"2 metri (6 ft 7 in)")</f>
        <v>2 metri (6 ft 7 in)</v>
      </c>
    </row>
    <row r="8868" ht="15.75" customHeight="1">
      <c r="A8868" s="2" t="s">
        <v>8868</v>
      </c>
      <c r="B8868" s="2" t="str">
        <f>IFERROR(__xludf.DUMMYFUNCTION("GOOGLETRANSLATE(A8868, ""en"", ""mt"")"),"Liema enzimi fil-bżieq huma ta 'natura antibatterika?")</f>
        <v>Liema enzimi fil-bżieq huma ta 'natura antibatterika?</v>
      </c>
    </row>
    <row r="8869" ht="15.75" customHeight="1">
      <c r="A8869" s="2" t="s">
        <v>8869</v>
      </c>
      <c r="B8869" s="2" t="str">
        <f>IFERROR(__xludf.DUMMYFUNCTION("GOOGLETRANSLATE(A8869, ""en"", ""mt"")"),"Kemm inbidlet it-temperatura tal-arja medja globali tal-wiċċ fl-aħħar seklu?")</f>
        <v>Kemm inbidlet it-temperatura tal-arja medja globali tal-wiċċ fl-aħħar seklu?</v>
      </c>
    </row>
    <row r="8870" ht="15.75" customHeight="1">
      <c r="A8870" s="2" t="s">
        <v>8870</v>
      </c>
      <c r="B8870" s="2" t="str">
        <f>IFERROR(__xludf.DUMMYFUNCTION("GOOGLETRANSLATE(A8870, ""en"", ""mt"")"),"Il-ksenoliti jinġabru minn liema u jiġu depożitati fil-matriċi ta 'blat igneous?")</f>
        <v>Il-ksenoliti jinġabru minn liema u jiġu depożitati fil-matriċi ta 'blat igneous?</v>
      </c>
    </row>
    <row r="8871" ht="15.75" customHeight="1">
      <c r="A8871" s="2" t="s">
        <v>8871</v>
      </c>
      <c r="B8871" s="2" t="str">
        <f>IFERROR(__xludf.DUMMYFUNCTION("GOOGLETRANSLATE(A8871, ""en"", ""mt"")"),"X'inhu l-inqas numru ta 'membri li jista' jkollu bord ta 'trustees?")</f>
        <v>X'inhu l-inqas numru ta 'membri li jista' jkollu bord ta 'trustees?</v>
      </c>
    </row>
    <row r="8872" ht="15.75" customHeight="1">
      <c r="A8872" s="2" t="s">
        <v>8872</v>
      </c>
      <c r="B8872" s="2" t="str">
        <f>IFERROR(__xludf.DUMMYFUNCTION("GOOGLETRANSLATE(A8872, ""en"", ""mt"")"),"Id-Dipartiment tal-Affarijiet tal-Istat")</f>
        <v>Id-Dipartiment tal-Affarijiet tal-Istat</v>
      </c>
    </row>
    <row r="8873" ht="15.75" customHeight="1">
      <c r="A8873" s="2" t="s">
        <v>8873</v>
      </c>
      <c r="B8873" s="2" t="str">
        <f>IFERROR(__xludf.DUMMYFUNCTION("GOOGLETRANSLATE(A8873, ""en"", ""mt"")"),"L-armata ta 'min ħelsien Varsavja fl-1806?")</f>
        <v>L-armata ta 'min ħelsien Varsavja fl-1806?</v>
      </c>
    </row>
    <row r="8874" ht="15.75" customHeight="1">
      <c r="A8874" s="2" t="s">
        <v>8874</v>
      </c>
      <c r="B8874" s="2" t="str">
        <f>IFERROR(__xludf.DUMMYFUNCTION("GOOGLETRANSLATE(A8874, ""en"", ""mt"")"),"Flimkien ma '10 Cloverfield Lane, liema trailer Paramount deher matul is-Super Bowl?")</f>
        <v>Flimkien ma '10 Cloverfield Lane, liema trailer Paramount deher matul is-Super Bowl?</v>
      </c>
    </row>
    <row r="8875" ht="15.75" customHeight="1">
      <c r="A8875" s="2" t="s">
        <v>8875</v>
      </c>
      <c r="B8875" s="2" t="str">
        <f>IFERROR(__xludf.DUMMYFUNCTION("GOOGLETRANSLATE(A8875, ""en"", ""mt"")"),"£ 15-100,000")</f>
        <v>£ 15-100,000</v>
      </c>
    </row>
    <row r="8876" ht="15.75" customHeight="1">
      <c r="A8876" s="2" t="s">
        <v>8876</v>
      </c>
      <c r="B8876" s="2" t="str">
        <f>IFERROR(__xludf.DUMMYFUNCTION("GOOGLETRANSLATE(A8876, ""en"", ""mt"")"),"Kemm kien twil l-itwal tabib li l-Milied?")</f>
        <v>Kemm kien twil l-itwal tabib li l-Milied?</v>
      </c>
    </row>
    <row r="8877" ht="15.75" customHeight="1">
      <c r="A8877" s="2" t="s">
        <v>8877</v>
      </c>
      <c r="B8877" s="2" t="str">
        <f>IFERROR(__xludf.DUMMYFUNCTION("GOOGLETRANSLATE(A8877, ""en"", ""mt"")"),"Fejn l-ispiżjara jakkwistaw aktar preparazzjoni wara skola tal-ispiżerija?")</f>
        <v>Fejn l-ispiżjara jakkwistaw aktar preparazzjoni wara skola tal-ispiżerija?</v>
      </c>
    </row>
    <row r="8878" ht="15.75" customHeight="1">
      <c r="A8878" s="2" t="s">
        <v>8878</v>
      </c>
      <c r="B8878" s="2" t="str">
        <f>IFERROR(__xludf.DUMMYFUNCTION("GOOGLETRANSLATE(A8878, ""en"", ""mt"")"),"Liema mużew jispeċjalizza fl-istorja kulturali u ċ-ċiviltajiet tal-emisferu tal-Punent?")</f>
        <v>Liema mużew jispeċjalizza fl-istorja kulturali u ċ-ċiviltajiet tal-emisferu tal-Punent?</v>
      </c>
    </row>
    <row r="8879" ht="15.75" customHeight="1">
      <c r="A8879" s="2" t="s">
        <v>8879</v>
      </c>
      <c r="B8879" s="2" t="str">
        <f>IFERROR(__xludf.DUMMYFUNCTION("GOOGLETRANSLATE(A8879, ""en"", ""mt"")"),"Għal xiex juża l-Euplokamis it-tliet tipi ta 'moviment?")</f>
        <v>Għal xiex juża l-Euplokamis it-tliet tipi ta 'moviment?</v>
      </c>
    </row>
    <row r="8880" ht="15.75" customHeight="1">
      <c r="A8880" s="2" t="s">
        <v>8880</v>
      </c>
      <c r="B8880" s="2" t="str">
        <f>IFERROR(__xludf.DUMMYFUNCTION("GOOGLETRANSLATE(A8880, ""en"", ""mt"")"),"L-enfasi fuq il-mentoring spiritwali fl-Induiżmu hija għolja jew baxxa?")</f>
        <v>L-enfasi fuq il-mentoring spiritwali fl-Induiżmu hija għolja jew baxxa?</v>
      </c>
    </row>
    <row r="8881" ht="15.75" customHeight="1">
      <c r="A8881" s="2" t="s">
        <v>8881</v>
      </c>
      <c r="B8881" s="2" t="str">
        <f>IFERROR(__xludf.DUMMYFUNCTION("GOOGLETRANSLATE(A8881, ""en"", ""mt"")"),"Iffinanzja l-esperimenti tiegħu ta 'Colorado Springs")</f>
        <v>Iffinanzja l-esperimenti tiegħu ta 'Colorado Springs</v>
      </c>
    </row>
    <row r="8882" ht="15.75" customHeight="1">
      <c r="A8882" s="2" t="s">
        <v>8882</v>
      </c>
      <c r="B8882" s="2" t="str">
        <f>IFERROR(__xludf.DUMMYFUNCTION("GOOGLETRANSLATE(A8882, ""en"", ""mt"")"),"Fertilizzazzjoni interna")</f>
        <v>Fertilizzazzjoni interna</v>
      </c>
    </row>
    <row r="8883" ht="15.75" customHeight="1">
      <c r="A8883" s="2" t="s">
        <v>8883</v>
      </c>
      <c r="B8883" s="2" t="str">
        <f>IFERROR(__xludf.DUMMYFUNCTION("GOOGLETRANSLATE(A8883, ""en"", ""mt"")"),"bajjiet")</f>
        <v>bajjiet</v>
      </c>
    </row>
    <row r="8884" ht="15.75" customHeight="1">
      <c r="A8884" s="2" t="s">
        <v>8884</v>
      </c>
      <c r="B8884" s="2" t="str">
        <f>IFERROR(__xludf.DUMMYFUNCTION("GOOGLETRANSLATE(A8884, ""en"", ""mt"")"),"silikati kumplessi")</f>
        <v>silikati kumplessi</v>
      </c>
    </row>
    <row r="8885" ht="15.75" customHeight="1">
      <c r="A8885" s="2" t="s">
        <v>8885</v>
      </c>
      <c r="B8885" s="2" t="str">
        <f>IFERROR(__xludf.DUMMYFUNCTION("GOOGLETRANSLATE(A8885, ""en"", ""mt"")"),"X'kien meħtieġ mit-tfal Huguenot wara li l-editt ġie revokat?")</f>
        <v>X'kien meħtieġ mit-tfal Huguenot wara li l-editt ġie revokat?</v>
      </c>
    </row>
    <row r="8886" ht="15.75" customHeight="1">
      <c r="A8886" s="2" t="s">
        <v>8886</v>
      </c>
      <c r="B8886" s="2" t="str">
        <f>IFERROR(__xludf.DUMMYFUNCTION("GOOGLETRANSLATE(A8886, ""en"", ""mt"")"),"Liema reġjun juża t-terminu 'skejjel privati' biex jirreferi għall-universitajiet?")</f>
        <v>Liema reġjun juża t-terminu 'skejjel privati' biex jirreferi għall-universitajiet?</v>
      </c>
    </row>
    <row r="8887" ht="15.75" customHeight="1">
      <c r="A8887" s="2" t="s">
        <v>8887</v>
      </c>
      <c r="B8887" s="2" t="str">
        <f>IFERROR(__xludf.DUMMYFUNCTION("GOOGLETRANSLATE(A8887, ""en"", ""mt"")"),"X'kienet is-soluzzjoni proposta għall-kwistjonijiet tat-taxxa ta 'Jacksonville?")</f>
        <v>X'kienet is-soluzzjoni proposta għall-kwistjonijiet tat-taxxa ta 'Jacksonville?</v>
      </c>
    </row>
    <row r="8888" ht="15.75" customHeight="1">
      <c r="A8888" s="2" t="s">
        <v>8888</v>
      </c>
      <c r="B8888" s="2" t="str">
        <f>IFERROR(__xludf.DUMMYFUNCTION("GOOGLETRANSLATE(A8888, ""en"", ""mt"")"),"Id-dħul miż-żejt ma kienx qed jibbenefika l-Iskozja daqs kemm għandhom")</f>
        <v>Id-dħul miż-żejt ma kienx qed jibbenefika l-Iskozja daqs kemm għandhom</v>
      </c>
    </row>
    <row r="8889" ht="15.75" customHeight="1">
      <c r="A8889" s="2" t="s">
        <v>8889</v>
      </c>
      <c r="B8889" s="2" t="str">
        <f>IFERROR(__xludf.DUMMYFUNCTION("GOOGLETRANSLATE(A8889, ""en"", ""mt"")"),"Test tal-Primalità Fermat")</f>
        <v>Test tal-Primalità Fermat</v>
      </c>
    </row>
    <row r="8890" ht="15.75" customHeight="1">
      <c r="A8890" s="2" t="s">
        <v>8890</v>
      </c>
      <c r="B8890" s="2" t="str">
        <f>IFERROR(__xludf.DUMMYFUNCTION("GOOGLETRANSLATE(A8890, ""en"", ""mt"")"),"Min jissorvelja tekniku tal-ispiżerija fir-Renju Unit?")</f>
        <v>Min jissorvelja tekniku tal-ispiżerija fir-Renju Unit?</v>
      </c>
    </row>
    <row r="8891" ht="15.75" customHeight="1">
      <c r="A8891" s="2" t="s">
        <v>8891</v>
      </c>
      <c r="B8891" s="2" t="str">
        <f>IFERROR(__xludf.DUMMYFUNCTION("GOOGLETRANSLATE(A8891, ""en"", ""mt"")"),"X'inhu l-moniker li qed jintuża biex jiddeskrivi t-teknoloġija diversifikata tar-reġjun?")</f>
        <v>X'inhu l-moniker li qed jintuża biex jiddeskrivi t-teknoloġija diversifikata tar-reġjun?</v>
      </c>
    </row>
    <row r="8892" ht="15.75" customHeight="1">
      <c r="A8892" s="2" t="s">
        <v>8892</v>
      </c>
      <c r="B8892" s="2" t="str">
        <f>IFERROR(__xludf.DUMMYFUNCTION("GOOGLETRANSLATE(A8892, ""en"", ""mt"")"),"privat")</f>
        <v>privat</v>
      </c>
    </row>
    <row r="8893" ht="15.75" customHeight="1">
      <c r="A8893" s="2" t="s">
        <v>8893</v>
      </c>
      <c r="B8893" s="2" t="str">
        <f>IFERROR(__xludf.DUMMYFUNCTION("GOOGLETRANSLATE(A8893, ""en"", ""mt"")"),"Rebels Red Turban")</f>
        <v>Rebels Red Turban</v>
      </c>
    </row>
    <row r="8894" ht="15.75" customHeight="1">
      <c r="A8894" s="2" t="s">
        <v>8894</v>
      </c>
      <c r="B8894" s="2" t="str">
        <f>IFERROR(__xludf.DUMMYFUNCTION("GOOGLETRANSLATE(A8894, ""en"", ""mt"")"),"Minħabba l-elettronegatività tiegħu, l-ossiġnu jifforma bonds kimiċi ma 'kważi l-elementi l-oħra kollha biex jagħtu ossidi korrispondenti. Il-wiċċ tal-biċċa l-kbira tal-metalli, bħall-aluminju u t-titanju, huma ossidizzati fil-preżenza ta 'l-arja u jsiru "&amp;"miksija b'film irqiq ta' ossidu li jiċċaqlaq il-metall u jrażżan aktar korrużjoni. Ħafna ossidi tal-metalli ta 'transizzjoni huma komposti mhux stojkjometriċi, bi ftit inqas metall milli turi l-formula kimika. Pereżempju, il-FEO minerali (Wüstite) huwa mi"&amp;"ktub bħala Fe
1 - xo, fejn x normalment ikun madwar 0.05.")</f>
        <v>Minħabba l-elettronegatività tiegħu, l-ossiġnu jifforma bonds kimiċi ma 'kważi l-elementi l-oħra kollha biex jagħtu ossidi korrispondenti. Il-wiċċ tal-biċċa l-kbira tal-metalli, bħall-aluminju u t-titanju, huma ossidizzati fil-preżenza ta 'l-arja u jsiru miksija b'film irqiq ta' ossidu li jiċċaqlaq il-metall u jrażżan aktar korrużjoni. Ħafna ossidi tal-metalli ta 'transizzjoni huma komposti mhux stojkjometriċi, bi ftit inqas metall milli turi l-formula kimika. Pereżempju, il-FEO minerali (Wüstite) huwa miktub bħala Fe
1 - xo, fejn x normalment ikun madwar 0.05.</v>
      </c>
    </row>
    <row r="8895" ht="15.75" customHeight="1">
      <c r="A8895" s="2" t="s">
        <v>8895</v>
      </c>
      <c r="B8895" s="2" t="str">
        <f>IFERROR(__xludf.DUMMYFUNCTION("GOOGLETRANSLATE(A8895, ""en"", ""mt"")"),"Istitut Irjali tal-Periti Brittaniċi")</f>
        <v>Istitut Irjali tal-Periti Brittaniċi</v>
      </c>
    </row>
    <row r="8896" ht="15.75" customHeight="1">
      <c r="A8896" s="2" t="s">
        <v>8896</v>
      </c>
      <c r="B8896" s="2" t="str">
        <f>IFERROR(__xludf.DUMMYFUNCTION("GOOGLETRANSLATE(A8896, ""en"", ""mt"")"),"Liema tekniki inkludew il-mediċina Ċiniża?")</f>
        <v>Liema tekniki inkludew il-mediċina Ċiniża?</v>
      </c>
    </row>
    <row r="8897" ht="15.75" customHeight="1">
      <c r="A8897" s="2" t="s">
        <v>8897</v>
      </c>
      <c r="B8897" s="2" t="str">
        <f>IFERROR(__xludf.DUMMYFUNCTION("GOOGLETRANSLATE(A8897, ""en"", ""mt"")"),"apoptożi")</f>
        <v>apoptożi</v>
      </c>
    </row>
    <row r="8898" ht="15.75" customHeight="1">
      <c r="A8898" s="2" t="s">
        <v>8898</v>
      </c>
      <c r="B8898" s="2" t="str">
        <f>IFERROR(__xludf.DUMMYFUNCTION("GOOGLETRANSLATE(A8898, ""en"", ""mt"")"),"$ 200 miljun")</f>
        <v>$ 200 miljun</v>
      </c>
    </row>
    <row r="8899" ht="15.75" customHeight="1">
      <c r="A8899" s="2" t="s">
        <v>8899</v>
      </c>
      <c r="B8899" s="2" t="str">
        <f>IFERROR(__xludf.DUMMYFUNCTION("GOOGLETRANSLATE(A8899, ""en"", ""mt"")"),"Il-Knisja Kattolika fi Franza u ħafna mill-membri tagħha opponew il-Huguenots. Xi predikaturi u kongreganti Huguenot ġew attakkati waqt li ppruvaw jiltaqgħu għall-qima. L-eqqel ta 'din il-persekuzzjoni kien il-massakru ta' Jum San Bartolomew meta nqatlu 5"&amp;",000 sa 30,000, għalkemm kien hemm ukoll raġunijiet politiċi sottostanti għal dan ukoll, peress li wħud mill-Huguenots kienu nobbli li ppruvaw jistabbilixxu ċentri separati ta 'poter fin-Nofsinhar ta' Franza. Ir-ritaljazzjoni kontra l-Kattoliċi Franċiżi, "&amp;"il-Huguenots kellhom il-milizja tagħhom stess.")</f>
        <v>Il-Knisja Kattolika fi Franza u ħafna mill-membri tagħha opponew il-Huguenots. Xi predikaturi u kongreganti Huguenot ġew attakkati waqt li ppruvaw jiltaqgħu għall-qima. L-eqqel ta 'din il-persekuzzjoni kien il-massakru ta' Jum San Bartolomew meta nqatlu 5,000 sa 30,000, għalkemm kien hemm ukoll raġunijiet politiċi sottostanti għal dan ukoll, peress li wħud mill-Huguenots kienu nobbli li ppruvaw jistabbilixxu ċentri separati ta 'poter fin-Nofsinhar ta' Franza. Ir-ritaljazzjoni kontra l-Kattoliċi Franċiżi, il-Huguenots kellhom il-milizja tagħhom stess.</v>
      </c>
    </row>
    <row r="8900" ht="15.75" customHeight="1">
      <c r="A8900" s="2" t="s">
        <v>8900</v>
      </c>
      <c r="B8900" s="2" t="str">
        <f>IFERROR(__xludf.DUMMYFUNCTION("GOOGLETRANSLATE(A8900, ""en"", ""mt"")"),"Imħabba ġenwina ta 'Alla b'qalb, ruħ, moħħ")</f>
        <v>Imħabba ġenwina ta 'Alla b'qalb, ruħ, moħħ</v>
      </c>
    </row>
    <row r="8901" ht="15.75" customHeight="1">
      <c r="A8901" s="2" t="s">
        <v>8901</v>
      </c>
      <c r="B8901" s="2" t="str">
        <f>IFERROR(__xludf.DUMMYFUNCTION("GOOGLETRANSLATE(A8901, ""en"", ""mt"")"),"gwerer u ""xokkijiet ekonomiċi u politiċi vjolenti""")</f>
        <v>gwerer u "xokkijiet ekonomiċi u politiċi vjolenti"</v>
      </c>
    </row>
    <row r="8902" ht="15.75" customHeight="1">
      <c r="A8902" s="2" t="s">
        <v>8902</v>
      </c>
      <c r="B8902" s="2" t="str">
        <f>IFERROR(__xludf.DUMMYFUNCTION("GOOGLETRANSLATE(A8902, ""en"", ""mt"")"),"Iż-żewġ naħat jirtiraw mill-grawnd")</f>
        <v>Iż-żewġ naħat jirtiraw mill-grawnd</v>
      </c>
    </row>
    <row r="8903" ht="15.75" customHeight="1">
      <c r="A8903" s="2" t="s">
        <v>8903</v>
      </c>
      <c r="B8903" s="2" t="str">
        <f>IFERROR(__xludf.DUMMYFUNCTION("GOOGLETRANSLATE(A8903, ""en"", ""mt"")"),"Nies sempliċi")</f>
        <v>Nies sempliċi</v>
      </c>
    </row>
    <row r="8904" ht="15.75" customHeight="1">
      <c r="A8904" s="2" t="s">
        <v>8904</v>
      </c>
      <c r="B8904" s="2" t="str">
        <f>IFERROR(__xludf.DUMMYFUNCTION("GOOGLETRANSLATE(A8904, ""en"", ""mt"")"),"X’kontradikkejt dan il-kunċett")</f>
        <v>X’kontradikkejt dan il-kunċett</v>
      </c>
    </row>
    <row r="8905" ht="15.75" customHeight="1">
      <c r="A8905" s="2" t="s">
        <v>8905</v>
      </c>
      <c r="B8905" s="2" t="str">
        <f>IFERROR(__xludf.DUMMYFUNCTION("GOOGLETRANSLATE(A8905, ""en"", ""mt"")"),"X'pożizzjoni kellha Luther f'Wittenberg?")</f>
        <v>X'pożizzjoni kellha Luther f'Wittenberg?</v>
      </c>
    </row>
    <row r="8906" ht="15.75" customHeight="1">
      <c r="A8906" s="2" t="s">
        <v>8906</v>
      </c>
      <c r="B8906" s="2" t="str">
        <f>IFERROR(__xludf.DUMMYFUNCTION("GOOGLETRANSLATE(A8906, ""en"", ""mt"")"),"tixrid ta 'mard mill-Ewropa")</f>
        <v>tixrid ta 'mard mill-Ewropa</v>
      </c>
    </row>
    <row r="8907" ht="15.75" customHeight="1">
      <c r="A8907" s="2" t="s">
        <v>8907</v>
      </c>
      <c r="B8907" s="2" t="str">
        <f>IFERROR(__xludf.DUMMYFUNCTION("GOOGLETRANSLATE(A8907, ""en"", ""mt"")"),"biex taqsam reġistrazzjonijiet u midja oħra")</f>
        <v>biex taqsam reġistrazzjonijiet u midja oħra</v>
      </c>
    </row>
    <row r="8908" ht="15.75" customHeight="1">
      <c r="A8908" s="2" t="s">
        <v>8908</v>
      </c>
      <c r="B8908" s="2" t="str">
        <f>IFERROR(__xludf.DUMMYFUNCTION("GOOGLETRANSLATE(A8908, ""en"", ""mt"")"),"Fin-nofsinhar")</f>
        <v>Fin-nofsinhar</v>
      </c>
    </row>
    <row r="8909" ht="15.75" customHeight="1">
      <c r="A8909" s="2" t="s">
        <v>8909</v>
      </c>
      <c r="B8909" s="2" t="str">
        <f>IFERROR(__xludf.DUMMYFUNCTION("GOOGLETRANSLATE(A8909, ""en"", ""mt"")"),"effikaċja ta 'reġimi ta' trattament")</f>
        <v>effikaċja ta 'reġimi ta' trattament</v>
      </c>
    </row>
    <row r="8910" ht="15.75" customHeight="1">
      <c r="A8910" s="2" t="s">
        <v>8910</v>
      </c>
      <c r="B8910" s="2" t="str">
        <f>IFERROR(__xludf.DUMMYFUNCTION("GOOGLETRANSLATE(A8910, ""en"", ""mt"")"),"Waqt li kien f'Limassol, Richard the Lion-Heart iżżewweġ lil Berengaria ta 'Navarra, l-ewwel tifla tat-twelid tar-Re Sancho VI ta' Navarra. It-tieġ sar fit-12 ta ’Mejju 1191 fil-kappella ta’ San Ġorġ u kien jattendi oħt Richard Joan, li kien ġab minn Sqal"&amp;"lija. Iż-żwieġ ġie ċċelebrat bi pompa kbira u splendor. Fost ċerimonji kbar oħra kien hemm inkurunazzjoni doppja: Richard ikkawża lilu nnifsu li jkun inkurunat Re ta ’Ċipru, u r-Reġina tal-Berengaria tal-Ingilterra u r-Reġina ta’ Ċipru wkoll.")</f>
        <v>Waqt li kien f'Limassol, Richard the Lion-Heart iżżewweġ lil Berengaria ta 'Navarra, l-ewwel tifla tat-twelid tar-Re Sancho VI ta' Navarra. It-tieġ sar fit-12 ta ’Mejju 1191 fil-kappella ta’ San Ġorġ u kien jattendi oħt Richard Joan, li kien ġab minn Sqallija. Iż-żwieġ ġie ċċelebrat bi pompa kbira u splendor. Fost ċerimonji kbar oħra kien hemm inkurunazzjoni doppja: Richard ikkawża lilu nnifsu li jkun inkurunat Re ta ’Ċipru, u r-Reġina tal-Berengaria tal-Ingilterra u r-Reġina ta’ Ċipru wkoll.</v>
      </c>
    </row>
    <row r="8911" ht="15.75" customHeight="1">
      <c r="A8911" s="2" t="s">
        <v>8911</v>
      </c>
      <c r="B8911" s="2" t="str">
        <f>IFERROR(__xludf.DUMMYFUNCTION("GOOGLETRANSLATE(A8911, ""en"", ""mt"")"),"Liema ġerarkija finita timplika li l-problema tal-isomorfiżmu tal-graff hija kompluta NP?")</f>
        <v>Liema ġerarkija finita timplika li l-problema tal-isomorfiżmu tal-graff hija kompluta NP?</v>
      </c>
    </row>
    <row r="8912" ht="15.75" customHeight="1">
      <c r="A8912" s="2" t="s">
        <v>8912</v>
      </c>
      <c r="B8912" s="2" t="str">
        <f>IFERROR(__xludf.DUMMYFUNCTION("GOOGLETRANSLATE(A8912, ""en"", ""mt"")"),"Kemm kien preċiż Guo għamel il-kalendarju lunisolari riformat?")</f>
        <v>Kemm kien preċiż Guo għamel il-kalendarju lunisolari riformat?</v>
      </c>
    </row>
    <row r="8913" ht="15.75" customHeight="1">
      <c r="A8913" s="2" t="s">
        <v>8913</v>
      </c>
      <c r="B8913" s="2" t="str">
        <f>IFERROR(__xludf.DUMMYFUNCTION("GOOGLETRANSLATE(A8913, ""en"", ""mt"")"),"L-annimali tal-kaċċa ""Big Five"" ta 'l-Afrika, jiġifieri l-iljun, leopard, buflu, rinocerju, u iljunfant, jistgħu jinstabu fil-Kenja u b'mod partikolari fil-Masai Mara. Popolazzjoni sinifikanti ta 'annimali selvaġġi oħra, rettili u għasafar tista' tinsta"&amp;"b fil-parks nazzjonali u fir-riservi tal-logħob fil-pajjiż. Il-migrazzjoni annwali tal-annimali sseħħ bejn Ġunju u Settembru b'miljuni ta 'annimali li jieħdu sehem, u jattiraw turiżmu barrani siewi. Żewġ miljun wildebeest jemigraw distanza ta '2,900 kilom"&amp;"etru (1,802 mi) mis-Serengeti fit-Tanzanija ġirien sal-Masai Mara fil-Kenja, b'mod kostanti lejn il-lemin, ifittxu provvisti ta' ikel u ilma. Din il-migrazzjoni Serengeti tal-Wildebeest hija spettaklu kurjuż elenkat fost l-10 għeġubijiet naturali tal-Afri"&amp;"ka.")</f>
        <v>L-annimali tal-kaċċa "Big Five" ta 'l-Afrika, jiġifieri l-iljun, leopard, buflu, rinocerju, u iljunfant, jistgħu jinstabu fil-Kenja u b'mod partikolari fil-Masai Mara. Popolazzjoni sinifikanti ta 'annimali selvaġġi oħra, rettili u għasafar tista' tinstab fil-parks nazzjonali u fir-riservi tal-logħob fil-pajjiż. Il-migrazzjoni annwali tal-annimali sseħħ bejn Ġunju u Settembru b'miljuni ta 'annimali li jieħdu sehem, u jattiraw turiżmu barrani siewi. Żewġ miljun wildebeest jemigraw distanza ta '2,900 kilometru (1,802 mi) mis-Serengeti fit-Tanzanija ġirien sal-Masai Mara fil-Kenja, b'mod kostanti lejn il-lemin, ifittxu provvisti ta' ikel u ilma. Din il-migrazzjoni Serengeti tal-Wildebeest hija spettaklu kurjuż elenkat fost l-10 għeġubijiet naturali tal-Afrika.</v>
      </c>
    </row>
    <row r="8914" ht="15.75" customHeight="1">
      <c r="A8914" s="2" t="s">
        <v>8914</v>
      </c>
      <c r="B8914" s="2" t="str">
        <f>IFERROR(__xludf.DUMMYFUNCTION("GOOGLETRANSLATE(A8914, ""en"", ""mt"")"),"Konfederat")</f>
        <v>Konfederat</v>
      </c>
    </row>
    <row r="8915" ht="15.75" customHeight="1">
      <c r="A8915" s="2" t="s">
        <v>8915</v>
      </c>
      <c r="B8915" s="2" t="str">
        <f>IFERROR(__xludf.DUMMYFUNCTION("GOOGLETRANSLATE(A8915, ""en"", ""mt"")"),"Ukoll qabel it-tluq ta 'Braddock għall-Amerika ta' Fuq")</f>
        <v>Ukoll qabel it-tluq ta 'Braddock għall-Amerika ta' Fuq</v>
      </c>
    </row>
    <row r="8916" ht="15.75" customHeight="1">
      <c r="A8916" s="2" t="s">
        <v>8916</v>
      </c>
      <c r="B8916" s="2" t="str">
        <f>IFERROR(__xludf.DUMMYFUNCTION("GOOGLETRANSLATE(A8916, ""en"", ""mt"")"),"innifsu")</f>
        <v>innifsu</v>
      </c>
    </row>
    <row r="8917" ht="15.75" customHeight="1">
      <c r="A8917" s="2" t="s">
        <v>8917</v>
      </c>
      <c r="B8917" s="2" t="str">
        <f>IFERROR(__xludf.DUMMYFUNCTION("GOOGLETRANSLATE(A8917, ""en"", ""mt"")"),"mitluf")</f>
        <v>mitluf</v>
      </c>
    </row>
    <row r="8918" ht="15.75" customHeight="1">
      <c r="A8918" s="2" t="s">
        <v>8918</v>
      </c>
      <c r="B8918" s="2" t="str">
        <f>IFERROR(__xludf.DUMMYFUNCTION("GOOGLETRANSLATE(A8918, ""en"", ""mt"")"),"il-Musulman")</f>
        <v>il-Musulman</v>
      </c>
    </row>
    <row r="8919" ht="15.75" customHeight="1">
      <c r="A8919" s="2" t="s">
        <v>8919</v>
      </c>
      <c r="B8919" s="2" t="str">
        <f>IFERROR(__xludf.DUMMYFUNCTION("GOOGLETRANSLATE(A8919, ""en"", ""mt"")"),"F'liema data ħabbret l-NFL li Coldplay kien se jmexxi l-ispettaklu tal-mistrieħ?")</f>
        <v>F'liema data ħabbret l-NFL li Coldplay kien se jmexxi l-ispettaklu tal-mistrieħ?</v>
      </c>
    </row>
    <row r="8920" ht="15.75" customHeight="1">
      <c r="A8920" s="2" t="s">
        <v>8920</v>
      </c>
      <c r="B8920" s="2" t="str">
        <f>IFERROR(__xludf.DUMMYFUNCTION("GOOGLETRANSLATE(A8920, ""en"", ""mt"")"),"2.5 biljun sena ilu matul l-avveniment kbir ta 'ossiġenazzjoni")</f>
        <v>2.5 biljun sena ilu matul l-avveniment kbir ta 'ossiġenazzjoni</v>
      </c>
    </row>
    <row r="8921" ht="15.75" customHeight="1">
      <c r="A8921" s="2" t="s">
        <v>8921</v>
      </c>
      <c r="B8921" s="2" t="str">
        <f>IFERROR(__xludf.DUMMYFUNCTION("GOOGLETRANSLATE(A8921, ""en"", ""mt"")"),"X’għamel Luther fl-aħħar tad-diskors tiegħu?")</f>
        <v>X’għamel Luther fl-aħħar tad-diskors tiegħu?</v>
      </c>
    </row>
    <row r="8922" ht="15.75" customHeight="1">
      <c r="A8922" s="2" t="s">
        <v>8922</v>
      </c>
      <c r="B8922" s="2" t="str">
        <f>IFERROR(__xludf.DUMMYFUNCTION("GOOGLETRANSLATE(A8922, ""en"", ""mt"")"),"permezz ta ’kuntatt ma’ negozjanti Persjani")</f>
        <v>permezz ta ’kuntatt ma’ negozjanti Persjani</v>
      </c>
    </row>
    <row r="8923" ht="15.75" customHeight="1">
      <c r="A8923" s="2" t="s">
        <v>8923</v>
      </c>
      <c r="B8923" s="2" t="str">
        <f>IFERROR(__xludf.DUMMYFUNCTION("GOOGLETRANSLATE(A8923, ""en"", ""mt"")"),"xulxin")</f>
        <v>xulxin</v>
      </c>
    </row>
    <row r="8924" ht="15.75" customHeight="1">
      <c r="A8924" s="2" t="s">
        <v>8924</v>
      </c>
      <c r="B8924" s="2" t="str">
        <f>IFERROR(__xludf.DUMMYFUNCTION("GOOGLETRANSLATE(A8924, ""en"", ""mt"")"),"il-papat")</f>
        <v>il-papat</v>
      </c>
    </row>
    <row r="8925" ht="15.75" customHeight="1">
      <c r="A8925" s="2" t="s">
        <v>8925</v>
      </c>
      <c r="B8925" s="2" t="str">
        <f>IFERROR(__xludf.DUMMYFUNCTION("GOOGLETRANSLATE(A8925, ""en"", ""mt"")"),"Ċiklu bijokimiku")</f>
        <v>Ċiklu bijokimiku</v>
      </c>
    </row>
    <row r="8926" ht="15.75" customHeight="1">
      <c r="A8926" s="2" t="s">
        <v>8926</v>
      </c>
      <c r="B8926" s="2" t="str">
        <f>IFERROR(__xludf.DUMMYFUNCTION("GOOGLETRANSLATE(A8926, ""en"", ""mt"")"),"Terrestri diġitali")</f>
        <v>Terrestri diġitali</v>
      </c>
    </row>
    <row r="8927" ht="15.75" customHeight="1">
      <c r="A8927" s="2" t="s">
        <v>8927</v>
      </c>
      <c r="B8927" s="2" t="str">
        <f>IFERROR(__xludf.DUMMYFUNCTION("GOOGLETRANSLATE(A8927, ""en"", ""mt"")"),"L-ewwel elezzjonijiet diretti għall-Kenjani Nattivi għall-Kunsill Leġiżlattiv seħħew fl-1957. Minkejja t-tamiet Ingliżi li tagħti l-poter lil ""moderati"" rivali lokali, kienet l-Unjoni Nazzjonali Afrikana tal-Kenja (Kanu) ta 'Jomo Kenyatta li ffurmat gve"&amp;"rn. Il-Kolonja tal-Kenja u l-Protettorat tal-Kenja ntemmu kull wieħed fit-12 ta 'Diċembru 1963 bl-indipendenza jingħataw lill-Kenja kollha. Ir-Renju Unit ċediet is-sovranità fuq il-kolonja tal-Kenja u, taħt ftehim bid-data tat-8 ta 'Ottubru 1963, is-Sulta"&amp;"n ta' Zanzibar qabel li simultanju mal-indipendenza għall-kolonja tal-Kenja, is-Sultan ma jibqax ikollu sovranità fuq il-protettorat tal-Kenja hekk li dak kollu tal-Kenja jkun stat sovran u indipendenti wieħed. B'dan il-mod, il-Kenja saret pajjiż indipend"&amp;"enti taħt l-Att dwar l-Indipendenza tal-Kenja tal-1963 tar-Renju Unit. Eżattament 12-il xahar wara fit-12 ta 'Diċembru 1964, il-Kenja saret repubblika taħt l-isem ""Repubblika tal-Kenja"".")</f>
        <v>L-ewwel elezzjonijiet diretti għall-Kenjani Nattivi għall-Kunsill Leġiżlattiv seħħew fl-1957. Minkejja t-tamiet Ingliżi li tagħti l-poter lil "moderati" rivali lokali, kienet l-Unjoni Nazzjonali Afrikana tal-Kenja (Kanu) ta 'Jomo Kenyatta li ffurmat gvern. Il-Kolonja tal-Kenja u l-Protettorat tal-Kenja ntemmu kull wieħed fit-12 ta 'Diċembru 1963 bl-indipendenza jingħataw lill-Kenja kollha. Ir-Renju Unit ċediet is-sovranità fuq il-kolonja tal-Kenja u, taħt ftehim bid-data tat-8 ta 'Ottubru 1963, is-Sultan ta' Zanzibar qabel li simultanju mal-indipendenza għall-kolonja tal-Kenja, is-Sultan ma jibqax ikollu sovranità fuq il-protettorat tal-Kenja hekk li dak kollu tal-Kenja jkun stat sovran u indipendenti wieħed. B'dan il-mod, il-Kenja saret pajjiż indipendenti taħt l-Att dwar l-Indipendenza tal-Kenja tal-1963 tar-Renju Unit. Eżattament 12-il xahar wara fit-12 ta 'Diċembru 1964, il-Kenja saret repubblika taħt l-isem "Repubblika tal-Kenja".</v>
      </c>
    </row>
    <row r="8928" ht="15.75" customHeight="1">
      <c r="A8928" s="2" t="s">
        <v>8928</v>
      </c>
      <c r="B8928" s="2" t="str">
        <f>IFERROR(__xludf.DUMMYFUNCTION("GOOGLETRANSLATE(A8928, ""en"", ""mt"")"),"komun")</f>
        <v>komun</v>
      </c>
    </row>
    <row r="8929" ht="15.75" customHeight="1">
      <c r="A8929" s="2" t="s">
        <v>8929</v>
      </c>
      <c r="B8929" s="2" t="str">
        <f>IFERROR(__xludf.DUMMYFUNCTION("GOOGLETRANSLATE(A8929, ""en"", ""mt"")"),"Ferrovija ta 'Stockton u Darlington")</f>
        <v>Ferrovija ta 'Stockton u Darlington</v>
      </c>
    </row>
    <row r="8930" ht="15.75" customHeight="1">
      <c r="A8930" s="2" t="s">
        <v>8930</v>
      </c>
      <c r="B8930" s="2" t="str">
        <f>IFERROR(__xludf.DUMMYFUNCTION("GOOGLETRANSLATE(A8930, ""en"", ""mt"")"),"Liema apparat jintuża biex jikkura diversi kundizzjonijiet bħall-avvelenament mill-monossidu tal-karbonju?")</f>
        <v>Liema apparat jintuża biex jikkura diversi kundizzjonijiet bħall-avvelenament mill-monossidu tal-karbonju?</v>
      </c>
    </row>
    <row r="8931" ht="15.75" customHeight="1">
      <c r="A8931" s="2" t="s">
        <v>8931</v>
      </c>
      <c r="B8931" s="2" t="str">
        <f>IFERROR(__xludf.DUMMYFUNCTION("GOOGLETRANSLATE(A8931, ""en"", ""mt"")"),"infinitament ħafna numri ewlenin")</f>
        <v>infinitament ħafna numri ewlenin</v>
      </c>
    </row>
    <row r="8932" ht="15.75" customHeight="1">
      <c r="A8932" s="2" t="s">
        <v>8932</v>
      </c>
      <c r="B8932" s="2" t="str">
        <f>IFERROR(__xludf.DUMMYFUNCTION("GOOGLETRANSLATE(A8932, ""en"", ""mt"")"),"Skejjel tal-Istat jew tal-Gvern")</f>
        <v>Skejjel tal-Istat jew tal-Gvern</v>
      </c>
    </row>
    <row r="8933" ht="15.75" customHeight="1">
      <c r="A8933" s="2" t="s">
        <v>8933</v>
      </c>
      <c r="B8933" s="2" t="str">
        <f>IFERROR(__xludf.DUMMYFUNCTION("GOOGLETRANSLATE(A8933, ""en"", ""mt"")"),"Limitazzjonijiet prattiċi ta 'ħidma fil-foresta tropikali")</f>
        <v>Limitazzjonijiet prattiċi ta 'ħidma fil-foresta tropikali</v>
      </c>
    </row>
    <row r="8934" ht="15.75" customHeight="1">
      <c r="A8934" s="2" t="s">
        <v>8934</v>
      </c>
      <c r="B8934" s="2" t="str">
        <f>IFERROR(__xludf.DUMMYFUNCTION("GOOGLETRANSLATE(A8934, ""en"", ""mt"")"),"jikteb ktieb ta ’ħames volum fil-Grieg nattiv tiegħu")</f>
        <v>jikteb ktieb ta ’ħames volum fil-Grieg nattiv tiegħu</v>
      </c>
    </row>
    <row r="8935" ht="15.75" customHeight="1">
      <c r="A8935" s="2" t="s">
        <v>8935</v>
      </c>
      <c r="B8935" s="2" t="str">
        <f>IFERROR(__xludf.DUMMYFUNCTION("GOOGLETRANSLATE(A8935, ""en"", ""mt"")"),"mill-inqas 90%")</f>
        <v>mill-inqas 90%</v>
      </c>
    </row>
    <row r="8936" ht="15.75" customHeight="1">
      <c r="A8936" s="2" t="s">
        <v>8936</v>
      </c>
      <c r="B8936" s="2" t="str">
        <f>IFERROR(__xludf.DUMMYFUNCTION("GOOGLETRANSLATE(A8936, ""en"", ""mt"")"),"X'inhu jikser liġi li mhix l-għan tal-protesta msejħa?")</f>
        <v>X'inhu jikser liġi li mhix l-għan tal-protesta msejħa?</v>
      </c>
    </row>
    <row r="8937" ht="15.75" customHeight="1">
      <c r="A8937" s="2" t="s">
        <v>8937</v>
      </c>
      <c r="B8937" s="2" t="str">
        <f>IFERROR(__xludf.DUMMYFUNCTION("GOOGLETRANSLATE(A8937, ""en"", ""mt"")"),"mill-Aħżen u l-Qlib tal-Quddiem")</f>
        <v>mill-Aħżen u l-Qlib tal-Quddiem</v>
      </c>
    </row>
    <row r="8938" ht="15.75" customHeight="1">
      <c r="A8938" s="2" t="s">
        <v>8938</v>
      </c>
      <c r="B8938" s="2" t="str">
        <f>IFERROR(__xludf.DUMMYFUNCTION("GOOGLETRANSLATE(A8938, ""en"", ""mt"")"),"Qabbad l-istess sekwenza diversi drabi mal-istess oġġett permezz tal-użu ta 'set-up li juża taljoli mobbli,")</f>
        <v>Qabbad l-istess sekwenza diversi drabi mal-istess oġġett permezz tal-użu ta 'set-up li juża taljoli mobbli,</v>
      </c>
    </row>
    <row r="8939" ht="15.75" customHeight="1">
      <c r="A8939" s="2" t="s">
        <v>8939</v>
      </c>
      <c r="B8939" s="2" t="str">
        <f>IFERROR(__xludf.DUMMYFUNCTION("GOOGLETRANSLATE(A8939, ""en"", ""mt"")"),"Impjant tat-turbina tal-fwar")</f>
        <v>Impjant tat-turbina tal-fwar</v>
      </c>
    </row>
    <row r="8940" ht="15.75" customHeight="1">
      <c r="A8940" s="2" t="s">
        <v>8940</v>
      </c>
      <c r="B8940" s="2" t="str">
        <f>IFERROR(__xludf.DUMMYFUNCTION("GOOGLETRANSLATE(A8940, ""en"", ""mt"")"),"bħala irrazzjonali u lura")</f>
        <v>bħala irrazzjonali u lura</v>
      </c>
    </row>
    <row r="8941" ht="15.75" customHeight="1">
      <c r="A8941" s="2" t="s">
        <v>8941</v>
      </c>
      <c r="B8941" s="2" t="str">
        <f>IFERROR(__xludf.DUMMYFUNCTION("GOOGLETRANSLATE(A8941, ""en"", ""mt"")"),"antikorpi")</f>
        <v>antikorpi</v>
      </c>
    </row>
    <row r="8942" ht="15.75" customHeight="1">
      <c r="A8942" s="2" t="s">
        <v>8942</v>
      </c>
      <c r="B8942" s="2" t="str">
        <f>IFERROR(__xludf.DUMMYFUNCTION("GOOGLETRANSLATE(A8942, ""en"", ""mt"")"),"Rigal")</f>
        <v>Rigal</v>
      </c>
    </row>
    <row r="8943" ht="15.75" customHeight="1">
      <c r="A8943" s="2" t="s">
        <v>8943</v>
      </c>
      <c r="B8943" s="2" t="str">
        <f>IFERROR(__xludf.DUMMYFUNCTION("GOOGLETRANSLATE(A8943, ""en"", ""mt"")"),"X'inhu importanti għal għalliem biex igawdi?")</f>
        <v>X'inhu importanti għal għalliem biex igawdi?</v>
      </c>
    </row>
    <row r="8944" ht="15.75" customHeight="1">
      <c r="A8944" s="2" t="s">
        <v>8944</v>
      </c>
      <c r="B8944" s="2" t="str">
        <f>IFERROR(__xludf.DUMMYFUNCTION("GOOGLETRANSLATE(A8944, ""en"", ""mt"")"),"Pavimenti tal-Mużajk")</f>
        <v>Pavimenti tal-Mużajk</v>
      </c>
    </row>
    <row r="8945" ht="15.75" customHeight="1">
      <c r="A8945" s="2" t="s">
        <v>8945</v>
      </c>
      <c r="B8945" s="2" t="str">
        <f>IFERROR(__xludf.DUMMYFUNCTION("GOOGLETRANSLATE(A8945, ""en"", ""mt"")"),"Meta s-servizz tal-lanċa tad-DFDS għall-operazzjoni tal-każ tal-Isvezja?")</f>
        <v>Meta s-servizz tal-lanċa tad-DFDS għall-operazzjoni tal-każ tal-Isvezja?</v>
      </c>
    </row>
    <row r="8946" ht="15.75" customHeight="1">
      <c r="A8946" s="2" t="s">
        <v>8946</v>
      </c>
      <c r="B8946" s="2" t="str">
        <f>IFERROR(__xludf.DUMMYFUNCTION("GOOGLETRANSLATE(A8946, ""en"", ""mt"")"),"żieda fl-art disponibbli għall-kultivazzjoni")</f>
        <v>żieda fl-art disponibbli għall-kultivazzjoni</v>
      </c>
    </row>
    <row r="8947" ht="15.75" customHeight="1">
      <c r="A8947" s="2" t="s">
        <v>8947</v>
      </c>
      <c r="B8947" s="2" t="str">
        <f>IFERROR(__xludf.DUMMYFUNCTION("GOOGLETRANSLATE(A8947, ""en"", ""mt"")"),"X'tip ta 'reġjun jista' jinstab fiż-żona urbana tan-Nofsinhar ta 'California?")</f>
        <v>X'tip ta 'reġjun jista' jinstab fiż-żona urbana tan-Nofsinhar ta 'California?</v>
      </c>
    </row>
    <row r="8948" ht="15.75" customHeight="1">
      <c r="A8948" s="2" t="s">
        <v>8948</v>
      </c>
      <c r="B8948" s="2" t="str">
        <f>IFERROR(__xludf.DUMMYFUNCTION("GOOGLETRANSLATE(A8948, ""en"", ""mt"")"),"6 ta 'Ġunju, 1951")</f>
        <v>6 ta 'Ġunju, 1951</v>
      </c>
    </row>
    <row r="8949" ht="15.75" customHeight="1">
      <c r="A8949" s="2" t="s">
        <v>8949</v>
      </c>
      <c r="B8949" s="2" t="str">
        <f>IFERROR(__xludf.DUMMYFUNCTION("GOOGLETRANSLATE(A8949, ""en"", ""mt"")"),"marġinalment aktar")</f>
        <v>marġinalment aktar</v>
      </c>
    </row>
    <row r="8950" ht="15.75" customHeight="1">
      <c r="A8950" s="2" t="s">
        <v>8950</v>
      </c>
      <c r="B8950" s="2" t="str">
        <f>IFERROR(__xludf.DUMMYFUNCTION("GOOGLETRANSLATE(A8950, ""en"", ""mt"")"),"Kwaternarju")</f>
        <v>Kwaternarju</v>
      </c>
    </row>
    <row r="8951" ht="15.75" customHeight="1">
      <c r="A8951" s="2" t="s">
        <v>8951</v>
      </c>
      <c r="B8951" s="2" t="str">
        <f>IFERROR(__xludf.DUMMYFUNCTION("GOOGLETRANSLATE(A8951, ""en"", ""mt"")"),"1,600")</f>
        <v>1,600</v>
      </c>
    </row>
    <row r="8952" ht="15.75" customHeight="1">
      <c r="A8952" s="2" t="s">
        <v>8952</v>
      </c>
      <c r="B8952" s="2" t="str">
        <f>IFERROR(__xludf.DUMMYFUNCTION("GOOGLETRANSLATE(A8952, ""en"", ""mt"")"),"il-pulizija u l-forzi armati")</f>
        <v>il-pulizija u l-forzi armati</v>
      </c>
    </row>
    <row r="8953" ht="15.75" customHeight="1">
      <c r="A8953" s="2" t="s">
        <v>8953</v>
      </c>
      <c r="B8953" s="2" t="str">
        <f>IFERROR(__xludf.DUMMYFUNCTION("GOOGLETRANSLATE(A8953, ""en"", ""mt"")"),"L-ewwel lokomotiva tal-fwar tal-ferrovija fuq skala sħiħa fuq skala sħiħa nbniet minn Richard Trevithick fir-Renju Unit u, fil-21 ta 'Frar 1804, l-ewwel vjaġġ ferrovjarju tad-dinja seħħ hekk kif il-lokomotiva tal-fwar bla isem ta' Trevithick ġab ferrovija"&amp;" tul it-tramway mill-pen-y-daren Ironworks, qrib Merthyr Tydfil lil Abercynon fin-Nofsinhar ta ’Wales. Id-disinn inkorpora numru ta 'innovazzjonijiet importanti li kienu jinkludu l-użu ta' fwar bi pressjoni għolja li naqqas il-piż tal-magna u żied l-effiċ"&amp;"jenza tiegħu. Trevithick żar iż-żona ta ’Newcastle aktar tard fl-1804 u l-Ferroviji tal-Colliery fil-Grigal tal-Ingilterra saru ċ-ċentru ewlieni għall-esperimentazzjoni u l-iżvilupp ta’ lokomottivi tal-fwar.")</f>
        <v>L-ewwel lokomotiva tal-fwar tal-ferrovija fuq skala sħiħa fuq skala sħiħa nbniet minn Richard Trevithick fir-Renju Unit u, fil-21 ta 'Frar 1804, l-ewwel vjaġġ ferrovjarju tad-dinja seħħ hekk kif il-lokomotiva tal-fwar bla isem ta' Trevithick ġab ferrovija tul it-tramway mill-pen-y-daren Ironworks, qrib Merthyr Tydfil lil Abercynon fin-Nofsinhar ta ’Wales. Id-disinn inkorpora numru ta 'innovazzjonijiet importanti li kienu jinkludu l-użu ta' fwar bi pressjoni għolja li naqqas il-piż tal-magna u żied l-effiċjenza tiegħu. Trevithick żar iż-żona ta ’Newcastle aktar tard fl-1804 u l-Ferroviji tal-Colliery fil-Grigal tal-Ingilterra saru ċ-ċentru ewlieni għall-esperimentazzjoni u l-iżvilupp ta’ lokomottivi tal-fwar.</v>
      </c>
    </row>
    <row r="8954" ht="15.75" customHeight="1">
      <c r="A8954" s="2" t="s">
        <v>8954</v>
      </c>
      <c r="B8954" s="2" t="str">
        <f>IFERROR(__xludf.DUMMYFUNCTION("GOOGLETRANSLATE(A8954, ""en"", ""mt"")"),"Kif huwa pprovdut id-dawra billi tirkeb fuq il-port tal-ġenb tad-dħul?")</f>
        <v>Kif huwa pprovdut id-dawra billi tirkeb fuq il-port tal-ġenb tad-dħul?</v>
      </c>
    </row>
    <row r="8955" ht="15.75" customHeight="1">
      <c r="A8955" s="2" t="s">
        <v>8955</v>
      </c>
      <c r="B8955" s="2" t="str">
        <f>IFERROR(__xludf.DUMMYFUNCTION("GOOGLETRANSLATE(A8955, ""en"", ""mt"")"),"Liema armata attakkat u qerdet din il-kolonja?")</f>
        <v>Liema armata attakkat u qerdet din il-kolonja?</v>
      </c>
    </row>
    <row r="8956" ht="15.75" customHeight="1">
      <c r="A8956" s="2" t="s">
        <v>8956</v>
      </c>
      <c r="B8956" s="2" t="str">
        <f>IFERROR(__xludf.DUMMYFUNCTION("GOOGLETRANSLATE(A8956, ""en"", ""mt"")"),"Ġid mill-imħassra futura tal-gwerra possibbli")</f>
        <v>Ġid mill-imħassra futura tal-gwerra possibbli</v>
      </c>
    </row>
    <row r="8957" ht="15.75" customHeight="1">
      <c r="A8957" s="2" t="s">
        <v>8957</v>
      </c>
      <c r="B8957" s="2" t="str">
        <f>IFERROR(__xludf.DUMMYFUNCTION("GOOGLETRANSLATE(A8957, ""en"", ""mt"")"),"madwar mija")</f>
        <v>madwar mija</v>
      </c>
    </row>
    <row r="8958" ht="15.75" customHeight="1">
      <c r="A8958" s="2" t="s">
        <v>8958</v>
      </c>
      <c r="B8958" s="2" t="str">
        <f>IFERROR(__xludf.DUMMYFUNCTION("GOOGLETRANSLATE(A8958, ""en"", ""mt"")"),"Kemm timijiet li Manning rebħu s-Super Bowl?")</f>
        <v>Kemm timijiet li Manning rebħu s-Super Bowl?</v>
      </c>
    </row>
    <row r="8959" ht="15.75" customHeight="1">
      <c r="A8959" s="2" t="s">
        <v>8959</v>
      </c>
      <c r="B8959" s="2" t="str">
        <f>IFERROR(__xludf.DUMMYFUNCTION("GOOGLETRANSLATE(A8959, ""en"", ""mt"")"),"Liema kumpanija WorldVision biegħet porzjon tal-katalgu tagħha fl-1990?")</f>
        <v>Liema kumpanija WorldVision biegħet porzjon tal-katalgu tagħha fl-1990?</v>
      </c>
    </row>
    <row r="8960" ht="15.75" customHeight="1">
      <c r="A8960" s="2" t="s">
        <v>8960</v>
      </c>
      <c r="B8960" s="2" t="str">
        <f>IFERROR(__xludf.DUMMYFUNCTION("GOOGLETRANSLATE(A8960, ""en"", ""mt"")"),"Lega tan-Nazzjonijiet")</f>
        <v>Lega tan-Nazzjonijiet</v>
      </c>
    </row>
    <row r="8961" ht="15.75" customHeight="1">
      <c r="A8961" s="2" t="s">
        <v>8961</v>
      </c>
      <c r="B8961" s="2" t="str">
        <f>IFERROR(__xludf.DUMMYFUNCTION("GOOGLETRANSLATE(A8961, ""en"", ""mt"")"),"Aqta 'bin-nofs")</f>
        <v>Aqta 'bin-nofs</v>
      </c>
    </row>
    <row r="8962" ht="15.75" customHeight="1">
      <c r="A8962" s="2" t="s">
        <v>8962</v>
      </c>
      <c r="B8962" s="2" t="str">
        <f>IFERROR(__xludf.DUMMYFUNCTION("GOOGLETRANSLATE(A8962, ""en"", ""mt"")"),"mhux naturali")</f>
        <v>mhux naturali</v>
      </c>
    </row>
    <row r="8963" ht="15.75" customHeight="1">
      <c r="A8963" s="2" t="s">
        <v>8963</v>
      </c>
      <c r="B8963" s="2" t="str">
        <f>IFERROR(__xludf.DUMMYFUNCTION("GOOGLETRANSLATE(A8963, ""en"", ""mt"")"),"Appoġġ miċ-Ċina għal ferrovija ppjanata ta '$ 2.5 biljun mill-port tan-Nofsinhar tal-Kenja ta' Mombasa sal-Uganda ġirien")</f>
        <v>Appoġġ miċ-Ċina għal ferrovija ppjanata ta '$ 2.5 biljun mill-port tan-Nofsinhar tal-Kenja ta' Mombasa sal-Uganda ġirien</v>
      </c>
    </row>
    <row r="8964" ht="15.75" customHeight="1">
      <c r="A8964" s="2" t="s">
        <v>8964</v>
      </c>
      <c r="B8964" s="2" t="str">
        <f>IFERROR(__xludf.DUMMYFUNCTION("GOOGLETRANSLATE(A8964, ""en"", ""mt"")"),"X'kien in-numru ta 'drabi li d-Denver Broncos lagħab fis-Super Bowl sal-ħin li laħqu Super Bowl 50?")</f>
        <v>X'kien in-numru ta 'drabi li d-Denver Broncos lagħab fis-Super Bowl sal-ħin li laħqu Super Bowl 50?</v>
      </c>
    </row>
    <row r="8965" ht="15.75" customHeight="1">
      <c r="A8965" s="2" t="s">
        <v>8965</v>
      </c>
      <c r="B8965" s="2" t="str">
        <f>IFERROR(__xludf.DUMMYFUNCTION("GOOGLETRANSLATE(A8965, ""en"", ""mt"")"),"problema tal-komputazzjoni")</f>
        <v>problema tal-komputazzjoni</v>
      </c>
    </row>
    <row r="8966" ht="15.75" customHeight="1">
      <c r="A8966" s="2" t="s">
        <v>8966</v>
      </c>
      <c r="B8966" s="2" t="str">
        <f>IFERROR(__xludf.DUMMYFUNCTION("GOOGLETRANSLATE(A8966, ""en"", ""mt"")"),"Il-Prinċep Albert jidher fl-arkata ewlenija 'l fuq mill-entrati ġemellati, ir-Reġina Victoria' l fuq mill-qafas madwar l-arkati u d-daħla, skolpita minn Alfred Drury. Dawn il-faċċati jdawru erba 'livelli ta' galleriji. Żoni oħra ddisinjati minn Webb jinkl"&amp;"udu s-sala tad-dħul u Rotunda, is-swali tal-lvant u tal-punent, iż-żoni okkupati mill-ħanut u l-galleriji Ażjatiċi kif ukoll il-gallerija tal-kostumi. L-interjuri jagħmel ħafna użu mill-irħam fis-sala tad-dħul u turġien tal-ġenb, għalkemm il-galleriji kif"&amp;" iddisinjati oriġinarjament kienu bojod b'dettall u moffa klassiċi mrażżna, b'kuntrast mad-dekorazzjoni elaborata tal-galleriji Vittorjani, għalkemm ħafna minn din id-dekorazzjoni tneħħiet fil-bidu tas-seklu 20.")</f>
        <v>Il-Prinċep Albert jidher fl-arkata ewlenija 'l fuq mill-entrati ġemellati, ir-Reġina Victoria' l fuq mill-qafas madwar l-arkati u d-daħla, skolpita minn Alfred Drury. Dawn il-faċċati jdawru erba 'livelli ta' galleriji. Żoni oħra ddisinjati minn Webb jinkludu s-sala tad-dħul u Rotunda, is-swali tal-lvant u tal-punent, iż-żoni okkupati mill-ħanut u l-galleriji Ażjatiċi kif ukoll il-gallerija tal-kostumi. L-interjuri jagħmel ħafna użu mill-irħam fis-sala tad-dħul u turġien tal-ġenb, għalkemm il-galleriji kif iddisinjati oriġinarjament kienu bojod b'dettall u moffa klassiċi mrażżna, b'kuntrast mad-dekorazzjoni elaborata tal-galleriji Vittorjani, għalkemm ħafna minn din id-dekorazzjoni tneħħiet fil-bidu tas-seklu 20.</v>
      </c>
    </row>
    <row r="8967" ht="15.75" customHeight="1">
      <c r="A8967" s="2" t="s">
        <v>8967</v>
      </c>
      <c r="B8967" s="2" t="str">
        <f>IFERROR(__xludf.DUMMYFUNCTION("GOOGLETRANSLATE(A8967, ""en"", ""mt"")"),"L-ispiżjara jipprovdu servizzi diretti għall-kura tal-pazjenti li jottimizzaw l-użu tal-medikazzjoni u jippromwovu s-saħħa, il-benessri, u l-prevenzjoni tal-mard. L-ispiżjara kliniċi jieħdu ħsieb pazjenti fl-issettjar tal-kura tas-saħħa kollha, iżda l-mov"&amp;"iment tal-ispiżerija klinika inizjalment beda ġewwa sptarijiet u kliniċi. L-ispiżjara kliniċi spiss jikkollaboraw ma 'tobba u professjonisti oħra tal-kura tas-saħħa biex itejbu l-kura farmaċewtika. L-ispiżjara kliniċi issa huma parti integrali tal-approċċ"&amp;" interdixxiplinarju għall-kura tal-pazjent. Ħafna drabi jipparteċipaw fl-għażla tal-prodott tad-droga tal-kura tal-pazjent.")</f>
        <v>L-ispiżjara jipprovdu servizzi diretti għall-kura tal-pazjenti li jottimizzaw l-użu tal-medikazzjoni u jippromwovu s-saħħa, il-benessri, u l-prevenzjoni tal-mard. L-ispiżjara kliniċi jieħdu ħsieb pazjenti fl-issettjar tal-kura tas-saħħa kollha, iżda l-moviment tal-ispiżerija klinika inizjalment beda ġewwa sptarijiet u kliniċi. L-ispiżjara kliniċi spiss jikkollaboraw ma 'tobba u professjonisti oħra tal-kura tas-saħħa biex itejbu l-kura farmaċewtika. L-ispiżjara kliniċi issa huma parti integrali tal-approċċ interdixxiplinarju għall-kura tal-pazjent. Ħafna drabi jipparteċipaw fl-għażla tal-prodott tad-droga tal-kura tal-pazjent.</v>
      </c>
    </row>
    <row r="8968" ht="15.75" customHeight="1">
      <c r="A8968" s="2" t="s">
        <v>8968</v>
      </c>
      <c r="B8968" s="2" t="str">
        <f>IFERROR(__xludf.DUMMYFUNCTION("GOOGLETRANSLATE(A8968, ""en"", ""mt"")"),"Il-wan kienet l-ewwel darba li ċ-Ċina kollha ġiet maħkuma minn min?")</f>
        <v>Il-wan kienet l-ewwel darba li ċ-Ċina kollha ġiet maħkuma minn min?</v>
      </c>
    </row>
    <row r="8969" ht="15.75" customHeight="1">
      <c r="A8969" s="2" t="s">
        <v>8969</v>
      </c>
      <c r="B8969" s="2" t="str">
        <f>IFERROR(__xludf.DUMMYFUNCTION("GOOGLETRANSLATE(A8969, ""en"", ""mt"")"),"X'inhuma l-għalliema meqjusa li huma fil-Ġermanja?")</f>
        <v>X'inhuma l-għalliema meqjusa li huma fil-Ġermanja?</v>
      </c>
    </row>
    <row r="8970" ht="15.75" customHeight="1">
      <c r="A8970" s="2" t="s">
        <v>8970</v>
      </c>
      <c r="B8970" s="2" t="str">
        <f>IFERROR(__xludf.DUMMYFUNCTION("GOOGLETRANSLATE(A8970, ""en"", ""mt"")"),"Il-kollezzjoni tal-Librerija V &amp; A ta 'manuskritti mdawla huma datati sa liema sekli?")</f>
        <v>Il-kollezzjoni tal-Librerija V &amp; A ta 'manuskritti mdawla huma datati sa liema sekli?</v>
      </c>
    </row>
    <row r="8971" ht="15.75" customHeight="1">
      <c r="A8971" s="2" t="s">
        <v>8971</v>
      </c>
      <c r="B8971" s="2" t="str">
        <f>IFERROR(__xludf.DUMMYFUNCTION("GOOGLETRANSLATE(A8971, ""en"", ""mt"")"),"F'liema porzjon ġeografiku ta 'Wales jinsab Abercynon?")</f>
        <v>F'liema porzjon ġeografiku ta 'Wales jinsab Abercynon?</v>
      </c>
    </row>
    <row r="8972" ht="15.75" customHeight="1">
      <c r="A8972" s="2" t="s">
        <v>8972</v>
      </c>
      <c r="B8972" s="2" t="str">
        <f>IFERROR(__xludf.DUMMYFUNCTION("GOOGLETRANSLATE(A8972, ""en"", ""mt"")"),"riċettur tal-vitamina D")</f>
        <v>riċettur tal-vitamina D</v>
      </c>
    </row>
    <row r="8973" ht="15.75" customHeight="1">
      <c r="A8973" s="2" t="s">
        <v>8973</v>
      </c>
      <c r="B8973" s="2" t="str">
        <f>IFERROR(__xludf.DUMMYFUNCTION("GOOGLETRANSLATE(A8973, ""en"", ""mt"")"),"Kif ġew eletti l-biċċa l-kbira tal-uffiċjali tal-belt fis-snin 1960?")</f>
        <v>Kif ġew eletti l-biċċa l-kbira tal-uffiċjali tal-belt fis-snin 1960?</v>
      </c>
    </row>
    <row r="8974" ht="15.75" customHeight="1">
      <c r="A8974" s="2" t="s">
        <v>8974</v>
      </c>
      <c r="B8974" s="2" t="str">
        <f>IFERROR(__xludf.DUMMYFUNCTION("GOOGLETRANSLATE(A8974, ""en"", ""mt"")"),"Liema spettaklu jixxandar fuq CBS wara programmazzjoni lokali tard?")</f>
        <v>Liema spettaklu jixxandar fuq CBS wara programmazzjoni lokali tard?</v>
      </c>
    </row>
    <row r="8975" ht="15.75" customHeight="1">
      <c r="A8975" s="2" t="s">
        <v>8975</v>
      </c>
      <c r="B8975" s="2" t="str">
        <f>IFERROR(__xludf.DUMMYFUNCTION("GOOGLETRANSLATE(A8975, ""en"", ""mt"")"),"F'liema nisel tal-kloroplast tinsab Cyanophora?")</f>
        <v>F'liema nisel tal-kloroplast tinsab Cyanophora?</v>
      </c>
    </row>
    <row r="8976" ht="15.75" customHeight="1">
      <c r="A8976" s="2" t="s">
        <v>8976</v>
      </c>
      <c r="B8976" s="2" t="str">
        <f>IFERROR(__xludf.DUMMYFUNCTION("GOOGLETRANSLATE(A8976, ""en"", ""mt"")"),"L-Enċiklopedija ta 'Cristian Bay tikkonkludi li d-diżubbidjenza ċivili ma tinkludix biss liema mġieba?")</f>
        <v>L-Enċiklopedija ta 'Cristian Bay tikkonkludi li d-diżubbidjenza ċivili ma tinkludix biss liema mġieba?</v>
      </c>
    </row>
    <row r="8977" ht="15.75" customHeight="1">
      <c r="A8977" s="2" t="s">
        <v>8977</v>
      </c>
      <c r="B8977" s="2" t="str">
        <f>IFERROR(__xludf.DUMMYFUNCTION("GOOGLETRANSLATE(A8977, ""en"", ""mt"")"),"Id-dixxendenti tal-Vikingi ta ’Rollo u n-nisa Franki tagħhom jissostitwixxu r-reliġjon Norveġja u l-lingwa Norveġja l-qadima mal-Kattoliċiżmu (il-Kristjaneżmu) u l-lingwa gallo-rumanz tal-poplu lokali, li jħalltu l-wirt francish matern tagħhom ma’ tradizz"&amp;"jonijiet u drawwiet qodma biex jissintetizzaw uniku "" Norman ""Kultura fit-Tramuntana ta 'Franza. Il-lingwa Norman ġiet iffalsifikata bl-adozzjoni tal-fergħa ta 'rumanz tal-Langue d'oïl indiġena minn klassi dominanti li titkellem minn Norveġja, u żvilupp"&amp;"at fil-lingwa reġjonali li tibqa' ħajja llum.")</f>
        <v>Id-dixxendenti tal-Vikingi ta ’Rollo u n-nisa Franki tagħhom jissostitwixxu r-reliġjon Norveġja u l-lingwa Norveġja l-qadima mal-Kattoliċiżmu (il-Kristjaneżmu) u l-lingwa gallo-rumanz tal-poplu lokali, li jħalltu l-wirt francish matern tagħhom ma’ tradizzjonijiet u drawwiet qodma biex jissintetizzaw uniku " Norman "Kultura fit-Tramuntana ta 'Franza. Il-lingwa Norman ġiet iffalsifikata bl-adozzjoni tal-fergħa ta 'rumanz tal-Langue d'oïl indiġena minn klassi dominanti li titkellem minn Norveġja, u żviluppat fil-lingwa reġjonali li tibqa' ħajja llum.</v>
      </c>
    </row>
    <row r="8978" ht="15.75" customHeight="1">
      <c r="A8978" s="2" t="s">
        <v>8978</v>
      </c>
      <c r="B8978" s="2" t="str">
        <f>IFERROR(__xludf.DUMMYFUNCTION("GOOGLETRANSLATE(A8978, ""en"", ""mt"")"),"Iċ-Ċittadella ta ’Varsavja")</f>
        <v>Iċ-Ċittadella ta ’Varsavja</v>
      </c>
    </row>
    <row r="8979" ht="15.75" customHeight="1">
      <c r="A8979" s="2" t="s">
        <v>8979</v>
      </c>
      <c r="B8979" s="2" t="str">
        <f>IFERROR(__xludf.DUMMYFUNCTION("GOOGLETRANSLATE(A8979, ""en"", ""mt"")"),"Għal xiex kien l-akronimu AAP?")</f>
        <v>Għal xiex kien l-akronimu AAP?</v>
      </c>
    </row>
    <row r="8980" ht="15.75" customHeight="1">
      <c r="A8980" s="2" t="s">
        <v>8980</v>
      </c>
      <c r="B8980" s="2" t="str">
        <f>IFERROR(__xludf.DUMMYFUNCTION("GOOGLETRANSLATE(A8980, ""en"", ""mt"")"),"Kemm mill-ispedizzjonijiet ippjanati ta 'Pitt kellhom suċċess?")</f>
        <v>Kemm mill-ispedizzjonijiet ippjanati ta 'Pitt kellhom suċċess?</v>
      </c>
    </row>
    <row r="8981" ht="15.75" customHeight="1">
      <c r="A8981" s="2" t="s">
        <v>8981</v>
      </c>
      <c r="B8981" s="2" t="str">
        <f>IFERROR(__xludf.DUMMYFUNCTION("GOOGLETRANSLATE(A8981, ""en"", ""mt"")"),"X'għandha l-Lobata?")</f>
        <v>X'għandha l-Lobata?</v>
      </c>
    </row>
    <row r="8982" ht="15.75" customHeight="1">
      <c r="A8982" s="2" t="s">
        <v>8982</v>
      </c>
      <c r="B8982" s="2" t="str">
        <f>IFERROR(__xludf.DUMMYFUNCTION("GOOGLETRANSLATE(A8982, ""en"", ""mt"")"),"jekk hux se jinvoka ħati jew le.")</f>
        <v>jekk hux se jinvoka ħati jew le.</v>
      </c>
    </row>
    <row r="8983" ht="15.75" customHeight="1">
      <c r="A8983" s="2" t="s">
        <v>8983</v>
      </c>
      <c r="B8983" s="2" t="str">
        <f>IFERROR(__xludf.DUMMYFUNCTION("GOOGLETRANSLATE(A8983, ""en"", ""mt"")"),"Ergäzungsschulen huma skejjel sekondarji jew post-sekondarji (mhux terzjarji), li huma mmexxija minn individwi privati, organizzazzjonijiet privati ​​jew rarament, gruppi reliġjużi u joffru tip ta 'edukazzjoni li mhix disponibbli fl-iskejjel pubbliċi. Ħaf"&amp;"na minn dawn l-iskejjel huma skejjel vokazzjonali. Madankollu, dawn l-iskejjel vokazzjonali mhumiex parti mis-sistema ta 'edukazzjoni doppja Ġermaniża. Ergäzungsschulen għandhom il-libertà li joperaw barra mir-regolamentazzjoni tal-gvern u huma ffinanzjat"&amp;"i kollha billi ċċarġjaw l-istudenti tagħhom dwar it-tariffi tat-tagħlim.")</f>
        <v>Ergäzungsschulen huma skejjel sekondarji jew post-sekondarji (mhux terzjarji), li huma mmexxija minn individwi privati, organizzazzjonijiet privati ​​jew rarament, gruppi reliġjużi u joffru tip ta 'edukazzjoni li mhix disponibbli fl-iskejjel pubbliċi. Ħafna minn dawn l-iskejjel huma skejjel vokazzjonali. Madankollu, dawn l-iskejjel vokazzjonali mhumiex parti mis-sistema ta 'edukazzjoni doppja Ġermaniża. Ergäzungsschulen għandhom il-libertà li joperaw barra mir-regolamentazzjoni tal-gvern u huma ffinanzjati kollha billi ċċarġjaw l-istudenti tagħhom dwar it-tariffi tat-tagħlim.</v>
      </c>
    </row>
    <row r="8984" ht="15.75" customHeight="1">
      <c r="A8984" s="2" t="s">
        <v>8984</v>
      </c>
      <c r="B8984" s="2" t="str">
        <f>IFERROR(__xludf.DUMMYFUNCTION("GOOGLETRANSLATE(A8984, ""en"", ""mt"")"),"Kemm-il darba Polonia rebħet it-tazza?")</f>
        <v>Kemm-il darba Polonia rebħet it-tazza?</v>
      </c>
    </row>
    <row r="8985" ht="15.75" customHeight="1">
      <c r="A8985" s="2" t="s">
        <v>8985</v>
      </c>
      <c r="B8985" s="2" t="str">
        <f>IFERROR(__xludf.DUMMYFUNCTION("GOOGLETRANSLATE(A8985, ""en"", ""mt"")"),"It-tieni korp leġiżlattiv ewlieni huwa l-kunsill, li huwa magħmul minn ministri differenti tal-istati membri. Il-kapijiet tal-Gvern tal-Istati Membri jlaqqgħu wkoll ""Kunsill Ewropew"" (korp distint) li l-Artikolu 15 tat-TEU jiddefinixxi bħala li jipprovd"&amp;"i l- ""impetu meħtieġ għall-iżvilupp tiegħu u għandu jiddefinixxi d-direzzjonijiet u l-prijoritajiet politiċi ġenerali"". Jiltaqa 'ma' kull sitt xhur u l-president tiegħu (bħalissa l-eks Prim Ministru tal-Polonja Donald Tusk) huwa maħsub biex ""isuq ix-xo"&amp;"għol tiegħu"", iżda huwa nnifsu ""funzjonijiet leġiżlattivi"". Il-Kunsill jagħmel dan: Fil-fatt dan huwa l-gvernijiet tal-Istati Membri, iżda se jkun hemm ministru differenti f'kull laqgħa, skont is-suġġett diskuss (per eżempju għal kwistjonijiet ambjenta"&amp;"li, il-ministri tal-ambjent tal-istati membri jattendu u jivvutaw; għal barranin; Affarijiet, il-Ministri Barranin, eċċ.). Il-Ministru għandu jkollu l-awtorità li jirrappreżenta u jġib l-Istati Membri f'deċiżjonijiet. Meta sseħħ il-votazzjoni huwa peżat b"&amp;"'mod invers għad-daqs tal-istat membru, u għalhekk stati membri iżgħar mhumiex iddominati minn stati membri akbar. B’kollox hemm 352 vot, iżda għal ħafna atti jridu jkun hemm vot ta ’maġġoranza kwalifikata, jekk mhux kunsens. L-Artikolu 16 (4) u l-Artikol"&amp;"u TFEU 238 (3) jiddefinixxu dan biex ifissru mill-inqas 55 fil-mija tal-membri tal-kunsill (mhux voti) li jirrappreżentaw 65 fil-mija tal-popolazzjoni ta 'l-UE: bħalissa dan ifisser madwar 74 fil-mija, jew 260 mill-352 vot. Dan huwa kritiku matul il-proċe"&amp;"ss leġiżlattiv.")</f>
        <v>It-tieni korp leġiżlattiv ewlieni huwa l-kunsill, li huwa magħmul minn ministri differenti tal-istati membri. Il-kapijiet tal-Gvern tal-Istati Membri jlaqqgħu wkoll "Kunsill Ewropew" (korp distint) li l-Artikolu 15 tat-TEU jiddefinixxi bħala li jipprovdi l- "impetu meħtieġ għall-iżvilupp tiegħu u għandu jiddefinixxi d-direzzjonijiet u l-prijoritajiet politiċi ġenerali". Jiltaqa 'ma' kull sitt xhur u l-president tiegħu (bħalissa l-eks Prim Ministru tal-Polonja Donald Tusk) huwa maħsub biex "isuq ix-xogħol tiegħu", iżda huwa nnifsu "funzjonijiet leġiżlattivi". Il-Kunsill jagħmel dan: Fil-fatt dan huwa l-gvernijiet tal-Istati Membri, iżda se jkun hemm ministru differenti f'kull laqgħa, skont is-suġġett diskuss (per eżempju għal kwistjonijiet ambjentali, il-ministri tal-ambjent tal-istati membri jattendu u jivvutaw; għal barranin; Affarijiet, il-Ministri Barranin, eċċ.). Il-Ministru għandu jkollu l-awtorità li jirrappreżenta u jġib l-Istati Membri f'deċiżjonijiet. Meta sseħħ il-votazzjoni huwa peżat b'mod invers għad-daqs tal-istat membru, u għalhekk stati membri iżgħar mhumiex iddominati minn stati membri akbar. B’kollox hemm 352 vot, iżda għal ħafna atti jridu jkun hemm vot ta ’maġġoranza kwalifikata, jekk mhux kunsens. L-Artikolu 16 (4) u l-Artikolu TFEU 238 (3) jiddefinixxu dan biex ifissru mill-inqas 55 fil-mija tal-membri tal-kunsill (mhux voti) li jirrappreżentaw 65 fil-mija tal-popolazzjoni ta 'l-UE: bħalissa dan ifisser madwar 74 fil-mija, jew 260 mill-352 vot. Dan huwa kritiku matul il-proċess leġiżlattiv.</v>
      </c>
    </row>
    <row r="8986" ht="15.75" customHeight="1">
      <c r="A8986" s="2" t="s">
        <v>8986</v>
      </c>
      <c r="B8986" s="2" t="str">
        <f>IFERROR(__xludf.DUMMYFUNCTION("GOOGLETRANSLATE(A8986, ""en"", ""mt"")"),"ABC iżomm diversi servizzi ta ’vidjow fuq talba għall-wiri mdewwem tal-ipprogrammar tan-netwerk, inkluż servizz VOD tradizzjonali msejjaħ ABC On Demand, li jitwettaq fuq il-biċċa l-kbira tal-fornituri tradizzjonali tal-kejbil u tal-IPTV. Il-Walt Disney Co"&amp;"mpany hija wkoll sid il-parti ta 'Hulu (bħala parti minn konsorzju li jinkludi, fost partijiet oħra, il-kumpaniji ġenituri rispettivi ta' NBC u Fox, NBCUniversal u 21st Century Fox), u offriet episodji ta 'tul sħiħ ta' ħafna Mill-ipprogrammar ta 'ABC perm"&amp;"ezz tas-servizz ta' streaming mis-6 ta 'Lulju 2009 (li huma disponibbli biex jaraw fuq il-websajt u l-app mobbli ta' Hulu), bħala parti minn ftehim milħuq f'April ta 'dik is-sena li ppermetta wkoll lil Disney biex takkwista sehem ta' 27% ta 'sjieda f'Hulu"&amp;".")</f>
        <v>ABC iżomm diversi servizzi ta ’vidjow fuq talba għall-wiri mdewwem tal-ipprogrammar tan-netwerk, inkluż servizz VOD tradizzjonali msejjaħ ABC On Demand, li jitwettaq fuq il-biċċa l-kbira tal-fornituri tradizzjonali tal-kejbil u tal-IPTV. Il-Walt Disney Company hija wkoll sid il-parti ta 'Hulu (bħala parti minn konsorzju li jinkludi, fost partijiet oħra, il-kumpaniji ġenituri rispettivi ta' NBC u Fox, NBCUniversal u 21st Century Fox), u offriet episodji ta 'tul sħiħ ta' ħafna Mill-ipprogrammar ta 'ABC permezz tas-servizz ta' streaming mis-6 ta 'Lulju 2009 (li huma disponibbli biex jaraw fuq il-websajt u l-app mobbli ta' Hulu), bħala parti minn ftehim milħuq f'April ta 'dik is-sena li ppermetta wkoll lil Disney biex takkwista sehem ta' 27% ta 'sjieda f'Hulu.</v>
      </c>
    </row>
    <row r="8987" ht="15.75" customHeight="1">
      <c r="A8987" s="2" t="s">
        <v>8987</v>
      </c>
      <c r="B8987" s="2" t="str">
        <f>IFERROR(__xludf.DUMMYFUNCTION("GOOGLETRANSLATE(A8987, ""en"", ""mt"")"),"Il-baqar ingħataw ix-xmara hemmhekk.")</f>
        <v>Il-baqar ingħataw ix-xmara hemmhekk.</v>
      </c>
    </row>
    <row r="8988" ht="15.75" customHeight="1">
      <c r="A8988" s="2" t="s">
        <v>8988</v>
      </c>
      <c r="B8988" s="2" t="str">
        <f>IFERROR(__xludf.DUMMYFUNCTION("GOOGLETRANSLATE(A8988, ""en"", ""mt"")"),"Il-Gżejjer Faroe")</f>
        <v>Il-Gżejjer Faroe</v>
      </c>
    </row>
    <row r="8989" ht="15.75" customHeight="1">
      <c r="A8989" s="2" t="s">
        <v>8989</v>
      </c>
      <c r="B8989" s="2" t="str">
        <f>IFERROR(__xludf.DUMMYFUNCTION("GOOGLETRANSLATE(A8989, ""en"", ""mt"")"),"Fil-proċess ta 'tilqim, x'inhu introdott sabiex tiġi żviluppata immunità speċifika?")</f>
        <v>Fil-proċess ta 'tilqim, x'inhu introdott sabiex tiġi żviluppata immunità speċifika?</v>
      </c>
    </row>
    <row r="8990" ht="15.75" customHeight="1">
      <c r="A8990" s="2" t="s">
        <v>8990</v>
      </c>
      <c r="B8990" s="2" t="str">
        <f>IFERROR(__xludf.DUMMYFUNCTION("GOOGLETRANSLATE(A8990, ""en"", ""mt"")"),"X'inhi l-unika forma ta 'enerġija potenzjali li tista' tinbidel?")</f>
        <v>X'inhi l-unika forma ta 'enerġija potenzjali li tista' tinbidel?</v>
      </c>
    </row>
    <row r="8991" ht="15.75" customHeight="1">
      <c r="A8991" s="2" t="s">
        <v>8991</v>
      </c>
      <c r="B8991" s="2" t="str">
        <f>IFERROR(__xludf.DUMMYFUNCTION("GOOGLETRANSLATE(A8991, ""en"", ""mt"")"),"Proplastidi jistgħu jiżviluppaw fi stadju ta 'etioplast qabel ma jsiru kloroplasti")</f>
        <v>Proplastidi jistgħu jiżviluppaw fi stadju ta 'etioplast qabel ma jsiru kloroplasti</v>
      </c>
    </row>
    <row r="8992" ht="15.75" customHeight="1">
      <c r="A8992" s="2" t="s">
        <v>8992</v>
      </c>
      <c r="B8992" s="2" t="str">
        <f>IFERROR(__xludf.DUMMYFUNCTION("GOOGLETRANSLATE(A8992, ""en"", ""mt"")"),"Immunoloġija")</f>
        <v>Immunoloġija</v>
      </c>
    </row>
    <row r="8993" ht="15.75" customHeight="1">
      <c r="A8993" s="2" t="s">
        <v>8993</v>
      </c>
      <c r="B8993" s="2" t="str">
        <f>IFERROR(__xludf.DUMMYFUNCTION("GOOGLETRANSLATE(A8993, ""en"", ""mt"")"),"X'taħseb li l-kunsill lokali jittama se jgħin biex tnaqqas il-konġestjoni tat-traffiku fi Newcastle?")</f>
        <v>X'taħseb li l-kunsill lokali jittama se jgħin biex tnaqqas il-konġestjoni tat-traffiku fi Newcastle?</v>
      </c>
    </row>
    <row r="8994" ht="15.75" customHeight="1">
      <c r="A8994" s="2" t="s">
        <v>8994</v>
      </c>
      <c r="B8994" s="2" t="str">
        <f>IFERROR(__xludf.DUMMYFUNCTION("GOOGLETRANSLATE(A8994, ""en"", ""mt"")"),"aġixxa dejjem aktar aggressiv biex iġġiegħel lill-huguenots jikkonvertu")</f>
        <v>aġixxa dejjem aktar aggressiv biex iġġiegħel lill-huguenots jikkonvertu</v>
      </c>
    </row>
    <row r="8995" ht="15.75" customHeight="1">
      <c r="A8995" s="2" t="s">
        <v>8995</v>
      </c>
      <c r="B8995" s="2" t="str">
        <f>IFERROR(__xludf.DUMMYFUNCTION("GOOGLETRANSLATE(A8995, ""en"", ""mt"")"),"F'liema xhur l-esperjenza ta 'Fresno żiedet riħ li ġej mid-direzzjoni tax-xlokk?")</f>
        <v>F'liema xhur l-esperjenza ta 'Fresno żiedet riħ li ġej mid-direzzjoni tax-xlokk?</v>
      </c>
    </row>
    <row r="8996" ht="15.75" customHeight="1">
      <c r="A8996" s="2" t="s">
        <v>8996</v>
      </c>
      <c r="B8996" s="2" t="str">
        <f>IFERROR(__xludf.DUMMYFUNCTION("GOOGLETRANSLATE(A8996, ""en"", ""mt"")"),"Meta Bathyctena Chuni, Euplokamis Stationis u Eurhamphaea vexilligera excrete tnixxija?")</f>
        <v>Meta Bathyctena Chuni, Euplokamis Stationis u Eurhamphaea vexilligera excrete tnixxija?</v>
      </c>
    </row>
    <row r="8997" ht="15.75" customHeight="1">
      <c r="A8997" s="2" t="s">
        <v>8997</v>
      </c>
      <c r="B8997" s="2" t="str">
        <f>IFERROR(__xludf.DUMMYFUNCTION("GOOGLETRANSLATE(A8997, ""en"", ""mt"")"),"Aqta 'b'suċċess il-Frontier Franċiż Fortizzi aktar lejn il-Punent u n-Nofsinhar")</f>
        <v>Aqta 'b'suċċess il-Frontier Franċiż Fortizzi aktar lejn il-Punent u n-Nofsinhar</v>
      </c>
    </row>
    <row r="8998" ht="15.75" customHeight="1">
      <c r="A8998" s="2" t="s">
        <v>8998</v>
      </c>
      <c r="B8998" s="2" t="str">
        <f>IFERROR(__xludf.DUMMYFUNCTION("GOOGLETRANSLATE(A8998, ""en"", ""mt"")"),"EA, kafè, sisal, piretru, qamħ, u qamħ")</f>
        <v>EA, kafè, sisal, piretru, qamħ, u qamħ</v>
      </c>
    </row>
    <row r="8999" ht="15.75" customHeight="1">
      <c r="A8999" s="2" t="s">
        <v>8999</v>
      </c>
      <c r="B8999" s="2" t="str">
        <f>IFERROR(__xludf.DUMMYFUNCTION("GOOGLETRANSLATE(A8999, ""en"", ""mt"")"),"Imperi kolonizzanti")</f>
        <v>Imperi kolonizzanti</v>
      </c>
    </row>
    <row r="9000" ht="15.75" customHeight="1">
      <c r="A9000" s="2" t="s">
        <v>9000</v>
      </c>
      <c r="B9000" s="2" t="str">
        <f>IFERROR(__xludf.DUMMYFUNCTION("GOOGLETRANSLATE(A9000, ""en"", ""mt"")"),"(Ruman) Kattoliku, (tal-Lvant) Kattoliku Ortodoss, u Protestant / Mhux Denominazzjonali")</f>
        <v>(Ruman) Kattoliku, (tal-Lvant) Kattoliku Ortodoss, u Protestant / Mhux Denominazzjonali</v>
      </c>
    </row>
    <row r="9001" ht="15.75" customHeight="1">
      <c r="A9001" s="2" t="s">
        <v>9001</v>
      </c>
      <c r="B9001" s="2" t="str">
        <f>IFERROR(__xludf.DUMMYFUNCTION("GOOGLETRANSLATE(A9001, ""en"", ""mt"")"),"Kemm Silas B. Cobb wiegħed lill-università?")</f>
        <v>Kemm Silas B. Cobb wiegħed lill-università?</v>
      </c>
    </row>
    <row r="9002" ht="15.75" customHeight="1">
      <c r="A9002" s="2" t="s">
        <v>9002</v>
      </c>
      <c r="B9002" s="2" t="str">
        <f>IFERROR(__xludf.DUMMYFUNCTION("GOOGLETRANSLATE(A9002, ""en"", ""mt"")"),"X’għamlet Tesla għal xogħol li ħallas żewġ dollari kuljum?")</f>
        <v>X’għamlet Tesla għal xogħol li ħallas żewġ dollari kuljum?</v>
      </c>
    </row>
    <row r="9003" ht="15.75" customHeight="1">
      <c r="A9003" s="2" t="s">
        <v>9003</v>
      </c>
      <c r="B9003" s="2" t="str">
        <f>IFERROR(__xludf.DUMMYFUNCTION("GOOGLETRANSLATE(A9003, ""en"", ""mt"")"),"1920s")</f>
        <v>1920s</v>
      </c>
    </row>
    <row r="9004" ht="15.75" customHeight="1">
      <c r="A9004" s="2" t="s">
        <v>9004</v>
      </c>
      <c r="B9004" s="2" t="str">
        <f>IFERROR(__xludf.DUMMYFUNCTION("GOOGLETRANSLATE(A9004, ""en"", ""mt"")"),"Wara li n-nimeiry ġie mwaqqa 'fl-1985 il-partit ma tantx fl-elezzjonijiet nazzjonali, iżda fl-1989 kien kapaċi jwaqqa' l-gvern elett wara l-al-nimeiry bl-għajnuna tal-militar. Turabi ġie nnutat talli pproklama l-appoġġ tiegħu għall-proċess demokratiku u g"&amp;"vern liberali qabel ma jasal għall-poter, iżda applikazzjoni stretta tal-liġi tax-sharia, tortura u ħabs tal-massa tal-oppożizzjoni, u intensifikazzjoni tal-gwerra li ilha għaddejja fin-Nofsinhar tas-Sudan, darba qawwa. Ir-reġim tal-NIF ukoll qabeż lil Os"&amp;"ama bin Laden għal żmien (qabel id-9/11), u ħadem biex jgħaqqad l-oppożizzjoni Iżlamista għall-attakk Amerikan fuq l-Iraq fil-Gwerra tal-Golf tal-1991.")</f>
        <v>Wara li n-nimeiry ġie mwaqqa 'fl-1985 il-partit ma tantx fl-elezzjonijiet nazzjonali, iżda fl-1989 kien kapaċi jwaqqa' l-gvern elett wara l-al-nimeiry bl-għajnuna tal-militar. Turabi ġie nnutat talli pproklama l-appoġġ tiegħu għall-proċess demokratiku u gvern liberali qabel ma jasal għall-poter, iżda applikazzjoni stretta tal-liġi tax-sharia, tortura u ħabs tal-massa tal-oppożizzjoni, u intensifikazzjoni tal-gwerra li ilha għaddejja fin-Nofsinhar tas-Sudan, darba qawwa. Ir-reġim tal-NIF ukoll qabeż lil Osama bin Laden għal żmien (qabel id-9/11), u ħadem biex jgħaqqad l-oppożizzjoni Iżlamista għall-attakk Amerikan fuq l-Iraq fil-Gwerra tal-Golf tal-1991.</v>
      </c>
    </row>
    <row r="9005" ht="15.75" customHeight="1">
      <c r="A9005" s="2" t="s">
        <v>9005</v>
      </c>
      <c r="B9005" s="2" t="str">
        <f>IFERROR(__xludf.DUMMYFUNCTION("GOOGLETRANSLATE(A9005, ""en"", ""mt"")"),"In-nazzjonijiet industrijalizzati żiedu r-riservi tagħhom (billi espandu l-provvisti ta 'flushom) f'ammonti ferm akbar minn qabel")</f>
        <v>In-nazzjonijiet industrijalizzati żiedu r-riservi tagħhom (billi espandu l-provvisti ta 'flushom) f'ammonti ferm akbar minn qabel</v>
      </c>
    </row>
    <row r="9006" ht="15.75" customHeight="1">
      <c r="A9006" s="2" t="s">
        <v>9006</v>
      </c>
      <c r="B9006" s="2" t="str">
        <f>IFERROR(__xludf.DUMMYFUNCTION("GOOGLETRANSLATE(A9006, ""en"", ""mt"")"),"Ħajjiet tad-dixxipli tagħhom")</f>
        <v>Ħajjiet tad-dixxipli tagħhom</v>
      </c>
    </row>
    <row r="9007" ht="15.75" customHeight="1">
      <c r="A9007" s="2" t="s">
        <v>9007</v>
      </c>
      <c r="B9007" s="2" t="str">
        <f>IFERROR(__xludf.DUMMYFUNCTION("GOOGLETRANSLATE(A9007, ""en"", ""mt"")"),"Issa huwa possibbli li tikkonverti etajiet relattivi qodma f'liema etajiet bl-użu ta 'dating iżotopiku?")</f>
        <v>Issa huwa possibbli li tikkonverti etajiet relattivi qodma f'liema etajiet bl-użu ta 'dating iżotopiku?</v>
      </c>
    </row>
    <row r="9008" ht="15.75" customHeight="1">
      <c r="A9008" s="2" t="s">
        <v>9008</v>
      </c>
      <c r="B9008" s="2" t="str">
        <f>IFERROR(__xludf.DUMMYFUNCTION("GOOGLETRANSLATE(A9008, ""en"", ""mt"")"),"Liema logo kellu l-insinji tad-DW Tardis imneħħija?")</f>
        <v>Liema logo kellu l-insinji tad-DW Tardis imneħħija?</v>
      </c>
    </row>
    <row r="9009" ht="15.75" customHeight="1">
      <c r="A9009" s="2" t="s">
        <v>9009</v>
      </c>
      <c r="B9009" s="2" t="str">
        <f>IFERROR(__xludf.DUMMYFUNCTION("GOOGLETRANSLATE(A9009, ""en"", ""mt"")"),"erożjoni")</f>
        <v>erożjoni</v>
      </c>
    </row>
    <row r="9010" ht="15.75" customHeight="1">
      <c r="A9010" s="2" t="s">
        <v>9010</v>
      </c>
      <c r="B9010" s="2" t="str">
        <f>IFERROR(__xludf.DUMMYFUNCTION("GOOGLETRANSLATE(A9010, ""en"", ""mt"")"),"23 ta ’Ġunju 2005")</f>
        <v>23 ta ’Ġunju 2005</v>
      </c>
    </row>
    <row r="9011" ht="15.75" customHeight="1">
      <c r="A9011" s="2" t="s">
        <v>9011</v>
      </c>
      <c r="B9011" s="2" t="str">
        <f>IFERROR(__xludf.DUMMYFUNCTION("GOOGLETRANSLATE(A9011, ""en"", ""mt"")"),"Liema pajjiż għandu punteġġi ogħla fuq testijiet standardizzati mill-Istati Uniti?")</f>
        <v>Liema pajjiż għandu punteġġi ogħla fuq testijiet standardizzati mill-Istati Uniti?</v>
      </c>
    </row>
    <row r="9012" ht="15.75" customHeight="1">
      <c r="A9012" s="2" t="s">
        <v>9012</v>
      </c>
      <c r="B9012" s="2" t="str">
        <f>IFERROR(__xludf.DUMMYFUNCTION("GOOGLETRANSLATE(A9012, ""en"", ""mt"")"),"reliġjon mill-politika")</f>
        <v>reliġjon mill-politika</v>
      </c>
    </row>
    <row r="9013" ht="15.75" customHeight="1">
      <c r="A9013" s="2" t="s">
        <v>9013</v>
      </c>
      <c r="B9013" s="2" t="str">
        <f>IFERROR(__xludf.DUMMYFUNCTION("GOOGLETRANSLATE(A9013, ""en"", ""mt"")"),"Fejn qed jiġi żviluppat dan l-istil tad-djar reċentement?")</f>
        <v>Fejn qed jiġi żviluppat dan l-istil tad-djar reċentement?</v>
      </c>
    </row>
    <row r="9014" ht="15.75" customHeight="1">
      <c r="A9014" s="2" t="s">
        <v>9014</v>
      </c>
      <c r="B9014" s="2" t="str">
        <f>IFERROR(__xludf.DUMMYFUNCTION("GOOGLETRANSLATE(A9014, ""en"", ""mt"")"),"Fejn ħareġ l-ilma fil-baċin tal-Amażonja meta miexi lejn il-punent?")</f>
        <v>Fejn ħareġ l-ilma fil-baċin tal-Amażonja meta miexi lejn il-punent?</v>
      </c>
    </row>
    <row r="9015" ht="15.75" customHeight="1">
      <c r="A9015" s="2" t="s">
        <v>9015</v>
      </c>
      <c r="B9015" s="2" t="str">
        <f>IFERROR(__xludf.DUMMYFUNCTION("GOOGLETRANSLATE(A9015, ""en"", ""mt"")"),"F'Settembru 1967, Mueller approva sekwenza ta 'tipi ta' missjoni li kellhom jitwettqu b'suċċess sabiex jinkiseb l-inżul lunari bl-ekwipaġġ. Kull pass kellu jitwettaq b'suċċess qabel ma setgħu jitwettqu dawk li jmiss, u ma kienx magħruf kemm hemm bżonn ta "&amp;"'kull missjoni; Għalhekk intużaw ittri minflok numri. Il-missjonijiet A kienu validazzjoni bla ekwipaġġ ta 'Saturn V; B kienet validazzjoni LM mingħajr ekwipaġġ bl-użu ta 'Saturn IB; C kien ekwipaġġ validazzjoni tal-orbita tad-dinja CSM bl-użu tas-Saturn "&amp;"IB; D kien l-ewwel titjira CSM / LM ekwipaġġ (din sostitwita AS-258, bl-użu ta 'tnedija waħda ta' Saturn V); E tkun titjira ogħla ta 'orbita tad-dinja CSM / LM; F tkun l-ewwel missjoni lunari, li tittestja l-LM fl-orbita lunari iżda mingħajr inżul (""rehe"&amp;"arsal tal-libsa""); U G kienet tkun l-ewwel inżul bl-ekwipaġġ. Il-lista ta 'tipi koperti ta' segwitu fuq l-esplorazzjoni lunari biex tinkludi l-iżbark Lunar, i għal missjonijiet ta 'stħarriġ orbitali lunari, u J għal ħatt l-art ta' żjara estiża.")</f>
        <v>F'Settembru 1967, Mueller approva sekwenza ta 'tipi ta' missjoni li kellhom jitwettqu b'suċċess sabiex jinkiseb l-inżul lunari bl-ekwipaġġ. Kull pass kellu jitwettaq b'suċċess qabel ma setgħu jitwettqu dawk li jmiss, u ma kienx magħruf kemm hemm bżonn ta 'kull missjoni; Għalhekk intużaw ittri minflok numri. Il-missjonijiet A kienu validazzjoni bla ekwipaġġ ta 'Saturn V; B kienet validazzjoni LM mingħajr ekwipaġġ bl-użu ta 'Saturn IB; C kien ekwipaġġ validazzjoni tal-orbita tad-dinja CSM bl-użu tas-Saturn IB; D kien l-ewwel titjira CSM / LM ekwipaġġ (din sostitwita AS-258, bl-użu ta 'tnedija waħda ta' Saturn V); E tkun titjira ogħla ta 'orbita tad-dinja CSM / LM; F tkun l-ewwel missjoni lunari, li tittestja l-LM fl-orbita lunari iżda mingħajr inżul ("rehearsal tal-libsa"); U G kienet tkun l-ewwel inżul bl-ekwipaġġ. Il-lista ta 'tipi koperti ta' segwitu fuq l-esplorazzjoni lunari biex tinkludi l-iżbark Lunar, i għal missjonijiet ta 'stħarriġ orbitali lunari, u J għal ħatt l-art ta' żjara estiża.</v>
      </c>
    </row>
    <row r="9016" ht="15.75" customHeight="1">
      <c r="A9016" s="2" t="s">
        <v>9016</v>
      </c>
      <c r="B9016" s="2" t="str">
        <f>IFERROR(__xludf.DUMMYFUNCTION("GOOGLETRANSLATE(A9016, ""en"", ""mt"")"),"X'jista 'jidher aktar spiss fil-Maristems tat-Tip Root?")</f>
        <v>X'jista 'jidher aktar spiss fil-Maristems tat-Tip Root?</v>
      </c>
    </row>
    <row r="9017" ht="15.75" customHeight="1">
      <c r="A9017" s="2" t="s">
        <v>9017</v>
      </c>
      <c r="B9017" s="2" t="str">
        <f>IFERROR(__xludf.DUMMYFUNCTION("GOOGLETRANSLATE(A9017, ""en"", ""mt"")"),"Liema ajruport huwa d-dar għar-runway single bieżel fid-dinja?")</f>
        <v>Liema ajruport huwa d-dar għar-runway single bieżel fid-dinja?</v>
      </c>
    </row>
    <row r="9018" ht="15.75" customHeight="1">
      <c r="A9018" s="2" t="s">
        <v>9018</v>
      </c>
      <c r="B9018" s="2" t="str">
        <f>IFERROR(__xludf.DUMMYFUNCTION("GOOGLETRANSLATE(A9018, ""en"", ""mt"")"),"Kemm idum biex żoni ġodda jkollhom produzzjoni sinifikanti taż-żejt?")</f>
        <v>Kemm idum biex żoni ġodda jkollhom produzzjoni sinifikanti taż-żejt?</v>
      </c>
    </row>
    <row r="9019" ht="15.75" customHeight="1">
      <c r="A9019" s="2" t="s">
        <v>9019</v>
      </c>
      <c r="B9019" s="2" t="str">
        <f>IFERROR(__xludf.DUMMYFUNCTION("GOOGLETRANSLATE(A9019, ""en"", ""mt"")"),"Bħala forza strutturali")</f>
        <v>Bħala forza strutturali</v>
      </c>
    </row>
    <row r="9020" ht="15.75" customHeight="1">
      <c r="A9020" s="2" t="s">
        <v>9020</v>
      </c>
      <c r="B9020" s="2" t="str">
        <f>IFERROR(__xludf.DUMMYFUNCTION("GOOGLETRANSLATE(A9020, ""en"", ""mt"")"),"Assoċjazzjoni Nazzjonali tad-Dawl Elettriku")</f>
        <v>Assoċjazzjoni Nazzjonali tad-Dawl Elettriku</v>
      </c>
    </row>
    <row r="9021" ht="15.75" customHeight="1">
      <c r="A9021" s="2" t="s">
        <v>9021</v>
      </c>
      <c r="B9021" s="2" t="str">
        <f>IFERROR(__xludf.DUMMYFUNCTION("GOOGLETRANSLATE(A9021, ""en"", ""mt"")"),"Xi jfisser l-għanijiet akkademiċi ta 'student?")</f>
        <v>Xi jfisser l-għanijiet akkademiċi ta 'student?</v>
      </c>
    </row>
    <row r="9022" ht="15.75" customHeight="1">
      <c r="A9022" s="2" t="s">
        <v>9022</v>
      </c>
      <c r="B9022" s="2" t="str">
        <f>IFERROR(__xludf.DUMMYFUNCTION("GOOGLETRANSLATE(A9022, ""en"", ""mt"")"),"Min ħareġ verżjoni disco tat-tema tat-Tabib Min?")</f>
        <v>Min ħareġ verżjoni disco tat-tema tat-Tabib Min?</v>
      </c>
    </row>
    <row r="9023" ht="15.75" customHeight="1">
      <c r="A9023" s="2" t="s">
        <v>9023</v>
      </c>
      <c r="B9023" s="2" t="str">
        <f>IFERROR(__xludf.DUMMYFUNCTION("GOOGLETRANSLATE(A9023, ""en"", ""mt"")"),"X’ġara b’mod konsiderevoli għal Varsavja meta kellha ekonomija tal-blokk tal-Lvant?")</f>
        <v>X’ġara b’mod konsiderevoli għal Varsavja meta kellha ekonomija tal-blokk tal-Lvant?</v>
      </c>
    </row>
    <row r="9024" ht="15.75" customHeight="1">
      <c r="A9024" s="2" t="s">
        <v>9024</v>
      </c>
      <c r="B9024" s="2" t="str">
        <f>IFERROR(__xludf.DUMMYFUNCTION("GOOGLETRANSLATE(A9024, ""en"", ""mt"")"),"ir-relazzjoni bejn l-għalliema u t-tfal.")</f>
        <v>ir-relazzjoni bejn l-għalliema u t-tfal.</v>
      </c>
    </row>
    <row r="9025" ht="15.75" customHeight="1">
      <c r="A9025" s="2" t="s">
        <v>9025</v>
      </c>
      <c r="B9025" s="2" t="str">
        <f>IFERROR(__xludf.DUMMYFUNCTION("GOOGLETRANSLATE(A9025, ""en"", ""mt"")"),"Liema terminu kien użat għat-tieni riġenerazzjoni?")</f>
        <v>Liema terminu kien użat għat-tieni riġenerazzjoni?</v>
      </c>
    </row>
    <row r="9026" ht="15.75" customHeight="1">
      <c r="A9026" s="2" t="s">
        <v>9026</v>
      </c>
      <c r="B9026" s="2" t="str">
        <f>IFERROR(__xludf.DUMMYFUNCTION("GOOGLETRANSLATE(A9026, ""en"", ""mt"")"),"Bejn wieħed u ieħor kemm oġġetti jinkludu l-kollezzjonijiet tal-mużew ta 'l-arti tal-Asja t'Isfel u tax-Xlokk?")</f>
        <v>Bejn wieħed u ieħor kemm oġġetti jinkludu l-kollezzjonijiet tal-mużew ta 'l-arti tal-Asja t'Isfel u tax-Xlokk?</v>
      </c>
    </row>
    <row r="9027" ht="15.75" customHeight="1">
      <c r="A9027" s="2" t="s">
        <v>9027</v>
      </c>
      <c r="B9027" s="2" t="str">
        <f>IFERROR(__xludf.DUMMYFUNCTION("GOOGLETRANSLATE(A9027, ""en"", ""mt"")"),"standardizzat")</f>
        <v>standardizzat</v>
      </c>
    </row>
    <row r="9028" ht="15.75" customHeight="1">
      <c r="A9028" s="2" t="s">
        <v>9028</v>
      </c>
      <c r="B9028" s="2" t="str">
        <f>IFERROR(__xludf.DUMMYFUNCTION("GOOGLETRANSLATE(A9028, ""en"", ""mt"")"),"Numru Prim")</f>
        <v>Numru Prim</v>
      </c>
    </row>
    <row r="9029" ht="15.75" customHeight="1">
      <c r="A9029" s="2" t="s">
        <v>9029</v>
      </c>
      <c r="B9029" s="2" t="str">
        <f>IFERROR(__xludf.DUMMYFUNCTION("GOOGLETRANSLATE(A9029, ""en"", ""mt"")"),"It-tieni grad ta 'baċellerat bħal Baċellerat fl-Edukazzjoni")</f>
        <v>It-tieni grad ta 'baċellerat bħal Baċellerat fl-Edukazzjoni</v>
      </c>
    </row>
    <row r="9030" ht="15.75" customHeight="1">
      <c r="A9030" s="2" t="s">
        <v>9030</v>
      </c>
      <c r="B9030" s="2" t="str">
        <f>IFERROR(__xludf.DUMMYFUNCTION("GOOGLETRANSLATE(A9030, ""en"", ""mt"")"),"Skoċċiż jew Irlandiż jiddeskrivu t-tip ta ’liema nies fi Newcastle għandhom?")</f>
        <v>Skoċċiż jew Irlandiż jiddeskrivu t-tip ta ’liema nies fi Newcastle għandhom?</v>
      </c>
    </row>
    <row r="9031" ht="15.75" customHeight="1">
      <c r="A9031" s="2" t="s">
        <v>9031</v>
      </c>
      <c r="B9031" s="2" t="str">
        <f>IFERROR(__xludf.DUMMYFUNCTION("GOOGLETRANSLATE(A9031, ""en"", ""mt"")"),"forzi bħala dovuti għal gradjent tal-potenzjal")</f>
        <v>forzi bħala dovuti għal gradjent tal-potenzjal</v>
      </c>
    </row>
    <row r="9032" ht="15.75" customHeight="1">
      <c r="A9032" s="2" t="s">
        <v>9032</v>
      </c>
      <c r="B9032" s="2" t="str">
        <f>IFERROR(__xludf.DUMMYFUNCTION("GOOGLETRANSLATE(A9032, ""en"", ""mt"")"),"ikel fil-forma ta 'zokkor")</f>
        <v>ikel fil-forma ta 'zokkor</v>
      </c>
    </row>
    <row r="9033" ht="15.75" customHeight="1">
      <c r="A9033" s="2" t="s">
        <v>9033</v>
      </c>
      <c r="B9033" s="2" t="str">
        <f>IFERROR(__xludf.DUMMYFUNCTION("GOOGLETRANSLATE(A9033, ""en"", ""mt"")"),"Han u Jurchen")</f>
        <v>Han u Jurchen</v>
      </c>
    </row>
    <row r="9034" ht="15.75" customHeight="1">
      <c r="A9034" s="2" t="s">
        <v>9034</v>
      </c>
      <c r="B9034" s="2" t="str">
        <f>IFERROR(__xludf.DUMMYFUNCTION("GOOGLETRANSLATE(A9034, ""en"", ""mt"")"),"Kontijiet")</f>
        <v>Kontijiet</v>
      </c>
    </row>
    <row r="9035" ht="15.75" customHeight="1">
      <c r="A9035" s="2" t="s">
        <v>9035</v>
      </c>
      <c r="B9035" s="2" t="str">
        <f>IFERROR(__xludf.DUMMYFUNCTION("GOOGLETRANSLATE(A9035, ""en"", ""mt"")"),"X’kien fihom l-oġġetti fil-moviment sfurzat skont l-idea medjevali tard li jinfluwenzaw lil Aristotile?")</f>
        <v>X’kien fihom l-oġġetti fil-moviment sfurzat skont l-idea medjevali tard li jinfluwenzaw lil Aristotile?</v>
      </c>
    </row>
    <row r="9036" ht="15.75" customHeight="1">
      <c r="A9036" s="2" t="s">
        <v>9036</v>
      </c>
      <c r="B9036" s="2" t="str">
        <f>IFERROR(__xludf.DUMMYFUNCTION("GOOGLETRANSLATE(A9036, ""en"", ""mt"")"),"Kemm Huguenots emigraw lejn l-Amerika ta ’Fuq bħala kolonisti?")</f>
        <v>Kemm Huguenots emigraw lejn l-Amerika ta ’Fuq bħala kolonisti?</v>
      </c>
    </row>
    <row r="9037" ht="15.75" customHeight="1">
      <c r="A9037" s="2" t="s">
        <v>9037</v>
      </c>
      <c r="B9037" s="2" t="str">
        <f>IFERROR(__xludf.DUMMYFUNCTION("GOOGLETRANSLATE(A9037, ""en"", ""mt"")"),"X'kien l-iskor għal-logħba tal-kampjonat NFC 2015?")</f>
        <v>X'kien l-iskor għal-logħba tal-kampjonat NFC 2015?</v>
      </c>
    </row>
    <row r="9038" ht="15.75" customHeight="1">
      <c r="A9038" s="2" t="s">
        <v>9038</v>
      </c>
      <c r="B9038" s="2" t="str">
        <f>IFERROR(__xludf.DUMMYFUNCTION("GOOGLETRANSLATE(A9038, ""en"", ""mt"")"),"Amerikan t'Isfel")</f>
        <v>Amerikan t'Isfel</v>
      </c>
    </row>
    <row r="9039" ht="15.75" customHeight="1">
      <c r="A9039" s="2" t="s">
        <v>9039</v>
      </c>
      <c r="B9039" s="2" t="str">
        <f>IFERROR(__xludf.DUMMYFUNCTION("GOOGLETRANSLATE(A9039, ""en"", ""mt"")"),"Riżultati ottimali tas-saħħa")</f>
        <v>Riżultati ottimali tas-saħħa</v>
      </c>
    </row>
    <row r="9040" ht="15.75" customHeight="1">
      <c r="A9040" s="2" t="s">
        <v>9040</v>
      </c>
      <c r="B9040" s="2" t="str">
        <f>IFERROR(__xludf.DUMMYFUNCTION("GOOGLETRANSLATE(A9040, ""en"", ""mt"")"),"Liema professjoni għandha Zbigniew Badowski?")</f>
        <v>Liema professjoni għandha Zbigniew Badowski?</v>
      </c>
    </row>
    <row r="9041" ht="15.75" customHeight="1">
      <c r="A9041" s="2" t="s">
        <v>9041</v>
      </c>
      <c r="B9041" s="2" t="str">
        <f>IFERROR(__xludf.DUMMYFUNCTION("GOOGLETRANSLATE(A9041, ""en"", ""mt"")"),"tisħin tal-wiċċ tad-dinja")</f>
        <v>tisħin tal-wiċċ tad-dinja</v>
      </c>
    </row>
    <row r="9042" ht="15.75" customHeight="1">
      <c r="A9042" s="2" t="s">
        <v>9042</v>
      </c>
      <c r="B9042" s="2" t="str">
        <f>IFERROR(__xludf.DUMMYFUNCTION("GOOGLETRANSLATE(A9042, ""en"", ""mt"")"),"Elimina l-liġi ta 'akkuża")</f>
        <v>Elimina l-liġi ta 'akkuża</v>
      </c>
    </row>
    <row r="9043" ht="15.75" customHeight="1">
      <c r="A9043" s="2" t="s">
        <v>9043</v>
      </c>
      <c r="B9043" s="2" t="str">
        <f>IFERROR(__xludf.DUMMYFUNCTION("GOOGLETRANSLATE(A9043, ""en"", ""mt"")"),"L-antiġeni MHC fuq ċelloli normali tal-ġisem huma rikonoxxuti minn liema riċettur fuq ċelloli NK?")</f>
        <v>L-antiġeni MHC fuq ċelloli normali tal-ġisem huma rikonoxxuti minn liema riċettur fuq ċelloli NK?</v>
      </c>
    </row>
    <row r="9044" ht="15.75" customHeight="1">
      <c r="A9044" s="2" t="s">
        <v>9044</v>
      </c>
      <c r="B9044" s="2" t="str">
        <f>IFERROR(__xludf.DUMMYFUNCTION("GOOGLETRANSLATE(A9044, ""en"", ""mt"")"),"Dak li jvarja dwar il-membrani tal-kloroplasti sekondarji?")</f>
        <v>Dak li jvarja dwar il-membrani tal-kloroplasti sekondarji?</v>
      </c>
    </row>
    <row r="9045" ht="15.75" customHeight="1">
      <c r="A9045" s="2" t="s">
        <v>9045</v>
      </c>
      <c r="B9045" s="2" t="str">
        <f>IFERROR(__xludf.DUMMYFUNCTION("GOOGLETRANSLATE(A9045, ""en"", ""mt"")"),"Provvista għolja")</f>
        <v>Provvista għolja</v>
      </c>
    </row>
    <row r="9046" ht="15.75" customHeight="1">
      <c r="A9046" s="2" t="s">
        <v>9046</v>
      </c>
      <c r="B9046" s="2" t="str">
        <f>IFERROR(__xludf.DUMMYFUNCTION("GOOGLETRANSLATE(A9046, ""en"", ""mt"")"),"X'jipproduċu l-fotokiti?")</f>
        <v>X'jipproduċu l-fotokiti?</v>
      </c>
    </row>
    <row r="9047" ht="15.75" customHeight="1">
      <c r="A9047" s="2" t="s">
        <v>9047</v>
      </c>
      <c r="B9047" s="2" t="str">
        <f>IFERROR(__xludf.DUMMYFUNCTION("GOOGLETRANSLATE(A9047, ""en"", ""mt"")"),"Seklu 18")</f>
        <v>Seklu 18</v>
      </c>
    </row>
    <row r="9048" ht="15.75" customHeight="1">
      <c r="A9048" s="2" t="s">
        <v>9048</v>
      </c>
      <c r="B9048" s="2" t="str">
        <f>IFERROR(__xludf.DUMMYFUNCTION("GOOGLETRANSLATE(A9048, ""en"", ""mt"")"),"L-ewwel liġi ta 'mozzjoni ta' Newton tiddikjara li l-oġġetti jkomplu jimxu fi stat ta 'veloċità kostanti sakemm ma jaġixxux minn forza netta esterna jew forza li tirriżulta. Din il-liġi hija estensjoni tal-għarfien ta 'Galileo li l-veloċità kostanti kiene"&amp;"t assoċjata ma' nuqqas ta 'forza netta (ara deskrizzjoni aktar dettaljata ta' dan hawn taħt). Newton ippropona li kull oġġett bil-massa jkollu inerzja intrinsika li taħdem bħala l-ekwilibriju fundamentali ""stat naturali"" minflok l-idea aristoteljana ta "&amp;"'l- ""istat naturali ta' mistrieħ"". Jiġifieri, l-ewwel liġi tikkontradixxi t-twemmin aristoteljan intuwittiv li forza netta hija meħtieġa biex iżżomm oġġett li jiċċaqlaq b'veloċità kostanti. Billi tagħmel il-mistrieħ fiżikament indistingwibbli minn veloċ"&amp;"ità kostanti mhux żero, l-ewwel liġi ta 'Newton tgħaqqad direttament l-inerzja mal-kunċett ta' veloċitajiet relattivi. Speċifikament, f'sistemi fejn l-oġġetti qed jimxu b'veloċitajiet differenti, huwa impossibbli li jiġi ddeterminat liema oġġett huwa ""mi"&amp;"exi"" u liema oġġett huwa ""mistrieħ"". Fi kliem ieħor, biex il-frażi huma iktar teknikament, il-liġijiet tal-fiżika huma l-istess f'kull qafas ta 'referenza inerzjali, jiġifieri, fil-frejms kollha relatati minn trasformazzjoni Galiljana.")</f>
        <v>L-ewwel liġi ta 'mozzjoni ta' Newton tiddikjara li l-oġġetti jkomplu jimxu fi stat ta 'veloċità kostanti sakemm ma jaġixxux minn forza netta esterna jew forza li tirriżulta. Din il-liġi hija estensjoni tal-għarfien ta 'Galileo li l-veloċità kostanti kienet assoċjata ma' nuqqas ta 'forza netta (ara deskrizzjoni aktar dettaljata ta' dan hawn taħt). Newton ippropona li kull oġġett bil-massa jkollu inerzja intrinsika li taħdem bħala l-ekwilibriju fundamentali "stat naturali" minflok l-idea aristoteljana ta 'l- "istat naturali ta' mistrieħ". Jiġifieri, l-ewwel liġi tikkontradixxi t-twemmin aristoteljan intuwittiv li forza netta hija meħtieġa biex iżżomm oġġett li jiċċaqlaq b'veloċità kostanti. Billi tagħmel il-mistrieħ fiżikament indistingwibbli minn veloċità kostanti mhux żero, l-ewwel liġi ta 'Newton tgħaqqad direttament l-inerzja mal-kunċett ta' veloċitajiet relattivi. Speċifikament, f'sistemi fejn l-oġġetti qed jimxu b'veloċitajiet differenti, huwa impossibbli li jiġi ddeterminat liema oġġett huwa "miexi" u liema oġġett huwa "mistrieħ". Fi kliem ieħor, biex il-frażi huma iktar teknikament, il-liġijiet tal-fiżika huma l-istess f'kull qafas ta 'referenza inerzjali, jiġifieri, fil-frejms kollha relatati minn trasformazzjoni Galiljana.</v>
      </c>
    </row>
    <row r="9049" ht="15.75" customHeight="1">
      <c r="A9049" s="2" t="s">
        <v>9049</v>
      </c>
      <c r="B9049" s="2" t="str">
        <f>IFERROR(__xludf.DUMMYFUNCTION("GOOGLETRANSLATE(A9049, ""en"", ""mt"")"),"Fil-ħin tal-kollokazzjoni ta 'Marburg, Suleiman il-magnificent kien assedjat lil Vjenna ma' armata Ottomana vasta. Luther kien argumenta kontra li rreżista lit-Torok fl-ispjegazzjoni tiegħu tal-1518 dwar il-ħamsa u disgħin teżi, li pprovoka akkużi ta 'tel"&amp;"fa. Huwa ra lit-Torok bħala pjaga mibgħuta biex jikkastigaw lill-Kristjani minn Alla, bħala aġenti tal-apokalipsi bibliċi li jeqirdu l-Antikrist, li Luther kien jemmen li huwa l-papat, u l-knisja Rumana. Huwa ċaħad b'mod konsistenti l-idea ta 'gwerra qadd"&amp;"isa, ""bħallikieku n-nies tagħna kienu armata ta' Kristjani kontra t-Torok, li kienu għedewwa ta 'Kristu. Din hija assolutament kuntrarja għad-duttrina u l-isem ta' Kristu"". Min-naħa l-oħra, b'konformità mad-duttrina tiegħu taż-żewġ renji, Luther appoġġj"&amp;"a gwerra mhux reliġjuża kontra t-Torok. Fl-1526, huwa sostna jekk is-suldati jistgħux ikunu fi stat ta 'grazzja li d-difiża nazzjonali hija raġuni għal gwerra ġusta. Sal-1529, fil-gwerra kontra t-Turk, huwa kien qed iħeġġeġ b’mod attiv lill-Imperatur Char"&amp;"les V u lill-poplu Ġermaniż biex jiġġieled gwerra sekulari kontra t-Torok. Huwa għamilha ċara, madankollu, li l-gwerra spiritwali kontra fidi aljena kienet separata, li għandha titwettaq permezz tat-talb u l-indiema. Madwar iż-żmien tal-assedju ta 'Vjenna"&amp;", Luther kiteb talb għat-twassil nazzjonali mit-Torok, u talab lil Alla biex ""jagħti lill-imperatur tagħna rebħa perpetwa fuq l-għedewwa tagħna"".")</f>
        <v>Fil-ħin tal-kollokazzjoni ta 'Marburg, Suleiman il-magnificent kien assedjat lil Vjenna ma' armata Ottomana vasta. Luther kien argumenta kontra li rreżista lit-Torok fl-ispjegazzjoni tiegħu tal-1518 dwar il-ħamsa u disgħin teżi, li pprovoka akkużi ta 'telfa. Huwa ra lit-Torok bħala pjaga mibgħuta biex jikkastigaw lill-Kristjani minn Alla, bħala aġenti tal-apokalipsi bibliċi li jeqirdu l-Antikrist, li Luther kien jemmen li huwa l-papat, u l-knisja Rumana. Huwa ċaħad b'mod konsistenti l-idea ta 'gwerra qaddisa, "bħallikieku n-nies tagħna kienu armata ta' Kristjani kontra t-Torok, li kienu għedewwa ta 'Kristu. Din hija assolutament kuntrarja għad-duttrina u l-isem ta' Kristu". Min-naħa l-oħra, b'konformità mad-duttrina tiegħu taż-żewġ renji, Luther appoġġja gwerra mhux reliġjuża kontra t-Torok. Fl-1526, huwa sostna jekk is-suldati jistgħux ikunu fi stat ta 'grazzja li d-difiża nazzjonali hija raġuni għal gwerra ġusta. Sal-1529, fil-gwerra kontra t-Turk, huwa kien qed iħeġġeġ b’mod attiv lill-Imperatur Charles V u lill-poplu Ġermaniż biex jiġġieled gwerra sekulari kontra t-Torok. Huwa għamilha ċara, madankollu, li l-gwerra spiritwali kontra fidi aljena kienet separata, li għandha titwettaq permezz tat-talb u l-indiema. Madwar iż-żmien tal-assedju ta 'Vjenna, Luther kiteb talb għat-twassil nazzjonali mit-Torok, u talab lil Alla biex "jagħti lill-imperatur tagħna rebħa perpetwa fuq l-għedewwa tagħna".</v>
      </c>
    </row>
    <row r="9050" ht="15.75" customHeight="1">
      <c r="A9050" s="2" t="s">
        <v>9050</v>
      </c>
      <c r="B9050" s="2" t="str">
        <f>IFERROR(__xludf.DUMMYFUNCTION("GOOGLETRANSLATE(A9050, ""en"", ""mt"")"),"100% ossiġnu")</f>
        <v>100% ossiġnu</v>
      </c>
    </row>
    <row r="9051" ht="15.75" customHeight="1">
      <c r="A9051" s="2" t="s">
        <v>9051</v>
      </c>
      <c r="B9051" s="2" t="str">
        <f>IFERROR(__xludf.DUMMYFUNCTION("GOOGLETRANSLATE(A9051, ""en"", ""mt"")"),"It-temperaturi żdiedu fuq il-bażi ta 'evidenza dokumentarja ta' vinji medjevali fl-Ingilterra")</f>
        <v>It-temperaturi żdiedu fuq il-bażi ta 'evidenza dokumentarja ta' vinji medjevali fl-Ingilterra</v>
      </c>
    </row>
    <row r="9052" ht="15.75" customHeight="1">
      <c r="A9052" s="2" t="s">
        <v>9052</v>
      </c>
      <c r="B9052" s="2" t="str">
        <f>IFERROR(__xludf.DUMMYFUNCTION("GOOGLETRANSLATE(A9052, ""en"", ""mt"")"),"kleru")</f>
        <v>kleru</v>
      </c>
    </row>
    <row r="9053" ht="15.75" customHeight="1">
      <c r="A9053" s="2" t="s">
        <v>9053</v>
      </c>
      <c r="B9053" s="2" t="str">
        <f>IFERROR(__xludf.DUMMYFUNCTION("GOOGLETRANSLATE(A9053, ""en"", ""mt"")"),"Daqs tal-input")</f>
        <v>Daqs tal-input</v>
      </c>
    </row>
    <row r="9054" ht="15.75" customHeight="1">
      <c r="A9054" s="2" t="s">
        <v>9054</v>
      </c>
      <c r="B9054" s="2" t="str">
        <f>IFERROR(__xludf.DUMMYFUNCTION("GOOGLETRANSLATE(A9054, ""en"", ""mt"")"),"l-Istitut Orjentali")</f>
        <v>l-Istitut Orjentali</v>
      </c>
    </row>
    <row r="9055" ht="15.75" customHeight="1">
      <c r="A9055" s="2" t="s">
        <v>9055</v>
      </c>
      <c r="B9055" s="2" t="str">
        <f>IFERROR(__xludf.DUMMYFUNCTION("GOOGLETRANSLATE(A9055, ""en"", ""mt"")"),"Fejn joriġina l-Ħamas?")</f>
        <v>Fejn joriġina l-Ħamas?</v>
      </c>
    </row>
    <row r="9056" ht="15.75" customHeight="1">
      <c r="A9056" s="2" t="s">
        <v>9056</v>
      </c>
      <c r="B9056" s="2" t="str">
        <f>IFERROR(__xludf.DUMMYFUNCTION("GOOGLETRANSLATE(A9056, ""en"", ""mt"")"),"Skond it-teorema ta 'Wilson, liema fatt għandu jkun diviżibbli minn P jekk xi numru sħiħ p&gt; 1 għandu jkun ikkunsidrat bħala prim?")</f>
        <v>Skond it-teorema ta 'Wilson, liema fatt għandu jkun diviżibbli minn P jekk xi numru sħiħ p&gt; 1 għandu jkun ikkunsidrat bħala prim?</v>
      </c>
    </row>
    <row r="9057" ht="15.75" customHeight="1">
      <c r="A9057" s="2" t="s">
        <v>9057</v>
      </c>
      <c r="B9057" s="2" t="str">
        <f>IFERROR(__xludf.DUMMYFUNCTION("GOOGLETRANSLATE(A9057, ""en"", ""mt"")"),"Bħala t-tim tad-dar magħżul fir-rotazzjoni annwali bejn timijiet AFC u NFC, il-Broncos ġew eletti biex jilbsu l-flokkijiet bojod tat-triq tagħhom ma 'qliezet bojod li jaqblu. Elway iddikjara, ""Kellna suċċess tas-Super Bowl fl-uniformijiet bojod tagħna."""&amp;" L-aħħar Broncos kienu jilbsu flokkijiet bojod u qliezet fis-Super Bowl fis-Super Bowl XXXIII, l-aħħar logħba ta 'Elway bħala Denver QB, meta għelbu lill-Atlanta Falcons 34-19. Fl-unika rebħa oħra tas-Super Bowl tagħhom fis-Super Bowl XXXII, Denver kienu "&amp;"jilbsu flokkijiet blu, li kien il-kulur primarju tagħhom dak iż-żmien. Huma tilfu wkoll Super Bowl XXI meta kienu jilbsu flokkijiet bojod, iżda huma 0-4 fis-Super Bowls meta jilbsu flokkijiet oranġjo, jitilfu fis-Super Bowl XII, XXII, XXIV, u XLVIII. L-un"&amp;"iku tim ieħor taċ-champion tal-AFC li kien jintlibes abjad bħala t-tim tad-dar magħżul fis-Super Bowl kien il-Pittsburgh Steelers; Huma għelbu lil Seattle Seahawks 21-10 fis-Super Bowl XL 10 staġuni qabel. Id-deċiżjoni tal-Broncos li jilbsu l-abjad kienet"&amp;" tfisser li l-Panthers jilbsu l-uniformi tad-dar standard tagħhom: flokkijiet suwed bi qliezet tal-fidda.")</f>
        <v>Bħala t-tim tad-dar magħżul fir-rotazzjoni annwali bejn timijiet AFC u NFC, il-Broncos ġew eletti biex jilbsu l-flokkijiet bojod tat-triq tagħhom ma 'qliezet bojod li jaqblu. Elway iddikjara, "Kellna suċċess tas-Super Bowl fl-uniformijiet bojod tagħna." L-aħħar Broncos kienu jilbsu flokkijiet bojod u qliezet fis-Super Bowl fis-Super Bowl XXXIII, l-aħħar logħba ta 'Elway bħala Denver QB, meta għelbu lill-Atlanta Falcons 34-19. Fl-unika rebħa oħra tas-Super Bowl tagħhom fis-Super Bowl XXXII, Denver kienu jilbsu flokkijiet blu, li kien il-kulur primarju tagħhom dak iż-żmien. Huma tilfu wkoll Super Bowl XXI meta kienu jilbsu flokkijiet bojod, iżda huma 0-4 fis-Super Bowls meta jilbsu flokkijiet oranġjo, jitilfu fis-Super Bowl XII, XXII, XXIV, u XLVIII. L-uniku tim ieħor taċ-champion tal-AFC li kien jintlibes abjad bħala t-tim tad-dar magħżul fis-Super Bowl kien il-Pittsburgh Steelers; Huma għelbu lil Seattle Seahawks 21-10 fis-Super Bowl XL 10 staġuni qabel. Id-deċiżjoni tal-Broncos li jilbsu l-abjad kienet tfisser li l-Panthers jilbsu l-uniformi tad-dar standard tagħhom: flokkijiet suwed bi qliezet tal-fidda.</v>
      </c>
    </row>
    <row r="9058" ht="15.75" customHeight="1">
      <c r="A9058" s="2" t="s">
        <v>9058</v>
      </c>
      <c r="B9058" s="2" t="str">
        <f>IFERROR(__xludf.DUMMYFUNCTION("GOOGLETRANSLATE(A9058, ""en"", ""mt"")"),"edukazzjoni għolja")</f>
        <v>edukazzjoni għolja</v>
      </c>
    </row>
    <row r="9059" ht="15.75" customHeight="1">
      <c r="A9059" s="2" t="s">
        <v>9059</v>
      </c>
      <c r="B9059" s="2" t="str">
        <f>IFERROR(__xludf.DUMMYFUNCTION("GOOGLETRANSLATE(A9059, ""en"", ""mt"")"),"Prasinofita")</f>
        <v>Prasinofita</v>
      </c>
    </row>
    <row r="9060" ht="15.75" customHeight="1">
      <c r="A9060" s="2" t="s">
        <v>9060</v>
      </c>
      <c r="B9060" s="2" t="str">
        <f>IFERROR(__xludf.DUMMYFUNCTION("GOOGLETRANSLATE(A9060, ""en"", ""mt"")"),"Qabel l-Ewwel Gwerra Dinjija, Tesla fittxet investituri barranin. Wara li bdiet il-gwerra, Tesla tilfet il-finanzjament li kien qed jirċievi mill-privattivi tiegħu f'pajjiżi Ewropej. Eventwalment, huwa biegħ Wardenclyffe għal $ 20,000 ($ 472,500 fid-dolla"&amp;"ri tal-lum). Fl-1917, madwar iż-żmien li t-Torri ta 'Wardenclyffe ġie mwaqqa' minn Boldt biex jagħmel l-art assi ta 'propjetà immobbli aktar vijabbli, Tesla rċeviet l-ogħla unur ta' Aiee, il-Midalja Edison.")</f>
        <v>Qabel l-Ewwel Gwerra Dinjija, Tesla fittxet investituri barranin. Wara li bdiet il-gwerra, Tesla tilfet il-finanzjament li kien qed jirċievi mill-privattivi tiegħu f'pajjiżi Ewropej. Eventwalment, huwa biegħ Wardenclyffe għal $ 20,000 ($ 472,500 fid-dollari tal-lum). Fl-1917, madwar iż-żmien li t-Torri ta 'Wardenclyffe ġie mwaqqa' minn Boldt biex jagħmel l-art assi ta 'propjetà immobbli aktar vijabbli, Tesla rċeviet l-ogħla unur ta' Aiee, il-Midalja Edison.</v>
      </c>
    </row>
    <row r="9061" ht="15.75" customHeight="1">
      <c r="A9061" s="2" t="s">
        <v>9061</v>
      </c>
      <c r="B9061" s="2" t="str">
        <f>IFERROR(__xludf.DUMMYFUNCTION("GOOGLETRANSLATE(A9061, ""en"", ""mt"")"),"Magnetophon Tape Recorder")</f>
        <v>Magnetophon Tape Recorder</v>
      </c>
    </row>
    <row r="9062" ht="15.75" customHeight="1">
      <c r="A9062" s="2" t="s">
        <v>9062</v>
      </c>
      <c r="B9062" s="2" t="str">
        <f>IFERROR(__xludf.DUMMYFUNCTION("GOOGLETRANSLATE(A9062, ""en"", ""mt"")"),"Liema pajjiż għandu tali studenti li ma jistgħux jiġu amministrati li ħafna għalliema ma jiddixxiplinawhom?")</f>
        <v>Liema pajjiż għandu tali studenti li ma jistgħux jiġu amministrati li ħafna għalliema ma jiddixxiplinawhom?</v>
      </c>
    </row>
    <row r="9063" ht="15.75" customHeight="1">
      <c r="A9063" s="2" t="s">
        <v>9063</v>
      </c>
      <c r="B9063" s="2" t="str">
        <f>IFERROR(__xludf.DUMMYFUNCTION("GOOGLETRANSLATE(A9063, ""en"", ""mt"")"),"X'qed jitjieb ħafna aħjar fl-iktar snin riċenti?")</f>
        <v>X'qed jitjieb ħafna aħjar fl-iktar snin riċenti?</v>
      </c>
    </row>
    <row r="9064" ht="15.75" customHeight="1">
      <c r="A9064" s="2" t="s">
        <v>9064</v>
      </c>
      <c r="B9064" s="2" t="str">
        <f>IFERROR(__xludf.DUMMYFUNCTION("GOOGLETRANSLATE(A9064, ""en"", ""mt"")"),"Nuqqasijiet")</f>
        <v>Nuqqasijiet</v>
      </c>
    </row>
    <row r="9065" ht="15.75" customHeight="1">
      <c r="A9065" s="2" t="s">
        <v>9065</v>
      </c>
      <c r="B9065" s="2" t="str">
        <f>IFERROR(__xludf.DUMMYFUNCTION("GOOGLETRANSLATE(A9065, ""en"", ""mt"")"),"Minbarra x-xaħmijiet, l-aċidi grassi, u l-aċidi amminiċi, liema komposti organiċi oħra fihom ossiġnu?")</f>
        <v>Minbarra x-xaħmijiet, l-aċidi grassi, u l-aċidi amminiċi, liema komposti organiċi oħra fihom ossiġnu?</v>
      </c>
    </row>
    <row r="9066" ht="15.75" customHeight="1">
      <c r="A9066" s="2" t="s">
        <v>9066</v>
      </c>
      <c r="B9066" s="2" t="str">
        <f>IFERROR(__xludf.DUMMYFUNCTION("GOOGLETRANSLATE(A9066, ""en"", ""mt"")"),"Liema mexxejja attakkaw l-estremisti Iżlamiċi?")</f>
        <v>Liema mexxejja attakkaw l-estremisti Iżlamiċi?</v>
      </c>
    </row>
    <row r="9067" ht="15.75" customHeight="1">
      <c r="A9067" s="2" t="s">
        <v>9067</v>
      </c>
      <c r="B9067" s="2" t="str">
        <f>IFERROR(__xludf.DUMMYFUNCTION("GOOGLETRANSLATE(A9067, ""en"", ""mt"")"),"Il-Kunsill Ġudizzjarju")</f>
        <v>Il-Kunsill Ġudizzjarju</v>
      </c>
    </row>
    <row r="9068" ht="15.75" customHeight="1">
      <c r="A9068" s="2" t="s">
        <v>9068</v>
      </c>
      <c r="B9068" s="2" t="str">
        <f>IFERROR(__xludf.DUMMYFUNCTION("GOOGLETRANSLATE(A9068, ""en"", ""mt"")"),"Żoni kkontrollati mir-Russja fl-1914")</f>
        <v>Żoni kkontrollati mir-Russja fl-1914</v>
      </c>
    </row>
    <row r="9069" ht="15.75" customHeight="1">
      <c r="A9069" s="2" t="s">
        <v>9069</v>
      </c>
      <c r="B9069" s="2" t="str">
        <f>IFERROR(__xludf.DUMMYFUNCTION("GOOGLETRANSLATE(A9069, ""en"", ""mt"")"),"1,600 mil")</f>
        <v>1,600 mil</v>
      </c>
    </row>
    <row r="9070" ht="15.75" customHeight="1">
      <c r="A9070" s="2" t="s">
        <v>9070</v>
      </c>
      <c r="B9070" s="2" t="str">
        <f>IFERROR(__xludf.DUMMYFUNCTION("GOOGLETRANSLATE(A9070, ""en"", ""mt"")"),"Għal liema livell il-ġerarkija tal-ħin polinomjali tiġġarraf jekk l-isomorfiżmu tal-graff huwa komplut NP?")</f>
        <v>Għal liema livell il-ġerarkija tal-ħin polinomjali tiġġarraf jekk l-isomorfiżmu tal-graff huwa komplut NP?</v>
      </c>
    </row>
    <row r="9071" ht="15.75" customHeight="1">
      <c r="A9071" s="2" t="s">
        <v>9071</v>
      </c>
      <c r="B9071" s="2" t="str">
        <f>IFERROR(__xludf.DUMMYFUNCTION("GOOGLETRANSLATE(A9071, ""en"", ""mt"")"),"diviżjoni")</f>
        <v>diviżjoni</v>
      </c>
    </row>
    <row r="9072" ht="15.75" customHeight="1">
      <c r="A9072" s="2" t="s">
        <v>9072</v>
      </c>
      <c r="B9072" s="2" t="str">
        <f>IFERROR(__xludf.DUMMYFUNCTION("GOOGLETRANSLATE(A9072, ""en"", ""mt"")"),"MEDJEVAL")</f>
        <v>MEDJEVAL</v>
      </c>
    </row>
    <row r="9073" ht="15.75" customHeight="1">
      <c r="A9073" s="2" t="s">
        <v>9073</v>
      </c>
      <c r="B9073" s="2" t="str">
        <f>IFERROR(__xludf.DUMMYFUNCTION("GOOGLETRANSLATE(A9073, ""en"", ""mt"")"),"X'inhi grazzja prevenjenti?")</f>
        <v>X'inhi grazzja prevenjenti?</v>
      </c>
    </row>
    <row r="9074" ht="15.75" customHeight="1">
      <c r="A9074" s="2" t="s">
        <v>9074</v>
      </c>
      <c r="B9074" s="2" t="str">
        <f>IFERROR(__xludf.DUMMYFUNCTION("GOOGLETRANSLATE(A9074, ""en"", ""mt"")"),"Kontraenti tas-Servizz tal-Edukazzjoni")</f>
        <v>Kontraenti tas-Servizz tal-Edukazzjoni</v>
      </c>
    </row>
    <row r="9075" ht="15.75" customHeight="1">
      <c r="A9075" s="2" t="s">
        <v>9075</v>
      </c>
      <c r="B9075" s="2" t="str">
        <f>IFERROR(__xludf.DUMMYFUNCTION("GOOGLETRANSLATE(A9075, ""en"", ""mt"")"),"Kemm kienet l-għajnuna ta 'emerġenza lil Iżrael?")</f>
        <v>Kemm kienet l-għajnuna ta 'emerġenza lil Iżrael?</v>
      </c>
    </row>
    <row r="9076" ht="15.75" customHeight="1">
      <c r="A9076" s="2" t="s">
        <v>9076</v>
      </c>
      <c r="B9076" s="2" t="str">
        <f>IFERROR(__xludf.DUMMYFUNCTION("GOOGLETRANSLATE(A9076, ""en"", ""mt"")"),"Ir-rwol ta 'għalliem jista' jvarja fost il-kulturi. L-għalliema jistgħu jipprovdu struzzjoni fil-litteriżmu u l-numerazzjoni, sengħa jew taħriġ vokazzjonali, l-arti, ir-reliġjon, iċ-ċiviku, ir-rwoli tal-komunità, jew il-ħiliet tal-ħajja.")</f>
        <v>Ir-rwol ta 'għalliem jista' jvarja fost il-kulturi. L-għalliema jistgħu jipprovdu struzzjoni fil-litteriżmu u l-numerazzjoni, sengħa jew taħriġ vokazzjonali, l-arti, ir-reliġjon, iċ-ċiviku, ir-rwoli tal-komunità, jew il-ħiliet tal-ħajja.</v>
      </c>
    </row>
    <row r="9077" ht="15.75" customHeight="1">
      <c r="A9077" s="2" t="s">
        <v>9077</v>
      </c>
      <c r="B9077" s="2" t="str">
        <f>IFERROR(__xludf.DUMMYFUNCTION("GOOGLETRANSLATE(A9077, ""en"", ""mt"")"),"X’għamlet Tesla f’Tomingaj?")</f>
        <v>X’għamlet Tesla f’Tomingaj?</v>
      </c>
    </row>
    <row r="9078" ht="15.75" customHeight="1">
      <c r="A9078" s="2" t="s">
        <v>9078</v>
      </c>
      <c r="B9078" s="2" t="str">
        <f>IFERROR(__xludf.DUMMYFUNCTION("GOOGLETRANSLATE(A9078, ""en"", ""mt"")"),"power steering")</f>
        <v>power steering</v>
      </c>
    </row>
    <row r="9079" ht="15.75" customHeight="1">
      <c r="A9079" s="2" t="s">
        <v>9079</v>
      </c>
      <c r="B9079" s="2" t="str">
        <f>IFERROR(__xludf.DUMMYFUNCTION("GOOGLETRANSLATE(A9079, ""en"", ""mt"")"),"X'inhi t-tifsira ewlenija tal-kolonjaliżmu?")</f>
        <v>X'inhi t-tifsira ewlenija tal-kolonjaliżmu?</v>
      </c>
    </row>
    <row r="9080" ht="15.75" customHeight="1">
      <c r="A9080" s="2" t="s">
        <v>9080</v>
      </c>
      <c r="B9080" s="2" t="str">
        <f>IFERROR(__xludf.DUMMYFUNCTION("GOOGLETRANSLATE(A9080, ""en"", ""mt"")"),"vleġġa")</f>
        <v>vleġġa</v>
      </c>
    </row>
    <row r="9081" ht="15.75" customHeight="1">
      <c r="A9081" s="2" t="s">
        <v>9081</v>
      </c>
      <c r="B9081" s="2" t="str">
        <f>IFERROR(__xludf.DUMMYFUNCTION("GOOGLETRANSLATE(A9081, ""en"", ""mt"")"),"Dak li rarament jimmuta?")</f>
        <v>Dak li rarament jimmuta?</v>
      </c>
    </row>
    <row r="9082" ht="15.75" customHeight="1">
      <c r="A9082" s="2" t="s">
        <v>9082</v>
      </c>
      <c r="B9082" s="2" t="str">
        <f>IFERROR(__xludf.DUMMYFUNCTION("GOOGLETRANSLATE(A9082, ""en"", ""mt"")"),"Jalloka minn qabel il-wisa 'tal-banda tan-netwerk iddedikat speċifikament għal kull sessjoni ta' komunikazzjoni")</f>
        <v>Jalloka minn qabel il-wisa 'tal-banda tan-netwerk iddedikat speċifikament għal kull sessjoni ta' komunikazzjoni</v>
      </c>
    </row>
    <row r="9083" ht="15.75" customHeight="1">
      <c r="A9083" s="2" t="s">
        <v>9083</v>
      </c>
      <c r="B9083" s="2" t="str">
        <f>IFERROR(__xludf.DUMMYFUNCTION("GOOGLETRANSLATE(A9083, ""en"", ""mt"")"),"Dak li jgħin biex jinħeles il-kapaċità tal-produttività tal-foqra?")</f>
        <v>Dak li jgħin biex jinħeles il-kapaċità tal-produttività tal-foqra?</v>
      </c>
    </row>
    <row r="9084" ht="15.75" customHeight="1">
      <c r="A9084" s="2" t="s">
        <v>9084</v>
      </c>
      <c r="B9084" s="2" t="str">
        <f>IFERROR(__xludf.DUMMYFUNCTION("GOOGLETRANSLATE(A9084, ""en"", ""mt"")"),"Predikaturi")</f>
        <v>Predikaturi</v>
      </c>
    </row>
    <row r="9085" ht="15.75" customHeight="1">
      <c r="A9085" s="2" t="s">
        <v>9085</v>
      </c>
      <c r="B9085" s="2" t="str">
        <f>IFERROR(__xludf.DUMMYFUNCTION("GOOGLETRANSLATE(A9085, ""en"", ""mt"")"),"Mitfugħ għall-irjieħ bla heed")</f>
        <v>Mitfugħ għall-irjieħ bla heed</v>
      </c>
    </row>
    <row r="9086" ht="15.75" customHeight="1">
      <c r="A9086" s="2" t="s">
        <v>9086</v>
      </c>
      <c r="B9086" s="2" t="str">
        <f>IFERROR(__xludf.DUMMYFUNCTION("GOOGLETRANSLATE(A9086, ""en"", ""mt"")"),"Għaliex huwa preferut li d-diżubbidjenza ċivili mhix vjolenti?")</f>
        <v>Għaliex huwa preferut li d-diżubbidjenza ċivili mhix vjolenti?</v>
      </c>
    </row>
    <row r="9087" ht="15.75" customHeight="1">
      <c r="A9087" s="2" t="s">
        <v>9087</v>
      </c>
      <c r="B9087" s="2" t="str">
        <f>IFERROR(__xludf.DUMMYFUNCTION("GOOGLETRANSLATE(A9087, ""en"", ""mt"")"),"Ir-rwol pożittiv tiegħu huwa sottovalutat")</f>
        <v>Ir-rwol pożittiv tiegħu huwa sottovalutat</v>
      </c>
    </row>
    <row r="9088" ht="15.75" customHeight="1">
      <c r="A9088" s="2" t="s">
        <v>9088</v>
      </c>
      <c r="B9088" s="2" t="str">
        <f>IFERROR(__xludf.DUMMYFUNCTION("GOOGLETRANSLATE(A9088, ""en"", ""mt"")"),"L-ossiġenu jiġi rilaxxat fir-respirazzjoni ċellulari minn?")</f>
        <v>L-ossiġenu jiġi rilaxxat fir-respirazzjoni ċellulari minn?</v>
      </c>
    </row>
    <row r="9089" ht="15.75" customHeight="1">
      <c r="A9089" s="2" t="s">
        <v>9089</v>
      </c>
      <c r="B9089" s="2" t="str">
        <f>IFERROR(__xludf.DUMMYFUNCTION("GOOGLETRANSLATE(A9089, ""en"", ""mt"")"),"igneous, sedimentarju, u metamorfiku")</f>
        <v>igneous, sedimentarju, u metamorfiku</v>
      </c>
    </row>
    <row r="9090" ht="15.75" customHeight="1">
      <c r="A9090" s="2" t="s">
        <v>9090</v>
      </c>
      <c r="B9090" s="2" t="str">
        <f>IFERROR(__xludf.DUMMYFUNCTION("GOOGLETRANSLATE(A9090, ""en"", ""mt"")"),"Tribujiet Nomadi tal-Asja tal-Grigal")</f>
        <v>Tribujiet Nomadi tal-Asja tal-Grigal</v>
      </c>
    </row>
    <row r="9091" ht="15.75" customHeight="1">
      <c r="A9091" s="2" t="s">
        <v>9091</v>
      </c>
      <c r="B9091" s="2" t="str">
        <f>IFERROR(__xludf.DUMMYFUNCTION("GOOGLETRANSLATE(A9091, ""en"", ""mt"")"),"Qoxra u l-ogħla porzjon riġidu tal-mantell ta 'fuq")</f>
        <v>Qoxra u l-ogħla porzjon riġidu tal-mantell ta 'fuq</v>
      </c>
    </row>
    <row r="9092" ht="15.75" customHeight="1">
      <c r="A9092" s="2" t="s">
        <v>9092</v>
      </c>
      <c r="B9092" s="2" t="str">
        <f>IFERROR(__xludf.DUMMYFUNCTION("GOOGLETRANSLATE(A9092, ""en"", ""mt"")"),"Kemm seħħew etajiet kbar tas-silġ?")</f>
        <v>Kemm seħħew etajiet kbar tas-silġ?</v>
      </c>
    </row>
    <row r="9093" ht="15.75" customHeight="1">
      <c r="A9093" s="2" t="s">
        <v>9093</v>
      </c>
      <c r="B9093" s="2" t="str">
        <f>IFERROR(__xludf.DUMMYFUNCTION("GOOGLETRANSLATE(A9093, ""en"", ""mt"")"),"Xi jfisser meta l-muniti jitħallew biex ""jitilgħu?""")</f>
        <v>Xi jfisser meta l-muniti jitħallew biex "jitilgħu?"</v>
      </c>
    </row>
    <row r="9094" ht="15.75" customHeight="1">
      <c r="A9094" s="2" t="s">
        <v>9094</v>
      </c>
      <c r="B9094" s="2" t="str">
        <f>IFERROR(__xludf.DUMMYFUNCTION("GOOGLETRANSLATE(A9094, ""en"", ""mt"")"),"Il-membrana oriġinali taċ-ċellula endosymbiont tal-alka ħamra")</f>
        <v>Il-membrana oriġinali taċ-ċellula endosymbiont tal-alka ħamra</v>
      </c>
    </row>
    <row r="9095" ht="15.75" customHeight="1">
      <c r="A9095" s="2" t="s">
        <v>9095</v>
      </c>
      <c r="B9095" s="2" t="str">
        <f>IFERROR(__xludf.DUMMYFUNCTION("GOOGLETRANSLATE(A9095, ""en"", ""mt"")"),"Magna tat-Turing Deterministika")</f>
        <v>Magna tat-Turing Deterministika</v>
      </c>
    </row>
    <row r="9096" ht="15.75" customHeight="1">
      <c r="A9096" s="2" t="s">
        <v>9096</v>
      </c>
      <c r="B9096" s="2" t="str">
        <f>IFERROR(__xludf.DUMMYFUNCTION("GOOGLETRANSLATE(A9096, ""en"", ""mt"")"),"Erba 'Klassijiet (Tip I - IV)")</f>
        <v>Erba 'Klassijiet (Tip I - IV)</v>
      </c>
    </row>
    <row r="9097" ht="15.75" customHeight="1">
      <c r="A9097" s="2" t="s">
        <v>9097</v>
      </c>
      <c r="B9097" s="2" t="str">
        <f>IFERROR(__xludf.DUMMYFUNCTION("GOOGLETRANSLATE(A9097, ""en"", ""mt"")"),"Bjuda")</f>
        <v>Bjuda</v>
      </c>
    </row>
    <row r="9098" ht="15.75" customHeight="1">
      <c r="A9098" s="2" t="s">
        <v>9098</v>
      </c>
      <c r="B9098" s="2" t="str">
        <f>IFERROR(__xludf.DUMMYFUNCTION("GOOGLETRANSLATE(A9098, ""en"", ""mt"")"),"Nuqqas ta 'statistika affidabbli")</f>
        <v>Nuqqas ta 'statistika affidabbli</v>
      </c>
    </row>
    <row r="9099" ht="15.75" customHeight="1">
      <c r="A9099" s="2" t="s">
        <v>9099</v>
      </c>
      <c r="B9099" s="2" t="str">
        <f>IFERROR(__xludf.DUMMYFUNCTION("GOOGLETRANSLATE(A9099, ""en"", ""mt"")"),"Taħt 0 ° C (32 ° F)")</f>
        <v>Taħt 0 ° C (32 ° F)</v>
      </c>
    </row>
    <row r="9100" ht="15.75" customHeight="1">
      <c r="A9100" s="2" t="s">
        <v>9100</v>
      </c>
      <c r="B9100" s="2" t="str">
        <f>IFERROR(__xludf.DUMMYFUNCTION("GOOGLETRANSLATE(A9100, ""en"", ""mt"")"),"Liema korp jikkostitwixxi l-Leġislatura Suprema tal-Iskozja?")</f>
        <v>Liema korp jikkostitwixxi l-Leġislatura Suprema tal-Iskozja?</v>
      </c>
    </row>
    <row r="9101" ht="15.75" customHeight="1">
      <c r="A9101" s="2" t="s">
        <v>9101</v>
      </c>
      <c r="B9101" s="2" t="str">
        <f>IFERROR(__xludf.DUMMYFUNCTION("GOOGLETRANSLATE(A9101, ""en"", ""mt"")"),"F'liema lingwa Marlee Matlin ittradotta l-Innu Nazzjonali?")</f>
        <v>F'liema lingwa Marlee Matlin ittradotta l-Innu Nazzjonali?</v>
      </c>
    </row>
    <row r="9102" ht="15.75" customHeight="1">
      <c r="A9102" s="2" t="s">
        <v>9102</v>
      </c>
      <c r="B9102" s="2" t="str">
        <f>IFERROR(__xludf.DUMMYFUNCTION("GOOGLETRANSLATE(A9102, ""en"", ""mt"")"),"Theta Forma Intermedjarja")</f>
        <v>Theta Forma Intermedjarja</v>
      </c>
    </row>
    <row r="9103" ht="15.75" customHeight="1">
      <c r="A9103" s="2" t="s">
        <v>9103</v>
      </c>
      <c r="B9103" s="2" t="str">
        <f>IFERROR(__xludf.DUMMYFUNCTION("GOOGLETRANSLATE(A9103, ""en"", ""mt"")"),"l-istat (inklużi l-imħallfin)")</f>
        <v>l-istat (inklużi l-imħallfin)</v>
      </c>
    </row>
    <row r="9104" ht="15.75" customHeight="1">
      <c r="A9104" s="2" t="s">
        <v>9104</v>
      </c>
      <c r="B9104" s="2" t="str">
        <f>IFERROR(__xludf.DUMMYFUNCTION("GOOGLETRANSLATE(A9104, ""en"", ""mt"")"),"Il-ġbir tal-kostumi huwa l-iktar komprensiv fil-Gran Brittanja, li fih aktar minn 14,000 ilbies flimkien ma 'aċċessorji, prinċipalment li jmorru mill-1600 sal-preżent. Skeċċijiet tal-kostumi, notebooks tad-disinn, u xogħlijiet oħra fuq il-karta huma tipik"&amp;"ament miżmuma mid-dipartiment tal-kelma u l-immaġini. Minħabba li l-ilbies ta 'kuljum minn eras preċedenti ġeneralment ma baqax ħaj, il-kollezzjoni hija ddominata minn ħwejjeġ ta' moda magħmula għal okkażjonijiet speċjali. Wieħed mill-ewwel rigali sinifik"&amp;"anti ta 'kostumi daħal fl-1913 meta l-V &amp; A rċeviet il-kollezzjoni Talbot Hughes li fiha 1,442 kostumi u oġġetti bħala rigal minn Harrods wara l-wirja tagħha fid-dipartiment tal-viċin.")</f>
        <v>Il-ġbir tal-kostumi huwa l-iktar komprensiv fil-Gran Brittanja, li fih aktar minn 14,000 ilbies flimkien ma 'aċċessorji, prinċipalment li jmorru mill-1600 sal-preżent. Skeċċijiet tal-kostumi, notebooks tad-disinn, u xogħlijiet oħra fuq il-karta huma tipikament miżmuma mid-dipartiment tal-kelma u l-immaġini. Minħabba li l-ilbies ta 'kuljum minn eras preċedenti ġeneralment ma baqax ħaj, il-kollezzjoni hija ddominata minn ħwejjeġ ta' moda magħmula għal okkażjonijiet speċjali. Wieħed mill-ewwel rigali sinifikanti ta 'kostumi daħal fl-1913 meta l-V &amp; A rċeviet il-kollezzjoni Talbot Hughes li fiha 1,442 kostumi u oġġetti bħala rigal minn Harrods wara l-wirja tagħha fid-dipartiment tal-viċin.</v>
      </c>
    </row>
    <row r="9105" ht="15.75" customHeight="1">
      <c r="A9105" s="2" t="s">
        <v>9105</v>
      </c>
      <c r="B9105" s="2" t="str">
        <f>IFERROR(__xludf.DUMMYFUNCTION("GOOGLETRANSLATE(A9105, ""en"", ""mt"")"),"L-arkitettura Gotika hija rrappreżentata fil-knejjes maestużi iżda wkoll fid-djar u l-fortifikazzjonijiet tal-burgher. L-iktar bini sinifikanti huma l-Katidral ta ’San Ġwann (seklu 14), it-tempju huwa eżempju tipiku tal-hekk imsejħa stil Gotiku Masovjan, "&amp;"Santa Marija tal-Knisja (1411), dar tal-belt tal-familja Burbach (seklu 14), Gunpowder Tower (wara l-1379) u r-Royal Castle Curia Maior (1407-1410). L-iktar eżempji notevoli ta 'arkitettura ta' Rinaxximent fil-belt huma l-familja merkantili tad-dar ta 'Ba"&amp;"ryczko (1562), bini msejjaħ ""in-negro"" (seklu 17 kmieni) u l-fond ta' Salwator (1632). L-iktar eżempji interessanti ta 'arkitettura ta' manjerista huma l-Kastell Irjali (1596-1619) u l-Knisja tal-Ġiżwiti (1609-1626) fil-Belt il-Qadima. Fost l-ewwel stru"&amp;"tturi tal-Barokk bikri l-iktar importanti huma l-Knisja ta ’San Ġjaċint (1603-1639) u l-kolonna ta’ Sigismund (1644).")</f>
        <v>L-arkitettura Gotika hija rrappreżentata fil-knejjes maestużi iżda wkoll fid-djar u l-fortifikazzjonijiet tal-burgher. L-iktar bini sinifikanti huma l-Katidral ta ’San Ġwann (seklu 14), it-tempju huwa eżempju tipiku tal-hekk imsejħa stil Gotiku Masovjan, Santa Marija tal-Knisja (1411), dar tal-belt tal-familja Burbach (seklu 14), Gunpowder Tower (wara l-1379) u r-Royal Castle Curia Maior (1407-1410). L-iktar eżempji notevoli ta 'arkitettura ta' Rinaxximent fil-belt huma l-familja merkantili tad-dar ta 'Baryczko (1562), bini msejjaħ "in-negro" (seklu 17 kmieni) u l-fond ta' Salwator (1632). L-iktar eżempji interessanti ta 'arkitettura ta' manjerista huma l-Kastell Irjali (1596-1619) u l-Knisja tal-Ġiżwiti (1609-1626) fil-Belt il-Qadima. Fost l-ewwel strutturi tal-Barokk bikri l-iktar importanti huma l-Knisja ta ’San Ġjaċint (1603-1639) u l-kolonna ta’ Sigismund (1644).</v>
      </c>
    </row>
    <row r="9106" ht="15.75" customHeight="1">
      <c r="A9106" s="2" t="s">
        <v>9106</v>
      </c>
      <c r="B9106" s="2" t="str">
        <f>IFERROR(__xludf.DUMMYFUNCTION("GOOGLETRANSLATE(A9106, ""en"", ""mt"")"),"Inġinier tal-Kostruzzjoni jew Maniġer tal-Proġett")</f>
        <v>Inġinier tal-Kostruzzjoni jew Maniġer tal-Proġett</v>
      </c>
    </row>
    <row r="9107" ht="15.75" customHeight="1">
      <c r="A9107" s="2" t="s">
        <v>9107</v>
      </c>
      <c r="B9107" s="2" t="str">
        <f>IFERROR(__xludf.DUMMYFUNCTION("GOOGLETRANSLATE(A9107, ""en"", ""mt"")"),"X'inhu l-isem tat-trofew mogħti lil kull min jilgħab fit-tim rebbieħ f'super bowl?")</f>
        <v>X'inhu l-isem tat-trofew mogħti lil kull min jilgħab fit-tim rebbieħ f'super bowl?</v>
      </c>
    </row>
    <row r="9108" ht="15.75" customHeight="1">
      <c r="A9108" s="2" t="s">
        <v>9108</v>
      </c>
      <c r="B9108" s="2" t="str">
        <f>IFERROR(__xludf.DUMMYFUNCTION("GOOGLETRANSLATE(A9108, ""en"", ""mt"")"),"dritta")</f>
        <v>dritta</v>
      </c>
    </row>
    <row r="9109" ht="15.75" customHeight="1">
      <c r="A9109" s="2" t="s">
        <v>9109</v>
      </c>
      <c r="B9109" s="2" t="str">
        <f>IFERROR(__xludf.DUMMYFUNCTION("GOOGLETRANSLATE(A9109, ""en"", ""mt"")"),"Normalment fidda, liema kulur intuża għan-numru 50?")</f>
        <v>Normalment fidda, liema kulur intuża għan-numru 50?</v>
      </c>
    </row>
    <row r="9110" ht="15.75" customHeight="1">
      <c r="A9110" s="2" t="s">
        <v>9110</v>
      </c>
      <c r="B9110" s="2" t="str">
        <f>IFERROR(__xludf.DUMMYFUNCTION("GOOGLETRANSLATE(A9110, ""en"", ""mt"")"),"Luther li ċempel lil Luther biex twaqqaf ir-rewwixta?")</f>
        <v>Luther li ċempel lil Luther biex twaqqaf ir-rewwixta?</v>
      </c>
    </row>
    <row r="9111" ht="15.75" customHeight="1">
      <c r="A9111" s="2" t="s">
        <v>9111</v>
      </c>
      <c r="B9111" s="2" t="str">
        <f>IFERROR(__xludf.DUMMYFUNCTION("GOOGLETRANSLATE(A9111, ""en"", ""mt"")"),"immaġini ta 'annimali differenti u bnedmin iwettqu diversi azzjonijiet")</f>
        <v>immaġini ta 'annimali differenti u bnedmin iwettqu diversi azzjonijiet</v>
      </c>
    </row>
    <row r="9112" ht="15.75" customHeight="1">
      <c r="A9112" s="2" t="s">
        <v>9112</v>
      </c>
      <c r="B9112" s="2" t="str">
        <f>IFERROR(__xludf.DUMMYFUNCTION("GOOGLETRANSLATE(A9112, ""en"", ""mt"")"),"Revival Gotiku")</f>
        <v>Revival Gotiku</v>
      </c>
    </row>
    <row r="9113" ht="15.75" customHeight="1">
      <c r="A9113" s="2" t="s">
        <v>9113</v>
      </c>
      <c r="B9113" s="2" t="str">
        <f>IFERROR(__xludf.DUMMYFUNCTION("GOOGLETRANSLATE(A9113, ""en"", ""mt"")"),"Liema rotta tal-kummerċ ingħaqdet ma 'Khwarezmia u l-imperu Mongol?")</f>
        <v>Liema rotta tal-kummerċ ingħaqdet ma 'Khwarezmia u l-imperu Mongol?</v>
      </c>
    </row>
    <row r="9114" ht="15.75" customHeight="1">
      <c r="A9114" s="2" t="s">
        <v>9114</v>
      </c>
      <c r="B9114" s="2" t="str">
        <f>IFERROR(__xludf.DUMMYFUNCTION("GOOGLETRANSLATE(A9114, ""en"", ""mt"")"),"X'tipi ta 'funzjonijiet ta' l-ispiżerija bdew jiġu esternalizzati?")</f>
        <v>X'tipi ta 'funzjonijiet ta' l-ispiżerija bdew jiġu esternalizzati?</v>
      </c>
    </row>
    <row r="9115" ht="15.75" customHeight="1">
      <c r="A9115" s="2" t="s">
        <v>9115</v>
      </c>
      <c r="B9115" s="2" t="str">
        <f>IFERROR(__xludf.DUMMYFUNCTION("GOOGLETRANSLATE(A9115, ""en"", ""mt"")"),"It-Trattat ta 'Lisbona huwa wieħed li jbiddel it-trattati eżistenti jew jibdilhom?")</f>
        <v>It-Trattat ta 'Lisbona huwa wieħed li jbiddel it-trattati eżistenti jew jibdilhom?</v>
      </c>
    </row>
    <row r="9116" ht="15.75" customHeight="1">
      <c r="A9116" s="2" t="s">
        <v>9116</v>
      </c>
      <c r="B9116" s="2" t="str">
        <f>IFERROR(__xludf.DUMMYFUNCTION("GOOGLETRANSLATE(A9116, ""en"", ""mt"")"),"Joriġinaw bħala l-Jama'at al-Tawhid Wal-Jihad fl-1999, wiegħed lealtà lejn al-Qaeda fl-2004, ipparteċipa fl-ribelljoni Iraqqina li segwiet l-invażjoni ta 'Marzu 2003 tal-Iraq mill-forzi tal-Punent, ingħaqdet mal-ġlieda fil-Gwerra Ċivili Sirjana Bidu f'Mar"&amp;"zu 2011, u ġie mkeċċi minn al-Qaeda fil-bidu tal-2014, (li lmenta min-nuqqas tiegħu li jikkonsulta u ""intransigenza notorja""). Il-grupp kiseb prominenza wara li mexxa l-forzi tal-gvern Iraqqin barra mill-ibliet ewlenin fil-Punent tal-Iraq fi offensiva t"&amp;"al-2014. Il-grupp huwa adept fil-midja soċjali, li jippubblika vidjows tal-internet ta 'bejs ta' suldati, ċivili, ġurnalisti u ħaddiema tal-għajnuna, u huwa magħruf għall-qerda tiegħu ta 'siti ta' wirt kulturali. In-Nazzjonijiet Uniti żammet l-ISIL respon"&amp;"sabbli għall-abbużi tad-drittijiet tal-bniedem u r-reati tal-gwerra, u Amnesty International irrappurtat tindif etniku mill-grupp fuq ""skala storika"". Il-grupp ġie nominat organizzazzjoni terroristika min-Nazzjonijiet Uniti, l-Unjoni Ewropea u l-Istati "&amp;"Membri, l-Istati Uniti, l-Indja, l-Indoneżja, it-Turkija, l-Arabja Sawdija, is-Sirja u pajjiżi oħra.")</f>
        <v>Joriġinaw bħala l-Jama'at al-Tawhid Wal-Jihad fl-1999, wiegħed lealtà lejn al-Qaeda fl-2004, ipparteċipa fl-ribelljoni Iraqqina li segwiet l-invażjoni ta 'Marzu 2003 tal-Iraq mill-forzi tal-Punent, ingħaqdet mal-ġlieda fil-Gwerra Ċivili Sirjana Bidu f'Marzu 2011, u ġie mkeċċi minn al-Qaeda fil-bidu tal-2014, (li lmenta min-nuqqas tiegħu li jikkonsulta u "intransigenza notorja"). Il-grupp kiseb prominenza wara li mexxa l-forzi tal-gvern Iraqqin barra mill-ibliet ewlenin fil-Punent tal-Iraq fi offensiva tal-2014. Il-grupp huwa adept fil-midja soċjali, li jippubblika vidjows tal-internet ta 'bejs ta' suldati, ċivili, ġurnalisti u ħaddiema tal-għajnuna, u huwa magħruf għall-qerda tiegħu ta 'siti ta' wirt kulturali. In-Nazzjonijiet Uniti żammet l-ISIL responsabbli għall-abbużi tad-drittijiet tal-bniedem u r-reati tal-gwerra, u Amnesty International irrappurtat tindif etniku mill-grupp fuq "skala storika". Il-grupp ġie nominat organizzazzjoni terroristika min-Nazzjonijiet Uniti, l-Unjoni Ewropea u l-Istati Membri, l-Istati Uniti, l-Indja, l-Indoneżja, it-Turkija, l-Arabja Sawdija, is-Sirja u pajjiżi oħra.</v>
      </c>
    </row>
    <row r="9117" ht="15.75" customHeight="1">
      <c r="A9117" s="2" t="s">
        <v>9117</v>
      </c>
      <c r="B9117" s="2" t="str">
        <f>IFERROR(__xludf.DUMMYFUNCTION("GOOGLETRANSLATE(A9117, ""en"", ""mt"")"),"Sistema ta ’Kontrolli u Bilanċi tal-Istati Uniti u ta’ ħafna gvernijiet oħra")</f>
        <v>Sistema ta ’Kontrolli u Bilanċi tal-Istati Uniti u ta’ ħafna gvernijiet oħra</v>
      </c>
    </row>
    <row r="9118" ht="15.75" customHeight="1">
      <c r="A9118" s="2" t="s">
        <v>9118</v>
      </c>
      <c r="B9118" s="2" t="str">
        <f>IFERROR(__xludf.DUMMYFUNCTION("GOOGLETRANSLATE(A9118, ""en"", ""mt"")"),"X'tip ta 'attivitajiet ikun jeħtieġ li għalliem jieħu rwol ta' superviżur?")</f>
        <v>X'tip ta 'attivitajiet ikun jeħtieġ li għalliem jieħu rwol ta' superviżur?</v>
      </c>
    </row>
    <row r="9119" ht="15.75" customHeight="1">
      <c r="A9119" s="2" t="s">
        <v>9119</v>
      </c>
      <c r="B9119" s="2" t="str">
        <f>IFERROR(__xludf.DUMMYFUNCTION("GOOGLETRANSLATE(A9119, ""en"", ""mt"")"),"il-mudell tal-magna magħżul")</f>
        <v>il-mudell tal-magna magħżul</v>
      </c>
    </row>
    <row r="9120" ht="15.75" customHeight="1">
      <c r="A9120" s="2" t="s">
        <v>9120</v>
      </c>
      <c r="B9120" s="2" t="str">
        <f>IFERROR(__xludf.DUMMYFUNCTION("GOOGLETRANSLATE(A9120, ""en"", ""mt"")"),"organiżmi")</f>
        <v>organiżmi</v>
      </c>
    </row>
    <row r="9121" ht="15.75" customHeight="1">
      <c r="A9121" s="2" t="s">
        <v>9121</v>
      </c>
      <c r="B9121" s="2" t="str">
        <f>IFERROR(__xludf.DUMMYFUNCTION("GOOGLETRANSLATE(A9121, ""en"", ""mt"")"),"L-1")</f>
        <v>L-1</v>
      </c>
    </row>
    <row r="9122" ht="15.75" customHeight="1">
      <c r="A9122" s="2" t="s">
        <v>9122</v>
      </c>
      <c r="B9122" s="2" t="str">
        <f>IFERROR(__xludf.DUMMYFUNCTION("GOOGLETRANSLATE(A9122, ""en"", ""mt"")"),"Orjent kontemporanju, """)</f>
        <v>Orjent kontemporanju, "</v>
      </c>
    </row>
    <row r="9123" ht="15.75" customHeight="1">
      <c r="A9123" s="2" t="s">
        <v>9123</v>
      </c>
      <c r="B9123" s="2" t="str">
        <f>IFERROR(__xludf.DUMMYFUNCTION("GOOGLETRANSLATE(A9123, ""en"", ""mt"")"),"Il-fatat ta 'Le Roi Huguet")</f>
        <v>Il-fatat ta 'Le Roi Huguet</v>
      </c>
    </row>
    <row r="9124" ht="15.75" customHeight="1">
      <c r="A9124" s="2" t="s">
        <v>9124</v>
      </c>
      <c r="B9124" s="2" t="str">
        <f>IFERROR(__xludf.DUMMYFUNCTION("GOOGLETRANSLATE(A9124, ""en"", ""mt"")"),"Huma tilfu l-flus")</f>
        <v>Huma tilfu l-flus</v>
      </c>
    </row>
    <row r="9125" ht="15.75" customHeight="1">
      <c r="A9125" s="2" t="s">
        <v>9125</v>
      </c>
      <c r="B9125" s="2" t="str">
        <f>IFERROR(__xludf.DUMMYFUNCTION("GOOGLETRANSLATE(A9125, ""en"", ""mt"")"),"wara l-gwerra tad-dinja")</f>
        <v>wara l-gwerra tad-dinja</v>
      </c>
    </row>
    <row r="9126" ht="15.75" customHeight="1">
      <c r="A9126" s="2" t="s">
        <v>9126</v>
      </c>
      <c r="B9126" s="2" t="str">
        <f>IFERROR(__xludf.DUMMYFUNCTION("GOOGLETRANSLATE(A9126, ""en"", ""mt"")"),"Rati ta 'żieda fil-livell tal-baħar")</f>
        <v>Rati ta 'żieda fil-livell tal-baħar</v>
      </c>
    </row>
    <row r="9127" ht="15.75" customHeight="1">
      <c r="A9127" s="2" t="s">
        <v>9127</v>
      </c>
      <c r="B9127" s="2" t="str">
        <f>IFERROR(__xludf.DUMMYFUNCTION("GOOGLETRANSLATE(A9127, ""en"", ""mt"")"),"BSKYB nediet is-servizz HDTV tagħha, Sky + HD, fit-22 ta 'Mejju 2006. Qabel it-tnedija tiegħu, BSKYB sostna li 40,000 persuna kienu rreġistraw biex jirċievu s-servizz HD. Fil-ġimgħa ta ’qabel it-tnedija, l-għajdut bdew joħorġu li BSKYB kien qed ikollu pro"&amp;"blemi ta’ provvista bil-Kaxxa Top Top tagħha (STB) mill-manifattur Thomson. Nhar il-Ħamis 18 ta 'Mejju 2006, u komplew matul tmiem il-ġimgħa qabel it-tnedija, in-nies kienu jirrappurtaw li BSKYB jew ikkanċella jew skeda mill-ġdid l-installazzjoni tiegħu. "&amp;"Fl-aħħarnett, il-BBC irrappurtat li 17,000 klijent kienu għad iridu jirċievu s-servizz minħabba kunsinni falluti. Fil-31 ta 'Marzu 2012, Sky ħabbret li n-numru totali ta' djar ma 'Sky + HD kien 4,222,000.")</f>
        <v>BSKYB nediet is-servizz HDTV tagħha, Sky + HD, fit-22 ta 'Mejju 2006. Qabel it-tnedija tiegħu, BSKYB sostna li 40,000 persuna kienu rreġistraw biex jirċievu s-servizz HD. Fil-ġimgħa ta ’qabel it-tnedija, l-għajdut bdew joħorġu li BSKYB kien qed ikollu problemi ta’ provvista bil-Kaxxa Top Top tagħha (STB) mill-manifattur Thomson. Nhar il-Ħamis 18 ta 'Mejju 2006, u komplew matul tmiem il-ġimgħa qabel it-tnedija, in-nies kienu jirrappurtaw li BSKYB jew ikkanċella jew skeda mill-ġdid l-installazzjoni tiegħu. Fl-aħħarnett, il-BBC irrappurtat li 17,000 klijent kienu għad iridu jirċievu s-servizz minħabba kunsinni falluti. Fil-31 ta 'Marzu 2012, Sky ħabbret li n-numru totali ta' djar ma 'Sky + HD kien 4,222,000.</v>
      </c>
    </row>
    <row r="9128" ht="15.75" customHeight="1">
      <c r="A9128" s="2" t="s">
        <v>9128</v>
      </c>
      <c r="B9128" s="2" t="str">
        <f>IFERROR(__xludf.DUMMYFUNCTION("GOOGLETRANSLATE(A9128, ""en"", ""mt"")"),"Ġurnaliżmu")</f>
        <v>Ġurnaliżmu</v>
      </c>
    </row>
    <row r="9129" ht="15.75" customHeight="1">
      <c r="A9129" s="2" t="s">
        <v>9129</v>
      </c>
      <c r="B9129" s="2" t="str">
        <f>IFERROR(__xludf.DUMMYFUNCTION("GOOGLETRANSLATE(A9129, ""en"", ""mt"")"),"Kejl tad-domanda bijokimika tal-ilma bijokimiku")</f>
        <v>Kejl tad-domanda bijokimika tal-ilma bijokimiku</v>
      </c>
    </row>
    <row r="9130" ht="15.75" customHeight="1">
      <c r="A9130" s="2" t="s">
        <v>9130</v>
      </c>
      <c r="B9130" s="2" t="str">
        <f>IFERROR(__xludf.DUMMYFUNCTION("GOOGLETRANSLATE(A9130, ""en"", ""mt"")"),"Inġustament preġudikat")</f>
        <v>Inġustament preġudikat</v>
      </c>
    </row>
    <row r="9131" ht="15.75" customHeight="1">
      <c r="A9131" s="2" t="s">
        <v>9131</v>
      </c>
      <c r="B9131" s="2" t="str">
        <f>IFERROR(__xludf.DUMMYFUNCTION("GOOGLETRANSLATE(A9131, ""en"", ""mt"")"),"Il-passi tal-passi madwar l-ilma jistgħu jiġu msaffija għal dak li juża?")</f>
        <v>Il-passi tal-passi madwar l-ilma jistgħu jiġu msaffija għal dak li juża?</v>
      </c>
    </row>
    <row r="9132" ht="15.75" customHeight="1">
      <c r="A9132" s="2" t="s">
        <v>9132</v>
      </c>
      <c r="B9132" s="2" t="str">
        <f>IFERROR(__xludf.DUMMYFUNCTION("GOOGLETRANSLATE(A9132, ""en"", ""mt"")"),"Għas-sena skolastika 2012–13 it-tagħlim annwali kien ta ’$ 38,000, bi spiża totali ta’ attendenza ta ’$ 57,000. Mill-2007, familji bi dħul taħt $ 60,000 ma jħallsu xejn biex jattendu uliedhom, inklużi kamra u bord. Familji bi dħul bejn $ 60,000 sa $ 80,00"&amp;"0 iħallsu biss ftit eluf ta 'dollari fis-sena, u l-familji li jaqilgħu bejn $ 120,000 u $ 180,000 iħallsu mhux aktar minn 10% tad-dħul annwali tagħhom. Fl-2009, Harvard offra għotjiet li jammontaw għal $ 414 miljun fil-ħdax-il diviżjoni kollha; [aktar spj"&amp;"egazzjoni meħtieġa] $ 340 miljun ġew minn fondi istituzzjonali, $ 35 miljun mill-appoġġ federali, u $ 39 miljun minn appoġġ ieħor barra. Għotjiet totali ta '88% tal-għajnuna ta 'Harvard għal studenti li għadhom ma ggradwawx, bl-għajnuna pprovduta wkoll mi"&amp;"nn self (8%) u studju tax-xogħol (4%).")</f>
        <v>Għas-sena skolastika 2012–13 it-tagħlim annwali kien ta ’$ 38,000, bi spiża totali ta’ attendenza ta ’$ 57,000. Mill-2007, familji bi dħul taħt $ 60,000 ma jħallsu xejn biex jattendu uliedhom, inklużi kamra u bord. Familji bi dħul bejn $ 60,000 sa $ 80,000 iħallsu biss ftit eluf ta 'dollari fis-sena, u l-familji li jaqilgħu bejn $ 120,000 u $ 180,000 iħallsu mhux aktar minn 10% tad-dħul annwali tagħhom. Fl-2009, Harvard offra għotjiet li jammontaw għal $ 414 miljun fil-ħdax-il diviżjoni kollha; [aktar spjegazzjoni meħtieġa] $ 340 miljun ġew minn fondi istituzzjonali, $ 35 miljun mill-appoġġ federali, u $ 39 miljun minn appoġġ ieħor barra. Għotjiet totali ta '88% tal-għajnuna ta 'Harvard għal studenti li għadhom ma ggradwawx, bl-għajnuna pprovduta wkoll minn self (8%) u studju tax-xogħol (4%).</v>
      </c>
    </row>
    <row r="9133" ht="15.75" customHeight="1">
      <c r="A9133" s="2" t="s">
        <v>9133</v>
      </c>
      <c r="B9133" s="2" t="str">
        <f>IFERROR(__xludf.DUMMYFUNCTION("GOOGLETRANSLATE(A9133, ""en"", ""mt"")"),"agħar każ")</f>
        <v>agħar każ</v>
      </c>
    </row>
    <row r="9134" ht="15.75" customHeight="1">
      <c r="A9134" s="2" t="s">
        <v>9134</v>
      </c>
      <c r="B9134" s="2" t="str">
        <f>IFERROR(__xludf.DUMMYFUNCTION("GOOGLETRANSLATE(A9134, ""en"", ""mt"")"),"X'inhi l-espressjoni użata biex tidentifika kwalunkwe serje partikolari ta 'problemi li kapaċi tissolva fiż-żmien fuq magna tat-Turing deterministika?")</f>
        <v>X'inhi l-espressjoni użata biex tidentifika kwalunkwe serje partikolari ta 'problemi li kapaċi tissolva fiż-żmien fuq magna tat-Turing deterministika?</v>
      </c>
    </row>
    <row r="9135" ht="15.75" customHeight="1">
      <c r="A9135" s="2" t="s">
        <v>9135</v>
      </c>
      <c r="B9135" s="2" t="str">
        <f>IFERROR(__xludf.DUMMYFUNCTION("GOOGLETRANSLATE(A9135, ""en"", ""mt"")"),"Għal liema okkażjoni tpoġġa fuq il-qoxra?")</f>
        <v>Għal liema okkażjoni tpoġġa fuq il-qoxra?</v>
      </c>
    </row>
    <row r="9136" ht="15.75" customHeight="1">
      <c r="A9136" s="2" t="s">
        <v>9136</v>
      </c>
      <c r="B9136" s="2" t="str">
        <f>IFERROR(__xludf.DUMMYFUNCTION("GOOGLETRANSLATE(A9136, ""en"", ""mt"")"),"kanali tad-drenaġġ")</f>
        <v>kanali tad-drenaġġ</v>
      </c>
    </row>
    <row r="9137" ht="15.75" customHeight="1">
      <c r="A9137" s="2" t="s">
        <v>9137</v>
      </c>
      <c r="B9137" s="2" t="str">
        <f>IFERROR(__xludf.DUMMYFUNCTION("GOOGLETRANSLATE(A9137, ""en"", ""mt"")"),"Tliet ċinemas")</f>
        <v>Tliet ċinemas</v>
      </c>
    </row>
    <row r="9138" ht="15.75" customHeight="1">
      <c r="A9138" s="2" t="s">
        <v>9138</v>
      </c>
      <c r="B9138" s="2" t="str">
        <f>IFERROR(__xludf.DUMMYFUNCTION("GOOGLETRANSLATE(A9138, ""en"", ""mt"")"),"bħala aħjar")</f>
        <v>bħala aħjar</v>
      </c>
    </row>
    <row r="9139" ht="15.75" customHeight="1">
      <c r="A9139" s="2" t="s">
        <v>9139</v>
      </c>
      <c r="B9139" s="2" t="str">
        <f>IFERROR(__xludf.DUMMYFUNCTION("GOOGLETRANSLATE(A9139, ""en"", ""mt"")"),"Stress fuq ix-xogħol fost l-għalliema")</f>
        <v>Stress fuq ix-xogħol fost l-għalliema</v>
      </c>
    </row>
    <row r="9140" ht="15.75" customHeight="1">
      <c r="A9140" s="2" t="s">
        <v>9140</v>
      </c>
      <c r="B9140" s="2" t="str">
        <f>IFERROR(__xludf.DUMMYFUNCTION("GOOGLETRANSLATE(A9140, ""en"", ""mt"")"),"iffrankar u investiment")</f>
        <v>iffrankar u investiment</v>
      </c>
    </row>
    <row r="9141" ht="15.75" customHeight="1">
      <c r="A9141" s="2" t="s">
        <v>9141</v>
      </c>
      <c r="B9141" s="2" t="str">
        <f>IFERROR(__xludf.DUMMYFUNCTION("GOOGLETRANSLATE(A9141, ""en"", ""mt"")"),"Xi tbassar il-kurva ta 'Kuznets dwar l-inugwaljanza tad-dħul minħabba l-ħin?")</f>
        <v>Xi tbassar il-kurva ta 'Kuznets dwar l-inugwaljanza tad-dħul minħabba l-ħin?</v>
      </c>
    </row>
    <row r="9142" ht="15.75" customHeight="1">
      <c r="A9142" s="2" t="s">
        <v>9142</v>
      </c>
      <c r="B9142" s="2" t="str">
        <f>IFERROR(__xludf.DUMMYFUNCTION("GOOGLETRANSLATE(A9142, ""en"", ""mt"")"),"il-11")</f>
        <v>il-11</v>
      </c>
    </row>
    <row r="9143" ht="15.75" customHeight="1">
      <c r="A9143" s="2" t="s">
        <v>9143</v>
      </c>
      <c r="B9143" s="2" t="str">
        <f>IFERROR(__xludf.DUMMYFUNCTION("GOOGLETRANSLATE(A9143, ""en"", ""mt"")"),"X'inhu l-isem tas-suppożizzjoni li kwalunkwe numru ikbar minn 2 jista 'jkun irrappreżentat bħala s-somma ta' żewġ primes?")</f>
        <v>X'inhu l-isem tas-suppożizzjoni li kwalunkwe numru ikbar minn 2 jista 'jkun irrappreżentat bħala s-somma ta' żewġ primes?</v>
      </c>
    </row>
    <row r="9144" ht="15.75" customHeight="1">
      <c r="A9144" s="2" t="s">
        <v>9144</v>
      </c>
      <c r="B9144" s="2" t="str">
        <f>IFERROR(__xludf.DUMMYFUNCTION("GOOGLETRANSLATE(A9144, ""en"", ""mt"")"),"Il-Kmand Brittaniku l-ġdid ma kienx fis-seħħ sa Lulju. Meta wasal f'Albany, Abercrombie irrifjuta li jieħu xi azzjonijiet sinifikanti sakemm Loudoun approvahom. Montcalm ħa azzjoni kuraġġuża kontra l-inerzja tiegħu. Filwaqt li jibni fuq ix-xogħol ta 'Vaud"&amp;"reuil li qed iġġebbed lill-Oswego Garrison, Montcalm eżegwixxa feint strateġiku billi ċeda l-kwartieri ġenerali tiegħu lejn Ticonderoga, bħallikieku biex jippresjedi attakk ieħor tul il-Lag George. Ma 'Abercrombie imqabbad' l isfel f'Albany, Montcalm niże"&amp;"l u mexxa l-attakk ta 'suċċess fuq Oswego f'Awwissu. Wara l-konsegwenzi, Montcalm u l-Indjani taħt il-kmand tiegħu ma qablux dwar id-dispożizzjoni tal-effetti personali tal-priġunieri. L-Ewropej ma kkunsidrawhomx premjijiet u ma ħallewx lill-Indjani milli"&amp;" jqaxxru l-priġunieri tal-oġġetti ta 'valur tagħhom, li rrabjaw lill-Indjani.")</f>
        <v>Il-Kmand Brittaniku l-ġdid ma kienx fis-seħħ sa Lulju. Meta wasal f'Albany, Abercrombie irrifjuta li jieħu xi azzjonijiet sinifikanti sakemm Loudoun approvahom. Montcalm ħa azzjoni kuraġġuża kontra l-inerzja tiegħu. Filwaqt li jibni fuq ix-xogħol ta 'Vaudreuil li qed iġġebbed lill-Oswego Garrison, Montcalm eżegwixxa feint strateġiku billi ċeda l-kwartieri ġenerali tiegħu lejn Ticonderoga, bħallikieku biex jippresjedi attakk ieħor tul il-Lag George. Ma 'Abercrombie imqabbad' l isfel f'Albany, Montcalm niżel u mexxa l-attakk ta 'suċċess fuq Oswego f'Awwissu. Wara l-konsegwenzi, Montcalm u l-Indjani taħt il-kmand tiegħu ma qablux dwar id-dispożizzjoni tal-effetti personali tal-priġunieri. L-Ewropej ma kkunsidrawhomx premjijiet u ma ħallewx lill-Indjani milli jqaxxru l-priġunieri tal-oġġetti ta 'valur tagħhom, li rrabjaw lill-Indjani.</v>
      </c>
    </row>
    <row r="9145" ht="15.75" customHeight="1">
      <c r="A9145" s="2" t="s">
        <v>9145</v>
      </c>
      <c r="B9145" s="2" t="str">
        <f>IFERROR(__xludf.DUMMYFUNCTION("GOOGLETRANSLATE(A9145, ""en"", ""mt"")"),"Il-foqra u l-klassi tan-nofs")</f>
        <v>Il-foqra u l-klassi tan-nofs</v>
      </c>
    </row>
    <row r="9146" ht="15.75" customHeight="1">
      <c r="A9146" s="2" t="s">
        <v>9146</v>
      </c>
      <c r="B9146" s="2" t="str">
        <f>IFERROR(__xludf.DUMMYFUNCTION("GOOGLETRANSLATE(A9146, ""en"", ""mt"")"),"Min hu missier Antigone fid-dramm?")</f>
        <v>Min hu missier Antigone fid-dramm?</v>
      </c>
    </row>
    <row r="9147" ht="15.75" customHeight="1">
      <c r="A9147" s="2" t="s">
        <v>9147</v>
      </c>
      <c r="B9147" s="2" t="str">
        <f>IFERROR(__xludf.DUMMYFUNCTION("GOOGLETRANSLATE(A9147, ""en"", ""mt"")"),"Sagrament tal-Ikla tal-Mulej")</f>
        <v>Sagrament tal-Ikla tal-Mulej</v>
      </c>
    </row>
    <row r="9148" ht="15.75" customHeight="1">
      <c r="A9148" s="2" t="s">
        <v>9148</v>
      </c>
      <c r="B9148" s="2" t="str">
        <f>IFERROR(__xludf.DUMMYFUNCTION("GOOGLETRANSLATE(A9148, ""en"", ""mt"")"),"barriera tad-demm-moħħ, barriera ta 'fluwidu tad-demm - ċerebrospinali, u barrieri simili ta' fluwidu-moħħ")</f>
        <v>barriera tad-demm-moħħ, barriera ta 'fluwidu tad-demm - ċerebrospinali, u barrieri simili ta' fluwidu-moħħ</v>
      </c>
    </row>
    <row r="9149" ht="15.75" customHeight="1">
      <c r="A9149" s="2" t="s">
        <v>9149</v>
      </c>
      <c r="B9149" s="2" t="str">
        <f>IFERROR(__xludf.DUMMYFUNCTION("GOOGLETRANSLATE(A9149, ""en"", ""mt"")"),"Art")</f>
        <v>Art</v>
      </c>
    </row>
    <row r="9150" ht="15.75" customHeight="1">
      <c r="A9150" s="2" t="s">
        <v>9150</v>
      </c>
      <c r="B9150" s="2" t="str">
        <f>IFERROR(__xludf.DUMMYFUNCTION("GOOGLETRANSLATE(A9150, ""en"", ""mt"")"),"Estensjoni")</f>
        <v>Estensjoni</v>
      </c>
    </row>
    <row r="9151" ht="15.75" customHeight="1">
      <c r="A9151" s="2" t="s">
        <v>9151</v>
      </c>
      <c r="B9151" s="2" t="str">
        <f>IFERROR(__xludf.DUMMYFUNCTION("GOOGLETRANSLATE(A9151, ""en"", ""mt"")"),"wieħed mill-aktar sinjuri")</f>
        <v>wieħed mill-aktar sinjuri</v>
      </c>
    </row>
    <row r="9152" ht="15.75" customHeight="1">
      <c r="A9152" s="2" t="s">
        <v>9152</v>
      </c>
      <c r="B9152" s="2" t="str">
        <f>IFERROR(__xludf.DUMMYFUNCTION("GOOGLETRANSLATE(A9152, ""en"", ""mt"")"),"Għal xiex jistgħu jitilgħu l-ħlasijiet biex tattendi skola ta 'l-imbark Irlandiża?")</f>
        <v>Għal xiex jistgħu jitilgħu l-ħlasijiet biex tattendi skola ta 'l-imbark Irlandiża?</v>
      </c>
    </row>
    <row r="9153" ht="15.75" customHeight="1">
      <c r="A9153" s="2" t="s">
        <v>9153</v>
      </c>
      <c r="B9153" s="2" t="str">
        <f>IFERROR(__xludf.DUMMYFUNCTION("GOOGLETRANSLATE(A9153, ""en"", ""mt"")"),"Bżonnijiet ta 'sopravivenza bħal dħul għall-ikel u kenn jimmotiva liema tip ta' intraprenditorija?")</f>
        <v>Bżonnijiet ta 'sopravivenza bħal dħul għall-ikel u kenn jimmotiva liema tip ta' intraprenditorija?</v>
      </c>
    </row>
    <row r="9154" ht="15.75" customHeight="1">
      <c r="A9154" s="2" t="s">
        <v>9154</v>
      </c>
      <c r="B9154" s="2" t="str">
        <f>IFERROR(__xludf.DUMMYFUNCTION("GOOGLETRANSLATE(A9154, ""en"", ""mt"")"),"Is-sekli 16 u 17")</f>
        <v>Is-sekli 16 u 17</v>
      </c>
    </row>
    <row r="9155" ht="15.75" customHeight="1">
      <c r="A9155" s="2" t="s">
        <v>9155</v>
      </c>
      <c r="B9155" s="2" t="str">
        <f>IFERROR(__xludf.DUMMYFUNCTION("GOOGLETRANSLATE(A9155, ""en"", ""mt"")"),"Kalendarju tal-Qaddisin")</f>
        <v>Kalendarju tal-Qaddisin</v>
      </c>
    </row>
    <row r="9156" ht="15.75" customHeight="1">
      <c r="A9156" s="2" t="s">
        <v>9156</v>
      </c>
      <c r="B9156" s="2" t="str">
        <f>IFERROR(__xludf.DUMMYFUNCTION("GOOGLETRANSLATE(A9156, ""en"", ""mt"")"),"Fejn l-istandard Megalopolis tan-Nofsinhar ta 'California f'termini ta' popolazzjoni fuq livell nazzjonali?")</f>
        <v>Fejn l-istandard Megalopolis tan-Nofsinhar ta 'California f'termini ta' popolazzjoni fuq livell nazzjonali?</v>
      </c>
    </row>
    <row r="9157" ht="15.75" customHeight="1">
      <c r="A9157" s="2" t="s">
        <v>9157</v>
      </c>
      <c r="B9157" s="2" t="str">
        <f>IFERROR(__xludf.DUMMYFUNCTION("GOOGLETRANSLATE(A9157, ""en"", ""mt"")"),"Dejjem aktar mistenni li jkun ikkumpensat għall-ħiliet tal-kura tal-pazjent tagħhom")</f>
        <v>Dejjem aktar mistenni li jkun ikkumpensat għall-ħiliet tal-kura tal-pazjent tagħhom</v>
      </c>
    </row>
    <row r="9158" ht="15.75" customHeight="1">
      <c r="A9158" s="2" t="s">
        <v>9158</v>
      </c>
      <c r="B9158" s="2" t="str">
        <f>IFERROR(__xludf.DUMMYFUNCTION("GOOGLETRANSLATE(A9158, ""en"", ""mt"")"),"Quadrangles ewlenin")</f>
        <v>Quadrangles ewlenin</v>
      </c>
    </row>
    <row r="9159" ht="15.75" customHeight="1">
      <c r="A9159" s="2" t="s">
        <v>9159</v>
      </c>
      <c r="B9159" s="2" t="str">
        <f>IFERROR(__xludf.DUMMYFUNCTION("GOOGLETRANSLATE(A9159, ""en"", ""mt"")"),"7.9 miljun fl-Istati Uniti")</f>
        <v>7.9 miljun fl-Istati Uniti</v>
      </c>
    </row>
    <row r="9160" ht="15.75" customHeight="1">
      <c r="A9160" s="2" t="s">
        <v>9160</v>
      </c>
      <c r="B9160" s="2" t="str">
        <f>IFERROR(__xludf.DUMMYFUNCTION("GOOGLETRANSLATE(A9160, ""en"", ""mt"")"),"il-firxa tal-qsim il-kbir")</f>
        <v>il-firxa tal-qsim il-kbir</v>
      </c>
    </row>
    <row r="9161" ht="15.75" customHeight="1">
      <c r="A9161" s="2" t="s">
        <v>9161</v>
      </c>
      <c r="B9161" s="2" t="str">
        <f>IFERROR(__xludf.DUMMYFUNCTION("GOOGLETRANSLATE(A9161, ""en"", ""mt"")"),"Pjan Swynnerton")</f>
        <v>Pjan Swynnerton</v>
      </c>
    </row>
    <row r="9162" ht="15.75" customHeight="1">
      <c r="A9162" s="2" t="s">
        <v>9162</v>
      </c>
      <c r="B9162" s="2" t="str">
        <f>IFERROR(__xludf.DUMMYFUNCTION("GOOGLETRANSLATE(A9162, ""en"", ""mt"")"),"X'kien l-isem tal-ewwel Doctor Who Story rilaxxat bħala LP?")</f>
        <v>X'kien l-isem tal-ewwel Doctor Who Story rilaxxat bħala LP?</v>
      </c>
    </row>
    <row r="9163" ht="15.75" customHeight="1">
      <c r="A9163" s="2" t="s">
        <v>9163</v>
      </c>
      <c r="B9163" s="2" t="str">
        <f>IFERROR(__xludf.DUMMYFUNCTION("GOOGLETRANSLATE(A9163, ""en"", ""mt"")"),"Dak li pprovda għall-ħolqien ta 'ordnijiet ġodda magħrufa bħala ""Anzjan Provviżorju?""")</f>
        <v>Dak li pprovda għall-ħolqien ta 'ordnijiet ġodda magħrufa bħala "Anzjan Provviżorju?"</v>
      </c>
    </row>
    <row r="9164" ht="15.75" customHeight="1">
      <c r="A9164" s="2" t="s">
        <v>9164</v>
      </c>
      <c r="B9164" s="2" t="str">
        <f>IFERROR(__xludf.DUMMYFUNCTION("GOOGLETRANSLATE(A9164, ""en"", ""mt"")"),"Rakkmu")</f>
        <v>Rakkmu</v>
      </c>
    </row>
    <row r="9165" ht="15.75" customHeight="1">
      <c r="A9165" s="2" t="s">
        <v>9165</v>
      </c>
      <c r="B9165" s="2" t="str">
        <f>IFERROR(__xludf.DUMMYFUNCTION("GOOGLETRANSLATE(A9165, ""en"", ""mt"")"),"Mard mill-Ewropa")</f>
        <v>Mard mill-Ewropa</v>
      </c>
    </row>
    <row r="9166" ht="15.75" customHeight="1">
      <c r="A9166" s="2" t="s">
        <v>9166</v>
      </c>
      <c r="B9166" s="2" t="str">
        <f>IFERROR(__xludf.DUMMYFUNCTION("GOOGLETRANSLATE(A9166, ""en"", ""mt"")"),"Skond it-tnaqqis tal-ħin polinomjali, il-kwadri jistgħu fl-aħħar jitnaqqsu loġikament għal xiex?")</f>
        <v>Skond it-tnaqqis tal-ħin polinomjali, il-kwadri jistgħu fl-aħħar jitnaqqsu loġikament għal xiex?</v>
      </c>
    </row>
    <row r="9167" ht="15.75" customHeight="1">
      <c r="A9167" s="2" t="s">
        <v>9167</v>
      </c>
      <c r="B9167" s="2" t="str">
        <f>IFERROR(__xludf.DUMMYFUNCTION("GOOGLETRANSLATE(A9167, ""en"", ""mt"")"),"Ma 'liema denominazzjoni hija affiljata l-Iskola Djoċesana għall-Bniet?")</f>
        <v>Ma 'liema denominazzjoni hija affiljata l-Iskola Djoċesana għall-Bniet?</v>
      </c>
    </row>
    <row r="9168" ht="15.75" customHeight="1">
      <c r="A9168" s="2" t="s">
        <v>9168</v>
      </c>
      <c r="B9168" s="2" t="str">
        <f>IFERROR(__xludf.DUMMYFUNCTION("GOOGLETRANSLATE(A9168, ""en"", ""mt"")"),"It-Talons ta 'Weng-Chiang")</f>
        <v>It-Talons ta 'Weng-Chiang</v>
      </c>
    </row>
    <row r="9169" ht="15.75" customHeight="1">
      <c r="A9169" s="2" t="s">
        <v>9169</v>
      </c>
      <c r="B9169" s="2" t="str">
        <f>IFERROR(__xludf.DUMMYFUNCTION("GOOGLETRANSLATE(A9169, ""en"", ""mt"")"),"Minkejja l-problema ta 'Presburger, u fid-dawl tal-intrattabilità, x'sar biex jiġu stabbiliti soluzzjonijiet f'perijodi ta' żmien raġonevoli?")</f>
        <v>Minkejja l-problema ta 'Presburger, u fid-dawl tal-intrattabilità, x'sar biex jiġu stabbiliti soluzzjonijiet f'perijodi ta' żmien raġonevoli?</v>
      </c>
    </row>
    <row r="9170" ht="15.75" customHeight="1">
      <c r="A9170" s="2" t="s">
        <v>9170</v>
      </c>
      <c r="B9170" s="2" t="str">
        <f>IFERROR(__xludf.DUMMYFUNCTION("GOOGLETRANSLATE(A9170, ""en"", ""mt"")"),"Att dwar il-Konservazzjoni tal-Enerġija ta 'Emerġenza ta' Emerġenza")</f>
        <v>Att dwar il-Konservazzjoni tal-Enerġija ta 'Emerġenza ta' Emerġenza</v>
      </c>
    </row>
    <row r="9171" ht="15.75" customHeight="1">
      <c r="A9171" s="2" t="s">
        <v>9171</v>
      </c>
      <c r="B9171" s="2" t="str">
        <f>IFERROR(__xludf.DUMMYFUNCTION("GOOGLETRANSLATE(A9171, ""en"", ""mt"")"),"influwenti")</f>
        <v>influwenti</v>
      </c>
    </row>
    <row r="9172" ht="15.75" customHeight="1">
      <c r="A9172" s="2" t="s">
        <v>9172</v>
      </c>
      <c r="B9172" s="2" t="str">
        <f>IFERROR(__xludf.DUMMYFUNCTION("GOOGLETRANSLATE(A9172, ""en"", ""mt"")"),"Tliet mija sittin skola u istituzzjoni barranin.")</f>
        <v>Tliet mija sittin skola u istituzzjoni barranin.</v>
      </c>
    </row>
    <row r="9173" ht="15.75" customHeight="1">
      <c r="A9173" s="2" t="s">
        <v>9173</v>
      </c>
      <c r="B9173" s="2" t="str">
        <f>IFERROR(__xludf.DUMMYFUNCTION("GOOGLETRANSLATE(A9173, ""en"", ""mt"")"),"L-angolu huwa l-ekwivalenti rotazzjonali għall-pożizzjoni")</f>
        <v>L-angolu huwa l-ekwivalenti rotazzjonali għall-pożizzjoni</v>
      </c>
    </row>
    <row r="9174" ht="15.75" customHeight="1">
      <c r="A9174" s="2" t="s">
        <v>9174</v>
      </c>
      <c r="B9174" s="2" t="str">
        <f>IFERROR(__xludf.DUMMYFUNCTION("GOOGLETRANSLATE(A9174, ""en"", ""mt"")"),"Kemm modi huma disponibbli biex jgħinu jnaqqsu l-istress tat-tagħlim?")</f>
        <v>Kemm modi huma disponibbli biex jgħinu jnaqqsu l-istress tat-tagħlim?</v>
      </c>
    </row>
    <row r="9175" ht="15.75" customHeight="1">
      <c r="A9175" s="2" t="s">
        <v>9175</v>
      </c>
      <c r="B9175" s="2" t="str">
        <f>IFERROR(__xludf.DUMMYFUNCTION("GOOGLETRANSLATE(A9175, ""en"", ""mt"")"),"Għaliex l-iskrittura Dalek ġiet miċħuda għall-ewwel?")</f>
        <v>Għaliex l-iskrittura Dalek ġiet miċħuda għall-ewwel?</v>
      </c>
    </row>
    <row r="9176" ht="15.75" customHeight="1">
      <c r="A9176" s="2" t="s">
        <v>9176</v>
      </c>
      <c r="B9176" s="2" t="str">
        <f>IFERROR(__xludf.DUMMYFUNCTION("GOOGLETRANSLATE(A9176, ""en"", ""mt"")"),"Grazzja prevenjenti,")</f>
        <v>Grazzja prevenjenti,</v>
      </c>
    </row>
    <row r="9177" ht="15.75" customHeight="1">
      <c r="A9177" s="2" t="s">
        <v>9177</v>
      </c>
      <c r="B9177" s="2" t="str">
        <f>IFERROR(__xludf.DUMMYFUNCTION("GOOGLETRANSLATE(A9177, ""en"", ""mt"")"),"Minn madwar 400 AD sal-1914")</f>
        <v>Minn madwar 400 AD sal-1914</v>
      </c>
    </row>
    <row r="9178" ht="15.75" customHeight="1">
      <c r="A9178" s="2" t="s">
        <v>9178</v>
      </c>
      <c r="B9178" s="2" t="str">
        <f>IFERROR(__xludf.DUMMYFUNCTION("GOOGLETRANSLATE(A9178, ""en"", ""mt"")"),"Fis-sajf tal-1521, Luther wessa 'l-mira tiegħu minn pieties individwali bħal indulġenzi u pellegrinaġġi għal duttrini fil-qalba tal-prattiki tal-knisja. Fit-abrogazzjoni tal-Quddiesa Privata, huwa kkundanna bħala l-idolatrija l-idea li l-Quddiesa hija sag"&amp;"rifiċċju, li jafferma minflok li huwa rigal, li għandu jintlaqa 'ma' Radd il-Ħajr mill-kongregazzjoni kollha. L-esej tiegħu dwar il-konfessjoni, kemm jekk il-Papa għandu l-poter li jirrikjedi li ċaħad il-konfessjoni obbligatorja u ħeġġeġ il-konfessjoni u "&amp;"l-assoluzzjoni privata, peress li ""kull Nisrani huwa konfessur."" F'Novembru, Luther kiteb is-sentenza ta 'Martin Luther fuq voti monastiċi. Huwa assigura lill-patrijiet u s-sorijiet li setgħu jiksru l-wegħdiet tagħhom mingħajr dnub, minħabba li l-voti k"&amp;"ienu attentat illeġittimu u vain biex jirbħu s-salvazzjoni.")</f>
        <v>Fis-sajf tal-1521, Luther wessa 'l-mira tiegħu minn pieties individwali bħal indulġenzi u pellegrinaġġi għal duttrini fil-qalba tal-prattiki tal-knisja. Fit-abrogazzjoni tal-Quddiesa Privata, huwa kkundanna bħala l-idolatrija l-idea li l-Quddiesa hija sagrifiċċju, li jafferma minflok li huwa rigal, li għandu jintlaqa 'ma' Radd il-Ħajr mill-kongregazzjoni kollha. L-esej tiegħu dwar il-konfessjoni, kemm jekk il-Papa għandu l-poter li jirrikjedi li ċaħad il-konfessjoni obbligatorja u ħeġġeġ il-konfessjoni u l-assoluzzjoni privata, peress li "kull Nisrani huwa konfessur." F'Novembru, Luther kiteb is-sentenza ta 'Martin Luther fuq voti monastiċi. Huwa assigura lill-patrijiet u s-sorijiet li setgħu jiksru l-wegħdiet tagħhom mingħajr dnub, minħabba li l-voti kienu attentat illeġittimu u vain biex jirbħu s-salvazzjoni.</v>
      </c>
    </row>
    <row r="9179" ht="15.75" customHeight="1">
      <c r="A9179" s="2" t="s">
        <v>9179</v>
      </c>
      <c r="B9179" s="2" t="str">
        <f>IFERROR(__xludf.DUMMYFUNCTION("GOOGLETRANSLATE(A9179, ""en"", ""mt"")"),"Gotiku Masovjan")</f>
        <v>Gotiku Masovjan</v>
      </c>
    </row>
    <row r="9180" ht="15.75" customHeight="1">
      <c r="A9180" s="2" t="s">
        <v>9180</v>
      </c>
      <c r="B9180" s="2" t="str">
        <f>IFERROR(__xludf.DUMMYFUNCTION("GOOGLETRANSLATE(A9180, ""en"", ""mt"")"),"Is-Soċjetà tal-Edukazzjoni Battista Amerikana")</f>
        <v>Is-Soċjetà tal-Edukazzjoni Battista Amerikana</v>
      </c>
    </row>
    <row r="9181" ht="15.75" customHeight="1">
      <c r="A9181" s="2" t="s">
        <v>9181</v>
      </c>
      <c r="B9181" s="2" t="str">
        <f>IFERROR(__xludf.DUMMYFUNCTION("GOOGLETRANSLATE(A9181, ""en"", ""mt"")"),"X'iktar għamlet Tesla għax-xogħol f'dan il-ħin?")</f>
        <v>X'iktar għamlet Tesla għax-xogħol f'dan il-ħin?</v>
      </c>
    </row>
    <row r="9182" ht="15.75" customHeight="1">
      <c r="A9182" s="2" t="s">
        <v>9182</v>
      </c>
      <c r="B9182" s="2" t="str">
        <f>IFERROR(__xludf.DUMMYFUNCTION("GOOGLETRANSLATE(A9182, ""en"", ""mt"")"),"Art Kontinentali 1600-1800")</f>
        <v>Art Kontinentali 1600-1800</v>
      </c>
    </row>
    <row r="9183" ht="15.75" customHeight="1">
      <c r="A9183" s="2" t="s">
        <v>9183</v>
      </c>
      <c r="B9183" s="2" t="str">
        <f>IFERROR(__xludf.DUMMYFUNCTION("GOOGLETRANSLATE(A9183, ""en"", ""mt"")"),"Tesla kitbet numru ta ’kotba u artikli għal rivisti u ġurnali. Fost il-kotba tiegħu hemm l-invenzjonijiet tiegħi: l-awtobijografija ta 'Nikola Tesla, miġbura u editjata minn Ben Johnston; L-invenzjonijiet meraviljużi ta 'Nikola Tesla, miġbura u editjati m"&amp;"inn David Hatcher Childress; u l-karti Tesla.")</f>
        <v>Tesla kitbet numru ta ’kotba u artikli għal rivisti u ġurnali. Fost il-kotba tiegħu hemm l-invenzjonijiet tiegħi: l-awtobijografija ta 'Nikola Tesla, miġbura u editjata minn Ben Johnston; L-invenzjonijiet meraviljużi ta 'Nikola Tesla, miġbura u editjati minn David Hatcher Childress; u l-karti Tesla.</v>
      </c>
    </row>
    <row r="9184" ht="15.75" customHeight="1">
      <c r="A9184" s="2" t="s">
        <v>9184</v>
      </c>
      <c r="B9184" s="2" t="str">
        <f>IFERROR(__xludf.DUMMYFUNCTION("GOOGLETRANSLATE(A9184, ""en"", ""mt"")"),"X'għandhom il-veterani mhux Afgani li rritornaw id-dar minbarra l-prestiġju tagħhom?")</f>
        <v>X'għandhom il-veterani mhux Afgani li rritornaw id-dar minbarra l-prestiġju tagħhom?</v>
      </c>
    </row>
    <row r="9185" ht="15.75" customHeight="1">
      <c r="A9185" s="2" t="s">
        <v>9185</v>
      </c>
      <c r="B9185" s="2" t="str">
        <f>IFERROR(__xludf.DUMMYFUNCTION("GOOGLETRANSLATE(A9185, ""en"", ""mt"")"),"Kemm għandu katidrali ta 'Newcastle?")</f>
        <v>Kemm għandu katidrali ta 'Newcastle?</v>
      </c>
    </row>
    <row r="9186" ht="15.75" customHeight="1">
      <c r="A9186" s="2" t="s">
        <v>9186</v>
      </c>
      <c r="B9186" s="2" t="str">
        <f>IFERROR(__xludf.DUMMYFUNCTION("GOOGLETRANSLATE(A9186, ""en"", ""mt"")"),"Min f'Varsavja għandu s-setgħa ta 'azzjoni leġiżlattiva?")</f>
        <v>Min f'Varsavja għandu s-setgħa ta 'azzjoni leġiżlattiva?</v>
      </c>
    </row>
    <row r="9187" ht="15.75" customHeight="1">
      <c r="A9187" s="2" t="s">
        <v>9187</v>
      </c>
      <c r="B9187" s="2" t="str">
        <f>IFERROR(__xludf.DUMMYFUNCTION("GOOGLETRANSLATE(A9187, ""en"", ""mt"")"),"L-Orjentaliżmu jirreferi għal kif il-Punent żviluppa xiex mill-Lvant?")</f>
        <v>L-Orjentaliżmu jirreferi għal kif il-Punent żviluppa xiex mill-Lvant?</v>
      </c>
    </row>
    <row r="9188" ht="15.75" customHeight="1">
      <c r="A9188" s="2" t="s">
        <v>9188</v>
      </c>
      <c r="B9188" s="2" t="str">
        <f>IFERROR(__xludf.DUMMYFUNCTION("GOOGLETRANSLATE(A9188, ""en"", ""mt"")"),"Uliedi kollha u ħajja waħda biex ngħixu")</f>
        <v>Uliedi kollha u ħajja waħda biex ngħixu</v>
      </c>
    </row>
    <row r="9189" ht="15.75" customHeight="1">
      <c r="A9189" s="2" t="s">
        <v>9189</v>
      </c>
      <c r="B9189" s="2" t="str">
        <f>IFERROR(__xludf.DUMMYFUNCTION("GOOGLETRANSLATE(A9189, ""en"", ""mt"")"),"Il-bnedmin kollha huma midinbin min-natura, huwa spjega, u l-grazzja ta ’Alla (li ma tistax tinkiseb) waħedha tista’ tagħmilhom ġusti.")</f>
        <v>Il-bnedmin kollha huma midinbin min-natura, huwa spjega, u l-grazzja ta ’Alla (li ma tistax tinkiseb) waħedha tista’ tagħmilhom ġusti.</v>
      </c>
    </row>
    <row r="9190" ht="15.75" customHeight="1">
      <c r="A9190" s="2" t="s">
        <v>9190</v>
      </c>
      <c r="B9190" s="2" t="str">
        <f>IFERROR(__xludf.DUMMYFUNCTION("GOOGLETRANSLATE(A9190, ""en"", ""mt"")"),"Għall-klassijiet ta 'kumplessità definiti b'dan il-mod, huwa mixtieq li tipprova li l-illaxkar tar-rekwiżiti fuq (ngħidu aħna) il-ħin tal-komputazzjoni tabilħaqq jiddefinixxi sett akbar ta' problemi. B'mod partikolari, għalkemm dtime (n) tinsab fi dtime ("&amp;"n2), ikun interessanti li tkun taf jekk l-inklużjoni hijiex stretta. Għal rekwiżiti ta 'ħin u spazju, it-tweġiba għal dawn il-mistoqsijiet tingħata mit-teoremi tal-ġerarkija tal-ħin u tal-ispazju rispettivament. Huma msejħa teoremi tal-ġerarkija minħabba "&amp;"li jinduċu ġerarkija xierqa fuq il-klassijiet definiti billi jillimitaw ir-riżorsi rispettivi. Għalhekk hemm pari ta 'klassijiet ta' kumplessità tali li wieħed ikun inkluż sew fl-ieħor. Wara li dedotta dawn l-inklużjonijiet ta 'sett xieraq, nistgħu nippro"&amp;"ċedu biex nagħmlu dikjarazzjonijiet kwantitattivi dwar kemm hemm bżonn ta' aktar ħin jew spazju addizzjonali sabiex jiżdied in-numru ta 'problemi li jistgħu jiġu solvuti.")</f>
        <v>Għall-klassijiet ta 'kumplessità definiti b'dan il-mod, huwa mixtieq li tipprova li l-illaxkar tar-rekwiżiti fuq (ngħidu aħna) il-ħin tal-komputazzjoni tabilħaqq jiddefinixxi sett akbar ta' problemi. B'mod partikolari, għalkemm dtime (n) tinsab fi dtime (n2), ikun interessanti li tkun taf jekk l-inklużjoni hijiex stretta. Għal rekwiżiti ta 'ħin u spazju, it-tweġiba għal dawn il-mistoqsijiet tingħata mit-teoremi tal-ġerarkija tal-ħin u tal-ispazju rispettivament. Huma msejħa teoremi tal-ġerarkija minħabba li jinduċu ġerarkija xierqa fuq il-klassijiet definiti billi jillimitaw ir-riżorsi rispettivi. Għalhekk hemm pari ta 'klassijiet ta' kumplessità tali li wieħed ikun inkluż sew fl-ieħor. Wara li dedotta dawn l-inklużjonijiet ta 'sett xieraq, nistgħu nipproċedu biex nagħmlu dikjarazzjonijiet kwantitattivi dwar kemm hemm bżonn ta' aktar ħin jew spazju addizzjonali sabiex jiżdied in-numru ta 'problemi li jistgħu jiġu solvuti.</v>
      </c>
    </row>
    <row r="9191" ht="15.75" customHeight="1">
      <c r="A9191" s="2" t="s">
        <v>9191</v>
      </c>
      <c r="B9191" s="2" t="str">
        <f>IFERROR(__xludf.DUMMYFUNCTION("GOOGLETRANSLATE(A9191, ""en"", ""mt"")"),"______ kemm fil-forma likwida kif ukoll fil-gass jistgħu jirriżultaw malajr f'eżlposion.")</f>
        <v>______ kemm fil-forma likwida kif ukoll fil-gass jistgħu jirriżultaw malajr f'eżlposion.</v>
      </c>
    </row>
    <row r="9192" ht="15.75" customHeight="1">
      <c r="A9192" s="2" t="s">
        <v>9192</v>
      </c>
      <c r="B9192" s="2" t="str">
        <f>IFERROR(__xludf.DUMMYFUNCTION("GOOGLETRANSLATE(A9192, ""en"", ""mt"")"),"X'inhi tifsira addizzjonali maħsuba meta tintuża l-kelma prim?")</f>
        <v>X'inhi tifsira addizzjonali maħsuba meta tintuża l-kelma prim?</v>
      </c>
    </row>
    <row r="9193" ht="15.75" customHeight="1">
      <c r="A9193" s="2" t="s">
        <v>9193</v>
      </c>
      <c r="B9193" s="2" t="str">
        <f>IFERROR(__xludf.DUMMYFUNCTION("GOOGLETRANSLATE(A9193, ""en"", ""mt"")"),"memorja immunoloġika")</f>
        <v>memorja immunoloġika</v>
      </c>
    </row>
    <row r="9194" ht="15.75" customHeight="1">
      <c r="A9194" s="2" t="s">
        <v>9194</v>
      </c>
      <c r="B9194" s="2" t="str">
        <f>IFERROR(__xludf.DUMMYFUNCTION("GOOGLETRANSLATE(A9194, ""en"", ""mt"")"),"Tnejn")</f>
        <v>Tnejn</v>
      </c>
    </row>
    <row r="9195" ht="15.75" customHeight="1">
      <c r="A9195" s="2" t="s">
        <v>9195</v>
      </c>
      <c r="B9195" s="2" t="str">
        <f>IFERROR(__xludf.DUMMYFUNCTION("GOOGLETRANSLATE(A9195, ""en"", ""mt"")"),"Kemm dam lil Johnson biex iwieġeb għal Kennedy?")</f>
        <v>Kemm dam lil Johnson biex iwieġeb għal Kennedy?</v>
      </c>
    </row>
    <row r="9196" ht="15.75" customHeight="1">
      <c r="A9196" s="2" t="s">
        <v>9196</v>
      </c>
      <c r="B9196" s="2" t="str">
        <f>IFERROR(__xludf.DUMMYFUNCTION("GOOGLETRANSLATE(A9196, ""en"", ""mt"")"),"Il-Kenja tinsab baxxa fuq l-Indiċi tal-Perċezzjoni tal-Korruzzjoni ta 'Transparency International (CPI), metrika li tipprova tkejjel il-prevalenza tal-korruzzjoni tas-settur pubbliku f'diversi pajjiżi. Fl-2012, in-nazzjon poġġa 139th minn 176 pajjiż total"&amp;"i fl-IPK, bi skor ta '27 / 100. Madankollu, hemm bosta żviluppi pjuttost sinifikanti fir-rigward tat-trażżin tal-korruzzjoni mill-gvern tal-Kenja, pereżempju, it-twaqqif ta 'kummissjoni ta' etika u anti-korruzzjoni ġdida u indipendenti (EACC).")</f>
        <v>Il-Kenja tinsab baxxa fuq l-Indiċi tal-Perċezzjoni tal-Korruzzjoni ta 'Transparency International (CPI), metrika li tipprova tkejjel il-prevalenza tal-korruzzjoni tas-settur pubbliku f'diversi pajjiżi. Fl-2012, in-nazzjon poġġa 139th minn 176 pajjiż totali fl-IPK, bi skor ta '27 / 100. Madankollu, hemm bosta żviluppi pjuttost sinifikanti fir-rigward tat-trażżin tal-korruzzjoni mill-gvern tal-Kenja, pereżempju, it-twaqqif ta 'kummissjoni ta' etika u anti-korruzzjoni ġdida u indipendenti (EACC).</v>
      </c>
    </row>
    <row r="9197" ht="15.75" customHeight="1">
      <c r="A9197" s="2" t="s">
        <v>9197</v>
      </c>
      <c r="B9197" s="2" t="str">
        <f>IFERROR(__xludf.DUMMYFUNCTION("GOOGLETRANSLATE(A9197, ""en"", ""mt"")"),"Fuq liema spettaklu għamel Bill Aiken huwa d-debutt tat-televiżjoni?")</f>
        <v>Fuq liema spettaklu għamel Bill Aiken huwa d-debutt tat-televiżjoni?</v>
      </c>
    </row>
    <row r="9198" ht="15.75" customHeight="1">
      <c r="A9198" s="2" t="s">
        <v>9198</v>
      </c>
      <c r="B9198" s="2" t="str">
        <f>IFERROR(__xludf.DUMMYFUNCTION("GOOGLETRANSLATE(A9198, ""en"", ""mt"")"),"In-Newcastle Beer Festival")</f>
        <v>In-Newcastle Beer Festival</v>
      </c>
    </row>
    <row r="9199" ht="15.75" customHeight="1">
      <c r="A9199" s="2" t="s">
        <v>9199</v>
      </c>
      <c r="B9199" s="2" t="str">
        <f>IFERROR(__xludf.DUMMYFUNCTION("GOOGLETRANSLATE(A9199, ""en"", ""mt"")"),"Teoriji ta 'l-immunità ""ċellulari"" u ""umoristiċi""")</f>
        <v>Teoriji ta 'l-immunità "ċellulari" u "umoristiċi"</v>
      </c>
    </row>
    <row r="9200" ht="15.75" customHeight="1">
      <c r="A9200" s="2" t="s">
        <v>9200</v>
      </c>
      <c r="B9200" s="2" t="str">
        <f>IFERROR(__xludf.DUMMYFUNCTION("GOOGLETRANSLATE(A9200, ""en"", ""mt"")"),"Min ingħata art minn government Ingliż għall-iżvilupp ta 'pajjiż ta' Ohio?")</f>
        <v>Min ingħata art minn government Ingliż għall-iżvilupp ta 'pajjiż ta' Ohio?</v>
      </c>
    </row>
    <row r="9201" ht="15.75" customHeight="1">
      <c r="A9201" s="2" t="s">
        <v>9201</v>
      </c>
      <c r="B9201" s="2" t="str">
        <f>IFERROR(__xludf.DUMMYFUNCTION("GOOGLETRANSLATE(A9201, ""en"", ""mt"")"),"Id-dinastija Yuan hija meqjusa kemm suċċessur għall-imperu Mongoljan kif ukoll għal dinastija Ċiniża Imperjali. Kien il-Khanate maħkum mis-suċċessuri ta 'Möngke Khan wara d-diviżjoni tal-imperu Mongoljan. Fl-istoriji uffiċjali Ċiniżi, id-dinastija Yuan ġa"&amp;"rrbet il-mandat tas-sema, wara d-dinastija tal-kanzunetta u qabel id-dinastija Ming. Id-dinastija ġiet stabbilita minn Kublai Khan, iżda poġġa lin-nannu tiegħu Genghis Khan fuq ir-Rekords Imperjali bħala l-fundatur uffiċjali tad-dinastija bħala Taizu. [B]"&amp;" Fil-proklamazzjoni tal-isem dinastiku (《建國 建國 號詔 號詔 號詔 號詔 號詔 號詔 號詔 號詔 號詔 號詔 號詔 號詔 號詔 號詔Isem id-dinastija l-ġdida bħala wan kbir u sostna s-suċċessjoni ta 'ex-dinastiji Ċiniżi mit-tliet sovrani u ħames imperaturi għad-dinastija Tang.")</f>
        <v>Id-dinastija Yuan hija meqjusa kemm suċċessur għall-imperu Mongoljan kif ukoll għal dinastija Ċiniża Imperjali. Kien il-Khanate maħkum mis-suċċessuri ta 'Möngke Khan wara d-diviżjoni tal-imperu Mongoljan. Fl-istoriji uffiċjali Ċiniżi, id-dinastija Yuan ġarrbet il-mandat tas-sema, wara d-dinastija tal-kanzunetta u qabel id-dinastija Ming. Id-dinastija ġiet stabbilita minn Kublai Khan, iżda poġġa lin-nannu tiegħu Genghis Khan fuq ir-Rekords Imperjali bħala l-fundatur uffiċjali tad-dinastija bħala Taizu. [B] Fil-proklamazzjoni tal-isem dinastiku (《建國 建國 號詔 號詔 號詔 號詔 號詔 號詔 號詔 號詔 號詔 號詔 號詔 號詔 號詔 號詔Isem id-dinastija l-ġdida bħala wan kbir u sostna s-suċċessjoni ta 'ex-dinastiji Ċiniżi mit-tliet sovrani u ħames imperaturi għad-dinastija Tang.</v>
      </c>
    </row>
    <row r="9202" ht="15.75" customHeight="1">
      <c r="A9202" s="2" t="s">
        <v>9202</v>
      </c>
      <c r="B9202" s="2" t="str">
        <f>IFERROR(__xludf.DUMMYFUNCTION("GOOGLETRANSLATE(A9202, ""en"", ""mt"")"),"Aktar minn 100%")</f>
        <v>Aktar minn 100%</v>
      </c>
    </row>
    <row r="9203" ht="15.75" customHeight="1">
      <c r="A9203" s="2" t="s">
        <v>9203</v>
      </c>
      <c r="B9203" s="2" t="str">
        <f>IFERROR(__xludf.DUMMYFUNCTION("GOOGLETRANSLATE(A9203, ""en"", ""mt"")"),"Editt ta 'Potsdam")</f>
        <v>Editt ta 'Potsdam</v>
      </c>
    </row>
    <row r="9204" ht="15.75" customHeight="1">
      <c r="A9204" s="2" t="s">
        <v>9204</v>
      </c>
      <c r="B9204" s="2" t="str">
        <f>IFERROR(__xludf.DUMMYFUNCTION("GOOGLETRANSLATE(A9204, ""en"", ""mt"")"),"Billi jegħlbu ġisimhom kif ukoll mis-swat tal-moxt-rows tagħhom")</f>
        <v>Billi jegħlbu ġisimhom kif ukoll mis-swat tal-moxt-rows tagħhom</v>
      </c>
    </row>
    <row r="9205" ht="15.75" customHeight="1">
      <c r="A9205" s="2" t="s">
        <v>9205</v>
      </c>
      <c r="B9205" s="2" t="str">
        <f>IFERROR(__xludf.DUMMYFUNCTION("GOOGLETRANSLATE(A9205, ""en"", ""mt"")"),"Kożmoloġija Aristoteljana")</f>
        <v>Kożmoloġija Aristoteljana</v>
      </c>
    </row>
    <row r="9206" ht="15.75" customHeight="1">
      <c r="A9206" s="2" t="s">
        <v>9206</v>
      </c>
      <c r="B9206" s="2" t="str">
        <f>IFERROR(__xludf.DUMMYFUNCTION("GOOGLETRANSLATE(A9206, ""en"", ""mt"")"),"Meta ġiet promulgata l-Kostituzzjoni l-ġdida?")</f>
        <v>Meta ġiet promulgata l-Kostituzzjoni l-ġdida?</v>
      </c>
    </row>
    <row r="9207" ht="15.75" customHeight="1">
      <c r="A9207" s="2" t="s">
        <v>9207</v>
      </c>
      <c r="B9207" s="2" t="str">
        <f>IFERROR(__xludf.DUMMYFUNCTION("GOOGLETRANSLATE(A9207, ""en"", ""mt"")"),"Kważi l-ispeċi kollha huma ermafroditi, fi kliem ieħor huma jiffunzjonaw kemm irġiel kif ukoll nisa fl-istess ħin - ħlief li f'żewġ speċi tal-ġeneru individwi ocryopsis jibqgħu ta 'l-istess sess uniku ħajjithom kollha. Il-gonadi jinsabu fil-partijiet tan-"&amp;"netwerk tal-kanali interni taħt ir-ringieli tal-moxt, u l-bajd u l-isperma huma rilaxxati permezz tal-pori fl-epidermide. Il-fertilizzazzjoni hija esterna fil-biċċa l-kbira tal-ispeċi, iżda l-platyctenids jużaw il-fertilizzazzjoni interna u jżommu l-bajd "&amp;"fil-kmamar tan-nixxiegħa sakemm ifaqqsu. L-awto-fertilizzazzjoni kultant kienet tidher fl-ispeċi tal-ġeneru Mnemiopsis, u huwa maħsub li ħafna mill-ispeċi ermafroditiċi huma awto-fertili.")</f>
        <v>Kważi l-ispeċi kollha huma ermafroditi, fi kliem ieħor huma jiffunzjonaw kemm irġiel kif ukoll nisa fl-istess ħin - ħlief li f'żewġ speċi tal-ġeneru individwi ocryopsis jibqgħu ta 'l-istess sess uniku ħajjithom kollha. Il-gonadi jinsabu fil-partijiet tan-netwerk tal-kanali interni taħt ir-ringieli tal-moxt, u l-bajd u l-isperma huma rilaxxati permezz tal-pori fl-epidermide. Il-fertilizzazzjoni hija esterna fil-biċċa l-kbira tal-ispeċi, iżda l-platyctenids jużaw il-fertilizzazzjoni interna u jżommu l-bajd fil-kmamar tan-nixxiegħa sakemm ifaqqsu. L-awto-fertilizzazzjoni kultant kienet tidher fl-ispeċi tal-ġeneru Mnemiopsis, u huwa maħsub li ħafna mill-ispeċi ermafroditiċi huma awto-fertili.</v>
      </c>
    </row>
    <row r="9208" ht="15.75" customHeight="1">
      <c r="A9208" s="2" t="s">
        <v>9208</v>
      </c>
      <c r="B9208" s="2" t="str">
        <f>IFERROR(__xludf.DUMMYFUNCTION("GOOGLETRANSLATE(A9208, ""en"", ""mt"")"),"Kemm hemm stazzjonijiet ferrovjarji elenkati ta 'Grad Wieħed fir-Renju Unit?")</f>
        <v>Kemm hemm stazzjonijiet ferrovjarji elenkati ta 'Grad Wieħed fir-Renju Unit?</v>
      </c>
    </row>
    <row r="9209" ht="15.75" customHeight="1">
      <c r="A9209" s="2" t="s">
        <v>9209</v>
      </c>
      <c r="B9209" s="2" t="str">
        <f>IFERROR(__xludf.DUMMYFUNCTION("GOOGLETRANSLATE(A9209, ""en"", ""mt"")"),"Pesta ta 'Ateni fl-430 QK")</f>
        <v>Pesta ta 'Ateni fl-430 QK</v>
      </c>
    </row>
    <row r="9210" ht="15.75" customHeight="1">
      <c r="A9210" s="2" t="s">
        <v>9210</v>
      </c>
      <c r="B9210" s="2" t="str">
        <f>IFERROR(__xludf.DUMMYFUNCTION("GOOGLETRANSLATE(A9210, ""en"", ""mt"")"),"Biex tiffinanzja l-esperimenti tiegħu ta 'Colorado Springs.")</f>
        <v>Biex tiffinanzja l-esperimenti tiegħu ta 'Colorado Springs.</v>
      </c>
    </row>
    <row r="9211" ht="15.75" customHeight="1">
      <c r="A9211" s="2" t="s">
        <v>9211</v>
      </c>
      <c r="B9211" s="2" t="str">
        <f>IFERROR(__xludf.DUMMYFUNCTION("GOOGLETRANSLATE(A9211, ""en"", ""mt"")"),"netwerk nazzjonali")</f>
        <v>netwerk nazzjonali</v>
      </c>
    </row>
    <row r="9212" ht="15.75" customHeight="1">
      <c r="A9212" s="2" t="s">
        <v>9212</v>
      </c>
      <c r="B9212" s="2" t="str">
        <f>IFERROR(__xludf.DUMMYFUNCTION("GOOGLETRANSLATE(A9212, ""en"", ""mt"")"),"Min ma jiħux pożizzjoni fuq il-kanoniċità ta 'Doctor Who Stories minn Media oħra?")</f>
        <v>Min ma jiħux pożizzjoni fuq il-kanoniċità ta 'Doctor Who Stories minn Media oħra?</v>
      </c>
    </row>
    <row r="9213" ht="15.75" customHeight="1">
      <c r="A9213" s="2" t="s">
        <v>9213</v>
      </c>
      <c r="B9213" s="2" t="str">
        <f>IFERROR(__xludf.DUMMYFUNCTION("GOOGLETRANSLATE(A9213, ""en"", ""mt"")"),"L-Erbgħa")</f>
        <v>L-Erbgħa</v>
      </c>
    </row>
    <row r="9214" ht="15.75" customHeight="1">
      <c r="A9214" s="2" t="s">
        <v>9214</v>
      </c>
      <c r="B9214" s="2" t="str">
        <f>IFERROR(__xludf.DUMMYFUNCTION("GOOGLETRANSLATE(A9214, ""en"", ""mt"")"),"Liema prinċipju għandu x'jaqsam mal-formazzjoni tal-ħsarat u l-età tas-sekwenzi li permezz tagħhom huma jaqtgħu?")</f>
        <v>Liema prinċipju għandu x'jaqsam mal-formazzjoni tal-ħsarat u l-età tas-sekwenzi li permezz tagħhom huma jaqtgħu?</v>
      </c>
    </row>
    <row r="9215" ht="15.75" customHeight="1">
      <c r="A9215" s="2" t="s">
        <v>9215</v>
      </c>
      <c r="B9215" s="2" t="str">
        <f>IFERROR(__xludf.DUMMYFUNCTION("GOOGLETRANSLATE(A9215, ""en"", ""mt"")"),"Tliet korpi ta 'l-ilma:")</f>
        <v>Tliet korpi ta 'l-ilma:</v>
      </c>
    </row>
    <row r="9216" ht="15.75" customHeight="1">
      <c r="A9216" s="2" t="s">
        <v>9216</v>
      </c>
      <c r="B9216" s="2" t="str">
        <f>IFERROR(__xludf.DUMMYFUNCTION("GOOGLETRANSLATE(A9216, ""en"", ""mt"")"),"Fuq xiex taġixxi l-forza stong?")</f>
        <v>Fuq xiex taġixxi l-forza stong?</v>
      </c>
    </row>
    <row r="9217" ht="15.75" customHeight="1">
      <c r="A9217" s="2" t="s">
        <v>9217</v>
      </c>
      <c r="B9217" s="2" t="str">
        <f>IFERROR(__xludf.DUMMYFUNCTION("GOOGLETRANSLATE(A9217, ""en"", ""mt"")"),"pagi tal-ħaddiema")</f>
        <v>pagi tal-ħaddiema</v>
      </c>
    </row>
    <row r="9218" ht="15.75" customHeight="1">
      <c r="A9218" s="2" t="s">
        <v>9218</v>
      </c>
      <c r="B9218" s="2" t="str">
        <f>IFERROR(__xludf.DUMMYFUNCTION("GOOGLETRANSLATE(A9218, ""en"", ""mt"")"),"Problema tal-isomorfiżmu graff, il-problema diskreta tal-logaritmu u l-problema ta 'fatturizzazzjoni integri")</f>
        <v>Problema tal-isomorfiżmu graff, il-problema diskreta tal-logaritmu u l-problema ta 'fatturizzazzjoni integri</v>
      </c>
    </row>
    <row r="9219" ht="15.75" customHeight="1">
      <c r="A9219" s="2" t="s">
        <v>9219</v>
      </c>
      <c r="B9219" s="2" t="str">
        <f>IFERROR(__xludf.DUMMYFUNCTION("GOOGLETRANSLATE(A9219, ""en"", ""mt"")"),"eżempju problema")</f>
        <v>eżempju problema</v>
      </c>
    </row>
    <row r="9220" ht="15.75" customHeight="1">
      <c r="A9220" s="2" t="s">
        <v>9220</v>
      </c>
      <c r="B9220" s="2" t="str">
        <f>IFERROR(__xludf.DUMMYFUNCTION("GOOGLETRANSLATE(A9220, ""en"", ""mt"")"),"Il-Kenja hija rappreżentant presidenzjali Repubblika Demokratika. Il-president huwa kemm il-kap tal-istat kif ukoll il-kap tal-gvern, kif ukoll ta 'sistema b'ħafna partijiet. Il-poter eżekuttiv huwa eżerċitat mill-gvern. Il-poter leġiżlattiv huwa vestit k"&amp;"emm fil-gvern kif ukoll fl-Assemblea Nazzjonali kif ukoll fis-Senat. Il-ġudikatura hija indipendenti mill-eżekuttiv u l-leġiżlatura. Kien hemm tħassib dejjem jikber speċjalment matul il-mandat ta 'l-eks President Daniel Arap Moi li l-eżekuttiv kien dejjem"&amp;" aktar imdawwal mal-affarijiet tal-ġudikatura. [Ċitazzjoni meħtieġa]")</f>
        <v>Il-Kenja hija rappreżentant presidenzjali Repubblika Demokratika. Il-president huwa kemm il-kap tal-istat kif ukoll il-kap tal-gvern, kif ukoll ta 'sistema b'ħafna partijiet. Il-poter eżekuttiv huwa eżerċitat mill-gvern. Il-poter leġiżlattiv huwa vestit kemm fil-gvern kif ukoll fl-Assemblea Nazzjonali kif ukoll fis-Senat. Il-ġudikatura hija indipendenti mill-eżekuttiv u l-leġiżlatura. Kien hemm tħassib dejjem jikber speċjalment matul il-mandat ta 'l-eks President Daniel Arap Moi li l-eżekuttiv kien dejjem aktar imdawwal mal-affarijiet tal-ġudikatura. [Ċitazzjoni meħtieġa]</v>
      </c>
    </row>
    <row r="9221" ht="15.75" customHeight="1">
      <c r="A9221" s="2" t="s">
        <v>9221</v>
      </c>
      <c r="B9221" s="2" t="str">
        <f>IFERROR(__xludf.DUMMYFUNCTION("GOOGLETRANSLATE(A9221, ""en"", ""mt"")"),"Għaqli jew imut")</f>
        <v>Għaqli jew imut</v>
      </c>
    </row>
    <row r="9222" ht="15.75" customHeight="1">
      <c r="A9222" s="2" t="s">
        <v>9222</v>
      </c>
      <c r="B9222" s="2" t="str">
        <f>IFERROR(__xludf.DUMMYFUNCTION("GOOGLETRANSLATE(A9222, ""en"", ""mt"")"),"10 ta ’Novembru 1483")</f>
        <v>10 ta ’Novembru 1483</v>
      </c>
    </row>
    <row r="9223" ht="15.75" customHeight="1">
      <c r="A9223" s="2" t="s">
        <v>9223</v>
      </c>
      <c r="B9223" s="2" t="str">
        <f>IFERROR(__xludf.DUMMYFUNCTION("GOOGLETRANSLATE(A9223, ""en"", ""mt"")"),"Kemm nies attendew il-funeral?")</f>
        <v>Kemm nies attendew il-funeral?</v>
      </c>
    </row>
    <row r="9224" ht="15.75" customHeight="1">
      <c r="A9224" s="2" t="s">
        <v>9224</v>
      </c>
      <c r="B9224" s="2" t="str">
        <f>IFERROR(__xludf.DUMMYFUNCTION("GOOGLETRANSLATE(A9224, ""en"", ""mt"")"),"Liema dinastija għen lil Zhang Rhou?")</f>
        <v>Liema dinastija għen lil Zhang Rhou?</v>
      </c>
    </row>
    <row r="9225" ht="15.75" customHeight="1">
      <c r="A9225" s="2" t="s">
        <v>9225</v>
      </c>
      <c r="B9225" s="2" t="str">
        <f>IFERROR(__xludf.DUMMYFUNCTION("GOOGLETRANSLATE(A9225, ""en"", ""mt"")"),"Diviżjoni ewlenija oħra fi ħdan l-Iżlamiżmu hija bejn dak li Graham E. Fuller iddeskriva bħala l-fundamentalist ""Gwardjani tat-Tradizzjoni"" (Salafis, bħal dawk fil-Moviment Wahhabi) u l- ""Vanguard tal-Bidla u r-Riforma Iżlamika"" ċċentrati madwar il-Fr"&amp;"atellanza Musulmana. Olivier Roy jargumenta li ""Pan-Iżlamiżmu Sunni għadda minn bidla notevoli fit-tieni nofs tas-seklu 20"" meta l-moviment tal-Fratellanza Musulmana u l-enfasi tiegħu fuq l-Iżlamizzazzjoni tal-Pan-Arabiżmu ġew eklipsati mill-moviment Sa"&amp;"lafi bl-enfasi tiegħu fuq ""Sharia minflok il-bini ta 'istituzzjonijiet Iżlamiċi, ""u ċ-ċaħda ta' l-Islam Shia. Wara r-Rebbiegħa Għarbija, Roy iddeskriva l-Iżlamiżmu bħala ""dejjem aktar interdipendenti"" bid-demokrazija f'ħafna mid-dinja Musulmana Għarbi"&amp;"ja, tali li ""la issa tista 'tibqa' ħajja mingħajr l-ieħor."" Filwaqt li l-kultura politika Iżlamista nnifisha tista 'ma tkunx demokratika, l-Iżlamisti għandhom bżonn elezzjonijiet demokratiċi biex iżommu l-leġittimità tagħhom. Fl-istess ħin, il-popolarit"&amp;"à tagħhom hija tali li l-ebda gvern ma jista 'jsejjaħ lilu nnifsu Demokratiku li jeskludi gruppi Iżlamisti mainstream.")</f>
        <v>Diviżjoni ewlenija oħra fi ħdan l-Iżlamiżmu hija bejn dak li Graham E. Fuller iddeskriva bħala l-fundamentalist "Gwardjani tat-Tradizzjoni" (Salafis, bħal dawk fil-Moviment Wahhabi) u l- "Vanguard tal-Bidla u r-Riforma Iżlamika" ċċentrati madwar il-Fratellanza Musulmana. Olivier Roy jargumenta li "Pan-Iżlamiżmu Sunni għadda minn bidla notevoli fit-tieni nofs tas-seklu 20" meta l-moviment tal-Fratellanza Musulmana u l-enfasi tiegħu fuq l-Iżlamizzazzjoni tal-Pan-Arabiżmu ġew eklipsati mill-moviment Salafi bl-enfasi tiegħu fuq "Sharia minflok il-bini ta 'istituzzjonijiet Iżlamiċi, "u ċ-ċaħda ta' l-Islam Shia. Wara r-Rebbiegħa Għarbija, Roy iddeskriva l-Iżlamiżmu bħala "dejjem aktar interdipendenti" bid-demokrazija f'ħafna mid-dinja Musulmana Għarbija, tali li "la issa tista 'tibqa' ħajja mingħajr l-ieħor." Filwaqt li l-kultura politika Iżlamista nnifisha tista 'ma tkunx demokratika, l-Iżlamisti għandhom bżonn elezzjonijiet demokratiċi biex iżommu l-leġittimità tagħhom. Fl-istess ħin, il-popolarità tagħhom hija tali li l-ebda gvern ma jista 'jsejjaħ lilu nnifsu Demokratiku li jeskludi gruppi Iżlamisti mainstream.</v>
      </c>
    </row>
    <row r="9226" ht="15.75" customHeight="1">
      <c r="A9226" s="2" t="s">
        <v>9226</v>
      </c>
      <c r="B9226" s="2" t="str">
        <f>IFERROR(__xludf.DUMMYFUNCTION("GOOGLETRANSLATE(A9226, ""en"", ""mt"")"),"Fejn kien midfun Luther?")</f>
        <v>Fejn kien midfun Luther?</v>
      </c>
    </row>
    <row r="9227" ht="15.75" customHeight="1">
      <c r="A9227" s="2" t="s">
        <v>9227</v>
      </c>
      <c r="B9227" s="2" t="str">
        <f>IFERROR(__xludf.DUMMYFUNCTION("GOOGLETRANSLATE(A9227, ""en"", ""mt"")"),"għamel grad ta 'A għall-erba' snin kollha")</f>
        <v>għamel grad ta 'A għall-erba' snin kollha</v>
      </c>
    </row>
    <row r="9228" ht="15.75" customHeight="1">
      <c r="A9228" s="2" t="s">
        <v>9228</v>
      </c>
      <c r="B9228" s="2" t="str">
        <f>IFERROR(__xludf.DUMMYFUNCTION("GOOGLETRANSLATE(A9228, ""en"", ""mt"")"),"L-unità SI tad-densità tal-fluss manjetiku")</f>
        <v>L-unità SI tad-densità tal-fluss manjetiku</v>
      </c>
    </row>
    <row r="9229" ht="15.75" customHeight="1">
      <c r="A9229" s="2" t="s">
        <v>9229</v>
      </c>
      <c r="B9229" s="2" t="str">
        <f>IFERROR(__xludf.DUMMYFUNCTION("GOOGLETRANSLATE(A9229, ""en"", ""mt"")"),"Skoċċiżi")</f>
        <v>Skoċċiżi</v>
      </c>
    </row>
    <row r="9230" ht="15.75" customHeight="1">
      <c r="A9230" s="2" t="s">
        <v>9230</v>
      </c>
      <c r="B9230" s="2" t="str">
        <f>IFERROR(__xludf.DUMMYFUNCTION("GOOGLETRANSLATE(A9230, ""en"", ""mt"")"),"F'dan ix-xogħol, waħda mill-aktar dikjarazzjonijiet enfatiċi tiegħu dwar il-fidi, huwa sostna li kull xogħol tajjeb iddisinjat biex jattira favur ta 'Alla huwa dnub. Il-bnedmin kollha huma midinbin min-natura, huwa spjega, u l-grazzja ta ’Alla (li ma tist"&amp;"ax tinkiseb) waħedha tista’ tagħmilhom ġusti. Fl-1 ta 'Awwissu 1521, Luther kiteb lil Melanchthon fuq l-istess tema: ""Kun midneb, u ħalli d-dnubiet tiegħek ikunu b'saħħithom, imma ħalli l-fiduċja tiegħek fi Kristu tkun aktar b'saħħitha, u tifraħ fi Krist"&amp;"u li huwa r-rebbieħ fuq id-dnub, il-mewt, u dinja. Aħna se nimpenjaw dnubiet waqt li ninsabu hawn, għax din il-ħajja mhix post fejn toqgħod il-ġustizzja. """)</f>
        <v>F'dan ix-xogħol, waħda mill-aktar dikjarazzjonijiet enfatiċi tiegħu dwar il-fidi, huwa sostna li kull xogħol tajjeb iddisinjat biex jattira favur ta 'Alla huwa dnub. Il-bnedmin kollha huma midinbin min-natura, huwa spjega, u l-grazzja ta ’Alla (li ma tistax tinkiseb) waħedha tista’ tagħmilhom ġusti. Fl-1 ta 'Awwissu 1521, Luther kiteb lil Melanchthon fuq l-istess tema: "Kun midneb, u ħalli d-dnubiet tiegħek ikunu b'saħħithom, imma ħalli l-fiduċja tiegħek fi Kristu tkun aktar b'saħħitha, u tifraħ fi Kristu li huwa r-rebbieħ fuq id-dnub, il-mewt, u dinja. Aħna se nimpenjaw dnubiet waqt li ninsabu hawn, għax din il-ħajja mhix post fejn toqgħod il-ġustizzja. "</v>
      </c>
    </row>
    <row r="9231" ht="15.75" customHeight="1">
      <c r="A9231" s="2" t="s">
        <v>9231</v>
      </c>
      <c r="B9231" s="2" t="str">
        <f>IFERROR(__xludf.DUMMYFUNCTION("GOOGLETRANSLATE(A9231, ""en"", ""mt"")"),"X'jistgħu jitkejlu l-iskali u l-bilanċi tar-rebbiegħa bejn żewġ forzi billi tuża bilanċ statiku?")</f>
        <v>X'jistgħu jitkejlu l-iskali u l-bilanċi tar-rebbiegħa bejn żewġ forzi billi tuża bilanċ statiku?</v>
      </c>
    </row>
    <row r="9232" ht="15.75" customHeight="1">
      <c r="A9232" s="2" t="s">
        <v>9232</v>
      </c>
      <c r="B9232" s="2" t="str">
        <f>IFERROR(__xludf.DUMMYFUNCTION("GOOGLETRANSLATE(A9232, ""en"", ""mt"")"),"Infezzjonijiet rikurrenti u li jheddu l-ħajja.")</f>
        <v>Infezzjonijiet rikurrenti u li jheddu l-ħajja.</v>
      </c>
    </row>
    <row r="9233" ht="15.75" customHeight="1">
      <c r="A9233" s="2" t="s">
        <v>9233</v>
      </c>
      <c r="B9233" s="2" t="str">
        <f>IFERROR(__xludf.DUMMYFUNCTION("GOOGLETRANSLATE(A9233, ""en"", ""mt"")"),"ċaħdiet li jħallsu t-taxxi")</f>
        <v>ċaħdiet li jħallsu t-taxxi</v>
      </c>
    </row>
    <row r="9234" ht="15.75" customHeight="1">
      <c r="A9234" s="2" t="s">
        <v>9234</v>
      </c>
      <c r="B9234" s="2" t="str">
        <f>IFERROR(__xludf.DUMMYFUNCTION("GOOGLETRANSLATE(A9234, ""en"", ""mt"")"),"kieku ma kinux diskriminatorji, ""ġustifikati minn rekwiżiti imperattivi fl-interess ġenerali"" u applikati b'mod proporzjonat")</f>
        <v>kieku ma kinux diskriminatorji, "ġustifikati minn rekwiżiti imperattivi fl-interess ġenerali" u applikati b'mod proporzjonat</v>
      </c>
    </row>
    <row r="9235" ht="15.75" customHeight="1">
      <c r="A9235" s="2" t="s">
        <v>9235</v>
      </c>
      <c r="B9235" s="2" t="str">
        <f>IFERROR(__xludf.DUMMYFUNCTION("GOOGLETRANSLATE(A9235, ""en"", ""mt"")"),"Stħarriġ dwar ir-riċerka tal-udjenza tal-BBC li sar fl-1972 sab li, bid-definizzjoni tagħhom stess ta 'vjolenza (""kwalunkwe att [i] li jista' jikkawża korriment fiżiku u / jew psikoloġiku, weġgħa jew mewt lil persuni, annimali jew proprjetà, kemm jekk in"&amp;"tenzjonali jew aċċidentali"") Doctor Who kien l-iktar vjolenti mill-programmi tad-drama li l-korporazzjoni pproduċiet dak iż-żmien. L-istess rapport sab li 3% tal-udjenza mistħarrġa kkunsidraw l-ispettaklu bħala ""mhux tajjeb ħafna"" għall-wiri tal-familj"&amp;"a. Meta wieġeb għas-sejbiet tal-istħarriġ fil-gazzetta tat-Times, il-ġurnalist Philip Howard sostna li, ""biex tqabbel il-vjolenza ta 'Dr Who, sired minn laugh taż-żwiemel barra minn ħmarillejl, bil-vjolenza aktar realistika ta' serje televiżivi oħra, fej"&amp;"n l-atturi li jidhru qishom bnedmin fsada żebgħa li tidher qisha demm, huwa bħal li tqabbel il-monopolju mas-suq tal-propjetà f'Londra: it-tnejn huma fantasiji, iżda waħda hija maħsuba biex tittieħed bis-serjetà. """)</f>
        <v>Stħarriġ dwar ir-riċerka tal-udjenza tal-BBC li sar fl-1972 sab li, bid-definizzjoni tagħhom stess ta 'vjolenza ("kwalunkwe att [i] li jista' jikkawża korriment fiżiku u / jew psikoloġiku, weġgħa jew mewt lil persuni, annimali jew proprjetà, kemm jekk intenzjonali jew aċċidentali") Doctor Who kien l-iktar vjolenti mill-programmi tad-drama li l-korporazzjoni pproduċiet dak iż-żmien. L-istess rapport sab li 3% tal-udjenza mistħarrġa kkunsidraw l-ispettaklu bħala "mhux tajjeb ħafna" għall-wiri tal-familja. Meta wieġeb għas-sejbiet tal-istħarriġ fil-gazzetta tat-Times, il-ġurnalist Philip Howard sostna li, "biex tqabbel il-vjolenza ta 'Dr Who, sired minn laugh taż-żwiemel barra minn ħmarillejl, bil-vjolenza aktar realistika ta' serje televiżivi oħra, fejn l-atturi li jidhru qishom bnedmin fsada żebgħa li tidher qisha demm, huwa bħal li tqabbel il-monopolju mas-suq tal-propjetà f'Londra: it-tnejn huma fantasiji, iżda waħda hija maħsuba biex tittieħed bis-serjetà. "</v>
      </c>
    </row>
    <row r="9236" ht="15.75" customHeight="1">
      <c r="A9236" s="2" t="s">
        <v>9236</v>
      </c>
      <c r="B9236" s="2" t="str">
        <f>IFERROR(__xludf.DUMMYFUNCTION("GOOGLETRANSLATE(A9236, ""en"", ""mt"")"),"Fi żminijiet moderni, dak li jingħad dwar id-diżubbidjenza ċivili?")</f>
        <v>Fi żminijiet moderni, dak li jingħad dwar id-diżubbidjenza ċivili?</v>
      </c>
    </row>
    <row r="9237" ht="15.75" customHeight="1">
      <c r="A9237" s="2" t="s">
        <v>9237</v>
      </c>
      <c r="B9237" s="2" t="str">
        <f>IFERROR(__xludf.DUMMYFUNCTION("GOOGLETRANSLATE(A9237, ""en"", ""mt"")"),"jirbħu l-artijiet tal-istat l-ieħor")</f>
        <v>jirbħu l-artijiet tal-istat l-ieħor</v>
      </c>
    </row>
    <row r="9238" ht="15.75" customHeight="1">
      <c r="A9238" s="2" t="s">
        <v>9238</v>
      </c>
      <c r="B9238" s="2" t="str">
        <f>IFERROR(__xludf.DUMMYFUNCTION("GOOGLETRANSLATE(A9238, ""en"", ""mt"")"),"Il-Konferenza Annwali")</f>
        <v>Il-Konferenza Annwali</v>
      </c>
    </row>
    <row r="9239" ht="15.75" customHeight="1">
      <c r="A9239" s="2" t="s">
        <v>9239</v>
      </c>
      <c r="B9239" s="2" t="str">
        <f>IFERROR(__xludf.DUMMYFUNCTION("GOOGLETRANSLATE(A9239, ""en"", ""mt"")"),"Bliet Reġjonali")</f>
        <v>Bliet Reġjonali</v>
      </c>
    </row>
    <row r="9240" ht="15.75" customHeight="1">
      <c r="A9240" s="2" t="s">
        <v>9240</v>
      </c>
      <c r="B9240" s="2" t="str">
        <f>IFERROR(__xludf.DUMMYFUNCTION("GOOGLETRANSLATE(A9240, ""en"", ""mt"")"),"X'inhu aktar fundamentali mill-forza fit-teorija tal-kamp ta 'Quanton?")</f>
        <v>X'inhu aktar fundamentali mill-forza fit-teorija tal-kamp ta 'Quanton?</v>
      </c>
    </row>
    <row r="9241" ht="15.75" customHeight="1">
      <c r="A9241" s="2" t="s">
        <v>9241</v>
      </c>
      <c r="B9241" s="2" t="str">
        <f>IFERROR(__xludf.DUMMYFUNCTION("GOOGLETRANSLATE(A9241, ""en"", ""mt"")"),"Fuq liema affarijiet ikkonċentrat in-netwerk")</f>
        <v>Fuq liema affarijiet ikkonċentrat in-netwerk</v>
      </c>
    </row>
    <row r="9242" ht="15.75" customHeight="1">
      <c r="A9242" s="2" t="s">
        <v>9242</v>
      </c>
      <c r="B9242" s="2" t="str">
        <f>IFERROR(__xludf.DUMMYFUNCTION("GOOGLETRANSLATE(A9242, ""en"", ""mt"")"),"X'inhi d-diżubbidjenza ċivili reċenti f'forma ta 'grupp?")</f>
        <v>X'inhi d-diżubbidjenza ċivili reċenti f'forma ta 'grupp?</v>
      </c>
    </row>
    <row r="9243" ht="15.75" customHeight="1">
      <c r="A9243" s="2" t="s">
        <v>9243</v>
      </c>
      <c r="B9243" s="2" t="str">
        <f>IFERROR(__xludf.DUMMYFUNCTION("GOOGLETRANSLATE(A9243, ""en"", ""mt"")"),"Imperaturi Mughal")</f>
        <v>Imperaturi Mughal</v>
      </c>
    </row>
    <row r="9244" ht="15.75" customHeight="1">
      <c r="A9244" s="2" t="s">
        <v>9244</v>
      </c>
      <c r="B9244" s="2" t="str">
        <f>IFERROR(__xludf.DUMMYFUNCTION("GOOGLETRANSLATE(A9244, ""en"", ""mt"")"),"Relazzjoni li tikkuntratta fejn l-enfasi hija fuq relazzjoni kooperattiva")</f>
        <v>Relazzjoni li tikkuntratta fejn l-enfasi hija fuq relazzjoni kooperattiva</v>
      </c>
    </row>
    <row r="9245" ht="15.75" customHeight="1">
      <c r="A9245" s="2" t="s">
        <v>9245</v>
      </c>
      <c r="B9245" s="2" t="str">
        <f>IFERROR(__xludf.DUMMYFUNCTION("GOOGLETRANSLATE(A9245, ""en"", ""mt"")"),"Apollo waqqaf diversi punti importanti tal-fluss spazjali uman. Huwa waħdu li jibgħat missjonijiet ekwivalenti lil hinn mill-orbita baxxa tad-Dinja. Apollo 8 kien l-ewwel vettura spazjali bl-ekwipaġġ li jorbita korp ċelesti ieħor, filwaqt li l-missjoni Ap"&amp;"ollo 17 finali mmarkat is-sitt inżul tal-qamar u d-disa 'missjoni ekwivalenti lil hinn mill-orbita baxxa tad-Dinja. Il-programm irritorna 842 libbra (382 kg) ta 'blat lunari u ħamrija lejn l-art, li jikkontribwixxi ħafna għall-fehim tal-kompożizzjoni tal-"&amp;"qamar u l-istorja ġeoloġika. Il-programm stabbilixxa l-pedament għall-kapaċità ta 'fluss spazjali uman attwali tan-NASA, u l-kostruzzjoni ffinanzjat taċ-Ċentru Spazjali Johnson u ċ-Ċentru Spazjali Kennedy tiegħu. Apollo xpruna wkoll avvanzi f'ħafna oqsma "&amp;"ta 'teknoloġija inċidentali għar-rokit u l-ispazju spazjali bl-ekwipaġġ, inklużi l-avjoniċi, it-telekomunikazzjonijiet, u l-kompjuters.")</f>
        <v>Apollo waqqaf diversi punti importanti tal-fluss spazjali uman. Huwa waħdu li jibgħat missjonijiet ekwivalenti lil hinn mill-orbita baxxa tad-Dinja. Apollo 8 kien l-ewwel vettura spazjali bl-ekwipaġġ li jorbita korp ċelesti ieħor, filwaqt li l-missjoni Apollo 17 finali mmarkat is-sitt inżul tal-qamar u d-disa 'missjoni ekwivalenti lil hinn mill-orbita baxxa tad-Dinja. Il-programm irritorna 842 libbra (382 kg) ta 'blat lunari u ħamrija lejn l-art, li jikkontribwixxi ħafna għall-fehim tal-kompożizzjoni tal-qamar u l-istorja ġeoloġika. Il-programm stabbilixxa l-pedament għall-kapaċità ta 'fluss spazjali uman attwali tan-NASA, u l-kostruzzjoni ffinanzjat taċ-Ċentru Spazjali Johnson u ċ-Ċentru Spazjali Kennedy tiegħu. Apollo xpruna wkoll avvanzi f'ħafna oqsma ta 'teknoloġija inċidentali għar-rokit u l-ispazju spazjali bl-ekwipaġġ, inklużi l-avjoniċi, it-telekomunikazzjonijiet, u l-kompjuters.</v>
      </c>
    </row>
    <row r="9246" ht="15.75" customHeight="1">
      <c r="A9246" s="2" t="s">
        <v>9246</v>
      </c>
      <c r="B9246" s="2" t="str">
        <f>IFERROR(__xludf.DUMMYFUNCTION("GOOGLETRANSLATE(A9246, ""en"", ""mt"")"),"Lamprey u Hagfish")</f>
        <v>Lamprey u Hagfish</v>
      </c>
    </row>
    <row r="9247" ht="15.75" customHeight="1">
      <c r="A9247" s="2" t="s">
        <v>9247</v>
      </c>
      <c r="B9247" s="2" t="str">
        <f>IFERROR(__xludf.DUMMYFUNCTION("GOOGLETRANSLATE(A9247, ""en"", ""mt"")"),"Knisja tal-Kastell f'Wittenberg")</f>
        <v>Knisja tal-Kastell f'Wittenberg</v>
      </c>
    </row>
    <row r="9248" ht="15.75" customHeight="1">
      <c r="A9248" s="2" t="s">
        <v>9248</v>
      </c>
      <c r="B9248" s="2" t="str">
        <f>IFERROR(__xludf.DUMMYFUNCTION("GOOGLETRANSLATE(A9248, ""en"", ""mt"")"),"tbaħħir")</f>
        <v>tbaħħir</v>
      </c>
    </row>
    <row r="9249" ht="15.75" customHeight="1">
      <c r="A9249" s="2" t="s">
        <v>9249</v>
      </c>
      <c r="B9249" s="2" t="str">
        <f>IFERROR(__xludf.DUMMYFUNCTION("GOOGLETRANSLATE(A9249, ""en"", ""mt"")"),"Liberaliżmu Ewropew")</f>
        <v>Liberaliżmu Ewropew</v>
      </c>
    </row>
    <row r="9250" ht="15.75" customHeight="1">
      <c r="A9250" s="2" t="s">
        <v>9250</v>
      </c>
      <c r="B9250" s="2" t="str">
        <f>IFERROR(__xludf.DUMMYFUNCTION("GOOGLETRANSLATE(A9250, ""en"", ""mt"")"),"X'inhu l-isem tal-programm li jipprovdi xogħol ta 'kuntrattar lill-kumpaniji lokali?")</f>
        <v>X'inhu l-isem tal-programm li jipprovdi xogħol ta 'kuntrattar lill-kumpaniji lokali?</v>
      </c>
    </row>
    <row r="9251" ht="15.75" customHeight="1">
      <c r="A9251" s="2" t="s">
        <v>9251</v>
      </c>
      <c r="B9251" s="2" t="str">
        <f>IFERROR(__xludf.DUMMYFUNCTION("GOOGLETRANSLATE(A9251, ""en"", ""mt"")"),"24 ta 'Lulju.")</f>
        <v>24 ta 'Lulju.</v>
      </c>
    </row>
    <row r="9252" ht="15.75" customHeight="1">
      <c r="A9252" s="2" t="s">
        <v>9252</v>
      </c>
      <c r="B9252" s="2" t="str">
        <f>IFERROR(__xludf.DUMMYFUNCTION("GOOGLETRANSLATE(A9252, ""en"", ""mt"")"),"X'inhu l-iktar aspett kontroversjali tal-imperjalizmu?")</f>
        <v>X'inhu l-iktar aspett kontroversjali tal-imperjalizmu?</v>
      </c>
    </row>
    <row r="9253" ht="15.75" customHeight="1">
      <c r="A9253" s="2" t="s">
        <v>9253</v>
      </c>
      <c r="B9253" s="2" t="str">
        <f>IFERROR(__xludf.DUMMYFUNCTION("GOOGLETRANSLATE(A9253, ""en"", ""mt"")"),"il-forza tal-gravità fuq oġġett")</f>
        <v>il-forza tal-gravità fuq oġġett</v>
      </c>
    </row>
    <row r="9254" ht="15.75" customHeight="1">
      <c r="A9254" s="2" t="s">
        <v>9254</v>
      </c>
      <c r="B9254" s="2" t="str">
        <f>IFERROR(__xludf.DUMMYFUNCTION("GOOGLETRANSLATE(A9254, ""en"", ""mt"")"),"Ipproponi firxa ta 'figuri ta' popolazzjoni preinententi minn 7 miljun sa baxx daqs 4 miljun")</f>
        <v>Ipproponi firxa ta 'figuri ta' popolazzjoni preinententi minn 7 miljun sa baxx daqs 4 miljun</v>
      </c>
    </row>
    <row r="9255" ht="15.75" customHeight="1">
      <c r="A9255" s="2" t="s">
        <v>9255</v>
      </c>
      <c r="B9255" s="2" t="str">
        <f>IFERROR(__xludf.DUMMYFUNCTION("GOOGLETRANSLATE(A9255, ""en"", ""mt"")"),"Il-kodiċi Taihō (701) u ddikjarat mill-ġdid fil-kodiċi Yōrō (718)")</f>
        <v>Il-kodiċi Taihō (701) u ddikjarat mill-ġdid fil-kodiċi Yōrō (718)</v>
      </c>
    </row>
    <row r="9256" ht="15.75" customHeight="1">
      <c r="A9256" s="2" t="s">
        <v>9256</v>
      </c>
      <c r="B9256" s="2" t="str">
        <f>IFERROR(__xludf.DUMMYFUNCTION("GOOGLETRANSLATE(A9256, ""en"", ""mt"")"),"Għall-eżerċizzju, Tesla mixi bejn 8 sa 10 mili kuljum. Huwa squired saqajh mitt darba għal kull sieq kull lejl, u qal li stimula ċ-ċelloli tal-moħħ tiegħu.")</f>
        <v>Għall-eżerċizzju, Tesla mixi bejn 8 sa 10 mili kuljum. Huwa squired saqajh mitt darba għal kull sieq kull lejl, u qal li stimula ċ-ċelloli tal-moħħ tiegħu.</v>
      </c>
    </row>
    <row r="9257" ht="15.75" customHeight="1">
      <c r="A9257" s="2" t="s">
        <v>9257</v>
      </c>
      <c r="B9257" s="2" t="str">
        <f>IFERROR(__xludf.DUMMYFUNCTION("GOOGLETRANSLATE(A9257, ""en"", ""mt"")"),"X’wiegħed Luther li jagħmel bħala konċessjoni?")</f>
        <v>X’wiegħed Luther li jagħmel bħala konċessjoni?</v>
      </c>
    </row>
    <row r="9258" ht="15.75" customHeight="1">
      <c r="A9258" s="2" t="s">
        <v>9258</v>
      </c>
      <c r="B9258" s="2" t="str">
        <f>IFERROR(__xludf.DUMMYFUNCTION("GOOGLETRANSLATE(A9258, ""en"", ""mt"")"),"X'ġorr l-ewwel stadji inizjali tat-testijiet ta 'Saturn I?")</f>
        <v>X'ġorr l-ewwel stadji inizjali tat-testijiet ta 'Saturn I?</v>
      </c>
    </row>
    <row r="9259" ht="15.75" customHeight="1">
      <c r="A9259" s="2" t="s">
        <v>9259</v>
      </c>
      <c r="B9259" s="2" t="str">
        <f>IFERROR(__xludf.DUMMYFUNCTION("GOOGLETRANSLATE(A9259, ""en"", ""mt"")"),"il-mantell")</f>
        <v>il-mantell</v>
      </c>
    </row>
    <row r="9260" ht="15.75" customHeight="1">
      <c r="A9260" s="2" t="s">
        <v>9260</v>
      </c>
      <c r="B9260" s="2" t="str">
        <f>IFERROR(__xludf.DUMMYFUNCTION("GOOGLETRANSLATE(A9260, ""en"", ""mt"")"),"Deċiżjonijiet ta 'aġenziji mhux governattivi")</f>
        <v>Deċiżjonijiet ta 'aġenziji mhux governattivi</v>
      </c>
    </row>
    <row r="9261" ht="15.75" customHeight="1">
      <c r="A9261" s="2" t="s">
        <v>9261</v>
      </c>
      <c r="B9261" s="2" t="str">
        <f>IFERROR(__xludf.DUMMYFUNCTION("GOOGLETRANSLATE(A9261, ""en"", ""mt"")"),"Minbarra l-istampa taċ-ċinema u l-industrija tat-televiżjoni, liema industrija ewlenija oħra hija ċċentrata f'Los Angeles?")</f>
        <v>Minbarra l-istampa taċ-ċinema u l-industrija tat-televiżjoni, liema industrija ewlenija oħra hija ċċentrata f'Los Angeles?</v>
      </c>
    </row>
    <row r="9262" ht="15.75" customHeight="1">
      <c r="A9262" s="2" t="s">
        <v>9262</v>
      </c>
      <c r="B9262" s="2" t="str">
        <f>IFERROR(__xludf.DUMMYFUNCTION("GOOGLETRANSLATE(A9262, ""en"", ""mt"")"),"Liema data saret il-lejl tal-ftuħ tas-Super Bowl?")</f>
        <v>Liema data saret il-lejl tal-ftuħ tas-Super Bowl?</v>
      </c>
    </row>
    <row r="9263" ht="15.75" customHeight="1">
      <c r="A9263" s="2" t="s">
        <v>9263</v>
      </c>
      <c r="B9263" s="2" t="str">
        <f>IFERROR(__xludf.DUMMYFUNCTION("GOOGLETRANSLATE(A9263, ""en"", ""mt"")"),"Minn mill-inqas is-seklu 14")</f>
        <v>Minn mill-inqas is-seklu 14</v>
      </c>
    </row>
    <row r="9264" ht="15.75" customHeight="1">
      <c r="A9264" s="2" t="s">
        <v>9264</v>
      </c>
      <c r="B9264" s="2" t="str">
        <f>IFERROR(__xludf.DUMMYFUNCTION("GOOGLETRANSLATE(A9264, ""en"", ""mt"")"),"problemi intrattabbli")</f>
        <v>problemi intrattabbli</v>
      </c>
    </row>
    <row r="9265" ht="15.75" customHeight="1">
      <c r="A9265" s="2" t="s">
        <v>9265</v>
      </c>
      <c r="B9265" s="2" t="str">
        <f>IFERROR(__xludf.DUMMYFUNCTION("GOOGLETRANSLATE(A9265, ""en"", ""mt"")"),"tliet mitt sena")</f>
        <v>tliet mitt sena</v>
      </c>
    </row>
    <row r="9266" ht="15.75" customHeight="1">
      <c r="A9266" s="2" t="s">
        <v>9266</v>
      </c>
      <c r="B9266" s="2" t="str">
        <f>IFERROR(__xludf.DUMMYFUNCTION("GOOGLETRANSLATE(A9266, ""en"", ""mt"")"),"Żoni Episkopali")</f>
        <v>Żoni Episkopali</v>
      </c>
    </row>
    <row r="9267" ht="15.75" customHeight="1">
      <c r="A9267" s="2" t="s">
        <v>9267</v>
      </c>
      <c r="B9267" s="2" t="str">
        <f>IFERROR(__xludf.DUMMYFUNCTION("GOOGLETRANSLATE(A9267, ""en"", ""mt"")"),"Min ħa n-nar?")</f>
        <v>Min ħa n-nar?</v>
      </c>
    </row>
    <row r="9268" ht="15.75" customHeight="1">
      <c r="A9268" s="2" t="s">
        <v>9268</v>
      </c>
      <c r="B9268" s="2" t="str">
        <f>IFERROR(__xludf.DUMMYFUNCTION("GOOGLETRANSLATE(A9268, ""en"", ""mt"")"),"residwu tal-forza")</f>
        <v>residwu tal-forza</v>
      </c>
    </row>
    <row r="9269" ht="15.75" customHeight="1">
      <c r="A9269" s="2" t="s">
        <v>9269</v>
      </c>
      <c r="B9269" s="2" t="str">
        <f>IFERROR(__xludf.DUMMYFUNCTION("GOOGLETRANSLATE(A9269, ""en"", ""mt"")"),"Liema żewġ ġenerali attakkaw il-Kawkasas u Kievan Rus 'għal Genghis Khan?")</f>
        <v>Liema żewġ ġenerali attakkaw il-Kawkasas u Kievan Rus 'għal Genghis Khan?</v>
      </c>
    </row>
    <row r="9270" ht="15.75" customHeight="1">
      <c r="A9270" s="2" t="s">
        <v>9270</v>
      </c>
      <c r="B9270" s="2" t="str">
        <f>IFERROR(__xludf.DUMMYFUNCTION("GOOGLETRANSLATE(A9270, ""en"", ""mt"")"),"jgħin ħafna proteini jorbtu l-polipeptide")</f>
        <v>jgħin ħafna proteini jorbtu l-polipeptide</v>
      </c>
    </row>
    <row r="9271" ht="15.75" customHeight="1">
      <c r="A9271" s="2" t="s">
        <v>9271</v>
      </c>
      <c r="B9271" s="2" t="str">
        <f>IFERROR(__xludf.DUMMYFUNCTION("GOOGLETRANSLATE(A9271, ""en"", ""mt"")"),"Settembru 1944")</f>
        <v>Settembru 1944</v>
      </c>
    </row>
    <row r="9272" ht="15.75" customHeight="1">
      <c r="A9272" s="2" t="s">
        <v>9272</v>
      </c>
      <c r="B9272" s="2" t="str">
        <f>IFERROR(__xludf.DUMMYFUNCTION("GOOGLETRANSLATE(A9272, ""en"", ""mt"")"),"Meta ġie vvutat San Francisco biex ikun il-post għal Super Bowl 50?")</f>
        <v>Meta ġie vvutat San Francisco biex ikun il-post għal Super Bowl 50?</v>
      </c>
    </row>
    <row r="9273" ht="15.75" customHeight="1">
      <c r="A9273" s="2" t="s">
        <v>9273</v>
      </c>
      <c r="B9273" s="2" t="str">
        <f>IFERROR(__xludf.DUMMYFUNCTION("GOOGLETRANSLATE(A9273, ""en"", ""mt"")"),"Is-Servizz tal-Librerija Nazzjonali tal-Kenja")</f>
        <v>Is-Servizz tal-Librerija Nazzjonali tal-Kenja</v>
      </c>
    </row>
    <row r="9274" ht="15.75" customHeight="1">
      <c r="A9274" s="2" t="s">
        <v>9274</v>
      </c>
      <c r="B9274" s="2" t="str">
        <f>IFERROR(__xludf.DUMMYFUNCTION("GOOGLETRANSLATE(A9274, ""en"", ""mt"")"),"jum wara")</f>
        <v>jum wara</v>
      </c>
    </row>
    <row r="9275" ht="15.75" customHeight="1">
      <c r="A9275" s="2" t="s">
        <v>9275</v>
      </c>
      <c r="B9275" s="2" t="str">
        <f>IFERROR(__xludf.DUMMYFUNCTION("GOOGLETRANSLATE(A9275, ""en"", ""mt"")"),"Farmaċija")</f>
        <v>Farmaċija</v>
      </c>
    </row>
    <row r="9276" ht="15.75" customHeight="1">
      <c r="A9276" s="2" t="s">
        <v>9276</v>
      </c>
      <c r="B9276" s="2" t="str">
        <f>IFERROR(__xludf.DUMMYFUNCTION("GOOGLETRANSLATE(A9276, ""en"", ""mt"")"),"L-ekonomija, l-enerġija u t-turiżmu huwa wieħed minn xiex?")</f>
        <v>L-ekonomija, l-enerġija u t-turiżmu huwa wieħed minn xiex?</v>
      </c>
    </row>
    <row r="9277" ht="15.75" customHeight="1">
      <c r="A9277" s="2" t="s">
        <v>9277</v>
      </c>
      <c r="B9277" s="2" t="str">
        <f>IFERROR(__xludf.DUMMYFUNCTION("GOOGLETRANSLATE(A9277, ""en"", ""mt"")"),"L-invertebrati ma jiġġenerawx liema tip ta 'ċelloli li huma parti mis-sistema immuni adattiva vertebrata?")</f>
        <v>L-invertebrati ma jiġġenerawx liema tip ta 'ċelloli li huma parti mis-sistema immuni adattiva vertebrata?</v>
      </c>
    </row>
    <row r="9278" ht="15.75" customHeight="1">
      <c r="A9278" s="2" t="s">
        <v>9278</v>
      </c>
      <c r="B9278" s="2" t="str">
        <f>IFERROR(__xludf.DUMMYFUNCTION("GOOGLETRANSLATE(A9278, ""en"", ""mt"")"),"arja")</f>
        <v>arja</v>
      </c>
    </row>
    <row r="9279" ht="15.75" customHeight="1">
      <c r="A9279" s="2" t="s">
        <v>9279</v>
      </c>
      <c r="B9279" s="2" t="str">
        <f>IFERROR(__xludf.DUMMYFUNCTION("GOOGLETRANSLATE(A9279, ""en"", ""mt"")"),"Għoli ħafna")</f>
        <v>Għoli ħafna</v>
      </c>
    </row>
    <row r="9280" ht="15.75" customHeight="1">
      <c r="A9280" s="2" t="s">
        <v>9280</v>
      </c>
      <c r="B9280" s="2" t="str">
        <f>IFERROR(__xludf.DUMMYFUNCTION("GOOGLETRANSLATE(A9280, ""en"", ""mt"")"),"sa erba 'minuti")</f>
        <v>sa erba 'minuti</v>
      </c>
    </row>
    <row r="9281" ht="15.75" customHeight="1">
      <c r="A9281" s="2" t="s">
        <v>9281</v>
      </c>
      <c r="B9281" s="2" t="str">
        <f>IFERROR(__xludf.DUMMYFUNCTION("GOOGLETRANSLATE(A9281, ""en"", ""mt"")"),"Għaliex l-università eventwalment ħalliet il-konferenza?")</f>
        <v>Għaliex l-università eventwalment ħalliet il-konferenza?</v>
      </c>
    </row>
    <row r="9282" ht="15.75" customHeight="1">
      <c r="A9282" s="2" t="s">
        <v>9282</v>
      </c>
      <c r="B9282" s="2" t="str">
        <f>IFERROR(__xludf.DUMMYFUNCTION("GOOGLETRANSLATE(A9282, ""en"", ""mt"")"),"Meta arpnet u sita saru operattivi")</f>
        <v>Meta arpnet u sita saru operattivi</v>
      </c>
    </row>
    <row r="9283" ht="15.75" customHeight="1">
      <c r="A9283" s="2" t="s">
        <v>9283</v>
      </c>
      <c r="B9283" s="2" t="str">
        <f>IFERROR(__xludf.DUMMYFUNCTION("GOOGLETRANSLATE(A9283, ""en"", ""mt"")"),"Liema teorema tista 'tiġi ssimplifikata mat-teorema ta' Lasker-Noether?")</f>
        <v>Liema teorema tista 'tiġi ssimplifikata mat-teorema ta' Lasker-Noether?</v>
      </c>
    </row>
    <row r="9284" ht="15.75" customHeight="1">
      <c r="A9284" s="2" t="s">
        <v>9284</v>
      </c>
      <c r="B9284" s="2" t="str">
        <f>IFERROR(__xludf.DUMMYFUNCTION("GOOGLETRANSLATE(A9284, ""en"", ""mt"")"),"Louis Comfort Tiffany u Émile Gallé")</f>
        <v>Louis Comfort Tiffany u Émile Gallé</v>
      </c>
    </row>
    <row r="9285" ht="15.75" customHeight="1">
      <c r="A9285" s="2" t="s">
        <v>9285</v>
      </c>
      <c r="B9285" s="2" t="str">
        <f>IFERROR(__xludf.DUMMYFUNCTION("GOOGLETRANSLATE(A9285, ""en"", ""mt"")"),"Selene tal-Aġenzija tal-Esplorazzjoni Aerospazjali tal-Ġappun")</f>
        <v>Selene tal-Aġenzija tal-Esplorazzjoni Aerospazjali tal-Ġappun</v>
      </c>
    </row>
    <row r="9286" ht="15.75" customHeight="1">
      <c r="A9286" s="2" t="s">
        <v>9286</v>
      </c>
      <c r="B9286" s="2" t="str">
        <f>IFERROR(__xludf.DUMMYFUNCTION("GOOGLETRANSLATE(A9286, ""en"", ""mt"")"),"Intużaw ittri minflok numri")</f>
        <v>Intużaw ittri minflok numri</v>
      </c>
    </row>
    <row r="9287" ht="15.75" customHeight="1">
      <c r="A9287" s="2" t="s">
        <v>9287</v>
      </c>
      <c r="B9287" s="2" t="str">
        <f>IFERROR(__xludf.DUMMYFUNCTION("GOOGLETRANSLATE(A9287, ""en"", ""mt"")"),"Magna tat-Turing")</f>
        <v>Magna tat-Turing</v>
      </c>
    </row>
    <row r="9288" ht="15.75" customHeight="1">
      <c r="A9288" s="2" t="s">
        <v>9288</v>
      </c>
      <c r="B9288" s="2" t="str">
        <f>IFERROR(__xludf.DUMMYFUNCTION("GOOGLETRANSLATE(A9288, ""en"", ""mt"")"),"F'liema tul ta 'mewġa jagħmlu l-quċċata tal-meded spettrofotometriċi?")</f>
        <v>F'liema tul ta 'mewġa jagħmlu l-quċċata tal-meded spettrofotometriċi?</v>
      </c>
    </row>
    <row r="9289" ht="15.75" customHeight="1">
      <c r="A9289" s="2" t="s">
        <v>9289</v>
      </c>
      <c r="B9289" s="2" t="str">
        <f>IFERROR(__xludf.DUMMYFUNCTION("GOOGLETRANSLATE(A9289, ""en"", ""mt"")"),"Disa 'staġuni")</f>
        <v>Disa 'staġuni</v>
      </c>
    </row>
    <row r="9290" ht="15.75" customHeight="1">
      <c r="A9290" s="2" t="s">
        <v>9290</v>
      </c>
      <c r="B9290" s="2" t="str">
        <f>IFERROR(__xludf.DUMMYFUNCTION("GOOGLETRANSLATE(A9290, ""en"", ""mt"")"),"saru Kristjani")</f>
        <v>saru Kristjani</v>
      </c>
    </row>
    <row r="9291" ht="15.75" customHeight="1">
      <c r="A9291" s="2" t="s">
        <v>9291</v>
      </c>
      <c r="B9291" s="2" t="str">
        <f>IFERROR(__xludf.DUMMYFUNCTION("GOOGLETRANSLATE(A9291, ""en"", ""mt"")"),"jikkawżaw il-ħażniet tal-ħut jiġġarrfu")</f>
        <v>jikkawżaw il-ħażniet tal-ħut jiġġarrfu</v>
      </c>
    </row>
    <row r="9292" ht="15.75" customHeight="1">
      <c r="A9292" s="2" t="s">
        <v>9292</v>
      </c>
      <c r="B9292" s="2" t="str">
        <f>IFERROR(__xludf.DUMMYFUNCTION("GOOGLETRANSLATE(A9292, ""en"", ""mt"")"),"żewġ membrani taċ-ċelloli")</f>
        <v>żewġ membrani taċ-ċelloli</v>
      </c>
    </row>
    <row r="9293" ht="15.75" customHeight="1">
      <c r="A9293" s="2" t="s">
        <v>9293</v>
      </c>
      <c r="B9293" s="2" t="str">
        <f>IFERROR(__xludf.DUMMYFUNCTION("GOOGLETRANSLATE(A9293, ""en"", ""mt"")"),"Dislodge lill-Franċiżi")</f>
        <v>Dislodge lill-Franċiżi</v>
      </c>
    </row>
    <row r="9294" ht="15.75" customHeight="1">
      <c r="A9294" s="2" t="s">
        <v>9294</v>
      </c>
      <c r="B9294" s="2" t="str">
        <f>IFERROR(__xludf.DUMMYFUNCTION("GOOGLETRANSLATE(A9294, ""en"", ""mt"")"),"Kastelli")</f>
        <v>Kastelli</v>
      </c>
    </row>
    <row r="9295" ht="15.75" customHeight="1">
      <c r="A9295" s="2" t="s">
        <v>9295</v>
      </c>
      <c r="B9295" s="2" t="str">
        <f>IFERROR(__xludf.DUMMYFUNCTION("GOOGLETRANSLATE(A9295, ""en"", ""mt"")"),"Deforestazzjoni")</f>
        <v>Deforestazzjoni</v>
      </c>
    </row>
    <row r="9296" ht="15.75" customHeight="1">
      <c r="A9296" s="2" t="s">
        <v>9296</v>
      </c>
      <c r="B9296" s="2" t="str">
        <f>IFERROR(__xludf.DUMMYFUNCTION("GOOGLETRANSLATE(A9296, ""en"", ""mt"")"),"Xogħol fejn hemm ħafna ħaddiema lesti li jaħdmu ammont kbir ta 'ħin (provvista għolja) li jikkompetu għal xogħol li ftit jeħtieġu (domanda baxxa) jirriżultaw f'paga baxxa għal dak ix-xogħol. Dan għaliex il-kompetizzjoni bejn il-ħaddiema tmexxi l-paga. Eże"&amp;"mpju ta 'dan ikun impjiegi bħall-ħasil tal-platti jew is-servizz tal-konsumatur. Il-kompetizzjoni fost il-ħaddiema għandha t-tendenza li tnaqqas il-pagi minħabba n-natura li tista 'tiġi nefqa tal-ħaddiem b'rabta max-xogħol partikolari tiegħu jew tagħha. X"&amp;"ogħol fejn hemm ftit ħaddiema kapaċi jew lesti (provvista baxxa), iżda ħtieġa kbira għall-pożizzjonijiet (domanda għolja), tirriżulta f'pagi għoljin għal dak ix-xogħol. Dan għaliex il-kompetizzjoni bejn min iħaddem għall-impjegati se tmexxi l-paga. Eżempj"&amp;"i ta 'dan jinkludu impjiegi li jeħtieġu ħiliet żviluppati ħafna, abbiltajiet rari, jew livell għoli ta' riskju. Il-kompetizzjoni fost dawk li jħaddmu għandha t-tendenza li tmexxi l-pagi minħabba n-natura tax-xogħol, peress li hemm nuqqas relattiv ta 'ħadd"&amp;"iema għall-pożizzjoni partikolari. Organizzazzjonijiet professjonali u tax-xogħol jistgħu jillimitaw il-provvista ta 'ħaddiema li tirriżulta f'domanda ogħla u dħul akbar għall-membri. Il-membri jistgħu wkoll jirċievu pagi ogħla permezz ta 'negozjar kollet"&amp;"tiv, influwenza politika, jew korruzzjoni.")</f>
        <v>Xogħol fejn hemm ħafna ħaddiema lesti li jaħdmu ammont kbir ta 'ħin (provvista għolja) li jikkompetu għal xogħol li ftit jeħtieġu (domanda baxxa) jirriżultaw f'paga baxxa għal dak ix-xogħol. Dan għaliex il-kompetizzjoni bejn il-ħaddiema tmexxi l-paga. Eżempju ta 'dan ikun impjiegi bħall-ħasil tal-platti jew is-servizz tal-konsumatur. Il-kompetizzjoni fost il-ħaddiema għandha t-tendenza li tnaqqas il-pagi minħabba n-natura li tista 'tiġi nefqa tal-ħaddiem b'rabta max-xogħol partikolari tiegħu jew tagħha. Xogħol fejn hemm ftit ħaddiema kapaċi jew lesti (provvista baxxa), iżda ħtieġa kbira għall-pożizzjonijiet (domanda għolja), tirriżulta f'pagi għoljin għal dak ix-xogħol. Dan għaliex il-kompetizzjoni bejn min iħaddem għall-impjegati se tmexxi l-paga. Eżempji ta 'dan jinkludu impjiegi li jeħtieġu ħiliet żviluppati ħafna, abbiltajiet rari, jew livell għoli ta' riskju. Il-kompetizzjoni fost dawk li jħaddmu għandha t-tendenza li tmexxi l-pagi minħabba n-natura tax-xogħol, peress li hemm nuqqas relattiv ta 'ħaddiema għall-pożizzjoni partikolari. Organizzazzjonijiet professjonali u tax-xogħol jistgħu jillimitaw il-provvista ta 'ħaddiema li tirriżulta f'domanda ogħla u dħul akbar għall-membri. Il-membri jistgħu wkoll jirċievu pagi ogħla permezz ta 'negozjar kollettiv, influwenza politika, jew korruzzjoni.</v>
      </c>
    </row>
    <row r="9297" ht="15.75" customHeight="1">
      <c r="A9297" s="2" t="s">
        <v>9297</v>
      </c>
      <c r="B9297" s="2" t="str">
        <f>IFERROR(__xludf.DUMMYFUNCTION("GOOGLETRANSLATE(A9297, ""en"", ""mt"")"),"Konservattivi")</f>
        <v>Konservattivi</v>
      </c>
    </row>
    <row r="9298" ht="15.75" customHeight="1">
      <c r="A9298" s="2" t="s">
        <v>9298</v>
      </c>
      <c r="B9298" s="2" t="str">
        <f>IFERROR(__xludf.DUMMYFUNCTION("GOOGLETRANSLATE(A9298, ""en"", ""mt"")"),"tilwima fuq il-kontroll")</f>
        <v>tilwima fuq il-kontroll</v>
      </c>
    </row>
    <row r="9299" ht="15.75" customHeight="1">
      <c r="A9299" s="2" t="s">
        <v>9299</v>
      </c>
      <c r="B9299" s="2" t="str">
        <f>IFERROR(__xludf.DUMMYFUNCTION("GOOGLETRANSLATE(A9299, ""en"", ""mt"")"),"Liema forma hija l-karatteristika tal-ilma fil-Ġnien John Makejski?")</f>
        <v>Liema forma hija l-karatteristika tal-ilma fil-Ġnien John Makejski?</v>
      </c>
    </row>
    <row r="9300" ht="15.75" customHeight="1">
      <c r="A9300" s="2" t="s">
        <v>9300</v>
      </c>
      <c r="B9300" s="2" t="str">
        <f>IFERROR(__xludf.DUMMYFUNCTION("GOOGLETRANSLATE(A9300, ""en"", ""mt"")"),"Kif ġie determinat kemm minn kull kamp kien se jinħatar?")</f>
        <v>Kif ġie determinat kemm minn kull kamp kien se jinħatar?</v>
      </c>
    </row>
    <row r="9301" ht="15.75" customHeight="1">
      <c r="A9301" s="2" t="s">
        <v>9301</v>
      </c>
      <c r="B9301" s="2" t="str">
        <f>IFERROR(__xludf.DUMMYFUNCTION("GOOGLETRANSLATE(A9301, ""en"", ""mt"")"),"Kemm Sports Intercollegiate Harvard jikkompeti fid-Diviżjoni I tal-NCAA")</f>
        <v>Kemm Sports Intercollegiate Harvard jikkompeti fid-Diviżjoni I tal-NCAA</v>
      </c>
    </row>
    <row r="9302" ht="15.75" customHeight="1">
      <c r="A9302" s="2" t="s">
        <v>9302</v>
      </c>
      <c r="B9302" s="2" t="str">
        <f>IFERROR(__xludf.DUMMYFUNCTION("GOOGLETRANSLATE(A9302, ""en"", ""mt"")"),"Liema parti tal-kollezzjoni V&amp;A tagħmel id-djar tal-ġwienaħ ta 'Henry Cole?")</f>
        <v>Liema parti tal-kollezzjoni V&amp;A tagħmel id-djar tal-ġwienaħ ta 'Henry Cole?</v>
      </c>
    </row>
    <row r="9303" ht="15.75" customHeight="1">
      <c r="A9303" s="2" t="s">
        <v>9303</v>
      </c>
      <c r="B9303" s="2" t="str">
        <f>IFERROR(__xludf.DUMMYFUNCTION("GOOGLETRANSLATE(A9303, ""en"", ""mt"")"),"X'inhu Creon jipprova jwaqqaf lil Antigone milli jagħmel fil-logħob?")</f>
        <v>X'inhu Creon jipprova jwaqqaf lil Antigone milli jagħmel fil-logħob?</v>
      </c>
    </row>
    <row r="9304" ht="15.75" customHeight="1">
      <c r="A9304" s="2" t="s">
        <v>9304</v>
      </c>
      <c r="B9304" s="2" t="str">
        <f>IFERROR(__xludf.DUMMYFUNCTION("GOOGLETRANSLATE(A9304, ""en"", ""mt"")"),"Il-Mużew Nazzjonali ta 'Varsavja huwa wieħed mill-iktar?")</f>
        <v>Il-Mużew Nazzjonali ta 'Varsavja huwa wieħed mill-iktar?</v>
      </c>
    </row>
    <row r="9305" ht="15.75" customHeight="1">
      <c r="A9305" s="2" t="s">
        <v>9305</v>
      </c>
      <c r="B9305" s="2" t="str">
        <f>IFERROR(__xludf.DUMMYFUNCTION("GOOGLETRANSLATE(A9305, ""en"", ""mt"")"),"Għerf u prudenza ta 'ċerti deċiżjonijiet")</f>
        <v>Għerf u prudenza ta 'ċerti deċiżjonijiet</v>
      </c>
    </row>
    <row r="9306" ht="15.75" customHeight="1">
      <c r="A9306" s="2" t="s">
        <v>9306</v>
      </c>
      <c r="B9306" s="2" t="str">
        <f>IFERROR(__xludf.DUMMYFUNCTION("GOOGLETRANSLATE(A9306, ""en"", ""mt"")"),"Intergovernall_panel_on_climate_change")</f>
        <v>Intergovernall_panel_on_climate_change</v>
      </c>
    </row>
    <row r="9307" ht="15.75" customHeight="1">
      <c r="A9307" s="2" t="s">
        <v>9307</v>
      </c>
      <c r="B9307" s="2" t="str">
        <f>IFERROR(__xludf.DUMMYFUNCTION("GOOGLETRANSLATE(A9307, ""en"", ""mt"")"),"Liema karta hija komunement ikkunsidrata bħala l-bellwether li joħroġ fi studji sistematiċi kumplessità tal-komputazzjoni?")</f>
        <v>Liema karta hija komunement ikkunsidrata bħala l-bellwether li joħroġ fi studji sistematiċi kumplessità tal-komputazzjoni?</v>
      </c>
    </row>
    <row r="9308" ht="15.75" customHeight="1">
      <c r="A9308" s="2" t="s">
        <v>9308</v>
      </c>
      <c r="B9308" s="2" t="str">
        <f>IFERROR(__xludf.DUMMYFUNCTION("GOOGLETRANSLATE(A9308, ""en"", ""mt"")"),"X'inhu inkluż flimkien ma 'aċċerazzjoni gravitazzjonali, u l-massa tad-dinja f'formula dwar rotazzjoni madwar id-dinja?")</f>
        <v>X'inhu inkluż flimkien ma 'aċċerazzjoni gravitazzjonali, u l-massa tad-dinja f'formula dwar rotazzjoni madwar id-dinja?</v>
      </c>
    </row>
    <row r="9309" ht="15.75" customHeight="1">
      <c r="A9309" s="2" t="s">
        <v>9309</v>
      </c>
      <c r="B9309" s="2" t="str">
        <f>IFERROR(__xludf.DUMMYFUNCTION("GOOGLETRANSLATE(A9309, ""en"", ""mt"")"),"X'inhu l-isem sħiħ tal-ASER?")</f>
        <v>X'inhu l-isem sħiħ tal-ASER?</v>
      </c>
    </row>
    <row r="9310" ht="15.75" customHeight="1">
      <c r="A9310" s="2" t="s">
        <v>9310</v>
      </c>
      <c r="B9310" s="2" t="str">
        <f>IFERROR(__xludf.DUMMYFUNCTION("GOOGLETRANSLATE(A9310, ""en"", ""mt"")"),"Liema distinzjoni għandha t-torri tal-Bank of America?")</f>
        <v>Liema distinzjoni għandha t-torri tal-Bank of America?</v>
      </c>
    </row>
    <row r="9311" ht="15.75" customHeight="1">
      <c r="A9311" s="2" t="s">
        <v>9311</v>
      </c>
      <c r="B9311" s="2" t="str">
        <f>IFERROR(__xludf.DUMMYFUNCTION("GOOGLETRANSLATE(A9311, ""en"", ""mt"")"),"il-kummissjoni")</f>
        <v>il-kummissjoni</v>
      </c>
    </row>
    <row r="9312" ht="15.75" customHeight="1">
      <c r="A9312" s="2" t="s">
        <v>9312</v>
      </c>
      <c r="B9312" s="2" t="str">
        <f>IFERROR(__xludf.DUMMYFUNCTION("GOOGLETRANSLATE(A9312, ""en"", ""mt"")"),"Liema forzi barranin spiss imdendlin fix-xena politika Mongoljana?")</f>
        <v>Liema forzi barranin spiss imdendlin fix-xena politika Mongoljana?</v>
      </c>
    </row>
    <row r="9313" ht="15.75" customHeight="1">
      <c r="A9313" s="2" t="s">
        <v>9313</v>
      </c>
      <c r="B9313" s="2" t="str">
        <f>IFERROR(__xludf.DUMMYFUNCTION("GOOGLETRANSLATE(A9313, ""en"", ""mt"")"),"X'inhi l-idjoma tal-arkitettura Norman?")</f>
        <v>X'inhi l-idjoma tal-arkitettura Norman?</v>
      </c>
    </row>
    <row r="9314" ht="15.75" customHeight="1">
      <c r="A9314" s="2" t="s">
        <v>9314</v>
      </c>
      <c r="B9314" s="2" t="str">
        <f>IFERROR(__xludf.DUMMYFUNCTION("GOOGLETRANSLATE(A9314, ""en"", ""mt"")"),"Arkitettura Gotika")</f>
        <v>Arkitettura Gotika</v>
      </c>
    </row>
    <row r="9315" ht="15.75" customHeight="1">
      <c r="A9315" s="2" t="s">
        <v>9315</v>
      </c>
      <c r="B9315" s="2" t="str">
        <f>IFERROR(__xludf.DUMMYFUNCTION("GOOGLETRANSLATE(A9315, ""en"", ""mt"")"),"Iffoka fuq dak li hu biex itejjeb il-ħafna problemi li jinħolqu mill-prattiki ta 'spiss kompetittivi u kontradittorji fl-industrija tal-kostruzzjoni.")</f>
        <v>Iffoka fuq dak li hu biex itejjeb il-ħafna problemi li jinħolqu mill-prattiki ta 'spiss kompetittivi u kontradittorji fl-industrija tal-kostruzzjoni.</v>
      </c>
    </row>
    <row r="9316" ht="15.75" customHeight="1">
      <c r="A9316" s="2" t="s">
        <v>9316</v>
      </c>
      <c r="B9316" s="2" t="str">
        <f>IFERROR(__xludf.DUMMYFUNCTION("GOOGLETRANSLATE(A9316, ""en"", ""mt"")"),"il-ftuħ tal-ostilitajiet")</f>
        <v>il-ftuħ tal-ostilitajiet</v>
      </c>
    </row>
    <row r="9317" ht="15.75" customHeight="1">
      <c r="A9317" s="2" t="s">
        <v>9317</v>
      </c>
      <c r="B9317" s="2" t="str">
        <f>IFERROR(__xludf.DUMMYFUNCTION("GOOGLETRANSLATE(A9317, ""en"", ""mt"")"),"il-mehrież u l-lida u l-karattru ℞ (reċipjent)")</f>
        <v>il-mehrież u l-lida u l-karattru ℞ (reċipjent)</v>
      </c>
    </row>
    <row r="9318" ht="15.75" customHeight="1">
      <c r="A9318" s="2" t="s">
        <v>9318</v>
      </c>
      <c r="B9318" s="2" t="str">
        <f>IFERROR(__xludf.DUMMYFUNCTION("GOOGLETRANSLATE(A9318, ""en"", ""mt"")"),"6 ta 'Lulju, 2009")</f>
        <v>6 ta 'Lulju, 2009</v>
      </c>
    </row>
    <row r="9319" ht="15.75" customHeight="1">
      <c r="A9319" s="2" t="s">
        <v>9319</v>
      </c>
      <c r="B9319" s="2" t="str">
        <f>IFERROR(__xludf.DUMMYFUNCTION("GOOGLETRANSLATE(A9319, ""en"", ""mt"")"),"Meta persuna tkun ikkunsidrata li qed tiswi l-impass kostituzzjonali?")</f>
        <v>Meta persuna tkun ikkunsidrata li qed tiswi l-impass kostituzzjonali?</v>
      </c>
    </row>
    <row r="9320" ht="15.75" customHeight="1">
      <c r="A9320" s="2" t="s">
        <v>9320</v>
      </c>
      <c r="B9320" s="2" t="str">
        <f>IFERROR(__xludf.DUMMYFUNCTION("GOOGLETRANSLATE(A9320, ""en"", ""mt"")"),"Ir-residenti tal-belt ħarbu lejn it-tramuntana")</f>
        <v>Ir-residenti tal-belt ħarbu lejn it-tramuntana</v>
      </c>
    </row>
    <row r="9321" ht="15.75" customHeight="1">
      <c r="A9321" s="2" t="s">
        <v>9321</v>
      </c>
      <c r="B9321" s="2" t="str">
        <f>IFERROR(__xludf.DUMMYFUNCTION("GOOGLETRANSLATE(A9321, ""en"", ""mt"")"),"ġdid adeżjat")</f>
        <v>ġdid adeżjat</v>
      </c>
    </row>
    <row r="9322" ht="15.75" customHeight="1">
      <c r="A9322" s="2" t="s">
        <v>9322</v>
      </c>
      <c r="B9322" s="2" t="str">
        <f>IFERROR(__xludf.DUMMYFUNCTION("GOOGLETRANSLATE(A9322, ""en"", ""mt"")"),"Fil-bidu tas-snin disgħin il-memorja ta 'Genghis Khan bl-identità nazzjonali Mongoljana kellha qawmien mill-ġdid qawwi parzjalment minħabba l-perċezzjoni tiegħu matul il-perjodu tar-Repubblika tal-Poplu Mongoljan. Genghis Khan sar wieħed mill-figuri ċentr"&amp;"ali tal-identità nazzjonali. Huwa ħares b'mod pożittiv mill-Mongoljani għar-rwol tiegħu fl-għaqda ta 'tribujiet tal-ġlied. Pereżempju, mhuwiex komuni għall-Mongoljani li jirreferu għal pajjiżhom bħala ""il-Mongolja ta 'Genghis Khan"", għalihom infushom bħ"&amp;"ala ""it-tfal ta' Genghis Khan"", u lil Genghis Khan bħala l- ""missier tal-Mongoli"" speċjalment fost il-ġenerazzjoni żagħżugħa. Madankollu, hemm qasma fil-perċezzjoni tal-brutalità tiegħu. Il-Mongoljani jsostnu li r-rekords storiċi miktuba minn dawk li "&amp;"mhumiex Mongoljani huma preġudikati inġustament kontra Genghis Khan u li l-biċċier tiegħu huwa esaġerat, filwaqt li r-rwol pożittiv tiegħu huwa sottovalutat.")</f>
        <v>Fil-bidu tas-snin disgħin il-memorja ta 'Genghis Khan bl-identità nazzjonali Mongoljana kellha qawmien mill-ġdid qawwi parzjalment minħabba l-perċezzjoni tiegħu matul il-perjodu tar-Repubblika tal-Poplu Mongoljan. Genghis Khan sar wieħed mill-figuri ċentrali tal-identità nazzjonali. Huwa ħares b'mod pożittiv mill-Mongoljani għar-rwol tiegħu fl-għaqda ta 'tribujiet tal-ġlied. Pereżempju, mhuwiex komuni għall-Mongoljani li jirreferu għal pajjiżhom bħala "il-Mongolja ta 'Genghis Khan", għalihom infushom bħala "it-tfal ta' Genghis Khan", u lil Genghis Khan bħala l- "missier tal-Mongoli" speċjalment fost il-ġenerazzjoni żagħżugħa. Madankollu, hemm qasma fil-perċezzjoni tal-brutalità tiegħu. Il-Mongoljani jsostnu li r-rekords storiċi miktuba minn dawk li mhumiex Mongoljani huma preġudikati inġustament kontra Genghis Khan u li l-biċċier tiegħu huwa esaġerat, filwaqt li r-rwol pożittiv tiegħu huwa sottovalutat.</v>
      </c>
    </row>
    <row r="9323" ht="15.75" customHeight="1">
      <c r="A9323" s="2" t="s">
        <v>9323</v>
      </c>
      <c r="B9323" s="2" t="str">
        <f>IFERROR(__xludf.DUMMYFUNCTION("GOOGLETRANSLATE(A9323, ""en"", ""mt"")"),"Meta bdiet ixandru WJZ-TV fi New York?")</f>
        <v>Meta bdiet ixandru WJZ-TV fi New York?</v>
      </c>
    </row>
    <row r="9324" ht="15.75" customHeight="1">
      <c r="A9324" s="2" t="s">
        <v>9324</v>
      </c>
      <c r="B9324" s="2" t="str">
        <f>IFERROR(__xludf.DUMMYFUNCTION("GOOGLETRANSLATE(A9324, ""en"", ""mt"")"),"Premjijiet tal-Akkademja")</f>
        <v>Premjijiet tal-Akkademja</v>
      </c>
    </row>
    <row r="9325" ht="15.75" customHeight="1">
      <c r="A9325" s="2" t="s">
        <v>9325</v>
      </c>
      <c r="B9325" s="2" t="str">
        <f>IFERROR(__xludf.DUMMYFUNCTION("GOOGLETRANSLATE(A9325, ""en"", ""mt"")"),"l-iktar b'popolazzjoni densa")</f>
        <v>l-iktar b'popolazzjoni densa</v>
      </c>
    </row>
    <row r="9326" ht="15.75" customHeight="1">
      <c r="A9326" s="2" t="s">
        <v>9326</v>
      </c>
      <c r="B9326" s="2" t="str">
        <f>IFERROR(__xludf.DUMMYFUNCTION("GOOGLETRANSLATE(A9326, ""en"", ""mt"")"),"Min influwenza Bismark minbarra l-ġirien tiegħu?")</f>
        <v>Min influwenza Bismark minbarra l-ġirien tiegħu?</v>
      </c>
    </row>
    <row r="9327" ht="15.75" customHeight="1">
      <c r="A9327" s="2" t="s">
        <v>9327</v>
      </c>
      <c r="B9327" s="2" t="str">
        <f>IFERROR(__xludf.DUMMYFUNCTION("GOOGLETRANSLATE(A9327, ""en"", ""mt"")"),"Wara liema mudell ta 'tagħlim ogħla ġie ddisinjat l-iskola?")</f>
        <v>Wara liema mudell ta 'tagħlim ogħla ġie ddisinjat l-iskola?</v>
      </c>
    </row>
    <row r="9328" ht="15.75" customHeight="1">
      <c r="A9328" s="2" t="s">
        <v>9328</v>
      </c>
      <c r="B9328" s="2" t="str">
        <f>IFERROR(__xludf.DUMMYFUNCTION("GOOGLETRANSLATE(A9328, ""en"", ""mt"")"),"Marġinali")</f>
        <v>Marġinali</v>
      </c>
    </row>
    <row r="9329" ht="15.75" customHeight="1">
      <c r="A9329" s="2" t="s">
        <v>9329</v>
      </c>
      <c r="B9329" s="2" t="str">
        <f>IFERROR(__xludf.DUMMYFUNCTION("GOOGLETRANSLATE(A9329, ""en"", ""mt"")"),"molekuli mhux awto")</f>
        <v>molekuli mhux awto</v>
      </c>
    </row>
    <row r="9330" ht="15.75" customHeight="1">
      <c r="A9330" s="2" t="s">
        <v>9330</v>
      </c>
      <c r="B9330" s="2" t="str">
        <f>IFERROR(__xludf.DUMMYFUNCTION("GOOGLETRANSLATE(A9330, ""en"", ""mt"")"),"L-edukazzjoni fl-Awstralja hija primarjament ir-responsabbiltà tal-istati u t-territorji individwali. Ġeneralment, l-edukazzjoni fl-Awstralja ssegwi l-mudell bi tliet livelli li jinkludi l-edukazzjoni primarja (skejjel primarji), segwita minn edukazzjoni "&amp;"sekondarja (skejjel sekondarji / skejjel għolja) u edukazzjoni terzjarja (universitajiet u / jew kulleġġi TAFE).")</f>
        <v>L-edukazzjoni fl-Awstralja hija primarjament ir-responsabbiltà tal-istati u t-territorji individwali. Ġeneralment, l-edukazzjoni fl-Awstralja ssegwi l-mudell bi tliet livelli li jinkludi l-edukazzjoni primarja (skejjel primarji), segwita minn edukazzjoni sekondarja (skejjel sekondarji / skejjel għolja) u edukazzjoni terzjarja (universitajiet u / jew kulleġġi TAFE).</v>
      </c>
    </row>
    <row r="9331" ht="15.75" customHeight="1">
      <c r="A9331" s="2" t="s">
        <v>9331</v>
      </c>
      <c r="B9331" s="2" t="str">
        <f>IFERROR(__xludf.DUMMYFUNCTION("GOOGLETRANSLATE(A9331, ""en"", ""mt"")"),"Liema karatteristika ta 'ossiġnu tikkawża li tifforma bonds ma' elementi oħra?")</f>
        <v>Liema karatteristika ta 'ossiġnu tikkawża li tifforma bonds ma' elementi oħra?</v>
      </c>
    </row>
    <row r="9332" ht="15.75" customHeight="1">
      <c r="A9332" s="2" t="s">
        <v>9332</v>
      </c>
      <c r="B9332" s="2" t="str">
        <f>IFERROR(__xludf.DUMMYFUNCTION("GOOGLETRANSLATE(A9332, ""en"", ""mt"")"),"L-ebda konkors")</f>
        <v>L-ebda konkors</v>
      </c>
    </row>
    <row r="9333" ht="15.75" customHeight="1">
      <c r="A9333" s="2" t="s">
        <v>9333</v>
      </c>
      <c r="B9333" s="2" t="str">
        <f>IFERROR(__xludf.DUMMYFUNCTION("GOOGLETRANSLATE(A9333, ""en"", ""mt"")"),"Fejn Luther spjega l-idea tiegħu ta 'ġustifikazzjoni?")</f>
        <v>Fejn Luther spjega l-idea tiegħu ta 'ġustifikazzjoni?</v>
      </c>
    </row>
    <row r="9334" ht="15.75" customHeight="1">
      <c r="A9334" s="2" t="s">
        <v>9334</v>
      </c>
      <c r="B9334" s="2" t="str">
        <f>IFERROR(__xludf.DUMMYFUNCTION("GOOGLETRANSLATE(A9334, ""en"", ""mt"")"),"Liema lingwa studjat Tesla waqt l-iskola?")</f>
        <v>Liema lingwa studjat Tesla waqt l-iskola?</v>
      </c>
    </row>
    <row r="9335" ht="15.75" customHeight="1">
      <c r="A9335" s="2" t="s">
        <v>9335</v>
      </c>
      <c r="B9335" s="2" t="str">
        <f>IFERROR(__xludf.DUMMYFUNCTION("GOOGLETRANSLATE(A9335, ""en"", ""mt"")"),"X'inhu uniku dwar ermafroditi simultanji?")</f>
        <v>X'inhu uniku dwar ermafroditi simultanji?</v>
      </c>
    </row>
    <row r="9336" ht="15.75" customHeight="1">
      <c r="A9336" s="2" t="s">
        <v>9336</v>
      </c>
      <c r="B9336" s="2" t="str">
        <f>IFERROR(__xludf.DUMMYFUNCTION("GOOGLETRANSLATE(A9336, ""en"", ""mt"")"),"""Ibda hawn""")</f>
        <v>"Ibda hawn"</v>
      </c>
    </row>
    <row r="9337" ht="15.75" customHeight="1">
      <c r="A9337" s="2" t="s">
        <v>9337</v>
      </c>
      <c r="B9337" s="2" t="str">
        <f>IFERROR(__xludf.DUMMYFUNCTION("GOOGLETRANSLATE(A9337, ""en"", ""mt"")"),"Juivesiles kapaċi jirriproduċu?")</f>
        <v>Juivesiles kapaċi jirriproduċu?</v>
      </c>
    </row>
    <row r="9338" ht="15.75" customHeight="1">
      <c r="A9338" s="2" t="s">
        <v>9338</v>
      </c>
      <c r="B9338" s="2" t="str">
        <f>IFERROR(__xludf.DUMMYFUNCTION("GOOGLETRANSLATE(A9338, ""en"", ""mt"")"),"Share Recordings")</f>
        <v>Share Recordings</v>
      </c>
    </row>
    <row r="9339" ht="15.75" customHeight="1">
      <c r="A9339" s="2" t="s">
        <v>9339</v>
      </c>
      <c r="B9339" s="2" t="str">
        <f>IFERROR(__xludf.DUMMYFUNCTION("GOOGLETRANSLATE(A9339, ""en"", ""mt"")"),"Ctenophores huma inqas kumplessi minn liema grupp ieħor?")</f>
        <v>Ctenophores huma inqas kumplessi minn liema grupp ieħor?</v>
      </c>
    </row>
    <row r="9340" ht="15.75" customHeight="1">
      <c r="A9340" s="2" t="s">
        <v>9340</v>
      </c>
      <c r="B9340" s="2" t="str">
        <f>IFERROR(__xludf.DUMMYFUNCTION("GOOGLETRANSLATE(A9340, ""en"", ""mt"")"),"Kif huma ffinanzjati ErgänZungsschulen?")</f>
        <v>Kif huma ffinanzjati ErgänZungsschulen?</v>
      </c>
    </row>
    <row r="9341" ht="15.75" customHeight="1">
      <c r="A9341" s="2" t="s">
        <v>9341</v>
      </c>
      <c r="B9341" s="2" t="str">
        <f>IFERROR(__xludf.DUMMYFUNCTION("GOOGLETRANSLATE(A9341, ""en"", ""mt"")"),"Università ta ’Washington")</f>
        <v>Università ta ’Washington</v>
      </c>
    </row>
    <row r="9342" ht="15.75" customHeight="1">
      <c r="A9342" s="2" t="s">
        <v>9342</v>
      </c>
      <c r="B9342" s="2" t="str">
        <f>IFERROR(__xludf.DUMMYFUNCTION("GOOGLETRANSLATE(A9342, ""en"", ""mt"")"),"wieħed minn kull ħamsa")</f>
        <v>wieħed minn kull ħamsa</v>
      </c>
    </row>
    <row r="9343" ht="15.75" customHeight="1">
      <c r="A9343" s="2" t="s">
        <v>9343</v>
      </c>
      <c r="B9343" s="2" t="str">
        <f>IFERROR(__xludf.DUMMYFUNCTION("GOOGLETRANSLATE(A9343, ""en"", ""mt"")"),"Pakkett li jaqleb il-kuntrast ma 'dak il-prinċipal ieħor")</f>
        <v>Pakkett li jaqleb il-kuntrast ma 'dak il-prinċipal ieħor</v>
      </c>
    </row>
    <row r="9344" ht="15.75" customHeight="1">
      <c r="A9344" s="2" t="s">
        <v>9344</v>
      </c>
      <c r="B9344" s="2" t="str">
        <f>IFERROR(__xludf.DUMMYFUNCTION("GOOGLETRANSLATE(A9344, ""en"", ""mt"")"),"L-inqas oneruż għandu jiġi adottat")</f>
        <v>L-inqas oneruż għandu jiġi adottat</v>
      </c>
    </row>
    <row r="9345" ht="15.75" customHeight="1">
      <c r="A9345" s="2" t="s">
        <v>9345</v>
      </c>
      <c r="B9345" s="2" t="str">
        <f>IFERROR(__xludf.DUMMYFUNCTION("GOOGLETRANSLATE(A9345, ""en"", ""mt"")"),"awtostradi")</f>
        <v>awtostradi</v>
      </c>
    </row>
    <row r="9346" ht="15.75" customHeight="1">
      <c r="A9346" s="2" t="s">
        <v>9346</v>
      </c>
      <c r="B9346" s="2" t="str">
        <f>IFERROR(__xludf.DUMMYFUNCTION("GOOGLETRANSLATE(A9346, ""en"", ""mt"")"),"X'hemm bżonn li jiġi evitat bid-diżubbidjenza ċivili?")</f>
        <v>X'hemm bżonn li jiġi evitat bid-diżubbidjenza ċivili?</v>
      </c>
    </row>
    <row r="9347" ht="15.75" customHeight="1">
      <c r="A9347" s="2" t="s">
        <v>9347</v>
      </c>
      <c r="B9347" s="2" t="str">
        <f>IFERROR(__xludf.DUMMYFUNCTION("GOOGLETRANSLATE(A9347, ""en"", ""mt"")"),"Xi jfisser il-fotosintesi fl-atmosfera tad-Dinja?")</f>
        <v>Xi jfisser il-fotosintesi fl-atmosfera tad-Dinja?</v>
      </c>
    </row>
    <row r="9348" ht="15.75" customHeight="1">
      <c r="A9348" s="2" t="s">
        <v>9348</v>
      </c>
      <c r="B9348" s="2" t="str">
        <f>IFERROR(__xludf.DUMMYFUNCTION("GOOGLETRANSLATE(A9348, ""en"", ""mt"")"),"Lampi elettriċi")</f>
        <v>Lampi elettriċi</v>
      </c>
    </row>
    <row r="9349" ht="15.75" customHeight="1">
      <c r="A9349" s="2" t="s">
        <v>9349</v>
      </c>
      <c r="B9349" s="2" t="str">
        <f>IFERROR(__xludf.DUMMYFUNCTION("GOOGLETRANSLATE(A9349, ""en"", ""mt"")"),"Dak li jipprojbixxi l-atomi milli jgħaddu minn xulxin?")</f>
        <v>Dak li jipprojbixxi l-atomi milli jgħaddu minn xulxin?</v>
      </c>
    </row>
    <row r="9350" ht="15.75" customHeight="1">
      <c r="A9350" s="2" t="s">
        <v>9350</v>
      </c>
      <c r="B9350" s="2" t="str">
        <f>IFERROR(__xludf.DUMMYFUNCTION("GOOGLETRANSLATE(A9350, ""en"", ""mt"")"),"Storikament, liema moviment appoġġa l-Knisja Metodista?")</f>
        <v>Storikament, liema moviment appoġġa l-Knisja Metodista?</v>
      </c>
    </row>
    <row r="9351" ht="15.75" customHeight="1">
      <c r="A9351" s="2" t="s">
        <v>9351</v>
      </c>
      <c r="B9351" s="2" t="str">
        <f>IFERROR(__xludf.DUMMYFUNCTION("GOOGLETRANSLATE(A9351, ""en"", ""mt"")"),"Kemm idum il-faċċata ewlenija tul il-Ġonna ta 'Cromwell?")</f>
        <v>Kemm idum il-faċċata ewlenija tul il-Ġonna ta 'Cromwell?</v>
      </c>
    </row>
    <row r="9352" ht="15.75" customHeight="1">
      <c r="A9352" s="2" t="s">
        <v>9352</v>
      </c>
      <c r="B9352" s="2" t="str">
        <f>IFERROR(__xludf.DUMMYFUNCTION("GOOGLETRANSLATE(A9352, ""en"", ""mt"")"),"X'tip ta 'ċelloli T umani jirrispondu għal molekuli komuni prodotti mill-mikrobi?")</f>
        <v>X'tip ta 'ċelloli T umani jirrispondu għal molekuli komuni prodotti mill-mikrobi?</v>
      </c>
    </row>
    <row r="9353" ht="15.75" customHeight="1">
      <c r="A9353" s="2" t="s">
        <v>9353</v>
      </c>
      <c r="B9353" s="2" t="str">
        <f>IFERROR(__xludf.DUMMYFUNCTION("GOOGLETRANSLATE(A9353, ""en"", ""mt"")"),"F'liema oqsma huma l-informatika tal-ispiżerija ppreparati biex taħdem?")</f>
        <v>F'liema oqsma huma l-informatika tal-ispiżerija ppreparati biex taħdem?</v>
      </c>
    </row>
    <row r="9354" ht="15.75" customHeight="1">
      <c r="A9354" s="2" t="s">
        <v>9354</v>
      </c>
      <c r="B9354" s="2" t="str">
        <f>IFERROR(__xludf.DUMMYFUNCTION("GOOGLETRANSLATE(A9354, ""en"", ""mt"")"),"Ma tkompliex")</f>
        <v>Ma tkompliex</v>
      </c>
    </row>
    <row r="9355" ht="15.75" customHeight="1">
      <c r="A9355" s="2" t="s">
        <v>9355</v>
      </c>
      <c r="B9355" s="2" t="str">
        <f>IFERROR(__xludf.DUMMYFUNCTION("GOOGLETRANSLATE(A9355, ""en"", ""mt"")"),"il-milizja tagħhom stess")</f>
        <v>il-milizja tagħhom stess</v>
      </c>
    </row>
    <row r="9356" ht="15.75" customHeight="1">
      <c r="A9356" s="2" t="s">
        <v>9356</v>
      </c>
      <c r="B9356" s="2" t="str">
        <f>IFERROR(__xludf.DUMMYFUNCTION("GOOGLETRANSLATE(A9356, ""en"", ""mt"")"),"Liema organizzazzjoni argumentat li n-nixfa, fost effetti oħra, tista 'tikkawża li l-Forest Amazon jilħaq ""punt li jbaxxi?""")</f>
        <v>Liema organizzazzjoni argumentat li n-nixfa, fost effetti oħra, tista 'tikkawża li l-Forest Amazon jilħaq "punt li jbaxxi?"</v>
      </c>
    </row>
    <row r="9357" ht="15.75" customHeight="1">
      <c r="A9357" s="2" t="s">
        <v>9357</v>
      </c>
      <c r="B9357" s="2" t="str">
        <f>IFERROR(__xludf.DUMMYFUNCTION("GOOGLETRANSLATE(A9357, ""en"", ""mt"")"),"determinat b'mod uniku")</f>
        <v>determinat b'mod uniku</v>
      </c>
    </row>
    <row r="9358" ht="15.75" customHeight="1">
      <c r="A9358" s="2" t="s">
        <v>9358</v>
      </c>
      <c r="B9358" s="2" t="str">
        <f>IFERROR(__xludf.DUMMYFUNCTION("GOOGLETRANSLATE(A9358, ""en"", ""mt"")"),"F'Marzu 1896, wara li sema 'l-iskoperta ta' Wilhelm Röntgen ta 'x-ray u immaġni tar-raġġi X (radjografija), Tesla kompla jagħmel l-esperimenti tiegħu stess fl-immaġini tar-raġġi X, u żviluppa tubu tal-vakwu terminali b'enerġija għolja tad-disinn tiegħu st"&amp;"ess li kellu L-ebda elettrodu fil-mira u dak ħadem mill-ħruġ tal-kolja Tesla (it-terminu modern għall-fenomenu prodott minn dan l-apparat huwa Bremsstrahlung jew radjazzjoni tal-ibbrejkjar). Fir-riċerka tiegħu, Tesla fasslet diversi setups sperimentali bi"&amp;"ex tipproduċi x-rays. Tesla qalet li, biċ-ċirkwiti tiegħu, l- ""strument se ... jippermetti lil wieħed jiġġenera raġġi roentgen ta 'poter ferm akbar milli jinkiseb b'apparat ordinarju.""")</f>
        <v>F'Marzu 1896, wara li sema 'l-iskoperta ta' Wilhelm Röntgen ta 'x-ray u immaġni tar-raġġi X (radjografija), Tesla kompla jagħmel l-esperimenti tiegħu stess fl-immaġini tar-raġġi X, u żviluppa tubu tal-vakwu terminali b'enerġija għolja tad-disinn tiegħu stess li kellu L-ebda elettrodu fil-mira u dak ħadem mill-ħruġ tal-kolja Tesla (it-terminu modern għall-fenomenu prodott minn dan l-apparat huwa Bremsstrahlung jew radjazzjoni tal-ibbrejkjar). Fir-riċerka tiegħu, Tesla fasslet diversi setups sperimentali biex tipproduċi x-rays. Tesla qalet li, biċ-ċirkwiti tiegħu, l- "strument se ... jippermetti lil wieħed jiġġenera raġġi roentgen ta 'poter ferm akbar milli jinkiseb b'apparat ordinarju."</v>
      </c>
    </row>
    <row r="9359" ht="15.75" customHeight="1">
      <c r="A9359" s="2" t="s">
        <v>9359</v>
      </c>
      <c r="B9359" s="2" t="str">
        <f>IFERROR(__xludf.DUMMYFUNCTION("GOOGLETRANSLATE(A9359, ""en"", ""mt"")"),"X’kawża s-sejba tad-deheb fir-Rabat?")</f>
        <v>X’kawża s-sejba tad-deheb fir-Rabat?</v>
      </c>
    </row>
    <row r="9360" ht="15.75" customHeight="1">
      <c r="A9360" s="2" t="s">
        <v>9360</v>
      </c>
      <c r="B9360" s="2" t="str">
        <f>IFERROR(__xludf.DUMMYFUNCTION("GOOGLETRANSLATE(A9360, ""en"", ""mt"")"),"Min kienu t-tliet aħwa sħaħ ta 'Temüjin?")</f>
        <v>Min kienu t-tliet aħwa sħaħ ta 'Temüjin?</v>
      </c>
    </row>
    <row r="9361" ht="15.75" customHeight="1">
      <c r="A9361" s="2" t="s">
        <v>9361</v>
      </c>
      <c r="B9361" s="2" t="str">
        <f>IFERROR(__xludf.DUMMYFUNCTION("GOOGLETRANSLATE(A9361, ""en"", ""mt"")"),"F'liema baċin jaqa 't-trab?")</f>
        <v>F'liema baċin jaqa 't-trab?</v>
      </c>
    </row>
    <row r="9362" ht="15.75" customHeight="1">
      <c r="A9362" s="2" t="s">
        <v>9362</v>
      </c>
      <c r="B9362" s="2" t="str">
        <f>IFERROR(__xludf.DUMMYFUNCTION("GOOGLETRANSLATE(A9362, ""en"", ""mt"")"),"Ordni tal-Konferenza Annwali tad-Djakni")</f>
        <v>Ordni tal-Konferenza Annwali tad-Djakni</v>
      </c>
    </row>
    <row r="9363" ht="15.75" customHeight="1">
      <c r="A9363" s="2" t="s">
        <v>9363</v>
      </c>
      <c r="B9363" s="2" t="str">
        <f>IFERROR(__xludf.DUMMYFUNCTION("GOOGLETRANSLATE(A9363, ""en"", ""mt"")"),"li kull naħa hija kapaċi twettaq l-obbligi stabbiliti")</f>
        <v>li kull naħa hija kapaċi twettaq l-obbligi stabbiliti</v>
      </c>
    </row>
    <row r="9364" ht="15.75" customHeight="1">
      <c r="A9364" s="2" t="s">
        <v>9364</v>
      </c>
      <c r="B9364" s="2" t="str">
        <f>IFERROR(__xludf.DUMMYFUNCTION("GOOGLETRANSLATE(A9364, ""en"", ""mt"")"),"Drittijiet ta 'tagħlim")</f>
        <v>Drittijiet ta 'tagħlim</v>
      </c>
    </row>
    <row r="9365" ht="15.75" customHeight="1">
      <c r="A9365" s="2" t="s">
        <v>9365</v>
      </c>
      <c r="B9365" s="2" t="str">
        <f>IFERROR(__xludf.DUMMYFUNCTION("GOOGLETRANSLATE(A9365, ""en"", ""mt"")"),"riżorsi mhux tas-soltu")</f>
        <v>riżorsi mhux tas-soltu</v>
      </c>
    </row>
    <row r="9366" ht="15.75" customHeight="1">
      <c r="A9366" s="2" t="s">
        <v>9366</v>
      </c>
      <c r="B9366" s="2" t="str">
        <f>IFERROR(__xludf.DUMMYFUNCTION("GOOGLETRANSLATE(A9366, ""en"", ""mt"")"),"avveniment ta 'tqabbid")</f>
        <v>avveniment ta 'tqabbid</v>
      </c>
    </row>
    <row r="9367" ht="15.75" customHeight="1">
      <c r="A9367" s="2" t="s">
        <v>9367</v>
      </c>
      <c r="B9367" s="2" t="str">
        <f>IFERROR(__xludf.DUMMYFUNCTION("GOOGLETRANSLATE(A9367, ""en"", ""mt"")"),"Sigurtà tal-Ikel")</f>
        <v>Sigurtà tal-Ikel</v>
      </c>
    </row>
    <row r="9368" ht="15.75" customHeight="1">
      <c r="A9368" s="2" t="s">
        <v>9368</v>
      </c>
      <c r="B9368" s="2" t="str">
        <f>IFERROR(__xludf.DUMMYFUNCTION("GOOGLETRANSLATE(A9368, ""en"", ""mt"")"),"L-Iskandinavja u l-Ewropa tat-Tramuntana,")</f>
        <v>L-Iskandinavja u l-Ewropa tat-Tramuntana,</v>
      </c>
    </row>
    <row r="9369" ht="15.75" customHeight="1">
      <c r="A9369" s="2" t="s">
        <v>9369</v>
      </c>
      <c r="B9369" s="2" t="str">
        <f>IFERROR(__xludf.DUMMYFUNCTION("GOOGLETRANSLATE(A9369, ""en"", ""mt"")"),"Skond ix-xewqat ta 'missieru, Luther irreġistra fl-iskola tal-liġi fl-istess università dik is-sena iżda waqa' kważi immedjatament, billi jemmen li l-liġi kienet tirrappreżenta inċertezza. Luther fittxet assigurazzjonijiet dwar il-ħajja u nġibed lejn it-t"&amp;"eoloġija u l-filosofija, li esprima interess partikolari f'Aristotile, William ta 'Ockham, u Gabriel Biel. Huwa kien influwenzat profondament minn żewġ tuturi, Bartholomaeus Arnoldi von bl-użu ta 'Jodocus Trutfetter, li għallmuh ikun suspettuż anke mill-i"&amp;"kbar ħassieba u biex jittestja kollox innifsu bl-esperjenza. Il-filosofija wriet li mhix sodisfaċenti, li toffri assigurazzjoni dwar l-użu tar-raġuni iżda ħadd dwar l-imħabba ta 'Alla, li għal Luther kien iktar importanti. Ir-raġuni ma setgħetx twassal li"&amp;"ll-irġiel lejn Alla, huwa ħass, u wara żviluppa relazzjoni ta 'mħabba-mibegħda ma' Aristotile fuq l-enfasi ta 'dan tal-aħħar fuq ir-raġuni. Għal Luther, ir-raġuni tista 'tintuża biex tiddubita l-irġiel u l-istituzzjonijiet, imma mhux minn Alla. Il-bnedmin"&amp;" setgħu jitgħallmu dwar Alla biss permezz ta ’rivelazzjoni divina, huwa emmen, u l-Iskrittura għalhekk saret dejjem iktar importanti għalih.")</f>
        <v>Skond ix-xewqat ta 'missieru, Luther irreġistra fl-iskola tal-liġi fl-istess università dik is-sena iżda waqa' kważi immedjatament, billi jemmen li l-liġi kienet tirrappreżenta inċertezza. Luther fittxet assigurazzjonijiet dwar il-ħajja u nġibed lejn it-teoloġija u l-filosofija, li esprima interess partikolari f'Aristotile, William ta 'Ockham, u Gabriel Biel. Huwa kien influwenzat profondament minn żewġ tuturi, Bartholomaeus Arnoldi von bl-użu ta 'Jodocus Trutfetter, li għallmuh ikun suspettuż anke mill-ikbar ħassieba u biex jittestja kollox innifsu bl-esperjenza. Il-filosofija wriet li mhix sodisfaċenti, li toffri assigurazzjoni dwar l-użu tar-raġuni iżda ħadd dwar l-imħabba ta 'Alla, li għal Luther kien iktar importanti. Ir-raġuni ma setgħetx twassal lill-irġiel lejn Alla, huwa ħass, u wara żviluppa relazzjoni ta 'mħabba-mibegħda ma' Aristotile fuq l-enfasi ta 'dan tal-aħħar fuq ir-raġuni. Għal Luther, ir-raġuni tista 'tintuża biex tiddubita l-irġiel u l-istituzzjonijiet, imma mhux minn Alla. Il-bnedmin setgħu jitgħallmu dwar Alla biss permezz ta ’rivelazzjoni divina, huwa emmen, u l-Iskrittura għalhekk saret dejjem iktar importanti għalih.</v>
      </c>
    </row>
    <row r="9370" ht="15.75" customHeight="1">
      <c r="A9370" s="2" t="s">
        <v>9370</v>
      </c>
      <c r="B9370" s="2" t="str">
        <f>IFERROR(__xludf.DUMMYFUNCTION("GOOGLETRANSLATE(A9370, ""en"", ""mt"")"),"Il-komunità tal-Internet2, fi sħubija ma 'QWest")</f>
        <v>Il-komunità tal-Internet2, fi sħubija ma 'QWest</v>
      </c>
    </row>
    <row r="9371" ht="15.75" customHeight="1">
      <c r="A9371" s="2" t="s">
        <v>9371</v>
      </c>
      <c r="B9371" s="2" t="str">
        <f>IFERROR(__xludf.DUMMYFUNCTION("GOOGLETRANSLATE(A9371, ""en"", ""mt"")"),"Dan ir-reġjun jinkludi territorju li jappartjeni għal disa 'nazzjonijiet.")</f>
        <v>Dan ir-reġjun jinkludi territorju li jappartjeni għal disa 'nazzjonijiet.</v>
      </c>
    </row>
    <row r="9372" ht="15.75" customHeight="1">
      <c r="A9372" s="2" t="s">
        <v>9372</v>
      </c>
      <c r="B9372" s="2" t="str">
        <f>IFERROR(__xludf.DUMMYFUNCTION("GOOGLETRANSLATE(A9372, ""en"", ""mt"")"),"Fl-2009, in-NASA organizzat simpożju dwar l-ispejjeż tal-proġett li ppreżenta stima tal-ispejjeż tal-programm Apollo fid-dollari tal-2005 bħala madwar $ 170 biljun. Dan kien jinkludi l-ispejjeż kollha tar-riċerka u l-iżvilupp; l-akkwist ta '15 -il rokits "&amp;"Saturn V, 16-il moduli ta 'kmand / servizz, 12-il moduli lunari, flimkien ma' l-appoġġ tal-programm u l-ispejjeż tal-ġestjoni; Spejjeż ta 'kostruzzjoni għall-faċilitajiet u l-aġġornament tagħhom, u l-ispejjeż għall-operazzjonijiet tat-titjira. Dan kien ib"&amp;"bażat fuq rapport tal-Uffiċċju tal-Baġit tal-Kungress, analiżi baġitarja tal-viżjoni l-ġdida tal-NASA għall-ispazju, Settembru 2004. Ir-reviżjoni spazjali stmata fl-2010 l-ispiża ta 'Apollo mill-1959 sal-1973 bħala $ 20.4 biljun, jew $ 109 biljun f'dollar"&amp;"i 2010.")</f>
        <v>Fl-2009, in-NASA organizzat simpożju dwar l-ispejjeż tal-proġett li ppreżenta stima tal-ispejjeż tal-programm Apollo fid-dollari tal-2005 bħala madwar $ 170 biljun. Dan kien jinkludi l-ispejjeż kollha tar-riċerka u l-iżvilupp; l-akkwist ta '15 -il rokits Saturn V, 16-il moduli ta 'kmand / servizz, 12-il moduli lunari, flimkien ma' l-appoġġ tal-programm u l-ispejjeż tal-ġestjoni; Spejjeż ta 'kostruzzjoni għall-faċilitajiet u l-aġġornament tagħhom, u l-ispejjeż għall-operazzjonijiet tat-titjira. Dan kien ibbażat fuq rapport tal-Uffiċċju tal-Baġit tal-Kungress, analiżi baġitarja tal-viżjoni l-ġdida tal-NASA għall-ispazju, Settembru 2004. Ir-reviżjoni spazjali stmata fl-2010 l-ispiża ta 'Apollo mill-1959 sal-1973 bħala $ 20.4 biljun, jew $ 109 biljun f'dollari 2010.</v>
      </c>
    </row>
    <row r="9373" ht="15.75" customHeight="1">
      <c r="A9373" s="2" t="s">
        <v>9373</v>
      </c>
      <c r="B9373" s="2" t="str">
        <f>IFERROR(__xludf.DUMMYFUNCTION("GOOGLETRANSLATE(A9373, ""en"", ""mt"")"),"it-trattat dwar il-funzjonament tal-Unjoni Ewropea")</f>
        <v>it-trattat dwar il-funzjonament tal-Unjoni Ewropea</v>
      </c>
    </row>
    <row r="9374" ht="15.75" customHeight="1">
      <c r="A9374" s="2" t="s">
        <v>9374</v>
      </c>
      <c r="B9374" s="2" t="str">
        <f>IFERROR(__xludf.DUMMYFUNCTION("GOOGLETRANSLATE(A9374, ""en"", ""mt"")"),"L-imperjalizmu u l-kolonjaliżmu jiddettaw it-tnejn il-vantaġġ politiku u ekonomiku fuq art u l-popolazzjonijiet indiġeni li jikkontrollaw, iżda l-istudjużi kultant isibuha diffiċli biex juru d-differenza bejn it-tnejn. Għalkemm l-imperjalizmu u l-kolonjal"&amp;"iżmu jiffokaw fuq it-trażżin ta 'ieħor, jekk il-kolonjaliżmu jirreferi għall-proċess ta' pajjiż li jieħu kontroll fiżiku ta 'ieħor, l-imperjalizmu jirreferi għad-dominanza politika u monetarja, jew formalment jew informalment. Il-kolonjaliżmu huwa meqjus "&amp;"li huwa l-perit li jiddeċiedi kif jibda dominanti żoni u allura l-imperjalizmu jista 'jitqies bħala li joħloq l-idea wara l-konkwista li tikkoopera mal-kolonjaliżmu. Il-kolonjaliżmu huwa meta n-nazzjon imperjali jibda konkwista fuq żona u mbagħad eventwal"&amp;"ment ikun kapaċi jiddeċiedi fuq l-oqsma li n-nazzjon ta 'qabel kien ikkontrolla. It-tifsira ewlenija tal-kolonjaliżmu hija l-isfruttament tal-assi u l-provvisti siewja tan-nazzjon li ġie maħkuma u n-nazzjon li jirbħu u mbagħad jikseb il-benefiċċji mill-im"&amp;"ħassra tal-gwerra. It-tifsira tal-imperjalizmu hija li toħloq imperu, billi tirbaħ l-artijiet tal-istat l-ieħor u għalhekk iżżid id-dominanza tiegħu stess. Il-kolonjaliżmu huwa l-bennej u l-preservatur tal-possedimenti kolonjali f'żona minn popolazzjoni l"&amp;"i ġejja minn reġjun barrani. Il-kolonjaliżmu jista 'jbiddel kompletament l-istruttura soċjali eżistenti, l-istruttura fiżika u l-ekonomija ta' żona; Mhuwiex tas-soltu li l-karatteristiċi tal-popli li jirbħu jiġu wirt mill-popolazzjonijiet indiġeni maħkuma"&amp;".")</f>
        <v>L-imperjalizmu u l-kolonjaliżmu jiddettaw it-tnejn il-vantaġġ politiku u ekonomiku fuq art u l-popolazzjonijiet indiġeni li jikkontrollaw, iżda l-istudjużi kultant isibuha diffiċli biex juru d-differenza bejn it-tnejn. Għalkemm l-imperjalizmu u l-kolonjaliżmu jiffokaw fuq it-trażżin ta 'ieħor, jekk il-kolonjaliżmu jirreferi għall-proċess ta' pajjiż li jieħu kontroll fiżiku ta 'ieħor, l-imperjalizmu jirreferi għad-dominanza politika u monetarja, jew formalment jew informalment. Il-kolonjaliżmu huwa meqjus li huwa l-perit li jiddeċiedi kif jibda dominanti żoni u allura l-imperjalizmu jista 'jitqies bħala li joħloq l-idea wara l-konkwista li tikkoopera mal-kolonjaliżmu. Il-kolonjaliżmu huwa meta n-nazzjon imperjali jibda konkwista fuq żona u mbagħad eventwalment ikun kapaċi jiddeċiedi fuq l-oqsma li n-nazzjon ta 'qabel kien ikkontrolla. It-tifsira ewlenija tal-kolonjaliżmu hija l-isfruttament tal-assi u l-provvisti siewja tan-nazzjon li ġie maħkuma u n-nazzjon li jirbħu u mbagħad jikseb il-benefiċċji mill-imħassra tal-gwerra. It-tifsira tal-imperjalizmu hija li toħloq imperu, billi tirbaħ l-artijiet tal-istat l-ieħor u għalhekk iżżid id-dominanza tiegħu stess. Il-kolonjaliżmu huwa l-bennej u l-preservatur tal-possedimenti kolonjali f'żona minn popolazzjoni li ġejja minn reġjun barrani. Il-kolonjaliżmu jista 'jbiddel kompletament l-istruttura soċjali eżistenti, l-istruttura fiżika u l-ekonomija ta' żona; Mhuwiex tas-soltu li l-karatteristiċi tal-popli li jirbħu jiġu wirt mill-popolazzjonijiet indiġeni maħkuma.</v>
      </c>
    </row>
    <row r="9375" ht="15.75" customHeight="1">
      <c r="A9375" s="2" t="s">
        <v>9375</v>
      </c>
      <c r="B9375" s="2" t="str">
        <f>IFERROR(__xludf.DUMMYFUNCTION("GOOGLETRANSLATE(A9375, ""en"", ""mt"")"),"L-iktar nazzjon ta 'suċċess tal-Afrika fl-Olimpjadi tal-2008")</f>
        <v>L-iktar nazzjon ta 'suċċess tal-Afrika fl-Olimpjadi tal-2008</v>
      </c>
    </row>
    <row r="9376" ht="15.75" customHeight="1">
      <c r="A9376" s="2" t="s">
        <v>9376</v>
      </c>
      <c r="B9376" s="2" t="str">
        <f>IFERROR(__xludf.DUMMYFUNCTION("GOOGLETRANSLATE(A9376, ""en"", ""mt"")"),"ħasra")</f>
        <v>ħasra</v>
      </c>
    </row>
    <row r="9377" ht="15.75" customHeight="1">
      <c r="A9377" s="2" t="s">
        <v>9377</v>
      </c>
      <c r="B9377" s="2" t="str">
        <f>IFERROR(__xludf.DUMMYFUNCTION("GOOGLETRANSLATE(A9377, ""en"", ""mt"")"),"Fix-xogħlijiet akkademiċi Anglophone, it-teoriji rigward l-imperjalizmu spiss huma bbażati fuq l-esperjenza Ingliża. It-terminu ""imperjalizmu"" kien oriġinarjament introdott fl-Ingliż fis-sens preżenti tiegħu fl-aħħar tas-snin 1870 minn avversarji tal-po"&amp;"litiki imperjali allegatament aggressivi u ostentatious tal-Prim Ministru Ingliż Benjamin Disraeli. Ftit kien approprjat mill-partitarji ta '""imperjalizmu"" bħal Joseph Chamberlain. Għal uħud, l-imperjalizmu ħatar politika ta ’idealiżmu u filantropija; O"&amp;"ħrajn allegaw li kien ikkaratterizzat minn interess politiku tal-awto, u numru dejjem jikber assoċjatha mar-regħba kapitalista. Liberali John A. Hobson u Marxist Vladimir Lenin żiedu konnotazzjoni makroekonomika aktar teoretika mat-terminu. Lenin b'mod pa"&amp;"rtikolari eżerċita influwenza sostanzjali fuq kunċetti Marxisti aktar tard dwar l-imperjalizmu bl-imperjalizmu tax-xogħol tiegħu, l-ogħla stadju tal-kapitaliżmu. Fil-kitbiet tiegħu Lenin ippreżentat l-imperjalizmu bħala estensjoni naturali tal-kapitaliżmu"&amp;" li nibtet mill-ħtieġa għall-ekonomiji kapitalisti biex kontinwament jespandu l-investiment, ir-riżorsi materjali u l-ħaddiema b'tali mod li kien jeħtieġ espansjoni kolonjali. Din il-kunċett ta 'l-imperjalizmu bħala karatteristika strutturali tal-kapitali"&amp;"żmu hija mtennija minn teoriċi Marxisti aktar tard. Ħafna teoriċi fuq ix-xellug segwew fl-enfasi tal-karattru strutturali jew sistemiku ta '""imperjalizmu"". Kittieba bħal dawn espandew il-perjodu ta 'żmien assoċjat mat-terminu sabiex issa jinnomina polit"&amp;"ika, u lanqas spazju qasir ta' għexieren ta 'snin fl-aħħar tas-seklu 19, iżda sistema dinjija li testendi fuq perjodu ta' sekli, ħafna drabi tmur lura lejn Christopher Columbus u , f'xi kontijiet, għall-Kruċjati. Hekk kif l-applikazzjoni tat-terminu espan"&amp;"diet, it-tifsira tagħha tbiddlet tul ħames assi distinti imma ta 'spiss paralleli: il-morali, l-ekonomiku, il-sistemiku, il-kulturali, u t-temporali. Dawk il-bidliet jirriflettu - fost ċaqliq ieħor fis-sensibilità - inkwiet dejjem jikber, anke squeamishne"&amp;"ss, bil-fatt tal-poter, speċifikament, il-qawwa tal-Punent.")</f>
        <v>Fix-xogħlijiet akkademiċi Anglophone, it-teoriji rigward l-imperjalizmu spiss huma bbażati fuq l-esperjenza Ingliża. It-terminu "imperjalizmu" kien oriġinarjament introdott fl-Ingliż fis-sens preżenti tiegħu fl-aħħar tas-snin 1870 minn avversarji tal-politiki imperjali allegatament aggressivi u ostentatious tal-Prim Ministru Ingliż Benjamin Disraeli. Ftit kien approprjat mill-partitarji ta '"imperjalizmu" bħal Joseph Chamberlain. Għal uħud, l-imperjalizmu ħatar politika ta ’idealiżmu u filantropija; Oħrajn allegaw li kien ikkaratterizzat minn interess politiku tal-awto, u numru dejjem jikber assoċjatha mar-regħba kapitalista. Liberali John A. Hobson u Marxist Vladimir Lenin żiedu konnotazzjoni makroekonomika aktar teoretika mat-terminu. Lenin b'mod partikolari eżerċita influwenza sostanzjali fuq kunċetti Marxisti aktar tard dwar l-imperjalizmu bl-imperjalizmu tax-xogħol tiegħu, l-ogħla stadju tal-kapitaliżmu. Fil-kitbiet tiegħu Lenin ippreżentat l-imperjalizmu bħala estensjoni naturali tal-kapitaliżmu li nibtet mill-ħtieġa għall-ekonomiji kapitalisti biex kontinwament jespandu l-investiment, ir-riżorsi materjali u l-ħaddiema b'tali mod li kien jeħtieġ espansjoni kolonjali. Din il-kunċett ta 'l-imperjalizmu bħala karatteristika strutturali tal-kapitaliżmu hija mtennija minn teoriċi Marxisti aktar tard. Ħafna teoriċi fuq ix-xellug segwew fl-enfasi tal-karattru strutturali jew sistemiku ta '"imperjalizmu". Kittieba bħal dawn espandew il-perjodu ta 'żmien assoċjat mat-terminu sabiex issa jinnomina politika, u lanqas spazju qasir ta' għexieren ta 'snin fl-aħħar tas-seklu 19, iżda sistema dinjija li testendi fuq perjodu ta' sekli, ħafna drabi tmur lura lejn Christopher Columbus u , f'xi kontijiet, għall-Kruċjati. Hekk kif l-applikazzjoni tat-terminu espandiet, it-tifsira tagħha tbiddlet tul ħames assi distinti imma ta 'spiss paralleli: il-morali, l-ekonomiku, il-sistemiku, il-kulturali, u t-temporali. Dawk il-bidliet jirriflettu - fost ċaqliq ieħor fis-sensibilità - inkwiet dejjem jikber, anke squeamishness, bil-fatt tal-poter, speċifikament, il-qawwa tal-Punent.</v>
      </c>
    </row>
    <row r="9378" ht="15.75" customHeight="1">
      <c r="A9378" s="2" t="s">
        <v>9378</v>
      </c>
      <c r="B9378" s="2" t="str">
        <f>IFERROR(__xludf.DUMMYFUNCTION("GOOGLETRANSLATE(A9378, ""en"", ""mt"")"),"Serje ta 'waqfien mill-enerġija madwar il-pajjiż")</f>
        <v>Serje ta 'waqfien mill-enerġija madwar il-pajjiż</v>
      </c>
    </row>
    <row r="9379" ht="15.75" customHeight="1">
      <c r="A9379" s="2" t="s">
        <v>9379</v>
      </c>
      <c r="B9379" s="2" t="str">
        <f>IFERROR(__xludf.DUMMYFUNCTION("GOOGLETRANSLATE(A9379, ""en"", ""mt"")"),"Uffiċjali kliniċi, uffiċjali mediċi u prattikanti mediċi")</f>
        <v>Uffiċjali kliniċi, uffiċjali mediċi u prattikanti mediċi</v>
      </c>
    </row>
    <row r="9380" ht="15.75" customHeight="1">
      <c r="A9380" s="2" t="s">
        <v>9380</v>
      </c>
      <c r="B9380" s="2" t="str">
        <f>IFERROR(__xludf.DUMMYFUNCTION("GOOGLETRANSLATE(A9380, ""en"", ""mt"")"),"Sal-1897, kemm irċieva Tesla, Brown, u Peck fir-royalties u l-liċenzji fuq il-privattivi?")</f>
        <v>Sal-1897, kemm irċieva Tesla, Brown, u Peck fir-royalties u l-liċenzji fuq il-privattivi?</v>
      </c>
    </row>
    <row r="9381" ht="15.75" customHeight="1">
      <c r="A9381" s="2" t="s">
        <v>9381</v>
      </c>
      <c r="B9381" s="2" t="str">
        <f>IFERROR(__xludf.DUMMYFUNCTION("GOOGLETRANSLATE(A9381, ""en"", ""mt"")"),"Gte")</f>
        <v>Gte</v>
      </c>
    </row>
    <row r="9382" ht="15.75" customHeight="1">
      <c r="A9382" s="2" t="s">
        <v>9382</v>
      </c>
      <c r="B9382" s="2" t="str">
        <f>IFERROR(__xludf.DUMMYFUNCTION("GOOGLETRANSLATE(A9382, ""en"", ""mt"")"),"Imġieba ħażina mill-għalliema, speċjalment kondotta ħażina sesswali, kienet qed tiżdied skrutinju mill-midja u mill-qrati. Studju mill-Assoċjazzjoni Amerikana tan-Nisa Universitarji rrapporta li 9.6% tal-istudenti fl-Istati Uniti jiddikjaraw li rċivew att"&amp;"enzjoni sesswali mhux mixtieqa minn adult assoċjat mal-edukazzjoni; Kemm jekk huma voluntier, sewwieq tal-linja, għalliem, amministratur jew adult ieħor; Xi żmien matul il-karriera edukattiva tagħhom.")</f>
        <v>Imġieba ħażina mill-għalliema, speċjalment kondotta ħażina sesswali, kienet qed tiżdied skrutinju mill-midja u mill-qrati. Studju mill-Assoċjazzjoni Amerikana tan-Nisa Universitarji rrapporta li 9.6% tal-istudenti fl-Istati Uniti jiddikjaraw li rċivew attenzjoni sesswali mhux mixtieqa minn adult assoċjat mal-edukazzjoni; Kemm jekk huma voluntier, sewwieq tal-linja, għalliem, amministratur jew adult ieħor; Xi żmien matul il-karriera edukattiva tagħhom.</v>
      </c>
    </row>
    <row r="9383" ht="15.75" customHeight="1">
      <c r="A9383" s="2" t="s">
        <v>9383</v>
      </c>
      <c r="B9383" s="2" t="str">
        <f>IFERROR(__xludf.DUMMYFUNCTION("GOOGLETRANSLATE(A9383, ""en"", ""mt"")"),"in-netwerk tradizzjonali tat-tifel antik")</f>
        <v>in-netwerk tradizzjonali tat-tifel antik</v>
      </c>
    </row>
    <row r="9384" ht="15.75" customHeight="1">
      <c r="A9384" s="2" t="s">
        <v>9384</v>
      </c>
      <c r="B9384" s="2" t="str">
        <f>IFERROR(__xludf.DUMMYFUNCTION("GOOGLETRANSLATE(A9384, ""en"", ""mt"")"),"Li tieħu xhieda minn xhieda hija waħda mill-kumitati?")</f>
        <v>Li tieħu xhieda minn xhieda hija waħda mill-kumitati?</v>
      </c>
    </row>
    <row r="9385" ht="15.75" customHeight="1">
      <c r="A9385" s="2" t="s">
        <v>9385</v>
      </c>
      <c r="B9385" s="2" t="str">
        <f>IFERROR(__xludf.DUMMYFUNCTION("GOOGLETRANSLATE(A9385, ""en"", ""mt"")"),"Apollo kien mitħun")</f>
        <v>Apollo kien mitħun</v>
      </c>
    </row>
    <row r="9386" ht="15.75" customHeight="1">
      <c r="A9386" s="2" t="s">
        <v>9386</v>
      </c>
      <c r="B9386" s="2" t="str">
        <f>IFERROR(__xludf.DUMMYFUNCTION("GOOGLETRANSLATE(A9386, ""en"", ""mt"")"),"Dik il-qawwa li tgħinna nħobbu u jimmotivawna biex infittxu relazzjoni ma 'Alla permezz ta' Ġesù Kristu.")</f>
        <v>Dik il-qawwa li tgħinna nħobbu u jimmotivawna biex infittxu relazzjoni ma 'Alla permezz ta' Ġesù Kristu.</v>
      </c>
    </row>
    <row r="9387" ht="15.75" customHeight="1">
      <c r="A9387" s="2" t="s">
        <v>9387</v>
      </c>
      <c r="B9387" s="2" t="str">
        <f>IFERROR(__xludf.DUMMYFUNCTION("GOOGLETRANSLATE(A9387, ""en"", ""mt"")"),"Ministeru ta 'appoġġ man-nisa kollha,")</f>
        <v>Ministeru ta 'appoġġ man-nisa kollha,</v>
      </c>
    </row>
    <row r="9388" ht="15.75" customHeight="1">
      <c r="A9388" s="2" t="s">
        <v>9388</v>
      </c>
      <c r="B9388" s="2" t="str">
        <f>IFERROR(__xludf.DUMMYFUNCTION("GOOGLETRANSLATE(A9388, ""en"", ""mt"")"),"Kif tista 'tipprotesta kontra l-gvern b'mod individwali?")</f>
        <v>Kif tista 'tipprotesta kontra l-gvern b'mod individwali?</v>
      </c>
    </row>
    <row r="9389" ht="15.75" customHeight="1">
      <c r="A9389" s="2" t="s">
        <v>9389</v>
      </c>
      <c r="B9389" s="2" t="str">
        <f>IFERROR(__xludf.DUMMYFUNCTION("GOOGLETRANSLATE(A9389, ""en"", ""mt"")"),"kważi 60,000")</f>
        <v>kważi 60,000</v>
      </c>
    </row>
    <row r="9390" ht="15.75" customHeight="1">
      <c r="A9390" s="2" t="s">
        <v>9390</v>
      </c>
      <c r="B9390" s="2" t="str">
        <f>IFERROR(__xludf.DUMMYFUNCTION("GOOGLETRANSLATE(A9390, ""en"", ""mt"")"),"funzjonijiet")</f>
        <v>funzjonijiet</v>
      </c>
    </row>
    <row r="9391" ht="15.75" customHeight="1">
      <c r="A9391" s="2" t="s">
        <v>9391</v>
      </c>
      <c r="B9391" s="2" t="str">
        <f>IFERROR(__xludf.DUMMYFUNCTION("GOOGLETRANSLATE(A9391, ""en"", ""mt"")"),"Kemm Edison offra lil Tesla biex tfassal mill-ġdid mutur u ġeneraturi?")</f>
        <v>Kemm Edison offra lil Tesla biex tfassal mill-ġdid mutur u ġeneraturi?</v>
      </c>
    </row>
    <row r="9392" ht="15.75" customHeight="1">
      <c r="A9392" s="2" t="s">
        <v>9392</v>
      </c>
      <c r="B9392" s="2" t="str">
        <f>IFERROR(__xludf.DUMMYFUNCTION("GOOGLETRANSLATE(A9392, ""en"", ""mt"")"),"X’kien ikkaratterizzat bħala teoloġija Arminjana b’enfasi fuq ix-xogħol tal-Ispirtu s-Santu?")</f>
        <v>X’kien ikkaratterizzat bħala teoloġija Arminjana b’enfasi fuq ix-xogħol tal-Ispirtu s-Santu?</v>
      </c>
    </row>
    <row r="9393" ht="15.75" customHeight="1">
      <c r="A9393" s="2" t="s">
        <v>9393</v>
      </c>
      <c r="B9393" s="2" t="str">
        <f>IFERROR(__xludf.DUMMYFUNCTION("GOOGLETRANSLATE(A9393, ""en"", ""mt"")"),"L-imblokk Ingliż tal-kosta Franċiża limitat it-tbaħħir Franċiż.")</f>
        <v>L-imblokk Ingliż tal-kosta Franċiża limitat it-tbaħħir Franċiż.</v>
      </c>
    </row>
    <row r="9394" ht="15.75" customHeight="1">
      <c r="A9394" s="2" t="s">
        <v>9394</v>
      </c>
      <c r="B9394" s="2" t="str">
        <f>IFERROR(__xludf.DUMMYFUNCTION("GOOGLETRANSLATE(A9394, ""en"", ""mt"")"),"F’liema seklu missjunarji stabbilixxew b’mod partikolari l-iskejjel tal-knisja fl-Afrika t'Isfel?")</f>
        <v>F’liema seklu missjunarji stabbilixxew b’mod partikolari l-iskejjel tal-knisja fl-Afrika t'Isfel?</v>
      </c>
    </row>
    <row r="9395" ht="15.75" customHeight="1">
      <c r="A9395" s="2" t="s">
        <v>9395</v>
      </c>
      <c r="B9395" s="2" t="str">
        <f>IFERROR(__xludf.DUMMYFUNCTION("GOOGLETRANSLATE(A9395, ""en"", ""mt"")"),"Il-kolonji kienu sinjal ta 'dak fost il-pajjiżi Ewropej?")</f>
        <v>Il-kolonji kienu sinjal ta 'dak fost il-pajjiżi Ewropej?</v>
      </c>
    </row>
    <row r="9396" ht="15.75" customHeight="1">
      <c r="A9396" s="2" t="s">
        <v>9396</v>
      </c>
      <c r="B9396" s="2" t="str">
        <f>IFERROR(__xludf.DUMMYFUNCTION("GOOGLETRANSLATE(A9396, ""en"", ""mt"")"),"It-telf tal-bijodiversità jista 'jkun ir-riżultat ta' dak, skond l-ambjentalisti?")</f>
        <v>It-telf tal-bijodiversità jista 'jkun ir-riżultat ta' dak, skond l-ambjentalisti?</v>
      </c>
    </row>
    <row r="9397" ht="15.75" customHeight="1">
      <c r="A9397" s="2" t="s">
        <v>9397</v>
      </c>
      <c r="B9397" s="2" t="str">
        <f>IFERROR(__xludf.DUMMYFUNCTION("GOOGLETRANSLATE(A9397, ""en"", ""mt"")"),"xi forma tal-pesta ordinarja tal-Lvant jew Buboniku")</f>
        <v>xi forma tal-pesta ordinarja tal-Lvant jew Buboniku</v>
      </c>
    </row>
    <row r="9398" ht="15.75" customHeight="1">
      <c r="A9398" s="2" t="s">
        <v>9398</v>
      </c>
      <c r="B9398" s="2" t="str">
        <f>IFERROR(__xludf.DUMMYFUNCTION("GOOGLETRANSLATE(A9398, ""en"", ""mt"")"),"L-agħar problemi fl-NP jistgħu jiġu miktuba b'mod analogu bħala liema klassi ta 'problemi?")</f>
        <v>L-agħar problemi fl-NP jistgħu jiġu miktuba b'mod analogu bħala liema klassi ta 'problemi?</v>
      </c>
    </row>
    <row r="9399" ht="15.75" customHeight="1">
      <c r="A9399" s="2" t="s">
        <v>9399</v>
      </c>
      <c r="B9399" s="2" t="str">
        <f>IFERROR(__xludf.DUMMYFUNCTION("GOOGLETRANSLATE(A9399, ""en"", ""mt"")"),"Nar kbir ta ’Londra")</f>
        <v>Nar kbir ta ’Londra</v>
      </c>
    </row>
    <row r="9400" ht="15.75" customHeight="1">
      <c r="A9400" s="2" t="s">
        <v>9400</v>
      </c>
      <c r="B9400" s="2" t="str">
        <f>IFERROR(__xludf.DUMMYFUNCTION("GOOGLETRANSLATE(A9400, ""en"", ""mt"")"),"żoni vasti")</f>
        <v>żoni vasti</v>
      </c>
    </row>
    <row r="9401" ht="15.75" customHeight="1">
      <c r="A9401" s="2" t="s">
        <v>9401</v>
      </c>
      <c r="B9401" s="2" t="str">
        <f>IFERROR(__xludf.DUMMYFUNCTION("GOOGLETRANSLATE(A9401, ""en"", ""mt"")"),"X'inhi t-traduzzjoni bl-Ingliż ta 'Kunskapskolan?")</f>
        <v>X'inhi t-traduzzjoni bl-Ingliż ta 'Kunskapskolan?</v>
      </c>
    </row>
    <row r="9402" ht="15.75" customHeight="1">
      <c r="A9402" s="2" t="s">
        <v>9402</v>
      </c>
      <c r="B9402" s="2" t="str">
        <f>IFERROR(__xludf.DUMMYFUNCTION("GOOGLETRANSLATE(A9402, ""en"", ""mt"")"),"f'Marzu")</f>
        <v>f'Marzu</v>
      </c>
    </row>
    <row r="9403" ht="15.75" customHeight="1">
      <c r="A9403" s="2" t="s">
        <v>9403</v>
      </c>
      <c r="B9403" s="2" t="str">
        <f>IFERROR(__xludf.DUMMYFUNCTION("GOOGLETRANSLATE(A9403, ""en"", ""mt"")"),"kopertura mnaqqsa tal-veġetazzjoni tropikali niedja fil-baċin")</f>
        <v>kopertura mnaqqsa tal-veġetazzjoni tropikali niedja fil-baċin</v>
      </c>
    </row>
    <row r="9404" ht="15.75" customHeight="1">
      <c r="A9404" s="2" t="s">
        <v>9404</v>
      </c>
      <c r="B9404" s="2" t="str">
        <f>IFERROR(__xludf.DUMMYFUNCTION("GOOGLETRANSLATE(A9404, ""en"", ""mt"")"),"il-piż tagħha.")</f>
        <v>il-piż tagħha.</v>
      </c>
    </row>
    <row r="9405" ht="15.75" customHeight="1">
      <c r="A9405" s="2" t="s">
        <v>9405</v>
      </c>
      <c r="B9405" s="2" t="str">
        <f>IFERROR(__xludf.DUMMYFUNCTION("GOOGLETRANSLATE(A9405, ""en"", ""mt"")"),"13 ta ’Ġunju 1525")</f>
        <v>13 ta ’Ġunju 1525</v>
      </c>
    </row>
    <row r="9406" ht="15.75" customHeight="1">
      <c r="A9406" s="2" t="s">
        <v>9406</v>
      </c>
      <c r="B9406" s="2" t="str">
        <f>IFERROR(__xludf.DUMMYFUNCTION("GOOGLETRANSLATE(A9406, ""en"", ""mt"")"),"mewġ lonġitudinali, bħal dawk prodotti fil-mewġ fil-plażmi")</f>
        <v>mewġ lonġitudinali, bħal dawk prodotti fil-mewġ fil-plażmi</v>
      </c>
    </row>
    <row r="9407" ht="15.75" customHeight="1">
      <c r="A9407" s="2" t="s">
        <v>9407</v>
      </c>
      <c r="B9407" s="2" t="str">
        <f>IFERROR(__xludf.DUMMYFUNCTION("GOOGLETRANSLATE(A9407, ""en"", ""mt"")"),"$ 20 biljun")</f>
        <v>$ 20 biljun</v>
      </c>
    </row>
    <row r="9408" ht="15.75" customHeight="1">
      <c r="A9408" s="2" t="s">
        <v>9408</v>
      </c>
      <c r="B9408" s="2" t="str">
        <f>IFERROR(__xludf.DUMMYFUNCTION("GOOGLETRANSLATE(A9408, ""en"", ""mt"")"),"Astratt")</f>
        <v>Astratt</v>
      </c>
    </row>
    <row r="9409" ht="15.75" customHeight="1">
      <c r="A9409" s="2" t="s">
        <v>9409</v>
      </c>
      <c r="B9409" s="2" t="str">
        <f>IFERROR(__xludf.DUMMYFUNCTION("GOOGLETRANSLATE(A9409, ""en"", ""mt"")"),"ossidant")</f>
        <v>ossidant</v>
      </c>
    </row>
    <row r="9410" ht="15.75" customHeight="1">
      <c r="A9410" s="2" t="s">
        <v>9410</v>
      </c>
      <c r="B9410" s="2" t="str">
        <f>IFERROR(__xludf.DUMMYFUNCTION("GOOGLETRANSLATE(A9410, ""en"", ""mt"")"),"il-ġurnata li jmiss")</f>
        <v>il-ġurnata li jmiss</v>
      </c>
    </row>
    <row r="9411" ht="15.75" customHeight="1">
      <c r="A9411" s="2" t="s">
        <v>9411</v>
      </c>
      <c r="B9411" s="2" t="str">
        <f>IFERROR(__xludf.DUMMYFUNCTION("GOOGLETRANSLATE(A9411, ""en"", ""mt"")"),"b'tema tad-deheb")</f>
        <v>b'tema tad-deheb</v>
      </c>
    </row>
    <row r="9412" ht="15.75" customHeight="1">
      <c r="A9412" s="2" t="s">
        <v>9412</v>
      </c>
      <c r="B9412" s="2" t="str">
        <f>IFERROR(__xludf.DUMMYFUNCTION("GOOGLETRANSLATE(A9412, ""en"", ""mt"")"),"Is-somma tad-diviżuri tiffunzjona")</f>
        <v>Is-somma tad-diviżuri tiffunzjona</v>
      </c>
    </row>
    <row r="9413" ht="15.75" customHeight="1">
      <c r="A9413" s="2" t="s">
        <v>9413</v>
      </c>
      <c r="B9413" s="2" t="str">
        <f>IFERROR(__xludf.DUMMYFUNCTION("GOOGLETRANSLATE(A9413, ""en"", ""mt"")"),"Nies li jitilgħu l-muntanji jew itiru f'ajruplani tal-ġwienaħ fissi mhux pressurizzati xi kultant ikollhom O supplimentari
2 provvisti. [H] Il-passiġġieri li jivvjaġġaw f'ajruplani kummerċjali (taħt pressjoni) għandhom provvista ta 'emerġenza ta' o
2 forn"&amp;"iti awtomatikament lilhom f'każ ta 'depressurizzazzjoni tal-kabina. Telf ta 'pressjoni tal-kabina f'daqqa jattiva ġeneraturi ta' ossiġnu kimiku 'l fuq minn kull sedil, u jikkawża li l-maskri tal-ossiġnu jonqsu. Tiġbed fuq il-maskri ""biex tibda l-fluss ta"&amp;" 'ossiġnu"" kif jiddettaw l-istruzzjonijiet tas-sigurtà tal-kabina, iġġiegħel il-preżentazzjonijiet tal-ħadid fil-klorat tas-sodju ġewwa l-kanister. Nixxiegħa kostanti ta 'gass ta' ossiġnu hija mbagħad prodotta mir-reazzjoni eżotermika.")</f>
        <v>Nies li jitilgħu l-muntanji jew itiru f'ajruplani tal-ġwienaħ fissi mhux pressurizzati xi kultant ikollhom O supplimentari
2 provvisti. [H] Il-passiġġieri li jivvjaġġaw f'ajruplani kummerċjali (taħt pressjoni) għandhom provvista ta 'emerġenza ta' o
2 forniti awtomatikament lilhom f'każ ta 'depressurizzazzjoni tal-kabina. Telf ta 'pressjoni tal-kabina f'daqqa jattiva ġeneraturi ta' ossiġnu kimiku 'l fuq minn kull sedil, u jikkawża li l-maskri tal-ossiġnu jonqsu. Tiġbed fuq il-maskri "biex tibda l-fluss ta 'ossiġnu" kif jiddettaw l-istruzzjonijiet tas-sigurtà tal-kabina, iġġiegħel il-preżentazzjonijiet tal-ħadid fil-klorat tas-sodju ġewwa l-kanister. Nixxiegħa kostanti ta 'gass ta' ossiġnu hija mbagħad prodotta mir-reazzjoni eżotermika.</v>
      </c>
    </row>
    <row r="9414" ht="15.75" customHeight="1">
      <c r="A9414" s="2" t="s">
        <v>9414</v>
      </c>
      <c r="B9414" s="2" t="str">
        <f>IFERROR(__xludf.DUMMYFUNCTION("GOOGLETRANSLATE(A9414, ""en"", ""mt"")"),"Iċ-ċelloli T qattiel huma sotto-grupp ta 'ċelloli T li joqtlu ċelloli li huma infettati bil-viruses (u patoġeni oħra), jew li huma bil-ħsara mod ieħor jew disfunzjonali. Bħal fiċ-ċelloli B, kull tip ta 'ċellula T jirrikonoxxi antiġen differenti. Iċ-ċellol"&amp;"i T qattiel huma attivati ​​meta r-riċettur taċ-ċelloli T tagħhom (TCR) jeħel ma 'dan l-antiġen speċifiku f'kumpless mar-riċettur tal-klassi I MHC ta' ċellula oħra. Ir-rikonoxximent ta 'dan l-MHC: kumpless antiġen huwa megħjun minn ko-riċettur fuq iċ-ċell"&amp;"ula T, imsejjaħ CD8. Iċ-ċellula T imbagħad tivvjaġġa madwar il-ġisem fit-tfittxija ta 'ċelloli fejn ir-riċetturi MHC I għandhom dan l-antiġen. Meta ċelloli T attivati ​​jikkuntattjaw tali ċelloli, jirrilaxxa ċitotossini, bħal perforin, li jiffurmaw pori f"&amp;"il-membrana tal-plażma taċ-ċellula fil-mira, li jippermettu joni, ilma u tossini biex jidħlu. Id-dħul ta 'tossina oħra msejħa granulysin (protease) tinduċi ċ-ċellula fil-mira biex tgħaddi minn apoptożi. Il-qtil taċ-ċelloli T taċ-ċelloli ospitanti huwa par"&amp;"tikolarment importanti fil-prevenzjoni tar-replikazzjoni tal-viruses. L-attivazzjoni taċ-ċelloli T hija kkontrollata sewwa u ġeneralment teħtieġ sinjal ta 'attivazzjoni ta' Antigen MHC / antigen qawwi ħafna, jew sinjali ta 'attivazzjoni addizzjonali pprov"&amp;"duti minn ċelloli T ""helper"" (ara hawn taħt).")</f>
        <v>Iċ-ċelloli T qattiel huma sotto-grupp ta 'ċelloli T li joqtlu ċelloli li huma infettati bil-viruses (u patoġeni oħra), jew li huma bil-ħsara mod ieħor jew disfunzjonali. Bħal fiċ-ċelloli B, kull tip ta 'ċellula T jirrikonoxxi antiġen differenti. Iċ-ċelloli T qattiel huma attivati ​​meta r-riċettur taċ-ċelloli T tagħhom (TCR) jeħel ma 'dan l-antiġen speċifiku f'kumpless mar-riċettur tal-klassi I MHC ta' ċellula oħra. Ir-rikonoxximent ta 'dan l-MHC: kumpless antiġen huwa megħjun minn ko-riċettur fuq iċ-ċellula T, imsejjaħ CD8. Iċ-ċellula T imbagħad tivvjaġġa madwar il-ġisem fit-tfittxija ta 'ċelloli fejn ir-riċetturi MHC I għandhom dan l-antiġen. Meta ċelloli T attivati ​​jikkuntattjaw tali ċelloli, jirrilaxxa ċitotossini, bħal perforin, li jiffurmaw pori fil-membrana tal-plażma taċ-ċellula fil-mira, li jippermettu joni, ilma u tossini biex jidħlu. Id-dħul ta 'tossina oħra msejħa granulysin (protease) tinduċi ċ-ċellula fil-mira biex tgħaddi minn apoptożi. Il-qtil taċ-ċelloli T taċ-ċelloli ospitanti huwa partikolarment importanti fil-prevenzjoni tar-replikazzjoni tal-viruses. L-attivazzjoni taċ-ċelloli T hija kkontrollata sewwa u ġeneralment teħtieġ sinjal ta 'attivazzjoni ta' Antigen MHC / antigen qawwi ħafna, jew sinjali ta 'attivazzjoni addizzjonali pprovduti minn ċelloli T "helper" (ara hawn taħt).</v>
      </c>
    </row>
    <row r="9415" ht="15.75" customHeight="1">
      <c r="A9415" s="2" t="s">
        <v>9415</v>
      </c>
      <c r="B9415" s="2" t="str">
        <f>IFERROR(__xludf.DUMMYFUNCTION("GOOGLETRANSLATE(A9415, ""en"", ""mt"")"),"wieħed (jew aktar) tad-dipartimenti (jew ministeri) tal-gvern Skoċċiż")</f>
        <v>wieħed (jew aktar) tad-dipartimenti (jew ministeri) tal-gvern Skoċċiż</v>
      </c>
    </row>
    <row r="9416" ht="15.75" customHeight="1">
      <c r="A9416" s="2" t="s">
        <v>9416</v>
      </c>
      <c r="B9416" s="2" t="str">
        <f>IFERROR(__xludf.DUMMYFUNCTION("GOOGLETRANSLATE(A9416, ""en"", ""mt"")"),"Mhux qed tieħu xogħol minħabba żwieġ jew tqala")</f>
        <v>Mhux qed tieħu xogħol minħabba żwieġ jew tqala</v>
      </c>
    </row>
    <row r="9417" ht="15.75" customHeight="1">
      <c r="A9417" s="2" t="s">
        <v>9417</v>
      </c>
      <c r="B9417" s="2" t="str">
        <f>IFERROR(__xludf.DUMMYFUNCTION("GOOGLETRANSLATE(A9417, ""en"", ""mt"")"),"Għin biex tittrasferixxi u tinħela l-enerġija żejda")</f>
        <v>Għin biex tittrasferixxi u tinħela l-enerġija żejda</v>
      </c>
    </row>
    <row r="9418" ht="15.75" customHeight="1">
      <c r="A9418" s="2" t="s">
        <v>9418</v>
      </c>
      <c r="B9418" s="2" t="str">
        <f>IFERROR(__xludf.DUMMYFUNCTION("GOOGLETRANSLATE(A9418, ""en"", ""mt"")"),"Reġjun ta 'ġewwa tal-Mongolja")</f>
        <v>Reġjun ta 'ġewwa tal-Mongolja</v>
      </c>
    </row>
    <row r="9419" ht="15.75" customHeight="1">
      <c r="A9419" s="2" t="s">
        <v>9419</v>
      </c>
      <c r="B9419" s="2" t="str">
        <f>IFERROR(__xludf.DUMMYFUNCTION("GOOGLETRANSLATE(A9419, ""en"", ""mt"")"),"Ediacaran Eoandromeda jista 'jitqies li jirrappreżenta x'inhu?")</f>
        <v>Ediacaran Eoandromeda jista 'jitqies li jirrappreżenta x'inhu?</v>
      </c>
    </row>
    <row r="9420" ht="15.75" customHeight="1">
      <c r="A9420" s="2" t="s">
        <v>9420</v>
      </c>
      <c r="B9420" s="2" t="str">
        <f>IFERROR(__xludf.DUMMYFUNCTION("GOOGLETRANSLATE(A9420, ""en"", ""mt"")"),"Indjani ġġieldu fuq iż-żewġ naħat tal-kunflitt, u li dan kien parti mill-gwerra tas-seba 'snin")</f>
        <v>Indjani ġġieldu fuq iż-żewġ naħat tal-kunflitt, u li dan kien parti mill-gwerra tas-seba 'snin</v>
      </c>
    </row>
    <row r="9421" ht="15.75" customHeight="1">
      <c r="A9421" s="2" t="s">
        <v>9421</v>
      </c>
      <c r="B9421" s="2" t="str">
        <f>IFERROR(__xludf.DUMMYFUNCTION("GOOGLETRANSLATE(A9421, ""en"", ""mt"")"),"Kosmonawti umani")</f>
        <v>Kosmonawti umani</v>
      </c>
    </row>
    <row r="9422" ht="15.75" customHeight="1">
      <c r="A9422" s="2" t="s">
        <v>9422</v>
      </c>
      <c r="B9422" s="2" t="str">
        <f>IFERROR(__xludf.DUMMYFUNCTION("GOOGLETRANSLATE(A9422, ""en"", ""mt"")"),"ugwaljanza")</f>
        <v>ugwaljanza</v>
      </c>
    </row>
    <row r="9423" ht="15.75" customHeight="1">
      <c r="A9423" s="2" t="s">
        <v>9423</v>
      </c>
      <c r="B9423" s="2" t="str">
        <f>IFERROR(__xludf.DUMMYFUNCTION("GOOGLETRANSLATE(A9423, ""en"", ""mt"")"),"Liema komunalità jagħmlu mudelli ta 'magni alternattivi, bħal magni ta' aċċess bl-addoċċ, jaqsmu ma 'magni tat-Turing?")</f>
        <v>Liema komunalità jagħmlu mudelli ta 'magni alternattivi, bħal magni ta' aċċess bl-addoċċ, jaqsmu ma 'magni tat-Turing?</v>
      </c>
    </row>
    <row r="9424" ht="15.75" customHeight="1">
      <c r="A9424" s="2" t="s">
        <v>9424</v>
      </c>
      <c r="B9424" s="2" t="str">
        <f>IFERROR(__xludf.DUMMYFUNCTION("GOOGLETRANSLATE(A9424, ""en"", ""mt"")"),"Riġenerazzjoni")</f>
        <v>Riġenerazzjoni</v>
      </c>
    </row>
    <row r="9425" ht="15.75" customHeight="1">
      <c r="A9425" s="2" t="s">
        <v>9425</v>
      </c>
      <c r="B9425" s="2" t="str">
        <f>IFERROR(__xludf.DUMMYFUNCTION("GOOGLETRANSLATE(A9425, ""en"", ""mt"")"),"Dikjarazzjoni ssuġġeriet nuqqas ta 'dispjaċir")</f>
        <v>Dikjarazzjoni ssuġġeriet nuqqas ta 'dispjaċir</v>
      </c>
    </row>
    <row r="9426" ht="15.75" customHeight="1">
      <c r="A9426" s="2" t="s">
        <v>9426</v>
      </c>
      <c r="B9426" s="2" t="str">
        <f>IFERROR(__xludf.DUMMYFUNCTION("GOOGLETRANSLATE(A9426, ""en"", ""mt"")"),"granuli")</f>
        <v>granuli</v>
      </c>
    </row>
    <row r="9427" ht="15.75" customHeight="1">
      <c r="A9427" s="2" t="s">
        <v>9427</v>
      </c>
      <c r="B9427" s="2" t="str">
        <f>IFERROR(__xludf.DUMMYFUNCTION("GOOGLETRANSLATE(A9427, ""en"", ""mt"")"),"Numri Għarbi")</f>
        <v>Numri Għarbi</v>
      </c>
    </row>
    <row r="9428" ht="15.75" customHeight="1">
      <c r="A9428" s="2" t="s">
        <v>9428</v>
      </c>
      <c r="B9428" s="2" t="str">
        <f>IFERROR(__xludf.DUMMYFUNCTION("GOOGLETRANSLATE(A9428, ""en"", ""mt"")"),"Oġġett beda b'veloċità mhux żero")</f>
        <v>Oġġett beda b'veloċità mhux żero</v>
      </c>
    </row>
    <row r="9429" ht="15.75" customHeight="1">
      <c r="A9429" s="2" t="s">
        <v>9429</v>
      </c>
      <c r="B9429" s="2" t="str">
        <f>IFERROR(__xludf.DUMMYFUNCTION("GOOGLETRANSLATE(A9429, ""en"", ""mt"")"),"raġġ () tad-dinja")</f>
        <v>raġġ () tad-dinja</v>
      </c>
    </row>
    <row r="9430" ht="15.75" customHeight="1">
      <c r="A9430" s="2" t="s">
        <v>9430</v>
      </c>
      <c r="B9430" s="2" t="str">
        <f>IFERROR(__xludf.DUMMYFUNCTION("GOOGLETRANSLATE(A9430, ""en"", ""mt"")"),"F'Lulju 1888, Brown u Peck innegozjaw ftehim ta 'liċenzjar ma' George Westinghouse għad-disinji tal-mutur u t-transformer tal-polifase ta 'Tesla għal $ 60,000 fi flus kontanti u stokk u royalties ta' $ 2.50 għal kull horsepower AC prodott minn kull mutur."&amp;" Westinghouse wkoll ingaġġat lil Tesla għal sena għall-ħlas kbir ta '$ 2,000 ($ 52,700 fid-dollari tal-lum) fix-xahar biex tkun konsulent fil-Pittsburgh Labs tal-Westinghouse Electric &amp; Manufacturing Company.")</f>
        <v>F'Lulju 1888, Brown u Peck innegozjaw ftehim ta 'liċenzjar ma' George Westinghouse għad-disinji tal-mutur u t-transformer tal-polifase ta 'Tesla għal $ 60,000 fi flus kontanti u stokk u royalties ta' $ 2.50 għal kull horsepower AC prodott minn kull mutur. Westinghouse wkoll ingaġġat lil Tesla għal sena għall-ħlas kbir ta '$ 2,000 ($ 52,700 fid-dollari tal-lum) fix-xahar biex tkun konsulent fil-Pittsburgh Labs tal-Westinghouse Electric &amp; Manufacturing Company.</v>
      </c>
    </row>
    <row r="9431" ht="15.75" customHeight="1">
      <c r="A9431" s="2" t="s">
        <v>9431</v>
      </c>
      <c r="B9431" s="2" t="str">
        <f>IFERROR(__xludf.DUMMYFUNCTION("GOOGLETRANSLATE(A9431, ""en"", ""mt"")"),"X'jista 'u l-bniedem antik, marid ma jagħmilx?")</f>
        <v>X'jista 'u l-bniedem antik, marid ma jagħmilx?</v>
      </c>
    </row>
    <row r="9432" ht="15.75" customHeight="1">
      <c r="A9432" s="2" t="s">
        <v>9432</v>
      </c>
      <c r="B9432" s="2" t="str">
        <f>IFERROR(__xludf.DUMMYFUNCTION("GOOGLETRANSLATE(A9432, ""en"", ""mt"")"),"Xi teoriji jargumentaw li d-diżubbidjenza ċivili hija ġġustifikata fir-rigward?")</f>
        <v>Xi teoriji jargumentaw li d-diżubbidjenza ċivili hija ġġustifikata fir-rigward?</v>
      </c>
    </row>
    <row r="9433" ht="15.75" customHeight="1">
      <c r="A9433" s="2" t="s">
        <v>9433</v>
      </c>
      <c r="B9433" s="2" t="str">
        <f>IFERROR(__xludf.DUMMYFUNCTION("GOOGLETRANSLATE(A9433, ""en"", ""mt"")"),"X'kien l-ewwel avveniment internazzjonali mxandar minn ABC?")</f>
        <v>X'kien l-ewwel avveniment internazzjonali mxandar minn ABC?</v>
      </c>
    </row>
    <row r="9434" ht="15.75" customHeight="1">
      <c r="A9434" s="2" t="s">
        <v>9434</v>
      </c>
      <c r="B9434" s="2" t="str">
        <f>IFERROR(__xludf.DUMMYFUNCTION("GOOGLETRANSLATE(A9434, ""en"", ""mt"")"),"ħafna skart")</f>
        <v>ħafna skart</v>
      </c>
    </row>
    <row r="9435" ht="15.75" customHeight="1">
      <c r="A9435" s="2" t="s">
        <v>9435</v>
      </c>
      <c r="B9435" s="2" t="str">
        <f>IFERROR(__xludf.DUMMYFUNCTION("GOOGLETRANSLATE(A9435, ""en"", ""mt"")"),"Nukleoni fin-nuklei atomiċi")</f>
        <v>Nukleoni fin-nuklei atomiċi</v>
      </c>
    </row>
    <row r="9436" ht="15.75" customHeight="1">
      <c r="A9436" s="2" t="s">
        <v>9436</v>
      </c>
      <c r="B9436" s="2" t="str">
        <f>IFERROR(__xludf.DUMMYFUNCTION("GOOGLETRANSLATE(A9436, ""en"", ""mt"")"),"Allat tal-Eġittu")</f>
        <v>Allat tal-Eġittu</v>
      </c>
    </row>
    <row r="9437" ht="15.75" customHeight="1">
      <c r="A9437" s="2" t="s">
        <v>9437</v>
      </c>
      <c r="B9437" s="2" t="str">
        <f>IFERROR(__xludf.DUMMYFUNCTION("GOOGLETRANSLATE(A9437, ""en"", ""mt"")"),"bħala problemi ta 'deċiżjoni")</f>
        <v>bħala problemi ta 'deċiżjoni</v>
      </c>
    </row>
    <row r="9438" ht="15.75" customHeight="1">
      <c r="A9438" s="2" t="s">
        <v>9438</v>
      </c>
      <c r="B9438" s="2" t="str">
        <f>IFERROR(__xludf.DUMMYFUNCTION("GOOGLETRANSLATE(A9438, ""en"", ""mt"")"),"Fejn miet Jebe?")</f>
        <v>Fejn miet Jebe?</v>
      </c>
    </row>
    <row r="9439" ht="15.75" customHeight="1">
      <c r="A9439" s="2" t="s">
        <v>9439</v>
      </c>
      <c r="B9439" s="2" t="str">
        <f>IFERROR(__xludf.DUMMYFUNCTION("GOOGLETRANSLATE(A9439, ""en"", ""mt"")"),"Kif tidher ir-replika tal-ġibs ta 'Verrocchio David fil-qrati tal-kast?")</f>
        <v>Kif tidher ir-replika tal-ġibs ta 'Verrocchio David fil-qrati tal-kast?</v>
      </c>
    </row>
    <row r="9440" ht="15.75" customHeight="1">
      <c r="A9440" s="2" t="s">
        <v>9440</v>
      </c>
      <c r="B9440" s="2" t="str">
        <f>IFERROR(__xludf.DUMMYFUNCTION("GOOGLETRANSLATE(A9440, ""en"", ""mt"")"),"Musulman")</f>
        <v>Musulman</v>
      </c>
    </row>
    <row r="9441" ht="15.75" customHeight="1">
      <c r="A9441" s="2" t="s">
        <v>9441</v>
      </c>
      <c r="B9441" s="2" t="str">
        <f>IFERROR(__xludf.DUMMYFUNCTION("GOOGLETRANSLATE(A9441, ""en"", ""mt"")"),"Slave Craton fil-Majjistral tal-Kanada")</f>
        <v>Slave Craton fil-Majjistral tal-Kanada</v>
      </c>
    </row>
    <row r="9442" ht="15.75" customHeight="1">
      <c r="A9442" s="2" t="s">
        <v>9442</v>
      </c>
      <c r="B9442" s="2" t="str">
        <f>IFERROR(__xludf.DUMMYFUNCTION("GOOGLETRANSLATE(A9442, ""en"", ""mt"")"),"Il-forza ta 'espedizzjoni ta' Céloron kienet tikkonsisti f'madwar 200 truppa de la Marine u 30 Indjan. L-ispedizzjoni kienet tkopri madwar 3,000 mil (4,800 km) bejn Ġunju u Novembru 1749. Hija telgħet is-San Lawrenz, kompliet tul ix-xatt tat-tramuntana ta"&amp;"l-Lag Ontario, qasmet il-portage f'Niagara, u segwiet ix-xatt tan-Nofsinhar tal-Lag Erie. Fil-Chautauqua Portage (ħdejn il-lum Barċellona, ​​New York), l-ispedizzjoni marret lejn il-passaġġ lejn ix-Xmara Allegheny, li segwiet għas-sit tal-lum Pittsburgh. "&amp;"Hemm Céloron midfun pjanċi taċ-ċomb imnaqqxa bit-talba Franċiża lill-pajjiż ta ’Ohio. Kull meta ltaqa 'ma' negozjanti Ingliżi jew negozji tal-pil, Céloron għarrafhom bit-talbiet Franċiżi fit-territorju u qalilhom biex jitilqu.")</f>
        <v>Il-forza ta 'espedizzjoni ta' Céloron kienet tikkonsisti f'madwar 200 truppa de la Marine u 30 Indjan. L-ispedizzjoni kienet tkopri madwar 3,000 mil (4,800 km) bejn Ġunju u Novembru 1749. Hija telgħet is-San Lawrenz, kompliet tul ix-xatt tat-tramuntana tal-Lag Ontario, qasmet il-portage f'Niagara, u segwiet ix-xatt tan-Nofsinhar tal-Lag Erie. Fil-Chautauqua Portage (ħdejn il-lum Barċellona, ​​New York), l-ispedizzjoni marret lejn il-passaġġ lejn ix-Xmara Allegheny, li segwiet għas-sit tal-lum Pittsburgh. Hemm Céloron midfun pjanċi taċ-ċomb imnaqqxa bit-talba Franċiża lill-pajjiż ta ’Ohio. Kull meta ltaqa 'ma' negozjanti Ingliżi jew negozji tal-pil, Céloron għarrafhom bit-talbiet Franċiżi fit-territorju u qalilhom biex jitilqu.</v>
      </c>
    </row>
    <row r="9443" ht="15.75" customHeight="1">
      <c r="A9443" s="2" t="s">
        <v>9443</v>
      </c>
      <c r="B9443" s="2" t="str">
        <f>IFERROR(__xludf.DUMMYFUNCTION("GOOGLETRANSLATE(A9443, ""en"", ""mt"")"),"Tibgħat email lill-Libanu, New Hampshire City Councilors")</f>
        <v>Tibgħat email lill-Libanu, New Hampshire City Councilors</v>
      </c>
    </row>
    <row r="9444" ht="15.75" customHeight="1">
      <c r="A9444" s="2" t="s">
        <v>9444</v>
      </c>
      <c r="B9444" s="2" t="str">
        <f>IFERROR(__xludf.DUMMYFUNCTION("GOOGLETRANSLATE(A9444, ""en"", ""mt"")"),"Fuq xiex it-tort tal-ktieb ta ’Gasquet fuq il-pesta?")</f>
        <v>Fuq xiex it-tort tal-ktieb ta ’Gasquet fuq il-pesta?</v>
      </c>
    </row>
    <row r="9445" ht="15.75" customHeight="1">
      <c r="A9445" s="2" t="s">
        <v>9445</v>
      </c>
      <c r="B9445" s="2" t="str">
        <f>IFERROR(__xludf.DUMMYFUNCTION("GOOGLETRANSLATE(A9445, ""en"", ""mt"")"),"mingħajr ekwipaġġ")</f>
        <v>mingħajr ekwipaġġ</v>
      </c>
    </row>
    <row r="9446" ht="15.75" customHeight="1">
      <c r="A9446" s="2" t="s">
        <v>9446</v>
      </c>
      <c r="B9446" s="2" t="str">
        <f>IFERROR(__xludf.DUMMYFUNCTION("GOOGLETRANSLATE(A9446, ""en"", ""mt"")"),"Liema netwerk ġie kkonvertit f'sussidjarja indipendenti mill-RCA fl-1942?")</f>
        <v>Liema netwerk ġie kkonvertit f'sussidjarja indipendenti mill-RCA fl-1942?</v>
      </c>
    </row>
    <row r="9447" ht="15.75" customHeight="1">
      <c r="A9447" s="2" t="s">
        <v>9447</v>
      </c>
      <c r="B9447" s="2" t="str">
        <f>IFERROR(__xludf.DUMMYFUNCTION("GOOGLETRANSLATE(A9447, ""en"", ""mt"")"),"Il-Kumpanija Amerikana tax-Xandir (ABC) (stilizzata fil-logo tagħha bħala ABC mill-1957) hija netwerk tat-televiżjoni tax-xandir kummerċjali Amerikan li huwa proprjetà tal-Grupp Disney-ABC Television, sussidjarja tad-Diviżjoni Disney Media Networks tal-Wa"&amp;"lt Disney Company. In-netwerk huwa parti mit-tliet netwerks tat-televiżjoni l-kbar. In-netwerk għandu l-kwartjieri ġenerali fuq Columbus Avenue u West 66th Street f'Manhattan, b'uffiċċji maġġuri addizzjonali u faċilitajiet ta 'produzzjoni fi New York City"&amp;", Los Angeles u Burbank, California.")</f>
        <v>Il-Kumpanija Amerikana tax-Xandir (ABC) (stilizzata fil-logo tagħha bħala ABC mill-1957) hija netwerk tat-televiżjoni tax-xandir kummerċjali Amerikan li huwa proprjetà tal-Grupp Disney-ABC Television, sussidjarja tad-Diviżjoni Disney Media Networks tal-Walt Disney Company. In-netwerk huwa parti mit-tliet netwerks tat-televiżjoni l-kbar. In-netwerk għandu l-kwartjieri ġenerali fuq Columbus Avenue u West 66th Street f'Manhattan, b'uffiċċji maġġuri addizzjonali u faċilitajiet ta 'produzzjoni fi New York City, Los Angeles u Burbank, California.</v>
      </c>
    </row>
    <row r="9448" ht="15.75" customHeight="1">
      <c r="A9448" s="2" t="s">
        <v>9448</v>
      </c>
      <c r="B9448" s="2" t="str">
        <f>IFERROR(__xludf.DUMMYFUNCTION("GOOGLETRANSLATE(A9448, ""en"", ""mt"")"),"Iċ-ċirku ta 'numru sħiħ ta' oqsma ta 'numri kwadratiċi")</f>
        <v>Iċ-ċirku ta 'numru sħiħ ta' oqsma ta 'numri kwadratiċi</v>
      </c>
    </row>
    <row r="9449" ht="15.75" customHeight="1">
      <c r="A9449" s="2" t="s">
        <v>9449</v>
      </c>
      <c r="B9449" s="2" t="str">
        <f>IFERROR(__xludf.DUMMYFUNCTION("GOOGLETRANSLATE(A9449, ""en"", ""mt"")"),"Iċ-ċili jista 'jkun ukoll x'tul?")</f>
        <v>Iċ-ċili jista 'jkun ukoll x'tul?</v>
      </c>
    </row>
    <row r="9450" ht="15.75" customHeight="1">
      <c r="A9450" s="2" t="s">
        <v>9450</v>
      </c>
      <c r="B9450" s="2" t="str">
        <f>IFERROR(__xludf.DUMMYFUNCTION("GOOGLETRANSLATE(A9450, ""en"", ""mt"")"),"Peress li l-istudenti ma jħallsux tagħlim, x'għandhom iħallsu għall-iskola fir-Rabat?")</f>
        <v>Peress li l-istudenti ma jħallsux tagħlim, x'għandhom iħallsu għall-iskola fir-Rabat?</v>
      </c>
    </row>
    <row r="9451" ht="15.75" customHeight="1">
      <c r="A9451" s="2" t="s">
        <v>9451</v>
      </c>
      <c r="B9451" s="2" t="str">
        <f>IFERROR(__xludf.DUMMYFUNCTION("GOOGLETRANSLATE(A9451, ""en"", ""mt"")"),"parti ewlenija")</f>
        <v>parti ewlenija</v>
      </c>
    </row>
    <row r="9452" ht="15.75" customHeight="1">
      <c r="A9452" s="2" t="s">
        <v>9452</v>
      </c>
      <c r="B9452" s="2" t="str">
        <f>IFERROR(__xludf.DUMMYFUNCTION("GOOGLETRANSLATE(A9452, ""en"", ""mt"")"),"Kalendarju Episkopali (l-Istati Uniti) tal-Qaddisin.")</f>
        <v>Kalendarju Episkopali (l-Istati Uniti) tal-Qaddisin.</v>
      </c>
    </row>
    <row r="9453" ht="15.75" customHeight="1">
      <c r="A9453" s="2" t="s">
        <v>9453</v>
      </c>
      <c r="B9453" s="2" t="str">
        <f>IFERROR(__xludf.DUMMYFUNCTION("GOOGLETRANSLATE(A9453, ""en"", ""mt"")"),"X'jistgħu studenti li l-iskola sekondarja kompluta jkollhom opportunitajiet x'jagħmlu?")</f>
        <v>X'jistgħu studenti li l-iskola sekondarja kompluta jkollhom opportunitajiet x'jagħmlu?</v>
      </c>
    </row>
    <row r="9454" ht="15.75" customHeight="1">
      <c r="A9454" s="2" t="s">
        <v>9454</v>
      </c>
      <c r="B9454" s="2" t="str">
        <f>IFERROR(__xludf.DUMMYFUNCTION("GOOGLETRANSLATE(A9454, ""en"", ""mt"")"),"Jekk kull problema f'C tista 'titnaqqas għal x")</f>
        <v>Jekk kull problema f'C tista 'titnaqqas għal x</v>
      </c>
    </row>
    <row r="9455" ht="15.75" customHeight="1">
      <c r="A9455" s="2" t="s">
        <v>9455</v>
      </c>
      <c r="B9455" s="2" t="str">
        <f>IFERROR(__xludf.DUMMYFUNCTION("GOOGLETRANSLATE(A9455, ""en"", ""mt"")"),"Liema aspett tal-mediċina tal-Punent ma jħobbx?")</f>
        <v>Liema aspett tal-mediċina tal-Punent ma jħobbx?</v>
      </c>
    </row>
    <row r="9456" ht="15.75" customHeight="1">
      <c r="A9456" s="2" t="s">
        <v>9456</v>
      </c>
      <c r="B9456" s="2" t="str">
        <f>IFERROR(__xludf.DUMMYFUNCTION("GOOGLETRANSLATE(A9456, ""en"", ""mt"")"),"Liema nuqqas ta 'qbil kellhom Montcalm u l-Indjani?")</f>
        <v>Liema nuqqas ta 'qbil kellhom Montcalm u l-Indjani?</v>
      </c>
    </row>
    <row r="9457" ht="15.75" customHeight="1">
      <c r="A9457" s="2" t="s">
        <v>9457</v>
      </c>
      <c r="B9457" s="2" t="str">
        <f>IFERROR(__xludf.DUMMYFUNCTION("GOOGLETRANSLATE(A9457, ""en"", ""mt"")"),"Id-Dynasty Jin")</f>
        <v>Id-Dynasty Jin</v>
      </c>
    </row>
    <row r="9458" ht="15.75" customHeight="1">
      <c r="A9458" s="2" t="s">
        <v>9458</v>
      </c>
      <c r="B9458" s="2" t="str">
        <f>IFERROR(__xludf.DUMMYFUNCTION("GOOGLETRANSLATE(A9458, ""en"", ""mt"")"),"X’sejjaħ Davies is-sistema tiegħu")</f>
        <v>X’sejjaħ Davies is-sistema tiegħu</v>
      </c>
    </row>
    <row r="9459" ht="15.75" customHeight="1">
      <c r="A9459" s="2" t="s">
        <v>9459</v>
      </c>
      <c r="B9459" s="2" t="str">
        <f>IFERROR(__xludf.DUMMYFUNCTION("GOOGLETRANSLATE(A9459, ""en"", ""mt"")"),"Min kienu l-ħabbaturi tas-Super Bowl 50?")</f>
        <v>Min kienu l-ħabbaturi tas-Super Bowl 50?</v>
      </c>
    </row>
    <row r="9460" ht="15.75" customHeight="1">
      <c r="A9460" s="2" t="s">
        <v>9460</v>
      </c>
      <c r="B9460" s="2" t="str">
        <f>IFERROR(__xludf.DUMMYFUNCTION("GOOGLETRANSLATE(A9460, ""en"", ""mt"")"),"Il-Gvernatur Robert Dinwiddie kellu investiment f'liema kumpanija sinifikanti?")</f>
        <v>Il-Gvernatur Robert Dinwiddie kellu investiment f'liema kumpanija sinifikanti?</v>
      </c>
    </row>
    <row r="9461" ht="15.75" customHeight="1">
      <c r="A9461" s="2" t="s">
        <v>9461</v>
      </c>
      <c r="B9461" s="2" t="str">
        <f>IFERROR(__xludf.DUMMYFUNCTION("GOOGLETRANSLATE(A9461, ""en"", ""mt"")"),"2-3 snin")</f>
        <v>2-3 snin</v>
      </c>
    </row>
    <row r="9462" ht="15.75" customHeight="1">
      <c r="A9462" s="2" t="s">
        <v>9462</v>
      </c>
      <c r="B9462" s="2" t="str">
        <f>IFERROR(__xludf.DUMMYFUNCTION("GOOGLETRANSLATE(A9462, ""en"", ""mt"")"),"Liema festival kulturali huwa l-festival tas-SAMA?")</f>
        <v>Liema festival kulturali huwa l-festival tas-SAMA?</v>
      </c>
    </row>
    <row r="9463" ht="15.75" customHeight="1">
      <c r="A9463" s="2" t="s">
        <v>9463</v>
      </c>
      <c r="B9463" s="2" t="str">
        <f>IFERROR(__xludf.DUMMYFUNCTION("GOOGLETRANSLATE(A9463, ""en"", ""mt"")"),"Kemm kienu nies fil-kolonji Ingliżi tal-Amerika ta ’Fuq?")</f>
        <v>Kemm kienu nies fil-kolonji Ingliżi tal-Amerika ta ’Fuq?</v>
      </c>
    </row>
    <row r="9464" ht="15.75" customHeight="1">
      <c r="A9464" s="2" t="s">
        <v>9464</v>
      </c>
      <c r="B9464" s="2" t="str">
        <f>IFERROR(__xludf.DUMMYFUNCTION("GOOGLETRANSLATE(A9464, ""en"", ""mt"")"),"""Vulgarità u Vjolenza")</f>
        <v>"Vulgarità u Vjolenza</v>
      </c>
    </row>
    <row r="9465" ht="15.75" customHeight="1">
      <c r="A9465" s="2" t="s">
        <v>9465</v>
      </c>
      <c r="B9465" s="2" t="str">
        <f>IFERROR(__xludf.DUMMYFUNCTION("GOOGLETRANSLATE(A9465, ""en"", ""mt"")"),"Tnax")</f>
        <v>Tnax</v>
      </c>
    </row>
    <row r="9466" ht="15.75" customHeight="1">
      <c r="A9466" s="2" t="s">
        <v>9466</v>
      </c>
      <c r="B9466" s="2" t="str">
        <f>IFERROR(__xludf.DUMMYFUNCTION("GOOGLETRANSLATE(A9466, ""en"", ""mt"")"),"moxt ġelaties")</f>
        <v>moxt ġelaties</v>
      </c>
    </row>
    <row r="9467" ht="15.75" customHeight="1">
      <c r="A9467" s="2" t="s">
        <v>9467</v>
      </c>
      <c r="B9467" s="2" t="str">
        <f>IFERROR(__xludf.DUMMYFUNCTION("GOOGLETRANSLATE(A9467, ""en"", ""mt"")"),"X'inhu użat biex jiġu stmati l-emissjonijiet?")</f>
        <v>X'inhu użat biex jiġu stmati l-emissjonijiet?</v>
      </c>
    </row>
    <row r="9468" ht="15.75" customHeight="1">
      <c r="A9468" s="2" t="s">
        <v>9468</v>
      </c>
      <c r="B9468" s="2" t="str">
        <f>IFERROR(__xludf.DUMMYFUNCTION("GOOGLETRANSLATE(A9468, ""en"", ""mt"")"),"Il-preżenza jew in-nuqqas ta 'dak li jista' jintuża biex tiddetermina l-età relattiva tal-formazzjonijiet li fihom jinstabu?")</f>
        <v>Il-preżenza jew in-nuqqas ta 'dak li jista' jintuża biex tiddetermina l-età relattiva tal-formazzjonijiet li fihom jinstabu?</v>
      </c>
    </row>
    <row r="9469" ht="15.75" customHeight="1">
      <c r="A9469" s="2" t="s">
        <v>9469</v>
      </c>
      <c r="B9469" s="2" t="str">
        <f>IFERROR(__xludf.DUMMYFUNCTION("GOOGLETRANSLATE(A9469, ""en"", ""mt"")"),"Għaliex is-CBS ma setax ixandar l-inkurunazzjoni tar-Reġina Eliżabetta II?")</f>
        <v>Għaliex is-CBS ma setax ixandar l-inkurunazzjoni tar-Reġina Eliżabetta II?</v>
      </c>
    </row>
    <row r="9470" ht="15.75" customHeight="1">
      <c r="A9470" s="2" t="s">
        <v>9470</v>
      </c>
      <c r="B9470" s="2" t="str">
        <f>IFERROR(__xludf.DUMMYFUNCTION("GOOGLETRANSLATE(A9470, ""en"", ""mt"")"),"Qaddis Grazzja")</f>
        <v>Qaddis Grazzja</v>
      </c>
    </row>
    <row r="9471" ht="15.75" customHeight="1">
      <c r="A9471" s="2" t="s">
        <v>9471</v>
      </c>
      <c r="B9471" s="2" t="str">
        <f>IFERROR(__xludf.DUMMYFUNCTION("GOOGLETRANSLATE(A9471, ""en"", ""mt"")"),"Mstislav il-Bold of Halych u Mstislav III ta 'Kiev")</f>
        <v>Mstislav il-Bold of Halych u Mstislav III ta 'Kiev</v>
      </c>
    </row>
    <row r="9472" ht="15.75" customHeight="1">
      <c r="A9472" s="2" t="s">
        <v>9472</v>
      </c>
      <c r="B9472" s="2" t="str">
        <f>IFERROR(__xludf.DUMMYFUNCTION("GOOGLETRANSLATE(A9472, ""en"", ""mt"")"),"X'inhi l-pesta oħra maħsuba li nfirxet bl-istess mod?")</f>
        <v>X'inhi l-pesta oħra maħsuba li nfirxet bl-istess mod?</v>
      </c>
    </row>
    <row r="9473" ht="15.75" customHeight="1">
      <c r="A9473" s="2" t="s">
        <v>9473</v>
      </c>
      <c r="B9473" s="2" t="str">
        <f>IFERROR(__xludf.DUMMYFUNCTION("GOOGLETRANSLATE(A9473, ""en"", ""mt"")"),"Kemm huma 'l bogħod minn xulxin il-filamenti taċ-ċirku PD ta' barra?")</f>
        <v>Kemm huma 'l bogħod minn xulxin il-filamenti taċ-ċirku PD ta' barra?</v>
      </c>
    </row>
    <row r="9474" ht="15.75" customHeight="1">
      <c r="A9474" s="2" t="s">
        <v>9474</v>
      </c>
      <c r="B9474" s="2" t="str">
        <f>IFERROR(__xludf.DUMMYFUNCTION("GOOGLETRANSLATE(A9474, ""en"", ""mt"")"),"Louis XIV kiseb it-tron fl-1643 u aġixxa dejjem aktar aggressiv biex iġiegħel lill-Huguenots jikkonvertu. Għall-ewwel huwa bagħat missjunarji, appoġġjat minn fond biex jippremja finanzjarjament konvertiti għall-Kattoliċiżmu. Imbagħad impona pieni, għalaq "&amp;"l-iskejjel Huguenot u eskludahom minn professjonijiet favoriti. Teskala, huwa waqqaf Dragonnades, li kien jinkludi l-okkupazzjoni u l-sakkeġġi ta 'djar Huguenot minn truppi militari, fi sforz biex jikkonvertihom bil-forza. Fl-1685, huwa ħareġ l-editt ta '"&amp;"Fontainebleau, irrevoka l-editt ta' Nantes u ddikjara l-Protestantiżmu illegali. [Ċitazzjoni meħtieġa]")</f>
        <v>Louis XIV kiseb it-tron fl-1643 u aġixxa dejjem aktar aggressiv biex iġiegħel lill-Huguenots jikkonvertu. Għall-ewwel huwa bagħat missjunarji, appoġġjat minn fond biex jippremja finanzjarjament konvertiti għall-Kattoliċiżmu. Imbagħad impona pieni, għalaq l-iskejjel Huguenot u eskludahom minn professjonijiet favoriti. Teskala, huwa waqqaf Dragonnades, li kien jinkludi l-okkupazzjoni u l-sakkeġġi ta 'djar Huguenot minn truppi militari, fi sforz biex jikkonvertihom bil-forza. Fl-1685, huwa ħareġ l-editt ta 'Fontainebleau, irrevoka l-editt ta' Nantes u ddikjara l-Protestantiżmu illegali. [Ċitazzjoni meħtieġa]</v>
      </c>
    </row>
    <row r="9475" ht="15.75" customHeight="1">
      <c r="A9475" s="2" t="s">
        <v>9475</v>
      </c>
      <c r="B9475" s="2" t="str">
        <f>IFERROR(__xludf.DUMMYFUNCTION("GOOGLETRANSLATE(A9475, ""en"", ""mt"")"),"sa elf darba")</f>
        <v>sa elf darba</v>
      </c>
    </row>
    <row r="9476" ht="15.75" customHeight="1">
      <c r="A9476" s="2" t="s">
        <v>9476</v>
      </c>
      <c r="B9476" s="2" t="str">
        <f>IFERROR(__xludf.DUMMYFUNCTION("GOOGLETRANSLATE(A9476, ""en"", ""mt"")"),"1596")</f>
        <v>1596</v>
      </c>
    </row>
    <row r="9477" ht="15.75" customHeight="1">
      <c r="A9477" s="2" t="s">
        <v>9477</v>
      </c>
      <c r="B9477" s="2" t="str">
        <f>IFERROR(__xludf.DUMMYFUNCTION("GOOGLETRANSLATE(A9477, ""en"", ""mt"")"),"Spiża għolja ta 'mediċini u teknoloġija relatata mal-mediċina")</f>
        <v>Spiża għolja ta 'mediċini u teknoloġija relatata mal-mediċina</v>
      </c>
    </row>
    <row r="9478" ht="15.75" customHeight="1">
      <c r="A9478" s="2" t="s">
        <v>9478</v>
      </c>
      <c r="B9478" s="2" t="str">
        <f>IFERROR(__xludf.DUMMYFUNCTION("GOOGLETRANSLATE(A9478, ""en"", ""mt"")"),"L-introduzzjoni aċċidentali tal-Mnemiopsis li tiekol l-Amerika ta ’Fuq Ctenophore Beroe Ovata, u permezz ta’ tkessiħ tal-klima lokali mill-1991 sal-1993")</f>
        <v>L-introduzzjoni aċċidentali tal-Mnemiopsis li tiekol l-Amerika ta ’Fuq Ctenophore Beroe Ovata, u permezz ta’ tkessiħ tal-klima lokali mill-1991 sal-1993</v>
      </c>
    </row>
    <row r="9479" ht="15.75" customHeight="1">
      <c r="A9479" s="2" t="s">
        <v>9479</v>
      </c>
      <c r="B9479" s="2" t="str">
        <f>IFERROR(__xludf.DUMMYFUNCTION("GOOGLETRANSLATE(A9479, ""en"", ""mt"")"),"Liema rati ta 'problemi tas-saħħa u soċjali huma f'pajjiżi b'inugwaljanza għolja?")</f>
        <v>Liema rati ta 'problemi tas-saħħa u soċjali huma f'pajjiżi b'inugwaljanza għolja?</v>
      </c>
    </row>
    <row r="9480" ht="15.75" customHeight="1">
      <c r="A9480" s="2" t="s">
        <v>9480</v>
      </c>
      <c r="B9480" s="2" t="str">
        <f>IFERROR(__xludf.DUMMYFUNCTION("GOOGLETRANSLATE(A9480, ""en"", ""mt"")"),"Djar tal-istorja")</f>
        <v>Djar tal-istorja</v>
      </c>
    </row>
    <row r="9481" ht="15.75" customHeight="1">
      <c r="A9481" s="2" t="s">
        <v>9481</v>
      </c>
      <c r="B9481" s="2" t="str">
        <f>IFERROR(__xludf.DUMMYFUNCTION("GOOGLETRANSLATE(A9481, ""en"", ""mt"")"),"Waqt li tifel kien l-iskola")</f>
        <v>Waqt li tifel kien l-iskola</v>
      </c>
    </row>
    <row r="9482" ht="15.75" customHeight="1">
      <c r="A9482" s="2" t="s">
        <v>9482</v>
      </c>
      <c r="B9482" s="2" t="str">
        <f>IFERROR(__xludf.DUMMYFUNCTION("GOOGLETRANSLATE(A9482, ""en"", ""mt"")"),"Iċ-Ċiklu Rankine")</f>
        <v>Iċ-Ċiklu Rankine</v>
      </c>
    </row>
    <row r="9483" ht="15.75" customHeight="1">
      <c r="A9483" s="2" t="s">
        <v>9483</v>
      </c>
      <c r="B9483" s="2" t="str">
        <f>IFERROR(__xludf.DUMMYFUNCTION("GOOGLETRANSLATE(A9483, ""en"", ""mt"")"),"ħames siġġijiet jew aktar")</f>
        <v>ħames siġġijiet jew aktar</v>
      </c>
    </row>
    <row r="9484" ht="15.75" customHeight="1">
      <c r="A9484" s="2" t="s">
        <v>9484</v>
      </c>
      <c r="B9484" s="2" t="str">
        <f>IFERROR(__xludf.DUMMYFUNCTION("GOOGLETRANSLATE(A9484, ""en"", ""mt"")"),"Liema kulur tal-kulur għandu Denver 0-4?")</f>
        <v>Liema kulur tal-kulur għandu Denver 0-4?</v>
      </c>
    </row>
    <row r="9485" ht="15.75" customHeight="1">
      <c r="A9485" s="2" t="s">
        <v>9485</v>
      </c>
      <c r="B9485" s="2" t="str">
        <f>IFERROR(__xludf.DUMMYFUNCTION("GOOGLETRANSLATE(A9485, ""en"", ""mt"")"),"Staġnar ekonomiku")</f>
        <v>Staġnar ekonomiku</v>
      </c>
    </row>
    <row r="9486" ht="15.75" customHeight="1">
      <c r="A9486" s="2" t="s">
        <v>9486</v>
      </c>
      <c r="B9486" s="2" t="str">
        <f>IFERROR(__xludf.DUMMYFUNCTION("GOOGLETRANSLATE(A9486, ""en"", ""mt"")"),"Fuq xiex jiddependi l-fluss tar-Rhine li jkun viżibbli?")</f>
        <v>Fuq xiex jiddependi l-fluss tar-Rhine li jkun viżibbli?</v>
      </c>
    </row>
    <row r="9487" ht="15.75" customHeight="1">
      <c r="A9487" s="2" t="s">
        <v>9487</v>
      </c>
      <c r="B9487" s="2" t="str">
        <f>IFERROR(__xludf.DUMMYFUNCTION("GOOGLETRANSLATE(A9487, ""en"", ""mt"")"),"Iċ-Ċiniżi")</f>
        <v>Iċ-Ċiniżi</v>
      </c>
    </row>
    <row r="9488" ht="15.75" customHeight="1">
      <c r="A9488" s="2" t="s">
        <v>9488</v>
      </c>
      <c r="B9488" s="2" t="str">
        <f>IFERROR(__xludf.DUMMYFUNCTION("GOOGLETRANSLATE(A9488, ""en"", ""mt"")"),"detenzjoni")</f>
        <v>detenzjoni</v>
      </c>
    </row>
    <row r="9489" ht="15.75" customHeight="1">
      <c r="A9489" s="2" t="s">
        <v>9489</v>
      </c>
      <c r="B9489" s="2" t="str">
        <f>IFERROR(__xludf.DUMMYFUNCTION("GOOGLETRANSLATE(A9489, ""en"", ""mt"")"),"Kemm ilu li l-ġeoglifi ġew skoperti l-ewwel fuq art deforestata?")</f>
        <v>Kemm ilu li l-ġeoglifi ġew skoperti l-ewwel fuq art deforestata?</v>
      </c>
    </row>
    <row r="9490" ht="15.75" customHeight="1">
      <c r="A9490" s="2" t="s">
        <v>9490</v>
      </c>
      <c r="B9490" s="2" t="str">
        <f>IFERROR(__xludf.DUMMYFUNCTION("GOOGLETRANSLATE(A9490, ""en"", ""mt"")"),"Liema apparat teoretiku huwa attribwit lil Alan Turing?")</f>
        <v>Liema apparat teoretiku huwa attribwit lil Alan Turing?</v>
      </c>
    </row>
    <row r="9491" ht="15.75" customHeight="1">
      <c r="A9491" s="2" t="s">
        <v>9491</v>
      </c>
      <c r="B9491" s="2" t="str">
        <f>IFERROR(__xludf.DUMMYFUNCTION("GOOGLETRANSLATE(A9491, ""en"", ""mt"")"),"ix-xemx")</f>
        <v>ix-xemx</v>
      </c>
    </row>
    <row r="9492" ht="15.75" customHeight="1">
      <c r="A9492" s="2" t="s">
        <v>9492</v>
      </c>
      <c r="B9492" s="2" t="str">
        <f>IFERROR(__xludf.DUMMYFUNCTION("GOOGLETRANSLATE(A9492, ""en"", ""mt"")"),"Artikolu 30")</f>
        <v>Artikolu 30</v>
      </c>
    </row>
    <row r="9493" ht="15.75" customHeight="1">
      <c r="A9493" s="2" t="s">
        <v>9493</v>
      </c>
      <c r="B9493" s="2" t="str">
        <f>IFERROR(__xludf.DUMMYFUNCTION("GOOGLETRANSLATE(A9493, ""en"", ""mt"")"),"X'tip ta 'protesta taqa' taħt diżubbidjenza ċivili mingħajr aggressjoni?")</f>
        <v>X'tip ta 'protesta taqa' taħt diżubbidjenza ċivili mingħajr aggressjoni?</v>
      </c>
    </row>
    <row r="9494" ht="15.75" customHeight="1">
      <c r="A9494" s="2" t="s">
        <v>9494</v>
      </c>
      <c r="B9494" s="2" t="str">
        <f>IFERROR(__xludf.DUMMYFUNCTION("GOOGLETRANSLATE(A9494, ""en"", ""mt"")"),"Il-muntanji jvarjaw id-denb f'liema tip ta 'formazzjoni ġeografika?")</f>
        <v>Il-muntanji jvarjaw id-denb f'liema tip ta 'formazzjoni ġeografika?</v>
      </c>
    </row>
    <row r="9495" ht="15.75" customHeight="1">
      <c r="A9495" s="2" t="s">
        <v>9495</v>
      </c>
      <c r="B9495" s="2" t="str">
        <f>IFERROR(__xludf.DUMMYFUNCTION("GOOGLETRANSLATE(A9495, ""en"", ""mt"")"),"Minħabba d-densità akbar ta 'ilma kiesaħ")</f>
        <v>Minħabba d-densità akbar ta 'ilma kiesaħ</v>
      </c>
    </row>
    <row r="9496" ht="15.75" customHeight="1">
      <c r="A9496" s="2" t="s">
        <v>9496</v>
      </c>
      <c r="B9496" s="2" t="str">
        <f>IFERROR(__xludf.DUMMYFUNCTION("GOOGLETRANSLATE(A9496, ""en"", ""mt"")"),"iddestinat għal perdition")</f>
        <v>iddestinat għal perdition</v>
      </c>
    </row>
    <row r="9497" ht="15.75" customHeight="1">
      <c r="A9497" s="2" t="s">
        <v>9497</v>
      </c>
      <c r="B9497" s="2" t="str">
        <f>IFERROR(__xludf.DUMMYFUNCTION("GOOGLETRANSLATE(A9497, ""en"", ""mt"")"),"Iżlamista")</f>
        <v>Iżlamista</v>
      </c>
    </row>
    <row r="9498" ht="15.75" customHeight="1">
      <c r="A9498" s="2" t="s">
        <v>9498</v>
      </c>
      <c r="B9498" s="2" t="str">
        <f>IFERROR(__xludf.DUMMYFUNCTION("GOOGLETRANSLATE(A9498, ""en"", ""mt"")"),"Minn xiex kien jirrikjedi li l-Artikolu 12 tat-termini tal-Armistizju Alleati kien jirrikjedi li l-Ġermanja tirtira?")</f>
        <v>Minn xiex kien jirrikjedi li l-Artikolu 12 tat-termini tal-Armistizju Alleati kien jirrikjedi li l-Ġermanja tirtira?</v>
      </c>
    </row>
    <row r="9499" ht="15.75" customHeight="1">
      <c r="A9499" s="2" t="s">
        <v>9499</v>
      </c>
      <c r="B9499" s="2" t="str">
        <f>IFERROR(__xludf.DUMMYFUNCTION("GOOGLETRANSLATE(A9499, ""en"", ""mt"")"),"X’jikkanċella l-ħtija tagħna u jagħtina s-setgħa biex nirreżistu l-qawwa tad-dnub u nħobbu bis-sħiħ lil Alla u l-proxxmu?")</f>
        <v>X’jikkanċella l-ħtija tagħna u jagħtina s-setgħa biex nirreżistu l-qawwa tad-dnub u nħobbu bis-sħiħ lil Alla u l-proxxmu?</v>
      </c>
    </row>
    <row r="9500" ht="15.75" customHeight="1">
      <c r="A9500" s="2" t="s">
        <v>9500</v>
      </c>
      <c r="B9500" s="2" t="str">
        <f>IFERROR(__xludf.DUMMYFUNCTION("GOOGLETRANSLATE(A9500, ""en"", ""mt"")"),"X'għandhom iż-żewġ movimenti Iżlamisti differenti li ġew deskritti bħala li joxxillaw bejniethom?")</f>
        <v>X'għandhom iż-żewġ movimenti Iżlamisti differenti li ġew deskritti bħala li joxxillaw bejniethom?</v>
      </c>
    </row>
    <row r="9501" ht="15.75" customHeight="1">
      <c r="A9501" s="2" t="s">
        <v>9501</v>
      </c>
      <c r="B9501" s="2" t="str">
        <f>IFERROR(__xludf.DUMMYFUNCTION("GOOGLETRANSLATE(A9501, ""en"", ""mt"")"),"1524–25,")</f>
        <v>1524–25,</v>
      </c>
    </row>
    <row r="9502" ht="15.75" customHeight="1">
      <c r="A9502" s="2" t="s">
        <v>9502</v>
      </c>
      <c r="B9502" s="2" t="str">
        <f>IFERROR(__xludf.DUMMYFUNCTION("GOOGLETRANSLATE(A9502, ""en"", ""mt"")"),"F'liema skola rreġistraw matul l-1875?")</f>
        <v>F'liema skola rreġistraw matul l-1875?</v>
      </c>
    </row>
    <row r="9503" ht="15.75" customHeight="1">
      <c r="A9503" s="2" t="s">
        <v>9503</v>
      </c>
      <c r="B9503" s="2" t="str">
        <f>IFERROR(__xludf.DUMMYFUNCTION("GOOGLETRANSLATE(A9503, ""en"", ""mt"")"),"Semmi pajjiż wieħed li pprojbixxa t-tbaħħir, is-sewqan u ttajjar il-Ħdud.")</f>
        <v>Semmi pajjiż wieħed li pprojbixxa t-tbaħħir, is-sewqan u ttajjar il-Ħdud.</v>
      </c>
    </row>
    <row r="9504" ht="15.75" customHeight="1">
      <c r="A9504" s="2" t="s">
        <v>9504</v>
      </c>
      <c r="B9504" s="2" t="str">
        <f>IFERROR(__xludf.DUMMYFUNCTION("GOOGLETRANSLATE(A9504, ""en"", ""mt"")"),"X'inhi l-ewwel linja ta 'difiża kontra patoġeni li ma tħallihomx jidħlu f'organiżmu?")</f>
        <v>X'inhi l-ewwel linja ta 'difiża kontra patoġeni li ma tħallihomx jidħlu f'organiżmu?</v>
      </c>
    </row>
    <row r="9505" ht="15.75" customHeight="1">
      <c r="A9505" s="2" t="s">
        <v>9505</v>
      </c>
      <c r="B9505" s="2" t="str">
        <f>IFERROR(__xludf.DUMMYFUNCTION("GOOGLETRANSLATE(A9505, ""en"", ""mt"")"),"Spazju tat-tilakoid")</f>
        <v>Spazju tat-tilakoid</v>
      </c>
    </row>
    <row r="9506" ht="15.75" customHeight="1">
      <c r="A9506" s="2" t="s">
        <v>9506</v>
      </c>
      <c r="B9506" s="2" t="str">
        <f>IFERROR(__xludf.DUMMYFUNCTION("GOOGLETRANSLATE(A9506, ""en"", ""mt"")"),"X'għandu jilgħab waqt il-krediti tal-għeluq tal-episodji tat-Tabib Min?")</f>
        <v>X'għandu jilgħab waqt il-krediti tal-għeluq tal-episodji tat-Tabib Min?</v>
      </c>
    </row>
    <row r="9507" ht="15.75" customHeight="1">
      <c r="A9507" s="2" t="s">
        <v>9507</v>
      </c>
      <c r="B9507" s="2" t="str">
        <f>IFERROR(__xludf.DUMMYFUNCTION("GOOGLETRANSLATE(A9507, ""en"", ""mt"")"),"Liema żewġ oqsma fir-Repubblika kienu l-ewwel li jagħtu drittijiet lill-Huguenots?")</f>
        <v>Liema żewġ oqsma fir-Repubblika kienu l-ewwel li jagħtu drittijiet lill-Huguenots?</v>
      </c>
    </row>
    <row r="9508" ht="15.75" customHeight="1">
      <c r="A9508" s="2" t="s">
        <v>9508</v>
      </c>
      <c r="B9508" s="2" t="str">
        <f>IFERROR(__xludf.DUMMYFUNCTION("GOOGLETRANSLATE(A9508, ""en"", ""mt"")"),"Kemm awturi li jikkontribwixxu għandu kapitolu ta 'rapport tal-IPCC?")</f>
        <v>Kemm awturi li jikkontribwixxu għandu kapitolu ta 'rapport tal-IPCC?</v>
      </c>
    </row>
    <row r="9509" ht="15.75" customHeight="1">
      <c r="A9509" s="2" t="s">
        <v>9509</v>
      </c>
      <c r="B9509" s="2" t="str">
        <f>IFERROR(__xludf.DUMMYFUNCTION("GOOGLETRANSLATE(A9509, ""en"", ""mt"")"),"2 ta 'Jannar, 1971")</f>
        <v>2 ta 'Jannar, 1971</v>
      </c>
    </row>
    <row r="9510" ht="15.75" customHeight="1">
      <c r="A9510" s="2" t="s">
        <v>9510</v>
      </c>
      <c r="B9510" s="2" t="str">
        <f>IFERROR(__xludf.DUMMYFUNCTION("GOOGLETRANSLATE(A9510, ""en"", ""mt"")"),"temperatura")</f>
        <v>temperatura</v>
      </c>
    </row>
    <row r="9511" ht="15.75" customHeight="1">
      <c r="A9511" s="2" t="s">
        <v>9511</v>
      </c>
      <c r="B9511" s="2" t="str">
        <f>IFERROR(__xludf.DUMMYFUNCTION("GOOGLETRANSLATE(A9511, ""en"", ""mt"")"),"Il-produzzjoni ta 'problema funzjonali hija tipikament ikkaratterizzata minn tweġiba sempliċi jew kumplessa?")</f>
        <v>Il-produzzjoni ta 'problema funzjonali hija tipikament ikkaratterizzata minn tweġiba sempliċi jew kumplessa?</v>
      </c>
    </row>
    <row r="9512" ht="15.75" customHeight="1">
      <c r="A9512" s="2" t="s">
        <v>9512</v>
      </c>
      <c r="B9512" s="2" t="str">
        <f>IFERROR(__xludf.DUMMYFUNCTION("GOOGLETRANSLATE(A9512, ""en"", ""mt"")"),"Glukokortikojdi")</f>
        <v>Glukokortikojdi</v>
      </c>
    </row>
    <row r="9513" ht="15.75" customHeight="1">
      <c r="A9513" s="2" t="s">
        <v>9513</v>
      </c>
      <c r="B9513" s="2" t="str">
        <f>IFERROR(__xludf.DUMMYFUNCTION("GOOGLETRANSLATE(A9513, ""en"", ""mt"")"),"Iż-żoni ta 'Savannah espandew matul l-aħħar kemm snin?")</f>
        <v>Iż-żoni ta 'Savannah espandew matul l-aħħar kemm snin?</v>
      </c>
    </row>
    <row r="9514" ht="15.75" customHeight="1">
      <c r="A9514" s="2" t="s">
        <v>9514</v>
      </c>
      <c r="B9514" s="2" t="str">
        <f>IFERROR(__xludf.DUMMYFUNCTION("GOOGLETRANSLATE(A9514, ""en"", ""mt"")"),"Id-diżubbidjenti ċivili joqogħdu mill-vjolenza jingħad ukoll li jgħinu jippreservaw it-tolleranza tas-soċjetà tad-diżubbidjenza ċivili")</f>
        <v>Id-diżubbidjenti ċivili joqogħdu mill-vjolenza jingħad ukoll li jgħinu jippreservaw it-tolleranza tas-soċjetà tad-diżubbidjenza ċivili</v>
      </c>
    </row>
    <row r="9515" ht="15.75" customHeight="1">
      <c r="A9515" s="2" t="s">
        <v>9515</v>
      </c>
      <c r="B9515" s="2" t="str">
        <f>IFERROR(__xludf.DUMMYFUNCTION("GOOGLETRANSLATE(A9515, ""en"", ""mt"")"),"livell waqa '")</f>
        <v>livell waqa '</v>
      </c>
    </row>
    <row r="9516" ht="15.75" customHeight="1">
      <c r="A9516" s="2" t="s">
        <v>9516</v>
      </c>
      <c r="B9516" s="2" t="str">
        <f>IFERROR(__xludf.DUMMYFUNCTION("GOOGLETRANSLATE(A9516, ""en"", ""mt"")"),"Ħolqien ta 'stati moderni tal-Balkani u tal-Lvant Nofsani")</f>
        <v>Ħolqien ta 'stati moderni tal-Balkani u tal-Lvant Nofsani</v>
      </c>
    </row>
    <row r="9517" ht="15.75" customHeight="1">
      <c r="A9517" s="2" t="s">
        <v>9517</v>
      </c>
      <c r="B9517" s="2" t="str">
        <f>IFERROR(__xludf.DUMMYFUNCTION("GOOGLETRANSLATE(A9517, ""en"", ""mt"")"),"Pjattaforma bis-satellita")</f>
        <v>Pjattaforma bis-satellita</v>
      </c>
    </row>
    <row r="9518" ht="15.75" customHeight="1">
      <c r="A9518" s="2" t="s">
        <v>9518</v>
      </c>
      <c r="B9518" s="2" t="str">
        <f>IFERROR(__xludf.DUMMYFUNCTION("GOOGLETRANSLATE(A9518, ""en"", ""mt"")"),"il-kunċett ta 'swiċċjar ta' blokka ta 'messaġġi adattivi distribwiti")</f>
        <v>il-kunċett ta 'swiċċjar ta' blokka ta 'messaġġi adattivi distribwiti</v>
      </c>
    </row>
    <row r="9519" ht="15.75" customHeight="1">
      <c r="A9519" s="2" t="s">
        <v>9519</v>
      </c>
      <c r="B9519" s="2" t="str">
        <f>IFERROR(__xludf.DUMMYFUNCTION("GOOGLETRANSLATE(A9519, ""en"", ""mt"")"),"Servizz tan-Netwerk tas-sinsla ta 'veloċità għolja ħafna")</f>
        <v>Servizz tan-Netwerk tas-sinsla ta 'veloċità għolja ħafna</v>
      </c>
    </row>
    <row r="9520" ht="15.75" customHeight="1">
      <c r="A9520" s="2" t="s">
        <v>9520</v>
      </c>
      <c r="B9520" s="2" t="str">
        <f>IFERROR(__xludf.DUMMYFUNCTION("GOOGLETRANSLATE(A9520, ""en"", ""mt"")"),"batterjofagi")</f>
        <v>batterjofagi</v>
      </c>
    </row>
    <row r="9521" ht="15.75" customHeight="1">
      <c r="A9521" s="2" t="s">
        <v>9521</v>
      </c>
      <c r="B9521" s="2" t="str">
        <f>IFERROR(__xludf.DUMMYFUNCTION("GOOGLETRANSLATE(A9521, ""en"", ""mt"")"),"is-sistema immuni innata kontra s-sistema immuni adatta")</f>
        <v>is-sistema immuni innata kontra s-sistema immuni adatta</v>
      </c>
    </row>
    <row r="9522" ht="15.75" customHeight="1">
      <c r="A9522" s="2" t="s">
        <v>9522</v>
      </c>
      <c r="B9522" s="2" t="str">
        <f>IFERROR(__xludf.DUMMYFUNCTION("GOOGLETRANSLATE(A9522, ""en"", ""mt"")"),"It-Trattat ta ’Lisbona")</f>
        <v>It-Trattat ta ’Lisbona</v>
      </c>
    </row>
    <row r="9523" ht="15.75" customHeight="1">
      <c r="A9523" s="2" t="s">
        <v>9523</v>
      </c>
      <c r="B9523" s="2" t="str">
        <f>IFERROR(__xludf.DUMMYFUNCTION("GOOGLETRANSLATE(A9523, ""en"", ""mt"")"),"Il-Festival u l-Parata tat-Tramuntana tat-Tramuntana")</f>
        <v>Il-Festival u l-Parata tat-Tramuntana tat-Tramuntana</v>
      </c>
    </row>
    <row r="9524" ht="15.75" customHeight="1">
      <c r="A9524" s="2" t="s">
        <v>9524</v>
      </c>
      <c r="B9524" s="2" t="str">
        <f>IFERROR(__xludf.DUMMYFUNCTION("GOOGLETRANSLATE(A9524, ""en"", ""mt"")"),"X'tip ta 'magni sar popolari għall-ġenerazzjoni tal-enerġija wara magni tal-fwar tal-pistuni?")</f>
        <v>X'tip ta 'magni sar popolari għall-ġenerazzjoni tal-enerġija wara magni tal-fwar tal-pistuni?</v>
      </c>
    </row>
    <row r="9525" ht="15.75" customHeight="1">
      <c r="A9525" s="2" t="s">
        <v>9525</v>
      </c>
      <c r="B9525" s="2" t="str">
        <f>IFERROR(__xludf.DUMMYFUNCTION("GOOGLETRANSLATE(A9525, ""en"", ""mt"")"),"wieħed mill-aktar movimenti influwenti")</f>
        <v>wieħed mill-aktar movimenti influwenti</v>
      </c>
    </row>
    <row r="9526" ht="15.75" customHeight="1">
      <c r="A9526" s="2" t="s">
        <v>9526</v>
      </c>
      <c r="B9526" s="2" t="str">
        <f>IFERROR(__xludf.DUMMYFUNCTION("GOOGLETRANSLATE(A9526, ""en"", ""mt"")"),"X'se jkollu impatt dirett ta 'inugwaljanza f'sistema li tuża taxxa progressiva?")</f>
        <v>X'se jkollu impatt dirett ta 'inugwaljanza f'sistema li tuża taxxa progressiva?</v>
      </c>
    </row>
    <row r="9527" ht="15.75" customHeight="1">
      <c r="A9527" s="2" t="s">
        <v>9527</v>
      </c>
      <c r="B9527" s="2" t="str">
        <f>IFERROR(__xludf.DUMMYFUNCTION("GOOGLETRANSLATE(A9527, ""en"", ""mt"")"),"L-interpretazzjoni tal-Iżlam promossa minn dan il-finanzjament kienet il-Wahhabism jew is-Salafiżmu strett, konservattiv ibbażat fis-Sawdi. Fl-iktar forma ħarxa tagħha ppriedka li l-Musulmani m'għandhomx biss ""jopponu"" infidili ""b'kull mod,"" iżda ""jo"&amp;"bogħduhom għar-reliġjon tagħhom ... għall-fini ta 'Allah,"" dik id-demokrazija ""hija responsabbli għall-gwerer horrible kollha tal-20 Seklu, ""li s-Shia u Musulmani oħra mhux Wahhabi kienu infidili, eċċ. Filwaqt li dan l-isforz bl-ebda mod ma kkonverta k"&amp;"ollha, jew saħansitra l-biċċa l-kbira tal-Musulmani għall-interpretazzjoni Wahhabist tal-Iżlam, għamel ħafna biex jegħleb interpretazzjonijiet lokali aktar moderati, u għandu Issettja l-Interpretazzjoni tal-Islam Sawdi bħala l- ""istandard tad-deheb"" tar"&amp;"-reliġjon f'moħħ ta 'xi wħud jew ħafna Musulmani.")</f>
        <v>L-interpretazzjoni tal-Iżlam promossa minn dan il-finanzjament kienet il-Wahhabism jew is-Salafiżmu strett, konservattiv ibbażat fis-Sawdi. Fl-iktar forma ħarxa tagħha ppriedka li l-Musulmani m'għandhomx biss "jopponu" infidili "b'kull mod," iżda "jobogħduhom għar-reliġjon tagħhom ... għall-fini ta 'Allah," dik id-demokrazija "hija responsabbli għall-gwerer horrible kollha tal-20 Seklu, "li s-Shia u Musulmani oħra mhux Wahhabi kienu infidili, eċċ. Filwaqt li dan l-isforz bl-ebda mod ma kkonverta kollha, jew saħansitra l-biċċa l-kbira tal-Musulmani għall-interpretazzjoni Wahhabist tal-Iżlam, għamel ħafna biex jegħleb interpretazzjonijiet lokali aktar moderati, u għandu Issettja l-Interpretazzjoni tal-Islam Sawdi bħala l- "istandard tad-deheb" tar-reliġjon f'moħħ ta 'xi wħud jew ħafna Musulmani.</v>
      </c>
    </row>
    <row r="9528" ht="15.75" customHeight="1">
      <c r="A9528" s="2" t="s">
        <v>9528</v>
      </c>
      <c r="B9528" s="2" t="str">
        <f>IFERROR(__xludf.DUMMYFUNCTION("GOOGLETRANSLATE(A9528, ""en"", ""mt"")"),"Ir-Repubblika Iżlamika żammet ukoll il-poter tagħha fl-Iran minkejja s-sanzjonijiet ekonomiċi tal-Istati Uniti, u ħolqot jew assistiet gruppi terroristiċi Shia li jaħsbuha l-istess fl-Iraq, l-Eġittu, is-Sirja, il-Ġordan (Sciri) u l-Libanu (Hezbollah) (żew"&amp;"ġ pajjiżi Musulmani (żewġ pajjiżi Musulmani (żewġ li għandhom ukoll popolazzjonijiet tax-Xiti kbar). Matul il-kunflitt Iżrael-Libanon tal-2006, il-gvern Iranjan gawda xi ħaġa ta 'qawmien mill-ġdid fil-popolarità fost il-predominantement Sunni ""Triq Għarb"&amp;"ija"", minħabba l-appoġġ tagħha għall-Hezbollah u għall-oppożizzjoni vehement tal-President Mahmoud Ahmadinejad għall-Istati Uniti u s-sejħa tiegħu li l-Iżrael għandu jisparixxi.")</f>
        <v>Ir-Repubblika Iżlamika żammet ukoll il-poter tagħha fl-Iran minkejja s-sanzjonijiet ekonomiċi tal-Istati Uniti, u ħolqot jew assistiet gruppi terroristiċi Shia li jaħsbuha l-istess fl-Iraq, l-Eġittu, is-Sirja, il-Ġordan (Sciri) u l-Libanu (Hezbollah) (żewġ pajjiżi Musulmani (żewġ pajjiżi Musulmani (żewġ li għandhom ukoll popolazzjonijiet tax-Xiti kbar). Matul il-kunflitt Iżrael-Libanon tal-2006, il-gvern Iranjan gawda xi ħaġa ta 'qawmien mill-ġdid fil-popolarità fost il-predominantement Sunni "Triq Għarbija", minħabba l-appoġġ tagħha għall-Hezbollah u għall-oppożizzjoni vehement tal-President Mahmoud Ahmadinejad għall-Istati Uniti u s-sejħa tiegħu li l-Iżrael għandu jisparixxi.</v>
      </c>
    </row>
    <row r="9529" ht="15.75" customHeight="1">
      <c r="A9529" s="2" t="s">
        <v>9529</v>
      </c>
      <c r="B9529" s="2" t="str">
        <f>IFERROR(__xludf.DUMMYFUNCTION("GOOGLETRANSLATE(A9529, ""en"", ""mt"")"),"Postijiet oħra madwar l-Iskozja")</f>
        <v>Postijiet oħra madwar l-Iskozja</v>
      </c>
    </row>
    <row r="9530" ht="15.75" customHeight="1">
      <c r="A9530" s="2" t="s">
        <v>9530</v>
      </c>
      <c r="B9530" s="2" t="str">
        <f>IFERROR(__xludf.DUMMYFUNCTION("GOOGLETRANSLATE(A9530, ""en"", ""mt"")"),"Is-sistema immuni adattiva tirrikonoxxi antiġeni mhux awto waqt proċess imsejjaħ x'inhu?")</f>
        <v>Is-sistema immuni adattiva tirrikonoxxi antiġeni mhux awto waqt proċess imsejjaħ x'inhu?</v>
      </c>
    </row>
    <row r="9531" ht="15.75" customHeight="1">
      <c r="A9531" s="2" t="s">
        <v>9531</v>
      </c>
      <c r="B9531" s="2" t="str">
        <f>IFERROR(__xludf.DUMMYFUNCTION("GOOGLETRANSLATE(A9531, ""en"", ""mt"")"),"Milka, Angelina u Marica")</f>
        <v>Milka, Angelina u Marica</v>
      </c>
    </row>
    <row r="9532" ht="15.75" customHeight="1">
      <c r="A9532" s="2" t="s">
        <v>9532</v>
      </c>
      <c r="B9532" s="2" t="str">
        <f>IFERROR(__xludf.DUMMYFUNCTION("GOOGLETRANSLATE(A9532, ""en"", ""mt"")"),"Ir-rekwiżiti taż-żoni, l-impatt ambjentali, l-ibbaġitjar, u l-loġistika huma affarijiet li għandhom jikkunsidraw?")</f>
        <v>Ir-rekwiżiti taż-żoni, l-impatt ambjentali, l-ibbaġitjar, u l-loġistika huma affarijiet li għandhom jikkunsidraw?</v>
      </c>
    </row>
    <row r="9533" ht="15.75" customHeight="1">
      <c r="A9533" s="2" t="s">
        <v>9533</v>
      </c>
      <c r="B9533" s="2" t="str">
        <f>IFERROR(__xludf.DUMMYFUNCTION("GOOGLETRANSLATE(A9533, ""en"", ""mt"")"),"Ma kienx sa Jannar 1518 li Friends of Luther tradotta t-teżi tal-95 mil-Latin fil-Ġermaniż u stampat u kkupjathom ħafna, u għamel il-kontroversja waħda mill-ewwel fl-istorja li tkun megħjuna mill-istampar. Fi żmien ġimgħatejn, kopji tat-teżijiet kienu mif"&amp;"ruxa mal-Ġermanja kollha; Fi żmien xahrejn, huma kienu nfirxu madwar l-Ewropa.")</f>
        <v>Ma kienx sa Jannar 1518 li Friends of Luther tradotta t-teżi tal-95 mil-Latin fil-Ġermaniż u stampat u kkupjathom ħafna, u għamel il-kontroversja waħda mill-ewwel fl-istorja li tkun megħjuna mill-istampar. Fi żmien ġimgħatejn, kopji tat-teżijiet kienu mifruxa mal-Ġermanja kollha; Fi żmien xahrejn, huma kienu nfirxu madwar l-Ewropa.</v>
      </c>
    </row>
    <row r="9534" ht="15.75" customHeight="1">
      <c r="A9534" s="2" t="s">
        <v>9534</v>
      </c>
      <c r="B9534" s="2" t="str">
        <f>IFERROR(__xludf.DUMMYFUNCTION("GOOGLETRANSLATE(A9534, ""en"", ""mt"")"),"Kemm hemm speċi li nstabu fis-shale Burgess?")</f>
        <v>Kemm hemm speċi li nstabu fis-shale Burgess?</v>
      </c>
    </row>
    <row r="9535" ht="15.75" customHeight="1">
      <c r="A9535" s="2" t="s">
        <v>9535</v>
      </c>
      <c r="B9535" s="2" t="str">
        <f>IFERROR(__xludf.DUMMYFUNCTION("GOOGLETRANSLATE(A9535, ""en"", ""mt"")"),"Drogi ċitotossiċi")</f>
        <v>Drogi ċitotossiċi</v>
      </c>
    </row>
    <row r="9536" ht="15.75" customHeight="1">
      <c r="A9536" s="2" t="s">
        <v>9536</v>
      </c>
      <c r="B9536" s="2" t="str">
        <f>IFERROR(__xludf.DUMMYFUNCTION("GOOGLETRANSLATE(A9536, ""en"", ""mt"")"),"intrattabbli")</f>
        <v>intrattabbli</v>
      </c>
    </row>
    <row r="9537" ht="15.75" customHeight="1">
      <c r="A9537" s="2" t="s">
        <v>9537</v>
      </c>
      <c r="B9537" s="2" t="str">
        <f>IFERROR(__xludf.DUMMYFUNCTION("GOOGLETRANSLATE(A9537, ""en"", ""mt"")"),"Liema reliġjon ippreferiet Kublai?")</f>
        <v>Liema reliġjon ippreferiet Kublai?</v>
      </c>
    </row>
    <row r="9538" ht="15.75" customHeight="1">
      <c r="A9538" s="2" t="s">
        <v>9538</v>
      </c>
      <c r="B9538" s="2" t="str">
        <f>IFERROR(__xludf.DUMMYFUNCTION("GOOGLETRANSLATE(A9538, ""en"", ""mt"")"),"Żewġ terzi")</f>
        <v>Żewġ terzi</v>
      </c>
    </row>
    <row r="9539" ht="15.75" customHeight="1">
      <c r="A9539" s="2" t="s">
        <v>9539</v>
      </c>
      <c r="B9539" s="2" t="str">
        <f>IFERROR(__xludf.DUMMYFUNCTION("GOOGLETRANSLATE(A9539, ""en"", ""mt"")"),"Kemm 'il bogħod mit-tarzna tinsab il-quad?")</f>
        <v>Kemm 'il bogħod mit-tarzna tinsab il-quad?</v>
      </c>
    </row>
    <row r="9540" ht="15.75" customHeight="1">
      <c r="A9540" s="2" t="s">
        <v>9540</v>
      </c>
      <c r="B9540" s="2" t="str">
        <f>IFERROR(__xludf.DUMMYFUNCTION("GOOGLETRANSLATE(A9540, ""en"", ""mt"")"),"Il-fossili misjuba fil-Kenja jissuġġerixxu li l-primati jimirħu ż-żona iktar minn 20 miljun sena ilu. Sejbiet riċenti qrib il-Lag Turkana jindikaw li ominidi bħal Homo habilis (1.8 u 2.5 miljun sena ilu) u Homo erectus (1.8 miljun sa 350,000 sena ilu) hum"&amp;"a antenati diretti possibbli ta 'Homo sapiens moderni, u għexu fil-Kenja fl-epoka tal-Pleistocene. Waqt l-iskavi fil-Lag Turkana fl-1984, il-paleoantropologu Richard Leakey assistit minn Kamoya Kimeu skopra t-tifel Turkana, fossili ta '1.6 miljun sena li "&amp;"jappartjeni għal Homo erectus. Riċerka preċedenti dwar ominidi bikrija hija partikolarment identifikata ma 'Mary Leakey u Louis Leakey, li kienu responsabbli għar-riċerka arkeoloġika preliminari f'Olorgesailie u Hyrax Hill. Aktar tard ix-xogħol fis-sit ta"&amp;" 'qabel sar minn Glynn Isaac.")</f>
        <v>Il-fossili misjuba fil-Kenja jissuġġerixxu li l-primati jimirħu ż-żona iktar minn 20 miljun sena ilu. Sejbiet riċenti qrib il-Lag Turkana jindikaw li ominidi bħal Homo habilis (1.8 u 2.5 miljun sena ilu) u Homo erectus (1.8 miljun sa 350,000 sena ilu) huma antenati diretti possibbli ta 'Homo sapiens moderni, u għexu fil-Kenja fl-epoka tal-Pleistocene. Waqt l-iskavi fil-Lag Turkana fl-1984, il-paleoantropologu Richard Leakey assistit minn Kamoya Kimeu skopra t-tifel Turkana, fossili ta '1.6 miljun sena li jappartjeni għal Homo erectus. Riċerka preċedenti dwar ominidi bikrija hija partikolarment identifikata ma 'Mary Leakey u Louis Leakey, li kienu responsabbli għar-riċerka arkeoloġika preliminari f'Olorgesailie u Hyrax Hill. Aktar tard ix-xogħol fis-sit ta 'qabel sar minn Glynn Isaac.</v>
      </c>
    </row>
    <row r="9541" ht="15.75" customHeight="1">
      <c r="A9541" s="2" t="s">
        <v>9541</v>
      </c>
      <c r="B9541" s="2" t="str">
        <f>IFERROR(__xludf.DUMMYFUNCTION("GOOGLETRANSLATE(A9541, ""en"", ""mt"")"),"Fuq liema ġurnata kellha s-Super Bowl?")</f>
        <v>Fuq liema ġurnata kellha s-Super Bowl?</v>
      </c>
    </row>
    <row r="9542" ht="15.75" customHeight="1">
      <c r="A9542" s="2" t="s">
        <v>9542</v>
      </c>
      <c r="B9542" s="2" t="str">
        <f>IFERROR(__xludf.DUMMYFUNCTION("GOOGLETRANSLATE(A9542, ""en"", ""mt"")"),"Is-snin sebgħin u 1980 raw il-ħolqien ta 'bosta pakketti ta' immaġini grafiċi għan-netwerk li fih ibbażat l-issettjar tal-logo prinċipalment fuq effetti speċjali tad-dawl imbagħad taħt żvilupp inklużi bojod, blu, roża, neon tal-qawsalla u linji bit-tikek "&amp;"glittering. Fost il-ħafna varjanti tal-logo ""ABC Circle"" kien hemm sekwenza ta 'l-ID tal-1977 li kienet tidher bużżieqa fuq sfond iswed li jirrappreżenta ċ-ċirku b'ittri tleqq tad-deheb, u bħala tali, kienet l-ewwel karta ta' identifikazzjoni ABC li kel"&amp;"lha dehra tridimensjonali.")</f>
        <v>Is-snin sebgħin u 1980 raw il-ħolqien ta 'bosta pakketti ta' immaġini grafiċi għan-netwerk li fih ibbażat l-issettjar tal-logo prinċipalment fuq effetti speċjali tad-dawl imbagħad taħt żvilupp inklużi bojod, blu, roża, neon tal-qawsalla u linji bit-tikek glittering. Fost il-ħafna varjanti tal-logo "ABC Circle" kien hemm sekwenza ta 'l-ID tal-1977 li kienet tidher bużżieqa fuq sfond iswed li jirrappreżenta ċ-ċirku b'ittri tleqq tad-deheb, u bħala tali, kienet l-ewwel karta ta' identifikazzjoni ABC li kellha dehra tridimensjonali.</v>
      </c>
    </row>
    <row r="9543" ht="15.75" customHeight="1">
      <c r="A9543" s="2" t="s">
        <v>9543</v>
      </c>
      <c r="B9543" s="2" t="str">
        <f>IFERROR(__xludf.DUMMYFUNCTION("GOOGLETRANSLATE(A9543, ""en"", ""mt"")"),"inqas")</f>
        <v>inqas</v>
      </c>
    </row>
    <row r="9544" ht="15.75" customHeight="1">
      <c r="A9544" s="2" t="s">
        <v>9544</v>
      </c>
      <c r="B9544" s="2" t="str">
        <f>IFERROR(__xludf.DUMMYFUNCTION("GOOGLETRANSLATE(A9544, ""en"", ""mt"")"),"Kemm għandu kwadrangles il-kwadrangles ewlenin?")</f>
        <v>Kemm għandu kwadrangles il-kwadrangles ewlenin?</v>
      </c>
    </row>
    <row r="9545" ht="15.75" customHeight="1">
      <c r="A9545" s="2" t="s">
        <v>9545</v>
      </c>
      <c r="B9545" s="2" t="str">
        <f>IFERROR(__xludf.DUMMYFUNCTION("GOOGLETRANSLATE(A9545, ""en"", ""mt"")"),"il-pussess ta 'individwi diġà sinjuri")</f>
        <v>il-pussess ta 'individwi diġà sinjuri</v>
      </c>
    </row>
    <row r="9546" ht="15.75" customHeight="1">
      <c r="A9546" s="2" t="s">
        <v>9546</v>
      </c>
      <c r="B9546" s="2" t="str">
        <f>IFERROR(__xludf.DUMMYFUNCTION("GOOGLETRANSLATE(A9546, ""en"", ""mt"")"),"Lbies ta 'taħt imkessaħ bl-ilma.")</f>
        <v>Lbies ta 'taħt imkessaħ bl-ilma.</v>
      </c>
    </row>
    <row r="9547" ht="15.75" customHeight="1">
      <c r="A9547" s="2" t="s">
        <v>9547</v>
      </c>
      <c r="B9547" s="2" t="str">
        <f>IFERROR(__xludf.DUMMYFUNCTION("GOOGLETRANSLATE(A9547, ""en"", ""mt"")"),"Tqassar il-cutoff")</f>
        <v>Tqassar il-cutoff</v>
      </c>
    </row>
    <row r="9548" ht="15.75" customHeight="1">
      <c r="A9548" s="2" t="s">
        <v>9548</v>
      </c>
      <c r="B9548" s="2" t="str">
        <f>IFERROR(__xludf.DUMMYFUNCTION("GOOGLETRANSLATE(A9548, ""en"", ""mt"")"),"Ir-riżultat tal-biċċa l-kbira tal-voti jista 'jiġi mbassar minn qabel peress li l-partiti politiċi normalment jagħtu struzzjonijiet lill-membri liema mod jivvutaw. Il-partijiet jafdaw xi MSPs, magħrufa bħala whips, bil-kompitu li jiżguraw li l-membri tal-"&amp;"partit jivvutaw skont il-linja tal-partit. L-MSPs m'għandhomx it-tendenza li jivvutaw kontra struzzjonijiet bħal dawn, peress li dawk li jagħmlu x'aktarx ma jilħqux gradi politiċi ogħla fil-partiti tagħhom. Membri erranti jistgħu jiġu magħżula bħala kandi"&amp;"dati uffiċjali tal-partit waqt elezzjonijiet futuri, u, f'każijiet serji, jistgħu jitkeċċew mill-partijiet tagħhom għal kollox. Għalhekk, bħal f'ħafna parlamenti, l-indipendenza tal-membri tal-Parlament Skoċċiż għandha tendenza li tkun baxxa, u r-ribelljo"&amp;"nijiet tal-backbench minn membri li huma mdejqa mal-politiki tal-partit tagħhom huma rari. Madankollu, f'xi ċirkostanzi, il-partijiet iħabbru ""voti b'xejn"", li jippermetti lill-membri jivvutaw kif jixtiequ. Dan tipikament isir fuq kwistjonijiet morali.")</f>
        <v>Ir-riżultat tal-biċċa l-kbira tal-voti jista 'jiġi mbassar minn qabel peress li l-partiti politiċi normalment jagħtu struzzjonijiet lill-membri liema mod jivvutaw. Il-partijiet jafdaw xi MSPs, magħrufa bħala whips, bil-kompitu li jiżguraw li l-membri tal-partit jivvutaw skont il-linja tal-partit. L-MSPs m'għandhomx it-tendenza li jivvutaw kontra struzzjonijiet bħal dawn, peress li dawk li jagħmlu x'aktarx ma jilħqux gradi politiċi ogħla fil-partiti tagħhom. Membri erranti jistgħu jiġu magħżula bħala kandidati uffiċjali tal-partit waqt elezzjonijiet futuri, u, f'każijiet serji, jistgħu jitkeċċew mill-partijiet tagħhom għal kollox. Għalhekk, bħal f'ħafna parlamenti, l-indipendenza tal-membri tal-Parlament Skoċċiż għandha tendenza li tkun baxxa, u r-ribelljonijiet tal-backbench minn membri li huma mdejqa mal-politiki tal-partit tagħhom huma rari. Madankollu, f'xi ċirkostanzi, il-partijiet iħabbru "voti b'xejn", li jippermetti lill-membri jivvutaw kif jixtiequ. Dan tipikament isir fuq kwistjonijiet morali.</v>
      </c>
    </row>
    <row r="9549" ht="15.75" customHeight="1">
      <c r="A9549" s="2" t="s">
        <v>9549</v>
      </c>
      <c r="B9549" s="2" t="str">
        <f>IFERROR(__xludf.DUMMYFUNCTION("GOOGLETRANSLATE(A9549, ""en"", ""mt"")"),"L-Atlantiku")</f>
        <v>L-Atlantiku</v>
      </c>
    </row>
    <row r="9550" ht="15.75" customHeight="1">
      <c r="A9550" s="2" t="s">
        <v>9550</v>
      </c>
      <c r="B9550" s="2" t="str">
        <f>IFERROR(__xludf.DUMMYFUNCTION("GOOGLETRANSLATE(A9550, ""en"", ""mt"")"),"X'jistgħu joħolqu l-impjanti tal-enerġija nukleari biex joħolqu l-elettriku?")</f>
        <v>X'jistgħu joħolqu l-impjanti tal-enerġija nukleari biex joħolqu l-elettriku?</v>
      </c>
    </row>
    <row r="9551" ht="15.75" customHeight="1">
      <c r="A9551" s="2" t="s">
        <v>9551</v>
      </c>
      <c r="B9551" s="2" t="str">
        <f>IFERROR(__xludf.DUMMYFUNCTION("GOOGLETRANSLATE(A9551, ""en"", ""mt"")"),"Ambjent ta 'Traslibunar billi tkejjel il-frekwenza u s-severità ta' l-impatti ta 'mikrometeoriti.")</f>
        <v>Ambjent ta 'Traslibunar billi tkejjel il-frekwenza u s-severità ta' l-impatti ta 'mikrometeoriti.</v>
      </c>
    </row>
    <row r="9552" ht="15.75" customHeight="1">
      <c r="A9552" s="2" t="s">
        <v>9552</v>
      </c>
      <c r="B9552" s="2" t="str">
        <f>IFERROR(__xludf.DUMMYFUNCTION("GOOGLETRANSLATE(A9552, ""en"", ""mt"")"),"Għaliex il-firien jistgħu ma jkunux responsabbli għall-pesta?")</f>
        <v>Għaliex il-firien jistgħu ma jkunux responsabbli għall-pesta?</v>
      </c>
    </row>
    <row r="9553" ht="15.75" customHeight="1">
      <c r="A9553" s="2" t="s">
        <v>9553</v>
      </c>
      <c r="B9553" s="2" t="str">
        <f>IFERROR(__xludf.DUMMYFUNCTION("GOOGLETRANSLATE(A9553, ""en"", ""mt"")"),"polinomju")</f>
        <v>polinomju</v>
      </c>
    </row>
    <row r="9554" ht="15.75" customHeight="1">
      <c r="A9554" s="2" t="s">
        <v>9554</v>
      </c>
      <c r="B9554" s="2" t="str">
        <f>IFERROR(__xludf.DUMMYFUNCTION("GOOGLETRANSLATE(A9554, ""en"", ""mt"")"),"Il-forza normali hija dovuta għal forzi repulsivi ta 'interazzjoni bejn l-atomi f'kuntatt mill-qrib. Meta s-sħab tal-elettroni tagħhom jikkoinċidu, ir-repulsjoni ta 'Pauli (minħabba n-natura fermjonika ta' l-elettroni) issegwi li tirriżulta fil-forza li t"&amp;"aġixxi f'direzzjoni normali għall-interface tal-wiċċ bejn żewġ oġġetti.:93 Il-forza normali, pereżempju, hija responsabbli għall-integrità strutturali ta 'tabelli u sulari kif ukoll il-forza li tirrispondi kull meta forza esterna timbotta fuq oġġett solid"&amp;"u. Eżempju tal-forza normali fl-azzjoni hija l-forza tal-impatt fuq oġġett li jiġġarraf f'wiċċ immobbli.")</f>
        <v>Il-forza normali hija dovuta għal forzi repulsivi ta 'interazzjoni bejn l-atomi f'kuntatt mill-qrib. Meta s-sħab tal-elettroni tagħhom jikkoinċidu, ir-repulsjoni ta 'Pauli (minħabba n-natura fermjonika ta' l-elettroni) issegwi li tirriżulta fil-forza li taġixxi f'direzzjoni normali għall-interface tal-wiċċ bejn żewġ oġġetti.:93 Il-forza normali, pereżempju, hija responsabbli għall-integrità strutturali ta 'tabelli u sulari kif ukoll il-forza li tirrispondi kull meta forza esterna timbotta fuq oġġett solidu. Eżempju tal-forza normali fl-azzjoni hija l-forza tal-impatt fuq oġġett li jiġġarraf f'wiċċ immobbli.</v>
      </c>
    </row>
    <row r="9555" ht="15.75" customHeight="1">
      <c r="A9555" s="2" t="s">
        <v>9555</v>
      </c>
      <c r="B9555" s="2" t="str">
        <f>IFERROR(__xludf.DUMMYFUNCTION("GOOGLETRANSLATE(A9555, ""en"", ""mt"")"),"Radar ta 'apertura sintetika")</f>
        <v>Radar ta 'apertura sintetika</v>
      </c>
    </row>
    <row r="9556" ht="15.75" customHeight="1">
      <c r="A9556" s="2" t="s">
        <v>9556</v>
      </c>
      <c r="B9556" s="2" t="str">
        <f>IFERROR(__xludf.DUMMYFUNCTION("GOOGLETRANSLATE(A9556, ""en"", ""mt"")"),"Taħt kundizzjonijiet bħal konċentrazzjonijiet għoljin ta 'CO2 atmosferiċi")</f>
        <v>Taħt kundizzjonijiet bħal konċentrazzjonijiet għoljin ta 'CO2 atmosferiċi</v>
      </c>
    </row>
    <row r="9557" ht="15.75" customHeight="1">
      <c r="A9557" s="2" t="s">
        <v>9557</v>
      </c>
      <c r="B9557" s="2" t="str">
        <f>IFERROR(__xludf.DUMMYFUNCTION("GOOGLETRANSLATE(A9557, ""en"", ""mt"")"),"Innu Luterani bikrija")</f>
        <v>Innu Luterani bikrija</v>
      </c>
    </row>
    <row r="9558" ht="15.75" customHeight="1">
      <c r="A9558" s="2" t="s">
        <v>9558</v>
      </c>
      <c r="B9558" s="2" t="str">
        <f>IFERROR(__xludf.DUMMYFUNCTION("GOOGLETRANSLATE(A9558, ""en"", ""mt"")"),"ħafna")</f>
        <v>ħafna</v>
      </c>
    </row>
    <row r="9559" ht="15.75" customHeight="1">
      <c r="A9559" s="2" t="s">
        <v>9559</v>
      </c>
      <c r="B9559" s="2" t="str">
        <f>IFERROR(__xludf.DUMMYFUNCTION("GOOGLETRANSLATE(A9559, ""en"", ""mt"")"),"Liema oġġett ċelesti ħarab l-isforzi biex ikejjel l-ossiġnu?")</f>
        <v>Liema oġġett ċelesti ħarab l-isforzi biex ikejjel l-ossiġnu?</v>
      </c>
    </row>
    <row r="9560" ht="15.75" customHeight="1">
      <c r="A9560" s="2" t="s">
        <v>9560</v>
      </c>
      <c r="B9560" s="2" t="str">
        <f>IFERROR(__xludf.DUMMYFUNCTION("GOOGLETRANSLATE(A9560, ""en"", ""mt"")"),"Direttur tal-Programm Apollo")</f>
        <v>Direttur tal-Programm Apollo</v>
      </c>
    </row>
    <row r="9561" ht="15.75" customHeight="1">
      <c r="A9561" s="2" t="s">
        <v>9561</v>
      </c>
      <c r="B9561" s="2" t="str">
        <f>IFERROR(__xludf.DUMMYFUNCTION("GOOGLETRANSLATE(A9561, ""en"", ""mt"")"),"Kif għex il-poplu Kikuyu?")</f>
        <v>Kif għex il-poplu Kikuyu?</v>
      </c>
    </row>
    <row r="9562" ht="15.75" customHeight="1">
      <c r="A9562" s="2" t="s">
        <v>9562</v>
      </c>
      <c r="B9562" s="2" t="str">
        <f>IFERROR(__xludf.DUMMYFUNCTION("GOOGLETRANSLATE(A9562, ""en"", ""mt"")"),"parteċipanti ġodda għall-professjoni tat-tagħlim")</f>
        <v>parteċipanti ġodda għall-professjoni tat-tagħlim</v>
      </c>
    </row>
    <row r="9563" ht="15.75" customHeight="1">
      <c r="A9563" s="2" t="s">
        <v>9563</v>
      </c>
      <c r="B9563" s="2" t="str">
        <f>IFERROR(__xludf.DUMMYFUNCTION("GOOGLETRANSLATE(A9563, ""en"", ""mt"")"),"Peress li l-għalliema jistgħu jaffettwaw kif l-istudenti jipperċepixxu l-materjali tal-kors, instab li l-għalliema li wrew entużjażmu lejn il-materjali tal-kors u l-istudenti jistgħu jaffettwaw esperjenza ta 'tagħlim pożittiva lejn il-materjali tal-kors. "&amp;"Dwar l-evalwazzjonijiet tal-għalliema / kors, instab li l-għalliema li għandhom dispożizzjoni pożittiva lejn il-kontenut tal-kors għandhom it-tendenza li jittrasferixxu l-passjoni tagħhom lil studenti riċettivi. Dawn l-għalliema ma jgħallmux minn Rote imm"&amp;"a jippruvaw isibu invigorazzjoni ġdida għall-materjali tal-kors kuljum. Waħda mid-diffikultajiet f'dan l-approċċ hija li l-għalliema setgħu koprew ripetutament kurrikulu sakemm jibdew iħossuhom imtaqqba bis-suġġett li min-naħa tiegħu jħares l-istudenti wk"&amp;"oll. Studenti li kellhom għalliema entużjasti għandhom it-tendenza li jivvalutawhom ogħla minn għalliema li ma wrewx ħafna entużjażmu għall-materjali tal-kors.")</f>
        <v>Peress li l-għalliema jistgħu jaffettwaw kif l-istudenti jipperċepixxu l-materjali tal-kors, instab li l-għalliema li wrew entużjażmu lejn il-materjali tal-kors u l-istudenti jistgħu jaffettwaw esperjenza ta 'tagħlim pożittiva lejn il-materjali tal-kors. Dwar l-evalwazzjonijiet tal-għalliema / kors, instab li l-għalliema li għandhom dispożizzjoni pożittiva lejn il-kontenut tal-kors għandhom it-tendenza li jittrasferixxu l-passjoni tagħhom lil studenti riċettivi. Dawn l-għalliema ma jgħallmux minn Rote imma jippruvaw isibu invigorazzjoni ġdida għall-materjali tal-kors kuljum. Waħda mid-diffikultajiet f'dan l-approċċ hija li l-għalliema setgħu koprew ripetutament kurrikulu sakemm jibdew iħossuhom imtaqqba bis-suġġett li min-naħa tiegħu jħares l-istudenti wkoll. Studenti li kellhom għalliema entużjasti għandhom it-tendenza li jivvalutawhom ogħla minn għalliema li ma wrewx ħafna entużjażmu għall-materjali tal-kors.</v>
      </c>
    </row>
    <row r="9564" ht="15.75" customHeight="1">
      <c r="A9564" s="2" t="s">
        <v>9564</v>
      </c>
      <c r="B9564" s="2" t="str">
        <f>IFERROR(__xludf.DUMMYFUNCTION("GOOGLETRANSLATE(A9564, ""en"", ""mt"")"),"Imnissel minn Italo-Norman jismu Raoul")</f>
        <v>Imnissel minn Italo-Norman jismu Raoul</v>
      </c>
    </row>
    <row r="9565" ht="15.75" customHeight="1">
      <c r="A9565" s="2" t="s">
        <v>9565</v>
      </c>
      <c r="B9565" s="2" t="str">
        <f>IFERROR(__xludf.DUMMYFUNCTION("GOOGLETRANSLATE(A9565, ""en"", ""mt"")"),"Mhux rivoluzzjonarju")</f>
        <v>Mhux rivoluzzjonarju</v>
      </c>
    </row>
    <row r="9566" ht="15.75" customHeight="1">
      <c r="A9566" s="2" t="s">
        <v>9566</v>
      </c>
      <c r="B9566" s="2" t="str">
        <f>IFERROR(__xludf.DUMMYFUNCTION("GOOGLETRANSLATE(A9566, ""en"", ""mt"")"),"Il-Kaptan huwa l-Archenemy tat-Tabib, Lord Renegade Time li jixtieq jirregola l-univers. Iddisinjat bħala ""Professur Moriarty għall-Sherlock Holmes tat-Tabib"", il-karattru deher l-ewwel darba fl-1971. Bħal ma 't-Tabib, ir-rwol ġie deskritt minn diversi "&amp;"atturi, peress li l-kaptan huwa wkoll Lord ta' żmien u kapaċi jirriġenera; L-ewwel wieħed minn dawn l-atturi kien Roger Delgado, li kompla fir-rwol sal-mewt tiegħu fl-1973. Il-kaptan kien lagħab fil-qosor minn Peter Pratt u Geoffrey Beevers sakemm Anthony"&amp;" Ainley ħa f'idejh u kompla jdoqq il-karattru sakemm it-Tabib Who's Hiatus fl-1989. Master irritorna fil-film televiżiv tal-1996 ta 'Doctor Who, u kien interpretat mill-attur Amerikan Eric Roberts.")</f>
        <v>Il-Kaptan huwa l-Archenemy tat-Tabib, Lord Renegade Time li jixtieq jirregola l-univers. Iddisinjat bħala "Professur Moriarty għall-Sherlock Holmes tat-Tabib", il-karattru deher l-ewwel darba fl-1971. Bħal ma 't-Tabib, ir-rwol ġie deskritt minn diversi atturi, peress li l-kaptan huwa wkoll Lord ta' żmien u kapaċi jirriġenera; L-ewwel wieħed minn dawn l-atturi kien Roger Delgado, li kompla fir-rwol sal-mewt tiegħu fl-1973. Il-kaptan kien lagħab fil-qosor minn Peter Pratt u Geoffrey Beevers sakemm Anthony Ainley ħa f'idejh u kompla jdoqq il-karattru sakemm it-Tabib Who's Hiatus fl-1989. Master irritorna fil-film televiżiv tal-1996 ta 'Doctor Who, u kien interpretat mill-attur Amerikan Eric Roberts.</v>
      </c>
    </row>
    <row r="9567" ht="15.75" customHeight="1">
      <c r="A9567" s="2" t="s">
        <v>9567</v>
      </c>
      <c r="B9567" s="2" t="str">
        <f>IFERROR(__xludf.DUMMYFUNCTION("GOOGLETRANSLATE(A9567, ""en"", ""mt"")"),"kapaċità li teżaġera")</f>
        <v>kapaċità li teżaġera</v>
      </c>
    </row>
    <row r="9568" ht="15.75" customHeight="1">
      <c r="A9568" s="2" t="s">
        <v>9568</v>
      </c>
      <c r="B9568" s="2" t="str">
        <f>IFERROR(__xludf.DUMMYFUNCTION("GOOGLETRANSLATE(A9568, ""en"", ""mt"")"),"Fid-dinja industrijalizzata moderna, il-kostruzzjoni ġeneralment tinvolvi t-traduzzjoni tad-disinji fir-realtà. Tim ta 'disinn formali jista' jkun immuntat biex jippjana l-proċeduri fiżiċi, u biex jintegra dawk il-proċeduri mal-partijiet l-oħra. Id-disinn"&amp;" ġeneralment jikkonsisti minn tpinġijiet u speċifikazzjonijiet, ġeneralment ippreparati minn tim tad-disinn li jinkludi perit, inġiniera ċivili, inġiniera mekkaniċi, inġiniera elettriċi, inġiniera strutturali, inġiniera tal-protezzjoni tan-nar, konsulenti"&amp;" tal-ippjanar, konsulenti arkitettoniċi, u konsulenti arkeoloġiċi. It-tim tad-disinn huwa l-iktar użat komunement minn (i.e. f'kuntratt ma ') is-sid tal-propjetà. Taħt din is-sistema, ladarba d-disinn jitlesta mit-tim tad-disinn, numru ta 'kumpaniji tal-k"&amp;"ostruzzjoni jew kumpaniji tal-ġestjoni tal-kostruzzjoni jistgħu mbagħad jintalbu jagħmlu offerta għax-xogħol, jew ibbażati direttament fuq id-disinn, jew fuq il-bażi tat-tpinġijiet u Abbozz ta ’Kwantitajiet ipprovduti minn Surveyor tal-Kwantità. Wara l-ev"&amp;"alwazzjoni tal-offerti, is-sid tipikament jagħti kuntratt lill-offerent l-iktar effiċjenti fl-infiq.")</f>
        <v>Fid-dinja industrijalizzata moderna, il-kostruzzjoni ġeneralment tinvolvi t-traduzzjoni tad-disinji fir-realtà. Tim ta 'disinn formali jista' jkun immuntat biex jippjana l-proċeduri fiżiċi, u biex jintegra dawk il-proċeduri mal-partijiet l-oħra. Id-disinn ġeneralment jikkonsisti minn tpinġijiet u speċifikazzjonijiet, ġeneralment ippreparati minn tim tad-disinn li jinkludi perit, inġiniera ċivili, inġiniera mekkaniċi, inġiniera elettriċi, inġiniera strutturali, inġiniera tal-protezzjoni tan-nar, konsulenti tal-ippjanar, konsulenti arkitettoniċi, u konsulenti arkeoloġiċi. It-tim tad-disinn huwa l-iktar użat komunement minn (i.e. f'kuntratt ma ') is-sid tal-propjetà. Taħt din is-sistema, ladarba d-disinn jitlesta mit-tim tad-disinn, numru ta 'kumpaniji tal-kostruzzjoni jew kumpaniji tal-ġestjoni tal-kostruzzjoni jistgħu mbagħad jintalbu jagħmlu offerta għax-xogħol, jew ibbażati direttament fuq id-disinn, jew fuq il-bażi tat-tpinġijiet u Abbozz ta ’Kwantitajiet ipprovduti minn Surveyor tal-Kwantità. Wara l-evalwazzjoni tal-offerti, is-sid tipikament jagħti kuntratt lill-offerent l-iktar effiċjenti fl-infiq.</v>
      </c>
    </row>
    <row r="9569" ht="15.75" customHeight="1">
      <c r="A9569" s="2" t="s">
        <v>9569</v>
      </c>
      <c r="B9569" s="2" t="str">
        <f>IFERROR(__xludf.DUMMYFUNCTION("GOOGLETRANSLATE(A9569, ""en"", ""mt"")"),"Liema kunflitti naqset il-mitigazzjoni tal-ożonu?")</f>
        <v>Liema kunflitti naqset il-mitigazzjoni tal-ożonu?</v>
      </c>
    </row>
    <row r="9570" ht="15.75" customHeight="1">
      <c r="A9570" s="2" t="s">
        <v>9570</v>
      </c>
      <c r="B9570" s="2" t="str">
        <f>IFERROR(__xludf.DUMMYFUNCTION("GOOGLETRANSLATE(A9570, ""en"", ""mt"")"),"metodi ta 'ħażna")</f>
        <v>metodi ta 'ħażna</v>
      </c>
    </row>
    <row r="9571" ht="15.75" customHeight="1">
      <c r="A9571" s="2" t="s">
        <v>9571</v>
      </c>
      <c r="B9571" s="2" t="str">
        <f>IFERROR(__xludf.DUMMYFUNCTION("GOOGLETRANSLATE(A9571, ""en"", ""mt"")"),"Charles W. Eliot, il-President 1869–1909, elimina l-pożizzjoni favorita tal-Kristjaneżmu mill-kurrikulu waqt li fetaħha għall-awto-direzzjoni tal-istudenti. Filwaqt li Eliot kien l-iktar figura kruċjali fis-sekularizzazzjoni tal-edukazzjoni għolja Amerika"&amp;"na, huwa kien motivat mhux minn xewqa li sekularizza l-edukazzjoni, iżda minn kundanni unitarji traxxendentisti. Derivati ​​minn William Ellery Channing u Ralph Waldo Emerson, dawn il-kundanni kienu ffokati fuq id-dinjità u l-valur tan-natura umana, id-dr"&amp;"itt u l-abbiltà ta 'kull persuna li tipperċepixxi l-verità, u l-alla li qed toqgħod f'kull persuna.")</f>
        <v>Charles W. Eliot, il-President 1869–1909, elimina l-pożizzjoni favorita tal-Kristjaneżmu mill-kurrikulu waqt li fetaħha għall-awto-direzzjoni tal-istudenti. Filwaqt li Eliot kien l-iktar figura kruċjali fis-sekularizzazzjoni tal-edukazzjoni għolja Amerikana, huwa kien motivat mhux minn xewqa li sekularizza l-edukazzjoni, iżda minn kundanni unitarji traxxendentisti. Derivati ​​minn William Ellery Channing u Ralph Waldo Emerson, dawn il-kundanni kienu ffokati fuq id-dinjità u l-valur tan-natura umana, id-dritt u l-abbiltà ta 'kull persuna li tipperċepixxi l-verità, u l-alla li qed toqgħod f'kull persuna.</v>
      </c>
    </row>
    <row r="9572" ht="15.75" customHeight="1">
      <c r="A9572" s="2" t="s">
        <v>9572</v>
      </c>
      <c r="B9572" s="2" t="str">
        <f>IFERROR(__xludf.DUMMYFUNCTION("GOOGLETRANSLATE(A9572, ""en"", ""mt"")"),"maġġoranza tas-siġġijiet,")</f>
        <v>maġġoranza tas-siġġijiet,</v>
      </c>
    </row>
    <row r="9573" ht="15.75" customHeight="1">
      <c r="A9573" s="2" t="s">
        <v>9573</v>
      </c>
      <c r="B9573" s="2" t="str">
        <f>IFERROR(__xludf.DUMMYFUNCTION("GOOGLETRANSLATE(A9573, ""en"", ""mt"")"),"L-Iżvezja v. Ir-Russja u l-Alleati")</f>
        <v>L-Iżvezja v. Ir-Russja u l-Alleati</v>
      </c>
    </row>
    <row r="9574" ht="15.75" customHeight="1">
      <c r="A9574" s="2" t="s">
        <v>9574</v>
      </c>
      <c r="B9574" s="2" t="str">
        <f>IFERROR(__xludf.DUMMYFUNCTION("GOOGLETRANSLATE(A9574, ""en"", ""mt"")"),"Xi jfittex li jwieġeb it-teorija tal-kumplessità tal-komputazzjoni l-iktar speċifikament?")</f>
        <v>Xi jfittex li jwieġeb it-teorija tal-kumplessità tal-komputazzjoni l-iktar speċifikament?</v>
      </c>
    </row>
    <row r="9575" ht="15.75" customHeight="1">
      <c r="A9575" s="2" t="s">
        <v>9575</v>
      </c>
      <c r="B9575" s="2" t="str">
        <f>IFERROR(__xludf.DUMMYFUNCTION("GOOGLETRANSLATE(A9575, ""en"", ""mt"")"),"Ma 'lepidodinium viride b'liema post il-kloroplast oriġinali tagħhom?")</f>
        <v>Ma 'lepidodinium viride b'liema post il-kloroplast oriġinali tagħhom?</v>
      </c>
    </row>
    <row r="9576" ht="15.75" customHeight="1">
      <c r="A9576" s="2" t="s">
        <v>9576</v>
      </c>
      <c r="B9576" s="2" t="str">
        <f>IFERROR(__xludf.DUMMYFUNCTION("GOOGLETRANSLATE(A9576, ""en"", ""mt"")"),"Escarpment ta 'Varsavja")</f>
        <v>Escarpment ta 'Varsavja</v>
      </c>
    </row>
    <row r="9577" ht="15.75" customHeight="1">
      <c r="A9577" s="2" t="s">
        <v>9577</v>
      </c>
      <c r="B9577" s="2" t="str">
        <f>IFERROR(__xludf.DUMMYFUNCTION("GOOGLETRANSLATE(A9577, ""en"", ""mt"")"),"Aċidu saliċiliku, aċidu ġiżmoniku, ossidu nitriku u speċi ta 'ossiġenu reattiv")</f>
        <v>Aċidu saliċiliku, aċidu ġiżmoniku, ossidu nitriku u speċi ta 'ossiġenu reattiv</v>
      </c>
    </row>
    <row r="9578" ht="15.75" customHeight="1">
      <c r="A9578" s="2" t="s">
        <v>9578</v>
      </c>
      <c r="B9578" s="2" t="str">
        <f>IFERROR(__xludf.DUMMYFUNCTION("GOOGLETRANSLATE(A9578, ""en"", ""mt"")"),"frammentazzjoni")</f>
        <v>frammentazzjoni</v>
      </c>
    </row>
    <row r="9579" ht="15.75" customHeight="1">
      <c r="A9579" s="2" t="s">
        <v>9579</v>
      </c>
      <c r="B9579" s="2" t="str">
        <f>IFERROR(__xludf.DUMMYFUNCTION("GOOGLETRANSLATE(A9579, ""en"", ""mt"")"),"In-nota tal-President Mongoljan Tsakhiagian Elbegdorj kienet ikkastigata b'mod sinifikanti mil-liġijiet ta 'Genghis Khan?")</f>
        <v>In-nota tal-President Mongoljan Tsakhiagian Elbegdorj kienet ikkastigata b'mod sinifikanti mil-liġijiet ta 'Genghis Khan?</v>
      </c>
    </row>
    <row r="9580" ht="15.75" customHeight="1">
      <c r="A9580" s="2" t="s">
        <v>9580</v>
      </c>
      <c r="B9580" s="2" t="str">
        <f>IFERROR(__xludf.DUMMYFUNCTION("GOOGLETRANSLATE(A9580, ""en"", ""mt"")"),"lisożima")</f>
        <v>lisożima</v>
      </c>
    </row>
    <row r="9581" ht="15.75" customHeight="1">
      <c r="A9581" s="2" t="s">
        <v>9581</v>
      </c>
      <c r="B9581" s="2" t="str">
        <f>IFERROR(__xludf.DUMMYFUNCTION("GOOGLETRANSLATE(A9581, ""en"", ""mt"")"),"Għal ħafna mill-istorja tal-bniedem livelli ta 'ħajja ogħla - stonku sħiħ, aċċess għal ilma nadif u sħana mill-fjuwil - wassal għal saħħa aħjar u ħajja itwal. Dan ix-xejra ta 'ħajja ogħla ta' dħul li għadha kemm hi żżomm fost pajjiżi l-aktar fqar, fejn l-"&amp;"istennija tal-ħajja tiżdied malajr hekk kif id-dħul per capita jiżdied, iżda f'dawn l-aħħar għexieren ta 'snin naqas fost il-pajjiżi tad-dħul medju u plateaued fost l-aktar sinjuri tletin pajjiż jew aktar fid-dinja. L-Amerikani jgħixu bħala medja (madwar "&amp;"77 sena fl-2004) minn Griegi (78 sena) jew New Zealanders (78), għalkemm l-Istati Uniti għandhom PGD ogħla per capita. L-istennija tal-ħajja fl-Iżvezja (80 sena) u l-Ġappun (82) - fejn id-dħul kien imqassam aktar bl-istess mod - kien itwal.")</f>
        <v>Għal ħafna mill-istorja tal-bniedem livelli ta 'ħajja ogħla - stonku sħiħ, aċċess għal ilma nadif u sħana mill-fjuwil - wassal għal saħħa aħjar u ħajja itwal. Dan ix-xejra ta 'ħajja ogħla ta' dħul li għadha kemm hi żżomm fost pajjiżi l-aktar fqar, fejn l-istennija tal-ħajja tiżdied malajr hekk kif id-dħul per capita jiżdied, iżda f'dawn l-aħħar għexieren ta 'snin naqas fost il-pajjiżi tad-dħul medju u plateaued fost l-aktar sinjuri tletin pajjiż jew aktar fid-dinja. L-Amerikani jgħixu bħala medja (madwar 77 sena fl-2004) minn Griegi (78 sena) jew New Zealanders (78), għalkemm l-Istati Uniti għandhom PGD ogħla per capita. L-istennija tal-ħajja fl-Iżvezja (80 sena) u l-Ġappun (82) - fejn id-dħul kien imqassam aktar bl-istess mod - kien itwal.</v>
      </c>
    </row>
    <row r="9582" ht="15.75" customHeight="1">
      <c r="A9582" s="2" t="s">
        <v>9582</v>
      </c>
      <c r="B9582" s="2" t="str">
        <f>IFERROR(__xludf.DUMMYFUNCTION("GOOGLETRANSLATE(A9582, ""en"", ""mt"")"),"Kunsill Eżekuttiv tal-WMO u Kunsill Governattiv tal-UNEP")</f>
        <v>Kunsill Eżekuttiv tal-WMO u Kunsill Governattiv tal-UNEP</v>
      </c>
    </row>
    <row r="9583" ht="15.75" customHeight="1">
      <c r="A9583" s="2" t="s">
        <v>9583</v>
      </c>
      <c r="B9583" s="2" t="str">
        <f>IFERROR(__xludf.DUMMYFUNCTION("GOOGLETRANSLATE(A9583, ""en"", ""mt"")"),"Għaliex il-flora ta 'Varsavja hija rikka ħafna fl-ispeċi?")</f>
        <v>Għaliex il-flora ta 'Varsavja hija rikka ħafna fl-ispeċi?</v>
      </c>
    </row>
    <row r="9584" ht="15.75" customHeight="1">
      <c r="A9584" s="2" t="s">
        <v>9584</v>
      </c>
      <c r="B9584" s="2" t="str">
        <f>IFERROR(__xludf.DUMMYFUNCTION("GOOGLETRANSLATE(A9584, ""en"", ""mt"")"),"undulating ġisimhom")</f>
        <v>undulating ġisimhom</v>
      </c>
    </row>
    <row r="9585" ht="15.75" customHeight="1">
      <c r="A9585" s="2" t="s">
        <v>9585</v>
      </c>
      <c r="B9585" s="2" t="str">
        <f>IFERROR(__xludf.DUMMYFUNCTION("GOOGLETRANSLATE(A9585, ""en"", ""mt"")"),"in-naħa tan-nofsinhar tal-ġnien")</f>
        <v>in-naħa tan-nofsinhar tal-ġnien</v>
      </c>
    </row>
    <row r="9586" ht="15.75" customHeight="1">
      <c r="A9586" s="2" t="s">
        <v>9586</v>
      </c>
      <c r="B9586" s="2" t="str">
        <f>IFERROR(__xludf.DUMMYFUNCTION("GOOGLETRANSLATE(A9586, ""en"", ""mt"")"),"Għal xiex hija magħrufa l-Gorge Rhine?")</f>
        <v>Għal xiex hija magħrufa l-Gorge Rhine?</v>
      </c>
    </row>
    <row r="9587" ht="15.75" customHeight="1">
      <c r="A9587" s="2" t="s">
        <v>9587</v>
      </c>
      <c r="B9587" s="2" t="str">
        <f>IFERROR(__xludf.DUMMYFUNCTION("GOOGLETRANSLATE(A9587, ""en"", ""mt"")"),"Is-sħubija pubblika-privata")</f>
        <v>Is-sħubija pubblika-privata</v>
      </c>
    </row>
    <row r="9588" ht="15.75" customHeight="1">
      <c r="A9588" s="2" t="s">
        <v>9588</v>
      </c>
      <c r="B9588" s="2" t="str">
        <f>IFERROR(__xludf.DUMMYFUNCTION("GOOGLETRANSLATE(A9588, ""en"", ""mt"")"),"Kumpanija Ohio")</f>
        <v>Kumpanija Ohio</v>
      </c>
    </row>
    <row r="9589" ht="15.75" customHeight="1">
      <c r="A9589" s="2" t="s">
        <v>9589</v>
      </c>
      <c r="B9589" s="2" t="str">
        <f>IFERROR(__xludf.DUMMYFUNCTION("GOOGLETRANSLATE(A9589, ""en"", ""mt"")"),"Testment il-Ġdid")</f>
        <v>Testment il-Ġdid</v>
      </c>
    </row>
    <row r="9590" ht="15.75" customHeight="1">
      <c r="A9590" s="2" t="s">
        <v>9590</v>
      </c>
      <c r="B9590" s="2" t="str">
        <f>IFERROR(__xludf.DUMMYFUNCTION("GOOGLETRANSLATE(A9590, ""en"", ""mt"")"),"perjodu ta 'dominazzjoni barranija")</f>
        <v>perjodu ta 'dominazzjoni barranija</v>
      </c>
    </row>
    <row r="9591" ht="15.75" customHeight="1">
      <c r="A9591" s="2" t="s">
        <v>9591</v>
      </c>
      <c r="B9591" s="2" t="str">
        <f>IFERROR(__xludf.DUMMYFUNCTION("GOOGLETRANSLATE(A9591, ""en"", ""mt"")"),"Inġinerija Ċivili jew Tqila Tqila")</f>
        <v>Inġinerija Ċivili jew Tqila Tqila</v>
      </c>
    </row>
    <row r="9592" ht="15.75" customHeight="1">
      <c r="A9592" s="2" t="s">
        <v>9592</v>
      </c>
      <c r="B9592" s="2" t="str">
        <f>IFERROR(__xludf.DUMMYFUNCTION("GOOGLETRANSLATE(A9592, ""en"", ""mt"")"),"Applikazzjonijiet ta 'appoġġ bħal imħatri onlajn, applikazzjonijiet finanzjarji")</f>
        <v>Applikazzjonijiet ta 'appoġġ bħal imħatri onlajn, applikazzjonijiet finanzjarji</v>
      </c>
    </row>
    <row r="9593" ht="15.75" customHeight="1">
      <c r="A9593" s="2" t="s">
        <v>9593</v>
      </c>
      <c r="B9593" s="2" t="str">
        <f>IFERROR(__xludf.DUMMYFUNCTION("GOOGLETRANSLATE(A9593, ""en"", ""mt"")"),"Densità akbar ta 'ilma kiesaħ")</f>
        <v>Densità akbar ta 'ilma kiesaħ</v>
      </c>
    </row>
    <row r="9594" ht="15.75" customHeight="1">
      <c r="A9594" s="2" t="s">
        <v>9594</v>
      </c>
      <c r="B9594" s="2" t="str">
        <f>IFERROR(__xludf.DUMMYFUNCTION("GOOGLETRANSLATE(A9594, ""en"", ""mt"")"),"Partit tal-Ħaddiema Magħquda Pollakka")</f>
        <v>Partit tal-Ħaddiema Magħquda Pollakka</v>
      </c>
    </row>
    <row r="9595" ht="15.75" customHeight="1">
      <c r="A9595" s="2" t="s">
        <v>9595</v>
      </c>
      <c r="B9595" s="2" t="str">
        <f>IFERROR(__xludf.DUMMYFUNCTION("GOOGLETRANSLATE(A9595, ""en"", ""mt"")"),"Kemm kienu timijiet fis-Super Bowl tmien darbiet?")</f>
        <v>Kemm kienu timijiet fis-Super Bowl tmien darbiet?</v>
      </c>
    </row>
    <row r="9596" ht="15.75" customHeight="1">
      <c r="A9596" s="2" t="s">
        <v>9596</v>
      </c>
      <c r="B9596" s="2" t="str">
        <f>IFERROR(__xludf.DUMMYFUNCTION("GOOGLETRANSLATE(A9596, ""en"", ""mt"")"),"Fejn kienet il-V &amp; A trasferita għal mill-post oriġinali tagħha f'Marlborough House?")</f>
        <v>Fejn kienet il-V &amp; A trasferita għal mill-post oriġinali tagħha f'Marlborough House?</v>
      </c>
    </row>
    <row r="9597" ht="15.75" customHeight="1">
      <c r="A9597" s="2" t="s">
        <v>9597</v>
      </c>
      <c r="B9597" s="2" t="str">
        <f>IFERROR(__xludf.DUMMYFUNCTION("GOOGLETRANSLATE(A9597, ""en"", ""mt"")"),"L-Isqof Lloyd Kristu")</f>
        <v>L-Isqof Lloyd Kristu</v>
      </c>
    </row>
    <row r="9598" ht="15.75" customHeight="1">
      <c r="A9598" s="2" t="s">
        <v>9598</v>
      </c>
      <c r="B9598" s="2" t="str">
        <f>IFERROR(__xludf.DUMMYFUNCTION("GOOGLETRANSLATE(A9598, ""en"", ""mt"")"),"Kollezzjoni permanenti ta 'aktar minn 4.5 miljun oġġett.")</f>
        <v>Kollezzjoni permanenti ta 'aktar minn 4.5 miljun oġġett.</v>
      </c>
    </row>
    <row r="9599" ht="15.75" customHeight="1">
      <c r="A9599" s="2" t="s">
        <v>9599</v>
      </c>
      <c r="B9599" s="2" t="str">
        <f>IFERROR(__xludf.DUMMYFUNCTION("GOOGLETRANSLATE(A9599, ""en"", ""mt"")"),"Newcastle għandha tliet katidrali, l-Anglikan San Nikola, bit-torri eleganti tal-fanal tal-1474, il-Kattolika Rumana Santa Marija ddisinjata minn Augustus Welby Pugin u l-Katidral Koptiku li jinsabu fi Fenham. It-tliet katidrali kollha bdew ħajjithom bħal"&amp;"a knejjes parrokkjali. Santa Marija saret katidral fl-1850 u San Nikola fl-1882. Knisja prominenti oħra fiċ-ċentru tal-belt hija l-Knisja ta ’San Tumas il-martri li hija l-unika knisja parrokkjali fil-Knisja tal-Ingilterra mingħajr parroċċa u li mhix part"&amp;"ikolari.")</f>
        <v>Newcastle għandha tliet katidrali, l-Anglikan San Nikola, bit-torri eleganti tal-fanal tal-1474, il-Kattolika Rumana Santa Marija ddisinjata minn Augustus Welby Pugin u l-Katidral Koptiku li jinsabu fi Fenham. It-tliet katidrali kollha bdew ħajjithom bħala knejjes parrokkjali. Santa Marija saret katidral fl-1850 u San Nikola fl-1882. Knisja prominenti oħra fiċ-ċentru tal-belt hija l-Knisja ta ’San Tumas il-martri li hija l-unika knisja parrokkjali fil-Knisja tal-Ingilterra mingħajr parroċċa u li mhix partikolari.</v>
      </c>
    </row>
    <row r="9600" ht="15.75" customHeight="1">
      <c r="A9600" s="2" t="s">
        <v>9600</v>
      </c>
      <c r="B9600" s="2" t="str">
        <f>IFERROR(__xludf.DUMMYFUNCTION("GOOGLETRANSLATE(A9600, ""en"", ""mt"")"),"biex tnaddafhom minn pjanti u sedimenti")</f>
        <v>biex tnaddafhom minn pjanti u sedimenti</v>
      </c>
    </row>
    <row r="9601" ht="15.75" customHeight="1">
      <c r="A9601" s="2" t="s">
        <v>9601</v>
      </c>
      <c r="B9601" s="2" t="str">
        <f>IFERROR(__xludf.DUMMYFUNCTION("GOOGLETRANSLATE(A9601, ""en"", ""mt"")"),"Telf ta 'fertilità tal-ħamrija u invażjoni tal-ħaxix ħażin")</f>
        <v>Telf ta 'fertilità tal-ħamrija u invażjoni tal-ħaxix ħażin</v>
      </c>
    </row>
    <row r="9602" ht="15.75" customHeight="1">
      <c r="A9602" s="2" t="s">
        <v>9602</v>
      </c>
      <c r="B9602" s="2" t="str">
        <f>IFERROR(__xludf.DUMMYFUNCTION("GOOGLETRANSLATE(A9602, ""en"", ""mt"")"),"66–34 Mya")</f>
        <v>66–34 Mya</v>
      </c>
    </row>
    <row r="9603" ht="15.75" customHeight="1">
      <c r="A9603" s="2" t="s">
        <v>9603</v>
      </c>
      <c r="B9603" s="2" t="str">
        <f>IFERROR(__xludf.DUMMYFUNCTION("GOOGLETRANSLATE(A9603, ""en"", ""mt"")"),"Min iġġieled fil-Gwerra l-Kbira tat-Tramuntana?")</f>
        <v>Min iġġieled fil-Gwerra l-Kbira tat-Tramuntana?</v>
      </c>
    </row>
    <row r="9604" ht="15.75" customHeight="1">
      <c r="A9604" s="2" t="s">
        <v>9604</v>
      </c>
      <c r="B9604" s="2" t="str">
        <f>IFERROR(__xludf.DUMMYFUNCTION("GOOGLETRANSLATE(A9604, ""en"", ""mt"")"),"Liema mill-invenzjonijiet ta 'Tesla ntużaw fl-iżvilupp tar-radju?")</f>
        <v>Liema mill-invenzjonijiet ta 'Tesla ntużaw fl-iżvilupp tar-radju?</v>
      </c>
    </row>
    <row r="9605" ht="15.75" customHeight="1">
      <c r="A9605" s="2" t="s">
        <v>9605</v>
      </c>
      <c r="B9605" s="2" t="str">
        <f>IFERROR(__xludf.DUMMYFUNCTION("GOOGLETRANSLATE(A9605, ""en"", ""mt"")"),"Bits tal-metall ipproġettati mill-pistola elettrika tiegħu, ""tiegħu,")</f>
        <v>Bits tal-metall ipproġettati mill-pistola elettrika tiegħu, "tiegħu,</v>
      </c>
    </row>
    <row r="9606" ht="15.75" customHeight="1">
      <c r="A9606" s="2" t="s">
        <v>9606</v>
      </c>
      <c r="B9606" s="2" t="str">
        <f>IFERROR(__xludf.DUMMYFUNCTION("GOOGLETRANSLATE(A9606, ""en"", ""mt"")"),"Stħarriġ ġeofiżiku")</f>
        <v>Stħarriġ ġeofiżiku</v>
      </c>
    </row>
    <row r="9607" ht="15.75" customHeight="1">
      <c r="A9607" s="2" t="s">
        <v>9607</v>
      </c>
      <c r="B9607" s="2" t="str">
        <f>IFERROR(__xludf.DUMMYFUNCTION("GOOGLETRANSLATE(A9607, ""en"", ""mt"")"),"Liema operaturi tas-sapun ikkanċellaw fl-2011?")</f>
        <v>Liema operaturi tas-sapun ikkanċellaw fl-2011?</v>
      </c>
    </row>
    <row r="9608" ht="15.75" customHeight="1">
      <c r="A9608" s="2" t="s">
        <v>9608</v>
      </c>
      <c r="B9608" s="2" t="str">
        <f>IFERROR(__xludf.DUMMYFUNCTION("GOOGLETRANSLATE(A9608, ""en"", ""mt"")"),"US $ 1,000,000")</f>
        <v>US $ 1,000,000</v>
      </c>
    </row>
    <row r="9609" ht="15.75" customHeight="1">
      <c r="A9609" s="2" t="s">
        <v>9609</v>
      </c>
      <c r="B9609" s="2" t="str">
        <f>IFERROR(__xludf.DUMMYFUNCTION("GOOGLETRANSLATE(A9609, ""en"", ""mt"")"),"Qaddisin Kattoliċi Frail")</f>
        <v>Qaddisin Kattoliċi Frail</v>
      </c>
    </row>
    <row r="9610" ht="15.75" customHeight="1">
      <c r="A9610" s="2" t="s">
        <v>9610</v>
      </c>
      <c r="B9610" s="2" t="str">
        <f>IFERROR(__xludf.DUMMYFUNCTION("GOOGLETRANSLATE(A9610, ""en"", ""mt"")"),"Fejn ġew meqjusa ħut erbivori li jitimgħu fuq zooplankton ġelatinuż?")</f>
        <v>Fejn ġew meqjusa ħut erbivori li jitimgħu fuq zooplankton ġelatinuż?</v>
      </c>
    </row>
    <row r="9611" ht="15.75" customHeight="1">
      <c r="A9611" s="2" t="s">
        <v>9611</v>
      </c>
      <c r="B9611" s="2" t="str">
        <f>IFERROR(__xludf.DUMMYFUNCTION("GOOGLETRANSLATE(A9611, ""en"", ""mt"")"),"Mill-fondazzjoni tagħha, it-trattati fittxew li jippermettu lin-nies isegwu l-għanijiet tal-ħajja tagħhom fi kwalunkwe pajjiż permezz ta 'moviment liberu. Jirriflettu n-natura ekonomika tal-proġett, il-komunità Ewropea oriġinarjament iffokata fuq il-movim"&amp;"ent liberu tal-ħaddiema: bħala ""fattur ta 'produzzjoni"". Madankollu, mis-snin sebgħin, din il-fokus inbidlet lejn l-iżvilupp ta 'Ewropa aktar ""soċjali"". Il-moviment liberu kien dejjem aktar ibbażat fuq ""ċittadinanza"", sabiex in-nies kellhom id-dritt"&amp;"ijiet biex jagħtuhom is-setgħa biex isiru attivi ekonomikament u soċjalment, aktar milli attività ekonomika li tkun prekundizzjoni għad-drittijiet. Dan ifisser li d-drittijiet bażiċi ""tal-ħaddiem"" fl-Artikolu 45 tat-TFEU jiffunzjonaw bħala espressjoni s"&amp;"peċifika tad-drittijiet ġenerali taċ-ċittadini fl-Artikoli TFEU 18 sa 21. Skond il-Qorti tal-Ġustizzja, ""ħaddiem"" huwa kull min hu ekonomikament attiv, li jinkludi Kulħadd f'relazzjoni ta 'impjieg, ""taħt id-direzzjoni ta' persuna oħra"" għal ""remunera"&amp;"zzjoni"". Xogħol, madankollu, m'għandux għalfejn jitħallas fi flus biex xi ħadd ikun protett bħala ħaddiem. Pereżempju, fi Steymann v Staatssecretaris van Justitie, raġel Ġermaniż iddikjara d-dritt għar-residenza fl-Olanda, waqt li kien volontarju għall-p"&amp;"lumbing u d-dmirijiet tad-dar fil-komunità ta 'Bhagwan, li pprovda għall-ħtiġijiet materjali ta' kulħadd irrispettivament mill-kontribuzzjonijiet tagħhom. Il-Qorti tal-Ġustizzja ddeċidiet li s-Sur Steymann kien intitolat li jibqa ', sakemm kien hemm mill-"&amp;"inqas ""indirett quid pro quo"" għax-xogħol li għamel. Li jkollok status ta '""ħaddiem"" tfisser protezzjoni kontra kull forma ta' diskriminazzjoni mill-gvernijiet, u min iħaddem, f'aċċess għad-drittijiet tal-impjieg, tat-taxxa u tas-sigurtà soċjali. B'ku"&amp;"ntrast ma 'ċittadin, li huwa ""kwalunkwe persuna li għandha n-nazzjonalità ta' Stat Membru"" (l-Artikolu 20 (1) TFEU), għandha drittijiet li tfittex xogħol, tivvota fl-elezzjonijiet lokali u Ewropej, iżda drittijiet aktar ristretti biex titlob is-Sigurtà "&amp;"Soċjali. Fil-prattika, il-moviment liberu sar politikament kontenzjuż hekk kif il-partiti politiċi nazzjonalisti mmanipulaw biżgħat dwar l-immigranti li jneħħu l-impjiegi u l-benefiċċji tan-nies (paradossalment fl-istess ħin). Madankollu, prattikament ""i"&amp;"r-riċerka disponibbli kollha ssib ftit impatt"" ta '""mobilità tax-xogħol fuq il-pagi u l-impjiegi ta' ħaddiema lokali"".")</f>
        <v>Mill-fondazzjoni tagħha, it-trattati fittxew li jippermettu lin-nies isegwu l-għanijiet tal-ħajja tagħhom fi kwalunkwe pajjiż permezz ta 'moviment liberu. Jirriflettu n-natura ekonomika tal-proġett, il-komunità Ewropea oriġinarjament iffokata fuq il-moviment liberu tal-ħaddiema: bħala "fattur ta 'produzzjoni". Madankollu, mis-snin sebgħin, din il-fokus inbidlet lejn l-iżvilupp ta 'Ewropa aktar "soċjali". Il-moviment liberu kien dejjem aktar ibbażat fuq "ċittadinanza", sabiex in-nies kellhom id-drittijiet biex jagħtuhom is-setgħa biex isiru attivi ekonomikament u soċjalment, aktar milli attività ekonomika li tkun prekundizzjoni għad-drittijiet. Dan ifisser li d-drittijiet bażiċi "tal-ħaddiem" fl-Artikolu 45 tat-TFEU jiffunzjonaw bħala espressjoni speċifika tad-drittijiet ġenerali taċ-ċittadini fl-Artikoli TFEU 18 sa 21. Skond il-Qorti tal-Ġustizzja, "ħaddiem" huwa kull min hu ekonomikament attiv, li jinkludi Kulħadd f'relazzjoni ta 'impjieg, "taħt id-direzzjoni ta' persuna oħra" għal "remunerazzjoni". Xogħol, madankollu, m'għandux għalfejn jitħallas fi flus biex xi ħadd ikun protett bħala ħaddiem. Pereżempju, fi Steymann v Staatssecretaris van Justitie, raġel Ġermaniż iddikjara d-dritt għar-residenza fl-Olanda, waqt li kien volontarju għall-plumbing u d-dmirijiet tad-dar fil-komunità ta 'Bhagwan, li pprovda għall-ħtiġijiet materjali ta' kulħadd irrispettivament mill-kontribuzzjonijiet tagħhom. Il-Qorti tal-Ġustizzja ddeċidiet li s-Sur Steymann kien intitolat li jibqa ', sakemm kien hemm mill-inqas "indirett quid pro quo" għax-xogħol li għamel. Li jkollok status ta '"ħaddiem" tfisser protezzjoni kontra kull forma ta' diskriminazzjoni mill-gvernijiet, u min iħaddem, f'aċċess għad-drittijiet tal-impjieg, tat-taxxa u tas-sigurtà soċjali. B'kuntrast ma 'ċittadin, li huwa "kwalunkwe persuna li għandha n-nazzjonalità ta' Stat Membru" (l-Artikolu 20 (1) TFEU), għandha drittijiet li tfittex xogħol, tivvota fl-elezzjonijiet lokali u Ewropej, iżda drittijiet aktar ristretti biex titlob is-Sigurtà Soċjali. Fil-prattika, il-moviment liberu sar politikament kontenzjuż hekk kif il-partiti politiċi nazzjonalisti mmanipulaw biżgħat dwar l-immigranti li jneħħu l-impjiegi u l-benefiċċji tan-nies (paradossalment fl-istess ħin). Madankollu, prattikament "ir-riċerka disponibbli kollha ssib ftit impatt" ta '"mobilità tax-xogħol fuq il-pagi u l-impjiegi ta' ħaddiema lokali".</v>
      </c>
    </row>
    <row r="9612" ht="15.75" customHeight="1">
      <c r="A9612" s="2" t="s">
        <v>9612</v>
      </c>
      <c r="B9612" s="2" t="str">
        <f>IFERROR(__xludf.DUMMYFUNCTION("GOOGLETRANSLATE(A9612, ""en"", ""mt"")"),"ħoss każwali")</f>
        <v>ħoss każwali</v>
      </c>
    </row>
    <row r="9613" ht="15.75" customHeight="1">
      <c r="A9613" s="2" t="s">
        <v>9613</v>
      </c>
      <c r="B9613" s="2" t="str">
        <f>IFERROR(__xludf.DUMMYFUNCTION("GOOGLETRANSLATE(A9613, ""en"", ""mt"")"),"Li ħa l-kontroll tal-kumpanija ta ’Edison.")</f>
        <v>Li ħa l-kontroll tal-kumpanija ta ’Edison.</v>
      </c>
    </row>
    <row r="9614" ht="15.75" customHeight="1">
      <c r="A9614" s="2" t="s">
        <v>9614</v>
      </c>
      <c r="B9614" s="2" t="str">
        <f>IFERROR(__xludf.DUMMYFUNCTION("GOOGLETRANSLATE(A9614, ""en"", ""mt"")"),"X'inhi l-aħjar klassifikazzjoni tal-QB li Cam Newton għandha?")</f>
        <v>X'inhi l-aħjar klassifikazzjoni tal-QB li Cam Newton għandha?</v>
      </c>
    </row>
    <row r="9615" ht="15.75" customHeight="1">
      <c r="A9615" s="2" t="s">
        <v>9615</v>
      </c>
      <c r="B9615" s="2" t="str">
        <f>IFERROR(__xludf.DUMMYFUNCTION("GOOGLETRANSLATE(A9615, ""en"", ""mt"")"),"kondotta ħażina professjonali")</f>
        <v>kondotta ħażina professjonali</v>
      </c>
    </row>
    <row r="9616" ht="15.75" customHeight="1">
      <c r="A9616" s="2" t="s">
        <v>9616</v>
      </c>
      <c r="B9616" s="2" t="str">
        <f>IFERROR(__xludf.DUMMYFUNCTION("GOOGLETRANSLATE(A9616, ""en"", ""mt"")"),"Liema żewġ netwerks tar-radju kellhom l-RCA?")</f>
        <v>Liema żewġ netwerks tar-radju kellhom l-RCA?</v>
      </c>
    </row>
    <row r="9617" ht="15.75" customHeight="1">
      <c r="A9617" s="2" t="s">
        <v>9617</v>
      </c>
      <c r="B9617" s="2" t="str">
        <f>IFERROR(__xludf.DUMMYFUNCTION("GOOGLETRANSLATE(A9617, ""en"", ""mt"")"),"Intraprenditorija bbażata fuq il-ħtieġa")</f>
        <v>Intraprenditorija bbażata fuq il-ħtieġa</v>
      </c>
    </row>
    <row r="9618" ht="15.75" customHeight="1">
      <c r="A9618" s="2" t="s">
        <v>9618</v>
      </c>
      <c r="B9618" s="2" t="str">
        <f>IFERROR(__xludf.DUMMYFUNCTION("GOOGLETRANSLATE(A9618, ""en"", ""mt"")"),"Proġetti tal-Missili tal-Air Force")</f>
        <v>Proġetti tal-Missili tal-Air Force</v>
      </c>
    </row>
    <row r="9619" ht="15.75" customHeight="1">
      <c r="A9619" s="2" t="s">
        <v>9619</v>
      </c>
      <c r="B9619" s="2" t="str">
        <f>IFERROR(__xludf.DUMMYFUNCTION("GOOGLETRANSLATE(A9619, ""en"", ""mt"")"),"X'inhu l-isem tal-moviment li jfittex l-użu mġedded tal-enerġija tal-fwar fl-era moderna?")</f>
        <v>X'inhu l-isem tal-moviment li jfittex l-użu mġedded tal-enerġija tal-fwar fl-era moderna?</v>
      </c>
    </row>
    <row r="9620" ht="15.75" customHeight="1">
      <c r="A9620" s="2" t="s">
        <v>9620</v>
      </c>
      <c r="B9620" s="2" t="str">
        <f>IFERROR(__xludf.DUMMYFUNCTION("GOOGLETRANSLATE(A9620, ""en"", ""mt"")"),"Ġeokronologi")</f>
        <v>Ġeokronologi</v>
      </c>
    </row>
    <row r="9621" ht="15.75" customHeight="1">
      <c r="A9621" s="2" t="s">
        <v>9621</v>
      </c>
      <c r="B9621" s="2" t="str">
        <f>IFERROR(__xludf.DUMMYFUNCTION("GOOGLETRANSLATE(A9621, ""en"", ""mt"")"),"predaturi")</f>
        <v>predaturi</v>
      </c>
    </row>
    <row r="9622" ht="15.75" customHeight="1">
      <c r="A9622" s="2" t="s">
        <v>9622</v>
      </c>
      <c r="B9622" s="2" t="str">
        <f>IFERROR(__xludf.DUMMYFUNCTION("GOOGLETRANSLATE(A9622, ""en"", ""mt"")"),"Nuqqas ta 'fehim tar-ramifikazzjonijiet legali, jew minħabba biża' li tidher rude.")</f>
        <v>Nuqqas ta 'fehim tar-ramifikazzjonijiet legali, jew minħabba biża' li tidher rude.</v>
      </c>
    </row>
    <row r="9623" ht="15.75" customHeight="1">
      <c r="A9623" s="2" t="s">
        <v>9623</v>
      </c>
      <c r="B9623" s="2" t="str">
        <f>IFERROR(__xludf.DUMMYFUNCTION("GOOGLETRANSLATE(A9623, ""en"", ""mt"")"),"X'tip ta 'intervent ikun qed jinbidel l-ambjent tax-xogħol?")</f>
        <v>X'tip ta 'intervent ikun qed jinbidel l-ambjent tax-xogħol?</v>
      </c>
    </row>
    <row r="9624" ht="15.75" customHeight="1">
      <c r="A9624" s="2" t="s">
        <v>9624</v>
      </c>
      <c r="B9624" s="2" t="str">
        <f>IFERROR(__xludf.DUMMYFUNCTION("GOOGLETRANSLATE(A9624, ""en"", ""mt"")"),"Min ikklassifika lil Varsavja bħala t-32 belt l-iktar ħajjin fid-dinja?")</f>
        <v>Min ikklassifika lil Varsavja bħala t-32 belt l-iktar ħajjin fid-dinja?</v>
      </c>
    </row>
    <row r="9625" ht="15.75" customHeight="1">
      <c r="A9625" s="2" t="s">
        <v>9625</v>
      </c>
      <c r="B9625" s="2" t="str">
        <f>IFERROR(__xludf.DUMMYFUNCTION("GOOGLETRANSLATE(A9625, ""en"", ""mt"")"),"L-istil tal-ħġieġ Art Noveau huwa rrappreżentat minn liema żewġ artisti?")</f>
        <v>L-istil tal-ħġieġ Art Noveau huwa rrappreżentat minn liema żewġ artisti?</v>
      </c>
    </row>
    <row r="9626" ht="15.75" customHeight="1">
      <c r="A9626" s="2" t="s">
        <v>9626</v>
      </c>
      <c r="B9626" s="2" t="str">
        <f>IFERROR(__xludf.DUMMYFUNCTION("GOOGLETRANSLATE(A9626, ""en"", ""mt"")"),"il-forom inġusti ta 'awtorità")</f>
        <v>il-forom inġusti ta 'awtorità</v>
      </c>
    </row>
    <row r="9627" ht="15.75" customHeight="1">
      <c r="A9627" s="2" t="s">
        <v>9627</v>
      </c>
      <c r="B9627" s="2" t="str">
        <f>IFERROR(__xludf.DUMMYFUNCTION("GOOGLETRANSLATE(A9627, ""en"", ""mt"")"),"2 Differenzi Beten X.25 u Arpnet Cita Technologies")</f>
        <v>2 Differenzi Beten X.25 u Arpnet Cita Technologies</v>
      </c>
    </row>
    <row r="9628" ht="15.75" customHeight="1">
      <c r="A9628" s="2" t="s">
        <v>9628</v>
      </c>
      <c r="B9628" s="2" t="str">
        <f>IFERROR(__xludf.DUMMYFUNCTION("GOOGLETRANSLATE(A9628, ""en"", ""mt"")"),"Kelma tal-kodiċi li tiddeskrivi l-attivitajiet ta 'muggers, arsonisti, abbozzi ta' evaders")</f>
        <v>Kelma tal-kodiċi li tiddeskrivi l-attivitajiet ta 'muggers, arsonisti, abbozzi ta' evaders</v>
      </c>
    </row>
    <row r="9629" ht="15.75" customHeight="1">
      <c r="A9629" s="2" t="s">
        <v>9629</v>
      </c>
      <c r="B9629" s="2" t="str">
        <f>IFERROR(__xludf.DUMMYFUNCTION("GOOGLETRANSLATE(A9629, ""en"", ""mt"")"),"pagi jew salarju")</f>
        <v>pagi jew salarju</v>
      </c>
    </row>
    <row r="9630" ht="15.75" customHeight="1">
      <c r="A9630" s="2" t="s">
        <v>9630</v>
      </c>
      <c r="B9630" s="2" t="str">
        <f>IFERROR(__xludf.DUMMYFUNCTION("GOOGLETRANSLATE(A9630, ""en"", ""mt"")"),"Il-privattiva ta 'Tesla probabbilment tikkontrolla s-suq")</f>
        <v>Il-privattiva ta 'Tesla probabbilment tikkontrolla s-suq</v>
      </c>
    </row>
    <row r="9631" ht="15.75" customHeight="1">
      <c r="A9631" s="2" t="s">
        <v>9631</v>
      </c>
      <c r="B9631" s="2" t="str">
        <f>IFERROR(__xludf.DUMMYFUNCTION("GOOGLETRANSLATE(A9631, ""en"", ""mt"")"),"Movimenti anti-kolonjali")</f>
        <v>Movimenti anti-kolonjali</v>
      </c>
    </row>
    <row r="9632" ht="15.75" customHeight="1">
      <c r="A9632" s="2" t="s">
        <v>9632</v>
      </c>
      <c r="B9632" s="2" t="str">
        <f>IFERROR(__xludf.DUMMYFUNCTION("GOOGLETRANSLATE(A9632, ""en"", ""mt"")"),"Kif qed jinbidel iċ-ċirkwit charecterized")</f>
        <v>Kif qed jinbidel iċ-ċirkwit charecterized</v>
      </c>
    </row>
    <row r="9633" ht="15.75" customHeight="1">
      <c r="A9633" s="2" t="s">
        <v>9633</v>
      </c>
      <c r="B9633" s="2" t="str">
        <f>IFERROR(__xludf.DUMMYFUNCTION("GOOGLETRANSLATE(A9633, ""en"", ""mt"")"),"Agħmel pjanijiet dettaljati u żżomm sorveljanza bir-reqqa")</f>
        <v>Agħmel pjanijiet dettaljati u żżomm sorveljanza bir-reqqa</v>
      </c>
    </row>
    <row r="9634" ht="15.75" customHeight="1">
      <c r="A9634" s="2" t="s">
        <v>9634</v>
      </c>
      <c r="B9634" s="2" t="str">
        <f>IFERROR(__xludf.DUMMYFUNCTION("GOOGLETRANSLATE(A9634, ""en"", ""mt"")"),"Komposti ta 'ossiġnu")</f>
        <v>Komposti ta 'ossiġnu</v>
      </c>
    </row>
    <row r="9635" ht="15.75" customHeight="1">
      <c r="A9635" s="2" t="s">
        <v>9635</v>
      </c>
      <c r="B9635" s="2" t="str">
        <f>IFERROR(__xludf.DUMMYFUNCTION("GOOGLETRANSLATE(A9635, ""en"", ""mt"")"),"Hemm varjetà ta 'korpi ddisinjati biex iwaqqfu, jippreservaw u jaġġornaw l-għarfien u l-pożizzjoni professjonali tal-għalliema. Madwar id-dinja ħafna gvernijiet joperaw kulleġġi tal-għalliema, li ġeneralment huma stabbiliti biex iservu u jipproteġu l-inte"&amp;"ress pubbliku billi jiċċertifikaw, jirregolaw u jinfurzaw l-istandards tal-prattika għall-professjoni tat-tagħlim.")</f>
        <v>Hemm varjetà ta 'korpi ddisinjati biex iwaqqfu, jippreservaw u jaġġornaw l-għarfien u l-pożizzjoni professjonali tal-għalliema. Madwar id-dinja ħafna gvernijiet joperaw kulleġġi tal-għalliema, li ġeneralment huma stabbiliti biex iservu u jipproteġu l-interess pubbliku billi jiċċertifikaw, jirregolaw u jinfurzaw l-istandards tal-prattika għall-professjoni tat-tagħlim.</v>
      </c>
    </row>
    <row r="9636" ht="15.75" customHeight="1">
      <c r="A9636" s="2" t="s">
        <v>9636</v>
      </c>
      <c r="B9636" s="2" t="str">
        <f>IFERROR(__xludf.DUMMYFUNCTION("GOOGLETRANSLATE(A9636, ""en"", ""mt"")"),"Sorsi kkonċentrati ħafna ta 'ossiġnu jippromwovu kombustjoni rapida. Perikli tan-nar u ta 'splużjoni jeżistu meta ossidanti u karburanti kkonċentrati jinġiebu viċin; Avveniment ta 'tqabbid, bħal sħana jew xrar, huwa meħtieġ biex jiskatta l-kombustjoni. L-"&amp;"ossiġnu huwa l-ossidant, mhux il-fjuwil, iżda madankollu s-sors ta 'ħafna mill-enerġija kimika rilaxxata fil-kombustjoni. Il-perikli tal-kombustjoni japplikaw ukoll għal komposti ta 'ossiġenu b'potenzjal ossidattiv għoli, bħal perossidi, klorati, nitrati,"&amp;" perklorati, u dikromi minħabba li jistgħu jagħtu ossiġnu għal nar.")</f>
        <v>Sorsi kkonċentrati ħafna ta 'ossiġnu jippromwovu kombustjoni rapida. Perikli tan-nar u ta 'splużjoni jeżistu meta ossidanti u karburanti kkonċentrati jinġiebu viċin; Avveniment ta 'tqabbid, bħal sħana jew xrar, huwa meħtieġ biex jiskatta l-kombustjoni. L-ossiġnu huwa l-ossidant, mhux il-fjuwil, iżda madankollu s-sors ta 'ħafna mill-enerġija kimika rilaxxata fil-kombustjoni. Il-perikli tal-kombustjoni japplikaw ukoll għal komposti ta 'ossiġenu b'potenzjal ossidattiv għoli, bħal perossidi, klorati, nitrati, perklorati, u dikromi minħabba li jistgħu jagħtu ossiġnu għal nar.</v>
      </c>
    </row>
    <row r="9637" ht="15.75" customHeight="1">
      <c r="A9637" s="2" t="s">
        <v>9637</v>
      </c>
      <c r="B9637" s="2" t="str">
        <f>IFERROR(__xludf.DUMMYFUNCTION("GOOGLETRANSLATE(A9637, ""en"", ""mt"")"),"Il-funzjonijiet tal-kulleġġi tal-għalliem jistgħu jinkludu l-istabbiliment ta 'standards ċari ta' prattika, li jipprovdu għall-edukazzjoni kontinwa tal-għalliema, jinvestigaw ilmenti li jinvolvu membri, isiru seduti f'allegazzjonijiet ta 'kondotta ħażina "&amp;"professjonali u jieħdu azzjoni dixxiplinarja xierqa u jakkreditaw programmi ta' edukazzjoni tal-għalliema. F’ħafna sitwazzjonijiet l-għalliema fi skejjel iffinanzjati pubblikament għandhom ikunu membri f’qagħda tajba mal-kulleġġ, u l-iskejjel privati ​​ji"&amp;"stgħu jeħtieġu wkoll li l-għalliema tagħhom ikunu popli tal-kulleġġ. F'oqsma oħra dawn l-irwoli jistgħu jagħmlu parti mill-Bord tal-Edukazzjoni tal-Istat, is-Supretendent tal-Istruzzjoni Pubblika, l-Aġenzija tal-Edukazzjoni tal-Istat jew korpi governattiv"&amp;"i oħra. F’oqsma oħra li għadhom it-tagħlim tal-għaqdiet jistgħu jkunu responsabbli għal uħud jew għal dawn id-dmirijiet kollha.")</f>
        <v>Il-funzjonijiet tal-kulleġġi tal-għalliem jistgħu jinkludu l-istabbiliment ta 'standards ċari ta' prattika, li jipprovdu għall-edukazzjoni kontinwa tal-għalliema, jinvestigaw ilmenti li jinvolvu membri, isiru seduti f'allegazzjonijiet ta 'kondotta ħażina professjonali u jieħdu azzjoni dixxiplinarja xierqa u jakkreditaw programmi ta' edukazzjoni tal-għalliema. F’ħafna sitwazzjonijiet l-għalliema fi skejjel iffinanzjati pubblikament għandhom ikunu membri f’qagħda tajba mal-kulleġġ, u l-iskejjel privati ​​jistgħu jeħtieġu wkoll li l-għalliema tagħhom ikunu popli tal-kulleġġ. F'oqsma oħra dawn l-irwoli jistgħu jagħmlu parti mill-Bord tal-Edukazzjoni tal-Istat, is-Supretendent tal-Istruzzjoni Pubblika, l-Aġenzija tal-Edukazzjoni tal-Istat jew korpi governattivi oħra. F’oqsma oħra li għadhom it-tagħlim tal-għaqdiet jistgħu jkunu responsabbli għal uħud jew għal dawn id-dmirijiet kollha.</v>
      </c>
    </row>
    <row r="9638" ht="15.75" customHeight="1">
      <c r="A9638" s="2" t="s">
        <v>9638</v>
      </c>
      <c r="B9638" s="2" t="str">
        <f>IFERROR(__xludf.DUMMYFUNCTION("GOOGLETRANSLATE(A9638, ""en"", ""mt"")"),"Dawk li diġà għandhom il-ġid")</f>
        <v>Dawk li diġà għandhom il-ġid</v>
      </c>
    </row>
    <row r="9639" ht="15.75" customHeight="1">
      <c r="A9639" s="2" t="s">
        <v>9639</v>
      </c>
      <c r="B9639" s="2" t="str">
        <f>IFERROR(__xludf.DUMMYFUNCTION("GOOGLETRANSLATE(A9639, ""en"", ""mt"")"),"X'għandhom jirrappreżentaw A u B fl-espressjoni sħiħa Gaussjana?")</f>
        <v>X'għandhom jirrappreżentaw A u B fl-espressjoni sħiħa Gaussjana?</v>
      </c>
    </row>
    <row r="9640" ht="15.75" customHeight="1">
      <c r="A9640" s="2" t="s">
        <v>9640</v>
      </c>
      <c r="B9640" s="2" t="str">
        <f>IFERROR(__xludf.DUMMYFUNCTION("GOOGLETRANSLATE(A9640, ""en"", ""mt"")"),"Alkoħol u nightclubs")</f>
        <v>Alkoħol u nightclubs</v>
      </c>
    </row>
    <row r="9641" ht="15.75" customHeight="1">
      <c r="A9641" s="2" t="s">
        <v>9641</v>
      </c>
      <c r="B9641" s="2" t="str">
        <f>IFERROR(__xludf.DUMMYFUNCTION("GOOGLETRANSLATE(A9641, ""en"", ""mt"")"),"effettiv")</f>
        <v>effettiv</v>
      </c>
    </row>
    <row r="9642" ht="15.75" customHeight="1">
      <c r="A9642" s="2" t="s">
        <v>9642</v>
      </c>
      <c r="B9642" s="2" t="str">
        <f>IFERROR(__xludf.DUMMYFUNCTION("GOOGLETRANSLATE(A9642, ""en"", ""mt"")"),"Ix-xjentisti ma jaqblux ma 'kif inbidlet il-foresta tropikali tal-Amażonja maż-żmien ma' xi wħud billi argumentaw li kienet imnaqqsa għal refugia iżolata separata minn xiex?")</f>
        <v>Ix-xjentisti ma jaqblux ma 'kif inbidlet il-foresta tropikali tal-Amażonja maż-żmien ma' xi wħud billi argumentaw li kienet imnaqqsa għal refugia iżolata separata minn xiex?</v>
      </c>
    </row>
    <row r="9643" ht="15.75" customHeight="1">
      <c r="A9643" s="2" t="s">
        <v>9643</v>
      </c>
      <c r="B9643" s="2" t="str">
        <f>IFERROR(__xludf.DUMMYFUNCTION("GOOGLETRANSLATE(A9643, ""en"", ""mt"")"),"Ġinevra")</f>
        <v>Ġinevra</v>
      </c>
    </row>
    <row r="9644" ht="15.75" customHeight="1">
      <c r="A9644" s="2" t="s">
        <v>9644</v>
      </c>
      <c r="B9644" s="2" t="str">
        <f>IFERROR(__xludf.DUMMYFUNCTION("GOOGLETRANSLATE(A9644, ""en"", ""mt"")"),"X'kienet it-tema tas-Super Bowl 50?")</f>
        <v>X'kienet it-tema tas-Super Bowl 50?</v>
      </c>
    </row>
    <row r="9645" ht="15.75" customHeight="1">
      <c r="A9645" s="2" t="s">
        <v>9645</v>
      </c>
      <c r="B9645" s="2" t="str">
        <f>IFERROR(__xludf.DUMMYFUNCTION("GOOGLETRANSLATE(A9645, ""en"", ""mt"")"),"Ir-rotta ta 'pakkett teħtieġ li l-għoqda tfittex l-ID tal-konnessjoni f'tabella")</f>
        <v>Ir-rotta ta 'pakkett teħtieġ li l-għoqda tfittex l-ID tal-konnessjoni f'tabella</v>
      </c>
    </row>
    <row r="9646" ht="15.75" customHeight="1">
      <c r="A9646" s="2" t="s">
        <v>9646</v>
      </c>
      <c r="B9646" s="2" t="str">
        <f>IFERROR(__xludf.DUMMYFUNCTION("GOOGLETRANSLATE(A9646, ""en"", ""mt"")"),"Min jiddeċiedi d-destin ta 'dimostranti ħafna mill-ħin?")</f>
        <v>Min jiddeċiedi d-destin ta 'dimostranti ħafna mill-ħin?</v>
      </c>
    </row>
    <row r="9647" ht="15.75" customHeight="1">
      <c r="A9647" s="2" t="s">
        <v>9647</v>
      </c>
      <c r="B9647" s="2" t="str">
        <f>IFERROR(__xludf.DUMMYFUNCTION("GOOGLETRANSLATE(A9647, ""en"", ""mt"")"),"Kif ħoss il-kitbiet ta 'Luther hekk kif sar inqas b'saħħtu?")</f>
        <v>Kif ħoss il-kitbiet ta 'Luther hekk kif sar inqas b'saħħtu?</v>
      </c>
    </row>
    <row r="9648" ht="15.75" customHeight="1">
      <c r="A9648" s="2" t="s">
        <v>9648</v>
      </c>
      <c r="B9648" s="2" t="str">
        <f>IFERROR(__xludf.DUMMYFUNCTION("GOOGLETRANSLATE(A9648, ""en"", ""mt"")"),"Triq tal-Ħarir")</f>
        <v>Triq tal-Ħarir</v>
      </c>
    </row>
    <row r="9649" ht="15.75" customHeight="1">
      <c r="A9649" s="2" t="s">
        <v>9649</v>
      </c>
      <c r="B9649" s="2" t="str">
        <f>IFERROR(__xludf.DUMMYFUNCTION("GOOGLETRANSLATE(A9649, ""en"", ""mt"")"),"L-ugwaljanza legali tal-individwi kollha, inklużi n-nisa")</f>
        <v>L-ugwaljanza legali tal-individwi kollha, inklużi n-nisa</v>
      </c>
    </row>
    <row r="9650" ht="15.75" customHeight="1">
      <c r="A9650" s="2" t="s">
        <v>9650</v>
      </c>
      <c r="B9650" s="2" t="str">
        <f>IFERROR(__xludf.DUMMYFUNCTION("GOOGLETRANSLATE(A9650, ""en"", ""mt"")"),"kważi 25,000")</f>
        <v>kważi 25,000</v>
      </c>
    </row>
    <row r="9651" ht="15.75" customHeight="1">
      <c r="A9651" s="2" t="s">
        <v>9651</v>
      </c>
      <c r="B9651" s="2" t="str">
        <f>IFERROR(__xludf.DUMMYFUNCTION("GOOGLETRANSLATE(A9651, ""en"", ""mt"")"),"In-nies bi dħul aktar baxx għandhom inqas aċċess għalih?")</f>
        <v>In-nies bi dħul aktar baxx għandhom inqas aċċess għalih?</v>
      </c>
    </row>
    <row r="9652" ht="15.75" customHeight="1">
      <c r="A9652" s="2" t="s">
        <v>9652</v>
      </c>
      <c r="B9652" s="2" t="str">
        <f>IFERROR(__xludf.DUMMYFUNCTION("GOOGLETRANSLATE(A9652, ""en"", ""mt"")"),"Il-cestida (""annimali taċ-ċinturin"") huma annimali planktoniċi b'forma ta 'żigarella, bil-ħalq u l-organu aboral allinjat fin-nofs tat-truf opposti taż-żigarella. Hemm par ta 'rewwix tal-moxt tul kull tarf aboral, u t-tentilla ħarġu minn kanal tul it-ta"&amp;"rf orali, li jxerrdu lura madwar il-biċċa l-kbira tal-wiċċ tal-ġisem li jixbah il-ġwienaħ. Iċ-ċestidi jistgħu jgħumu billi jegħlbu ġisimhom kif ukoll permezz tas-swat tal-moxt tal-moxt tagħhom. Hemm żewġ speċi magħrufa, b'distribuzzjoni mad-dinja kollha f"&amp;"'ilmijiet sħan u sħan: cestum veneris (""Venere"" girdle "") hija fost l-ikbar ctenophores - sa 1.5 metri (4.9 ft) twila, u tista 'tissolva bil-mod jew pjuttost malajr malajr jew malajr malajr malajr malajr malajr malajr malajr malajr - Velamen parallelum"&amp;", li huwa tipikament inqas minn 20 ċentimetru (0.66 ft) twil, jista 'jiċċaqlaq ħafna aktar malajr f'dak li ġie deskritt bħala ""moviment ta' darting"".")</f>
        <v>Il-cestida ("annimali taċ-ċinturin") huma annimali planktoniċi b'forma ta 'żigarella, bil-ħalq u l-organu aboral allinjat fin-nofs tat-truf opposti taż-żigarella. Hemm par ta 'rewwix tal-moxt tul kull tarf aboral, u t-tentilla ħarġu minn kanal tul it-tarf orali, li jxerrdu lura madwar il-biċċa l-kbira tal-wiċċ tal-ġisem li jixbah il-ġwienaħ. Iċ-ċestidi jistgħu jgħumu billi jegħlbu ġisimhom kif ukoll permezz tas-swat tal-moxt tal-moxt tagħhom. Hemm żewġ speċi magħrufa, b'distribuzzjoni mad-dinja kollha f'ilmijiet sħan u sħan: cestum veneris ("Venere" girdle ") hija fost l-ikbar ctenophores - sa 1.5 metri (4.9 ft) twila, u tista 'tissolva bil-mod jew pjuttost malajr malajr jew malajr malajr malajr malajr malajr malajr malajr malajr - Velamen parallelum, li huwa tipikament inqas minn 20 ċentimetru (0.66 ft) twil, jista 'jiċċaqlaq ħafna aktar malajr f'dak li ġie deskritt bħala "moviment ta' darting".</v>
      </c>
    </row>
    <row r="9653" ht="15.75" customHeight="1">
      <c r="A9653" s="2" t="s">
        <v>9653</v>
      </c>
      <c r="B9653" s="2" t="str">
        <f>IFERROR(__xludf.DUMMYFUNCTION("GOOGLETRANSLATE(A9653, ""en"", ""mt"")"),"X'inhu l-evidenza tal-kloroplasti imnissla minn ċjanobatterji endosimbjotiċi?")</f>
        <v>X'inhu l-evidenza tal-kloroplasti imnissla minn ċjanobatterji endosimbjotiċi?</v>
      </c>
    </row>
    <row r="9654" ht="15.75" customHeight="1">
      <c r="A9654" s="2" t="s">
        <v>9654</v>
      </c>
      <c r="B9654" s="2" t="str">
        <f>IFERROR(__xludf.DUMMYFUNCTION("GOOGLETRANSLATE(A9654, ""en"", ""mt"")"),"qoxra u litosfera")</f>
        <v>qoxra u litosfera</v>
      </c>
    </row>
    <row r="9655" ht="15.75" customHeight="1">
      <c r="A9655" s="2" t="s">
        <v>9655</v>
      </c>
      <c r="B9655" s="2" t="str">
        <f>IFERROR(__xludf.DUMMYFUNCTION("GOOGLETRANSLATE(A9655, ""en"", ""mt"")"),"Sa x-Xokk taż-Żejt")</f>
        <v>Sa x-Xokk taż-Żejt</v>
      </c>
    </row>
    <row r="9656" ht="15.75" customHeight="1">
      <c r="A9656" s="2" t="s">
        <v>9656</v>
      </c>
      <c r="B9656" s="2" t="str">
        <f>IFERROR(__xludf.DUMMYFUNCTION("GOOGLETRANSLATE(A9656, ""en"", ""mt"")"),"Il-varjazzjonijiet fil-klima matul l-aħħar 34 miljun sena ppermettew lir-reġjuni ta 'Savanna jespandu fit-tropiċi.")</f>
        <v>Il-varjazzjonijiet fil-klima matul l-aħħar 34 miljun sena ppermettew lir-reġjuni ta 'Savanna jespandu fit-tropiċi.</v>
      </c>
    </row>
    <row r="9657" ht="15.75" customHeight="1">
      <c r="A9657" s="2" t="s">
        <v>9657</v>
      </c>
      <c r="B9657" s="2" t="str">
        <f>IFERROR(__xludf.DUMMYFUNCTION("GOOGLETRANSLATE(A9657, ""en"", ""mt"")"),"l-Artiku")</f>
        <v>l-Artiku</v>
      </c>
    </row>
    <row r="9658" ht="15.75" customHeight="1">
      <c r="A9658" s="2" t="s">
        <v>9658</v>
      </c>
      <c r="B9658" s="2" t="str">
        <f>IFERROR(__xludf.DUMMYFUNCTION("GOOGLETRANSLATE(A9658, ""en"", ""mt"")"),"Legalizza l-importazzjoni ta 'mediċini mill-Kanada u pajjiżi oħra")</f>
        <v>Legalizza l-importazzjoni ta 'mediċini mill-Kanada u pajjiżi oħra</v>
      </c>
    </row>
    <row r="9659" ht="15.75" customHeight="1">
      <c r="A9659" s="2" t="s">
        <v>9659</v>
      </c>
      <c r="B9659" s="2" t="str">
        <f>IFERROR(__xludf.DUMMYFUNCTION("GOOGLETRANSLATE(A9659, ""en"", ""mt"")"),"l-imħallfin")</f>
        <v>l-imħallfin</v>
      </c>
    </row>
    <row r="9660" ht="15.75" customHeight="1">
      <c r="A9660" s="2" t="s">
        <v>9660</v>
      </c>
      <c r="B9660" s="2" t="str">
        <f>IFERROR(__xludf.DUMMYFUNCTION("GOOGLETRANSLATE(A9660, ""en"", ""mt"")"),"L-Editt ta 'Nantes")</f>
        <v>L-Editt ta 'Nantes</v>
      </c>
    </row>
    <row r="9661" ht="15.75" customHeight="1">
      <c r="A9661" s="2" t="s">
        <v>9661</v>
      </c>
      <c r="B9661" s="2" t="str">
        <f>IFERROR(__xludf.DUMMYFUNCTION("GOOGLETRANSLATE(A9661, ""en"", ""mt"")"),"Il-Karta Soċjali ġiet sussegwentement adottata fl-1989 minn 11 mit-12-il stat membru ta 'dak iż-żmien. Ir-Renju Unit irrifjuta li jiffirma l-Karta Soċjali u kien eżentat mil-leġiżlazzjoni li tkopri kwistjonijiet ta 'charter soċjali sakemm ma jkunx marbut "&amp;"bil-leġiżlazzjoni. Ir-Renju Unit sussegwentement kien l-uniku stat membru li jivverifika l-karta soċjali li kien inkluż bħala l- ""kapitolu soċjali"" tat-Trattat Maastricht tal-1992 - minflok, ftehim dwar il-politika soċjali ġie miżjud bħala protokoll. Għ"&amp;"al darb'oħra, ir-Renju Unit kien eżentat mil-leġislazzjoni li tirriżulta mill-protokoll, sakemm ma jkunx aċċetta li jkun marbut minnu. Il-protokoll kellu jsir magħruf bħala ""Kapitolu Soċjali"", minkejja li fil-fatt ma kienx kapitolu tat-Trattat Maastrich"&amp;"t. Sabiex jinkisbu għanijiet tal-ftehim dwar il-politika soċjali l-Unjoni Ewropea kienet li ""tappoġġja u tikkumplimenta"" l-politiki ta 'l-istati membri. L-għanijiet tal-ftehim dwar il-politika soċjali huma:")</f>
        <v>Il-Karta Soċjali ġiet sussegwentement adottata fl-1989 minn 11 mit-12-il stat membru ta 'dak iż-żmien. Ir-Renju Unit irrifjuta li jiffirma l-Karta Soċjali u kien eżentat mil-leġiżlazzjoni li tkopri kwistjonijiet ta 'charter soċjali sakemm ma jkunx marbut bil-leġiżlazzjoni. Ir-Renju Unit sussegwentement kien l-uniku stat membru li jivverifika l-karta soċjali li kien inkluż bħala l- "kapitolu soċjali" tat-Trattat Maastricht tal-1992 - minflok, ftehim dwar il-politika soċjali ġie miżjud bħala protokoll. Għal darb'oħra, ir-Renju Unit kien eżentat mil-leġislazzjoni li tirriżulta mill-protokoll, sakemm ma jkunx aċċetta li jkun marbut minnu. Il-protokoll kellu jsir magħruf bħala "Kapitolu Soċjali", minkejja li fil-fatt ma kienx kapitolu tat-Trattat Maastricht. Sabiex jinkisbu għanijiet tal-ftehim dwar il-politika soċjali l-Unjoni Ewropea kienet li "tappoġġja u tikkumplimenta" l-politiki ta 'l-istati membri. L-għanijiet tal-ftehim dwar il-politika soċjali huma:</v>
      </c>
    </row>
    <row r="9662" ht="15.75" customHeight="1">
      <c r="A9662" s="2" t="s">
        <v>9662</v>
      </c>
      <c r="B9662" s="2" t="str">
        <f>IFERROR(__xludf.DUMMYFUNCTION("GOOGLETRANSLATE(A9662, ""en"", ""mt"")"),"Xi spejjeż żejda jinġabru")</f>
        <v>Xi spejjeż żejda jinġabru</v>
      </c>
    </row>
    <row r="9663" ht="15.75" customHeight="1">
      <c r="A9663" s="2" t="s">
        <v>9663</v>
      </c>
      <c r="B9663" s="2" t="str">
        <f>IFERROR(__xludf.DUMMYFUNCTION("GOOGLETRANSLATE(A9663, ""en"", ""mt"")"),"X'kien l-isem tad-dramm imwettaq fl-1970?")</f>
        <v>X'kien l-isem tad-dramm imwettaq fl-1970?</v>
      </c>
    </row>
    <row r="9664" ht="15.75" customHeight="1">
      <c r="A9664" s="2" t="s">
        <v>9664</v>
      </c>
      <c r="B9664" s="2" t="str">
        <f>IFERROR(__xludf.DUMMYFUNCTION("GOOGLETRANSLATE(A9664, ""en"", ""mt"")"),"Passaġġ tal-awtostrada")</f>
        <v>Passaġġ tal-awtostrada</v>
      </c>
    </row>
    <row r="9665" ht="15.75" customHeight="1">
      <c r="A9665" s="2" t="s">
        <v>9665</v>
      </c>
      <c r="B9665" s="2" t="str">
        <f>IFERROR(__xludf.DUMMYFUNCTION("GOOGLETRANSLATE(A9665, ""en"", ""mt"")"),"40 nanometru madwar")</f>
        <v>40 nanometru madwar</v>
      </c>
    </row>
    <row r="9666" ht="15.75" customHeight="1">
      <c r="A9666" s="2" t="s">
        <v>9666</v>
      </c>
      <c r="B9666" s="2" t="str">
        <f>IFERROR(__xludf.DUMMYFUNCTION("GOOGLETRANSLATE(A9666, ""en"", ""mt"")"),"kumpless")</f>
        <v>kumpless</v>
      </c>
    </row>
    <row r="9667" ht="15.75" customHeight="1">
      <c r="A9667" s="2" t="s">
        <v>9667</v>
      </c>
      <c r="B9667" s="2" t="str">
        <f>IFERROR(__xludf.DUMMYFUNCTION("GOOGLETRANSLATE(A9667, ""en"", ""mt"")"),"ħin jew spazju")</f>
        <v>ħin jew spazju</v>
      </c>
    </row>
    <row r="9668" ht="15.75" customHeight="1">
      <c r="A9668" s="2" t="s">
        <v>9668</v>
      </c>
      <c r="B9668" s="2" t="str">
        <f>IFERROR(__xludf.DUMMYFUNCTION("GOOGLETRANSLATE(A9668, ""en"", ""mt"")"),"Għaxar staġuni")</f>
        <v>Għaxar staġuni</v>
      </c>
    </row>
    <row r="9669" ht="15.75" customHeight="1">
      <c r="A9669" s="2" t="s">
        <v>9669</v>
      </c>
      <c r="B9669" s="2" t="str">
        <f>IFERROR(__xludf.DUMMYFUNCTION("GOOGLETRANSLATE(A9669, ""en"", ""mt"")"),"loġistika")</f>
        <v>loġistika</v>
      </c>
    </row>
    <row r="9670" ht="15.75" customHeight="1">
      <c r="A9670" s="2" t="s">
        <v>9670</v>
      </c>
      <c r="B9670" s="2" t="str">
        <f>IFERROR(__xludf.DUMMYFUNCTION("GOOGLETRANSLATE(A9670, ""en"", ""mt"")"),"Fejn twieled Friedrich Ratzel?")</f>
        <v>Fejn twieled Friedrich Ratzel?</v>
      </c>
    </row>
    <row r="9671" ht="15.75" customHeight="1">
      <c r="A9671" s="2" t="s">
        <v>9671</v>
      </c>
      <c r="B9671" s="2" t="str">
        <f>IFERROR(__xludf.DUMMYFUNCTION("GOOGLETRANSLATE(A9671, ""en"", ""mt"")"),"Ir-regolamenti tal-UE huma l-istess bħad-dispożizzjonijiet tat-trattati f'dan is-sens, għaliex bħala l-Artikolu 288 TFEU jiddikjara, huma ""applikabbli direttament fl-Istati Membri kollha""")</f>
        <v>Ir-regolamenti tal-UE huma l-istess bħad-dispożizzjonijiet tat-trattati f'dan is-sens, għaliex bħala l-Artikolu 288 TFEU jiddikjara, huma "applikabbli direttament fl-Istati Membri kollha"</v>
      </c>
    </row>
    <row r="9672" ht="15.75" customHeight="1">
      <c r="A9672" s="2" t="s">
        <v>9672</v>
      </c>
      <c r="B9672" s="2" t="str">
        <f>IFERROR(__xludf.DUMMYFUNCTION("GOOGLETRANSLATE(A9672, ""en"", ""mt"")"),"Is-sistema immuni adatta għandha tiddistingwi bejn liema tipi ta 'molekuli?")</f>
        <v>Is-sistema immuni adatta għandha tiddistingwi bejn liema tipi ta 'molekuli?</v>
      </c>
    </row>
    <row r="9673" ht="15.75" customHeight="1">
      <c r="A9673" s="2" t="s">
        <v>9673</v>
      </c>
      <c r="B9673" s="2" t="str">
        <f>IFERROR(__xludf.DUMMYFUNCTION("GOOGLETRANSLATE(A9673, ""en"", ""mt"")"),"Biex tnaqqas l-ispejjeż u timmassimizza l-profitti")</f>
        <v>Biex tnaqqas l-ispejjeż u timmassimizza l-profitti</v>
      </c>
    </row>
    <row r="9674" ht="15.75" customHeight="1">
      <c r="A9674" s="2" t="s">
        <v>9674</v>
      </c>
      <c r="B9674" s="2" t="str">
        <f>IFERROR(__xludf.DUMMYFUNCTION("GOOGLETRANSLATE(A9674, ""en"", ""mt"")"),"X'iktar rebħet Pamela Jelimo wara l-Olimpjadi?")</f>
        <v>X'iktar rebħet Pamela Jelimo wara l-Olimpjadi?</v>
      </c>
    </row>
    <row r="9675" ht="15.75" customHeight="1">
      <c r="A9675" s="2" t="s">
        <v>9675</v>
      </c>
      <c r="B9675" s="2" t="str">
        <f>IFERROR(__xludf.DUMMYFUNCTION("GOOGLETRANSLATE(A9675, ""en"", ""mt"")"),"Ma 'min għamlu l-Imperu Ottoman f'WW I?")</f>
        <v>Ma 'min għamlu l-Imperu Ottoman f'WW I?</v>
      </c>
    </row>
    <row r="9676" ht="15.75" customHeight="1">
      <c r="A9676" s="2" t="s">
        <v>9676</v>
      </c>
      <c r="B9676" s="2" t="str">
        <f>IFERROR(__xludf.DUMMYFUNCTION("GOOGLETRANSLATE(A9676, ""en"", ""mt"")"),"Meta kienet il-Gran Brittanja tista 'ssir wirja?")</f>
        <v>Meta kienet il-Gran Brittanja tista 'ssir wirja?</v>
      </c>
    </row>
    <row r="9677" ht="15.75" customHeight="1">
      <c r="A9677" s="2" t="s">
        <v>9677</v>
      </c>
      <c r="B9677" s="2" t="str">
        <f>IFERROR(__xludf.DUMMYFUNCTION("GOOGLETRANSLATE(A9677, ""en"", ""mt"")"),"il-problema ta 'sodisfazzjon Boolean NP-komplut NP")</f>
        <v>il-problema ta 'sodisfazzjon Boolean NP-komplut NP</v>
      </c>
    </row>
    <row r="9678" ht="15.75" customHeight="1">
      <c r="A9678" s="2" t="s">
        <v>9678</v>
      </c>
      <c r="B9678" s="2" t="str">
        <f>IFERROR(__xludf.DUMMYFUNCTION("GOOGLETRANSLATE(A9678, ""en"", ""mt"")"),"Kalendarju għall-iffissar tal-istaġuni")</f>
        <v>Kalendarju għall-iffissar tal-istaġuni</v>
      </c>
    </row>
    <row r="9679" ht="15.75" customHeight="1">
      <c r="A9679" s="2" t="s">
        <v>9679</v>
      </c>
      <c r="B9679" s="2" t="str">
        <f>IFERROR(__xludf.DUMMYFUNCTION("GOOGLETRANSLATE(A9679, ""en"", ""mt"")"),"Għal xiex iwasslu l-mekkaniżmi ta 'tqassim mill-ġdid?")</f>
        <v>Għal xiex iwasslu l-mekkaniżmi ta 'tqassim mill-ġdid?</v>
      </c>
    </row>
    <row r="9680" ht="15.75" customHeight="1">
      <c r="A9680" s="2" t="s">
        <v>9680</v>
      </c>
      <c r="B9680" s="2" t="str">
        <f>IFERROR(__xludf.DUMMYFUNCTION("GOOGLETRANSLATE(A9680, ""en"", ""mt"")"),"il- ""Combs""")</f>
        <v>il- "Combs"</v>
      </c>
    </row>
    <row r="9681" ht="15.75" customHeight="1">
      <c r="A9681" s="2" t="s">
        <v>9681</v>
      </c>
      <c r="B9681" s="2" t="str">
        <f>IFERROR(__xludf.DUMMYFUNCTION("GOOGLETRANSLATE(A9681, ""en"", ""mt"")"),"ksur tal-liġi bi protesta kontra organizzazzjonijiet internazzjonali u gvernijiet barranin")</f>
        <v>ksur tal-liġi bi protesta kontra organizzazzjonijiet internazzjonali u gvernijiet barranin</v>
      </c>
    </row>
    <row r="9682" ht="15.75" customHeight="1">
      <c r="A9682" s="2" t="s">
        <v>9682</v>
      </c>
      <c r="B9682" s="2" t="str">
        <f>IFERROR(__xludf.DUMMYFUNCTION("GOOGLETRANSLATE(A9682, ""en"", ""mt"")"),"X'intlef il-kloroplasti tat-tip peridinin?")</f>
        <v>X'intlef il-kloroplasti tat-tip peridinin?</v>
      </c>
    </row>
    <row r="9683" ht="15.75" customHeight="1">
      <c r="A9683" s="2" t="s">
        <v>9683</v>
      </c>
      <c r="B9683" s="2" t="str">
        <f>IFERROR(__xludf.DUMMYFUNCTION("GOOGLETRANSLATE(A9683, ""en"", ""mt"")"),"Post-klassiku Ewropew")</f>
        <v>Post-klassiku Ewropew</v>
      </c>
    </row>
    <row r="9684" ht="15.75" customHeight="1">
      <c r="A9684" s="2" t="s">
        <v>9684</v>
      </c>
      <c r="B9684" s="2" t="str">
        <f>IFERROR(__xludf.DUMMYFUNCTION("GOOGLETRANSLATE(A9684, ""en"", ""mt"")"),"Knisja tal-Kastell f'Wittenberg,")</f>
        <v>Knisja tal-Kastell f'Wittenberg,</v>
      </c>
    </row>
    <row r="9685" ht="15.75" customHeight="1">
      <c r="A9685" s="2" t="s">
        <v>9685</v>
      </c>
      <c r="B9685" s="2" t="str">
        <f>IFERROR(__xludf.DUMMYFUNCTION("GOOGLETRANSLATE(A9685, ""en"", ""mt"")"),"Gwerra tal-bdiewa Ġermaniżi")</f>
        <v>Gwerra tal-bdiewa Ġermaniżi</v>
      </c>
    </row>
    <row r="9686" ht="15.75" customHeight="1">
      <c r="A9686" s="2" t="s">
        <v>9686</v>
      </c>
      <c r="B9686" s="2" t="str">
        <f>IFERROR(__xludf.DUMMYFUNCTION("GOOGLETRANSLATE(A9686, ""en"", ""mt"")"),"Dimostrazzjoni ta 'protesta legali, diżubbidjenza ċivili mhux vjolenti, u diżubbidjenza ċivili vjolenti")</f>
        <v>Dimostrazzjoni ta 'protesta legali, diżubbidjenza ċivili mhux vjolenti, u diżubbidjenza ċivili vjolenti</v>
      </c>
    </row>
    <row r="9687" ht="15.75" customHeight="1">
      <c r="A9687" s="2" t="s">
        <v>9687</v>
      </c>
      <c r="B9687" s="2" t="str">
        <f>IFERROR(__xludf.DUMMYFUNCTION("GOOGLETRANSLATE(A9687, ""en"", ""mt"")"),"X'inhu l-kunċett żejjed ġej mill-konservazzjoni tal-momentum?")</f>
        <v>X'inhu l-kunċett żejjed ġej mill-konservazzjoni tal-momentum?</v>
      </c>
    </row>
    <row r="9688" ht="15.75" customHeight="1">
      <c r="A9688" s="2" t="s">
        <v>9688</v>
      </c>
      <c r="B9688" s="2" t="str">
        <f>IFERROR(__xludf.DUMMYFUNCTION("GOOGLETRANSLATE(A9688, ""en"", ""mt"")"),"Editt ta 'Fontainebleau")</f>
        <v>Editt ta 'Fontainebleau</v>
      </c>
    </row>
    <row r="9689" ht="15.75" customHeight="1">
      <c r="A9689" s="2" t="s">
        <v>9689</v>
      </c>
      <c r="B9689" s="2" t="str">
        <f>IFERROR(__xludf.DUMMYFUNCTION("GOOGLETRANSLATE(A9689, ""en"", ""mt"")"),"Liema grupp ma qabilx li jiffirma dawn il-ftehim?")</f>
        <v>Liema grupp ma qabilx li jiffirma dawn il-ftehim?</v>
      </c>
    </row>
    <row r="9690" ht="15.75" customHeight="1">
      <c r="A9690" s="2" t="s">
        <v>9690</v>
      </c>
      <c r="B9690" s="2" t="str">
        <f>IFERROR(__xludf.DUMMYFUNCTION("GOOGLETRANSLATE(A9690, ""en"", ""mt"")"),"51.6%")</f>
        <v>51.6%</v>
      </c>
    </row>
    <row r="9691" ht="15.75" customHeight="1">
      <c r="A9691" s="2" t="s">
        <v>9691</v>
      </c>
      <c r="B9691" s="2" t="str">
        <f>IFERROR(__xludf.DUMMYFUNCTION("GOOGLETRANSLATE(A9691, ""en"", ""mt"")"),"il-funzjoni tal-paviment")</f>
        <v>il-funzjoni tal-paviment</v>
      </c>
    </row>
    <row r="9692" ht="15.75" customHeight="1">
      <c r="A9692" s="2" t="s">
        <v>9692</v>
      </c>
      <c r="B9692" s="2" t="str">
        <f>IFERROR(__xludf.DUMMYFUNCTION("GOOGLETRANSLATE(A9692, ""en"", ""mt"")"),"Min għandu s-setgħa li jibda leġislazzjoni fl-Unjoni Ewropea?")</f>
        <v>Min għandu s-setgħa li jibda leġislazzjoni fl-Unjoni Ewropea?</v>
      </c>
    </row>
    <row r="9693" ht="15.75" customHeight="1">
      <c r="A9693" s="2" t="s">
        <v>9693</v>
      </c>
      <c r="B9693" s="2" t="str">
        <f>IFERROR(__xludf.DUMMYFUNCTION("GOOGLETRANSLATE(A9693, ""en"", ""mt"")"),"Mill-1530, Att Irjali illimita l-vjeġġi kollha tal-faħam minn Tyneside għal Newcastle Quayside, li ta monopolju fil-kummerċ tal-faħam lil kartell ta 'Newcastle Burgesses magħruf bħala l-hostmen. Dan il-monopolju, li dam għal żmien konsiderevoli, għen lil "&amp;"Newcastle jirnexxi u jiżviluppa f'belt maġġuri. Il-frażi li tieħu l-faħam lejn Newcastle ġiet irreġistrata l-ewwel fil-kuntest fl-1538. Il-frażi nnifisha tfisser insegwiment bla skop. Fis-seklu 18 Amerikan Timothy Dexter, intraprenditur, meqjus b'mod wies"&amp;"a 'bħala eċċentriku, sfida din l-idjoma. Huwa kien persważ biex ibaħħar vjeġġ ta 'faħam lejn Newcastle min-negozjanti li jpinġu biex jeqirduh; Madankollu l-vjeġġ tiegħu wasal fuq it-Tyne waqt strajk li kien iddgħajjef il-produzzjoni lokali; Mhux mistenni "&amp;"huwa għamel profitt konsiderevoli.")</f>
        <v>Mill-1530, Att Irjali illimita l-vjeġġi kollha tal-faħam minn Tyneside għal Newcastle Quayside, li ta monopolju fil-kummerċ tal-faħam lil kartell ta 'Newcastle Burgesses magħruf bħala l-hostmen. Dan il-monopolju, li dam għal żmien konsiderevoli, għen lil Newcastle jirnexxi u jiżviluppa f'belt maġġuri. Il-frażi li tieħu l-faħam lejn Newcastle ġiet irreġistrata l-ewwel fil-kuntest fl-1538. Il-frażi nnifisha tfisser insegwiment bla skop. Fis-seklu 18 Amerikan Timothy Dexter, intraprenditur, meqjus b'mod wiesa 'bħala eċċentriku, sfida din l-idjoma. Huwa kien persważ biex ibaħħar vjeġġ ta 'faħam lejn Newcastle min-negozjanti li jpinġu biex jeqirduh; Madankollu l-vjeġġ tiegħu wasal fuq it-Tyne waqt strajk li kien iddgħajjef il-produzzjoni lokali; Mhux mistenni huwa għamel profitt konsiderevoli.</v>
      </c>
    </row>
    <row r="9694" ht="15.75" customHeight="1">
      <c r="A9694" s="2" t="s">
        <v>9694</v>
      </c>
      <c r="B9694" s="2" t="str">
        <f>IFERROR(__xludf.DUMMYFUNCTION("GOOGLETRANSLATE(A9694, ""en"", ""mt"")"),"Knisja Luterana Evanġelika")</f>
        <v>Knisja Luterana Evanġelika</v>
      </c>
    </row>
    <row r="9695" ht="15.75" customHeight="1">
      <c r="A9695" s="2" t="s">
        <v>9695</v>
      </c>
      <c r="B9695" s="2" t="str">
        <f>IFERROR(__xludf.DUMMYFUNCTION("GOOGLETRANSLATE(A9695, ""en"", ""mt"")"),"titla 'u taqa' skont id-domanda tas-suq")</f>
        <v>titla 'u taqa' skont id-domanda tas-suq</v>
      </c>
    </row>
    <row r="9696" ht="15.75" customHeight="1">
      <c r="A9696" s="2" t="s">
        <v>9696</v>
      </c>
      <c r="B9696" s="2" t="str">
        <f>IFERROR(__xludf.DUMMYFUNCTION("GOOGLETRANSLATE(A9696, ""en"", ""mt"")"),"Liema forma ta 'ossiġnu l-annimali tal-baħar jakkwistaw f'ammonti akbar waqt kundizzjonijiet klimatiċi aktar friski?")</f>
        <v>Liema forma ta 'ossiġnu l-annimali tal-baħar jakkwistaw f'ammonti akbar waqt kundizzjonijiet klimatiċi aktar friski?</v>
      </c>
    </row>
    <row r="9697" ht="15.75" customHeight="1">
      <c r="A9697" s="2" t="s">
        <v>9697</v>
      </c>
      <c r="B9697" s="2" t="str">
        <f>IFERROR(__xludf.DUMMYFUNCTION("GOOGLETRANSLATE(A9697, ""en"", ""mt"")"),"iddur bilanċ")</f>
        <v>iddur bilanċ</v>
      </c>
    </row>
    <row r="9698" ht="15.75" customHeight="1">
      <c r="A9698" s="2" t="s">
        <v>9698</v>
      </c>
      <c r="B9698" s="2" t="str">
        <f>IFERROR(__xludf.DUMMYFUNCTION("GOOGLETRANSLATE(A9698, ""en"", ""mt"")"),"Kemm nies importanti oħra bagħtu ittri?")</f>
        <v>Kemm nies importanti oħra bagħtu ittri?</v>
      </c>
    </row>
    <row r="9699" ht="15.75" customHeight="1">
      <c r="A9699" s="2" t="s">
        <v>9699</v>
      </c>
      <c r="B9699" s="2" t="str">
        <f>IFERROR(__xludf.DUMMYFUNCTION("GOOGLETRANSLATE(A9699, ""en"", ""mt"")"),"bidla organizzattiva, relazzjonijiet ma 'studenti, għalliema sħabhom, u persunal amministrattiv, ambjent tax-xogħol, aspettattivi biex tissostitwixxi")</f>
        <v>bidla organizzattiva, relazzjonijiet ma 'studenti, għalliema sħabhom, u persunal amministrattiv, ambjent tax-xogħol, aspettattivi biex tissostitwixxi</v>
      </c>
    </row>
    <row r="9700" ht="15.75" customHeight="1">
      <c r="A9700" s="2" t="s">
        <v>9700</v>
      </c>
      <c r="B9700" s="2" t="str">
        <f>IFERROR(__xludf.DUMMYFUNCTION("GOOGLETRANSLATE(A9700, ""en"", ""mt"")"),"Dynasties Ċiniżi fin-Nofsinhar")</f>
        <v>Dynasties Ċiniżi fin-Nofsinhar</v>
      </c>
    </row>
    <row r="9701" ht="15.75" customHeight="1">
      <c r="A9701" s="2" t="s">
        <v>9701</v>
      </c>
      <c r="B9701" s="2" t="str">
        <f>IFERROR(__xludf.DUMMYFUNCTION("GOOGLETRANSLATE(A9701, ""en"", ""mt"")"),"tonqos")</f>
        <v>tonqos</v>
      </c>
    </row>
    <row r="9702" ht="15.75" customHeight="1">
      <c r="A9702" s="2" t="s">
        <v>9702</v>
      </c>
      <c r="B9702" s="2" t="str">
        <f>IFERROR(__xludf.DUMMYFUNCTION("GOOGLETRANSLATE(A9702, ""en"", ""mt"")"),"il-muntanji Tehachapi")</f>
        <v>il-muntanji Tehachapi</v>
      </c>
    </row>
    <row r="9703" ht="15.75" customHeight="1">
      <c r="A9703" s="2" t="s">
        <v>9703</v>
      </c>
      <c r="B9703" s="2" t="str">
        <f>IFERROR(__xludf.DUMMYFUNCTION("GOOGLETRANSLATE(A9703, ""en"", ""mt"")"),"Matul l-eżistenza tagħha, Varsavja kienet belt multi-kulturali. Skond iċ-ċensiment tal-1901, minn 711,988 abitant 56.2% kienu Kattoliċi, 35,7% Lhud, 5% Kristjani Ortodossi Griegi u 2.8% Protestanti. Tmien snin wara, fl-1909, kien hemm 281.754 Lhud (36.9%)"&amp;", 18,189 Protestanti (2.4%) u 2,818 Mariavites (0.4%). Dan wassal għal kostruzzjoni ta ’mijiet ta’ postijiet ta ’qima reliġjuża fil-partijiet kollha tal-belt. Ħafna minnhom inqerdu wara r-rewwixta ta ’Varsavja tal-1944. Wara l-gwerra, l-awtoritajiet komun"&amp;"isti l-ġodda tal-Polonja skoraġġew il-kostruzzjoni tal-knisja u numru żgħir biss inbnew mill-ġdid.")</f>
        <v>Matul l-eżistenza tagħha, Varsavja kienet belt multi-kulturali. Skond iċ-ċensiment tal-1901, minn 711,988 abitant 56.2% kienu Kattoliċi, 35,7% Lhud, 5% Kristjani Ortodossi Griegi u 2.8% Protestanti. Tmien snin wara, fl-1909, kien hemm 281.754 Lhud (36.9%), 18,189 Protestanti (2.4%) u 2,818 Mariavites (0.4%). Dan wassal għal kostruzzjoni ta ’mijiet ta’ postijiet ta ’qima reliġjuża fil-partijiet kollha tal-belt. Ħafna minnhom inqerdu wara r-rewwixta ta ’Varsavja tal-1944. Wara l-gwerra, l-awtoritajiet komunisti l-ġodda tal-Polonja skoraġġew il-kostruzzjoni tal-knisja u numru żgħir biss inbnew mill-ġdid.</v>
      </c>
    </row>
    <row r="9704" ht="15.75" customHeight="1">
      <c r="A9704" s="2" t="s">
        <v>9704</v>
      </c>
      <c r="B9704" s="2" t="str">
        <f>IFERROR(__xludf.DUMMYFUNCTION("GOOGLETRANSLATE(A9704, ""en"", ""mt"")"),"Larry Roberts")</f>
        <v>Larry Roberts</v>
      </c>
    </row>
    <row r="9705" ht="15.75" customHeight="1">
      <c r="A9705" s="2" t="s">
        <v>9705</v>
      </c>
      <c r="B9705" s="2" t="str">
        <f>IFERROR(__xludf.DUMMYFUNCTION("GOOGLETRANSLATE(A9705, ""en"", ""mt"")"),"Il-kampjonat ħabbar fis-16 ta ’Ottubru, 2012, li ż-żewġ finalisti kienu Sun Life Stadium u Levi’s Stadium. Iż-żona ta 'South Florida / Miami qabel ospitat l-avveniment 10 darbiet (marbuta għal ħafna ma' New Orleans), bl-iktar waħda riċenti hija Super Bowl"&amp;" XLIV fl-2010. Iż-Żona tal-Bajja ta 'San Francisco l-aħħar ospitata fl-1985 (Super Bowl Xix), miżmuma fi Stanford Stadium fi Stanford, California, mirbuħa mit-tim tad-dar 49ers. L-offerta ta 'Miami kienet tiddependi fuq jekk l-istadium għadda minn rinnova"&amp;"zzjonijiet. Madankollu, fit-3 ta 'Mejju, 2013, il-Leġislatura ta' Florida rrifjutat li tapprova l-pjan ta 'finanzjament biex tħallas għar-rinnovazzjonijiet, li tittratta daqqa sinifikanti għaċ-ċansijiet ta' Miami.")</f>
        <v>Il-kampjonat ħabbar fis-16 ta ’Ottubru, 2012, li ż-żewġ finalisti kienu Sun Life Stadium u Levi’s Stadium. Iż-żona ta 'South Florida / Miami qabel ospitat l-avveniment 10 darbiet (marbuta għal ħafna ma' New Orleans), bl-iktar waħda riċenti hija Super Bowl XLIV fl-2010. Iż-Żona tal-Bajja ta 'San Francisco l-aħħar ospitata fl-1985 (Super Bowl Xix), miżmuma fi Stanford Stadium fi Stanford, California, mirbuħa mit-tim tad-dar 49ers. L-offerta ta 'Miami kienet tiddependi fuq jekk l-istadium għadda minn rinnovazzjonijiet. Madankollu, fit-3 ta 'Mejju, 2013, il-Leġislatura ta' Florida rrifjutat li tapprova l-pjan ta 'finanzjament biex tħallas għar-rinnovazzjonijiet, li tittratta daqqa sinifikanti għaċ-ċansijiet ta' Miami.</v>
      </c>
    </row>
    <row r="9706" ht="15.75" customHeight="1">
      <c r="A9706" s="2" t="s">
        <v>9706</v>
      </c>
      <c r="B9706" s="2" t="str">
        <f>IFERROR(__xludf.DUMMYFUNCTION("GOOGLETRANSLATE(A9706, ""en"", ""mt"")"),"18")</f>
        <v>18</v>
      </c>
    </row>
    <row r="9707" ht="15.75" customHeight="1">
      <c r="A9707" s="2" t="s">
        <v>9707</v>
      </c>
      <c r="B9707" s="2" t="str">
        <f>IFERROR(__xludf.DUMMYFUNCTION("GOOGLETRANSLATE(A9707, ""en"", ""mt"")"),"Partit Liberali")</f>
        <v>Partit Liberali</v>
      </c>
    </row>
    <row r="9708" ht="15.75" customHeight="1">
      <c r="A9708" s="2" t="s">
        <v>9708</v>
      </c>
      <c r="B9708" s="2" t="str">
        <f>IFERROR(__xludf.DUMMYFUNCTION("GOOGLETRANSLATE(A9708, ""en"", ""mt"")"),"X'kien għan fit-tul tal-politika barranija Franċiża tul ir-Renu?")</f>
        <v>X'kien għan fit-tul tal-politika barranija Franċiża tul ir-Renu?</v>
      </c>
    </row>
    <row r="9709" ht="15.75" customHeight="1">
      <c r="A9709" s="2" t="s">
        <v>9709</v>
      </c>
      <c r="B9709" s="2" t="str">
        <f>IFERROR(__xludf.DUMMYFUNCTION("GOOGLETRANSLATE(A9709, ""en"", ""mt"")"),"X'tip ta 'tqassim għandu t-toroq ta' Newcastle f'ħafna partijiet?")</f>
        <v>X'tip ta 'tqassim għandu t-toroq ta' Newcastle f'ħafna partijiet?</v>
      </c>
    </row>
    <row r="9710" ht="15.75" customHeight="1">
      <c r="A9710" s="2" t="s">
        <v>9710</v>
      </c>
      <c r="B9710" s="2" t="str">
        <f>IFERROR(__xludf.DUMMYFUNCTION("GOOGLETRANSLATE(A9710, ""en"", ""mt"")"),"Storybook")</f>
        <v>Storybook</v>
      </c>
    </row>
    <row r="9711" ht="15.75" customHeight="1">
      <c r="A9711" s="2" t="s">
        <v>9711</v>
      </c>
      <c r="B9711" s="2" t="str">
        <f>IFERROR(__xludf.DUMMYFUNCTION("GOOGLETRANSLATE(A9711, ""en"", ""mt"")"),"Kif jistgħu jiġu osservati l-effetti tal-gravità b'mod differenti skont Newton?")</f>
        <v>Kif jistgħu jiġu osservati l-effetti tal-gravità b'mod differenti skont Newton?</v>
      </c>
    </row>
    <row r="9712" ht="15.75" customHeight="1">
      <c r="A9712" s="2" t="s">
        <v>9712</v>
      </c>
      <c r="B9712" s="2" t="str">
        <f>IFERROR(__xludf.DUMMYFUNCTION("GOOGLETRANSLATE(A9712, ""en"", ""mt"")"),"Preżenza ta 'Raġel")</f>
        <v>Preżenza ta 'Raġel</v>
      </c>
    </row>
    <row r="9713" ht="15.75" customHeight="1">
      <c r="A9713" s="2" t="s">
        <v>9713</v>
      </c>
      <c r="B9713" s="2" t="str">
        <f>IFERROR(__xludf.DUMMYFUNCTION("GOOGLETRANSLATE(A9713, ""en"", ""mt"")"),"Fl-1500 AD kemm nies kienu maħsuba li għexu fir-reġjun tal-Amażonja?")</f>
        <v>Fl-1500 AD kemm nies kienu maħsuba li għexu fir-reġjun tal-Amażonja?</v>
      </c>
    </row>
    <row r="9714" ht="15.75" customHeight="1">
      <c r="A9714" s="2" t="s">
        <v>9714</v>
      </c>
      <c r="B9714" s="2" t="str">
        <f>IFERROR(__xludf.DUMMYFUNCTION("GOOGLETRANSLATE(A9714, ""en"", ""mt"")"),"Min iffinanzja l-gallerija l-ġdida tal-ġojjelli li fetħet fl-2008?")</f>
        <v>Min iffinanzja l-gallerija l-ġdida tal-ġojjelli li fetħet fl-2008?</v>
      </c>
    </row>
    <row r="9715" ht="15.75" customHeight="1">
      <c r="A9715" s="2" t="s">
        <v>9715</v>
      </c>
      <c r="B9715" s="2" t="str">
        <f>IFERROR(__xludf.DUMMYFUNCTION("GOOGLETRANSLATE(A9715, ""en"", ""mt"")"),"ribelljoni")</f>
        <v>ribelljoni</v>
      </c>
    </row>
    <row r="9716" ht="15.75" customHeight="1">
      <c r="A9716" s="2" t="s">
        <v>9716</v>
      </c>
      <c r="B9716" s="2" t="str">
        <f>IFERROR(__xludf.DUMMYFUNCTION("GOOGLETRANSLATE(A9716, ""en"", ""mt"")"),"tip ta 'kumitat")</f>
        <v>tip ta 'kumitat</v>
      </c>
    </row>
    <row r="9717" ht="15.75" customHeight="1">
      <c r="A9717" s="2" t="s">
        <v>9717</v>
      </c>
      <c r="B9717" s="2" t="str">
        <f>IFERROR(__xludf.DUMMYFUNCTION("GOOGLETRANSLATE(A9717, ""en"", ""mt"")"),"Xi jfisser l-investiment taċ-Ċina għall-Kenja?")</f>
        <v>Xi jfisser l-investiment taċ-Ċina għall-Kenja?</v>
      </c>
    </row>
    <row r="9718" ht="15.75" customHeight="1">
      <c r="A9718" s="2" t="s">
        <v>9718</v>
      </c>
      <c r="B9718" s="2" t="str">
        <f>IFERROR(__xludf.DUMMYFUNCTION("GOOGLETRANSLATE(A9718, ""en"", ""mt"")"),"żieda fil-pagi")</f>
        <v>żieda fil-pagi</v>
      </c>
    </row>
    <row r="9719" ht="15.75" customHeight="1">
      <c r="A9719" s="2" t="s">
        <v>9719</v>
      </c>
      <c r="B9719" s="2" t="str">
        <f>IFERROR(__xludf.DUMMYFUNCTION("GOOGLETRANSLATE(A9719, ""en"", ""mt"")"),"Għal xiex ġiet attribwita x-xita baxxa fl-Amażonja waqt l-LGM?")</f>
        <v>Għal xiex ġiet attribwita x-xita baxxa fl-Amażonja waqt l-LGM?</v>
      </c>
    </row>
    <row r="9720" ht="15.75" customHeight="1">
      <c r="A9720" s="2" t="s">
        <v>9720</v>
      </c>
      <c r="B9720" s="2" t="str">
        <f>IFERROR(__xludf.DUMMYFUNCTION("GOOGLETRANSLATE(A9720, ""en"", ""mt"")"),"Liema titli doppji kellu Frederick William?")</f>
        <v>Liema titli doppji kellu Frederick William?</v>
      </c>
    </row>
    <row r="9721" ht="15.75" customHeight="1">
      <c r="A9721" s="2" t="s">
        <v>9721</v>
      </c>
      <c r="B9721" s="2" t="str">
        <f>IFERROR(__xludf.DUMMYFUNCTION("GOOGLETRANSLATE(A9721, ""en"", ""mt"")"),"Ugali bil-ħaxix, ħalib qares, laħam, ħut jew kwalunkwe stew ieħor")</f>
        <v>Ugali bil-ħaxix, ħalib qares, laħam, ħut jew kwalunkwe stew ieħor</v>
      </c>
    </row>
    <row r="9722" ht="15.75" customHeight="1">
      <c r="A9722" s="2" t="s">
        <v>9722</v>
      </c>
      <c r="B9722" s="2" t="str">
        <f>IFERROR(__xludf.DUMMYFUNCTION("GOOGLETRANSLATE(A9722, ""en"", ""mt"")"),"Gaeliku")</f>
        <v>Gaeliku</v>
      </c>
    </row>
    <row r="9723" ht="15.75" customHeight="1">
      <c r="A9723" s="2" t="s">
        <v>9723</v>
      </c>
      <c r="B9723" s="2" t="str">
        <f>IFERROR(__xludf.DUMMYFUNCTION("GOOGLETRANSLATE(A9723, ""en"", ""mt"")"),"Fejn hu mitkellem l-Ingliż?")</f>
        <v>Fejn hu mitkellem l-Ingliż?</v>
      </c>
    </row>
    <row r="9724" ht="15.75" customHeight="1">
      <c r="A9724" s="2" t="s">
        <v>9724</v>
      </c>
      <c r="B9724" s="2" t="str">
        <f>IFERROR(__xludf.DUMMYFUNCTION("GOOGLETRANSLATE(A9724, ""en"", ""mt"")"),"L-iktar manifestazzjonijiet ħorox fid-dinja.")</f>
        <v>L-iktar manifestazzjonijiet ħorox fid-dinja.</v>
      </c>
    </row>
    <row r="9725" ht="15.75" customHeight="1">
      <c r="A9725" s="2" t="s">
        <v>9725</v>
      </c>
      <c r="B9725" s="2" t="str">
        <f>IFERROR(__xludf.DUMMYFUNCTION("GOOGLETRANSLATE(A9725, ""en"", ""mt"")"),"Liema marda qabdet Tesla?")</f>
        <v>Liema marda qabdet Tesla?</v>
      </c>
    </row>
    <row r="9726" ht="15.75" customHeight="1">
      <c r="A9726" s="2" t="s">
        <v>9726</v>
      </c>
      <c r="B9726" s="2" t="str">
        <f>IFERROR(__xludf.DUMMYFUNCTION("GOOGLETRANSLATE(A9726, ""en"", ""mt"")"),"Porzjonijiet tal-Punent tal-Lagi l-Kbar")</f>
        <v>Porzjonijiet tal-Punent tal-Lagi l-Kbar</v>
      </c>
    </row>
    <row r="9727" ht="15.75" customHeight="1">
      <c r="A9727" s="2" t="s">
        <v>9727</v>
      </c>
      <c r="B9727" s="2" t="str">
        <f>IFERROR(__xludf.DUMMYFUNCTION("GOOGLETRANSLATE(A9727, ""en"", ""mt"")"),"Affiljat ma 'denominazzjonijiet Protestanti oħra ma' aktar membri numerużi")</f>
        <v>Affiljat ma 'denominazzjonijiet Protestanti oħra ma' aktar membri numerużi</v>
      </c>
    </row>
    <row r="9728" ht="15.75" customHeight="1">
      <c r="A9728" s="2" t="s">
        <v>9728</v>
      </c>
      <c r="B9728" s="2" t="str">
        <f>IFERROR(__xludf.DUMMYFUNCTION("GOOGLETRANSLATE(A9728, ""en"", ""mt"")"),"proċess edukattiv jew da'wah")</f>
        <v>proċess edukattiv jew da'wah</v>
      </c>
    </row>
    <row r="9729" ht="15.75" customHeight="1">
      <c r="A9729" s="2" t="s">
        <v>9729</v>
      </c>
      <c r="B9729" s="2" t="str">
        <f>IFERROR(__xludf.DUMMYFUNCTION("GOOGLETRANSLATE(A9729, ""en"", ""mt"")"),"X'kienet it-taħlit bħala li qiegħed fl-industrija tal-kostruzzjoni tal-lokomottiva?")</f>
        <v>X'kienet it-taħlit bħala li qiegħed fl-industrija tal-kostruzzjoni tal-lokomottiva?</v>
      </c>
    </row>
    <row r="9730" ht="15.75" customHeight="1">
      <c r="A9730" s="2" t="s">
        <v>9730</v>
      </c>
      <c r="B9730" s="2" t="str">
        <f>IFERROR(__xludf.DUMMYFUNCTION("GOOGLETRANSLATE(A9730, ""en"", ""mt"")"),"kombinazzjoni ta 'ġestjoni fqira, diviżjonijiet interni, u scouts Kanadiżi effettivi, forzi regolari Franċiżi, u alleati tal-gwerriera Indjani")</f>
        <v>kombinazzjoni ta 'ġestjoni fqira, diviżjonijiet interni, u scouts Kanadiżi effettivi, forzi regolari Franċiżi, u alleati tal-gwerriera Indjani</v>
      </c>
    </row>
    <row r="9731" ht="15.75" customHeight="1">
      <c r="A9731" s="2" t="s">
        <v>9731</v>
      </c>
      <c r="B9731" s="2" t="str">
        <f>IFERROR(__xludf.DUMMYFUNCTION("GOOGLETRANSLATE(A9731, ""en"", ""mt"")"),"Tesla qrajt ħafna xogħlijiet, timmemorizza kotba kompluti, u allegatament kellha memorja fotografika. Fl-awtobijografija tiegħu li esperjenza mumenti dettaljati ta 'ispirazzjoni. Matul il-ħajja bikrija tiegħu, Tesla kienet ripetutament milquta bil-mard. H"&amp;"uwa sofra afflizzjoni partikolari li fiha l-fwawar tad-dawl jagħlqu quddiem għajnejh, ħafna drabi akkumpanjati mill-viżjonijiet. Fi żminijiet oħra huma kienu jipprovdu s-soluzzjoni għal problema partikolari li kien iltaqa 'magħhom. Sempliċement billi jism"&amp;"a 'l-isem ta' oġġett, huwa jkun jista 'jaħseb fid-dettall realistiku. Ritratt tal-ħsieb. Huwa tipikament ma għamilx tpinġijiet bl-idejn imma ħadem mill-memorja. Bidu fit-tfulija tiegħu, Tesla kellha flashbacks frekwenti għal avvenimenti li kienu ġraw qabe"&amp;"l f'ħajtu.: 33")</f>
        <v>Tesla qrajt ħafna xogħlijiet, timmemorizza kotba kompluti, u allegatament kellha memorja fotografika. Fl-awtobijografija tiegħu li esperjenza mumenti dettaljati ta 'ispirazzjoni. Matul il-ħajja bikrija tiegħu, Tesla kienet ripetutament milquta bil-mard. Huwa sofra afflizzjoni partikolari li fiha l-fwawar tad-dawl jagħlqu quddiem għajnejh, ħafna drabi akkumpanjati mill-viżjonijiet. Fi żminijiet oħra huma kienu jipprovdu s-soluzzjoni għal problema partikolari li kien iltaqa 'magħhom. Sempliċement billi jisma 'l-isem ta' oġġett, huwa jkun jista 'jaħseb fid-dettall realistiku. Ritratt tal-ħsieb. Huwa tipikament ma għamilx tpinġijiet bl-idejn imma ħadem mill-memorja. Bidu fit-tfulija tiegħu, Tesla kellha flashbacks frekwenti għal avvenimenti li kienu ġraw qabel f'ħajtu.: 33</v>
      </c>
    </row>
    <row r="9732" ht="15.75" customHeight="1">
      <c r="A9732" s="2" t="s">
        <v>9732</v>
      </c>
      <c r="B9732" s="2" t="str">
        <f>IFERROR(__xludf.DUMMYFUNCTION("GOOGLETRANSLATE(A9732, ""en"", ""mt"")"),"Rivoluzzjoni tal-kant")</f>
        <v>Rivoluzzjoni tal-kant</v>
      </c>
    </row>
    <row r="9733" ht="15.75" customHeight="1">
      <c r="A9733" s="2" t="s">
        <v>9733</v>
      </c>
      <c r="B9733" s="2" t="str">
        <f>IFERROR(__xludf.DUMMYFUNCTION("GOOGLETRANSLATE(A9733, ""en"", ""mt"")"),"X'inhu l-ogħla sptar ta 'referenza fil-Polonja kollha?")</f>
        <v>X'inhu l-ogħla sptar ta 'referenza fil-Polonja kollha?</v>
      </c>
    </row>
    <row r="9734" ht="15.75" customHeight="1">
      <c r="A9734" s="2" t="s">
        <v>9734</v>
      </c>
      <c r="B9734" s="2" t="str">
        <f>IFERROR(__xludf.DUMMYFUNCTION("GOOGLETRANSLATE(A9734, ""en"", ""mt"")"),"X’kulle l-mużew mill-Royal College of Science?")</f>
        <v>X’kulle l-mużew mill-Royal College of Science?</v>
      </c>
    </row>
    <row r="9735" ht="15.75" customHeight="1">
      <c r="A9735" s="2" t="s">
        <v>9735</v>
      </c>
      <c r="B9735" s="2" t="str">
        <f>IFERROR(__xludf.DUMMYFUNCTION("GOOGLETRANSLATE(A9735, ""en"", ""mt"")"),"X’sejħu lill-Imperu li waqqaf Genghis Khan?")</f>
        <v>X’sejħu lill-Imperu li waqqaf Genghis Khan?</v>
      </c>
    </row>
    <row r="9736" ht="15.75" customHeight="1">
      <c r="A9736" s="2" t="s">
        <v>9736</v>
      </c>
      <c r="B9736" s="2" t="str">
        <f>IFERROR(__xludf.DUMMYFUNCTION("GOOGLETRANSLATE(A9736, ""en"", ""mt"")"),"Spiżjara li jipprattikaw fl-isptarijiet")</f>
        <v>Spiżjara li jipprattikaw fl-isptarijiet</v>
      </c>
    </row>
    <row r="9737" ht="15.75" customHeight="1">
      <c r="A9737" s="2" t="s">
        <v>9737</v>
      </c>
      <c r="B9737" s="2" t="str">
        <f>IFERROR(__xludf.DUMMYFUNCTION("GOOGLETRANSLATE(A9737, ""en"", ""mt"")"),"20th Century Fox, Lionsgate, Paramount Pictures, Universal Studios u Walt Disney Studios ħallsu għal karrijiet tal-films biex jixxandru matul is-Super Bowl. Fox ħallas għal Deadpool, X-Men: Apokalipsi, Jum l-Indipendenza: Resurgence u Eddie l-Ajkla, Lions"&amp;"gate ħallas għall-allat tal-Eġittu, Paramount imħallas għall-adolexxenti tal-fkieren Ninja Mutanti: barra mid-dellijiet u 10 Cloverfield Lane, Universal ħallas għall-ħajja sigrieta ta 'annimali domestiċi u l-karru tad-debutt għal Jason Bourne u Disney ħal"&amp;"lsu għal Captain America: Civil War, The Jungle Book u Alice permezz tal-Ħarsa tal-Ħarsa. [Ċitazzjoni meħtieġa]")</f>
        <v>20th Century Fox, Lionsgate, Paramount Pictures, Universal Studios u Walt Disney Studios ħallsu għal karrijiet tal-films biex jixxandru matul is-Super Bowl. Fox ħallas għal Deadpool, X-Men: Apokalipsi, Jum l-Indipendenza: Resurgence u Eddie l-Ajkla, Lionsgate ħallas għall-allat tal-Eġittu, Paramount imħallas għall-adolexxenti tal-fkieren Ninja Mutanti: barra mid-dellijiet u 10 Cloverfield Lane, Universal ħallas għall-ħajja sigrieta ta 'annimali domestiċi u l-karru tad-debutt għal Jason Bourne u Disney ħallsu għal Captain America: Civil War, The Jungle Book u Alice permezz tal-Ħarsa tal-Ħarsa. [Ċitazzjoni meħtieġa]</v>
      </c>
    </row>
    <row r="9738" ht="15.75" customHeight="1">
      <c r="A9738" s="2" t="s">
        <v>9738</v>
      </c>
      <c r="B9738" s="2" t="str">
        <f>IFERROR(__xludf.DUMMYFUNCTION("GOOGLETRANSLATE(A9738, ""en"", ""mt"")"),"Kemm blalen Josh Norman interċettaw?")</f>
        <v>Kemm blalen Josh Norman interċettaw?</v>
      </c>
    </row>
    <row r="9739" ht="15.75" customHeight="1">
      <c r="A9739" s="2" t="s">
        <v>9739</v>
      </c>
      <c r="B9739" s="2" t="str">
        <f>IFERROR(__xludf.DUMMYFUNCTION("GOOGLETRANSLATE(A9739, ""en"", ""mt"")"),"Is-sistema Min")</f>
        <v>Is-sistema Min</v>
      </c>
    </row>
    <row r="9740" ht="15.75" customHeight="1">
      <c r="A9740" s="2" t="s">
        <v>9740</v>
      </c>
      <c r="B9740" s="2" t="str">
        <f>IFERROR(__xludf.DUMMYFUNCTION("GOOGLETRANSLATE(A9740, ""en"", ""mt"")"),"£ 1")</f>
        <v>£ 1</v>
      </c>
    </row>
    <row r="9741" ht="15.75" customHeight="1">
      <c r="A9741" s="2" t="s">
        <v>9741</v>
      </c>
      <c r="B9741" s="2" t="str">
        <f>IFERROR(__xludf.DUMMYFUNCTION("GOOGLETRANSLATE(A9741, ""en"", ""mt"")"),"X'inhu l-isem ta 'tip wieħed ta' metodu ta 'komputazzjoni li jintuża biex issib numri ewlenin?")</f>
        <v>X'inhu l-isem ta 'tip wieħed ta' metodu ta 'komputazzjoni li jintuża biex issib numri ewlenin?</v>
      </c>
    </row>
    <row r="9742" ht="15.75" customHeight="1">
      <c r="A9742" s="2" t="s">
        <v>9742</v>
      </c>
      <c r="B9742" s="2" t="str">
        <f>IFERROR(__xludf.DUMMYFUNCTION("GOOGLETRANSLATE(A9742, ""en"", ""mt"")"),"L-aħħar glaċjali dam minn ~ 74,000 (bp = qabel il-preżent), sa tmiem il-Pleistocene (~ 11,600 bp). Fl-Ewropa tal-Majjistral, rat żewġ fażijiet kesħin ħafna, li laħqu madwar 70,000 bp u madwar 29,000-24,000 bp. L-aħħar fażi preċedenti kemmxejn qabel l-aħħa"&amp;"r massimu globali tal-età tas-silġ (l-aħħar massimu glaċjali). Matul dan iż-żmien, ir-Renu t'isfel ħareġ bejn wieħed u ieħor lejn il-punent mill-Olanda u estiż lejn il-Lbiċ, permezz tal-Kanal Ingliż u fl-aħħar, lejn l-Oċean Atlantiku. Il-Kanal Ingliż, il-"&amp;"Kanal Irlandiż u l-biċċa l-kbira tal-Baħar tat-Tramuntana kienu art niexfa, l-aktar minħabba li l-livell tal-baħar kien madwar 120 m (390 ft) inqas mil-lum.")</f>
        <v>L-aħħar glaċjali dam minn ~ 74,000 (bp = qabel il-preżent), sa tmiem il-Pleistocene (~ 11,600 bp). Fl-Ewropa tal-Majjistral, rat żewġ fażijiet kesħin ħafna, li laħqu madwar 70,000 bp u madwar 29,000-24,000 bp. L-aħħar fażi preċedenti kemmxejn qabel l-aħħar massimu globali tal-età tas-silġ (l-aħħar massimu glaċjali). Matul dan iż-żmien, ir-Renu t'isfel ħareġ bejn wieħed u ieħor lejn il-punent mill-Olanda u estiż lejn il-Lbiċ, permezz tal-Kanal Ingliż u fl-aħħar, lejn l-Oċean Atlantiku. Il-Kanal Ingliż, il-Kanal Irlandiż u l-biċċa l-kbira tal-Baħar tat-Tramuntana kienu art niexfa, l-aktar minħabba li l-livell tal-baħar kien madwar 120 m (390 ft) inqas mil-lum.</v>
      </c>
    </row>
    <row r="9743" ht="15.75" customHeight="1">
      <c r="A9743" s="2" t="s">
        <v>9743</v>
      </c>
      <c r="B9743" s="2" t="str">
        <f>IFERROR(__xludf.DUMMYFUNCTION("GOOGLETRANSLATE(A9743, ""en"", ""mt"")"),"X'tagħmel il-fosforilazzjoni?")</f>
        <v>X'tagħmel il-fosforilazzjoni?</v>
      </c>
    </row>
    <row r="9744" ht="15.75" customHeight="1">
      <c r="A9744" s="2" t="s">
        <v>9744</v>
      </c>
      <c r="B9744" s="2" t="str">
        <f>IFERROR(__xludf.DUMMYFUNCTION("GOOGLETRANSLATE(A9744, ""en"", ""mt"")"),"Analiżi mikroskopika ta 'sezzjonijiet irqaq orjentati")</f>
        <v>Analiżi mikroskopika ta 'sezzjonijiet irqaq orjentati</v>
      </c>
    </row>
    <row r="9745" ht="15.75" customHeight="1">
      <c r="A9745" s="2" t="s">
        <v>9745</v>
      </c>
      <c r="B9745" s="2" t="str">
        <f>IFERROR(__xludf.DUMMYFUNCTION("GOOGLETRANSLATE(A9745, ""en"", ""mt"")"),"X'inhu l-impatt li jdub li juru xi kampjuni ta 'blat tal-qamar?")</f>
        <v>X'inhu l-impatt li jdub li juru xi kampjuni ta 'blat tal-qamar?</v>
      </c>
    </row>
    <row r="9746" ht="15.75" customHeight="1">
      <c r="A9746" s="2" t="s">
        <v>9746</v>
      </c>
      <c r="B9746" s="2" t="str">
        <f>IFERROR(__xludf.DUMMYFUNCTION("GOOGLETRANSLATE(A9746, ""en"", ""mt"")"),"intilef fin-Nar tal-Laboratorju tal-5 Vjal ta ’Marzu 1895")</f>
        <v>intilef fin-Nar tal-Laboratorju tal-5 Vjal ta ’Marzu 1895</v>
      </c>
    </row>
    <row r="9747" ht="15.75" customHeight="1">
      <c r="A9747" s="2" t="s">
        <v>9747</v>
      </c>
      <c r="B9747" s="2" t="str">
        <f>IFERROR(__xludf.DUMMYFUNCTION("GOOGLETRANSLATE(A9747, ""en"", ""mt"")"),"Franza Antartika")</f>
        <v>Franza Antartika</v>
      </c>
    </row>
    <row r="9748" ht="15.75" customHeight="1">
      <c r="A9748" s="2" t="s">
        <v>9748</v>
      </c>
      <c r="B9748" s="2" t="str">
        <f>IFERROR(__xludf.DUMMYFUNCTION("GOOGLETRANSLATE(A9748, ""en"", ""mt"")"),"Fl-Arti u d-Divertiment, il-kompożitur minimalista Philip Glass, żeffien, koreografu u mexxej fil-qasam tal-antropoloġija taż-żfin Katherine Dunham, fundatriċi tal-Bungie u żviluppatur tas-serje tal-logħob tal-vidjow Halo Alex Seropian, ospitanti tas-serj"&amp;"e Sarah Koenig, l-attur Edner Edner, Pulizer Premju għal Kritika tal-film li rebaħ il-kritika u s-suġġett tad-dokumentarju tal-film tal-2014 tal-ħajja nnifisha Roger Ebert, direttur, kittieb, u kummidjant Mike Nichols, direttur tal-films u skriptur Philip"&amp;" Kaufman, u Carl Van Vechten, fotografu u kittieb, huma gradwati.")</f>
        <v>Fl-Arti u d-Divertiment, il-kompożitur minimalista Philip Glass, żeffien, koreografu u mexxej fil-qasam tal-antropoloġija taż-żfin Katherine Dunham, fundatriċi tal-Bungie u żviluppatur tas-serje tal-logħob tal-vidjow Halo Alex Seropian, ospitanti tas-serje Sarah Koenig, l-attur Edner Edner, Pulizer Premju għal Kritika tal-film li rebaħ il-kritika u s-suġġett tad-dokumentarju tal-film tal-2014 tal-ħajja nnifisha Roger Ebert, direttur, kittieb, u kummidjant Mike Nichols, direttur tal-films u skriptur Philip Kaufman, u Carl Van Vechten, fotografu u kittieb, huma gradwati.</v>
      </c>
    </row>
    <row r="9749" ht="15.75" customHeight="1">
      <c r="A9749" s="2" t="s">
        <v>9749</v>
      </c>
      <c r="B9749" s="2" t="str">
        <f>IFERROR(__xludf.DUMMYFUNCTION("GOOGLETRANSLATE(A9749, ""en"", ""mt"")"),"L-anarkisti ma jridux jaċċettaw kastig għal liema raġuni?")</f>
        <v>L-anarkisti ma jridux jaċċettaw kastig għal liema raġuni?</v>
      </c>
    </row>
    <row r="9750" ht="15.75" customHeight="1">
      <c r="A9750" s="2" t="s">
        <v>9750</v>
      </c>
      <c r="B9750" s="2" t="str">
        <f>IFERROR(__xludf.DUMMYFUNCTION("GOOGLETRANSLATE(A9750, ""en"", ""mt"")"),"Nar tal-kċina")</f>
        <v>Nar tal-kċina</v>
      </c>
    </row>
    <row r="9751" ht="15.75" customHeight="1">
      <c r="A9751" s="2" t="s">
        <v>9751</v>
      </c>
      <c r="B9751" s="2" t="str">
        <f>IFERROR(__xludf.DUMMYFUNCTION("GOOGLETRANSLATE(A9751, ""en"", ""mt"")"),"Lega ta ’Augsburg")</f>
        <v>Lega ta ’Augsburg</v>
      </c>
    </row>
    <row r="9752" ht="15.75" customHeight="1">
      <c r="A9752" s="2" t="s">
        <v>9752</v>
      </c>
      <c r="B9752" s="2" t="str">
        <f>IFERROR(__xludf.DUMMYFUNCTION("GOOGLETRANSLATE(A9752, ""en"", ""mt"")"),"tard")</f>
        <v>tard</v>
      </c>
    </row>
    <row r="9753" ht="15.75" customHeight="1">
      <c r="A9753" s="2" t="s">
        <v>9753</v>
      </c>
      <c r="B9753" s="2" t="str">
        <f>IFERROR(__xludf.DUMMYFUNCTION("GOOGLETRANSLATE(A9753, ""en"", ""mt"")"),"Filwaqt li l-liġi kostituzzjonali tikkonċerna l-istruttura tal-governanza tal-Unjoni Ewropea, il-liġi amministrattiva tgħaqqad istituzzjonijiet tal-UE u stati membri biex isegwu l-liġi. Kemm l-istati membri kif ukoll il-kummissjoni għandhom dritt legali ġ"&amp;"enerali jew ""permanenti"" (locus standa) biex iġibu talbiet kontra istituzzjonijiet tal-UE u stati membri oħra għall-ksur tat-trattati. Mill-fondazzjoni tal-UE, il-Qorti tal-Ġustizzja ddeċidiet ukoll li t-trattati ppermettew liċ-ċittadini jew korporazzjo"&amp;"nijiet biex iġibu talbiet kontra l-UE u istituzzjonijiet tal-Istat Membru għall-ksur tat-trattati u r-regolamenti, jekk ġew interpretati sewwa bħala li joħolqu drittijiet u obbligi. Madankollu, taħt direttivi, iċ-ċittadini jew korporazzjonijiet intqal fl-"&amp;"1986 biex ma jitħallewx iġibu talbiet kontra partijiet oħra mhux statali. Dan kien ifisser li qrati ta 'l-istati membri ma kinux marbuta li japplikaw liġi tal-UE fejn regola nazzjonali kienet f'kunflitt, minkejja li l-gvern tal-istat membru jista' jiġi mħ"&amp;"arrek, jekk timponi obbligu fuq ċittadin jew korporazzjoni oħra. Dawn ir-regoli dwar ""effett dirett"" jillimitaw sa liema punt il-qrati tal-istat membri huma marbuta li jamministraw il-liġi tal-UE. L-azzjonijiet kollha mill-istituzzjonijiet tal-UE jistgħ"&amp;"u jkunu soġġetti għal reviżjoni ġudizzjarja, u ġġudikati minn standards ta 'proporzjonalità, partikolarment fejn huma involuti prinċipji ġenerali tal-liġi, jew drittijiet fundamentali. Ir-rimedju għal pretendent fejn kien hemm ksur tal-liġi ħafna drabi hu"&amp;"wa danni monetarji, iżda l-qrati jistgħu wkoll jeħtieġu prestazzjoni speċifika jew jagħtu mandat ta 'inibizzjoni, sabiex ikun assigurat li l-liġi tkun effettiva kemm jista' jkun.")</f>
        <v>Filwaqt li l-liġi kostituzzjonali tikkonċerna l-istruttura tal-governanza tal-Unjoni Ewropea, il-liġi amministrattiva tgħaqqad istituzzjonijiet tal-UE u stati membri biex isegwu l-liġi. Kemm l-istati membri kif ukoll il-kummissjoni għandhom dritt legali ġenerali jew "permanenti" (locus standa) biex iġibu talbiet kontra istituzzjonijiet tal-UE u stati membri oħra għall-ksur tat-trattati. Mill-fondazzjoni tal-UE, il-Qorti tal-Ġustizzja ddeċidiet ukoll li t-trattati ppermettew liċ-ċittadini jew korporazzjonijiet biex iġibu talbiet kontra l-UE u istituzzjonijiet tal-Istat Membru għall-ksur tat-trattati u r-regolamenti, jekk ġew interpretati sewwa bħala li joħolqu drittijiet u obbligi. Madankollu, taħt direttivi, iċ-ċittadini jew korporazzjonijiet intqal fl-1986 biex ma jitħallewx iġibu talbiet kontra partijiet oħra mhux statali. Dan kien ifisser li qrati ta 'l-istati membri ma kinux marbuta li japplikaw liġi tal-UE fejn regola nazzjonali kienet f'kunflitt, minkejja li l-gvern tal-istat membru jista' jiġi mħarrek, jekk timponi obbligu fuq ċittadin jew korporazzjoni oħra. Dawn ir-regoli dwar "effett dirett" jillimitaw sa liema punt il-qrati tal-istat membri huma marbuta li jamministraw il-liġi tal-UE. L-azzjonijiet kollha mill-istituzzjonijiet tal-UE jistgħu jkunu soġġetti għal reviżjoni ġudizzjarja, u ġġudikati minn standards ta 'proporzjonalità, partikolarment fejn huma involuti prinċipji ġenerali tal-liġi, jew drittijiet fundamentali. Ir-rimedju għal pretendent fejn kien hemm ksur tal-liġi ħafna drabi huwa danni monetarji, iżda l-qrati jistgħu wkoll jeħtieġu prestazzjoni speċifika jew jagħtu mandat ta 'inibizzjoni, sabiex ikun assigurat li l-liġi tkun effettiva kemm jista' jkun.</v>
      </c>
    </row>
    <row r="9754" ht="15.75" customHeight="1">
      <c r="A9754" s="2" t="s">
        <v>9754</v>
      </c>
      <c r="B9754" s="2" t="str">
        <f>IFERROR(__xludf.DUMMYFUNCTION("GOOGLETRANSLATE(A9754, ""en"", ""mt"")"),"Uża l-arrest bħala opportunità")</f>
        <v>Uża l-arrest bħala opportunità</v>
      </c>
    </row>
    <row r="9755" ht="15.75" customHeight="1">
      <c r="A9755" s="2" t="s">
        <v>9755</v>
      </c>
      <c r="B9755" s="2" t="str">
        <f>IFERROR(__xludf.DUMMYFUNCTION("GOOGLETRANSLATE(A9755, ""en"", ""mt"")"),"Il-mekkaniżmi użati biex jevadu s-sistema immuni adatta huma aktar ikkumplikati. L-aktar approċċ sempliċi huwa li jinbidlu malajr epitopi mhux essenzjali (aċidi amminiċi u / jew zokkor) fuq il-wiċċ tal-patoġen, filwaqt li jżommu l-epitopi essenzjali moħbi"&amp;"ja. Din tissejjaħ varjazzjoni antiġenika. Eżempju huwa l-HIV, li jmut malajr, u għalhekk il-proteini fuq il-pakkett virali tiegħu li huma essenzjali għad-dħul fiċ-ċellula mmirata ospitanti tagħha qed jinbidlu kontinwament. Dawn il-bidliet frekwenti fl-ant"&amp;"iġeni jistgħu jispjegaw il-fallimenti ta 'vaċċini diretti lejn dan il-virus. Il-parassita Trypanosoma brucei tuża strateġija simili, li kontinwament taqleb tip ta 'proteina tal-wiċċ għal oħra, li tippermettilha tibqa' pass 'il quddiem mir-rispons għall-an"&amp;"tikorpi. L-antiġeni li jgħaqqdu ma 'molekuli ospitanti hija strateġija oħra komuni biex tevita d-detezzjoni mis-sistema immunitarja. Fl-HIV, l-envelop li jkopri l-virion huwa ffurmat mill-membrana l-iktar imbiegħda taċ-ċellula ospitanti; Viruses ""awto-mi"&amp;"ksija"" jagħmluha diffiċli għas-sistema immuni biex tidentifikahom bħala strutturi ""mhux self"".")</f>
        <v>Il-mekkaniżmi użati biex jevadu s-sistema immuni adatta huma aktar ikkumplikati. L-aktar approċċ sempliċi huwa li jinbidlu malajr epitopi mhux essenzjali (aċidi amminiċi u / jew zokkor) fuq il-wiċċ tal-patoġen, filwaqt li jżommu l-epitopi essenzjali moħbija. Din tissejjaħ varjazzjoni antiġenika. Eżempju huwa l-HIV, li jmut malajr, u għalhekk il-proteini fuq il-pakkett virali tiegħu li huma essenzjali għad-dħul fiċ-ċellula mmirata ospitanti tagħha qed jinbidlu kontinwament. Dawn il-bidliet frekwenti fl-antiġeni jistgħu jispjegaw il-fallimenti ta 'vaċċini diretti lejn dan il-virus. Il-parassita Trypanosoma brucei tuża strateġija simili, li kontinwament taqleb tip ta 'proteina tal-wiċċ għal oħra, li tippermettilha tibqa' pass 'il quddiem mir-rispons għall-antikorpi. L-antiġeni li jgħaqqdu ma 'molekuli ospitanti hija strateġija oħra komuni biex tevita d-detezzjoni mis-sistema immunitarja. Fl-HIV, l-envelop li jkopri l-virion huwa ffurmat mill-membrana l-iktar imbiegħda taċ-ċellula ospitanti; Viruses "awto-miksija" jagħmluha diffiċli għas-sistema immuni biex tidentifikahom bħala strutturi "mhux self".</v>
      </c>
    </row>
    <row r="9756" ht="15.75" customHeight="1">
      <c r="A9756" s="2" t="s">
        <v>9756</v>
      </c>
      <c r="B9756" s="2" t="str">
        <f>IFERROR(__xludf.DUMMYFUNCTION("GOOGLETRANSLATE(A9756, ""en"", ""mt"")"),"Liema jum tal-ġimgħa debutt fuq Shark Tank?")</f>
        <v>Liema jum tal-ġimgħa debutt fuq Shark Tank?</v>
      </c>
    </row>
    <row r="9757" ht="15.75" customHeight="1">
      <c r="A9757" s="2" t="s">
        <v>9757</v>
      </c>
      <c r="B9757" s="2" t="str">
        <f>IFERROR(__xludf.DUMMYFUNCTION("GOOGLETRANSLATE(A9757, ""en"", ""mt"")"),"Relazzjoni tan-numru mal-valur korrispondenti tiegħu tal-funzjoni totjenti ta 'Euler")</f>
        <v>Relazzjoni tan-numru mal-valur korrispondenti tiegħu tal-funzjoni totjenti ta 'Euler</v>
      </c>
    </row>
    <row r="9758" ht="15.75" customHeight="1">
      <c r="A9758" s="2" t="s">
        <v>9758</v>
      </c>
      <c r="B9758" s="2" t="str">
        <f>IFERROR(__xludf.DUMMYFUNCTION("GOOGLETRANSLATE(A9758, ""en"", ""mt"")"),"Kemm hemm ċinemas attwalment alloġġjati fuq sit wieħed?")</f>
        <v>Kemm hemm ċinemas attwalment alloġġjati fuq sit wieħed?</v>
      </c>
    </row>
    <row r="9759" ht="15.75" customHeight="1">
      <c r="A9759" s="2" t="s">
        <v>9759</v>
      </c>
      <c r="B9759" s="2" t="str">
        <f>IFERROR(__xludf.DUMMYFUNCTION("GOOGLETRANSLATE(A9759, ""en"", ""mt"")"),"kontra l-Prussja u l-alleati tagħha fit-Teatru Ewropew tal-Gwerra.")</f>
        <v>kontra l-Prussja u l-alleati tagħha fit-Teatru Ewropew tal-Gwerra.</v>
      </c>
    </row>
    <row r="9760" ht="15.75" customHeight="1">
      <c r="A9760" s="2" t="s">
        <v>9760</v>
      </c>
      <c r="B9760" s="2" t="str">
        <f>IFERROR(__xludf.DUMMYFUNCTION("GOOGLETRANSLATE(A9760, ""en"", ""mt"")"),"Huwa daħal fil-poter billi jgħaqqad ħafna mit-tribujiet nomadi tal-Grigal tal-Asja. Wara li waqqaf l-imperu Mongoljan u ġie proklamat ""Genghis Khan"", huwa beda l-invażjonijiet tal-Mongolja li rriżultaw fil-konkwista tal-biċċa l-kbira tal-Eurasja. Dawn k"&amp;"ienu jinkludu rejds jew invażjonijiet tal-Qara Khitai, Kawkasu, Imperu Khwarezmid, XIA tal-Punent u Dynasties Jin. Dawn il-kampanji spiss kienu akkumpanjati minn massakri bl-ingrossa tal-popolazzjonijiet ċivili - speċjalment fl-artijiet ikkontrollati ta '"&amp;"Khwarezmian u Xia. Sa tmiem ħajtu, l-imperu Mongoljan okkupa porzjon sostanzjali tal-Asja Ċentrali u ċ-Ċina.")</f>
        <v>Huwa daħal fil-poter billi jgħaqqad ħafna mit-tribujiet nomadi tal-Grigal tal-Asja. Wara li waqqaf l-imperu Mongoljan u ġie proklamat "Genghis Khan", huwa beda l-invażjonijiet tal-Mongolja li rriżultaw fil-konkwista tal-biċċa l-kbira tal-Eurasja. Dawn kienu jinkludu rejds jew invażjonijiet tal-Qara Khitai, Kawkasu, Imperu Khwarezmid, XIA tal-Punent u Dynasties Jin. Dawn il-kampanji spiss kienu akkumpanjati minn massakri bl-ingrossa tal-popolazzjonijiet ċivili - speċjalment fl-artijiet ikkontrollati ta 'Khwarezmian u Xia. Sa tmiem ħajtu, l-imperu Mongoljan okkupa porzjon sostanzjali tal-Asja Ċentrali u ċ-Ċina.</v>
      </c>
    </row>
    <row r="9761" ht="15.75" customHeight="1">
      <c r="A9761" s="2" t="s">
        <v>9761</v>
      </c>
      <c r="B9761" s="2" t="str">
        <f>IFERROR(__xludf.DUMMYFUNCTION("GOOGLETRANSLATE(A9761, ""en"", ""mt"")"),"Ix-xita fil-baċin waqt l-LGM kienet aktar baxxa")</f>
        <v>Ix-xita fil-baċin waqt l-LGM kienet aktar baxxa</v>
      </c>
    </row>
    <row r="9762" ht="15.75" customHeight="1">
      <c r="A9762" s="2" t="s">
        <v>9762</v>
      </c>
      <c r="B9762" s="2" t="str">
        <f>IFERROR(__xludf.DUMMYFUNCTION("GOOGLETRANSLATE(A9762, ""en"", ""mt"")"),"Digi")</f>
        <v>Digi</v>
      </c>
    </row>
    <row r="9763" ht="15.75" customHeight="1">
      <c r="A9763" s="2" t="s">
        <v>9763</v>
      </c>
      <c r="B9763" s="2" t="str">
        <f>IFERROR(__xludf.DUMMYFUNCTION("GOOGLETRANSLATE(A9763, ""en"", ""mt"")"),"Wirt Dinji tal-UNESCO")</f>
        <v>Wirt Dinji tal-UNESCO</v>
      </c>
    </row>
    <row r="9764" ht="15.75" customHeight="1">
      <c r="A9764" s="2" t="s">
        <v>9764</v>
      </c>
      <c r="B9764" s="2" t="str">
        <f>IFERROR(__xludf.DUMMYFUNCTION("GOOGLETRANSLATE(A9764, ""en"", ""mt"")"),"le")</f>
        <v>le</v>
      </c>
    </row>
    <row r="9765" ht="15.75" customHeight="1">
      <c r="A9765" s="2" t="s">
        <v>9765</v>
      </c>
      <c r="B9765" s="2" t="str">
        <f>IFERROR(__xludf.DUMMYFUNCTION("GOOGLETRANSLATE(A9765, ""en"", ""mt"")"),"Ir-Re Sumerjan Gilgamesh ta 'Uruk u Atilla l-Hun")</f>
        <v>Ir-Re Sumerjan Gilgamesh ta 'Uruk u Atilla l-Hun</v>
      </c>
    </row>
    <row r="9766" ht="15.75" customHeight="1">
      <c r="A9766" s="2" t="s">
        <v>9766</v>
      </c>
      <c r="B9766" s="2" t="str">
        <f>IFERROR(__xludf.DUMMYFUNCTION("GOOGLETRANSLATE(A9766, ""en"", ""mt"")"),"L-ammont preżenti ta 'finanzjament ma jistax ikopri l-ispejjeż kurrenti għax-xogħol u l-materjali")</f>
        <v>L-ammont preżenti ta 'finanzjament ma jistax ikopri l-ispejjeż kurrenti għax-xogħol u l-materjali</v>
      </c>
    </row>
    <row r="9767" ht="15.75" customHeight="1">
      <c r="A9767" s="2" t="s">
        <v>9767</v>
      </c>
      <c r="B9767" s="2" t="str">
        <f>IFERROR(__xludf.DUMMYFUNCTION("GOOGLETRANSLATE(A9767, ""en"", ""mt"")"),"Russu")</f>
        <v>Russu</v>
      </c>
    </row>
    <row r="9768" ht="15.75" customHeight="1">
      <c r="A9768" s="2" t="s">
        <v>9768</v>
      </c>
      <c r="B9768" s="2" t="str">
        <f>IFERROR(__xludf.DUMMYFUNCTION("GOOGLETRANSLATE(A9768, ""en"", ""mt"")"),"Forom normali ta 'dixxiplina tal-ġenituri")</f>
        <v>Forom normali ta 'dixxiplina tal-ġenituri</v>
      </c>
    </row>
    <row r="9769" ht="15.75" customHeight="1">
      <c r="A9769" s="2" t="s">
        <v>9769</v>
      </c>
      <c r="B9769" s="2" t="str">
        <f>IFERROR(__xludf.DUMMYFUNCTION("GOOGLETRANSLATE(A9769, ""en"", ""mt"")"),"Minn Jannar 1964, sakemm kiseb l-ewwel inżul ta 'l-ekwipaġġ f'Lulju 1969")</f>
        <v>Minn Jannar 1964, sakemm kiseb l-ewwel inżul ta 'l-ekwipaġġ f'Lulju 1969</v>
      </c>
    </row>
    <row r="9770" ht="15.75" customHeight="1">
      <c r="A9770" s="2" t="s">
        <v>9770</v>
      </c>
      <c r="B9770" s="2" t="str">
        <f>IFERROR(__xludf.DUMMYFUNCTION("GOOGLETRANSLATE(A9770, ""en"", ""mt"")"),"F'partijiet kbar, Newcastle għadu jżomm tqassim tat-triq medjevali. Alleys dojoq jew ""chares"", li ħafna minnhom jistgħu jiġu traversati biss bil-marda, għadhom jeżistu fl-abbundanza, partikolarment madwar ix-xmajjar. It-taraġ mir-riverside għal partijie"&amp;"t ogħla taċ-ċentru tal-belt u l-kastell li jeżisti, oriġinarjament irreġistrat fis-seklu 14, jibqa 'intatt f'postijiet. Close, Sandhill u Quayside fihom bini modern kif ukoll strutturi li jmorru mis-sekli 15-18-il sena, inklużi Bessie Surtees House, The C"&amp;"ooperage u Lloyds Quayside Bars, Derwentwater Hous Id-dar tal-merkantili tas-seklu 16 fil-viċin 28-30.")</f>
        <v>F'partijiet kbar, Newcastle għadu jżomm tqassim tat-triq medjevali. Alleys dojoq jew "chares", li ħafna minnhom jistgħu jiġu traversati biss bil-marda, għadhom jeżistu fl-abbundanza, partikolarment madwar ix-xmajjar. It-taraġ mir-riverside għal partijiet ogħla taċ-ċentru tal-belt u l-kastell li jeżisti, oriġinarjament irreġistrat fis-seklu 14, jibqa 'intatt f'postijiet. Close, Sandhill u Quayside fihom bini modern kif ukoll strutturi li jmorru mis-sekli 15-18-il sena, inklużi Bessie Surtees House, The Cooperage u Lloyds Quayside Bars, Derwentwater Hous Id-dar tal-merkantili tas-seklu 16 fil-viċin 28-30.</v>
      </c>
    </row>
    <row r="9771" ht="15.75" customHeight="1">
      <c r="A9771" s="2" t="s">
        <v>9771</v>
      </c>
      <c r="B9771" s="2" t="str">
        <f>IFERROR(__xludf.DUMMYFUNCTION("GOOGLETRANSLATE(A9771, ""en"", ""mt"")"),"Infrastruttura")</f>
        <v>Infrastruttura</v>
      </c>
    </row>
    <row r="9772" ht="15.75" customHeight="1">
      <c r="A9772" s="2" t="s">
        <v>9772</v>
      </c>
      <c r="B9772" s="2" t="str">
        <f>IFERROR(__xludf.DUMMYFUNCTION("GOOGLETRANSLATE(A9772, ""en"", ""mt"")"),"Deċiżjoni importanti għal diżubbidjenti ċivili hija jekk hux se jinvoka ħati jew le. Hemm ħafna dibattitu dwar dan il-punt, għax xi wħud jemmnu li huwa d-dmir ta 'diżubbidjenti ċivili li jissottometti l-piena preskritt mil-liġi, filwaqt li oħrajn jemmnu l"&amp;"i d-difiża ta' ruħha fil-qorti se żżid il-possibbiltà li tinbidel il-liġi inġusta. Ġie argumentat ukoll li kwalunkwe għażla hija kompatibbli mal-ispirtu ta 'diżubbidjenza ċivili. Il-manwal tat-taħriġ tad-diżubbidjenza ċivili ta 'ACT-UP jiddikjara li diżub"&amp;"bidjenti ċivili li jinvoka ħati huwa essenzjalment jiddikjara, ""Iva, impenjat l-att li takkuża lili. Jien ma niċħadx; fil-fatt, jien kburi bih. Inħoss Jien għamilt l-aħjar ħaġa billi kiser din il-liġi partikolari; jien ħati bħala akkużat, ""imma li nvolv"&amp;"i li mhux ħati jibgħat messaġġ ta ',"" il-ħtija timplika ħażin. Inħoss li għamilt l-ebda ħażin. Jista' jkolli kiser xi liġijiet speċifiċi , imma jien ħati li ma għamilt l-ebda ħażin. Għalhekk jien inqajjem ħati. "" Motiv ta 'l-ebda konkors huwa xi kultant"&amp;" meqjus bħala kompromess bejn it-tnejn. Wieħed mill-akkużat akkużat li pprotesta illegalment l-enerġija nukleari, meta mitlub jidħol fl-eċċezzjoni tiegħu, iddikjara, ""Jiena nitlob għas-sbuħija li jdawwarna""; Dan huwa magħruf bħala ""motiv kreattiv,"" u "&amp;"ġeneralment ikun interpretat bħala motiv ta 'mhux ħati.")</f>
        <v>Deċiżjoni importanti għal diżubbidjenti ċivili hija jekk hux se jinvoka ħati jew le. Hemm ħafna dibattitu dwar dan il-punt, għax xi wħud jemmnu li huwa d-dmir ta 'diżubbidjenti ċivili li jissottometti l-piena preskritt mil-liġi, filwaqt li oħrajn jemmnu li d-difiża ta' ruħha fil-qorti se żżid il-possibbiltà li tinbidel il-liġi inġusta. Ġie argumentat ukoll li kwalunkwe għażla hija kompatibbli mal-ispirtu ta 'diżubbidjenza ċivili. Il-manwal tat-taħriġ tad-diżubbidjenza ċivili ta 'ACT-UP jiddikjara li diżubbidjenti ċivili li jinvoka ħati huwa essenzjalment jiddikjara, "Iva, impenjat l-att li takkuża lili. Jien ma niċħadx; fil-fatt, jien kburi bih. Inħoss Jien għamilt l-aħjar ħaġa billi kiser din il-liġi partikolari; jien ħati bħala akkużat, "imma li nvolvi li mhux ħati jibgħat messaġġ ta '," il-ħtija timplika ħażin. Inħoss li għamilt l-ebda ħażin. Jista' jkolli kiser xi liġijiet speċifiċi , imma jien ħati li ma għamilt l-ebda ħażin. Għalhekk jien inqajjem ħati. " Motiv ta 'l-ebda konkors huwa xi kultant meqjus bħala kompromess bejn it-tnejn. Wieħed mill-akkużat akkużat li pprotesta illegalment l-enerġija nukleari, meta mitlub jidħol fl-eċċezzjoni tiegħu, iddikjara, "Jiena nitlob għas-sbuħija li jdawwarna"; Dan huwa magħruf bħala "motiv kreattiv," u ġeneralment ikun interpretat bħala motiv ta 'mhux ħati.</v>
      </c>
    </row>
    <row r="9773" ht="15.75" customHeight="1">
      <c r="A9773" s="2" t="s">
        <v>9773</v>
      </c>
      <c r="B9773" s="2" t="str">
        <f>IFERROR(__xludf.DUMMYFUNCTION("GOOGLETRANSLATE(A9773, ""en"", ""mt"")"),"Ekonomista")</f>
        <v>Ekonomista</v>
      </c>
    </row>
    <row r="9774" ht="15.75" customHeight="1">
      <c r="A9774" s="2" t="s">
        <v>9774</v>
      </c>
      <c r="B9774" s="2" t="str">
        <f>IFERROR(__xludf.DUMMYFUNCTION("GOOGLETRANSLATE(A9774, ""en"", ""mt"")"),"Liema entitajiet huma inklużi fis-sistema federali tal-kura tas-saħħa?")</f>
        <v>Liema entitajiet huma inklużi fis-sistema federali tal-kura tas-saħħa?</v>
      </c>
    </row>
    <row r="9775" ht="15.75" customHeight="1">
      <c r="A9775" s="2" t="s">
        <v>9775</v>
      </c>
      <c r="B9775" s="2" t="str">
        <f>IFERROR(__xludf.DUMMYFUNCTION("GOOGLETRANSLATE(A9775, ""en"", ""mt"")"),"It-tielet grupp ta 'pigmenti misjuba fiċ-ċjanobatterji, u glaukofite, alka ħamra, u kloroplasti tal-kriptofiti")</f>
        <v>It-tielet grupp ta 'pigmenti misjuba fiċ-ċjanobatterji, u glaukofite, alka ħamra, u kloroplasti tal-kriptofiti</v>
      </c>
    </row>
    <row r="9776" ht="15.75" customHeight="1">
      <c r="A9776" s="2" t="s">
        <v>9776</v>
      </c>
      <c r="B9776" s="2" t="str">
        <f>IFERROR(__xludf.DUMMYFUNCTION("GOOGLETRANSLATE(A9776, ""en"", ""mt"")"),"Uffiċċju politiku ogħla")</f>
        <v>Uffiċċju politiku ogħla</v>
      </c>
    </row>
    <row r="9777" ht="15.75" customHeight="1">
      <c r="A9777" s="2" t="s">
        <v>9777</v>
      </c>
      <c r="B9777" s="2" t="str">
        <f>IFERROR(__xludf.DUMMYFUNCTION("GOOGLETRANSLATE(A9777, ""en"", ""mt"")"),"Isqof")</f>
        <v>Isqof</v>
      </c>
    </row>
    <row r="9778" ht="15.75" customHeight="1">
      <c r="A9778" s="2" t="s">
        <v>9778</v>
      </c>
      <c r="B9778" s="2" t="str">
        <f>IFERROR(__xludf.DUMMYFUNCTION("GOOGLETRANSLATE(A9778, ""en"", ""mt"")"),"fl-istudju awto u s-soluzzjoni tal-problemi")</f>
        <v>fl-istudju awto u s-soluzzjoni tal-problemi</v>
      </c>
    </row>
    <row r="9779" ht="15.75" customHeight="1">
      <c r="A9779" s="2" t="s">
        <v>9779</v>
      </c>
      <c r="B9779" s="2" t="str">
        <f>IFERROR(__xludf.DUMMYFUNCTION("GOOGLETRANSLATE(A9779, ""en"", ""mt"")"),"numru ta 'kwalifiki")</f>
        <v>numru ta 'kwalifiki</v>
      </c>
    </row>
    <row r="9780" ht="15.75" customHeight="1">
      <c r="A9780" s="2" t="s">
        <v>9780</v>
      </c>
      <c r="B9780" s="2" t="str">
        <f>IFERROR(__xludf.DUMMYFUNCTION("GOOGLETRANSLATE(A9780, ""en"", ""mt"")"),"valur miżjud")</f>
        <v>valur miżjud</v>
      </c>
    </row>
    <row r="9781" ht="15.75" customHeight="1">
      <c r="A9781" s="2" t="s">
        <v>9781</v>
      </c>
      <c r="B9781" s="2" t="str">
        <f>IFERROR(__xludf.DUMMYFUNCTION("GOOGLETRANSLATE(A9781, ""en"", ""mt"")"),"Kemm diviżjonijiet ġew ristrutturati r-radju ABC fl-2005?")</f>
        <v>Kemm diviżjonijiet ġew ristrutturati r-radju ABC fl-2005?</v>
      </c>
    </row>
    <row r="9782" ht="15.75" customHeight="1">
      <c r="A9782" s="2" t="s">
        <v>9782</v>
      </c>
      <c r="B9782" s="2" t="str">
        <f>IFERROR(__xludf.DUMMYFUNCTION("GOOGLETRANSLATE(A9782, ""en"", ""mt"")"),"Il-V &amp; A għandha l-akbar ġabra ta 'liema perjodu fl-istorja tal-arti skulturika?")</f>
        <v>Il-V &amp; A għandha l-akbar ġabra ta 'liema perjodu fl-istorja tal-arti skulturika?</v>
      </c>
    </row>
    <row r="9783" ht="15.75" customHeight="1">
      <c r="A9783" s="2" t="s">
        <v>9783</v>
      </c>
      <c r="B9783" s="2" t="str">
        <f>IFERROR(__xludf.DUMMYFUNCTION("GOOGLETRANSLATE(A9783, ""en"", ""mt"")"),"Kemm idum wara banquet ma 'Tugh Temur li miet Kusala?")</f>
        <v>Kemm idum wara banquet ma 'Tugh Temur li miet Kusala?</v>
      </c>
    </row>
    <row r="9784" ht="15.75" customHeight="1">
      <c r="A9784" s="2" t="s">
        <v>9784</v>
      </c>
      <c r="B9784" s="2" t="str">
        <f>IFERROR(__xludf.DUMMYFUNCTION("GOOGLETRANSLATE(A9784, ""en"", ""mt"")"),"X'intemm l-ambizzjonijiet Imperjali Torok?")</f>
        <v>X'intemm l-ambizzjonijiet Imperjali Torok?</v>
      </c>
    </row>
    <row r="9785" ht="15.75" customHeight="1">
      <c r="A9785" s="2" t="s">
        <v>9785</v>
      </c>
      <c r="B9785" s="2" t="str">
        <f>IFERROR(__xludf.DUMMYFUNCTION("GOOGLETRANSLATE(A9785, ""en"", ""mt"")"),"molekuli organiċi")</f>
        <v>molekuli organiċi</v>
      </c>
    </row>
    <row r="9786" ht="15.75" customHeight="1">
      <c r="A9786" s="2" t="s">
        <v>9786</v>
      </c>
      <c r="B9786" s="2" t="str">
        <f>IFERROR(__xludf.DUMMYFUNCTION("GOOGLETRANSLATE(A9786, ""en"", ""mt"")"),"X'tip ta 'kombustjoni tipprevjeni r-reazzjoni bil-mod ta' ossiġnu triplet?")</f>
        <v>X'tip ta 'kombustjoni tipprevjeni r-reazzjoni bil-mod ta' ossiġnu triplet?</v>
      </c>
    </row>
    <row r="9787" ht="15.75" customHeight="1">
      <c r="A9787" s="2" t="s">
        <v>9787</v>
      </c>
      <c r="B9787" s="2" t="str">
        <f>IFERROR(__xludf.DUMMYFUNCTION("GOOGLETRANSLATE(A9787, ""en"", ""mt"")"),"dritt")</f>
        <v>dritt</v>
      </c>
    </row>
    <row r="9788" ht="15.75" customHeight="1">
      <c r="A9788" s="2" t="s">
        <v>9788</v>
      </c>
      <c r="B9788" s="2" t="str">
        <f>IFERROR(__xludf.DUMMYFUNCTION("GOOGLETRANSLATE(A9788, ""en"", ""mt"")"),"immedjat")</f>
        <v>immedjat</v>
      </c>
    </row>
    <row r="9789" ht="15.75" customHeight="1">
      <c r="A9789" s="2" t="s">
        <v>9789</v>
      </c>
      <c r="B9789" s="2" t="str">
        <f>IFERROR(__xludf.DUMMYFUNCTION("GOOGLETRANSLATE(A9789, ""en"", ""mt"")"),"Il-Knisja Metodista Magħquda hija tradizzjoni waħda fi ħdan il-Knisja Nisranija. Il-Knisja Metodista Magħquda hija attiva f'relazzjonijiet ekumeniċi ma 'gruppi u denominazzjonijiet Kristjani oħra. Huwa membru tal-Kunsill Nazzjonali tal-Knejjes, tal-Kunsil"&amp;"l Dinji tal-Knejjes, tal-Knejjes li jgħaqqdu fi Kristu, u l-Knejjes Kristjani flimkien. Barra minn hekk, ivvutat biex tfittex status ta 'osservatur fl-Assoċjazzjoni Nazzjonali ta' l-Evanġeliċi u fil-Fellowship Evanġeliku Dinji. Madankollu, hemm uħud fil-K"&amp;"nisja Metodista Magħquda li jħossu li l-ekumeniżmu falz jista 'jirriżulta fit- ""ċċajpar ta' differenzi teoloġiċi u konfessjonali fl-interessi ta 'l-għaqda.""")</f>
        <v>Il-Knisja Metodista Magħquda hija tradizzjoni waħda fi ħdan il-Knisja Nisranija. Il-Knisja Metodista Magħquda hija attiva f'relazzjonijiet ekumeniċi ma 'gruppi u denominazzjonijiet Kristjani oħra. Huwa membru tal-Kunsill Nazzjonali tal-Knejjes, tal-Kunsill Dinji tal-Knejjes, tal-Knejjes li jgħaqqdu fi Kristu, u l-Knejjes Kristjani flimkien. Barra minn hekk, ivvutat biex tfittex status ta 'osservatur fl-Assoċjazzjoni Nazzjonali ta' l-Evanġeliċi u fil-Fellowship Evanġeliku Dinji. Madankollu, hemm uħud fil-Knisja Metodista Magħquda li jħossu li l-ekumeniżmu falz jista 'jirriżulta fit- "ċċajpar ta' differenzi teoloġiċi u konfessjonali fl-interessi ta 'l-għaqda."</v>
      </c>
    </row>
    <row r="9790" ht="15.75" customHeight="1">
      <c r="A9790" s="2" t="s">
        <v>9790</v>
      </c>
      <c r="B9790" s="2" t="str">
        <f>IFERROR(__xludf.DUMMYFUNCTION("GOOGLETRANSLATE(A9790, ""en"", ""mt"")"),"Il-politiki tal-kiri barra mill-kampus tal-università.")</f>
        <v>Il-politiki tal-kiri barra mill-kampus tal-università.</v>
      </c>
    </row>
    <row r="9791" ht="15.75" customHeight="1">
      <c r="A9791" s="2" t="s">
        <v>9791</v>
      </c>
      <c r="B9791" s="2" t="str">
        <f>IFERROR(__xludf.DUMMYFUNCTION("GOOGLETRANSLATE(A9791, ""en"", ""mt"")"),"Xi jiddetermina l-valur marġinali miżjud minn attur ekonomiku?")</f>
        <v>Xi jiddetermina l-valur marġinali miżjud minn attur ekonomiku?</v>
      </c>
    </row>
    <row r="9792" ht="15.75" customHeight="1">
      <c r="A9792" s="2" t="s">
        <v>9792</v>
      </c>
      <c r="B9792" s="2" t="str">
        <f>IFERROR(__xludf.DUMMYFUNCTION("GOOGLETRANSLATE(A9792, ""en"", ""mt"")"),"Liema nazzjonalità kienet Arthur Woolf?")</f>
        <v>Liema nazzjonalità kienet Arthur Woolf?</v>
      </c>
    </row>
    <row r="9793" ht="15.75" customHeight="1">
      <c r="A9793" s="2" t="s">
        <v>9793</v>
      </c>
      <c r="B9793" s="2" t="str">
        <f>IFERROR(__xludf.DUMMYFUNCTION("GOOGLETRANSLATE(A9793, ""en"", ""mt"")"),"26,000 kilometru kwadru")</f>
        <v>26,000 kilometru kwadru</v>
      </c>
    </row>
    <row r="9794" ht="15.75" customHeight="1">
      <c r="A9794" s="2" t="s">
        <v>9794</v>
      </c>
      <c r="B9794" s="2" t="str">
        <f>IFERROR(__xludf.DUMMYFUNCTION("GOOGLETRANSLATE(A9794, ""en"", ""mt"")"),"Liema sess huwa aktar popolat fil-gruppi kollha f'Jacksonville?")</f>
        <v>Liema sess huwa aktar popolat fil-gruppi kollha f'Jacksonville?</v>
      </c>
    </row>
    <row r="9795" ht="15.75" customHeight="1">
      <c r="A9795" s="2" t="s">
        <v>9795</v>
      </c>
      <c r="B9795" s="2" t="str">
        <f>IFERROR(__xludf.DUMMYFUNCTION("GOOGLETRANSLATE(A9795, ""en"", ""mt"")"),"Min ħakem ħafna mill-Ingilterra wara t-tmiem tal-ħakma imperjali Rumana?")</f>
        <v>Min ħakem ħafna mill-Ingilterra wara t-tmiem tal-ħakma imperjali Rumana?</v>
      </c>
    </row>
    <row r="9796" ht="15.75" customHeight="1">
      <c r="A9796" s="2" t="s">
        <v>9796</v>
      </c>
      <c r="B9796" s="2" t="str">
        <f>IFERROR(__xludf.DUMMYFUNCTION("GOOGLETRANSLATE(A9796, ""en"", ""mt"")"),"Hija espandiet mill-ġdid matul il-Miocene tan-nofs, imbagħad tinġibed għal formazzjoni l-aktar interna fl-aħħar massimu glaċjali.")</f>
        <v>Hija espandiet mill-ġdid matul il-Miocene tan-nofs, imbagħad tinġibed għal formazzjoni l-aktar interna fl-aħħar massimu glaċjali.</v>
      </c>
    </row>
    <row r="9797" ht="15.75" customHeight="1">
      <c r="A9797" s="2" t="s">
        <v>9797</v>
      </c>
      <c r="B9797" s="2" t="str">
        <f>IFERROR(__xludf.DUMMYFUNCTION("GOOGLETRANSLATE(A9797, ""en"", ""mt"")"),"Hija kunċett żbaljat komuni biex tattribwixxi l-ebusija u r-riġidità ta 'materja solida għar-repulsjoni ta' piżijiet simili taħt l-influwenza tal-forza elettromanjetika. Madankollu, dawn il-karatteristiċi fil-fatt jirriżultaw mill-prinċipju ta 'esklużjoni"&amp;" ta' Pauli. [Ċitazzjoni meħtieġa] Peress li l-elettroni huma fermions, ma jistgħux jokkupaw l-istess stat mekkaniku kwantistiku bħal elettroni oħra. Meta l-elettroni f'materjal huma densament ippakkjati flimkien, m'hemmx biżżejjed stati mekkaniċi kwantist"&amp;"iċi ta 'enerġija aktar baxxa għalihom kollha, u għalhekk xi wħud minnhom għandhom ikunu fi stati ta' enerġija ogħla. Dan ifisser li tieħu l-enerġija biex tippakkjahom flimkien. Filwaqt li dan l-effett huwa manifestat makroskopikament bħala forza struttura"&amp;"li, huwa teknikament biss ir-riżultat tal-eżistenza ta 'sett finit ta' stati elettroni.")</f>
        <v>Hija kunċett żbaljat komuni biex tattribwixxi l-ebusija u r-riġidità ta 'materja solida għar-repulsjoni ta' piżijiet simili taħt l-influwenza tal-forza elettromanjetika. Madankollu, dawn il-karatteristiċi fil-fatt jirriżultaw mill-prinċipju ta 'esklużjoni ta' Pauli. [Ċitazzjoni meħtieġa] Peress li l-elettroni huma fermions, ma jistgħux jokkupaw l-istess stat mekkaniku kwantistiku bħal elettroni oħra. Meta l-elettroni f'materjal huma densament ippakkjati flimkien, m'hemmx biżżejjed stati mekkaniċi kwantistiċi ta 'enerġija aktar baxxa għalihom kollha, u għalhekk xi wħud minnhom għandhom ikunu fi stati ta' enerġija ogħla. Dan ifisser li tieħu l-enerġija biex tippakkjahom flimkien. Filwaqt li dan l-effett huwa manifestat makroskopikament bħala forza strutturali, huwa teknikament biss ir-riżultat tal-eżistenza ta 'sett finit ta' stati elettroni.</v>
      </c>
    </row>
    <row r="9798" ht="15.75" customHeight="1">
      <c r="A9798" s="2" t="s">
        <v>9798</v>
      </c>
      <c r="B9798" s="2" t="str">
        <f>IFERROR(__xludf.DUMMYFUNCTION("GOOGLETRANSLATE(A9798, ""en"", ""mt"")"),"X'kien l-akbar ghadu tal-fidi skond Luther?")</f>
        <v>X'kien l-akbar ghadu tal-fidi skond Luther?</v>
      </c>
    </row>
    <row r="9799" ht="15.75" customHeight="1">
      <c r="A9799" s="2" t="s">
        <v>9799</v>
      </c>
      <c r="B9799" s="2" t="str">
        <f>IFERROR(__xludf.DUMMYFUNCTION("GOOGLETRANSLATE(A9799, ""en"", ""mt"")"),"valur miżjud minn klassifikazzjonijiet differenti tal-ħaddiema")</f>
        <v>valur miżjud minn klassifikazzjonijiet differenti tal-ħaddiema</v>
      </c>
    </row>
    <row r="9800" ht="15.75" customHeight="1">
      <c r="A9800" s="2" t="s">
        <v>9800</v>
      </c>
      <c r="B9800" s="2" t="str">
        <f>IFERROR(__xludf.DUMMYFUNCTION("GOOGLETRANSLATE(A9800, ""en"", ""mt"")"),"Fornituri tad-Droga Internazzjonali")</f>
        <v>Fornituri tad-Droga Internazzjonali</v>
      </c>
    </row>
    <row r="9801" ht="15.75" customHeight="1">
      <c r="A9801" s="2" t="s">
        <v>9801</v>
      </c>
      <c r="B9801" s="2" t="str">
        <f>IFERROR(__xludf.DUMMYFUNCTION("GOOGLETRANSLATE(A9801, ""en"", ""mt"")"),"Għaliex in-nies li jqassmu l-fuljetti fil-qorti ma ġewx arrestati?")</f>
        <v>Għaliex in-nies li jqassmu l-fuljetti fil-qorti ma ġewx arrestati?</v>
      </c>
    </row>
    <row r="9802" ht="15.75" customHeight="1">
      <c r="A9802" s="2" t="s">
        <v>9802</v>
      </c>
      <c r="B9802" s="2" t="str">
        <f>IFERROR(__xludf.DUMMYFUNCTION("GOOGLETRANSLATE(A9802, ""en"", ""mt"")"),"għaxra")</f>
        <v>għaxra</v>
      </c>
    </row>
    <row r="9803" ht="15.75" customHeight="1">
      <c r="A9803" s="2" t="s">
        <v>9803</v>
      </c>
      <c r="B9803" s="2" t="str">
        <f>IFERROR(__xludf.DUMMYFUNCTION("GOOGLETRANSLATE(A9803, ""en"", ""mt"")"),"Arti u artiġjanat")</f>
        <v>Arti u artiġjanat</v>
      </c>
    </row>
    <row r="9804" ht="15.75" customHeight="1">
      <c r="A9804" s="2" t="s">
        <v>9804</v>
      </c>
      <c r="B9804" s="2" t="str">
        <f>IFERROR(__xludf.DUMMYFUNCTION("GOOGLETRANSLATE(A9804, ""en"", ""mt"")"),"Meta tħares lil hinn mill-iżbark Lunar bl-ekwipaġġ, in-NASA investigat diversi applikazzjonijiet post-lunari għall-ħardwer Apollo. Is-Serje ta 'Estensjoni Apollo (Apollo X,) ipproponiet sa 30 titjira lejn l-orbita tad-Dinja, billi tuża l-ispazju fl-adapte"&amp;"r tal-modulu lunari spazjali (SLA) biex tospita laboratorju orbitali żgħir (workshop). L-astronawti jkomplu jużaw is-CSM bħala lanċa għall-istazzjon. Dan l-istudju kien segwit minn disinn ta 'workshop orbitali akbar li għandu jinbena fl-orbita minn stadju"&amp;" ta' fuq ta 'Saturn S-IVB vojt, u kiber fil-Programm ta' Applikazzjonijiet Apollo (AAP). Il-workshop kellu jiġi ssupplimentat mill-missjonijiet tat-teleskopju Apollo, li jissostitwixxu t-tagħmir tal-istadju tad-dixxendenza tal-LM u l-magna b'osservatorju "&amp;"tat-teleskopju solari. L-iktar pjan ambizzjuż talab għall-użu ta 'S-IVB vojt bħala vettura spazjali interplanetarja għal missjoni ta' Fly-by Venus.")</f>
        <v>Meta tħares lil hinn mill-iżbark Lunar bl-ekwipaġġ, in-NASA investigat diversi applikazzjonijiet post-lunari għall-ħardwer Apollo. Is-Serje ta 'Estensjoni Apollo (Apollo X,) ipproponiet sa 30 titjira lejn l-orbita tad-Dinja, billi tuża l-ispazju fl-adapter tal-modulu lunari spazjali (SLA) biex tospita laboratorju orbitali żgħir (workshop). L-astronawti jkomplu jużaw is-CSM bħala lanċa għall-istazzjon. Dan l-istudju kien segwit minn disinn ta 'workshop orbitali akbar li għandu jinbena fl-orbita minn stadju ta' fuq ta 'Saturn S-IVB vojt, u kiber fil-Programm ta' Applikazzjonijiet Apollo (AAP). Il-workshop kellu jiġi ssupplimentat mill-missjonijiet tat-teleskopju Apollo, li jissostitwixxu t-tagħmir tal-istadju tad-dixxendenza tal-LM u l-magna b'osservatorju tat-teleskopju solari. L-iktar pjan ambizzjuż talab għall-użu ta 'S-IVB vojt bħala vettura spazjali interplanetarja għal missjoni ta' Fly-by Venus.</v>
      </c>
    </row>
    <row r="9805" ht="15.75" customHeight="1">
      <c r="A9805" s="2" t="s">
        <v>9805</v>
      </c>
      <c r="B9805" s="2" t="str">
        <f>IFERROR(__xludf.DUMMYFUNCTION("GOOGLETRANSLATE(A9805, ""en"", ""mt"")"),"Zygons")</f>
        <v>Zygons</v>
      </c>
    </row>
    <row r="9806" ht="15.75" customHeight="1">
      <c r="A9806" s="2" t="s">
        <v>9806</v>
      </c>
      <c r="B9806" s="2" t="str">
        <f>IFERROR(__xludf.DUMMYFUNCTION("GOOGLETRANSLATE(A9806, ""en"", ""mt"")"),"Sadanittant, fl-1 ta 'Awwissu, 1774, esperiment immexxi mill-kleru Brittaniku Joseph Priestley iffokat ix-xemx fuq l-ossidu Merkuriku (HGO) ġewwa tubu tal-ħġieġ, li ħeles gass li hu jismu ""arja deflogistizzata"". Huwa nnota li x-xemgħat inħarqu isbaħ fil"&amp;"-gass u li ġurdien kien aktar attiv u għex aktar waqt li jieħu n-nifs. Wara li nifs il-gass innifsu, huwa kiteb: ""Is-sentiment ta 'dan għall-pulmuni tiegħi ma kienx differenti b'mod differenti minn dak ta' l-arja komuni, imma kont inħobb li s-sider tiegħ"&amp;"i ħassu partikolarment ħafif u faċli għal xi żmien wara."" Priestley ippubblika s-sejbiet tiegħu fl-1775 f'karta intitolata ""Kont ta 'Skoperti Aktar fl-Ajru"" li kien inkluż fit-tieni volum tal-ktieb tiegħu intitolat Esperimenti u Osservazzjonijiet fuq t"&amp;"ipi differenti ta' arja. Minħabba li ppubblika s-sejbiet tiegħu l-ewwel, Priestley normalment jingħata prijorità fl-iskoperta.")</f>
        <v>Sadanittant, fl-1 ta 'Awwissu, 1774, esperiment immexxi mill-kleru Brittaniku Joseph Priestley iffokat ix-xemx fuq l-ossidu Merkuriku (HGO) ġewwa tubu tal-ħġieġ, li ħeles gass li hu jismu "arja deflogistizzata". Huwa nnota li x-xemgħat inħarqu isbaħ fil-gass u li ġurdien kien aktar attiv u għex aktar waqt li jieħu n-nifs. Wara li nifs il-gass innifsu, huwa kiteb: "Is-sentiment ta 'dan għall-pulmuni tiegħi ma kienx differenti b'mod differenti minn dak ta' l-arja komuni, imma kont inħobb li s-sider tiegħi ħassu partikolarment ħafif u faċli għal xi żmien wara." Priestley ippubblika s-sejbiet tiegħu fl-1775 f'karta intitolata "Kont ta 'Skoperti Aktar fl-Ajru" li kien inkluż fit-tieni volum tal-ktieb tiegħu intitolat Esperimenti u Osservazzjonijiet fuq tipi differenti ta' arja. Minħabba li ppubblika s-sejbiet tiegħu l-ewwel, Priestley normalment jingħata prijorità fl-iskoperta.</v>
      </c>
    </row>
    <row r="9807" ht="15.75" customHeight="1">
      <c r="A9807" s="2" t="s">
        <v>9807</v>
      </c>
      <c r="B9807" s="2" t="str">
        <f>IFERROR(__xludf.DUMMYFUNCTION("GOOGLETRANSLATE(A9807, ""en"", ""mt"")"),"Laqgħa tal-Assemblea Ġenerali tal-Knisja")</f>
        <v>Laqgħa tal-Assemblea Ġenerali tal-Knisja</v>
      </c>
    </row>
    <row r="9808" ht="15.75" customHeight="1">
      <c r="A9808" s="2" t="s">
        <v>9808</v>
      </c>
      <c r="B9808" s="2" t="str">
        <f>IFERROR(__xludf.DUMMYFUNCTION("GOOGLETRANSLATE(A9808, ""en"", ""mt"")"),"$ 40 kull barmil")</f>
        <v>$ 40 kull barmil</v>
      </c>
    </row>
    <row r="9809" ht="15.75" customHeight="1">
      <c r="A9809" s="2" t="s">
        <v>9809</v>
      </c>
      <c r="B9809" s="2" t="str">
        <f>IFERROR(__xludf.DUMMYFUNCTION("GOOGLETRANSLATE(A9809, ""en"", ""mt"")"),"bidla estrema.")</f>
        <v>bidla estrema.</v>
      </c>
    </row>
    <row r="9810" ht="15.75" customHeight="1">
      <c r="A9810" s="2" t="s">
        <v>9810</v>
      </c>
      <c r="B9810" s="2" t="str">
        <f>IFERROR(__xludf.DUMMYFUNCTION("GOOGLETRANSLATE(A9810, ""en"", ""mt"")"),"Inerzja")</f>
        <v>Inerzja</v>
      </c>
    </row>
    <row r="9811" ht="15.75" customHeight="1">
      <c r="A9811" s="2" t="s">
        <v>9811</v>
      </c>
      <c r="B9811" s="2" t="str">
        <f>IFERROR(__xludf.DUMMYFUNCTION("GOOGLETRANSLATE(A9811, ""en"", ""mt"")"),"rari ħafna")</f>
        <v>rari ħafna</v>
      </c>
    </row>
    <row r="9812" ht="15.75" customHeight="1">
      <c r="A9812" s="2" t="s">
        <v>9812</v>
      </c>
      <c r="B9812" s="2" t="str">
        <f>IFERROR(__xludf.DUMMYFUNCTION("GOOGLETRANSLATE(A9812, ""en"", ""mt"")"),"kien preżenti x'imkien fl-Ewropa kull sena bejn l-1346 u l-1671")</f>
        <v>kien preżenti x'imkien fl-Ewropa kull sena bejn l-1346 u l-1671</v>
      </c>
    </row>
    <row r="9813" ht="15.75" customHeight="1">
      <c r="A9813" s="2" t="s">
        <v>9813</v>
      </c>
      <c r="B9813" s="2" t="str">
        <f>IFERROR(__xludf.DUMMYFUNCTION("GOOGLETRANSLATE(A9813, ""en"", ""mt"")"),"L-ekosanojdi jinkludu liema komposti li jirriżultaw fid-dilatazzjoni tad-deni u l-bastiment tad-demm?")</f>
        <v>L-ekosanojdi jinkludu liema komposti li jirriżultaw fid-dilatazzjoni tad-deni u l-bastiment tad-demm?</v>
      </c>
    </row>
    <row r="9814" ht="15.75" customHeight="1">
      <c r="A9814" s="2" t="s">
        <v>9814</v>
      </c>
      <c r="B9814" s="2" t="str">
        <f>IFERROR(__xludf.DUMMYFUNCTION("GOOGLETRANSLATE(A9814, ""en"", ""mt"")"),"temperatura u dawl")</f>
        <v>temperatura u dawl</v>
      </c>
    </row>
    <row r="9815" ht="15.75" customHeight="1">
      <c r="A9815" s="2" t="s">
        <v>9815</v>
      </c>
      <c r="B9815" s="2" t="str">
        <f>IFERROR(__xludf.DUMMYFUNCTION("GOOGLETRANSLATE(A9815, ""en"", ""mt"")"),"Għaliex Toghun Temur ċaħad Toghtogha?")</f>
        <v>Għaliex Toghun Temur ċaħad Toghtogha?</v>
      </c>
    </row>
    <row r="9816" ht="15.75" customHeight="1">
      <c r="A9816" s="2" t="s">
        <v>9816</v>
      </c>
      <c r="B9816" s="2" t="str">
        <f>IFERROR(__xludf.DUMMYFUNCTION("GOOGLETRANSLATE(A9816, ""en"", ""mt"")"),"Għal liema servizz bskyb chare miżati ta 'abbonament addizzjonali?")</f>
        <v>Għal liema servizz bskyb chare miżati ta 'abbonament addizzjonali?</v>
      </c>
    </row>
    <row r="9817" ht="15.75" customHeight="1">
      <c r="A9817" s="2" t="s">
        <v>9817</v>
      </c>
      <c r="B9817" s="2" t="str">
        <f>IFERROR(__xludf.DUMMYFUNCTION("GOOGLETRANSLATE(A9817, ""en"", ""mt"")"),"Suleiman il-magnífico,")</f>
        <v>Suleiman il-magnífico,</v>
      </c>
    </row>
    <row r="9818" ht="15.75" customHeight="1">
      <c r="A9818" s="2" t="s">
        <v>9818</v>
      </c>
      <c r="B9818" s="2" t="str">
        <f>IFERROR(__xludf.DUMMYFUNCTION("GOOGLETRANSLATE(A9818, ""en"", ""mt"")"),"Lenti waħda mudlama")</f>
        <v>Lenti waħda mudlama</v>
      </c>
    </row>
    <row r="9819" ht="15.75" customHeight="1">
      <c r="A9819" s="2" t="s">
        <v>9819</v>
      </c>
      <c r="B9819" s="2" t="str">
        <f>IFERROR(__xludf.DUMMYFUNCTION("GOOGLETRANSLATE(A9819, ""en"", ""mt"")"),"Netwerk Pubbliku Awstraljan X.25")</f>
        <v>Netwerk Pubbliku Awstraljan X.25</v>
      </c>
    </row>
    <row r="9820" ht="15.75" customHeight="1">
      <c r="A9820" s="2" t="s">
        <v>9820</v>
      </c>
      <c r="B9820" s="2" t="str">
        <f>IFERROR(__xludf.DUMMYFUNCTION("GOOGLETRANSLATE(A9820, ""en"", ""mt"")"),"Għal xiex stenna li Astor kienu jintużaw il-flus?")</f>
        <v>Għal xiex stenna li Astor kienu jintużaw il-flus?</v>
      </c>
    </row>
    <row r="9821" ht="15.75" customHeight="1">
      <c r="A9821" s="2" t="s">
        <v>9821</v>
      </c>
      <c r="B9821" s="2" t="str">
        <f>IFERROR(__xludf.DUMMYFUNCTION("GOOGLETRANSLATE(A9821, ""en"", ""mt"")"),"Emigrazzjoni pprojbita")</f>
        <v>Emigrazzjoni pprojbita</v>
      </c>
    </row>
    <row r="9822" ht="15.75" customHeight="1">
      <c r="A9822" s="2" t="s">
        <v>9822</v>
      </c>
      <c r="B9822" s="2" t="str">
        <f>IFERROR(__xludf.DUMMYFUNCTION("GOOGLETRANSLATE(A9822, ""en"", ""mt"")"),"Ir-risposta ta 'Luther għall-affermazzjoni mill-ġdid tal-Antinomjani?")</f>
        <v>Ir-risposta ta 'Luther għall-affermazzjoni mill-ġdid tal-Antinomjani?</v>
      </c>
    </row>
    <row r="9823" ht="15.75" customHeight="1">
      <c r="A9823" s="2" t="s">
        <v>9823</v>
      </c>
      <c r="B9823" s="2" t="str">
        <f>IFERROR(__xludf.DUMMYFUNCTION("GOOGLETRANSLATE(A9823, ""en"", ""mt"")"),"Il-lawreakers kuxjenzjużi għandhom jiġu kkastigati")</f>
        <v>Il-lawreakers kuxjenzjużi għandhom jiġu kkastigati</v>
      </c>
    </row>
    <row r="9824" ht="15.75" customHeight="1">
      <c r="A9824" s="2" t="s">
        <v>9824</v>
      </c>
      <c r="B9824" s="2" t="str">
        <f>IFERROR(__xludf.DUMMYFUNCTION("GOOGLETRANSLATE(A9824, ""en"", ""mt"")"),"is-superjur u n-norma")</f>
        <v>is-superjur u n-norma</v>
      </c>
    </row>
    <row r="9825" ht="15.75" customHeight="1">
      <c r="A9825" s="2" t="s">
        <v>9825</v>
      </c>
      <c r="B9825" s="2" t="str">
        <f>IFERROR(__xludf.DUMMYFUNCTION("GOOGLETRANSLATE(A9825, ""en"", ""mt"")"),"Konservattiv")</f>
        <v>Konservattiv</v>
      </c>
    </row>
    <row r="9826" ht="15.75" customHeight="1">
      <c r="A9826" s="2" t="s">
        <v>9826</v>
      </c>
      <c r="B9826" s="2" t="str">
        <f>IFERROR(__xludf.DUMMYFUNCTION("GOOGLETRANSLATE(A9826, ""en"", ""mt"")"),"Hemm 3 kumpaniji ewlenin tax-xarabanks li jipprovdu servizzi fil-belt; Arriva fit-tramuntana tal-lvant, mur fit-tramuntana tal-lvant u stagecoach fit-tramuntana tal-lvant. Hemm żewġ stazzjonijiet tax-xarabank ewlenin fil-belt: Haymarket Bus Station u Eldo"&amp;"n Square Bus Station. Arriva topera prinċipalment mill-istazzjon tax-xarabank Haymarket li tipprovdi l-maġġoranza tas-servizzi fit-tramuntana ta 'Newcastle, Northumberland u North Tyneside. Go-Ahead jopera mill-istazzjon tax-xarabank Eldon Square, li jipp"&amp;"rovdi l-maġġoranza tas-servizzi fin-Nofsinhar tax-Xmara f'Gateshead, South Tyneside, Sunderland, u l-Kontea ta 'Durham. Stagecoach huwa l-operatur primarju fil-belt kif suppost, b'servizzi bejn il-belt kemm bejn it-truf tal-Punent kif ukoll tal-Lvant perm"&amp;"ezz taċ-ċentru tal-belt b'xi servizzi jestendu għall-Metrocentre, Killingworth, Wallsend u Ponteland. Is-servizzi tax-xarabank fi Newcastle upon Tyne u l-boroughs tal-madwar parti taż-żona ta 'Tyne u Wear huma kkoordinati minn Nexus, l-eżekuttiv tat-trasp"&amp;"ort tal-passiġġieri Tyne u Wear.")</f>
        <v>Hemm 3 kumpaniji ewlenin tax-xarabanks li jipprovdu servizzi fil-belt; Arriva fit-tramuntana tal-lvant, mur fit-tramuntana tal-lvant u stagecoach fit-tramuntana tal-lvant. Hemm żewġ stazzjonijiet tax-xarabank ewlenin fil-belt: Haymarket Bus Station u Eldon Square Bus Station. Arriva topera prinċipalment mill-istazzjon tax-xarabank Haymarket li tipprovdi l-maġġoranza tas-servizzi fit-tramuntana ta 'Newcastle, Northumberland u North Tyneside. Go-Ahead jopera mill-istazzjon tax-xarabank Eldon Square, li jipprovdi l-maġġoranza tas-servizzi fin-Nofsinhar tax-Xmara f'Gateshead, South Tyneside, Sunderland, u l-Kontea ta 'Durham. Stagecoach huwa l-operatur primarju fil-belt kif suppost, b'servizzi bejn il-belt kemm bejn it-truf tal-Punent kif ukoll tal-Lvant permezz taċ-ċentru tal-belt b'xi servizzi jestendu għall-Metrocentre, Killingworth, Wallsend u Ponteland. Is-servizzi tax-xarabank fi Newcastle upon Tyne u l-boroughs tal-madwar parti taż-żona ta 'Tyne u Wear huma kkoordinati minn Nexus, l-eżekuttiv tat-trasport tal-passiġġieri Tyne u Wear.</v>
      </c>
    </row>
    <row r="9827" ht="15.75" customHeight="1">
      <c r="A9827" s="2" t="s">
        <v>9827</v>
      </c>
      <c r="B9827" s="2" t="str">
        <f>IFERROR(__xludf.DUMMYFUNCTION("GOOGLETRANSLATE(A9827, ""en"", ""mt"")"),"L-obeżità, l-alkoħoliżmu, u l-użu tad-droga")</f>
        <v>L-obeżità, l-alkoħoliżmu, u l-użu tad-droga</v>
      </c>
    </row>
    <row r="9828" ht="15.75" customHeight="1">
      <c r="A9828" s="2" t="s">
        <v>9828</v>
      </c>
      <c r="B9828" s="2" t="str">
        <f>IFERROR(__xludf.DUMMYFUNCTION("GOOGLETRANSLATE(A9828, ""en"", ""mt"")"),"Robert Koch u Emil von Behring")</f>
        <v>Robert Koch u Emil von Behring</v>
      </c>
    </row>
    <row r="9829" ht="15.75" customHeight="1">
      <c r="A9829" s="2" t="s">
        <v>9829</v>
      </c>
      <c r="B9829" s="2" t="str">
        <f>IFERROR(__xludf.DUMMYFUNCTION("GOOGLETRANSLATE(A9829, ""en"", ""mt"")"),"Qorti Ewropea tad-Drittijiet tal-Bniedem")</f>
        <v>Qorti Ewropea tad-Drittijiet tal-Bniedem</v>
      </c>
    </row>
    <row r="9830" ht="15.75" customHeight="1">
      <c r="A9830" s="2" t="s">
        <v>9830</v>
      </c>
      <c r="B9830" s="2" t="str">
        <f>IFERROR(__xludf.DUMMYFUNCTION("GOOGLETRANSLATE(A9830, ""en"", ""mt"")"),"F'liema snin l-ispettaklu ra l-udjenzi għoljin sa 12-il miljun?")</f>
        <v>F'liema snin l-ispettaklu ra l-udjenzi għoljin sa 12-il miljun?</v>
      </c>
    </row>
    <row r="9831" ht="15.75" customHeight="1">
      <c r="A9831" s="2" t="s">
        <v>9831</v>
      </c>
      <c r="B9831" s="2" t="str">
        <f>IFERROR(__xludf.DUMMYFUNCTION("GOOGLETRANSLATE(A9831, ""en"", ""mt"")"),"Spin Triplet State")</f>
        <v>Spin Triplet State</v>
      </c>
    </row>
    <row r="9832" ht="15.75" customHeight="1">
      <c r="A9832" s="2" t="s">
        <v>9832</v>
      </c>
      <c r="B9832" s="2" t="str">
        <f>IFERROR(__xludf.DUMMYFUNCTION("GOOGLETRANSLATE(A9832, ""en"", ""mt"")"),"Il-fakultà ta ’Harvard tinkludi studjużi bħall-bijologu E. O. Wilson, ix-xjentist konjittiv Steven Pinker, il-fiżiċi Lisa Randall u Roy Glauber, kimiċi Elias Corey, Dudley R. Herschbach u George M. Whitesides, xjenzati tal-kompjuter Michael O. Rabin u Les"&amp;"lie Valiant, Shakespeare Scholar Stephblatt Stephen Greenblatt , Kittieb Louis Menand, Kritika Helen Vendler, Storiċi Henry Louis Gates, Jr u ​​Niall Ferguson, Ekonomisti Amartya Sen, N. Gregory Mankiw, Robert Barro, Stephen A. Marglin, Don M. Wilson III "&amp;"u Martin Feldstein, filosfi politiċi, Harvey Mansfield , Barunessa Shirley Williams u Michael Sandel, Midalja tal-Fields Mathematician Shing-Tung Yau, Xjentisti Politiċi Robert Putnam, Joseph Nye, u Stanley Hoffmann, studjuż / kompożituri Robert Levin u B"&amp;"ernard Rands, astrofiżiċista Alyssa A. Goodman, u l-istudjużi legali Alan Dershowiz u l-Lawrence Lessig.")</f>
        <v>Il-fakultà ta ’Harvard tinkludi studjużi bħall-bijologu E. O. Wilson, ix-xjentist konjittiv Steven Pinker, il-fiżiċi Lisa Randall u Roy Glauber, kimiċi Elias Corey, Dudley R. Herschbach u George M. Whitesides, xjenzati tal-kompjuter Michael O. Rabin u Leslie Valiant, Shakespeare Scholar Stephblatt Stephen Greenblatt , Kittieb Louis Menand, Kritika Helen Vendler, Storiċi Henry Louis Gates, Jr u ​​Niall Ferguson, Ekonomisti Amartya Sen, N. Gregory Mankiw, Robert Barro, Stephen A. Marglin, Don M. Wilson III u Martin Feldstein, filosfi politiċi, Harvey Mansfield , Barunessa Shirley Williams u Michael Sandel, Midalja tal-Fields Mathematician Shing-Tung Yau, Xjentisti Politiċi Robert Putnam, Joseph Nye, u Stanley Hoffmann, studjuż / kompożituri Robert Levin u Bernard Rands, astrofiżiċista Alyssa A. Goodman, u l-istudjużi legali Alan Dershowiz u l-Lawrence Lessig.</v>
      </c>
    </row>
    <row r="9833" ht="15.75" customHeight="1">
      <c r="A9833" s="2" t="s">
        <v>9833</v>
      </c>
      <c r="B9833" s="2" t="str">
        <f>IFERROR(__xludf.DUMMYFUNCTION("GOOGLETRANSLATE(A9833, ""en"", ""mt"")"),"Kemm kien suċċess l-isforz inizjali minn Braddock?")</f>
        <v>Kemm kien suċċess l-isforz inizjali minn Braddock?</v>
      </c>
    </row>
    <row r="9834" ht="15.75" customHeight="1">
      <c r="A9834" s="2" t="s">
        <v>9834</v>
      </c>
      <c r="B9834" s="2" t="str">
        <f>IFERROR(__xludf.DUMMYFUNCTION("GOOGLETRANSLATE(A9834, ""en"", ""mt"")"),"Liema provinċji fil-Kanada jillimitaw id-drittijiet tal-ispiżjara fil-preskrizzjoni?")</f>
        <v>Liema provinċji fil-Kanada jillimitaw id-drittijiet tal-ispiżjara fil-preskrizzjoni?</v>
      </c>
    </row>
    <row r="9835" ht="15.75" customHeight="1">
      <c r="A9835" s="2" t="s">
        <v>9835</v>
      </c>
      <c r="B9835" s="2" t="str">
        <f>IFERROR(__xludf.DUMMYFUNCTION("GOOGLETRANSLATE(A9835, ""en"", ""mt"")"),"Min hu l-fundatur revered tal-Metodiżmu?")</f>
        <v>Min hu l-fundatur revered tal-Metodiżmu?</v>
      </c>
    </row>
    <row r="9836" ht="15.75" customHeight="1">
      <c r="A9836" s="2" t="s">
        <v>9836</v>
      </c>
      <c r="B9836" s="2" t="str">
        <f>IFERROR(__xludf.DUMMYFUNCTION("GOOGLETRANSLATE(A9836, ""en"", ""mt"")"),"Liema Doctor Who Spin-Off għamilha biss sa episodju pilota?")</f>
        <v>Liema Doctor Who Spin-Off għamilha biss sa episodju pilota?</v>
      </c>
    </row>
    <row r="9837" ht="15.75" customHeight="1">
      <c r="A9837" s="2" t="s">
        <v>9837</v>
      </c>
      <c r="B9837" s="2" t="str">
        <f>IFERROR(__xludf.DUMMYFUNCTION("GOOGLETRANSLATE(A9837, ""en"", ""mt"")"),"Id-djakni huma msejħa minn Alla, affermati mill-Knisja, u ordnati minn isqof għal tmexxija ta ’qaddej fil-knisja. Huma ordnati lill-ministeri tal-kelma, servizz, kompassjoni, u ġustizzja. Jistgħu jinħatru għall-ministeru fil-knisja lokali jew għal ministe"&amp;"ru ta 'estensjoni li jappoġġja l-missjoni tal-knisja. Id-djakni jagħtu tmexxija, jippridkaw il-kelma, jikkontribwixxu fil-qima, imexxu ż-żwiġijiet, jindifnu l-mejtin, u jgħinu lill-knisja biex tinkorpora l-missjoni tagħha fid-dinja. Id-djakni jgħinu lill-"&amp;"anzjani fis-sagramenti tat-Tqarbin Imqaddes u l-Magħmudija, u jistgħu jingħataw awtorità sagramentali jekk jinħatru bħala r-ragħaj fi knisja lokali. Id-djakni jservu terminu ta '2-3 snin bħala djakni proviżorji qabel l-ordinazzjoni tagħhom.")</f>
        <v>Id-djakni huma msejħa minn Alla, affermati mill-Knisja, u ordnati minn isqof għal tmexxija ta ’qaddej fil-knisja. Huma ordnati lill-ministeri tal-kelma, servizz, kompassjoni, u ġustizzja. Jistgħu jinħatru għall-ministeru fil-knisja lokali jew għal ministeru ta 'estensjoni li jappoġġja l-missjoni tal-knisja. Id-djakni jagħtu tmexxija, jippridkaw il-kelma, jikkontribwixxu fil-qima, imexxu ż-żwiġijiet, jindifnu l-mejtin, u jgħinu lill-knisja biex tinkorpora l-missjoni tagħha fid-dinja. Id-djakni jgħinu lill-anzjani fis-sagramenti tat-Tqarbin Imqaddes u l-Magħmudija, u jistgħu jingħataw awtorità sagramentali jekk jinħatru bħala r-ragħaj fi knisja lokali. Id-djakni jservu terminu ta '2-3 snin bħala djakni proviżorji qabel l-ordinazzjoni tagħhom.</v>
      </c>
    </row>
    <row r="9838" ht="15.75" customHeight="1">
      <c r="A9838" s="2" t="s">
        <v>9838</v>
      </c>
      <c r="B9838" s="2" t="str">
        <f>IFERROR(__xludf.DUMMYFUNCTION("GOOGLETRANSLATE(A9838, ""en"", ""mt"")"),"Iċ-ċelloli tas-sit ta 'infezzjoni f'impjant jgħaddu minn liema proċess jipprevjenu t-tixrid tal-marda?")</f>
        <v>Iċ-ċelloli tas-sit ta 'infezzjoni f'impjant jgħaddu minn liema proċess jipprevjenu t-tixrid tal-marda?</v>
      </c>
    </row>
    <row r="9839" ht="15.75" customHeight="1">
      <c r="A9839" s="2" t="s">
        <v>9839</v>
      </c>
      <c r="B9839" s="2" t="str">
        <f>IFERROR(__xludf.DUMMYFUNCTION("GOOGLETRANSLATE(A9839, ""en"", ""mt"")"),"Liema metall intuża fl-eżekuzzjoni ta 'Inalchuq?")</f>
        <v>Liema metall intuża fl-eżekuzzjoni ta 'Inalchuq?</v>
      </c>
    </row>
    <row r="9840" ht="15.75" customHeight="1">
      <c r="A9840" s="2" t="s">
        <v>9840</v>
      </c>
      <c r="B9840" s="2" t="str">
        <f>IFERROR(__xludf.DUMMYFUNCTION("GOOGLETRANSLATE(A9840, ""en"", ""mt"")"),"Xi drabi r-rappreżentanti tas-saċerdozju jiddifferixxu, xi drabi?")</f>
        <v>Xi drabi r-rappreżentanti tas-saċerdozju jiddifferixxu, xi drabi?</v>
      </c>
    </row>
    <row r="9841" ht="15.75" customHeight="1">
      <c r="A9841" s="2" t="s">
        <v>9841</v>
      </c>
      <c r="B9841" s="2" t="str">
        <f>IFERROR(__xludf.DUMMYFUNCTION("GOOGLETRANSLATE(A9841, ""en"", ""mt"")"),"Partit Nazzjonali")</f>
        <v>Partit Nazzjonali</v>
      </c>
    </row>
    <row r="9842" ht="15.75" customHeight="1">
      <c r="A9842" s="2" t="s">
        <v>9842</v>
      </c>
      <c r="B9842" s="2" t="str">
        <f>IFERROR(__xludf.DUMMYFUNCTION("GOOGLETRANSLATE(A9842, ""en"", ""mt"")"),"Diċembru, Jannar u Frar")</f>
        <v>Diċembru, Jannar u Frar</v>
      </c>
    </row>
    <row r="9843" ht="15.75" customHeight="1">
      <c r="A9843" s="2" t="s">
        <v>9843</v>
      </c>
      <c r="B9843" s="2" t="str">
        <f>IFERROR(__xludf.DUMMYFUNCTION("GOOGLETRANSLATE(A9843, ""en"", ""mt"")"),"F'liema pajjiż jinsab in-Normandija?")</f>
        <v>F'liema pajjiż jinsab in-Normandija?</v>
      </c>
    </row>
    <row r="9844" ht="15.75" customHeight="1">
      <c r="A9844" s="2" t="s">
        <v>9844</v>
      </c>
      <c r="B9844" s="2" t="str">
        <f>IFERROR(__xludf.DUMMYFUNCTION("GOOGLETRANSLATE(A9844, ""en"", ""mt"")"),"Għalkemm is-seklu 21")</f>
        <v>Għalkemm is-seklu 21</v>
      </c>
    </row>
    <row r="9845" ht="15.75" customHeight="1">
      <c r="A9845" s="2" t="s">
        <v>9845</v>
      </c>
      <c r="B9845" s="2" t="str">
        <f>IFERROR(__xludf.DUMMYFUNCTION("GOOGLETRANSLATE(A9845, ""en"", ""mt"")"),"Riċetturi ta 'rikonoxximent tal-mudelli")</f>
        <v>Riċetturi ta 'rikonoxximent tal-mudelli</v>
      </c>
    </row>
    <row r="9846" ht="15.75" customHeight="1">
      <c r="A9846" s="2" t="s">
        <v>9846</v>
      </c>
      <c r="B9846" s="2" t="str">
        <f>IFERROR(__xludf.DUMMYFUNCTION("GOOGLETRANSLATE(A9846, ""en"", ""mt"")"),"Programmi ta 'Liċenzjar Alternattivi")</f>
        <v>Programmi ta 'Liċenzjar Alternattivi</v>
      </c>
    </row>
    <row r="9847" ht="15.75" customHeight="1">
      <c r="A9847" s="2" t="s">
        <v>9847</v>
      </c>
      <c r="B9847" s="2" t="str">
        <f>IFERROR(__xludf.DUMMYFUNCTION("GOOGLETRANSLATE(A9847, ""en"", ""mt"")"),"Siġra tad-Deċiżjoni hija eżempju ta 'liema tip ta' miżura?")</f>
        <v>Siġra tad-Deċiżjoni hija eżempju ta 'liema tip ta' miżura?</v>
      </c>
    </row>
    <row r="9848" ht="15.75" customHeight="1">
      <c r="A9848" s="2" t="s">
        <v>9848</v>
      </c>
      <c r="B9848" s="2" t="str">
        <f>IFERROR(__xludf.DUMMYFUNCTION("GOOGLETRANSLATE(A9848, ""en"", ""mt"")"),"L-għalliema f'Wales jistgħu jiġu rreġistrati membri ta 'trejdjunjins bħal ATL, NUT jew NASUWT u rapporti f'dawn l-aħħar snin jissuġġerixxu li l-età medja ta' l-għalliema f'Wales qed taqa 'ma' għalliema li huma iżgħar milli fis-snin ta 'qabel. Kawża dejjem"&amp;" tikber ta 'tħassib huma li attakki fuq għalliema fl-iskejjel ta' Welsh li laħqu l-ħin kollu bejn l-2005 u l-2010.")</f>
        <v>L-għalliema f'Wales jistgħu jiġu rreġistrati membri ta 'trejdjunjins bħal ATL, NUT jew NASUWT u rapporti f'dawn l-aħħar snin jissuġġerixxu li l-età medja ta' l-għalliema f'Wales qed taqa 'ma' għalliema li huma iżgħar milli fis-snin ta 'qabel. Kawża dejjem tikber ta 'tħassib huma li attakki fuq għalliema fl-iskejjel ta' Welsh li laħqu l-ħin kollu bejn l-2005 u l-2010.</v>
      </c>
    </row>
    <row r="9849" ht="15.75" customHeight="1">
      <c r="A9849" s="2" t="s">
        <v>9849</v>
      </c>
      <c r="B9849" s="2" t="str">
        <f>IFERROR(__xludf.DUMMYFUNCTION("GOOGLETRANSLATE(A9849, ""en"", ""mt"")"),"Domanda mnaqqsa tal-konsumatur")</f>
        <v>Domanda mnaqqsa tal-konsumatur</v>
      </c>
    </row>
    <row r="9850" ht="15.75" customHeight="1">
      <c r="A9850" s="2" t="s">
        <v>9850</v>
      </c>
      <c r="B9850" s="2" t="str">
        <f>IFERROR(__xludf.DUMMYFUNCTION("GOOGLETRANSLATE(A9850, ""en"", ""mt"")"),"bidliet demokratiċi")</f>
        <v>bidliet demokratiċi</v>
      </c>
    </row>
    <row r="9851" ht="15.75" customHeight="1">
      <c r="A9851" s="2" t="s">
        <v>9851</v>
      </c>
      <c r="B9851" s="2" t="str">
        <f>IFERROR(__xludf.DUMMYFUNCTION("GOOGLETRANSLATE(A9851, ""en"", ""mt"")"),"Elettrodinamiċità kwantistika (jew QED)")</f>
        <v>Elettrodinamiċità kwantistika (jew QED)</v>
      </c>
    </row>
    <row r="9852" ht="15.75" customHeight="1">
      <c r="A9852" s="2" t="s">
        <v>9852</v>
      </c>
      <c r="B9852" s="2" t="str">
        <f>IFERROR(__xludf.DUMMYFUNCTION("GOOGLETRANSLATE(A9852, ""en"", ""mt"")"),"Problema ta 'ħabta np-kompluta")</f>
        <v>Problema ta 'ħabta np-kompluta</v>
      </c>
    </row>
    <row r="9853" ht="15.75" customHeight="1">
      <c r="A9853" s="2" t="s">
        <v>9853</v>
      </c>
      <c r="B9853" s="2" t="str">
        <f>IFERROR(__xludf.DUMMYFUNCTION("GOOGLETRANSLATE(A9853, ""en"", ""mt"")"),"Ġesù")</f>
        <v>Ġesù</v>
      </c>
    </row>
    <row r="9854" ht="15.75" customHeight="1">
      <c r="A9854" s="2" t="s">
        <v>9854</v>
      </c>
      <c r="B9854" s="2" t="str">
        <f>IFERROR(__xludf.DUMMYFUNCTION("GOOGLETRANSLATE(A9854, ""en"", ""mt"")"),"X’sar il-pedament tar-Riforma?")</f>
        <v>X’sar il-pedament tar-Riforma?</v>
      </c>
    </row>
    <row r="9855" ht="15.75" customHeight="1">
      <c r="A9855" s="2" t="s">
        <v>9855</v>
      </c>
      <c r="B9855" s="2" t="str">
        <f>IFERROR(__xludf.DUMMYFUNCTION("GOOGLETRANSLATE(A9855, ""en"", ""mt"")"),"Anarkisti")</f>
        <v>Anarkisti</v>
      </c>
    </row>
    <row r="9856" ht="15.75" customHeight="1">
      <c r="A9856" s="2" t="s">
        <v>9856</v>
      </c>
      <c r="B9856" s="2" t="str">
        <f>IFERROR(__xludf.DUMMYFUNCTION("GOOGLETRANSLATE(A9856, ""en"", ""mt"")"),"Minn liema pajjiż ġie l-Kabinett tal-Uffiċċju ta 'Rococo Augustus Rex?")</f>
        <v>Minn liema pajjiż ġie l-Kabinett tal-Uffiċċju ta 'Rococo Augustus Rex?</v>
      </c>
    </row>
    <row r="9857" ht="15.75" customHeight="1">
      <c r="A9857" s="2" t="s">
        <v>9857</v>
      </c>
      <c r="B9857" s="2" t="str">
        <f>IFERROR(__xludf.DUMMYFUNCTION("GOOGLETRANSLATE(A9857, ""en"", ""mt"")"),"Għal liema tip ta 'universitajiet huwa famuż ir-reġjun?")</f>
        <v>Għal liema tip ta 'universitajiet huwa famuż ir-reġjun?</v>
      </c>
    </row>
    <row r="9858" ht="15.75" customHeight="1">
      <c r="A9858" s="2" t="s">
        <v>9858</v>
      </c>
      <c r="B9858" s="2" t="str">
        <f>IFERROR(__xludf.DUMMYFUNCTION("GOOGLETRANSLATE(A9858, ""en"", ""mt"")"),"Bassett jiffoka fuq dak li juri l-idea tiegħu?")</f>
        <v>Bassett jiffoka fuq dak li juri l-idea tiegħu?</v>
      </c>
    </row>
    <row r="9859" ht="15.75" customHeight="1">
      <c r="A9859" s="2" t="s">
        <v>9859</v>
      </c>
      <c r="B9859" s="2" t="str">
        <f>IFERROR(__xludf.DUMMYFUNCTION("GOOGLETRANSLATE(A9859, ""en"", ""mt"")"),"X'għandek ippreżentat problemi lill-ekonomija ta 'l-Istati Uniti aktar minn nazzjonijiet oħra?")</f>
        <v>X'għandek ippreżentat problemi lill-ekonomija ta 'l-Istati Uniti aktar minn nazzjonijiet oħra?</v>
      </c>
    </row>
    <row r="9860" ht="15.75" customHeight="1">
      <c r="A9860" s="2" t="s">
        <v>9860</v>
      </c>
      <c r="B9860" s="2" t="str">
        <f>IFERROR(__xludf.DUMMYFUNCTION("GOOGLETRANSLATE(A9860, ""en"", ""mt"")"),"Liema mija tal-popolazzjoni Musulmana tgħix fir-reġjun kostali tal-Kenja?")</f>
        <v>Liema mija tal-popolazzjoni Musulmana tgħix fir-reġjun kostali tal-Kenja?</v>
      </c>
    </row>
    <row r="9861" ht="15.75" customHeight="1">
      <c r="A9861" s="2" t="s">
        <v>9861</v>
      </c>
      <c r="B9861" s="2" t="str">
        <f>IFERROR(__xludf.DUMMYFUNCTION("GOOGLETRANSLATE(A9861, ""en"", ""mt"")"),"Liema arti spiss kienu pprattikati flimkien mill-istess artisti?")</f>
        <v>Liema arti spiss kienu pprattikati flimkien mill-istess artisti?</v>
      </c>
    </row>
    <row r="9862" ht="15.75" customHeight="1">
      <c r="A9862" s="2" t="s">
        <v>9862</v>
      </c>
      <c r="B9862" s="2" t="str">
        <f>IFERROR(__xludf.DUMMYFUNCTION("GOOGLETRANSLATE(A9862, ""en"", ""mt"")"),"Tesla kienet ta '6 piedi 2 pulzieri (1.88 m) tall u wiżen 142 libbra (64 kg), bi kważi l-ebda varjazzjoni tal-piż mill-1888 sa madwar 1926.:292 Huwa kien figura eleganti u stylish fi New York City, metikoluż fil-grooming tiegħu, Ħwejjeġ, u regimentati fl-"&amp;"attivitajiet ta 'kuljum tiegħu.")</f>
        <v>Tesla kienet ta '6 piedi 2 pulzieri (1.88 m) tall u wiżen 142 libbra (64 kg), bi kważi l-ebda varjazzjoni tal-piż mill-1888 sa madwar 1926.:292 Huwa kien figura eleganti u stylish fi New York City, metikoluż fil-grooming tiegħu, Ħwejjeġ, u regimentati fl-attivitajiet ta 'kuljum tiegħu.</v>
      </c>
    </row>
    <row r="9863" ht="15.75" customHeight="1">
      <c r="A9863" s="2" t="s">
        <v>9863</v>
      </c>
      <c r="B9863" s="2" t="str">
        <f>IFERROR(__xludf.DUMMYFUNCTION("GOOGLETRANSLATE(A9863, ""en"", ""mt"")"),"multiplikazzjoni")</f>
        <v>multiplikazzjoni</v>
      </c>
    </row>
    <row r="9864" ht="15.75" customHeight="1">
      <c r="A9864" s="2" t="s">
        <v>9864</v>
      </c>
      <c r="B9864" s="2" t="str">
        <f>IFERROR(__xludf.DUMMYFUNCTION("GOOGLETRANSLATE(A9864, ""en"", ""mt"")"),"Ko-NP")</f>
        <v>Ko-NP</v>
      </c>
    </row>
    <row r="9865" ht="15.75" customHeight="1">
      <c r="A9865" s="2" t="s">
        <v>9865</v>
      </c>
      <c r="B9865" s="2" t="str">
        <f>IFERROR(__xludf.DUMMYFUNCTION("GOOGLETRANSLATE(A9865, ""en"", ""mt"")"),"Liema oqsma Genghis Khan ikkontrolla fi tmiem ħajtu?")</f>
        <v>Liema oqsma Genghis Khan ikkontrolla fi tmiem ħajtu?</v>
      </c>
    </row>
    <row r="9866" ht="15.75" customHeight="1">
      <c r="A9866" s="2" t="s">
        <v>9866</v>
      </c>
      <c r="B9866" s="2" t="str">
        <f>IFERROR(__xludf.DUMMYFUNCTION("GOOGLETRANSLATE(A9866, ""en"", ""mt"")"),"sengħa")</f>
        <v>sengħa</v>
      </c>
    </row>
    <row r="9867" ht="15.75" customHeight="1">
      <c r="A9867" s="2" t="s">
        <v>9867</v>
      </c>
      <c r="B9867" s="2" t="str">
        <f>IFERROR(__xludf.DUMMYFUNCTION("GOOGLETRANSLATE(A9867, ""en"", ""mt"")"),"Dubbidjenza ċivili mhux rivoluzzjonarja")</f>
        <v>Dubbidjenza ċivili mhux rivoluzzjonarja</v>
      </c>
    </row>
    <row r="9868" ht="15.75" customHeight="1">
      <c r="A9868" s="2" t="s">
        <v>9868</v>
      </c>
      <c r="B9868" s="2" t="str">
        <f>IFERROR(__xludf.DUMMYFUNCTION("GOOGLETRANSLATE(A9868, ""en"", ""mt"")"),"Kemm ġew murija l-ispeċjalitajiet tal-Milied tat-Tabib Min?")</f>
        <v>Kemm ġew murija l-ispeċjalitajiet tal-Milied tat-Tabib Min?</v>
      </c>
    </row>
    <row r="9869" ht="15.75" customHeight="1">
      <c r="A9869" s="2" t="s">
        <v>9869</v>
      </c>
      <c r="B9869" s="2" t="str">
        <f>IFERROR(__xludf.DUMMYFUNCTION("GOOGLETRANSLATE(A9869, ""en"", ""mt"")"),"Surveyor tal-Kwantità")</f>
        <v>Surveyor tal-Kwantità</v>
      </c>
    </row>
    <row r="9870" ht="15.75" customHeight="1">
      <c r="A9870" s="2" t="s">
        <v>9870</v>
      </c>
      <c r="B9870" s="2" t="str">
        <f>IFERROR(__xludf.DUMMYFUNCTION("GOOGLETRANSLATE(A9870, ""en"", ""mt"")"),"Aktar minn 200")</f>
        <v>Aktar minn 200</v>
      </c>
    </row>
    <row r="9871" ht="15.75" customHeight="1">
      <c r="A9871" s="2" t="s">
        <v>9871</v>
      </c>
      <c r="B9871" s="2" t="str">
        <f>IFERROR(__xludf.DUMMYFUNCTION("GOOGLETRANSLATE(A9871, ""en"", ""mt"")"),"Tesla kienet ħabib tajjeb ta 'Francis Marion Crawford, Robert Underwood Johnson, Stanford White, Fritz Lowenstein, George Scherff, u Kenneth Swezey. Fl-età tan-nofs, Tesla saret ħabib tal-qalb ta 'Mark Twain; Huma qattgħu ħafna ħin flimkien fil-laboratorj"&amp;"u tiegħu u bnadi oħra. Twain iddeskriva b'mod partikolari l-invenzjoni tal-mutur ta 'induzzjoni ta' Tesla bħala ""l-iktar brevett siewi mit-telefon."" Fl-aħħar tas-snin 1920, Tesla wkoll ħabiba lil George Sylvester Viereck, poeta, kittieb, mistiku, u akta"&amp;"r tard, propagandist Nażista. Tesla kultant attendiet festin tal-pranzu miżmuma minn Viereck u martu.")</f>
        <v>Tesla kienet ħabib tajjeb ta 'Francis Marion Crawford, Robert Underwood Johnson, Stanford White, Fritz Lowenstein, George Scherff, u Kenneth Swezey. Fl-età tan-nofs, Tesla saret ħabib tal-qalb ta 'Mark Twain; Huma qattgħu ħafna ħin flimkien fil-laboratorju tiegħu u bnadi oħra. Twain iddeskriva b'mod partikolari l-invenzjoni tal-mutur ta 'induzzjoni ta' Tesla bħala "l-iktar brevett siewi mit-telefon." Fl-aħħar tas-snin 1920, Tesla wkoll ħabiba lil George Sylvester Viereck, poeta, kittieb, mistiku, u aktar tard, propagandist Nażista. Tesla kultant attendiet festin tal-pranzu miżmuma minn Viereck u martu.</v>
      </c>
    </row>
    <row r="9872" ht="15.75" customHeight="1">
      <c r="A9872" s="2" t="s">
        <v>9872</v>
      </c>
      <c r="B9872" s="2" t="str">
        <f>IFERROR(__xludf.DUMMYFUNCTION("GOOGLETRANSLATE(A9872, ""en"", ""mt"")"),"Hemm xi komunitajiet oħra ta 'l-avjazzjoni bħal Sierra Sky Park fl-Istati Uniti?")</f>
        <v>Hemm xi komunitajiet oħra ta 'l-avjazzjoni bħal Sierra Sky Park fl-Istati Uniti?</v>
      </c>
    </row>
    <row r="9873" ht="15.75" customHeight="1">
      <c r="A9873" s="2" t="s">
        <v>9873</v>
      </c>
      <c r="B9873" s="2" t="str">
        <f>IFERROR(__xludf.DUMMYFUNCTION("GOOGLETRANSLATE(A9873, ""en"", ""mt"")"),"8 ta 'Settembru, 2007")</f>
        <v>8 ta 'Settembru, 2007</v>
      </c>
    </row>
    <row r="9874" ht="15.75" customHeight="1">
      <c r="A9874" s="2" t="s">
        <v>9874</v>
      </c>
      <c r="B9874" s="2" t="str">
        <f>IFERROR(__xludf.DUMMYFUNCTION("GOOGLETRANSLATE(A9874, ""en"", ""mt"")"),"L-għanijiet ta 'spiss għadhom jopponu l-IPCC?")</f>
        <v>L-għanijiet ta 'spiss għadhom jopponu l-IPCC?</v>
      </c>
    </row>
    <row r="9875" ht="15.75" customHeight="1">
      <c r="A9875" s="2" t="s">
        <v>9875</v>
      </c>
      <c r="B9875" s="2" t="str">
        <f>IFERROR(__xludf.DUMMYFUNCTION("GOOGLETRANSLATE(A9875, ""en"", ""mt"")"),"Thomas")</f>
        <v>Thomas</v>
      </c>
    </row>
    <row r="9876" ht="15.75" customHeight="1">
      <c r="A9876" s="2" t="s">
        <v>9876</v>
      </c>
      <c r="B9876" s="2" t="str">
        <f>IFERROR(__xludf.DUMMYFUNCTION("GOOGLETRANSLATE(A9876, ""en"", ""mt"")"),"Film taċ-ċinema ta '8 mm")</f>
        <v>Film taċ-ċinema ta '8 mm</v>
      </c>
    </row>
    <row r="9877" ht="15.75" customHeight="1">
      <c r="A9877" s="2" t="s">
        <v>9877</v>
      </c>
      <c r="B9877" s="2" t="str">
        <f>IFERROR(__xludf.DUMMYFUNCTION("GOOGLETRANSLATE(A9877, ""en"", ""mt"")"),"blat, alka, jew uċuħ tal-ġisem ta 'invertebrati oħra")</f>
        <v>blat, alka, jew uċuħ tal-ġisem ta 'invertebrati oħra</v>
      </c>
    </row>
    <row r="9878" ht="15.75" customHeight="1">
      <c r="A9878" s="2" t="s">
        <v>9878</v>
      </c>
      <c r="B9878" s="2" t="str">
        <f>IFERROR(__xludf.DUMMYFUNCTION("GOOGLETRANSLATE(A9878, ""en"", ""mt"")"),"XIA tal-Punent")</f>
        <v>XIA tal-Punent</v>
      </c>
    </row>
    <row r="9879" ht="15.75" customHeight="1">
      <c r="A9879" s="2" t="s">
        <v>9879</v>
      </c>
      <c r="B9879" s="2" t="str">
        <f>IFERROR(__xludf.DUMMYFUNCTION("GOOGLETRANSLATE(A9879, ""en"", ""mt"")"),"Temperaturi globali aktar baxxi")</f>
        <v>Temperaturi globali aktar baxxi</v>
      </c>
    </row>
    <row r="9880" ht="15.75" customHeight="1">
      <c r="A9880" s="2" t="s">
        <v>9880</v>
      </c>
      <c r="B9880" s="2" t="str">
        <f>IFERROR(__xludf.DUMMYFUNCTION("GOOGLETRANSLATE(A9880, ""en"", ""mt"")"),"mhux sinkroniku")</f>
        <v>mhux sinkroniku</v>
      </c>
    </row>
    <row r="9881" ht="15.75" customHeight="1">
      <c r="A9881" s="2" t="s">
        <v>9881</v>
      </c>
      <c r="B9881" s="2" t="str">
        <f>IFERROR(__xludf.DUMMYFUNCTION("GOOGLETRANSLATE(A9881, ""en"", ""mt"")"),"Liema reliġjon irrinunzjat lil Henry meta tela 't-tron?")</f>
        <v>Liema reliġjon irrinunzjat lil Henry meta tela 't-tron?</v>
      </c>
    </row>
    <row r="9882" ht="15.75" customHeight="1">
      <c r="A9882" s="2" t="s">
        <v>9882</v>
      </c>
      <c r="B9882" s="2" t="str">
        <f>IFERROR(__xludf.DUMMYFUNCTION("GOOGLETRANSLATE(A9882, ""en"", ""mt"")"),"Kif jistgħu jirreplikaw il-pirenojdi?")</f>
        <v>Kif jistgħu jirreplikaw il-pirenojdi?</v>
      </c>
    </row>
    <row r="9883" ht="15.75" customHeight="1">
      <c r="A9883" s="2" t="s">
        <v>9883</v>
      </c>
      <c r="B9883" s="2" t="str">
        <f>IFERROR(__xludf.DUMMYFUNCTION("GOOGLETRANSLATE(A9883, ""en"", ""mt"")"),"L-esploratur Franċiż Huguenot Jean Ribault ikklassifika x-Xmara San Ġwann fl-1562 billi sejħilha x-xmara ta 'Mejju għax skopraha f'Mejju. Ribault tella ’kolonna tal-ġebel qrib Jacksonville preżenti fejn sostniet l-art li għadha kemm ġiet skoperta għal Fra"&amp;"nza. Fl-1564, René Goulaine de Laudonnière stabbilixxiet l-ewwel ftehim Ewropew, Fort Caroline, fuq il-San Ġwann ħdejn il-villaġġ ewlieni tas-Saturawa. Filippu II ta ’Spanja ordna lil Pedro Menéndez de Avilés biex jipproteġi l-interess ta’ Spanja billi ja"&amp;"ttakka l-preżenza Franċiża fil-Fort Caroline. Fl-20 ta 'Settembru, 1565, forza Spanjola mill-issetiljar Spanjol fil-viċin ta' Santu Wistin attakkat lil Fort Caroline, u qatlet kważi s-suldati Franċiżi kollha li jiddefenduha. L-Ispanjol semmieh il-Fort San"&amp;" Mateo, u wara l-effett tal-Franċiż, il-pożizzjoni ta ’Santu Wistin bħala l-iktar ftehim importanti fi Florida ġie ssolidifikat. Il-post ta 'Fort Caroline huwa soġġett għal dibattitu iżda ġiet stabbilita rikostruzzjoni tal-forti fuq ix-Xmara San Ġwann fl-"&amp;"1964.")</f>
        <v>L-esploratur Franċiż Huguenot Jean Ribault ikklassifika x-Xmara San Ġwann fl-1562 billi sejħilha x-xmara ta 'Mejju għax skopraha f'Mejju. Ribault tella ’kolonna tal-ġebel qrib Jacksonville preżenti fejn sostniet l-art li għadha kemm ġiet skoperta għal Franza. Fl-1564, René Goulaine de Laudonnière stabbilixxiet l-ewwel ftehim Ewropew, Fort Caroline, fuq il-San Ġwann ħdejn il-villaġġ ewlieni tas-Saturawa. Filippu II ta ’Spanja ordna lil Pedro Menéndez de Avilés biex jipproteġi l-interess ta’ Spanja billi jattakka l-preżenza Franċiża fil-Fort Caroline. Fl-20 ta 'Settembru, 1565, forza Spanjola mill-issetiljar Spanjol fil-viċin ta' Santu Wistin attakkat lil Fort Caroline, u qatlet kważi s-suldati Franċiżi kollha li jiddefenduha. L-Ispanjol semmieh il-Fort San Mateo, u wara l-effett tal-Franċiż, il-pożizzjoni ta ’Santu Wistin bħala l-iktar ftehim importanti fi Florida ġie ssolidifikat. Il-post ta 'Fort Caroline huwa soġġett għal dibattitu iżda ġiet stabbilita rikostruzzjoni tal-forti fuq ix-Xmara San Ġwann fl-1964.</v>
      </c>
    </row>
    <row r="9884" ht="15.75" customHeight="1">
      <c r="A9884" s="2" t="s">
        <v>9884</v>
      </c>
      <c r="B9884" s="2" t="str">
        <f>IFERROR(__xludf.DUMMYFUNCTION("GOOGLETRANSLATE(A9884, ""en"", ""mt"")"),"""Filosofija ta 'kontrogrammazzjoni kontra l-kompetituri tagħha""")</f>
        <v>"Filosofija ta 'kontrogrammazzjoni kontra l-kompetituri tagħha"</v>
      </c>
    </row>
    <row r="9885" ht="15.75" customHeight="1">
      <c r="A9885" s="2" t="s">
        <v>9885</v>
      </c>
      <c r="B9885" s="2" t="str">
        <f>IFERROR(__xludf.DUMMYFUNCTION("GOOGLETRANSLATE(A9885, ""en"", ""mt"")"),"Kristjani Ortodossi")</f>
        <v>Kristjani Ortodossi</v>
      </c>
    </row>
    <row r="9886" ht="15.75" customHeight="1">
      <c r="A9886" s="2" t="s">
        <v>9886</v>
      </c>
      <c r="B9886" s="2" t="str">
        <f>IFERROR(__xludf.DUMMYFUNCTION("GOOGLETRANSLATE(A9886, ""en"", ""mt"")"),"it-trattati li jistabbilixxu l-Unjoni Ewropea")</f>
        <v>it-trattati li jistabbilixxu l-Unjoni Ewropea</v>
      </c>
    </row>
    <row r="9887" ht="15.75" customHeight="1">
      <c r="A9887" s="2" t="s">
        <v>9887</v>
      </c>
      <c r="B9887" s="2" t="str">
        <f>IFERROR(__xludf.DUMMYFUNCTION("GOOGLETRANSLATE(A9887, ""en"", ""mt"")"),"Kemm huma misjuba l-fossili li jirrappreżentaw ctenophhores?")</f>
        <v>Kemm huma misjuba l-fossili li jirrappreżentaw ctenophhores?</v>
      </c>
    </row>
    <row r="9888" ht="15.75" customHeight="1">
      <c r="A9888" s="2" t="s">
        <v>9888</v>
      </c>
      <c r="B9888" s="2" t="str">
        <f>IFERROR(__xludf.DUMMYFUNCTION("GOOGLETRANSLATE(A9888, ""en"", ""mt"")"),"fuq żoni kbar")</f>
        <v>fuq żoni kbar</v>
      </c>
    </row>
    <row r="9889" ht="15.75" customHeight="1">
      <c r="A9889" s="2" t="s">
        <v>9889</v>
      </c>
      <c r="B9889" s="2" t="str">
        <f>IFERROR(__xludf.DUMMYFUNCTION("GOOGLETRANSLATE(A9889, ""en"", ""mt"")"),"X'inhuma r-riżervi totali ta 'għajnuna finanzjarja ta' Harvard?")</f>
        <v>X'inhuma r-riżervi totali ta 'għajnuna finanzjarja ta' Harvard?</v>
      </c>
    </row>
    <row r="9890" ht="15.75" customHeight="1">
      <c r="A9890" s="2" t="s">
        <v>9890</v>
      </c>
      <c r="B9890" s="2" t="str">
        <f>IFERROR(__xludf.DUMMYFUNCTION("GOOGLETRANSLATE(A9890, ""en"", ""mt"")"),"kważi $ 12")</f>
        <v>kważi $ 12</v>
      </c>
    </row>
    <row r="9891" ht="15.75" customHeight="1">
      <c r="A9891" s="2" t="s">
        <v>9891</v>
      </c>
      <c r="B9891" s="2" t="str">
        <f>IFERROR(__xludf.DUMMYFUNCTION("GOOGLETRANSLATE(A9891, ""en"", ""mt"")"),"Southeastern U.S.")</f>
        <v>Southeastern U.S.</v>
      </c>
    </row>
    <row r="9892" ht="15.75" customHeight="1">
      <c r="A9892" s="2" t="s">
        <v>9892</v>
      </c>
      <c r="B9892" s="2" t="str">
        <f>IFERROR(__xludf.DUMMYFUNCTION("GOOGLETRANSLATE(A9892, ""en"", ""mt"")"),"L-ewkariot mhux fotosintetiku ħakem alka li fiha l-kloroplast iżda naqas milli jiddiġerixxiha")</f>
        <v>L-ewkariot mhux fotosintetiku ħakem alka li fiha l-kloroplast iżda naqas milli jiddiġerixxiha</v>
      </c>
    </row>
    <row r="9893" ht="15.75" customHeight="1">
      <c r="A9893" s="2" t="s">
        <v>9893</v>
      </c>
      <c r="B9893" s="2" t="str">
        <f>IFERROR(__xludf.DUMMYFUNCTION("GOOGLETRANSLATE(A9893, ""en"", ""mt"")"),"Meta bdiet il-formazzjoni tad-delta tar-Rhine-Meuse Holocene?")</f>
        <v>Meta bdiet il-formazzjoni tad-delta tar-Rhine-Meuse Holocene?</v>
      </c>
    </row>
    <row r="9894" ht="15.75" customHeight="1">
      <c r="A9894" s="2" t="s">
        <v>9894</v>
      </c>
      <c r="B9894" s="2" t="str">
        <f>IFERROR(__xludf.DUMMYFUNCTION("GOOGLETRANSLATE(A9894, ""en"", ""mt"")"),"Riżors ta 'kumplessità jista' jiġi deskritt ukoll bħala liema tip ieħor ta 'riżorsa?")</f>
        <v>Riżors ta 'kumplessità jista' jiġi deskritt ukoll bħala liema tip ieħor ta 'riżorsa?</v>
      </c>
    </row>
    <row r="9895" ht="15.75" customHeight="1">
      <c r="A9895" s="2" t="s">
        <v>9895</v>
      </c>
      <c r="B9895" s="2" t="str">
        <f>IFERROR(__xludf.DUMMYFUNCTION("GOOGLETRANSLATE(A9895, ""en"", ""mt"")"),"Episkopali")</f>
        <v>Episkopali</v>
      </c>
    </row>
    <row r="9896" ht="15.75" customHeight="1">
      <c r="A9896" s="2" t="s">
        <v>9896</v>
      </c>
      <c r="B9896" s="2" t="str">
        <f>IFERROR(__xludf.DUMMYFUNCTION("GOOGLETRANSLATE(A9896, ""en"", ""mt"")"),"Biex tevita t-talbiet ta 'dota li jiswew ħafna flus")</f>
        <v>Biex tevita t-talbiet ta 'dota li jiswew ħafna flus</v>
      </c>
    </row>
    <row r="9897" ht="15.75" customHeight="1">
      <c r="A9897" s="2" t="s">
        <v>9897</v>
      </c>
      <c r="B9897" s="2" t="str">
        <f>IFERROR(__xludf.DUMMYFUNCTION("GOOGLETRANSLATE(A9897, ""en"", ""mt"")"),"Immunodefiċjenzi jseħħu meta wieħed jew aktar mill-komponenti tas-sistema immuni huma inattivi. L-abbiltà tas-sistema immuni biex tirreaġixxi għal patoġeni hija mnaqqsa kemm fiż-żgħażagħ kif ukoll fl-anzjani, b'reazzjonijiet immuni li jibdew jonqsu għal m"&amp;"adwar 50 sena minħabba l-immunosenescence. Fil-pajjiżi żviluppati, l-obeżità, l-alkoħoliżmu, u l-użu tad-droga huma kawżi komuni ta 'funzjoni immuni ħażina. Madankollu, il-malnutrizzjoni hija l-iktar kawża komuni ta 'immunodefiċjenza f'pajjiżi li qed jiżv"&amp;"iluppaw. Dieti li m'għandhomx biżżejjed proteina huma assoċjati ma 'immunità medjata minn ċelloli indebolita, attività ta' komplement, funzjoni tal-fagoċiti, konċentrazzjonijiet ta 'antikorpi IgA, u produzzjoni ta' ċitokini. Barra minn hekk, it-telf tat-t"&amp;"imu f'età bikrija permezz ta 'mutazzjoni ġenetika jew tneħħija kirurġika jirriżulta f'immunodefiċjenza severa u suxxettibilità għolja għall-infezzjoni.")</f>
        <v>Immunodefiċjenzi jseħħu meta wieħed jew aktar mill-komponenti tas-sistema immuni huma inattivi. L-abbiltà tas-sistema immuni biex tirreaġixxi għal patoġeni hija mnaqqsa kemm fiż-żgħażagħ kif ukoll fl-anzjani, b'reazzjonijiet immuni li jibdew jonqsu għal madwar 50 sena minħabba l-immunosenescence. Fil-pajjiżi żviluppati, l-obeżità, l-alkoħoliżmu, u l-użu tad-droga huma kawżi komuni ta 'funzjoni immuni ħażina. Madankollu, il-malnutrizzjoni hija l-iktar kawża komuni ta 'immunodefiċjenza f'pajjiżi li qed jiżviluppaw. Dieti li m'għandhomx biżżejjed proteina huma assoċjati ma 'immunità medjata minn ċelloli indebolita, attività ta' komplement, funzjoni tal-fagoċiti, konċentrazzjonijiet ta 'antikorpi IgA, u produzzjoni ta' ċitokini. Barra minn hekk, it-telf tat-timu f'età bikrija permezz ta 'mutazzjoni ġenetika jew tneħħija kirurġika jirriżulta f'immunodefiċjenza severa u suxxettibilità għolja għall-infezzjoni.</v>
      </c>
    </row>
    <row r="9898" ht="15.75" customHeight="1">
      <c r="A9898" s="2" t="s">
        <v>9898</v>
      </c>
      <c r="B9898" s="2" t="str">
        <f>IFERROR(__xludf.DUMMYFUNCTION("GOOGLETRANSLATE(A9898, ""en"", ""mt"")"),"Sistema newroimmuni")</f>
        <v>Sistema newroimmuni</v>
      </c>
    </row>
    <row r="9899" ht="15.75" customHeight="1">
      <c r="A9899" s="2" t="s">
        <v>9899</v>
      </c>
      <c r="B9899" s="2" t="str">
        <f>IFERROR(__xludf.DUMMYFUNCTION("GOOGLETRANSLATE(A9899, ""en"", ""mt"")"),"Il-forma tad-delta tar-Rhine hija determinata minn żewġ bifurcations: l-ewwel, f'Millingen Aan de Rijn, ir-Rhine jinqasam f'Waal u Pannerdens Kanaal, li jibdel isimha għal Nederrijn f'Rangen, u t-tieni ħdejn Arnhem, l-IJSSEL fergħat barra mill-Nederrijn -"&amp;" Dan joħloq tliet flussi ewlenin, li tnejn minnhom ibiddlu ismijiet pjuttost spiss. L-akbar fergħa ewlenija u fin-Nofsinhar tibda bħala Waal u tkompli bħala Boven MerWede (""Upper MerWede""), Beneden MerWede (""Lower MerWede""), Noord River (""North River"&amp;"""), Nieuwe Maas (""New Meuse""), Het Scheur (""The RIP"") u Nieuwe Waterweg (""New Waterway""). Il-fluss tan-nofs jibda bħala Nederrijn, imbagħad jinbidel f'Lek, imbagħad jingħaqad mal-Noord, u b'hekk jifforma Nieuwe Maas. Il-fluss tat-tramuntana jżomm l"&amp;"-isem IJSSEL sakemm jgħaddi fil-Lag IJsselmeer. Tliet flussi oħra jġorru ammonti sinifikanti ta 'ilma: in-Nieuwe MerWede (""New MerWede""), li fergħat mill-fergħa tan-Nofsinhar fejn tinbidel minn Boven għal Beneden MerWede; L-Oude Maas (""Old Meuse""), li"&amp;" fergħat mill-fergħa tan-Nofsinhar fejn tinbidel minn Beneden MerWede f'Noord, u Dordtse Kil, li fergħat minn Oude Maas.")</f>
        <v>Il-forma tad-delta tar-Rhine hija determinata minn żewġ bifurcations: l-ewwel, f'Millingen Aan de Rijn, ir-Rhine jinqasam f'Waal u Pannerdens Kanaal, li jibdel isimha għal Nederrijn f'Rangen, u t-tieni ħdejn Arnhem, l-IJSSEL fergħat barra mill-Nederrijn - Dan joħloq tliet flussi ewlenin, li tnejn minnhom ibiddlu ismijiet pjuttost spiss. L-akbar fergħa ewlenija u fin-Nofsinhar tibda bħala Waal u tkompli bħala Boven MerWede ("Upper MerWede"), Beneden MerWede ("Lower MerWede"), Noord River ("North River"), Nieuwe Maas ("New Meuse"), Het Scheur ("The RIP") u Nieuwe Waterweg ("New Waterway"). Il-fluss tan-nofs jibda bħala Nederrijn, imbagħad jinbidel f'Lek, imbagħad jingħaqad mal-Noord, u b'hekk jifforma Nieuwe Maas. Il-fluss tat-tramuntana jżomm l-isem IJSSEL sakemm jgħaddi fil-Lag IJsselmeer. Tliet flussi oħra jġorru ammonti sinifikanti ta 'ilma: in-Nieuwe MerWede ("New MerWede"), li fergħat mill-fergħa tan-Nofsinhar fejn tinbidel minn Boven għal Beneden MerWede; L-Oude Maas ("Old Meuse"), li fergħat mill-fergħa tan-Nofsinhar fejn tinbidel minn Beneden MerWede f'Noord, u Dordtse Kil, li fergħat minn Oude Maas.</v>
      </c>
    </row>
    <row r="9900" ht="15.75" customHeight="1">
      <c r="A9900" s="2" t="s">
        <v>9900</v>
      </c>
      <c r="B9900" s="2" t="str">
        <f>IFERROR(__xludf.DUMMYFUNCTION("GOOGLETRANSLATE(A9900, ""en"", ""mt"")"),"F'liema moviment il-fiera li saret f'Ġunju kellha l-oriġini tagħha?")</f>
        <v>F'liema moviment il-fiera li saret f'Ġunju kellha l-oriġini tagħha?</v>
      </c>
    </row>
    <row r="9901" ht="15.75" customHeight="1">
      <c r="A9901" s="2" t="s">
        <v>9901</v>
      </c>
      <c r="B9901" s="2" t="str">
        <f>IFERROR(__xludf.DUMMYFUNCTION("GOOGLETRANSLATE(A9901, ""en"", ""mt"")"),"elettron")</f>
        <v>elettron</v>
      </c>
    </row>
    <row r="9902" ht="15.75" customHeight="1">
      <c r="A9902" s="2" t="s">
        <v>9902</v>
      </c>
      <c r="B9902" s="2" t="str">
        <f>IFERROR(__xludf.DUMMYFUNCTION("GOOGLETRANSLATE(A9902, ""en"", ""mt"")"),"fihom id-DNA tagħhom stess,")</f>
        <v>fihom id-DNA tagħhom stess,</v>
      </c>
    </row>
    <row r="9903" ht="15.75" customHeight="1">
      <c r="A9903" s="2" t="s">
        <v>9903</v>
      </c>
      <c r="B9903" s="2" t="str">
        <f>IFERROR(__xludf.DUMMYFUNCTION("GOOGLETRANSLATE(A9903, ""en"", ""mt"")"),"X'kien l-approċċ karatteristiku ta 'Genghis Khan għad-diversità reliġjuża?")</f>
        <v>X'kien l-approċċ karatteristiku ta 'Genghis Khan għad-diversità reliġjuża?</v>
      </c>
    </row>
    <row r="9904" ht="15.75" customHeight="1">
      <c r="A9904" s="2" t="s">
        <v>9904</v>
      </c>
      <c r="B9904" s="2" t="str">
        <f>IFERROR(__xludf.DUMMYFUNCTION("GOOGLETRANSLATE(A9904, ""en"", ""mt"")"),"ftit")</f>
        <v>ftit</v>
      </c>
    </row>
    <row r="9905" ht="15.75" customHeight="1">
      <c r="A9905" s="2" t="s">
        <v>9905</v>
      </c>
      <c r="B9905" s="2" t="str">
        <f>IFERROR(__xludf.DUMMYFUNCTION("GOOGLETRANSLATE(A9905, ""en"", ""mt"")"),"Harvard għandu l-akbar dotazzjoni universitarja fid-dinja. Minn Settembru 2011 [aġġornament], kien kważi reġa ’kiseb it-telf li ġarrab matul ir-riċessjoni tal-2008. Kien jiswa $ 32 biljun fl-2011, sa minn $ 28 biljun f'Settembru 2010 u $ 26 biljun fl-2009"&amp;". Dan sofra telf ta 'madwar 30% fl-2008-09. F'Diċembru 2008, Harvard ħabbar li d-dotazzjoni tagħha kienet tilfet 22% (madwar $ 8 biljun) minn Lulju sa Ottubru 2008, li kien jeħtieġ tnaqqis fil-baġit. Rapporti aktar tard jissuġġerixxu li t-telf kien fil-fa"&amp;"tt aktar mid-doppju ta 'dik iċ-ċifra, tnaqqis ta' kważi 50% tad-dotazzjoni tiegħu fl-ewwel erba 'xhur biss. Forbes f'Marzu 2009 stima li t-telf ikun fil-medda ta '$ 12-il biljun. Wieħed mir-riżultati l-aktar viżibbli tat-tentattiv ta 'Harvard biex jibbila"&amp;"nċja mill-ġdid il-baġit tiegħu kien it-twaqqif tagħhom tal-kostruzzjoni tal-kumpless tax-xjenza ta' $ 1.2 biljun li kien skedat li jitlesta sal-2011, li rriżulta fi protesti mir-residenti lokali. Mill-2012 [aġġornament], l-Università ta ’Harvard kellha ri"&amp;"żerva ta’ għajnuna finanzjarja totali ta ’$ 159 miljun għall-istudenti, u riżerva ta’ għotja Pell ta ’$ 4.093 miljun disponibbli għall-ħruġ.")</f>
        <v>Harvard għandu l-akbar dotazzjoni universitarja fid-dinja. Minn Settembru 2011 [aġġornament], kien kważi reġa ’kiseb it-telf li ġarrab matul ir-riċessjoni tal-2008. Kien jiswa $ 32 biljun fl-2011, sa minn $ 28 biljun f'Settembru 2010 u $ 26 biljun fl-2009. Dan sofra telf ta 'madwar 30% fl-2008-09. F'Diċembru 2008, Harvard ħabbar li d-dotazzjoni tagħha kienet tilfet 22% (madwar $ 8 biljun) minn Lulju sa Ottubru 2008, li kien jeħtieġ tnaqqis fil-baġit. Rapporti aktar tard jissuġġerixxu li t-telf kien fil-fatt aktar mid-doppju ta 'dik iċ-ċifra, tnaqqis ta' kważi 50% tad-dotazzjoni tiegħu fl-ewwel erba 'xhur biss. Forbes f'Marzu 2009 stima li t-telf ikun fil-medda ta '$ 12-il biljun. Wieħed mir-riżultati l-aktar viżibbli tat-tentattiv ta 'Harvard biex jibbilanċja mill-ġdid il-baġit tiegħu kien it-twaqqif tagħhom tal-kostruzzjoni tal-kumpless tax-xjenza ta' $ 1.2 biljun li kien skedat li jitlesta sal-2011, li rriżulta fi protesti mir-residenti lokali. Mill-2012 [aġġornament], l-Università ta ’Harvard kellha riżerva ta’ għajnuna finanzjarja totali ta ’$ 159 miljun għall-istudenti, u riżerva ta’ għotja Pell ta ’$ 4.093 miljun disponibbli għall-ħruġ.</v>
      </c>
    </row>
    <row r="9906" ht="15.75" customHeight="1">
      <c r="A9906" s="2" t="s">
        <v>9906</v>
      </c>
      <c r="B9906" s="2" t="str">
        <f>IFERROR(__xludf.DUMMYFUNCTION("GOOGLETRANSLATE(A9906, ""en"", ""mt"")"),"mijiet")</f>
        <v>mijiet</v>
      </c>
    </row>
    <row r="9907" ht="15.75" customHeight="1">
      <c r="A9907" s="2" t="s">
        <v>9907</v>
      </c>
      <c r="B9907" s="2" t="str">
        <f>IFERROR(__xludf.DUMMYFUNCTION("GOOGLETRANSLATE(A9907, ""en"", ""mt"")"),"X'kienet il-konklużjoni ta 'Shrewsbury?")</f>
        <v>X'kienet il-konklużjoni ta 'Shrewsbury?</v>
      </c>
    </row>
    <row r="9908" ht="15.75" customHeight="1">
      <c r="A9908" s="2" t="s">
        <v>9908</v>
      </c>
      <c r="B9908" s="2" t="str">
        <f>IFERROR(__xludf.DUMMYFUNCTION("GOOGLETRANSLATE(A9908, ""en"", ""mt"")"),"Fis-7 ta 'Jannar 1943, fl-età ta '86, Tesla mietet waħedha fil-kamra 3327 tal-lukanda New Yorker. Ġismu aktar tard instab mill-Maid Alice Monaghan wara li kienet daħlet fil-kamra ta ’Tesla, billi injorat is-sinjal"" Don Don’t Disturb ”li Tesla kienet poġġ"&amp;"iet fuq il-bieb tiegħu jumejn qabel. Assistent Eżaminatur Mediku H.W. Wembly eżamina l-ġisem u ddeċieda li l-kawża tal-mewt kienet trombożi koronarja. Il-fdalijiet ta 'Tesla ttieħdu fid-Dar tal-Funeral Frank E. Campbell fil-Madison Ave u l-81 ta' St. Ħabi"&amp;"b ta 'żmien twil u sostenitur ta' Tesla, Hugo Gernsback, ikkummissjona skultur biex joħloq maskra tal-mewt, issa murija fil-Mużew Nikola Tesla.")</f>
        <v>Fis-7 ta 'Jannar 1943, fl-età ta '86, Tesla mietet waħedha fil-kamra 3327 tal-lukanda New Yorker. Ġismu aktar tard instab mill-Maid Alice Monaghan wara li kienet daħlet fil-kamra ta ’Tesla, billi injorat is-sinjal" Don Don’t Disturb ”li Tesla kienet poġġiet fuq il-bieb tiegħu jumejn qabel. Assistent Eżaminatur Mediku H.W. Wembly eżamina l-ġisem u ddeċieda li l-kawża tal-mewt kienet trombożi koronarja. Il-fdalijiet ta 'Tesla ttieħdu fid-Dar tal-Funeral Frank E. Campbell fil-Madison Ave u l-81 ta' St. Ħabib ta 'żmien twil u sostenitur ta' Tesla, Hugo Gernsback, ikkummissjona skultur biex joħloq maskra tal-mewt, issa murija fil-Mużew Nikola Tesla.</v>
      </c>
    </row>
    <row r="9909" ht="15.75" customHeight="1">
      <c r="A9909" s="2" t="s">
        <v>9909</v>
      </c>
      <c r="B9909" s="2" t="str">
        <f>IFERROR(__xludf.DUMMYFUNCTION("GOOGLETRANSLATE(A9909, ""en"", ""mt"")"),"Duka Richard II")</f>
        <v>Duka Richard II</v>
      </c>
    </row>
    <row r="9910" ht="15.75" customHeight="1">
      <c r="A9910" s="2" t="s">
        <v>9910</v>
      </c>
      <c r="B9910" s="2" t="str">
        <f>IFERROR(__xludf.DUMMYFUNCTION("GOOGLETRANSLATE(A9910, ""en"", ""mt"")"),"Fit-30 ta 'April 2000, bħala riżultat ta' tilwima dwar il-ġarr ma 'ABC, Time Warner Cable neħħa stazzjonijiet ta' proprjetà ta 'ABC u operati mis-sistemi tal-fornitur tal-kejbil f'erba' swieq (WABC-TV fi New York City, KABC-TV f'Los Angeles , Ktrk fi Hous"&amp;"ton u WTVD f'Raleigh-Durham). In-netwerk qabel kien laħaq ftehim ta 'ħdax-il siegħa biex iġedded il-ftehim ta' ġarr tiegħu mal-fornitur fil-31 ta 'Diċembru, 1999. ABC ippreżenta petizzjoni ta' emerġenza lill-Kummissjoni Federali tal-Komunikazzjonijiet fl-"&amp;"1 ta 'Mejju biex iġġiegħel lil TWC jerġa' jġib l-istazzjonijiet affettwati; L-FCC iddeċidiet favur l-ABC, billi tordna Time Warner Cable biex terġa 'tinkiseb l-istazzjonijiet, billi għamlet hekk wara nofsinhar ta' Mejju 2. ABC temm l-istaġun 2000-01 bħala"&amp;" n-netwerk l-iktar li jidher, qabel l-NBC.")</f>
        <v>Fit-30 ta 'April 2000, bħala riżultat ta' tilwima dwar il-ġarr ma 'ABC, Time Warner Cable neħħa stazzjonijiet ta' proprjetà ta 'ABC u operati mis-sistemi tal-fornitur tal-kejbil f'erba' swieq (WABC-TV fi New York City, KABC-TV f'Los Angeles , Ktrk fi Houston u WTVD f'Raleigh-Durham). In-netwerk qabel kien laħaq ftehim ta 'ħdax-il siegħa biex iġedded il-ftehim ta' ġarr tiegħu mal-fornitur fil-31 ta 'Diċembru, 1999. ABC ippreżenta petizzjoni ta' emerġenza lill-Kummissjoni Federali tal-Komunikazzjonijiet fl-1 ta 'Mejju biex iġġiegħel lil TWC jerġa' jġib l-istazzjonijiet affettwati; L-FCC iddeċidiet favur l-ABC, billi tordna Time Warner Cable biex terġa 'tinkiseb l-istazzjonijiet, billi għamlet hekk wara nofsinhar ta' Mejju 2. ABC temm l-istaġun 2000-01 bħala n-netwerk l-iktar li jidher, qabel l-NBC.</v>
      </c>
    </row>
    <row r="9911" ht="15.75" customHeight="1">
      <c r="A9911" s="2" t="s">
        <v>9911</v>
      </c>
      <c r="B9911" s="2" t="str">
        <f>IFERROR(__xludf.DUMMYFUNCTION("GOOGLETRANSLATE(A9911, ""en"", ""mt"")"),"Meta Luther huwa kkommemorat mill-Knisja tal-Ingilterra?")</f>
        <v>Meta Luther huwa kkommemorat mill-Knisja tal-Ingilterra?</v>
      </c>
    </row>
    <row r="9912" ht="15.75" customHeight="1">
      <c r="A9912" s="2" t="s">
        <v>9912</v>
      </c>
      <c r="B9912" s="2" t="str">
        <f>IFERROR(__xludf.DUMMYFUNCTION("GOOGLETRANSLATE(A9912, ""en"", ""mt"")"),"Ċittadinanza")</f>
        <v>Ċittadinanza</v>
      </c>
    </row>
    <row r="9913" ht="15.75" customHeight="1">
      <c r="A9913" s="2" t="s">
        <v>9913</v>
      </c>
      <c r="B9913" s="2" t="str">
        <f>IFERROR(__xludf.DUMMYFUNCTION("GOOGLETRANSLATE(A9913, ""en"", ""mt"")"),"Ġnien John Madejski")</f>
        <v>Ġnien John Madejski</v>
      </c>
    </row>
    <row r="9914" ht="15.75" customHeight="1">
      <c r="A9914" s="2" t="s">
        <v>9914</v>
      </c>
      <c r="B9914" s="2" t="str">
        <f>IFERROR(__xludf.DUMMYFUNCTION("GOOGLETRANSLATE(A9914, ""en"", ""mt"")"),"Meta kien ir-Renu kompletament fi ħdan l-Imperu Ruman Qaddis?")</f>
        <v>Meta kien ir-Renu kompletament fi ħdan l-Imperu Ruman Qaddis?</v>
      </c>
    </row>
    <row r="9915" ht="15.75" customHeight="1">
      <c r="A9915" s="2" t="s">
        <v>9915</v>
      </c>
      <c r="B9915" s="2" t="str">
        <f>IFERROR(__xludf.DUMMYFUNCTION("GOOGLETRANSLATE(A9915, ""en"", ""mt"")"),"""Wid [en] l-għażliet tan-nies u l-livell tal-benesseri miksub tagħhom""")</f>
        <v>"Wid [en] l-għażliet tan-nies u l-livell tal-benesseri miksub tagħhom"</v>
      </c>
    </row>
    <row r="9916" ht="15.75" customHeight="1">
      <c r="A9916" s="2" t="s">
        <v>9916</v>
      </c>
      <c r="B9916" s="2" t="str">
        <f>IFERROR(__xludf.DUMMYFUNCTION("GOOGLETRANSLATE(A9916, ""en"", ""mt"")"),"Min jinsab fuq il-pannell tal-IPCC?")</f>
        <v>Min jinsab fuq il-pannell tal-IPCC?</v>
      </c>
    </row>
    <row r="9917" ht="15.75" customHeight="1">
      <c r="A9917" s="2" t="s">
        <v>9917</v>
      </c>
      <c r="B9917" s="2" t="str">
        <f>IFERROR(__xludf.DUMMYFUNCTION("GOOGLETRANSLATE(A9917, ""en"", ""mt"")"),"Wara t-Trattat ta 'Lisbona, il-Karta u l-Konvenzjoni issa jeżistu taħt xiex?")</f>
        <v>Wara t-Trattat ta 'Lisbona, il-Karta u l-Konvenzjoni issa jeżistu taħt xiex?</v>
      </c>
    </row>
    <row r="9918" ht="15.75" customHeight="1">
      <c r="A9918" s="2" t="s">
        <v>9918</v>
      </c>
      <c r="B9918" s="2" t="str">
        <f>IFERROR(__xludf.DUMMYFUNCTION("GOOGLETRANSLATE(A9918, ""en"", ""mt"")"),"psewdo-xjenzi")</f>
        <v>psewdo-xjenzi</v>
      </c>
    </row>
    <row r="9919" ht="15.75" customHeight="1">
      <c r="A9919" s="2" t="s">
        <v>9919</v>
      </c>
      <c r="B9919" s="2" t="str">
        <f>IFERROR(__xludf.DUMMYFUNCTION("GOOGLETRANSLATE(A9919, ""en"", ""mt"")"),"X'inhu mod wieħed kif jistgħu jiġu kkodifikati graffs?")</f>
        <v>X'inhu mod wieħed kif jistgħu jiġu kkodifikati graffs?</v>
      </c>
    </row>
    <row r="9920" ht="15.75" customHeight="1">
      <c r="A9920" s="2" t="s">
        <v>9920</v>
      </c>
      <c r="B9920" s="2" t="str">
        <f>IFERROR(__xludf.DUMMYFUNCTION("GOOGLETRANSLATE(A9920, ""en"", ""mt"")"),"X'inhu notevoli dwar il-foresta tal-Amażonja meta tidher mill-ispazju?")</f>
        <v>X'inhu notevoli dwar il-foresta tal-Amażonja meta tidher mill-ispazju?</v>
      </c>
    </row>
    <row r="9921" ht="15.75" customHeight="1">
      <c r="A9921" s="2" t="s">
        <v>9921</v>
      </c>
      <c r="B9921" s="2" t="str">
        <f>IFERROR(__xludf.DUMMYFUNCTION("GOOGLETRANSLATE(A9921, ""en"", ""mt"")"),"[256kn + 1, 256k (n + 1) - 1]")</f>
        <v>[256kn + 1, 256k (n + 1) - 1]</v>
      </c>
    </row>
    <row r="9922" ht="15.75" customHeight="1">
      <c r="A9922" s="2" t="s">
        <v>9922</v>
      </c>
      <c r="B9922" s="2" t="str">
        <f>IFERROR(__xludf.DUMMYFUNCTION("GOOGLETRANSLATE(A9922, ""en"", ""mt"")"),"Il-pjanti għandhom żewġ risponsi immuni ewlenin - ir-rispons ipersensittiv, li fih iċ-ċelloli infettati jissiġillaw lilhom infushom u jgħaddu mill-mewt ipprogrammata taċ-ċelloli, u reżistenza akkwistata sistemika, fejn iċ-ċelloli infettati jirrilaxxaw sin"&amp;"jali li jwissu l-kumplament tal-impjant tal-preżenza tal-patoġen. Il-kloroplasti jistimulaw iż-żewġ tweġibiet billi jagħmlu ħsara apposta s-sistema fotosintetika tagħhom, u jipproduċu speċi ta 'ossiġnu reattiv. Livelli għoljin ta 'speċi reattivi ta' ossiġ"&amp;"enu jikkawżaw rispons ipersensittiv. L-ispeċi reattivi ta 'ossiġnu joqtlu wkoll direttament kwalunkwe patoġeni fiċ-ċellula. Livelli aktar baxxi ta 'speċi reattivi ta' ossiġenu jibdew reżistenza sistemika akkwistata, li jikkawżaw produzzjoni ta 'molekula t"&amp;"a' difiża fil-bqija tal-impjant.")</f>
        <v>Il-pjanti għandhom żewġ risponsi immuni ewlenin - ir-rispons ipersensittiv, li fih iċ-ċelloli infettati jissiġillaw lilhom infushom u jgħaddu mill-mewt ipprogrammata taċ-ċelloli, u reżistenza akkwistata sistemika, fejn iċ-ċelloli infettati jirrilaxxaw sinjali li jwissu l-kumplament tal-impjant tal-preżenza tal-patoġen. Il-kloroplasti jistimulaw iż-żewġ tweġibiet billi jagħmlu ħsara apposta s-sistema fotosintetika tagħhom, u jipproduċu speċi ta 'ossiġnu reattiv. Livelli għoljin ta 'speċi reattivi ta' ossiġenu jikkawżaw rispons ipersensittiv. L-ispeċi reattivi ta 'ossiġnu joqtlu wkoll direttament kwalunkwe patoġeni fiċ-ċellula. Livelli aktar baxxi ta 'speċi reattivi ta' ossiġenu jibdew reżistenza sistemika akkwistata, li jikkawżaw produzzjoni ta 'molekula ta' difiża fil-bqija tal-impjant.</v>
      </c>
    </row>
    <row r="9923" ht="15.75" customHeight="1">
      <c r="A9923" s="2" t="s">
        <v>9923</v>
      </c>
      <c r="B9923" s="2" t="str">
        <f>IFERROR(__xludf.DUMMYFUNCTION("GOOGLETRANSLATE(A9923, ""en"", ""mt"")"),"Ma 'dak li jikkuntrasta l-bdil tal-pakketti")</f>
        <v>Ma 'dak li jikkuntrasta l-bdil tal-pakketti</v>
      </c>
    </row>
    <row r="9924" ht="15.75" customHeight="1">
      <c r="A9924" s="2" t="s">
        <v>9924</v>
      </c>
      <c r="B9924" s="2" t="str">
        <f>IFERROR(__xludf.DUMMYFUNCTION("GOOGLETRANSLATE(A9924, ""en"", ""mt"")"),"Tnaqqis tal-faqar")</f>
        <v>Tnaqqis tal-faqar</v>
      </c>
    </row>
    <row r="9925" ht="15.75" customHeight="1">
      <c r="A9925" s="2" t="s">
        <v>9925</v>
      </c>
      <c r="B9925" s="2" t="str">
        <f>IFERROR(__xludf.DUMMYFUNCTION("GOOGLETRANSLATE(A9925, ""en"", ""mt"")"),"X'inhu fadal mill-kloroplasti tad-dinofisi?")</f>
        <v>X'inhu fadal mill-kloroplasti tad-dinofisi?</v>
      </c>
    </row>
    <row r="9926" ht="15.75" customHeight="1">
      <c r="A9926" s="2" t="s">
        <v>9926</v>
      </c>
      <c r="B9926" s="2" t="str">
        <f>IFERROR(__xludf.DUMMYFUNCTION("GOOGLETRANSLATE(A9926, ""en"", ""mt"")"),"Biex tkejjel id-diffikultà biex tissolva problema tal-komputazzjoni, wieħed jista 'jixtieq jara kemm ħin l-aħjar algoritmu jirrikjedi biex issolvi l-problema. Madankollu, il-ħin ta 'tħaddim jista', b'mod ġenerali, jiddependi mill-istanza. B'mod partikolar"&amp;"i, każijiet ikbar jeħtieġu aktar ħin biex isolvu. Għalhekk il-ħin meħtieġ biex tissolva problema (jew l-ispazju meħtieġ, jew kwalunkwe miżura ta 'kumplessità) huwa kkalkulat bħala funzjoni tad-daqs tal-istanza. Dan ġeneralment jittieħed bħala d-daqs tal-i"&amp;"nput fil-bits. It-teorija tal-kumplessità hija interessata fil-mod kif l-algoritmi jiskalaw b'żieda fid-daqs tal-input. Pereżempju, fil-problema li ssib jekk graff huwiex konness, kemm iktar ħin tieħu biex issolvi problema għal graff bi vertiċi 2N meta mq"&amp;"abbel mal-ħin meħud għal graff bi n vertiċi?")</f>
        <v>Biex tkejjel id-diffikultà biex tissolva problema tal-komputazzjoni, wieħed jista 'jixtieq jara kemm ħin l-aħjar algoritmu jirrikjedi biex issolvi l-problema. Madankollu, il-ħin ta 'tħaddim jista', b'mod ġenerali, jiddependi mill-istanza. B'mod partikolari, każijiet ikbar jeħtieġu aktar ħin biex isolvu. Għalhekk il-ħin meħtieġ biex tissolva problema (jew l-ispazju meħtieġ, jew kwalunkwe miżura ta 'kumplessità) huwa kkalkulat bħala funzjoni tad-daqs tal-istanza. Dan ġeneralment jittieħed bħala d-daqs tal-input fil-bits. It-teorija tal-kumplessità hija interessata fil-mod kif l-algoritmi jiskalaw b'żieda fid-daqs tal-input. Pereżempju, fil-problema li ssib jekk graff huwiex konness, kemm iktar ħin tieħu biex issolvi problema għal graff bi vertiċi 2N meta mqabbel mal-ħin meħud għal graff bi n vertiċi?</v>
      </c>
    </row>
    <row r="9927" ht="15.75" customHeight="1">
      <c r="A9927" s="2" t="s">
        <v>9927</v>
      </c>
      <c r="B9927" s="2" t="str">
        <f>IFERROR(__xludf.DUMMYFUNCTION("GOOGLETRANSLATE(A9927, ""en"", ""mt"")"),"aktar ġid")</f>
        <v>aktar ġid</v>
      </c>
    </row>
    <row r="9928" ht="15.75" customHeight="1">
      <c r="A9928" s="2" t="s">
        <v>9928</v>
      </c>
      <c r="B9928" s="2" t="str">
        <f>IFERROR(__xludf.DUMMYFUNCTION("GOOGLETRANSLATE(A9928, ""en"", ""mt"")"),"stat tal-moħħ li qed jonqos")</f>
        <v>stat tal-moħħ li qed jonqos</v>
      </c>
    </row>
    <row r="9929" ht="15.75" customHeight="1">
      <c r="A9929" s="2" t="s">
        <v>9929</v>
      </c>
      <c r="B9929" s="2" t="str">
        <f>IFERROR(__xludf.DUMMYFUNCTION("GOOGLETRANSLATE(A9929, ""en"", ""mt"")"),"Iżrael")</f>
        <v>Iżrael</v>
      </c>
    </row>
    <row r="9930" ht="15.75" customHeight="1">
      <c r="A9930" s="2" t="s">
        <v>9930</v>
      </c>
      <c r="B9930" s="2" t="str">
        <f>IFERROR(__xludf.DUMMYFUNCTION("GOOGLETRANSLATE(A9930, ""en"", ""mt"")"),"infanterija")</f>
        <v>infanterija</v>
      </c>
    </row>
    <row r="9931" ht="15.75" customHeight="1">
      <c r="A9931" s="2" t="s">
        <v>9931</v>
      </c>
      <c r="B9931" s="2" t="str">
        <f>IFERROR(__xludf.DUMMYFUNCTION("GOOGLETRANSLATE(A9931, ""en"", ""mt"")"),"puplesija")</f>
        <v>puplesija</v>
      </c>
    </row>
    <row r="9932" ht="15.75" customHeight="1">
      <c r="A9932" s="2" t="s">
        <v>9932</v>
      </c>
      <c r="B9932" s="2" t="str">
        <f>IFERROR(__xludf.DUMMYFUNCTION("GOOGLETRANSLATE(A9932, ""en"", ""mt"")"),"Kapaċità tat-tarka tas-sħana tal-modulu tal-kmand biex tibqa 'ħajja mill-ġdid trans-lunari")</f>
        <v>Kapaċità tat-tarka tas-sħana tal-modulu tal-kmand biex tibqa 'ħajja mill-ġdid trans-lunari</v>
      </c>
    </row>
    <row r="9933" ht="15.75" customHeight="1">
      <c r="A9933" s="2" t="s">
        <v>9933</v>
      </c>
      <c r="B9933" s="2" t="str">
        <f>IFERROR(__xludf.DUMMYFUNCTION("GOOGLETRANSLATE(A9933, ""en"", ""mt"")"),"billi tillimita d-domanda aggregata")</f>
        <v>billi tillimita d-domanda aggregata</v>
      </c>
    </row>
    <row r="9934" ht="15.75" customHeight="1">
      <c r="A9934" s="2" t="s">
        <v>9934</v>
      </c>
      <c r="B9934" s="2" t="str">
        <f>IFERROR(__xludf.DUMMYFUNCTION("GOOGLETRANSLATE(A9934, ""en"", ""mt"")"),"F'liema episodju Dudley Simpson daqq surmast tal-mużika?")</f>
        <v>F'liema episodju Dudley Simpson daqq surmast tal-mużika?</v>
      </c>
    </row>
    <row r="9935" ht="15.75" customHeight="1">
      <c r="A9935" s="2" t="s">
        <v>9935</v>
      </c>
      <c r="B9935" s="2" t="str">
        <f>IFERROR(__xludf.DUMMYFUNCTION("GOOGLETRANSLATE(A9935, ""en"", ""mt"")"),"X’temm id-DFDs bħala r-raġunijiet li temmew l-operazzjonijiet?")</f>
        <v>X’temm id-DFDs bħala r-raġunijiet li temmew l-operazzjonijiet?</v>
      </c>
    </row>
    <row r="9936" ht="15.75" customHeight="1">
      <c r="A9936" s="2" t="s">
        <v>9936</v>
      </c>
      <c r="B9936" s="2" t="str">
        <f>IFERROR(__xludf.DUMMYFUNCTION("GOOGLETRANSLATE(A9936, ""en"", ""mt"")"),"difiża u ġustifikazzjoni tal-bini tal-imperu")</f>
        <v>difiża u ġustifikazzjoni tal-bini tal-imperu</v>
      </c>
    </row>
    <row r="9937" ht="15.75" customHeight="1">
      <c r="A9937" s="2" t="s">
        <v>9937</v>
      </c>
      <c r="B9937" s="2" t="str">
        <f>IFERROR(__xludf.DUMMYFUNCTION("GOOGLETRANSLATE(A9937, ""en"", ""mt"")"),"Il-forzi jaġixxu f'direzzjoni partikolari u għandhom daqsijiet dipendenti fuq kemm hi qawwija l-imbuttatura jew il-ġibda. Minħabba dawn il-karatteristiċi, il-forzi huma kklassifikati bħala ""kwantitajiet ta 'vettur"". Dan ifisser li l-forzi jsegwu sett di"&amp;"fferenti ta 'regoli matematiċi minn kwantitajiet fiżiċi li m'għandhomx direzzjoni (kwantitajiet skalari denotati). Pereżempju, meta jiġu ddeterminati x'jiġri meta żewġ forzi jaġixxu fuq l-istess oġġett, huwa meħtieġ li tkun taf kemm il-kobor kif ukoll id-"&amp;"direzzjoni taż-żewġ forzi biex tikkalkula r-riżultat. Jekk dawn iż-żewġ biċċiet ta 'informazzjoni mhumiex magħrufa għal kull forza, is-sitwazzjoni hija ambigwa. Pereżempju, jekk taf li żewġ persuni qed jiġbdu l-istess ħabel bil-kobor tal-forza magħrufa im"&amp;"ma ma tafx liema direzzjoni qed tiġbed, huwa impossibbli li tiddetermina x'inhi l-aċċellerazzjoni tal-ħabel. Iż-żewġ persuni jistgħu jkunu qed jiġbdu kontra xulxin hekk kif fl-irmonk tal-gwerra jew iż-żewġ persuni jistgħu jiġbdu fl-istess direzzjoni. F'da"&amp;"n l-eżempju sempliċi b'dimensjoni waħda, mingħajr ma tkun taf id-direzzjoni tal-forzi huwa impossibbli li tiddeċiedi jekk il-forza netta hijiex ir-riżultat li żżid iż-żewġ kobor tal-forza jew li tnaqqas waħda mill-oħra. L-assoċjazzjoni tal-forzi ma 'vetto"&amp;"ri tevita problemi bħal dawn.")</f>
        <v>Il-forzi jaġixxu f'direzzjoni partikolari u għandhom daqsijiet dipendenti fuq kemm hi qawwija l-imbuttatura jew il-ġibda. Minħabba dawn il-karatteristiċi, il-forzi huma kklassifikati bħala "kwantitajiet ta 'vettur". Dan ifisser li l-forzi jsegwu sett differenti ta 'regoli matematiċi minn kwantitajiet fiżiċi li m'għandhomx direzzjoni (kwantitajiet skalari denotati). Pereżempju, meta jiġu ddeterminati x'jiġri meta żewġ forzi jaġixxu fuq l-istess oġġett, huwa meħtieġ li tkun taf kemm il-kobor kif ukoll id-direzzjoni taż-żewġ forzi biex tikkalkula r-riżultat. Jekk dawn iż-żewġ biċċiet ta 'informazzjoni mhumiex magħrufa għal kull forza, is-sitwazzjoni hija ambigwa. Pereżempju, jekk taf li żewġ persuni qed jiġbdu l-istess ħabel bil-kobor tal-forza magħrufa imma ma tafx liema direzzjoni qed tiġbed, huwa impossibbli li tiddetermina x'inhi l-aċċellerazzjoni tal-ħabel. Iż-żewġ persuni jistgħu jkunu qed jiġbdu kontra xulxin hekk kif fl-irmonk tal-gwerra jew iż-żewġ persuni jistgħu jiġbdu fl-istess direzzjoni. F'dan l-eżempju sempliċi b'dimensjoni waħda, mingħajr ma tkun taf id-direzzjoni tal-forzi huwa impossibbli li tiddeċiedi jekk il-forza netta hijiex ir-riżultat li żżid iż-żewġ kobor tal-forza jew li tnaqqas waħda mill-oħra. L-assoċjazzjoni tal-forzi ma 'vettori tevita problemi bħal dawn.</v>
      </c>
    </row>
    <row r="9938" ht="15.75" customHeight="1">
      <c r="A9938" s="2" t="s">
        <v>9938</v>
      </c>
      <c r="B9938" s="2" t="str">
        <f>IFERROR(__xludf.DUMMYFUNCTION("GOOGLETRANSLATE(A9938, ""en"", ""mt"")"),"Kumitati suġġetti")</f>
        <v>Kumitati suġġetti</v>
      </c>
    </row>
    <row r="9939" ht="15.75" customHeight="1">
      <c r="A9939" s="2" t="s">
        <v>9939</v>
      </c>
      <c r="B9939" s="2" t="str">
        <f>IFERROR(__xludf.DUMMYFUNCTION("GOOGLETRANSLATE(A9939, ""en"", ""mt"")"),"Ħamsa mis-sitt missjonijiet li fadal")</f>
        <v>Ħamsa mis-sitt missjonijiet li fadal</v>
      </c>
    </row>
    <row r="9940" ht="15.75" customHeight="1">
      <c r="A9940" s="2" t="s">
        <v>9940</v>
      </c>
      <c r="B9940" s="2" t="str">
        <f>IFERROR(__xludf.DUMMYFUNCTION("GOOGLETRANSLATE(A9940, ""en"", ""mt"")"),"Liema żewġ xjenzati kienu proponenti tat-teorija umoristika tal-immunità?")</f>
        <v>Liema żewġ xjenzati kienu proponenti tat-teorija umoristika tal-immunità?</v>
      </c>
    </row>
    <row r="9941" ht="15.75" customHeight="1">
      <c r="A9941" s="2" t="s">
        <v>9941</v>
      </c>
      <c r="B9941" s="2" t="str">
        <f>IFERROR(__xludf.DUMMYFUNCTION("GOOGLETRANSLATE(A9941, ""en"", ""mt"")"),"Liema lingwi użaw l-iskrittura Phags-PA?")</f>
        <v>Liema lingwi użaw l-iskrittura Phags-PA?</v>
      </c>
    </row>
    <row r="9942" ht="15.75" customHeight="1">
      <c r="A9942" s="2" t="s">
        <v>9942</v>
      </c>
      <c r="B9942" s="2" t="str">
        <f>IFERROR(__xludf.DUMMYFUNCTION("GOOGLETRANSLATE(A9942, ""en"", ""mt"")"),"Mikroskopju petrografiku")</f>
        <v>Mikroskopju petrografiku</v>
      </c>
    </row>
    <row r="9943" ht="15.75" customHeight="1">
      <c r="A9943" s="2" t="s">
        <v>9943</v>
      </c>
      <c r="B9943" s="2" t="str">
        <f>IFERROR(__xludf.DUMMYFUNCTION("GOOGLETRANSLATE(A9943, ""en"", ""mt"")"),"bħala materjali tal-alimentazzjoni")</f>
        <v>bħala materjali tal-alimentazzjoni</v>
      </c>
    </row>
    <row r="9944" ht="15.75" customHeight="1">
      <c r="A9944" s="2" t="s">
        <v>9944</v>
      </c>
      <c r="B9944" s="2" t="str">
        <f>IFERROR(__xludf.DUMMYFUNCTION("GOOGLETRANSLATE(A9944, ""en"", ""mt"")"),"Grissom, White, u Chaffee ddeċidew li jismu t-titjira tagħhom Apollo 1 bħala fokus motivazzjonali fuq l-ewwel titjira mgħammra. Huma mħarrġa u wettqu testijiet tal-vettura spazjali tagħhom fl-Amerika ta ’Fuq, u fil-kamra tal-altitudni fiċ-Ċentru Spazjali "&amp;"Kennedy. Test ta '""plugs-out"" kien ippjanat għal Jannar, li jissimula countdown ta' tnedija fuq LC-34 bit-trasferiment spazjali minn PAD fornut għal qawwa interna. Jekk jirnexxi, dan ikun segwit minn test ta 'simulazzjoni ta' countdown aktar rigoruż eqr"&amp;"eb lejn it-tnedija tal-21 ta 'Frar, kemm bil-vettura spazjali kif ukoll bil-valutazzjoni tal-vettura.")</f>
        <v>Grissom, White, u Chaffee ddeċidew li jismu t-titjira tagħhom Apollo 1 bħala fokus motivazzjonali fuq l-ewwel titjira mgħammra. Huma mħarrġa u wettqu testijiet tal-vettura spazjali tagħhom fl-Amerika ta ’Fuq, u fil-kamra tal-altitudni fiċ-Ċentru Spazjali Kennedy. Test ta '"plugs-out" kien ippjanat għal Jannar, li jissimula countdown ta' tnedija fuq LC-34 bit-trasferiment spazjali minn PAD fornut għal qawwa interna. Jekk jirnexxi, dan ikun segwit minn test ta 'simulazzjoni ta' countdown aktar rigoruż eqreb lejn it-tnedija tal-21 ta 'Frar, kemm bil-vettura spazjali kif ukoll bil-valutazzjoni tal-vettura.</v>
      </c>
    </row>
    <row r="9945" ht="15.75" customHeight="1">
      <c r="A9945" s="2" t="s">
        <v>9945</v>
      </c>
      <c r="B9945" s="2" t="str">
        <f>IFERROR(__xludf.DUMMYFUNCTION("GOOGLETRANSLATE(A9945, ""en"", ""mt"")"),"irribellaw kontra dak li jqisu li huma inġusti")</f>
        <v>irribellaw kontra dak li jqisu li huma inġusti</v>
      </c>
    </row>
    <row r="9946" ht="15.75" customHeight="1">
      <c r="A9946" s="2" t="s">
        <v>9946</v>
      </c>
      <c r="B9946" s="2" t="str">
        <f>IFERROR(__xludf.DUMMYFUNCTION("GOOGLETRANSLATE(A9946, ""en"", ""mt"")"),"Min kien l-alleati ta 'Cromwell?")</f>
        <v>Min kien l-alleati ta 'Cromwell?</v>
      </c>
    </row>
    <row r="9947" ht="15.75" customHeight="1">
      <c r="A9947" s="2" t="s">
        <v>9947</v>
      </c>
      <c r="B9947" s="2" t="str">
        <f>IFERROR(__xludf.DUMMYFUNCTION("GOOGLETRANSLATE(A9947, ""en"", ""mt"")"),"Aktar minn $ 40 miljun")</f>
        <v>Aktar minn $ 40 miljun</v>
      </c>
    </row>
    <row r="9948" ht="15.75" customHeight="1">
      <c r="A9948" s="2" t="s">
        <v>9948</v>
      </c>
      <c r="B9948" s="2" t="str">
        <f>IFERROR(__xludf.DUMMYFUNCTION("GOOGLETRANSLATE(A9948, ""en"", ""mt"")"),"X'kienu l-pjanijiet oriġinali ta 'missier Tesla għal Tesla?")</f>
        <v>X'kienu l-pjanijiet oriġinali ta 'missier Tesla għal Tesla?</v>
      </c>
    </row>
    <row r="9949" ht="15.75" customHeight="1">
      <c r="A9949" s="2" t="s">
        <v>9949</v>
      </c>
      <c r="B9949" s="2" t="str">
        <f>IFERROR(__xludf.DUMMYFUNCTION("GOOGLETRANSLATE(A9949, ""en"", ""mt"")"),"It-tifqigħa tal-Ewwel Gwerra Dinjija")</f>
        <v>It-tifqigħa tal-Ewwel Gwerra Dinjija</v>
      </c>
    </row>
    <row r="9950" ht="15.75" customHeight="1">
      <c r="A9950" s="2" t="s">
        <v>9950</v>
      </c>
      <c r="B9950" s="2" t="str">
        <f>IFERROR(__xludf.DUMMYFUNCTION("GOOGLETRANSLATE(A9950, ""en"", ""mt"")"),"It-Torok Seljuk")</f>
        <v>It-Torok Seljuk</v>
      </c>
    </row>
    <row r="9951" ht="15.75" customHeight="1">
      <c r="A9951" s="2" t="s">
        <v>9951</v>
      </c>
      <c r="B9951" s="2" t="str">
        <f>IFERROR(__xludf.DUMMYFUNCTION("GOOGLETRANSLATE(A9951, ""en"", ""mt"")"),"Huwa żgura dħul għoli u l-etika medika kienu kompatibbli mal-virtujiet Confucian")</f>
        <v>Huwa żgura dħul għoli u l-etika medika kienu kompatibbli mal-virtujiet Confucian</v>
      </c>
    </row>
    <row r="9952" ht="15.75" customHeight="1">
      <c r="A9952" s="2" t="s">
        <v>9952</v>
      </c>
      <c r="B9952" s="2" t="str">
        <f>IFERROR(__xludf.DUMMYFUNCTION("GOOGLETRANSLATE(A9952, ""en"", ""mt"")"),"biex jikseb l-appoġġ tal-Ingliżi u jerġa 'jikseb l-awtorità fuq in-nies tiegħu stess")</f>
        <v>biex jikseb l-appoġġ tal-Ingliżi u jerġa 'jikseb l-awtorità fuq in-nies tiegħu stess</v>
      </c>
    </row>
    <row r="9953" ht="15.75" customHeight="1">
      <c r="A9953" s="2" t="s">
        <v>9953</v>
      </c>
      <c r="B9953" s="2" t="str">
        <f>IFERROR(__xludf.DUMMYFUNCTION("GOOGLETRANSLATE(A9953, ""en"", ""mt"")"),"Liema teorija ta 'Einstein's Tesla tkellmet b'mod kritiku lejn?")</f>
        <v>Liema teorija ta 'Einstein's Tesla tkellmet b'mod kritiku lejn?</v>
      </c>
    </row>
    <row r="9954" ht="15.75" customHeight="1">
      <c r="A9954" s="2" t="s">
        <v>9954</v>
      </c>
      <c r="B9954" s="2" t="str">
        <f>IFERROR(__xludf.DUMMYFUNCTION("GOOGLETRANSLATE(A9954, ""en"", ""mt"")"),"René-Robert Cavelier, Sieur de la Salle kien esplora l-pajjiż ta 'Ohio kważi seklu qabel.")</f>
        <v>René-Robert Cavelier, Sieur de la Salle kien esplora l-pajjiż ta 'Ohio kważi seklu qabel.</v>
      </c>
    </row>
    <row r="9955" ht="15.75" customHeight="1">
      <c r="A9955" s="2" t="s">
        <v>9955</v>
      </c>
      <c r="B9955" s="2" t="str">
        <f>IFERROR(__xludf.DUMMYFUNCTION("GOOGLETRANSLATE(A9955, ""en"", ""mt"")"),"X'tip ta 'sentenzi ngħataw id-dimostranti?")</f>
        <v>X'tip ta 'sentenzi ngħataw id-dimostranti?</v>
      </c>
    </row>
    <row r="9956" ht="15.75" customHeight="1">
      <c r="A9956" s="2" t="s">
        <v>9956</v>
      </c>
      <c r="B9956" s="2" t="str">
        <f>IFERROR(__xludf.DUMMYFUNCTION("GOOGLETRANSLATE(A9956, ""en"", ""mt"")"),"Artiku")</f>
        <v>Artiku</v>
      </c>
    </row>
    <row r="9957" ht="15.75" customHeight="1">
      <c r="A9957" s="2" t="s">
        <v>9957</v>
      </c>
      <c r="B9957" s="2" t="str">
        <f>IFERROR(__xludf.DUMMYFUNCTION("GOOGLETRANSLATE(A9957, ""en"", ""mt"")"),"Liema kundizzjonijiet għandhom jiġu sodisfatti għal riċetta biex sustanza kkontrollata tkun valida?")</f>
        <v>Liema kundizzjonijiet għandhom jiġu sodisfatti għal riċetta biex sustanza kkontrollata tkun valida?</v>
      </c>
    </row>
    <row r="9958" ht="15.75" customHeight="1">
      <c r="A9958" s="2" t="s">
        <v>9958</v>
      </c>
      <c r="B9958" s="2" t="str">
        <f>IFERROR(__xludf.DUMMYFUNCTION("GOOGLETRANSLATE(A9958, ""en"", ""mt"")"),"il-fluwidu tax-xogħol")</f>
        <v>il-fluwidu tax-xogħol</v>
      </c>
    </row>
    <row r="9959" ht="15.75" customHeight="1">
      <c r="A9959" s="2" t="s">
        <v>9959</v>
      </c>
      <c r="B9959" s="2" t="str">
        <f>IFERROR(__xludf.DUMMYFUNCTION("GOOGLETRANSLATE(A9959, ""en"", ""mt"")"),"X'inhu mnaqqas bl-użu ta 'trasformazzjoni tal-plastid għall-modifika tal-ġeni?")</f>
        <v>X'inhu mnaqqas bl-użu ta 'trasformazzjoni tal-plastid għall-modifika tal-ġeni?</v>
      </c>
    </row>
    <row r="9960" ht="15.75" customHeight="1">
      <c r="A9960" s="2" t="s">
        <v>9960</v>
      </c>
      <c r="B9960" s="2" t="str">
        <f>IFERROR(__xludf.DUMMYFUNCTION("GOOGLETRANSLATE(A9960, ""en"", ""mt"")"),"ma riedx irġiel żleali fl-armata tiegħu")</f>
        <v>ma riedx irġiel żleali fl-armata tiegħu</v>
      </c>
    </row>
    <row r="9961" ht="15.75" customHeight="1">
      <c r="A9961" s="2" t="s">
        <v>9961</v>
      </c>
      <c r="B9961" s="2" t="str">
        <f>IFERROR(__xludf.DUMMYFUNCTION("GOOGLETRANSLATE(A9961, ""en"", ""mt"")"),"billi n-netwerk intermedju nodi bl-użu b'mod sinkroniku bl-ewwel-in, l-ewwel buffering, iżda jista 'jintbagħat skond xi dixxiplina ta' skedar għal kju ġust")</f>
        <v>billi n-netwerk intermedju nodi bl-użu b'mod sinkroniku bl-ewwel-in, l-ewwel buffering, iżda jista 'jintbagħat skond xi dixxiplina ta' skedar għal kju ġust</v>
      </c>
    </row>
    <row r="9962" ht="15.75" customHeight="1">
      <c r="A9962" s="2" t="s">
        <v>9962</v>
      </c>
      <c r="B9962" s="2" t="str">
        <f>IFERROR(__xludf.DUMMYFUNCTION("GOOGLETRANSLATE(A9962, ""en"", ""mt"")"),"Kontroll tal-isfond u evalwazzjoni psikjatrika")</f>
        <v>Kontroll tal-isfond u evalwazzjoni psikjatrika</v>
      </c>
    </row>
    <row r="9963" ht="15.75" customHeight="1">
      <c r="A9963" s="2" t="s">
        <v>9963</v>
      </c>
      <c r="B9963" s="2" t="str">
        <f>IFERROR(__xludf.DUMMYFUNCTION("GOOGLETRANSLATE(A9963, ""en"", ""mt"")"),"Meta rkuprat il-popolazzjoni tad-dinja fl-aħħar mill-mewt l-Iswed?")</f>
        <v>Meta rkuprat il-popolazzjoni tad-dinja fl-aħħar mill-mewt l-Iswed?</v>
      </c>
    </row>
    <row r="9964" ht="15.75" customHeight="1">
      <c r="A9964" s="2" t="s">
        <v>9964</v>
      </c>
      <c r="B9964" s="2" t="str">
        <f>IFERROR(__xludf.DUMMYFUNCTION("GOOGLETRANSLATE(A9964, ""en"", ""mt"")"),"X'inhi d-distanza minima bejn id-dar tal-pazjent u l-eqreb spiżerija li tippermetti lit-tabib fl-Awstrija jagħti l-mediċina?")</f>
        <v>X'inhi d-distanza minima bejn id-dar tal-pazjent u l-eqreb spiżerija li tippermetti lit-tabib fl-Awstrija jagħti l-mediċina?</v>
      </c>
    </row>
    <row r="9965" ht="15.75" customHeight="1">
      <c r="A9965" s="2" t="s">
        <v>9965</v>
      </c>
      <c r="B9965" s="2" t="str">
        <f>IFERROR(__xludf.DUMMYFUNCTION("GOOGLETRANSLATE(A9965, ""en"", ""mt"")"),"Paniku tal-1901")</f>
        <v>Paniku tal-1901</v>
      </c>
    </row>
    <row r="9966" ht="15.75" customHeight="1">
      <c r="A9966" s="2" t="s">
        <v>9966</v>
      </c>
      <c r="B9966" s="2" t="str">
        <f>IFERROR(__xludf.DUMMYFUNCTION("GOOGLETRANSLATE(A9966, ""en"", ""mt"")"),"Martin Luther iżżewweġ lil Katharina von Bora, waħda mit-12-il sorijiet li kien għen biex jaħrab mill-kunvent Ċistercian Nimbschen f'April 1523, meta rranġat biex dawn jiġu kuntrabandu fil-btieti tal-aringi. ""F'daqqa waħda, u waqt li kont okkupat bi ħsib"&amp;"ijiet ferm differenti,"" kiteb lil Wenceslaus Link, ""il-Mulej tefgħetni fiż-żwieġ."" Fiż-żwieġ tagħhom, Katharina kellha 26 sena u Luther kellha 41 sena.")</f>
        <v>Martin Luther iżżewweġ lil Katharina von Bora, waħda mit-12-il sorijiet li kien għen biex jaħrab mill-kunvent Ċistercian Nimbschen f'April 1523, meta rranġat biex dawn jiġu kuntrabandu fil-btieti tal-aringi. "F'daqqa waħda, u waqt li kont okkupat bi ħsibijiet ferm differenti," kiteb lil Wenceslaus Link, "il-Mulej tefgħetni fiż-żwieġ." Fiż-żwieġ tagħhom, Katharina kellha 26 sena u Luther kellha 41 sena.</v>
      </c>
    </row>
    <row r="9967" ht="15.75" customHeight="1">
      <c r="A9967" s="2" t="s">
        <v>9967</v>
      </c>
      <c r="B9967" s="2" t="str">
        <f>IFERROR(__xludf.DUMMYFUNCTION("GOOGLETRANSLATE(A9967, ""en"", ""mt"")"),"Mard bħal malarja, HIV / AIDS, pnewmonja, dijarea u malnutrizzjoni")</f>
        <v>Mard bħal malarja, HIV / AIDS, pnewmonja, dijarea u malnutrizzjoni</v>
      </c>
    </row>
    <row r="9968" ht="15.75" customHeight="1">
      <c r="A9968" s="2" t="s">
        <v>9968</v>
      </c>
      <c r="B9968" s="2" t="str">
        <f>IFERROR(__xludf.DUMMYFUNCTION("GOOGLETRANSLATE(A9968, ""en"", ""mt"")"),"X'kienet l-ispiża għal reklam ta 'nofs minuta?")</f>
        <v>X'kienet l-ispiża għal reklam ta 'nofs minuta?</v>
      </c>
    </row>
    <row r="9969" ht="15.75" customHeight="1">
      <c r="A9969" s="2" t="s">
        <v>9969</v>
      </c>
      <c r="B9969" s="2" t="str">
        <f>IFERROR(__xludf.DUMMYFUNCTION("GOOGLETRANSLATE(A9969, ""en"", ""mt"")"),"Graz, l-Awstrija")</f>
        <v>Graz, l-Awstrija</v>
      </c>
    </row>
    <row r="9970" ht="15.75" customHeight="1">
      <c r="A9970" s="2" t="s">
        <v>9970</v>
      </c>
      <c r="B9970" s="2" t="str">
        <f>IFERROR(__xludf.DUMMYFUNCTION("GOOGLETRANSLATE(A9970, ""en"", ""mt"")"),"Bini ta 'dħul ġdid")</f>
        <v>Bini ta 'dħul ġdid</v>
      </c>
    </row>
    <row r="9971" ht="15.75" customHeight="1">
      <c r="A9971" s="2" t="s">
        <v>9971</v>
      </c>
      <c r="B9971" s="2" t="str">
        <f>IFERROR(__xludf.DUMMYFUNCTION("GOOGLETRANSLATE(A9971, ""en"", ""mt"")"),"Repubblika tal-Poplu taċ-Ċina")</f>
        <v>Repubblika tal-Poplu taċ-Ċina</v>
      </c>
    </row>
    <row r="9972" ht="15.75" customHeight="1">
      <c r="A9972" s="2" t="s">
        <v>9972</v>
      </c>
      <c r="B9972" s="2" t="str">
        <f>IFERROR(__xludf.DUMMYFUNCTION("GOOGLETRANSLATE(A9972, ""en"", ""mt"")"),"Jibqgħu d-dar biex itaffu r-rata għolja ta 'qgħad fost irġiel Alġerini żgħażagħ")</f>
        <v>Jibqgħu d-dar biex itaffu r-rata għolja ta 'qgħad fost irġiel Alġerini żgħażagħ</v>
      </c>
    </row>
    <row r="9973" ht="15.75" customHeight="1">
      <c r="A9973" s="2" t="s">
        <v>9973</v>
      </c>
      <c r="B9973" s="2" t="str">
        <f>IFERROR(__xludf.DUMMYFUNCTION("GOOGLETRANSLATE(A9973, ""en"", ""mt"")"),"Merit Network, Inc., korporazzjoni indipendenti bla skop ta 'qligħ 501 (c) (3) regolata mill-universitajiet pubbliċi ta' Michigan, ġiet iffurmata fl-1966 bħala l-informazzjoni dwar ir-riċerka edukattiva ta 'Michigan biex tesplora netwerking tal-kompjuter "&amp;"bejn tlieta mill-universitajiet pubbliċi ta' Michigan bħala mezz għal tgħin l-iżvilupp edukattiv u ekonomiku tal-istat. Bl-appoġġ inizjali mill-Istat ta 'Michigan u l-Fondazzjoni Nazzjonali tax-Xjenza (NSF), in-netwerk li jinxtegħel il-pakketti l-ewwel in"&amp;"twera f'Diċembru 1971 meta sar konnessjoni interattiva għall-ospitanti bejn is-sistemi tal-kompjuter IBM Mainframe fl-Università ta' Michigan f'Ann f'Ann Arbor u Wayne State University f'Detroit. F’Ottubru 1972 il-konnessjonijiet mal-mainframe CDC fil-Mic"&amp;"higan State University fil-East Lansing temmew it-Triad. Matul id-diversi snin li ġejjin minbarra l-ospitanti biex jospitaw konnessjonijiet interattivi n-netwerk kien imsaħħaħ biex jappoġġja t-terminal għal konnessjonijiet ospitanti, ospitanti għal konnes"&amp;"sjonijiet tal-lott ospitanti (sottomissjoni ta 'impjiegi remoti, stampar mill-bogħod, trasferiment ta' fajls tal-lott), trasferiment ta 'fajl interattiv, gateways għat-Tymnet u Networks tad-Dejta Pubblika tat-Telenet, X.25 Attachments ospitanti, Gateways "&amp;"għal X.25 Networks tad-Dejta, Ethernet Hosts mehmuża, u eventwalment TCP / IP u universitajiet pubbliċi addizzjonali fil-Michigan jingħaqdu man-netwerk. Dan kollu stabbilixxa l-istadju għar-rwol ta 'Merit fil-proġett NSFNET li jibda f'nofs is-snin 1980.")</f>
        <v>Merit Network, Inc., korporazzjoni indipendenti bla skop ta 'qligħ 501 (c) (3) regolata mill-universitajiet pubbliċi ta' Michigan, ġiet iffurmata fl-1966 bħala l-informazzjoni dwar ir-riċerka edukattiva ta 'Michigan biex tesplora netwerking tal-kompjuter bejn tlieta mill-universitajiet pubbliċi ta' Michigan bħala mezz għal tgħin l-iżvilupp edukattiv u ekonomiku tal-istat. Bl-appoġġ inizjali mill-Istat ta 'Michigan u l-Fondazzjoni Nazzjonali tax-Xjenza (NSF), in-netwerk li jinxtegħel il-pakketti l-ewwel intwera f'Diċembru 1971 meta sar konnessjoni interattiva għall-ospitanti bejn is-sistemi tal-kompjuter IBM Mainframe fl-Università ta' Michigan f'Ann f'Ann Arbor u Wayne State University f'Detroit. F’Ottubru 1972 il-konnessjonijiet mal-mainframe CDC fil-Michigan State University fil-East Lansing temmew it-Triad. Matul id-diversi snin li ġejjin minbarra l-ospitanti biex jospitaw konnessjonijiet interattivi n-netwerk kien imsaħħaħ biex jappoġġja t-terminal għal konnessjonijiet ospitanti, ospitanti għal konnessjonijiet tal-lott ospitanti (sottomissjoni ta 'impjiegi remoti, stampar mill-bogħod, trasferiment ta' fajls tal-lott), trasferiment ta 'fajl interattiv, gateways għat-Tymnet u Networks tad-Dejta Pubblika tat-Telenet, X.25 Attachments ospitanti, Gateways għal X.25 Networks tad-Dejta, Ethernet Hosts mehmuża, u eventwalment TCP / IP u universitajiet pubbliċi addizzjonali fil-Michigan jingħaqdu man-netwerk. Dan kollu stabbilixxa l-istadju għar-rwol ta 'Merit fil-proġett NSFNET li jibda f'nofs is-snin 1980.</v>
      </c>
    </row>
    <row r="9974" ht="15.75" customHeight="1">
      <c r="A9974" s="2" t="s">
        <v>9974</v>
      </c>
      <c r="B9974" s="2" t="str">
        <f>IFERROR(__xludf.DUMMYFUNCTION("GOOGLETRANSLATE(A9974, ""en"", ""mt"")"),"Liema direzzjonijiet il-knisja lokali toffri preparazzjoni tas-sħubija lin-nies kollha?")</f>
        <v>Liema direzzjonijiet il-knisja lokali toffri preparazzjoni tas-sħubija lin-nies kollha?</v>
      </c>
    </row>
    <row r="9975" ht="15.75" customHeight="1">
      <c r="A9975" s="2" t="s">
        <v>9975</v>
      </c>
      <c r="B9975" s="2" t="str">
        <f>IFERROR(__xludf.DUMMYFUNCTION("GOOGLETRANSLATE(A9975, ""en"", ""mt"")"),"residenzjali u mhux residenzjali")</f>
        <v>residenzjali u mhux residenzjali</v>
      </c>
    </row>
    <row r="9976" ht="15.75" customHeight="1">
      <c r="A9976" s="2" t="s">
        <v>9976</v>
      </c>
      <c r="B9976" s="2" t="str">
        <f>IFERROR(__xludf.DUMMYFUNCTION("GOOGLETRANSLATE(A9976, ""en"", ""mt"")"),"Tekniċi anzjani tal-ispiżerija")</f>
        <v>Tekniċi anzjani tal-ispiżerija</v>
      </c>
    </row>
    <row r="9977" ht="15.75" customHeight="1">
      <c r="A9977" s="2" t="s">
        <v>9977</v>
      </c>
      <c r="B9977" s="2" t="str">
        <f>IFERROR(__xludf.DUMMYFUNCTION("GOOGLETRANSLATE(A9977, ""en"", ""mt"")"),"għall-biża 'ta' ħajjithom")</f>
        <v>għall-biża 'ta' ħajjithom</v>
      </c>
    </row>
    <row r="9978" ht="15.75" customHeight="1">
      <c r="A9978" s="2" t="s">
        <v>9978</v>
      </c>
      <c r="B9978" s="2" t="str">
        <f>IFERROR(__xludf.DUMMYFUNCTION("GOOGLETRANSLATE(A9978, ""en"", ""mt"")"),"Börte kellu tliet subien oħra, Chagatai (1187-1241), Ögedei (1189-1241), u Tolui (1190–1232). Genghis Khan kellu wkoll ħafna tfal oħra man-nisa l-oħra tiegħu, iżda ġew esklużi mis-suċċessjoni. Filwaqt li l-ismijiet ta ’wlied kienu dokumentati, it-tfal ma "&amp;"kinux. L-ismijiet ta 'mill-inqas sitt ibniet huma magħrufa, u filwaqt li kellhom rwoli sinifikanti wara l-kwinti matul ħajtu, l-ebda dokument ma baqgħu ħajjin li definittivament jipprovdu n-numru jew l-ismijiet ta' bniet imwielda mill-konsorts ta 'Genghis"&amp;" Khan.")</f>
        <v>Börte kellu tliet subien oħra, Chagatai (1187-1241), Ögedei (1189-1241), u Tolui (1190–1232). Genghis Khan kellu wkoll ħafna tfal oħra man-nisa l-oħra tiegħu, iżda ġew esklużi mis-suċċessjoni. Filwaqt li l-ismijiet ta ’wlied kienu dokumentati, it-tfal ma kinux. L-ismijiet ta 'mill-inqas sitt ibniet huma magħrufa, u filwaqt li kellhom rwoli sinifikanti wara l-kwinti matul ħajtu, l-ebda dokument ma baqgħu ħajjin li definittivament jipprovdu n-numru jew l-ismijiet ta' bniet imwielda mill-konsorts ta 'Genghis Khan.</v>
      </c>
    </row>
    <row r="9979" ht="15.75" customHeight="1">
      <c r="A9979" s="2" t="s">
        <v>9979</v>
      </c>
      <c r="B9979" s="2" t="str">
        <f>IFERROR(__xludf.DUMMYFUNCTION("GOOGLETRANSLATE(A9979, ""en"", ""mt"")"),"li fih il-phycobilin")</f>
        <v>li fih il-phycobilin</v>
      </c>
    </row>
    <row r="9980" ht="15.75" customHeight="1">
      <c r="A9980" s="2" t="s">
        <v>9980</v>
      </c>
      <c r="B9980" s="2" t="str">
        <f>IFERROR(__xludf.DUMMYFUNCTION("GOOGLETRANSLATE(A9980, ""en"", ""mt"")"),"Bilaterjani")</f>
        <v>Bilaterjani</v>
      </c>
    </row>
    <row r="9981" ht="15.75" customHeight="1">
      <c r="A9981" s="2" t="s">
        <v>9981</v>
      </c>
      <c r="B9981" s="2" t="str">
        <f>IFERROR(__xludf.DUMMYFUNCTION("GOOGLETRANSLATE(A9981, ""en"", ""mt"")"),"Xi tfisser kritikament għax-xejn?")</f>
        <v>Xi tfisser kritikament għax-xejn?</v>
      </c>
    </row>
    <row r="9982" ht="15.75" customHeight="1">
      <c r="A9982" s="2" t="s">
        <v>9982</v>
      </c>
      <c r="B9982" s="2" t="str">
        <f>IFERROR(__xludf.DUMMYFUNCTION("GOOGLETRANSLATE(A9982, ""en"", ""mt"")"),"ħafna utilità")</f>
        <v>ħafna utilità</v>
      </c>
    </row>
    <row r="9983" ht="15.75" customHeight="1">
      <c r="A9983" s="2" t="s">
        <v>9983</v>
      </c>
      <c r="B9983" s="2" t="str">
        <f>IFERROR(__xludf.DUMMYFUNCTION("GOOGLETRANSLATE(A9983, ""en"", ""mt"")"),"idolatrija")</f>
        <v>idolatrija</v>
      </c>
    </row>
    <row r="9984" ht="15.75" customHeight="1">
      <c r="A9984" s="2" t="s">
        <v>9984</v>
      </c>
      <c r="B9984" s="2" t="str">
        <f>IFERROR(__xludf.DUMMYFUNCTION("GOOGLETRANSLATE(A9984, ""en"", ""mt"")"),"X'inhu definit bħala l-vot tal-maġġoranza?")</f>
        <v>X'inhu definit bħala l-vot tal-maġġoranza?</v>
      </c>
    </row>
    <row r="9985" ht="15.75" customHeight="1">
      <c r="A9985" s="2" t="s">
        <v>9985</v>
      </c>
      <c r="B9985" s="2" t="str">
        <f>IFERROR(__xludf.DUMMYFUNCTION("GOOGLETRANSLATE(A9985, ""en"", ""mt"")"),"Xi jfisser is-Salafiżmu fl-agħar forma tiegħu li jħeġġeġ lis-segwaċi tiegħu biex jaraw ir-reliġjon ta 'ħaddieħor?")</f>
        <v>Xi jfisser is-Salafiżmu fl-agħar forma tiegħu li jħeġġeġ lis-segwaċi tiegħu biex jaraw ir-reliġjon ta 'ħaddieħor?</v>
      </c>
    </row>
    <row r="9986" ht="15.75" customHeight="1">
      <c r="A9986" s="2" t="s">
        <v>9986</v>
      </c>
      <c r="B9986" s="2" t="str">
        <f>IFERROR(__xludf.DUMMYFUNCTION("GOOGLETRANSLATE(A9986, ""en"", ""mt"")"),"diverġenza")</f>
        <v>diverġenza</v>
      </c>
    </row>
    <row r="9987" ht="15.75" customHeight="1">
      <c r="A9987" s="2" t="s">
        <v>9987</v>
      </c>
      <c r="B9987" s="2" t="str">
        <f>IFERROR(__xludf.DUMMYFUNCTION("GOOGLETRANSLATE(A9987, ""en"", ""mt"")"),"4 ġimgħat imħallsa")</f>
        <v>4 ġimgħat imħallsa</v>
      </c>
    </row>
    <row r="9988" ht="15.75" customHeight="1">
      <c r="A9988" s="2" t="s">
        <v>9988</v>
      </c>
      <c r="B9988" s="2" t="str">
        <f>IFERROR(__xludf.DUMMYFUNCTION("GOOGLETRANSLATE(A9988, ""en"", ""mt"")"),"It-tejps restawrati kienu kapaċi jkollhom kulur miżjud magħhom biex itejbu l-istampa jew baqgħu suwed u bojod?")</f>
        <v>It-tejps restawrati kienu kapaċi jkollhom kulur miżjud magħhom biex itejbu l-istampa jew baqgħu suwed u bojod?</v>
      </c>
    </row>
    <row r="9989" ht="15.75" customHeight="1">
      <c r="A9989" s="2" t="s">
        <v>9989</v>
      </c>
      <c r="B9989" s="2" t="str">
        <f>IFERROR(__xludf.DUMMYFUNCTION("GOOGLETRANSLATE(A9989, ""en"", ""mt"")"),"Huguenots individwali stabbilixxew fil-Kap tat-Tama Tajba mill-1671 bil-wasla ta 'François Villion (Viljoen). L-ewwel Huguenot li tasal fil-Kap ta 'Good Hope kienet madankollu Maria de la Queillerie, il-mara tal-Kmandant Jan Van Riebeeck (u bint ministru "&amp;"tal-knisja tal-walloon), li waslet fis-6 ta' April 1652 biex tistabbilixxi ftehim dwar dak li hu llum Cape Town - Il-koppja telqet għal-Lvant Imbiegħed għaxar snin wara. Fil-31 ta 'Diċembru 1687 l-ewwel grupp organizzat ta' Huguenots waqqaf mill-Olanda sa"&amp;"l-Post tal-Kumpanija tal-Indja tal-Lvant Olandiża fil-Kap ta 'Good Hope. L-akbar porzjon tal-Huguenots li joqgħod fil-Kap wasal bejn l-1688 u l-1689 f'seba 'vapuri bħala parti mill-migrazzjoni organizzata, iżda ftit waslu ftit sa l-1700; Wara dan, in-numr"&amp;"i naqsu u l-gruppi żgħar biss waslu kull darba.")</f>
        <v>Huguenots individwali stabbilixxew fil-Kap tat-Tama Tajba mill-1671 bil-wasla ta 'François Villion (Viljoen). L-ewwel Huguenot li tasal fil-Kap ta 'Good Hope kienet madankollu Maria de la Queillerie, il-mara tal-Kmandant Jan Van Riebeeck (u bint ministru tal-knisja tal-walloon), li waslet fis-6 ta' April 1652 biex tistabbilixxi ftehim dwar dak li hu llum Cape Town - Il-koppja telqet għal-Lvant Imbiegħed għaxar snin wara. Fil-31 ta 'Diċembru 1687 l-ewwel grupp organizzat ta' Huguenots waqqaf mill-Olanda sal-Post tal-Kumpanija tal-Indja tal-Lvant Olandiża fil-Kap ta 'Good Hope. L-akbar porzjon tal-Huguenots li joqgħod fil-Kap wasal bejn l-1688 u l-1689 f'seba 'vapuri bħala parti mill-migrazzjoni organizzata, iżda ftit waslu ftit sa l-1700; Wara dan, in-numri naqsu u l-gruppi żgħar biss waslu kull darba.</v>
      </c>
    </row>
    <row r="9990" ht="15.75" customHeight="1">
      <c r="A9990" s="2" t="s">
        <v>9990</v>
      </c>
      <c r="B9990" s="2" t="str">
        <f>IFERROR(__xludf.DUMMYFUNCTION("GOOGLETRANSLATE(A9990, ""en"", ""mt"")"),"Impatti tal-mikrometeoriti.")</f>
        <v>Impatti tal-mikrometeoriti.</v>
      </c>
    </row>
    <row r="9991" ht="15.75" customHeight="1">
      <c r="A9991" s="2" t="s">
        <v>9991</v>
      </c>
      <c r="B9991" s="2" t="str">
        <f>IFERROR(__xludf.DUMMYFUNCTION("GOOGLETRANSLATE(A9991, ""en"", ""mt"")"),"X'inhu eżempju wieħed ta 'eżempju li r-risposta kwantitattiva għall-problema tal-bejjiegħ li tivvjaġġa tonqos milli twieġeb?")</f>
        <v>X'inhu eżempju wieħed ta 'eżempju li r-risposta kwantitattiva għall-problema tal-bejjiegħ li tivvjaġġa tonqos milli twieġeb?</v>
      </c>
    </row>
    <row r="9992" ht="15.75" customHeight="1">
      <c r="A9992" s="2" t="s">
        <v>9992</v>
      </c>
      <c r="B9992" s="2" t="str">
        <f>IFERROR(__xludf.DUMMYFUNCTION("GOOGLETRANSLATE(A9992, ""en"", ""mt"")"),"Gwerra ta 'Seba' Snin")</f>
        <v>Gwerra ta 'Seba' Snin</v>
      </c>
    </row>
    <row r="9993" ht="15.75" customHeight="1">
      <c r="A9993" s="2" t="s">
        <v>9993</v>
      </c>
      <c r="B9993" s="2" t="str">
        <f>IFERROR(__xludf.DUMMYFUNCTION("GOOGLETRANSLATE(A9993, ""en"", ""mt"")"),"Ġieħ tajjeb għall-waqgħa ta 'Varsavja u l-Istorja tal-Polonja jista' jinstab fil-Mużew tar-Rebbiegħa ta 'Varsavja u fil-Mużew Katyń li jippreserva l-memorja tal-kriminalità. Il-Mużew tar-Reviżjoni ta 'Varsavja jopera wkoll teatru sterjoskopiku storiku ppr"&amp;"eservat u rari, il-Varsavja Fotoplastikon. Il-Mużew tal-Indipendenza jippreserva oġġetti patrijottiċi u politiċi konnessi mal-ġlidiet tal-Polonja għall-indipendenza. Li tmur lura għall-1936 Il-Mużew Storiku ta ’Varsavja fih 60 kmamar li jospitaw wirja per"&amp;"manenti tal-istorja ta’ Varsavja mill-oriġini tagħha sal-lum.")</f>
        <v>Ġieħ tajjeb għall-waqgħa ta 'Varsavja u l-Istorja tal-Polonja jista' jinstab fil-Mużew tar-Rebbiegħa ta 'Varsavja u fil-Mużew Katyń li jippreserva l-memorja tal-kriminalità. Il-Mużew tar-Reviżjoni ta 'Varsavja jopera wkoll teatru sterjoskopiku storiku ppreservat u rari, il-Varsavja Fotoplastikon. Il-Mużew tal-Indipendenza jippreserva oġġetti patrijottiċi u politiċi konnessi mal-ġlidiet tal-Polonja għall-indipendenza. Li tmur lura għall-1936 Il-Mużew Storiku ta ’Varsavja fih 60 kmamar li jospitaw wirja permanenti tal-istorja ta’ Varsavja mill-oriġini tagħha sal-lum.</v>
      </c>
    </row>
    <row r="9994" ht="15.75" customHeight="1">
      <c r="A9994" s="2" t="s">
        <v>9994</v>
      </c>
      <c r="B9994" s="2" t="str">
        <f>IFERROR(__xludf.DUMMYFUNCTION("GOOGLETRANSLATE(A9994, ""en"", ""mt"")"),"X'kien ix-xogħol ta 'Maxwell?")</f>
        <v>X'kien ix-xogħol ta 'Maxwell?</v>
      </c>
    </row>
    <row r="9995" ht="15.75" customHeight="1">
      <c r="A9995" s="2" t="s">
        <v>9995</v>
      </c>
      <c r="B9995" s="2" t="str">
        <f>IFERROR(__xludf.DUMMYFUNCTION("GOOGLETRANSLATE(A9995, ""en"", ""mt"")"),"X'inhu l-isem tar-reġjun li mhux definit mit-tmien jew 10 definizzjonijiet tal-kontea?")</f>
        <v>X'inhu l-isem tar-reġjun li mhux definit mit-tmien jew 10 definizzjonijiet tal-kontea?</v>
      </c>
    </row>
    <row r="9996" ht="15.75" customHeight="1">
      <c r="A9996" s="2" t="s">
        <v>9996</v>
      </c>
      <c r="B9996" s="2" t="str">
        <f>IFERROR(__xludf.DUMMYFUNCTION("GOOGLETRANSLATE(A9996, ""en"", ""mt"")"),"X'inhi raġuni ewlenija li d-diżubbidjenza ċivili mhix rikonoxxuta?")</f>
        <v>X'inhi raġuni ewlenija li d-diżubbidjenza ċivili mhix rikonoxxuta?</v>
      </c>
    </row>
    <row r="9997" ht="15.75" customHeight="1">
      <c r="A9997" s="2" t="s">
        <v>9997</v>
      </c>
      <c r="B9997" s="2" t="str">
        <f>IFERROR(__xludf.DUMMYFUNCTION("GOOGLETRANSLATE(A9997, ""en"", ""mt"")"),"X'inhu l-iktar tul komuni ta 'episodji ta' Doctor Who?")</f>
        <v>X'inhu l-iktar tul komuni ta 'episodji ta' Doctor Who?</v>
      </c>
    </row>
    <row r="9998" ht="15.75" customHeight="1">
      <c r="A9998" s="2" t="s">
        <v>9998</v>
      </c>
      <c r="B9998" s="2" t="str">
        <f>IFERROR(__xludf.DUMMYFUNCTION("GOOGLETRANSLATE(A9998, ""en"", ""mt"")"),"il-kontenut ta 'enerġija tiegħu")</f>
        <v>il-kontenut ta 'enerġija tiegħu</v>
      </c>
    </row>
    <row r="9999" ht="15.75" customHeight="1">
      <c r="A9999" s="2" t="s">
        <v>9999</v>
      </c>
      <c r="B9999" s="2" t="str">
        <f>IFERROR(__xludf.DUMMYFUNCTION("GOOGLETRANSLATE(A9999, ""en"", ""mt"")"),"tkabbir u investiment")</f>
        <v>tkabbir u investiment</v>
      </c>
    </row>
    <row r="10000" ht="15.75" customHeight="1">
      <c r="A10000" s="2" t="s">
        <v>10000</v>
      </c>
      <c r="B10000" s="2" t="str">
        <f>IFERROR(__xludf.DUMMYFUNCTION("GOOGLETRANSLATE(A10000, ""en"", ""mt"")"),"X'tip ta 'mudelli awto-konsistenti qed jippruvaw jagħmlu li joħolqu teorija ta' kollox?")</f>
        <v>X'tip ta 'mudelli awto-konsistenti qed jippruvaw jagħmlu li joħolqu teorija ta' kollox?</v>
      </c>
    </row>
    <row r="10001" ht="15.75" customHeight="1">
      <c r="A10001" s="2" t="s">
        <v>10001</v>
      </c>
      <c r="B10001" s="2" t="str">
        <f>IFERROR(__xludf.DUMMYFUNCTION("GOOGLETRANSLATE(A10001, ""en"", ""mt"")"),"Filwaqt li ħafna djar fil-viċinat imorru lura għas-snin tletin jew qabel, il-viċinat huwa wkoll dar għal diversi żviluppi ta 'akkomodazzjoni pubblika mibnija bejn is-snin 1960 u 1990 mill-Awtorità tad-Djar ta' Fresno. Id-Dipartiment tad-Djar u l-Iżvilupp "&amp;"Urban tal-Istati Uniti bena wkoll suddiviżjonijiet żgħar ta 'djar ta' familja waħda fiż-żona għax-xiri minn familji li jaħdmu bi dħul baxx. Kien hemm bosta tentattivi biex terġa 'titqajjem il-viċinat, inkluż il-kostruzzjoni ta' ċentru tax-xiri modern fil-"&amp;"kantuniera tat-toroq ta 'Fresno u B, attentat abort biex jibnu djar ta' lussu u korsa tal-golf fit-tarf tal-punent tal-viċinat, u xi sezzjoni ġdida 8 appartamenti nbnew tul il-knisja fil-punent ta 'Elm St. Cargill Meat Solutions u Foster Farms it-tnejn għ"&amp;"andhom faċilitajiet kbar ta' pproċessar fil-viċinat, u l-intiena minn dawn (u faċilitajiet industrijali żgħar oħra) ilha residenti fiż-żona. L-Ajruport Eżekuttiv ta 'Fresno Chandler jinsab ukoll fuq in-naħa tal-punent. Minħabba l-pożizzjoni tagħha fit-tar"&amp;"f tal-belt u s-snin ta 'negliġenza mill-iżviluppaturi, mhix viċinat veru ta' ""belt ta 'ġewwa"", u hemm ħafna lottijiet battala, għelieqi tal-frawli u dwieli fil-viċinat kollu. Il-viċinat għandu ftit attività bl-imnut, apparti miż-żona qrib Triq Fresno u "&amp;"l-Freeway tar-Rotta 99 tal-Istat (Ċentru tax-Xiri tal-Palm Kearney, mibni fl-aħħar tad-disgħinijiet) u swieq żgħar tal-kantuniera mxerrdin madwarhom.")</f>
        <v>Filwaqt li ħafna djar fil-viċinat imorru lura għas-snin tletin jew qabel, il-viċinat huwa wkoll dar għal diversi żviluppi ta 'akkomodazzjoni pubblika mibnija bejn is-snin 1960 u 1990 mill-Awtorità tad-Djar ta' Fresno. Id-Dipartiment tad-Djar u l-Iżvilupp Urban tal-Istati Uniti bena wkoll suddiviżjonijiet żgħar ta 'djar ta' familja waħda fiż-żona għax-xiri minn familji li jaħdmu bi dħul baxx. Kien hemm bosta tentattivi biex terġa 'titqajjem il-viċinat, inkluż il-kostruzzjoni ta' ċentru tax-xiri modern fil-kantuniera tat-toroq ta 'Fresno u B, attentat abort biex jibnu djar ta' lussu u korsa tal-golf fit-tarf tal-punent tal-viċinat, u xi sezzjoni ġdida 8 appartamenti nbnew tul il-knisja fil-punent ta 'Elm St. Cargill Meat Solutions u Foster Farms it-tnejn għandhom faċilitajiet kbar ta' pproċessar fil-viċinat, u l-intiena minn dawn (u faċilitajiet industrijali żgħar oħra) ilha residenti fiż-żona. L-Ajruport Eżekuttiv ta 'Fresno Chandler jinsab ukoll fuq in-naħa tal-punent. Minħabba l-pożizzjoni tagħha fit-tarf tal-belt u s-snin ta 'negliġenza mill-iżviluppaturi, mhix viċinat veru ta' "belt ta 'ġewwa", u hemm ħafna lottijiet battala, għelieqi tal-frawli u dwieli fil-viċinat kollu. Il-viċinat għandu ftit attività bl-imnut, apparti miż-żona qrib Triq Fresno u l-Freeway tar-Rotta 99 tal-Istat (Ċentru tax-Xiri tal-Palm Kearney, mibni fl-aħħar tad-disgħinijiet) u swieq żgħar tal-kantuniera mxerrdin madwarhom.</v>
      </c>
    </row>
    <row r="10002" ht="15.75" customHeight="1">
      <c r="A10002" s="2" t="s">
        <v>10002</v>
      </c>
      <c r="B10002" s="2" t="str">
        <f>IFERROR(__xludf.DUMMYFUNCTION("GOOGLETRANSLATE(A10002, ""en"", ""mt"")"),"Jekk 1 kien ikkunsidrat bħala prim")</f>
        <v>Jekk 1 kien ikkunsidrat bħala prim</v>
      </c>
    </row>
    <row r="10003" ht="15.75" customHeight="1">
      <c r="A10003" s="2" t="s">
        <v>10003</v>
      </c>
      <c r="B10003" s="2" t="str">
        <f>IFERROR(__xludf.DUMMYFUNCTION("GOOGLETRANSLATE(A10003, ""en"", ""mt"")"),"gwida u intervent")</f>
        <v>gwida u intervent</v>
      </c>
    </row>
    <row r="10004" ht="15.75" customHeight="1">
      <c r="A10004" s="2" t="s">
        <v>10004</v>
      </c>
      <c r="B10004" s="2" t="str">
        <f>IFERROR(__xludf.DUMMYFUNCTION("GOOGLETRANSLATE(A10004, ""en"", ""mt"")"),"Fejn il-kastig korporali m'għadux ipprattikat?")</f>
        <v>Fejn il-kastig korporali m'għadux ipprattikat?</v>
      </c>
    </row>
    <row r="10005" ht="15.75" customHeight="1">
      <c r="A10005" s="2" t="s">
        <v>10005</v>
      </c>
      <c r="B10005" s="2" t="str">
        <f>IFERROR(__xludf.DUMMYFUNCTION("GOOGLETRANSLATE(A10005, ""en"", ""mt"")"),"Is-Sarah Jane Adventures, ikkaratterizzata minn Elisabeth Sladen li reġgħet qajmet ir-rwol tagħha bħala ġurnalista investigattiva Sarah Jane Smith, ġiet żviluppata minn CBBC; Speċjali mxandra fil-Jum tas-Sena l-Ġdida 2007 u serje sħiħa bdiet fl-24 ta 'Set"&amp;"tembru 2007. It-tieni serje segwita fl-2008, notevoli għal (kif innotat hawn fuq) li tidher ir-ritorn tal-Brigadier Lethbridge-Stewart. Terz fl-2009 deher dehra ta 'crossover mill-ispettaklu ewlieni ta' David Tennant bħala l-għaxar tabib. Fl-2010, dehra o"&amp;"ħra bħal din dehret lil Matt Smith bħala l-Ħdax-il Tabib flimkien mal-ex-attriċi ta 'ħbieb Katy Manning li terġa' tirrapreżenta r-rwol tagħha bħala Jo Grant. Il-ħames serje finali, bi tliet istadji ġiet trasmessa fil-ħarifa 2011 - mhux kompluta minħabba l"&amp;"-mewt ta 'Elisabeth Sladen fil-bidu tal-2011.")</f>
        <v>Is-Sarah Jane Adventures, ikkaratterizzata minn Elisabeth Sladen li reġgħet qajmet ir-rwol tagħha bħala ġurnalista investigattiva Sarah Jane Smith, ġiet żviluppata minn CBBC; Speċjali mxandra fil-Jum tas-Sena l-Ġdida 2007 u serje sħiħa bdiet fl-24 ta 'Settembru 2007. It-tieni serje segwita fl-2008, notevoli għal (kif innotat hawn fuq) li tidher ir-ritorn tal-Brigadier Lethbridge-Stewart. Terz fl-2009 deher dehra ta 'crossover mill-ispettaklu ewlieni ta' David Tennant bħala l-għaxar tabib. Fl-2010, dehra oħra bħal din dehret lil Matt Smith bħala l-Ħdax-il Tabib flimkien mal-ex-attriċi ta 'ħbieb Katy Manning li terġa' tirrapreżenta r-rwol tagħha bħala Jo Grant. Il-ħames serje finali, bi tliet istadji ġiet trasmessa fil-ħarifa 2011 - mhux kompluta minħabba l-mewt ta 'Elisabeth Sladen fil-bidu tal-2011.</v>
      </c>
    </row>
    <row r="10006" ht="15.75" customHeight="1">
      <c r="A10006" s="2" t="s">
        <v>10006</v>
      </c>
      <c r="B10006" s="2" t="str">
        <f>IFERROR(__xludf.DUMMYFUNCTION("GOOGLETRANSLATE(A10006, ""en"", ""mt"")"),"djagonali tal-matriċi tat-tensjoni)")</f>
        <v>djagonali tal-matriċi tat-tensjoni)</v>
      </c>
    </row>
    <row r="10007" ht="15.75" customHeight="1">
      <c r="A10007" s="2" t="s">
        <v>10007</v>
      </c>
      <c r="B10007" s="2" t="str">
        <f>IFERROR(__xludf.DUMMYFUNCTION("GOOGLETRANSLATE(A10007, ""en"", ""mt"")"),"Żid O2 minflok is-CO2 ma 'rump")</f>
        <v>Żid O2 minflok is-CO2 ma 'rump</v>
      </c>
    </row>
    <row r="10008" ht="15.75" customHeight="1">
      <c r="A10008" s="2" t="s">
        <v>10008</v>
      </c>
      <c r="B10008" s="2" t="str">
        <f>IFERROR(__xludf.DUMMYFUNCTION("GOOGLETRANSLATE(A10008, ""en"", ""mt"")"),"X'kienet id-definizzjoni ta 'professjonisti, għal dan l-istudju?")</f>
        <v>X'kienet id-definizzjoni ta 'professjonisti, għal dan l-istudju?</v>
      </c>
    </row>
    <row r="10009" ht="15.75" customHeight="1">
      <c r="A10009" s="2" t="s">
        <v>10009</v>
      </c>
      <c r="B10009" s="2" t="str">
        <f>IFERROR(__xludf.DUMMYFUNCTION("GOOGLETRANSLATE(A10009, ""en"", ""mt"")"),"Fit-23 ta 'Ġunju 2005, ir-Rep. Joe Barton, president tal-Kumitat tal-Kamra dwar l-Enerġija u l-Kummerċ kiteb ittri konġunti ma' Ed Whitfield, president tas-Sottokumitat dwar is-Superviżjoni u l-Investigazzjonijiet li jitolbu rekords sħaħ dwar ir-riċerka d"&amp;"war il-klima, kif ukoll informazzjoni personali dwar il-finanzi tagħhom u karrieri, minn Mann, Bradley u Hughes. Sherwood Boehlert, president tal-Kumitat tax-Xjenza tal-Kamra, qalet li din kienet ""investigazzjoni żbaljata u illeġittima"" apparentement im"&amp;"mirata biex tintimida xjenzati, u fuq talba tiegħu l-Akkademja Nazzjonali tax-Xjenzi tal-Istati Uniti rranġat biex il-Kunsill Nazzjonali tar-Riċerka tiegħu jistabbilixxi investigazzjoni speċjali. Ir-rapport tal-Kunsill Nazzjonali tar-Riċerka qabel li kien"&amp;" hemm xi nuqqasijiet statistiċi, iżda dawn ftit kellhom effett fuq il-graff, li ġeneralment kien korrett. F'ittra ta 'l-2006 lil Nature, Mann, Bradley, u Hughes irrimarkaw li l-artikolu oriġinali tagħhom qalu li ""hemm bżonn ta' dejta ta 'riżoluzzjoni għo"&amp;"lja aktar mifruxa qabel ma jistgħu jintlaħqu konklużjonijiet aktar kunfidenti"" u li l-inċertezzi kienu ""l-punt ta' l-artiklu "".")</f>
        <v>Fit-23 ta 'Ġunju 2005, ir-Rep. Joe Barton, president tal-Kumitat tal-Kamra dwar l-Enerġija u l-Kummerċ kiteb ittri konġunti ma' Ed Whitfield, president tas-Sottokumitat dwar is-Superviżjoni u l-Investigazzjonijiet li jitolbu rekords sħaħ dwar ir-riċerka dwar il-klima, kif ukoll informazzjoni personali dwar il-finanzi tagħhom u karrieri, minn Mann, Bradley u Hughes. Sherwood Boehlert, president tal-Kumitat tax-Xjenza tal-Kamra, qalet li din kienet "investigazzjoni żbaljata u illeġittima" apparentement immirata biex tintimida xjenzati, u fuq talba tiegħu l-Akkademja Nazzjonali tax-Xjenzi tal-Istati Uniti rranġat biex il-Kunsill Nazzjonali tar-Riċerka tiegħu jistabbilixxi investigazzjoni speċjali. Ir-rapport tal-Kunsill Nazzjonali tar-Riċerka qabel li kien hemm xi nuqqasijiet statistiċi, iżda dawn ftit kellhom effett fuq il-graff, li ġeneralment kien korrett. F'ittra ta 'l-2006 lil Nature, Mann, Bradley, u Hughes irrimarkaw li l-artikolu oriġinali tagħhom qalu li "hemm bżonn ta' dejta ta 'riżoluzzjoni għolja aktar mifruxa qabel ma jistgħu jintlaħqu konklużjonijiet aktar kunfidenti" u li l-inċertezzi kienu "l-punt ta' l-artiklu ".</v>
      </c>
    </row>
    <row r="10010" ht="15.75" customHeight="1">
      <c r="A10010" s="2" t="s">
        <v>10010</v>
      </c>
      <c r="B10010" s="2" t="str">
        <f>IFERROR(__xludf.DUMMYFUNCTION("GOOGLETRANSLATE(A10010, ""en"", ""mt"")"),"Briefing B-265")</f>
        <v>Briefing B-265</v>
      </c>
    </row>
    <row r="10011" ht="15.75" customHeight="1">
      <c r="A10011" s="2" t="s">
        <v>10011</v>
      </c>
      <c r="B10011" s="2" t="str">
        <f>IFERROR(__xludf.DUMMYFUNCTION("GOOGLETRANSLATE(A10011, ""en"", ""mt"")"),"il-mistoqsija tal-punent lothian")</f>
        <v>il-mistoqsija tal-punent lothian</v>
      </c>
    </row>
    <row r="10012" ht="15.75" customHeight="1">
      <c r="A10012" s="2" t="s">
        <v>10012</v>
      </c>
      <c r="B10012" s="2" t="str">
        <f>IFERROR(__xludf.DUMMYFUNCTION("GOOGLETRANSLATE(A10012, ""en"", ""mt"")"),"aktar frisk")</f>
        <v>aktar frisk</v>
      </c>
    </row>
    <row r="10013" ht="15.75" customHeight="1">
      <c r="A10013" s="2" t="s">
        <v>10013</v>
      </c>
      <c r="B10013" s="2" t="str">
        <f>IFERROR(__xludf.DUMMYFUNCTION("GOOGLETRANSLATE(A10013, ""en"", ""mt"")"),"It-tobba Ċiniżi nġiebu flimkien ma 'kampanji militari mill-Mongoli")</f>
        <v>It-tobba Ċiniżi nġiebu flimkien ma 'kampanji militari mill-Mongoli</v>
      </c>
    </row>
    <row r="10014" ht="15.75" customHeight="1">
      <c r="A10014" s="2" t="s">
        <v>10014</v>
      </c>
      <c r="B10014" s="2" t="str">
        <f>IFERROR(__xludf.DUMMYFUNCTION("GOOGLETRANSLATE(A10014, ""en"", ""mt"")"),"Hendrix v impjegat")</f>
        <v>Hendrix v impjegat</v>
      </c>
    </row>
    <row r="10015" ht="15.75" customHeight="1">
      <c r="A10015" s="2" t="s">
        <v>10015</v>
      </c>
      <c r="B10015" s="2" t="str">
        <f>IFERROR(__xludf.DUMMYFUNCTION("GOOGLETRANSLATE(A10015, ""en"", ""mt"")"),"Minbarra l-proprjetà analitika tan-numri, fuq liema proprjetà oħra tan-numri tiffoka fuq it-teorija tan-numri?")</f>
        <v>Minbarra l-proprjetà analitika tan-numri, fuq liema proprjetà oħra tan-numri tiffoka fuq it-teorija tan-numri?</v>
      </c>
    </row>
    <row r="10016" ht="15.75" customHeight="1">
      <c r="A10016" s="2" t="s">
        <v>10016</v>
      </c>
      <c r="B10016" s="2" t="str">
        <f>IFERROR(__xludf.DUMMYFUNCTION("GOOGLETRANSLATE(A10016, ""en"", ""mt"")"),"F'Lulju 1973, bħala parti mill-programm ta 'sensibilizzazzjoni tagħha għaż-żgħażagħ, il-V &amp; A sar l-ewwel mużew fil-Gran Brittanja li jippreżenta kunċert rock. Il-V &amp; A ppreżentat kunċert / taħdita kkombinata mill-banda progressiva tal-blat progressiva Gr"&amp;"yphon, li esplorat in-nisel tal-mużika u l-istrumentazzjoni medjevali u rrelata kif dawk ikkontribwew għall-mużika kontemporanja 500 sena wara. Dan l-approċċ innovattiv biex iġġib iż-żgħażagħ fil-mużewijiet kien il-qofol tad-direttoranza ta 'Roy Strong u "&amp;"sussegwentement ġie emulat minn xi mużewijiet Ingliżi oħra.")</f>
        <v>F'Lulju 1973, bħala parti mill-programm ta 'sensibilizzazzjoni tagħha għaż-żgħażagħ, il-V &amp; A sar l-ewwel mużew fil-Gran Brittanja li jippreżenta kunċert rock. Il-V &amp; A ppreżentat kunċert / taħdita kkombinata mill-banda progressiva tal-blat progressiva Gryphon, li esplorat in-nisel tal-mużika u l-istrumentazzjoni medjevali u rrelata kif dawk ikkontribwew għall-mużika kontemporanja 500 sena wara. Dan l-approċċ innovattiv biex iġġib iż-żgħażagħ fil-mużewijiet kien il-qofol tad-direttoranza ta 'Roy Strong u sussegwentement ġie emulat minn xi mużewijiet Ingliżi oħra.</v>
      </c>
    </row>
    <row r="10017" ht="15.75" customHeight="1">
      <c r="A10017" s="2" t="s">
        <v>10017</v>
      </c>
      <c r="B10017" s="2" t="str">
        <f>IFERROR(__xludf.DUMMYFUNCTION("GOOGLETRANSLATE(A10017, ""en"", ""mt"")"),"Economic_inequality")</f>
        <v>Economic_inequality</v>
      </c>
    </row>
    <row r="10018" ht="15.75" customHeight="1">
      <c r="A10018" s="2" t="s">
        <v>10018</v>
      </c>
      <c r="B10018" s="2" t="str">
        <f>IFERROR(__xludf.DUMMYFUNCTION("GOOGLETRANSLATE(A10018, ""en"", ""mt"")"),"X’kontribwixxa għat-tniġġis tal-ilma fir-Renu?")</f>
        <v>X’kontribwixxa għat-tniġġis tal-ilma fir-Renu?</v>
      </c>
    </row>
    <row r="10019" ht="15.75" customHeight="1">
      <c r="A10019" s="2" t="s">
        <v>10019</v>
      </c>
      <c r="B10019" s="2" t="str">
        <f>IFERROR(__xludf.DUMMYFUNCTION("GOOGLETRANSLATE(A10019, ""en"", ""mt"")"),"Żoni kklerjati mill-foresta huma viżibbli għall-għajn")</f>
        <v>Żoni kklerjati mill-foresta huma viżibbli għall-għajn</v>
      </c>
    </row>
    <row r="10020" ht="15.75" customHeight="1">
      <c r="A10020" s="2" t="s">
        <v>10020</v>
      </c>
      <c r="B10020" s="2" t="str">
        <f>IFERROR(__xludf.DUMMYFUNCTION("GOOGLETRANSLATE(A10020, ""en"", ""mt"")"),"Kemm jaqgħu l-oġġetti veloċi fid-dinja?")</f>
        <v>Kemm jaqgħu l-oġġetti veloċi fid-dinja?</v>
      </c>
    </row>
    <row r="10021" ht="15.75" customHeight="1">
      <c r="A10021" s="2" t="s">
        <v>10021</v>
      </c>
      <c r="B10021" s="2" t="str">
        <f>IFERROR(__xludf.DUMMYFUNCTION("GOOGLETRANSLATE(A10021, ""en"", ""mt"")"),"simili ħafna")</f>
        <v>simili ħafna</v>
      </c>
    </row>
    <row r="10022" ht="15.75" customHeight="1">
      <c r="A10022" s="2" t="s">
        <v>10022</v>
      </c>
      <c r="B10022" s="2" t="str">
        <f>IFERROR(__xludf.DUMMYFUNCTION("GOOGLETRANSLATE(A10022, ""en"", ""mt"")"),"erbat ijiem")</f>
        <v>erbat ijiem</v>
      </c>
    </row>
    <row r="10023" ht="15.75" customHeight="1">
      <c r="A10023" s="2" t="s">
        <v>10023</v>
      </c>
      <c r="B10023" s="2" t="str">
        <f>IFERROR(__xludf.DUMMYFUNCTION("GOOGLETRANSLATE(A10023, ""en"", ""mt"")"),"Iljun, leopard, buflu, rinocerju, u iljunfant")</f>
        <v>Iljun, leopard, buflu, rinocerju, u iljunfant</v>
      </c>
    </row>
    <row r="10024" ht="15.75" customHeight="1">
      <c r="A10024" s="2" t="s">
        <v>10024</v>
      </c>
      <c r="B10024" s="2" t="str">
        <f>IFERROR(__xludf.DUMMYFUNCTION("GOOGLETRANSLATE(A10024, ""en"", ""mt"")"),"diffikultà")</f>
        <v>diffikultà</v>
      </c>
    </row>
    <row r="10025" ht="15.75" customHeight="1">
      <c r="A10025" s="2" t="s">
        <v>10025</v>
      </c>
      <c r="B10025" s="2" t="str">
        <f>IFERROR(__xludf.DUMMYFUNCTION("GOOGLETRANSLATE(A10025, ""en"", ""mt"")"),"X'tip ta 'pajsaġġi minbarra pajsaġġi ta' ekosistema ġeoloġika u naturali jistgħu jinstabu fin-Nofsinhar ta 'California?")</f>
        <v>X'tip ta 'pajsaġġi minbarra pajsaġġi ta' ekosistema ġeoloġika u naturali jistgħu jinstabu fin-Nofsinhar ta 'California?</v>
      </c>
    </row>
    <row r="10026" ht="15.75" customHeight="1">
      <c r="A10026" s="2" t="s">
        <v>10026</v>
      </c>
      <c r="B10026" s="2" t="str">
        <f>IFERROR(__xludf.DUMMYFUNCTION("GOOGLETRANSLATE(A10026, ""en"", ""mt"")"),"nuqqas ta ’fehim")</f>
        <v>nuqqas ta ’fehim</v>
      </c>
    </row>
    <row r="10027" ht="15.75" customHeight="1">
      <c r="A10027" s="2" t="s">
        <v>10027</v>
      </c>
      <c r="B10027" s="2" t="str">
        <f>IFERROR(__xludf.DUMMYFUNCTION("GOOGLETRANSLATE(A10027, ""en"", ""mt"")"),"Ma tifhimx l-umoriżmu Amerikan tagħna")</f>
        <v>Ma tifhimx l-umoriżmu Amerikan tagħna</v>
      </c>
    </row>
    <row r="10028" ht="15.75" customHeight="1">
      <c r="A10028" s="2" t="s">
        <v>10028</v>
      </c>
      <c r="B10028" s="2" t="str">
        <f>IFERROR(__xludf.DUMMYFUNCTION("GOOGLETRANSLATE(A10028, ""en"", ""mt"")"),"Maġġoranza ta 'żewġ terzi")</f>
        <v>Maġġoranza ta 'żewġ terzi</v>
      </c>
    </row>
    <row r="10029" ht="15.75" customHeight="1">
      <c r="A10029" s="2" t="s">
        <v>10029</v>
      </c>
      <c r="B10029" s="2" t="str">
        <f>IFERROR(__xludf.DUMMYFUNCTION("GOOGLETRANSLATE(A10029, ""en"", ""mt"")"),"vaċċinazzjoni")</f>
        <v>vaċċinazzjoni</v>
      </c>
    </row>
    <row r="10030" ht="15.75" customHeight="1">
      <c r="A10030" s="2" t="s">
        <v>10030</v>
      </c>
      <c r="B10030" s="2" t="str">
        <f>IFERROR(__xludf.DUMMYFUNCTION("GOOGLETRANSLATE(A10030, ""en"", ""mt"")"),"il-kunsill")</f>
        <v>il-kunsill</v>
      </c>
    </row>
    <row r="10031" ht="15.75" customHeight="1">
      <c r="A10031" s="2" t="s">
        <v>10031</v>
      </c>
      <c r="B10031" s="2" t="str">
        <f>IFERROR(__xludf.DUMMYFUNCTION("GOOGLETRANSLATE(A10031, ""en"", ""mt"")"),"Liema pjanijiet tal-Ingliżi waqqfu dan fuq Oneida stabbilit lura?")</f>
        <v>Liema pjanijiet tal-Ingliżi waqqfu dan fuq Oneida stabbilit lura?</v>
      </c>
    </row>
    <row r="10032" ht="15.75" customHeight="1">
      <c r="A10032" s="2" t="s">
        <v>10032</v>
      </c>
      <c r="B10032" s="2" t="str">
        <f>IFERROR(__xludf.DUMMYFUNCTION("GOOGLETRANSLATE(A10032, ""en"", ""mt"")"),"Il-Kenyans ġeneralment ikollhom tliet ikliet kuljum - kolazzjon filgħodu (Kiamsha Kinywa), ikla ta ’wara nofsinhar (Chakula cha mchana) u l-ikla ta’ filgħaxija (Chakula cha jioni jew magħrufa sempliċement bħala ""chajio""). Bejniethom, huma għandhom it-te"&amp;" tal-10 ta 'nofsinhar (Chai ya saa nne) u t-4 pm tat-te (Chai ya saa kumi). Il-kolazzjon ġeneralment ikun te jew porridge bil-ħobż, chapati, mahamri, patata ħelwa mgħollija jew jams. Ugali bil-ħxejjex, ħalib qares, laħam, ħut jew kwalunkwe stew ieħor huwa"&amp;" ġeneralment jittiekel minn ħafna mill-popolazzjoni għall-ikel jew għall-pranzu. Varjazzjonijiet u platti reġjonali jeżistu wkoll.")</f>
        <v>Il-Kenyans ġeneralment ikollhom tliet ikliet kuljum - kolazzjon filgħodu (Kiamsha Kinywa), ikla ta ’wara nofsinhar (Chakula cha mchana) u l-ikla ta’ filgħaxija (Chakula cha jioni jew magħrufa sempliċement bħala "chajio"). Bejniethom, huma għandhom it-te tal-10 ta 'nofsinhar (Chai ya saa nne) u t-4 pm tat-te (Chai ya saa kumi). Il-kolazzjon ġeneralment ikun te jew porridge bil-ħobż, chapati, mahamri, patata ħelwa mgħollija jew jams. Ugali bil-ħxejjex, ħalib qares, laħam, ħut jew kwalunkwe stew ieħor huwa ġeneralment jittiekel minn ħafna mill-popolazzjoni għall-ikel jew għall-pranzu. Varjazzjonijiet u platti reġjonali jeżistu wkoll.</v>
      </c>
    </row>
    <row r="10033" ht="15.75" customHeight="1">
      <c r="A10033" s="2" t="s">
        <v>10033</v>
      </c>
      <c r="B10033" s="2" t="str">
        <f>IFERROR(__xludf.DUMMYFUNCTION("GOOGLETRANSLATE(A10033, ""en"", ""mt"")")," X'inhu Internet2")</f>
        <v> X'inhu Internet2</v>
      </c>
    </row>
    <row r="10034" ht="15.75" customHeight="1">
      <c r="A10034" s="2" t="s">
        <v>10034</v>
      </c>
      <c r="B10034" s="2" t="str">
        <f>IFERROR(__xludf.DUMMYFUNCTION("GOOGLETRANSLATE(A10034, ""en"", ""mt"")"),"La żero u lanqas unità")</f>
        <v>La żero u lanqas unità</v>
      </c>
    </row>
    <row r="10035" ht="15.75" customHeight="1">
      <c r="A10035" s="2" t="s">
        <v>10035</v>
      </c>
      <c r="B10035" s="2" t="str">
        <f>IFERROR(__xludf.DUMMYFUNCTION("GOOGLETRANSLATE(A10035, ""en"", ""mt"")"),"X'inhi tradizzjoni waħda fi ħdan il-Knisja Nisranija?")</f>
        <v>X'inhi tradizzjoni waħda fi ħdan il-Knisja Nisranija?</v>
      </c>
    </row>
    <row r="10036" ht="15.75" customHeight="1">
      <c r="A10036" s="2" t="s">
        <v>10036</v>
      </c>
      <c r="B10036" s="2" t="str">
        <f>IFERROR(__xludf.DUMMYFUNCTION("GOOGLETRANSLATE(A10036, ""en"", ""mt"")"),"X'inhi l-iktar xita rreġistrata f'perjodu ta '24 siegħa fi Fresno?")</f>
        <v>X'inhi l-iktar xita rreġistrata f'perjodu ta '24 siegħa fi Fresno?</v>
      </c>
    </row>
    <row r="10037" ht="15.75" customHeight="1">
      <c r="A10037" s="2" t="s">
        <v>10037</v>
      </c>
      <c r="B10037" s="2" t="str">
        <f>IFERROR(__xludf.DUMMYFUNCTION("GOOGLETRANSLATE(A10037, ""en"", ""mt"")"),"Fil-bidu tas-seklu 20, avvanz importanti fix-xjenza ġeoloġika ġie ffaċilitat mill-abbiltà li jinkisbu dati assoluti preċiżi għal avvenimenti ġeoloġiċi bl-użu ta 'iżotopi radjuattivi u metodi oħra. Dan biddel il-fehim tal-ħin ġeoloġiku. Preċedentement, il-"&amp;"ġeoloġi jistgħu jużaw biss fossili u korrelazzjoni stratigrafika sal-lum sezzjonijiet tal-blat relattivi għal xulxin. Bid-dati iżotopiċi, sar possibbli li jiġu assenjati etajiet assoluti lil unitajiet tal-blat, u dawn id-dati assoluti jistgħu jiġu applika"&amp;"ti għal sekwenzi fossili li fihom kien hemm materjal li jista 'jkun, li jikkonverti l-etajiet relattivi qodma f'età assoluta ġodda.")</f>
        <v>Fil-bidu tas-seklu 20, avvanz importanti fix-xjenza ġeoloġika ġie ffaċilitat mill-abbiltà li jinkisbu dati assoluti preċiżi għal avvenimenti ġeoloġiċi bl-użu ta 'iżotopi radjuattivi u metodi oħra. Dan biddel il-fehim tal-ħin ġeoloġiku. Preċedentement, il-ġeoloġi jistgħu jużaw biss fossili u korrelazzjoni stratigrafika sal-lum sezzjonijiet tal-blat relattivi għal xulxin. Bid-dati iżotopiċi, sar possibbli li jiġu assenjati etajiet assoluti lil unitajiet tal-blat, u dawn id-dati assoluti jistgħu jiġu applikati għal sekwenzi fossili li fihom kien hemm materjal li jista 'jkun, li jikkonverti l-etajiet relattivi qodma f'età assoluta ġodda.</v>
      </c>
    </row>
    <row r="10038" ht="15.75" customHeight="1">
      <c r="A10038" s="2" t="s">
        <v>10038</v>
      </c>
      <c r="B10038" s="2" t="str">
        <f>IFERROR(__xludf.DUMMYFUNCTION("GOOGLETRANSLATE(A10038, ""en"", ""mt"")"),"Il-Konvenzjoni Ewropea dwar id-Drittijiet tal-Bniedem")</f>
        <v>Il-Konvenzjoni Ewropea dwar id-Drittijiet tal-Bniedem</v>
      </c>
    </row>
    <row r="10039" ht="15.75" customHeight="1">
      <c r="A10039" s="2" t="s">
        <v>10039</v>
      </c>
      <c r="B10039" s="2" t="str">
        <f>IFERROR(__xludf.DUMMYFUNCTION("GOOGLETRANSLATE(A10039, ""en"", ""mt"")"),"korrużjoni")</f>
        <v>korrużjoni</v>
      </c>
    </row>
    <row r="10040" ht="15.75" customHeight="1">
      <c r="A10040" s="2" t="s">
        <v>10040</v>
      </c>
      <c r="B10040" s="2" t="str">
        <f>IFERROR(__xludf.DUMMYFUNCTION("GOOGLETRANSLATE(A10040, ""en"", ""mt"")"),"Liberali")</f>
        <v>Liberali</v>
      </c>
    </row>
    <row r="10041" ht="15.75" customHeight="1">
      <c r="A10041" s="2" t="s">
        <v>10041</v>
      </c>
      <c r="B10041" s="2" t="str">
        <f>IFERROR(__xludf.DUMMYFUNCTION("GOOGLETRANSLATE(A10041, ""en"", ""mt"")"),"tipi ta 'tnaqqis")</f>
        <v>tipi ta 'tnaqqis</v>
      </c>
    </row>
    <row r="10042" ht="15.75" customHeight="1">
      <c r="A10042" s="2" t="s">
        <v>10042</v>
      </c>
      <c r="B10042" s="2" t="str">
        <f>IFERROR(__xludf.DUMMYFUNCTION("GOOGLETRANSLATE(A10042, ""en"", ""mt"")"),"""Huwa ż-żejt tal-Iskozja""")</f>
        <v>"Huwa ż-żejt tal-Iskozja"</v>
      </c>
    </row>
    <row r="10043" ht="15.75" customHeight="1">
      <c r="A10043" s="2" t="s">
        <v>10043</v>
      </c>
      <c r="B10043" s="2" t="str">
        <f>IFERROR(__xludf.DUMMYFUNCTION("GOOGLETRANSLATE(A10043, ""en"", ""mt"")"),"F'Novembru tal-1969, il-veteran tal-Gemini Charles ""Pete"" Conrad u r-rookie Alan L. Bean għamlu inżul ta 'preċiżjoni fuq Apollo 12 f'distanza bil-mixi tas-Surveyor 3 sonda lunari mingħajr ekwipaġġ, li kienet żbarkata f'April 1967 fuq l-oċean tal-maltemp"&amp;"ati. Il-pilota tal-modulu tal-kmand kien il-veteran ta ’Gemini Richard F. Gordon, Jr. Conrad u Bean ġarrbu l-ewwel kamera televiżiva tal-kulur tal-wiċċ Lunar, iżda kien bil-ħsara meta aċċidentalment indika fix-Xemx. Huma għamlu żewġ EVAs li jammontaw għal"&amp;" 7 sigħat u 45 minuta. Fuq waħda, huma telqu lejn is-Surveyor, fotografawh, u neħħew xi partijiet li rritornaw fid-Dinja.")</f>
        <v>F'Novembru tal-1969, il-veteran tal-Gemini Charles "Pete" Conrad u r-rookie Alan L. Bean għamlu inżul ta 'preċiżjoni fuq Apollo 12 f'distanza bil-mixi tas-Surveyor 3 sonda lunari mingħajr ekwipaġġ, li kienet żbarkata f'April 1967 fuq l-oċean tal-maltempati. Il-pilota tal-modulu tal-kmand kien il-veteran ta ’Gemini Richard F. Gordon, Jr. Conrad u Bean ġarrbu l-ewwel kamera televiżiva tal-kulur tal-wiċċ Lunar, iżda kien bil-ħsara meta aċċidentalment indika fix-Xemx. Huma għamlu żewġ EVAs li jammontaw għal 7 sigħat u 45 minuta. Fuq waħda, huma telqu lejn is-Surveyor, fotografawh, u neħħew xi partijiet li rritornaw fid-Dinja.</v>
      </c>
    </row>
    <row r="10044" ht="15.75" customHeight="1">
      <c r="A10044" s="2" t="s">
        <v>10044</v>
      </c>
      <c r="B10044" s="2" t="str">
        <f>IFERROR(__xludf.DUMMYFUNCTION("GOOGLETRANSLATE(A10044, ""en"", ""mt"")"),"jargumenta li kiser il-libertajiet demokratiċi")</f>
        <v>jargumenta li kiser il-libertajiet demokratiċi</v>
      </c>
    </row>
    <row r="10045" ht="15.75" customHeight="1">
      <c r="A10045" s="2" t="s">
        <v>10045</v>
      </c>
      <c r="B10045" s="2" t="str">
        <f>IFERROR(__xludf.DUMMYFUNCTION("GOOGLETRANSLATE(A10045, ""en"", ""mt"")"),"biex jikkawżaw ir-revoka tagħhom")</f>
        <v>biex jikkawżaw ir-revoka tagħhom</v>
      </c>
    </row>
    <row r="10046" ht="15.75" customHeight="1">
      <c r="A10046" s="2" t="s">
        <v>10046</v>
      </c>
      <c r="B10046" s="2" t="str">
        <f>IFERROR(__xludf.DUMMYFUNCTION("GOOGLETRANSLATE(A10046, ""en"", ""mt"")"),"X'ġara mill-baġit tan-NASA wara l-ewwel inżul tal-qamar ta 'suċċess?")</f>
        <v>X'ġara mill-baġit tan-NASA wara l-ewwel inżul tal-qamar ta 'suċċess?</v>
      </c>
    </row>
    <row r="10047" ht="15.75" customHeight="1">
      <c r="A10047" s="2" t="s">
        <v>10047</v>
      </c>
      <c r="B10047" s="2" t="str">
        <f>IFERROR(__xludf.DUMMYFUNCTION("GOOGLETRANSLATE(A10047, ""en"", ""mt"")"),"Fit-28 ta 'Frar 2008, Kibaki u Odinga ffirmaw ftehim dwar il-formazzjoni ta' gvern ta 'koalizzjoni li fih Odinga se jsir it-tieni Prim Ministru tal-Kenja. Taħt il-ftehim, il-president jaħtar ministri tal-kabinett kemm mill-kampijiet tal-PNU kif ukoll mill"&amp;"-ODM skont is-saħħa ta 'kull parti fil-Parlament. Il-ftehim stipulat li l-kabinett ikun jinkludi viċi-president u żewġ deputat prim ministri. Wara dibattiti, ġie mgħoddi mill-Parlament, il-koalizzjoni kienet iżżomm sa tmiem il-Parlament attwali jew jekk w"&amp;"aħda mill-partijiet tirtira mill-ftehim qabel dakinhar.")</f>
        <v>Fit-28 ta 'Frar 2008, Kibaki u Odinga ffirmaw ftehim dwar il-formazzjoni ta' gvern ta 'koalizzjoni li fih Odinga se jsir it-tieni Prim Ministru tal-Kenja. Taħt il-ftehim, il-president jaħtar ministri tal-kabinett kemm mill-kampijiet tal-PNU kif ukoll mill-ODM skont is-saħħa ta 'kull parti fil-Parlament. Il-ftehim stipulat li l-kabinett ikun jinkludi viċi-president u żewġ deputat prim ministri. Wara dibattiti, ġie mgħoddi mill-Parlament, il-koalizzjoni kienet iżżomm sa tmiem il-Parlament attwali jew jekk waħda mill-partijiet tirtira mill-ftehim qabel dakinhar.</v>
      </c>
    </row>
    <row r="10048" ht="15.75" customHeight="1">
      <c r="A10048" s="2" t="s">
        <v>10048</v>
      </c>
      <c r="B10048" s="2" t="str">
        <f>IFERROR(__xludf.DUMMYFUNCTION("GOOGLETRANSLATE(A10048, ""en"", ""mt"")"),"X'tip ta 'membrana għandhom il-kloroplasti primarji?")</f>
        <v>X'tip ta 'membrana għandhom il-kloroplasti primarji?</v>
      </c>
    </row>
    <row r="10049" ht="15.75" customHeight="1">
      <c r="A10049" s="2" t="s">
        <v>10049</v>
      </c>
      <c r="B10049" s="2" t="str">
        <f>IFERROR(__xludf.DUMMYFUNCTION("GOOGLETRANSLATE(A10049, ""en"", ""mt"")"),"X'inhuma l-membri li ġew mgħammdin bħala tarbija jew tifel imma li sussegwentement ma jistqarrux il-fidi tagħhom stess?")</f>
        <v>X'inhuma l-membri li ġew mgħammdin bħala tarbija jew tifel imma li sussegwentement ma jistqarrux il-fidi tagħhom stess?</v>
      </c>
    </row>
    <row r="10050" ht="15.75" customHeight="1">
      <c r="A10050" s="2" t="s">
        <v>10050</v>
      </c>
      <c r="B10050" s="2" t="str">
        <f>IFERROR(__xludf.DUMMYFUNCTION("GOOGLETRANSLATE(A10050, ""en"", ""mt"")"),"Fiċ-ċiklu ta 'Rankine, f'liema stat irċieva l-fluwidu tax-xogħol fil-kondensatur?")</f>
        <v>Fiċ-ċiklu ta 'Rankine, f'liema stat irċieva l-fluwidu tax-xogħol fil-kondensatur?</v>
      </c>
    </row>
    <row r="10051" ht="15.75" customHeight="1">
      <c r="A10051" s="2" t="s">
        <v>10051</v>
      </c>
      <c r="B10051" s="2" t="str">
        <f>IFERROR(__xludf.DUMMYFUNCTION("GOOGLETRANSLATE(A10051, ""en"", ""mt"")"),"Kważi miljun persuna")</f>
        <v>Kważi miljun persuna</v>
      </c>
    </row>
    <row r="10052" ht="15.75" customHeight="1">
      <c r="A10052" s="2" t="s">
        <v>10052</v>
      </c>
      <c r="B10052" s="2" t="str">
        <f>IFERROR(__xludf.DUMMYFUNCTION("GOOGLETRANSLATE(A10052, ""en"", ""mt"")"),"Studji dwar l-inugwaljanza u t-tkabbir tad-dħul xi kultant sabu evidenza li tikkonferma l-ipoteżi tal-kurva Kuznets, li tiddikjara li bl-iżvilupp ekonomiku, l-inugwaljanza l-ewwel tiżdied, imbagħad tonqos. L-ekonomista Thomas Piketty jikkontesta din il-ku"&amp;"nċett, fejn qal li mill-1914 sal-1945 gwerer u ""xokkijiet ekonomiċi u politiċi vjolenti"" naqqsu l-inugwaljanza. Barra minn hekk, Piketty targumenta li l-ipoteżi tal-kurva Kuznets ""maġika"", bl-enfasi tagħha fuq l-ibbilanċjar tat-tkabbir ekonomiku fit-t"&amp;"ul, ma tistax tirrapreżenta ż-żieda sinifikanti fl-inugwaljanza ekonomika fid-dinja żviluppata mid-dinja mill-1970.")</f>
        <v>Studji dwar l-inugwaljanza u t-tkabbir tad-dħul xi kultant sabu evidenza li tikkonferma l-ipoteżi tal-kurva Kuznets, li tiddikjara li bl-iżvilupp ekonomiku, l-inugwaljanza l-ewwel tiżdied, imbagħad tonqos. L-ekonomista Thomas Piketty jikkontesta din il-kunċett, fejn qal li mill-1914 sal-1945 gwerer u "xokkijiet ekonomiċi u politiċi vjolenti" naqqsu l-inugwaljanza. Barra minn hekk, Piketty targumenta li l-ipoteżi tal-kurva Kuznets "maġika", bl-enfasi tagħha fuq l-ibbilanċjar tat-tkabbir ekonomiku fit-tul, ma tistax tirrapreżenta ż-żieda sinifikanti fl-inugwaljanza ekonomika fid-dinja żviluppata mid-dinja mill-1970.</v>
      </c>
    </row>
    <row r="10053" ht="15.75" customHeight="1">
      <c r="A10053" s="2" t="s">
        <v>10053</v>
      </c>
      <c r="B10053" s="2" t="str">
        <f>IFERROR(__xludf.DUMMYFUNCTION("GOOGLETRANSLATE(A10053, ""en"", ""mt"")"),"ħaddiem, kapitalist / sid tan-negozju, sid il-kera")</f>
        <v>ħaddiem, kapitalist / sid tan-negozju, sid il-kera</v>
      </c>
    </row>
    <row r="10054" ht="15.75" customHeight="1">
      <c r="A10054" s="2" t="s">
        <v>10054</v>
      </c>
      <c r="B10054" s="2" t="str">
        <f>IFERROR(__xludf.DUMMYFUNCTION("GOOGLETRANSLATE(A10054, ""en"", ""mt"")"),"Aktar ħin jinteraġixxi u jaħdem direttament mal-istudenti")</f>
        <v>Aktar ħin jinteraġixxi u jaħdem direttament mal-istudenti</v>
      </c>
    </row>
    <row r="10055" ht="15.75" customHeight="1">
      <c r="A10055" s="2" t="s">
        <v>10055</v>
      </c>
      <c r="B10055" s="2" t="str">
        <f>IFERROR(__xludf.DUMMYFUNCTION("GOOGLETRANSLATE(A10055, ""en"", ""mt"")"),"Għaliex inħolqot din l-organizzazzjoni msejħa qasira?")</f>
        <v>Għaliex inħolqot din l-organizzazzjoni msejħa qasira?</v>
      </c>
    </row>
    <row r="10056" ht="15.75" customHeight="1">
      <c r="A10056" s="2" t="s">
        <v>10056</v>
      </c>
      <c r="B10056" s="2" t="str">
        <f>IFERROR(__xludf.DUMMYFUNCTION("GOOGLETRANSLATE(A10056, ""en"", ""mt"")"),"15 ta 'Jannar 1954")</f>
        <v>15 ta 'Jannar 1954</v>
      </c>
    </row>
    <row r="10057" ht="15.75" customHeight="1">
      <c r="A10057" s="2" t="s">
        <v>10057</v>
      </c>
      <c r="B10057" s="2" t="str">
        <f>IFERROR(__xludf.DUMMYFUNCTION("GOOGLETRANSLATE(A10057, ""en"", ""mt"")"),"Soċjologu")</f>
        <v>Soċjologu</v>
      </c>
    </row>
    <row r="10058" ht="15.75" customHeight="1">
      <c r="A10058" s="2" t="s">
        <v>10058</v>
      </c>
      <c r="B10058" s="2" t="str">
        <f>IFERROR(__xludf.DUMMYFUNCTION("GOOGLETRANSLATE(A10058, ""en"", ""mt"")"),"wieħed jista 'jinkludi b'mod arbitrarju ħafna każijiet ta' 1 fi kwalunkwe fatturizzazzjoni")</f>
        <v>wieħed jista 'jinkludi b'mod arbitrarju ħafna każijiet ta' 1 fi kwalunkwe fatturizzazzjoni</v>
      </c>
    </row>
    <row r="10059" ht="15.75" customHeight="1">
      <c r="A10059" s="2" t="s">
        <v>10059</v>
      </c>
      <c r="B10059" s="2" t="str">
        <f>IFERROR(__xludf.DUMMYFUNCTION("GOOGLETRANSLATE(A10059, ""en"", ""mt"")"),"Min kienu l-kummentaturi tal-ESPN Deportes għas-Super Bowl 50?")</f>
        <v>Min kienu l-kummentaturi tal-ESPN Deportes għas-Super Bowl 50?</v>
      </c>
    </row>
    <row r="10060" ht="15.75" customHeight="1">
      <c r="A10060" s="2" t="s">
        <v>10060</v>
      </c>
      <c r="B10060" s="2" t="str">
        <f>IFERROR(__xludf.DUMMYFUNCTION("GOOGLETRANSLATE(A10060, ""en"", ""mt"")"),"Tesla ħadmet kuljum mid-9.00 a.m. sas-6.00 p.m. Jew wara, bil-pranzu mit-8.10 p.m., fir-restorant ta 'Delmonico u aktar tard il-lukanda Waldorf-Astoria. Tesla kienet se ċċempel l-ordni tal-pranzu tiegħu lill-headwaiter, li wkoll jista 'jkun l-uniku wieħed"&amp;" li jservih. ""L-ikla kienet meħtieġa tkun lesta fit-tmienja ... huwa ikla waħdu, ħlief fl-okkażjonijiet rari meta kien jagħti pranzu lil grupp biex jilħaq l-obbligi soċjali tiegħu. Tesla mbagħad terġa 'tibda x-xogħol tiegħu, ħafna drabi sa 3 : 00 a.m. """&amp;": 283, 286")</f>
        <v>Tesla ħadmet kuljum mid-9.00 a.m. sas-6.00 p.m. Jew wara, bil-pranzu mit-8.10 p.m., fir-restorant ta 'Delmonico u aktar tard il-lukanda Waldorf-Astoria. Tesla kienet se ċċempel l-ordni tal-pranzu tiegħu lill-headwaiter, li wkoll jista 'jkun l-uniku wieħed li jservih. "L-ikla kienet meħtieġa tkun lesta fit-tmienja ... huwa ikla waħdu, ħlief fl-okkażjonijiet rari meta kien jagħti pranzu lil grupp biex jilħaq l-obbligi soċjali tiegħu. Tesla mbagħad terġa 'tibda x-xogħol tiegħu, ħafna drabi sa 3 : 00 a.m. ": 283, 286</v>
      </c>
    </row>
    <row r="10061" ht="15.75" customHeight="1">
      <c r="A10061" s="2" t="s">
        <v>10061</v>
      </c>
      <c r="B10061" s="2" t="str">
        <f>IFERROR(__xludf.DUMMYFUNCTION("GOOGLETRANSLATE(A10061, ""en"", ""mt"")"),"l-ewwel netwerk li jagħmel lill-ospiti responsabbli għal konsenja affidabbli ta 'dejta")</f>
        <v>l-ewwel netwerk li jagħmel lill-ospiti responsabbli għal konsenja affidabbli ta 'dejta</v>
      </c>
    </row>
    <row r="10062" ht="15.75" customHeight="1">
      <c r="A10062" s="2" t="s">
        <v>10062</v>
      </c>
      <c r="B10062" s="2" t="str">
        <f>IFERROR(__xludf.DUMMYFUNCTION("GOOGLETRANSLATE(A10062, ""en"", ""mt"")"),"Paddle tal-injam magħmul apposta")</f>
        <v>Paddle tal-injam magħmul apposta</v>
      </c>
    </row>
    <row r="10063" ht="15.75" customHeight="1">
      <c r="A10063" s="2" t="s">
        <v>10063</v>
      </c>
      <c r="B10063" s="2" t="str">
        <f>IFERROR(__xludf.DUMMYFUNCTION("GOOGLETRANSLATE(A10063, ""en"", ""mt"")"),"Elettronegatività")</f>
        <v>Elettronegatività</v>
      </c>
    </row>
    <row r="10064" ht="15.75" customHeight="1">
      <c r="A10064" s="2" t="s">
        <v>10064</v>
      </c>
      <c r="B10064" s="2" t="str">
        <f>IFERROR(__xludf.DUMMYFUNCTION("GOOGLETRANSLATE(A10064, ""en"", ""mt"")"),"ir-rivoluzzjoni tal-kant")</f>
        <v>ir-rivoluzzjoni tal-kant</v>
      </c>
    </row>
    <row r="10065" ht="15.75" customHeight="1">
      <c r="A10065" s="2" t="s">
        <v>10065</v>
      </c>
      <c r="B10065" s="2" t="str">
        <f>IFERROR(__xludf.DUMMYFUNCTION("GOOGLETRANSLATE(A10065, ""en"", ""mt"")"),"il-professjoni tal-fidi")</f>
        <v>il-professjoni tal-fidi</v>
      </c>
    </row>
    <row r="10066" ht="15.75" customHeight="1">
      <c r="A10066" s="2" t="s">
        <v>10066</v>
      </c>
      <c r="B10066" s="2" t="str">
        <f>IFERROR(__xludf.DUMMYFUNCTION("GOOGLETRANSLATE(A10066, ""en"", ""mt"")"),"Thomas Edison u George Westinghouse")</f>
        <v>Thomas Edison u George Westinghouse</v>
      </c>
    </row>
    <row r="10067" ht="15.75" customHeight="1">
      <c r="A10067" s="2" t="s">
        <v>10067</v>
      </c>
      <c r="B10067" s="2" t="str">
        <f>IFERROR(__xludf.DUMMYFUNCTION("GOOGLETRANSLATE(A10067, ""en"", ""mt"")"),"X'hemm bejn l-Iżlazzina Fundamentalista u l-Iżlamiżmu Riformist?")</f>
        <v>X'hemm bejn l-Iżlazzina Fundamentalista u l-Iżlamiżmu Riformist?</v>
      </c>
    </row>
    <row r="10068" ht="15.75" customHeight="1">
      <c r="A10068" s="2" t="s">
        <v>10068</v>
      </c>
      <c r="B10068" s="2" t="str">
        <f>IFERROR(__xludf.DUMMYFUNCTION("GOOGLETRANSLATE(A10068, ""en"", ""mt"")"),"bini, infrastruttura u industrijali")</f>
        <v>bini, infrastruttura u industrijali</v>
      </c>
    </row>
    <row r="10069" ht="15.75" customHeight="1">
      <c r="A10069" s="2" t="s">
        <v>10069</v>
      </c>
      <c r="B10069" s="2" t="str">
        <f>IFERROR(__xludf.DUMMYFUNCTION("GOOGLETRANSLATE(A10069, ""en"", ""mt"")"),"Utent jew ospitanti jistgħu jċemplu ospitanti fuq netwerk barrani billi jinkludu d-DNIC tan-netwerk remot bħala parti mill-indirizz tad-destinazzjoni")</f>
        <v>Utent jew ospitanti jistgħu jċemplu ospitanti fuq netwerk barrani billi jinkludu d-DNIC tan-netwerk remot bħala parti mill-indirizz tad-destinazzjoni</v>
      </c>
    </row>
    <row r="10070" ht="15.75" customHeight="1">
      <c r="A10070" s="2" t="s">
        <v>10070</v>
      </c>
      <c r="B10070" s="2" t="str">
        <f>IFERROR(__xludf.DUMMYFUNCTION("GOOGLETRANSLATE(A10070, ""en"", ""mt"")"),"jorqod")</f>
        <v>jorqod</v>
      </c>
    </row>
    <row r="10071" ht="15.75" customHeight="1">
      <c r="A10071" s="2" t="s">
        <v>10071</v>
      </c>
      <c r="B10071" s="2" t="str">
        <f>IFERROR(__xludf.DUMMYFUNCTION("GOOGLETRANSLATE(A10071, ""en"", ""mt"")"),"puplesija apoplettika")</f>
        <v>puplesija apoplettika</v>
      </c>
    </row>
    <row r="10072" ht="15.75" customHeight="1">
      <c r="A10072" s="2" t="s">
        <v>10072</v>
      </c>
      <c r="B10072" s="2" t="str">
        <f>IFERROR(__xludf.DUMMYFUNCTION("GOOGLETRANSLATE(A10072, ""en"", ""mt"")"),"Il-ħodor")</f>
        <v>Il-ħodor</v>
      </c>
    </row>
    <row r="10073" ht="15.75" customHeight="1">
      <c r="A10073" s="2" t="s">
        <v>10073</v>
      </c>
      <c r="B10073" s="2" t="str">
        <f>IFERROR(__xludf.DUMMYFUNCTION("GOOGLETRANSLATE(A10073, ""en"", ""mt"")"),"Jekk it-tkissir tal-liġi ma jsirx f'manor pubbliku mhuwiex ikkunsidrat liema terminu?")</f>
        <v>Jekk it-tkissir tal-liġi ma jsirx f'manor pubbliku mhuwiex ikkunsidrat liema terminu?</v>
      </c>
    </row>
    <row r="10074" ht="15.75" customHeight="1">
      <c r="A10074" s="2" t="s">
        <v>10074</v>
      </c>
      <c r="B10074" s="2" t="str">
        <f>IFERROR(__xludf.DUMMYFUNCTION("GOOGLETRANSLATE(A10074, ""en"", ""mt"")"),"organizzazzjonijiet internazzjonali u gvernijiet barranin")</f>
        <v>organizzazzjonijiet internazzjonali u gvernijiet barranin</v>
      </c>
    </row>
    <row r="10075" ht="15.75" customHeight="1">
      <c r="A10075" s="2" t="s">
        <v>10075</v>
      </c>
      <c r="B10075" s="2" t="str">
        <f>IFERROR(__xludf.DUMMYFUNCTION("GOOGLETRANSLATE(A10075, ""en"", ""mt"")"),"Terapija bl-ossiġnu")</f>
        <v>Terapija bl-ossiġnu</v>
      </c>
    </row>
    <row r="10076" ht="15.75" customHeight="1">
      <c r="A10076" s="2" t="s">
        <v>10076</v>
      </c>
      <c r="B10076" s="2" t="str">
        <f>IFERROR(__xludf.DUMMYFUNCTION("GOOGLETRANSLATE(A10076, ""en"", ""mt"")"),"X'inhu fattur wieħed fit-tnaqqis tal-istima personali?")</f>
        <v>X'inhu fattur wieħed fit-tnaqqis tal-istima personali?</v>
      </c>
    </row>
    <row r="10077" ht="15.75" customHeight="1">
      <c r="A10077" s="2" t="s">
        <v>10077</v>
      </c>
      <c r="B10077" s="2" t="str">
        <f>IFERROR(__xludf.DUMMYFUNCTION("GOOGLETRANSLATE(A10077, ""en"", ""mt"")"),"Fejn kien Luther l-aktar li kkonċentra l-isforzi tiegħu fuq ir-riforma?")</f>
        <v>Fejn kien Luther l-aktar li kkonċentra l-isforzi tiegħu fuq ir-riforma?</v>
      </c>
    </row>
    <row r="10078" ht="15.75" customHeight="1">
      <c r="A10078" s="2" t="s">
        <v>10078</v>
      </c>
      <c r="B10078" s="2" t="str">
        <f>IFERROR(__xludf.DUMMYFUNCTION("GOOGLETRANSLATE(A10078, ""en"", ""mt"")"),"X'inhu inqas f'pajjiżi b'aktar inugwaljanza għall-aqwa 21 pajjiż industrijalizzat?")</f>
        <v>X'inhu inqas f'pajjiżi b'aktar inugwaljanza għall-aqwa 21 pajjiż industrijalizzat?</v>
      </c>
    </row>
    <row r="10079" ht="15.75" customHeight="1">
      <c r="A10079" s="2" t="s">
        <v>10079</v>
      </c>
      <c r="B10079" s="2" t="str">
        <f>IFERROR(__xludf.DUMMYFUNCTION("GOOGLETRANSLATE(A10079, ""en"", ""mt"")"),"Żieda sostanzjalment il-konċentrazzjonijiet atmosferiċi tal-gassijiet serra")</f>
        <v>Żieda sostanzjalment il-konċentrazzjonijiet atmosferiċi tal-gassijiet serra</v>
      </c>
    </row>
    <row r="10080" ht="15.75" customHeight="1">
      <c r="A10080" s="2" t="s">
        <v>10080</v>
      </c>
      <c r="B10080" s="2" t="str">
        <f>IFERROR(__xludf.DUMMYFUNCTION("GOOGLETRANSLATE(A10080, ""en"", ""mt"")"),"Tmien serje oriġinali tas-serje")</f>
        <v>Tmien serje oriġinali tas-serje</v>
      </c>
    </row>
    <row r="10081" ht="15.75" customHeight="1">
      <c r="A10081" s="2" t="s">
        <v>10081</v>
      </c>
      <c r="B10081" s="2" t="str">
        <f>IFERROR(__xludf.DUMMYFUNCTION("GOOGLETRANSLATE(A10081, ""en"", ""mt"")"),"Lysozyme u Phospholipase A2")</f>
        <v>Lysozyme u Phospholipase A2</v>
      </c>
    </row>
    <row r="10082" ht="15.75" customHeight="1">
      <c r="A10082" s="2" t="s">
        <v>10082</v>
      </c>
      <c r="B10082" s="2" t="str">
        <f>IFERROR(__xludf.DUMMYFUNCTION("GOOGLETRANSLATE(A10082, ""en"", ""mt"")"),"Tniġġis tal-ilma")</f>
        <v>Tniġġis tal-ilma</v>
      </c>
    </row>
    <row r="10083" ht="15.75" customHeight="1">
      <c r="A10083" s="2" t="s">
        <v>10083</v>
      </c>
      <c r="B10083" s="2" t="str">
        <f>IFERROR(__xludf.DUMMYFUNCTION("GOOGLETRANSLATE(A10083, ""en"", ""mt"")"),"Min kien Frédéric Chopin?")</f>
        <v>Min kien Frédéric Chopin?</v>
      </c>
    </row>
    <row r="10084" ht="15.75" customHeight="1">
      <c r="A10084" s="2" t="s">
        <v>10084</v>
      </c>
      <c r="B10084" s="2" t="str">
        <f>IFERROR(__xludf.DUMMYFUNCTION("GOOGLETRANSLATE(A10084, ""en"", ""mt"")"),"$ 15.5")</f>
        <v>$ 15.5</v>
      </c>
    </row>
    <row r="10085" ht="15.75" customHeight="1">
      <c r="A10085" s="2" t="s">
        <v>10085</v>
      </c>
      <c r="B10085" s="2" t="str">
        <f>IFERROR(__xludf.DUMMYFUNCTION("GOOGLETRANSLATE(A10085, ""en"", ""mt"")"),"300–600 nanometru fid-dijametru")</f>
        <v>300–600 nanometru fid-dijametru</v>
      </c>
    </row>
    <row r="10086" ht="15.75" customHeight="1">
      <c r="A10086" s="2" t="s">
        <v>10086</v>
      </c>
      <c r="B10086" s="2" t="str">
        <f>IFERROR(__xludf.DUMMYFUNCTION("GOOGLETRANSLATE(A10086, ""en"", ""mt"")"),"n &lt;p &lt;2n - 2")</f>
        <v>n &lt;p &lt;2n - 2</v>
      </c>
    </row>
    <row r="10087" ht="15.75" customHeight="1">
      <c r="A10087" s="2" t="s">
        <v>10087</v>
      </c>
      <c r="B10087" s="2" t="str">
        <f>IFERROR(__xludf.DUMMYFUNCTION("GOOGLETRANSLATE(A10087, ""en"", ""mt"")"),"Kontea tat-Tramuntana")</f>
        <v>Kontea tat-Tramuntana</v>
      </c>
    </row>
    <row r="10088" ht="15.75" customHeight="1">
      <c r="A10088" s="2" t="s">
        <v>10088</v>
      </c>
      <c r="B10088" s="2" t="str">
        <f>IFERROR(__xludf.DUMMYFUNCTION("GOOGLETRANSLATE(A10088, ""en"", ""mt"")"),"Telf devastanti")</f>
        <v>Telf devastanti</v>
      </c>
    </row>
    <row r="10089" ht="15.75" customHeight="1">
      <c r="A10089" s="2" t="s">
        <v>10089</v>
      </c>
      <c r="B10089" s="2" t="str">
        <f>IFERROR(__xludf.DUMMYFUNCTION("GOOGLETRANSLATE(A10089, ""en"", ""mt"")"),"tmiem Ottubru 2006")</f>
        <v>tmiem Ottubru 2006</v>
      </c>
    </row>
    <row r="10090" ht="15.75" customHeight="1">
      <c r="A10090" s="2" t="s">
        <v>10090</v>
      </c>
      <c r="B10090" s="2" t="str">
        <f>IFERROR(__xludf.DUMMYFUNCTION("GOOGLETRANSLATE(A10090, ""en"", ""mt"")"),"Telekomunikazzjonijiet MCI")</f>
        <v>Telekomunikazzjonijiet MCI</v>
      </c>
    </row>
    <row r="10091" ht="15.75" customHeight="1">
      <c r="A10091" s="2" t="s">
        <v>10091</v>
      </c>
      <c r="B10091" s="2" t="str">
        <f>IFERROR(__xludf.DUMMYFUNCTION("GOOGLETRANSLATE(A10091, ""en"", ""mt"")"),"Wara l-1935, min ikun projbit li jidħol f'Rhineland?")</f>
        <v>Wara l-1935, min ikun projbit li jidħol f'Rhineland?</v>
      </c>
    </row>
    <row r="10092" ht="15.75" customHeight="1">
      <c r="A10092" s="2" t="s">
        <v>10092</v>
      </c>
      <c r="B10092" s="2" t="str">
        <f>IFERROR(__xludf.DUMMYFUNCTION("GOOGLETRANSLATE(A10092, ""en"", ""mt"")"),"Kemm hemm varjanti l-logo ABC il-ġdid li jidher bħalissa?")</f>
        <v>Kemm hemm varjanti l-logo ABC il-ġdid li jidher bħalissa?</v>
      </c>
    </row>
    <row r="10093" ht="15.75" customHeight="1">
      <c r="A10093" s="2" t="s">
        <v>10093</v>
      </c>
      <c r="B10093" s="2" t="str">
        <f>IFERROR(__xludf.DUMMYFUNCTION("GOOGLETRANSLATE(A10093, ""en"", ""mt"")"),"X'għamlu l-klijenti Bankamericard li ma setgħux jagħmlu bi strumenti finanzjarji preċedenti?")</f>
        <v>X'għamlu l-klijenti Bankamericard li ma setgħux jagħmlu bi strumenti finanzjarji preċedenti?</v>
      </c>
    </row>
    <row r="10094" ht="15.75" customHeight="1">
      <c r="A10094" s="2" t="s">
        <v>10094</v>
      </c>
      <c r="B10094" s="2" t="str">
        <f>IFERROR(__xludf.DUMMYFUNCTION("GOOGLETRANSLATE(A10094, ""en"", ""mt"")"),"Matul is-snin sebgħin")</f>
        <v>Matul is-snin sebgħin</v>
      </c>
    </row>
    <row r="10095" ht="15.75" customHeight="1">
      <c r="A10095" s="2" t="s">
        <v>10095</v>
      </c>
      <c r="B10095" s="2" t="str">
        <f>IFERROR(__xludf.DUMMYFUNCTION("GOOGLETRANSLATE(A10095, ""en"", ""mt"")"),"Regolamenti ġodda tax-xandir mill-FCC fl-1968 ippermettew lill-kumpaniji biex ikollhom massimu ta 'kemm stazzjonijiet tar-radju?")</f>
        <v>Regolamenti ġodda tax-xandir mill-FCC fl-1968 ippermettew lill-kumpaniji biex ikollhom massimu ta 'kemm stazzjonijiet tar-radju?</v>
      </c>
    </row>
    <row r="10096" ht="15.75" customHeight="1">
      <c r="A10096" s="2" t="s">
        <v>10096</v>
      </c>
      <c r="B10096" s="2" t="str">
        <f>IFERROR(__xludf.DUMMYFUNCTION("GOOGLETRANSLATE(A10096, ""en"", ""mt"")"),"Mużika mill-ispeċjalitajiet 2008-2010")</f>
        <v>Mużika mill-ispeċjalitajiet 2008-2010</v>
      </c>
    </row>
    <row r="10097" ht="15.75" customHeight="1">
      <c r="A10097" s="2" t="s">
        <v>10097</v>
      </c>
      <c r="B10097" s="2" t="str">
        <f>IFERROR(__xludf.DUMMYFUNCTION("GOOGLETRANSLATE(A10097, ""en"", ""mt"")"),"Kosta tad-Danimarka")</f>
        <v>Kosta tad-Danimarka</v>
      </c>
    </row>
    <row r="10098" ht="15.75" customHeight="1">
      <c r="A10098" s="2" t="s">
        <v>10098</v>
      </c>
      <c r="B10098" s="2" t="str">
        <f>IFERROR(__xludf.DUMMYFUNCTION("GOOGLETRANSLATE(A10098, ""en"", ""mt"")"),"Inżul Lunar bl-ekwipaġġ.")</f>
        <v>Inżul Lunar bl-ekwipaġġ.</v>
      </c>
    </row>
    <row r="10099" ht="15.75" customHeight="1">
      <c r="A10099" s="2" t="s">
        <v>10099</v>
      </c>
      <c r="B10099" s="2" t="str">
        <f>IFERROR(__xludf.DUMMYFUNCTION("GOOGLETRANSLATE(A10099, ""en"", ""mt"")"),"Maududi jemmen ukoll li s-soċjetà Musulmana ma tistax tkun Iżlamika mingħajr sharia, u l-Iżlam kien jeħtieġ it-twaqqif ta 'stat Iżlamiku. Dan l-istat għandu jkun ""Theo-Democracy"", ibbażat fuq il-prinċipji ta ': Tawhid (Unità ta' Alla), Risala (Prophetho"&amp;"od) u Khilafa (Kalifat). Għalkemm Maududi tkellem dwar ir-rivoluzzjoni Iżlamika, permezz ta '""rivoluzzjoni"" huwa fisser mhux il-vjolenza jew il-politiki populisti tar-rivoluzzjoni Iranjana, iżda l-bidla gradwali li tbiddel il-qlub u l-imħuħ ta' individw"&amp;"i mill-quċċata tas-soċjetà 'l isfel permezz ta' proċess edukattiv jew da'wah.")</f>
        <v>Maududi jemmen ukoll li s-soċjetà Musulmana ma tistax tkun Iżlamika mingħajr sharia, u l-Iżlam kien jeħtieġ it-twaqqif ta 'stat Iżlamiku. Dan l-istat għandu jkun "Theo-Democracy", ibbażat fuq il-prinċipji ta ': Tawhid (Unità ta' Alla), Risala (Prophethood) u Khilafa (Kalifat). Għalkemm Maududi tkellem dwar ir-rivoluzzjoni Iżlamika, permezz ta '"rivoluzzjoni" huwa fisser mhux il-vjolenza jew il-politiki populisti tar-rivoluzzjoni Iranjana, iżda l-bidla gradwali li tbiddel il-qlub u l-imħuħ ta' individwi mill-quċċata tas-soċjetà 'l isfel permezz ta' proċess edukattiv jew da'wah.</v>
      </c>
    </row>
    <row r="10100" ht="15.75" customHeight="1">
      <c r="A10100" s="2" t="s">
        <v>10100</v>
      </c>
      <c r="B10100" s="2" t="str">
        <f>IFERROR(__xludf.DUMMYFUNCTION("GOOGLETRANSLATE(A10100, ""en"", ""mt"")"),"Kemm hemm ċrieki PD?")</f>
        <v>Kemm hemm ċrieki PD?</v>
      </c>
    </row>
    <row r="10101" ht="15.75" customHeight="1">
      <c r="A10101" s="2" t="s">
        <v>10101</v>
      </c>
      <c r="B10101" s="2" t="str">
        <f>IFERROR(__xludf.DUMMYFUNCTION("GOOGLETRANSLATE(A10101, ""en"", ""mt"")"),"huwa inkompatibbli mal-messaġġ u t-tagħlim ta 'Kristu.")</f>
        <v>huwa inkompatibbli mal-messaġġ u t-tagħlim ta 'Kristu.</v>
      </c>
    </row>
    <row r="10102" ht="15.75" customHeight="1">
      <c r="A10102" s="2" t="s">
        <v>10102</v>
      </c>
      <c r="B10102" s="2" t="str">
        <f>IFERROR(__xludf.DUMMYFUNCTION("GOOGLETRANSLATE(A10102, ""en"", ""mt"")"),"X'kien magħruf il-kartell ta 'Newcastle Burgesses?")</f>
        <v>X'kien magħruf il-kartell ta 'Newcastle Burgesses?</v>
      </c>
    </row>
    <row r="10103" ht="15.75" customHeight="1">
      <c r="A10103" s="2" t="s">
        <v>10103</v>
      </c>
      <c r="B10103" s="2" t="str">
        <f>IFERROR(__xludf.DUMMYFUNCTION("GOOGLETRANSLATE(A10103, ""en"", ""mt"")"),"tattendi l-iskola fl-ogħla ġinnasju reali")</f>
        <v>tattendi l-iskola fl-ogħla ġinnasju reali</v>
      </c>
    </row>
    <row r="10104" ht="15.75" customHeight="1">
      <c r="A10104" s="2" t="s">
        <v>10104</v>
      </c>
      <c r="B10104" s="2" t="str">
        <f>IFERROR(__xludf.DUMMYFUNCTION("GOOGLETRANSLATE(A10104, ""en"", ""mt"")"),"Tesla kienet ġeneralment antagonistika lejn it-teoriji dwar il-konverżjoni tal-materja f'enerġija.")</f>
        <v>Tesla kienet ġeneralment antagonistika lejn it-teoriji dwar il-konverżjoni tal-materja f'enerġija.</v>
      </c>
    </row>
    <row r="10105" ht="15.75" customHeight="1">
      <c r="A10105" s="2" t="s">
        <v>10105</v>
      </c>
      <c r="B10105" s="2" t="str">
        <f>IFERROR(__xludf.DUMMYFUNCTION("GOOGLETRANSLATE(A10105, ""en"", ""mt"")"),"probabilistiku")</f>
        <v>probabilistiku</v>
      </c>
    </row>
    <row r="10106" ht="15.75" customHeight="1">
      <c r="A10106" s="2" t="s">
        <v>10106</v>
      </c>
      <c r="B10106" s="2" t="str">
        <f>IFERROR(__xludf.DUMMYFUNCTION("GOOGLETRANSLATE(A10106, ""en"", ""mt"")"),"Armata")</f>
        <v>Armata</v>
      </c>
    </row>
    <row r="10107" ht="15.75" customHeight="1">
      <c r="A10107" s="2" t="s">
        <v>10107</v>
      </c>
      <c r="B10107" s="2" t="str">
        <f>IFERROR(__xludf.DUMMYFUNCTION("GOOGLETRANSLATE(A10107, ""en"", ""mt"")"),"Il-ħajt ta 'min għandu frammenti viżibbli f'postijiet madwar Newcastle anke llum?")</f>
        <v>Il-ħajt ta 'min għandu frammenti viżibbli f'postijiet madwar Newcastle anke llum?</v>
      </c>
    </row>
    <row r="10108" ht="15.75" customHeight="1">
      <c r="A10108" s="2" t="s">
        <v>10108</v>
      </c>
      <c r="B10108" s="2" t="str">
        <f>IFERROR(__xludf.DUMMYFUNCTION("GOOGLETRANSLATE(A10108, ""en"", ""mt"")"),"F'Lulju 2013")</f>
        <v>F'Lulju 2013</v>
      </c>
    </row>
    <row r="10109" ht="15.75" customHeight="1">
      <c r="A10109" s="2" t="s">
        <v>10109</v>
      </c>
      <c r="B10109" s="2" t="str">
        <f>IFERROR(__xludf.DUMMYFUNCTION("GOOGLETRANSLATE(A10109, ""en"", ""mt"")"),"Konsorzju ta 'Netwerking tal-Kompjuter ta' l-Istati Uniti mhux għall-profitt immexxi minn membri mill-komunitajiet ta 'riċerka u edukazzjoni, industrija u gvern")</f>
        <v>Konsorzju ta 'Netwerking tal-Kompjuter ta' l-Istati Uniti mhux għall-profitt immexxi minn membri mill-komunitajiet ta 'riċerka u edukazzjoni, industrija u gvern</v>
      </c>
    </row>
    <row r="10110" ht="15.75" customHeight="1">
      <c r="A10110" s="2" t="s">
        <v>10110</v>
      </c>
      <c r="B10110" s="2" t="str">
        <f>IFERROR(__xludf.DUMMYFUNCTION("GOOGLETRANSLATE(A10110, ""en"", ""mt"")"),"Netwerk tat-tilakoid")</f>
        <v>Netwerk tat-tilakoid</v>
      </c>
    </row>
    <row r="10111" ht="15.75" customHeight="1">
      <c r="A10111" s="2" t="s">
        <v>10111</v>
      </c>
      <c r="B10111" s="2" t="str">
        <f>IFERROR(__xludf.DUMMYFUNCTION("GOOGLETRANSLATE(A10111, ""en"", ""mt"")"),"Għażla tad-Droga, Doża, Rotta, Frekwenza, u Tul tat-Terapija")</f>
        <v>Għażla tad-Droga, Doża, Rotta, Frekwenza, u Tul tat-Terapija</v>
      </c>
    </row>
    <row r="10112" ht="15.75" customHeight="1">
      <c r="A10112" s="2" t="s">
        <v>10112</v>
      </c>
      <c r="B10112" s="2" t="str">
        <f>IFERROR(__xludf.DUMMYFUNCTION("GOOGLETRANSLATE(A10112, ""en"", ""mt"")"),"Lulju 2013")</f>
        <v>Lulju 2013</v>
      </c>
    </row>
    <row r="10113" ht="15.75" customHeight="1">
      <c r="A10113" s="2" t="s">
        <v>10113</v>
      </c>
      <c r="B10113" s="2" t="str">
        <f>IFERROR(__xludf.DUMMYFUNCTION("GOOGLETRANSLATE(A10113, ""en"", ""mt"")"),"X'kien akkużat Abu Hamaz al-Masri meta ġie arrestat?")</f>
        <v>X'kien akkużat Abu Hamaz al-Masri meta ġie arrestat?</v>
      </c>
    </row>
    <row r="10114" ht="15.75" customHeight="1">
      <c r="A10114" s="2" t="s">
        <v>10114</v>
      </c>
      <c r="B10114" s="2" t="str">
        <f>IFERROR(__xludf.DUMMYFUNCTION("GOOGLETRANSLATE(A10114, ""en"", ""mt"")"),"Meta n-nies jieħdu d-dejn, dan iwassal potenzjalment għal xiex?")</f>
        <v>Meta n-nies jieħdu d-dejn, dan iwassal potenzjalment għal xiex?</v>
      </c>
    </row>
    <row r="10115" ht="15.75" customHeight="1">
      <c r="A10115" s="2" t="s">
        <v>10115</v>
      </c>
      <c r="B10115" s="2" t="str">
        <f>IFERROR(__xludf.DUMMYFUNCTION("GOOGLETRANSLATE(A10115, ""en"", ""mt"")"),"qbid tan-nixxiegħa")</f>
        <v>qbid tan-nixxiegħa</v>
      </c>
    </row>
    <row r="10116" ht="15.75" customHeight="1">
      <c r="A10116" s="2" t="s">
        <v>10116</v>
      </c>
      <c r="B10116" s="2" t="str">
        <f>IFERROR(__xludf.DUMMYFUNCTION("GOOGLETRANSLATE(A10116, ""en"", ""mt"")"),"Kompetizzjoni fost il-ħaddiema")</f>
        <v>Kompetizzjoni fost il-ħaddiema</v>
      </c>
    </row>
    <row r="10117" ht="15.75" customHeight="1">
      <c r="A10117" s="2" t="s">
        <v>10117</v>
      </c>
      <c r="B10117" s="2" t="str">
        <f>IFERROR(__xludf.DUMMYFUNCTION("GOOGLETRANSLATE(A10117, ""en"", ""mt"")"),"Luther meta rritorna lejn Wittenberg?")</f>
        <v>Luther meta rritorna lejn Wittenberg?</v>
      </c>
    </row>
    <row r="10118" ht="15.75" customHeight="1">
      <c r="A10118" s="2" t="s">
        <v>10118</v>
      </c>
      <c r="B10118" s="2" t="str">
        <f>IFERROR(__xludf.DUMMYFUNCTION("GOOGLETRANSLATE(A10118, ""en"", ""mt"")"),"madwar 1820")</f>
        <v>madwar 1820</v>
      </c>
    </row>
    <row r="10119" ht="15.75" customHeight="1">
      <c r="A10119" s="2" t="s">
        <v>10119</v>
      </c>
      <c r="B10119" s="2" t="str">
        <f>IFERROR(__xludf.DUMMYFUNCTION("GOOGLETRANSLATE(A10119, ""en"", ""mt"")"),"miċħuda")</f>
        <v>miċħuda</v>
      </c>
    </row>
    <row r="10120" ht="15.75" customHeight="1">
      <c r="A10120" s="2" t="s">
        <v>10120</v>
      </c>
      <c r="B10120" s="2" t="str">
        <f>IFERROR(__xludf.DUMMYFUNCTION("GOOGLETRANSLATE(A10120, ""en"", ""mt"")"),"Fid-Distrett ta ’Brompton tar-Royal Borough ta’ Kensington u Chelsea")</f>
        <v>Fid-Distrett ta ’Brompton tar-Royal Borough ta’ Kensington u Chelsea</v>
      </c>
    </row>
    <row r="10121" ht="15.75" customHeight="1">
      <c r="A10121" s="2" t="s">
        <v>10121</v>
      </c>
      <c r="B10121" s="2" t="str">
        <f>IFERROR(__xludf.DUMMYFUNCTION("GOOGLETRANSLATE(A10121, ""en"", ""mt"")"),"Apollo dam mill-1961 sal-1972, u kien appoġġjat mill-programm Gemini b'żewġ persuni li dam fl-istess ħin miegħu mill-1962 sal-1966. Il-missjonijiet Gemini żviluppaw uħud mit-tekniki tal-ivvjaġġar spazjali li kienu meħtieġa għas-suċċess tal-missjonijiet Ap"&amp;"ollo. Apollo uża rokits tal-familja Saturn bħala vetturi tal-varar. Vetturi Apollo / Saturn intużaw ukoll għal programm ta 'applikazzjonijiet Apollo, li kien jikkonsisti minn SkyLab, stazzjon spazjali li appoġġa tliet missjonijiet ekwipaġġati fl-1973–74, "&amp;"u l-Proġett tat-Test Apollo-Soyuz, missjoni konġunta ta' orbita tad-Dinja mal-Unjoni Sovjetika fl-1975 fl-1975 -")</f>
        <v>Apollo dam mill-1961 sal-1972, u kien appoġġjat mill-programm Gemini b'żewġ persuni li dam fl-istess ħin miegħu mill-1962 sal-1966. Il-missjonijiet Gemini żviluppaw uħud mit-tekniki tal-ivvjaġġar spazjali li kienu meħtieġa għas-suċċess tal-missjonijiet Apollo. Apollo uża rokits tal-familja Saturn bħala vetturi tal-varar. Vetturi Apollo / Saturn intużaw ukoll għal programm ta 'applikazzjonijiet Apollo, li kien jikkonsisti minn SkyLab, stazzjon spazjali li appoġġa tliet missjonijiet ekwipaġġati fl-1973–74, u l-Proġett tat-Test Apollo-Soyuz, missjoni konġunta ta' orbita tad-Dinja mal-Unjoni Sovjetika fl-1975 fl-1975 -</v>
      </c>
    </row>
    <row r="10122" ht="15.75" customHeight="1">
      <c r="A10122" s="2" t="s">
        <v>10122</v>
      </c>
      <c r="B10122" s="2" t="str">
        <f>IFERROR(__xludf.DUMMYFUNCTION("GOOGLETRANSLATE(A10122, ""en"", ""mt"")"),"Il-pesta Justinian li kienet prevalenti fl-Imperu Ruman tal-Lvant minn 541 sa 700 CE.")</f>
        <v>Il-pesta Justinian li kienet prevalenti fl-Imperu Ruman tal-Lvant minn 541 sa 700 CE.</v>
      </c>
    </row>
    <row r="10123" ht="15.75" customHeight="1">
      <c r="A10123" s="2" t="s">
        <v>10123</v>
      </c>
      <c r="B10123" s="2" t="str">
        <f>IFERROR(__xludf.DUMMYFUNCTION("GOOGLETRANSLATE(A10123, ""en"", ""mt"")"),"Fl-edukazzjoni, l-għalliema jiffaċilitaw it-tagħlim tal-istudenti, ħafna drabi fi skola jew akkademja jew forsi f'ambjent ieħor bħal barra. Għalliem li jgħallem fuq bażi individwali jista 'jiġi deskritt bħala tutur.")</f>
        <v>Fl-edukazzjoni, l-għalliema jiffaċilitaw it-tagħlim tal-istudenti, ħafna drabi fi skola jew akkademja jew forsi f'ambjent ieħor bħal barra. Għalliem li jgħallem fuq bażi individwali jista 'jiġi deskritt bħala tutur.</v>
      </c>
    </row>
    <row r="10124" ht="15.75" customHeight="1">
      <c r="A10124" s="2" t="s">
        <v>10124</v>
      </c>
      <c r="B10124" s="2" t="str">
        <f>IFERROR(__xludf.DUMMYFUNCTION("GOOGLETRANSLATE(A10124, ""en"", ""mt"")"),"madwar 300-600 nanometru fid-dijametru")</f>
        <v>madwar 300-600 nanometru fid-dijametru</v>
      </c>
    </row>
    <row r="10125" ht="15.75" customHeight="1">
      <c r="A10125" s="2" t="s">
        <v>10125</v>
      </c>
      <c r="B10125" s="2" t="str">
        <f>IFERROR(__xludf.DUMMYFUNCTION("GOOGLETRANSLATE(A10125, ""en"", ""mt"")"),"Min jispezzjona l-bini perjodikament biex jiżgura li l-kostruzzjoni taderixxi mal-pjanijiet approvati u l-kodiċi tal-bini lokali?")</f>
        <v>Min jispezzjona l-bini perjodikament biex jiżgura li l-kostruzzjoni taderixxi mal-pjanijiet approvati u l-kodiċi tal-bini lokali?</v>
      </c>
    </row>
    <row r="10126" ht="15.75" customHeight="1">
      <c r="A10126" s="2" t="s">
        <v>10126</v>
      </c>
      <c r="B10126" s="2" t="str">
        <f>IFERROR(__xludf.DUMMYFUNCTION("GOOGLETRANSLATE(A10126, ""en"", ""mt"")"),"L-użu ewlieni għat-turbini tal-fwar huwa fil-ġenerazzjoni tal-elettriku (fid-disgħinijiet madwar 90% tal-produzzjoni elettrika tad-dinja kien bl-użu ta 'turbini tal-fwar) madankollu l-applikazzjoni mifruxa reċenti ta' unitajiet kbar ta 'turbina tal-gass u"&amp;" impjanti ta' l-enerġija ċiklu kkombinati tipiċi rriżultat fi tnaqqis Dan il-persentaġġ għar-reġim ta '80% għat-turbini tal-fwar. Fil-produzzjoni tal-elettriku, il-veloċità għolja tar-rotazzjoni tat-turbina taqbel sew mal-veloċità tal-ġeneraturi elettriċi"&amp;" moderni, li huma tipikament konnessi diretti mat-turbini tas-sewqan tagħhom. Fis-servizz tal-baħar, (pijunier fuq it-Turbinia), turbini tal-fwar b'introjjar ta 'tnaqqis (għalkemm it-turbinia għandha turbini diretti għall-iskrejjen mingħajr l-ebda gearbox"&amp;" tat-tnaqqis) iddominaw propulsjoni kbira fuq il-vapuri matul l-aħħar tas-seklu 20, li huma aktar effiċjenti (u jeħtieġu ħafna inqas manutenzjoni) minn magni tal-fwar reċiprokanti. Fl-aħħar għexieren ta 'snin, magni diesel li jirreċiprokaw, u turbini tal-"&amp;"gass, kważi sostitwixxu l-propulsjoni tal-fwar għal applikazzjonijiet tal-baħar.")</f>
        <v>L-użu ewlieni għat-turbini tal-fwar huwa fil-ġenerazzjoni tal-elettriku (fid-disgħinijiet madwar 90% tal-produzzjoni elettrika tad-dinja kien bl-użu ta 'turbini tal-fwar) madankollu l-applikazzjoni mifruxa reċenti ta' unitajiet kbar ta 'turbina tal-gass u impjanti ta' l-enerġija ċiklu kkombinati tipiċi rriżultat fi tnaqqis Dan il-persentaġġ għar-reġim ta '80% għat-turbini tal-fwar. Fil-produzzjoni tal-elettriku, il-veloċità għolja tar-rotazzjoni tat-turbina taqbel sew mal-veloċità tal-ġeneraturi elettriċi moderni, li huma tipikament konnessi diretti mat-turbini tas-sewqan tagħhom. Fis-servizz tal-baħar, (pijunier fuq it-Turbinia), turbini tal-fwar b'introjjar ta 'tnaqqis (għalkemm it-turbinia għandha turbini diretti għall-iskrejjen mingħajr l-ebda gearbox tat-tnaqqis) iddominaw propulsjoni kbira fuq il-vapuri matul l-aħħar tas-seklu 20, li huma aktar effiċjenti (u jeħtieġu ħafna inqas manutenzjoni) minn magni tal-fwar reċiprokanti. Fl-aħħar għexieren ta 'snin, magni diesel li jirreċiprokaw, u turbini tal-gass, kważi sostitwixxu l-propulsjoni tal-fwar għal applikazzjonijiet tal-baħar.</v>
      </c>
    </row>
    <row r="10127" ht="15.75" customHeight="1">
      <c r="A10127" s="2" t="s">
        <v>10127</v>
      </c>
      <c r="B10127" s="2" t="str">
        <f>IFERROR(__xludf.DUMMYFUNCTION("GOOGLETRANSLATE(A10127, ""en"", ""mt"")"),"malajr")</f>
        <v>malajr</v>
      </c>
    </row>
    <row r="10128" ht="15.75" customHeight="1">
      <c r="A10128" s="2" t="s">
        <v>10128</v>
      </c>
      <c r="B10128" s="2" t="str">
        <f>IFERROR(__xludf.DUMMYFUNCTION("GOOGLETRANSLATE(A10128, ""en"", ""mt"")"),"tifqigħat tad-deni isfar")</f>
        <v>tifqigħat tad-deni isfar</v>
      </c>
    </row>
    <row r="10129" ht="15.75" customHeight="1">
      <c r="A10129" s="2" t="s">
        <v>10129</v>
      </c>
      <c r="B10129" s="2" t="str">
        <f>IFERROR(__xludf.DUMMYFUNCTION("GOOGLETRANSLATE(A10129, ""en"", ""mt"")"),"Bħalissa, New Jersey, Rhode Island u Delaware huma l-uniċi stati ta 'l-Istati Uniti fejn ABC m'għandux affiljat liċenzjat lokalment (New Jersey huwa servut minn New York City O&amp;O WABC-TV u Philadelphia O&amp;O WPVI-TV; Rhode Island hija servuta minn New Bedfo"&amp;"rd , Massachusetts-licensed WLNE; u Delaware huwa servut minn WPVI u Salisbury, Maryland affiljat WMDT). ABC iżomm affiljazzjonijiet ma 'stazzjonijiet ta' enerġija baxxa (ixandru jew f'analog jew diġitali) fi ftit swieq, bħal Birmingham, Alabama (WBMA-LD)"&amp;", Lima, Ohio (WLQP-LP) u South Bend, Indiana (WBND-LD) - F’xi swieq, inklużi l-ewwel tnejn imsemmija, dawn l-istazzjonijiet iżommu wkoll simulcasts diġitali fuq subchannel ta ’stazzjon tat-televiżjoni full-power ko-proprjetà / ko-ġestita.")</f>
        <v>Bħalissa, New Jersey, Rhode Island u Delaware huma l-uniċi stati ta 'l-Istati Uniti fejn ABC m'għandux affiljat liċenzjat lokalment (New Jersey huwa servut minn New York City O&amp;O WABC-TV u Philadelphia O&amp;O WPVI-TV; Rhode Island hija servuta minn New Bedford , Massachusetts-licensed WLNE; u Delaware huwa servut minn WPVI u Salisbury, Maryland affiljat WMDT). ABC iżomm affiljazzjonijiet ma 'stazzjonijiet ta' enerġija baxxa (ixandru jew f'analog jew diġitali) fi ftit swieq, bħal Birmingham, Alabama (WBMA-LD), Lima, Ohio (WLQP-LP) u South Bend, Indiana (WBND-LD) - F’xi swieq, inklużi l-ewwel tnejn imsemmija, dawn l-istazzjonijiet iżommu wkoll simulcasts diġitali fuq subchannel ta ’stazzjon tat-televiżjoni full-power ko-proprjetà / ko-ġestita.</v>
      </c>
    </row>
    <row r="10130" ht="15.75" customHeight="1">
      <c r="A10130" s="2" t="s">
        <v>10130</v>
      </c>
      <c r="B10130" s="2" t="str">
        <f>IFERROR(__xludf.DUMMYFUNCTION("GOOGLETRANSLATE(A10130, ""en"", ""mt"")"),"Liema isem ta 'stil Ċiniż uża Rinchinbal?")</f>
        <v>Liema isem ta 'stil Ċiniż uża Rinchinbal?</v>
      </c>
    </row>
    <row r="10131" ht="15.75" customHeight="1">
      <c r="A10131" s="2" t="s">
        <v>10131</v>
      </c>
      <c r="B10131" s="2" t="str">
        <f>IFERROR(__xludf.DUMMYFUNCTION("GOOGLETRANSLATE(A10131, ""en"", ""mt"")"),"X'kienet l-idea ta 'Tesla rigward id-Dinja?")</f>
        <v>X'kienet l-idea ta 'Tesla rigward id-Dinja?</v>
      </c>
    </row>
    <row r="10132" ht="15.75" customHeight="1">
      <c r="A10132" s="2" t="s">
        <v>10132</v>
      </c>
      <c r="B10132" s="2" t="str">
        <f>IFERROR(__xludf.DUMMYFUNCTION("GOOGLETRANSLATE(A10132, ""en"", ""mt"")"),"Imperu Ruman")</f>
        <v>Imperu Ruman</v>
      </c>
    </row>
    <row r="10133" ht="15.75" customHeight="1">
      <c r="A10133" s="2" t="s">
        <v>10133</v>
      </c>
      <c r="B10133" s="2" t="str">
        <f>IFERROR(__xludf.DUMMYFUNCTION("GOOGLETRANSLATE(A10133, ""en"", ""mt"")"),"FMCG Manifattura")</f>
        <v>FMCG Manifattura</v>
      </c>
    </row>
    <row r="10134" ht="15.75" customHeight="1">
      <c r="A10134" s="2" t="s">
        <v>10134</v>
      </c>
      <c r="B10134" s="2" t="str">
        <f>IFERROR(__xludf.DUMMYFUNCTION("GOOGLETRANSLATE(A10134, ""en"", ""mt"")"),"Aktar minn ħames miljun passiġġier")</f>
        <v>Aktar minn ħames miljun passiġġier</v>
      </c>
    </row>
    <row r="10135" ht="15.75" customHeight="1">
      <c r="A10135" s="2" t="s">
        <v>10135</v>
      </c>
      <c r="B10135" s="2" t="str">
        <f>IFERROR(__xludf.DUMMYFUNCTION("GOOGLETRANSLATE(A10135, ""en"", ""mt"")"),"X'inhi l-funzjoni tat-TARDIS?")</f>
        <v>X'inhi l-funzjoni tat-TARDIS?</v>
      </c>
    </row>
    <row r="10136" ht="15.75" customHeight="1">
      <c r="A10136" s="2" t="s">
        <v>10136</v>
      </c>
      <c r="B10136" s="2" t="str">
        <f>IFERROR(__xludf.DUMMYFUNCTION("GOOGLETRANSLATE(A10136, ""en"", ""mt"")"),"Imperatur Charles v")</f>
        <v>Imperatur Charles v</v>
      </c>
    </row>
    <row r="10137" ht="15.75" customHeight="1">
      <c r="A10137" s="2" t="s">
        <v>10137</v>
      </c>
      <c r="B10137" s="2" t="str">
        <f>IFERROR(__xludf.DUMMYFUNCTION("GOOGLETRANSLATE(A10137, ""en"", ""mt"")"),"Il-Huguenots kellhom il-milizja tagħhom stess")</f>
        <v>Il-Huguenots kellhom il-milizja tagħhom stess</v>
      </c>
    </row>
    <row r="10138" ht="15.75" customHeight="1">
      <c r="A10138" s="2" t="s">
        <v>10138</v>
      </c>
      <c r="B10138" s="2" t="str">
        <f>IFERROR(__xludf.DUMMYFUNCTION("GOOGLETRANSLATE(A10138, ""en"", ""mt"")"),"Tmien kategoriji ta 'edukazzjoni ġenerali")</f>
        <v>Tmien kategoriji ta 'edukazzjoni ġenerali</v>
      </c>
    </row>
    <row r="10139" ht="15.75" customHeight="1">
      <c r="A10139" s="2" t="s">
        <v>10139</v>
      </c>
      <c r="B10139" s="2" t="str">
        <f>IFERROR(__xludf.DUMMYFUNCTION("GOOGLETRANSLATE(A10139, ""en"", ""mt"")"),"Liema sistema għandha impatt fuq l-inugwaljanza tad-dħul?")</f>
        <v>Liema sistema għandha impatt fuq l-inugwaljanza tad-dħul?</v>
      </c>
    </row>
    <row r="10140" ht="15.75" customHeight="1">
      <c r="A10140" s="2" t="s">
        <v>10140</v>
      </c>
      <c r="B10140" s="2" t="str">
        <f>IFERROR(__xludf.DUMMYFUNCTION("GOOGLETRANSLATE(A10140, ""en"", ""mt"")"),"bagħat numru żgħir ta 'kolonizzaturi lill-kolonji tiegħu,")</f>
        <v>bagħat numru żgħir ta 'kolonizzaturi lill-kolonji tiegħu,</v>
      </c>
    </row>
    <row r="10141" ht="15.75" customHeight="1">
      <c r="A10141" s="2" t="s">
        <v>10141</v>
      </c>
      <c r="B10141" s="2" t="str">
        <f>IFERROR(__xludf.DUMMYFUNCTION("GOOGLETRANSLATE(A10141, ""en"", ""mt"")"),"X'tiprombra t-traduzzjoni tal-Bibbja ta 'Luther fil-lingwa Ġermaniża?")</f>
        <v>X'tiprombra t-traduzzjoni tal-Bibbja ta 'Luther fil-lingwa Ġermaniża?</v>
      </c>
    </row>
    <row r="10142" ht="15.75" customHeight="1">
      <c r="A10142" s="2" t="s">
        <v>10142</v>
      </c>
      <c r="B10142" s="2" t="str">
        <f>IFERROR(__xludf.DUMMYFUNCTION("GOOGLETRANSLATE(A10142, ""en"", ""mt"")"),"Assimilazzjoni")</f>
        <v>Assimilazzjoni</v>
      </c>
    </row>
    <row r="10143" ht="15.75" customHeight="1">
      <c r="A10143" s="2" t="s">
        <v>10143</v>
      </c>
      <c r="B10143" s="2" t="str">
        <f>IFERROR(__xludf.DUMMYFUNCTION("GOOGLETRANSLATE(A10143, ""en"", ""mt"")"),"Netwerk ta 'Komunikazzjonijiet tad-Dejta Internazzjonali")</f>
        <v>Netwerk ta 'Komunikazzjonijiet tad-Dejta Internazzjonali</v>
      </c>
    </row>
    <row r="10144" ht="15.75" customHeight="1">
      <c r="A10144" s="2" t="s">
        <v>10144</v>
      </c>
      <c r="B10144" s="2" t="str">
        <f>IFERROR(__xludf.DUMMYFUNCTION("GOOGLETRANSLATE(A10144, ""en"", ""mt"")"),"Nairobi, Mombasa u Kisumu")</f>
        <v>Nairobi, Mombasa u Kisumu</v>
      </c>
    </row>
    <row r="10145" ht="15.75" customHeight="1">
      <c r="A10145" s="2" t="s">
        <v>10145</v>
      </c>
      <c r="B10145" s="2" t="str">
        <f>IFERROR(__xludf.DUMMYFUNCTION("GOOGLETRANSLATE(A10145, ""en"", ""mt"")"),"Il-kunċett ta ’ċertezza legali huwa rikonoxxut wieħed mill-prinċipji ġenerali tal-liġi tal-Unjoni Ewropea mill-Qorti Ewropea tal-Ġustizzja mill-1960s. Huwa prinċipju ġenerali importanti tal-liġi internazzjonali u l-liġi pubblika, li qabel il-liġi tal-Unjo"&amp;"ni Ewropea. Bħala prinċipju ġenerali fil-liġi tal-Unjoni Ewropea jfisser li l-liġi għandha tkun ċerta, billi hija ċara u preċiża, u l-implikazzjonijiet legali tagħha prevedibbli, speċjalment meta jiġu applikati għal obbligi finanzjarji. L-adozzjoni ta 'li"&amp;"ġijiet li se jkollhom effett legali fl-Unjoni Ewropea għandu jkollhom bażi legali xierqa. Il-leġislazzjoni fl-Istati Membri li timplimenta l-liġi tal-Unjoni Ewropea għandha tkun miktuba sabiex tkun tinftiehem b'mod ċar minn dawk li huma soġġetti għal-liġi"&amp;". Fil-liġi tal-Unjoni Ewropea, il-prinċipju ġenerali taċ-ċertezza legali jipprojbixxi l-liġijiet ex post facto, i.e. il-liġijiet m'għandhomx jidħlu fis-seħħ qabel ma jiġu ppubblikati. Id-duttrina tal-aspettattiva leġittima, li għandha l-għeruq tagħha fil-"&amp;"prinċipji taċ-ċertezza legali u l-fidi tajba, hija wkoll element ċentrali tal-prinċipju ġenerali taċ-ċertezza legali fil-liġi tal-Unjoni Ewropea. Id-duttrina leġittima ta 'l-istennija żżomm dik u li ""dawk li jaġixxu b'rieda tajba fuq il-bażi tal-liġi kif"&amp;" inhi jew jidher li m'għandhomx ikunu frustrati fl-aspettattivi tagħhom"".")</f>
        <v>Il-kunċett ta ’ċertezza legali huwa rikonoxxut wieħed mill-prinċipji ġenerali tal-liġi tal-Unjoni Ewropea mill-Qorti Ewropea tal-Ġustizzja mill-1960s. Huwa prinċipju ġenerali importanti tal-liġi internazzjonali u l-liġi pubblika, li qabel il-liġi tal-Unjoni Ewropea. Bħala prinċipju ġenerali fil-liġi tal-Unjoni Ewropea jfisser li l-liġi għandha tkun ċerta, billi hija ċara u preċiża, u l-implikazzjonijiet legali tagħha prevedibbli, speċjalment meta jiġu applikati għal obbligi finanzjarji. L-adozzjoni ta 'liġijiet li se jkollhom effett legali fl-Unjoni Ewropea għandu jkollhom bażi legali xierqa. Il-leġislazzjoni fl-Istati Membri li timplimenta l-liġi tal-Unjoni Ewropea għandha tkun miktuba sabiex tkun tinftiehem b'mod ċar minn dawk li huma soġġetti għal-liġi. Fil-liġi tal-Unjoni Ewropea, il-prinċipju ġenerali taċ-ċertezza legali jipprojbixxi l-liġijiet ex post facto, i.e. il-liġijiet m'għandhomx jidħlu fis-seħħ qabel ma jiġu ppubblikati. Id-duttrina tal-aspettattiva leġittima, li għandha l-għeruq tagħha fil-prinċipji taċ-ċertezza legali u l-fidi tajba, hija wkoll element ċentrali tal-prinċipju ġenerali taċ-ċertezza legali fil-liġi tal-Unjoni Ewropea. Id-duttrina leġittima ta 'l-istennija żżomm dik u li "dawk li jaġixxu b'rieda tajba fuq il-bażi tal-liġi kif inhi jew jidher li m'għandhomx ikunu frustrati fl-aspettattivi tagħhom".</v>
      </c>
    </row>
    <row r="10146" ht="15.75" customHeight="1">
      <c r="A10146" s="2" t="s">
        <v>10146</v>
      </c>
      <c r="B10146" s="2" t="str">
        <f>IFERROR(__xludf.DUMMYFUNCTION("GOOGLETRANSLATE(A10146, ""en"", ""mt"")"),"biex orbita l-qamar")</f>
        <v>biex orbita l-qamar</v>
      </c>
    </row>
    <row r="10147" ht="15.75" customHeight="1">
      <c r="A10147" s="2" t="s">
        <v>10147</v>
      </c>
      <c r="B10147" s="2" t="str">
        <f>IFERROR(__xludf.DUMMYFUNCTION("GOOGLETRANSLATE(A10147, ""en"", ""mt"")"),"Problemi kompluti NP")</f>
        <v>Problemi kompluti NP</v>
      </c>
    </row>
    <row r="10148" ht="15.75" customHeight="1">
      <c r="A10148" s="2" t="s">
        <v>10148</v>
      </c>
      <c r="B10148" s="2" t="str">
        <f>IFERROR(__xludf.DUMMYFUNCTION("GOOGLETRANSLATE(A10148, ""en"", ""mt"")"),"Fl-approċċ tal-kapaċitajiet, it-tkabbir u d-dħul huma meqjusa bħala mezz biex jintemm aktar milli?")</f>
        <v>Fl-approċċ tal-kapaċitajiet, it-tkabbir u d-dħul huma meqjusa bħala mezz biex jintemm aktar milli?</v>
      </c>
    </row>
    <row r="10149" ht="15.75" customHeight="1">
      <c r="A10149" s="2" t="s">
        <v>10149</v>
      </c>
      <c r="B10149" s="2" t="str">
        <f>IFERROR(__xludf.DUMMYFUNCTION("GOOGLETRANSLATE(A10149, ""en"", ""mt"")"),"Fejn f 'South Carolina n-nobilità Huguenot stabbilixxiet?")</f>
        <v>Fejn f 'South Carolina n-nobilità Huguenot stabbilixxiet?</v>
      </c>
    </row>
    <row r="10150" ht="15.75" customHeight="1">
      <c r="A10150" s="2" t="s">
        <v>10150</v>
      </c>
      <c r="B10150" s="2" t="str">
        <f>IFERROR(__xludf.DUMMYFUNCTION("GOOGLETRANSLATE(A10150, ""en"", ""mt"")"),"Liema imperu kien l-aħħar wieħed li Genghis Khan ħakem qabel ma miet?")</f>
        <v>Liema imperu kien l-aħħar wieħed li Genghis Khan ħakem qabel ma miet?</v>
      </c>
    </row>
    <row r="10151" ht="15.75" customHeight="1">
      <c r="A10151" s="2" t="s">
        <v>10151</v>
      </c>
      <c r="B10151" s="2" t="str">
        <f>IFERROR(__xludf.DUMMYFUNCTION("GOOGLETRANSLATE(A10151, ""en"", ""mt"")"),"Fi ħdan l-istoma tal-kloroplast")</f>
        <v>Fi ħdan l-istoma tal-kloroplast</v>
      </c>
    </row>
    <row r="10152" ht="15.75" customHeight="1">
      <c r="A10152" s="2" t="s">
        <v>10152</v>
      </c>
      <c r="B10152" s="2" t="str">
        <f>IFERROR(__xludf.DUMMYFUNCTION("GOOGLETRANSLATE(A10152, ""en"", ""mt"")"),"Xi jindikaw ukoll dikjarazzjonijiet mill-PO u l-membru inkarigati mill-abbozz?")</f>
        <v>Xi jindikaw ukoll dikjarazzjonijiet mill-PO u l-membru inkarigati mill-abbozz?</v>
      </c>
    </row>
    <row r="10153" ht="15.75" customHeight="1">
      <c r="A10153" s="2" t="s">
        <v>10153</v>
      </c>
      <c r="B10153" s="2" t="str">
        <f>IFERROR(__xludf.DUMMYFUNCTION("GOOGLETRANSLATE(A10153, ""en"", ""mt"")"),"Minn liema materjal huwa magħmul il-ganċ ta 'Gloucester?")</f>
        <v>Minn liema materjal huwa magħmul il-ganċ ta 'Gloucester?</v>
      </c>
    </row>
    <row r="10154" ht="15.75" customHeight="1">
      <c r="A10154" s="2" t="s">
        <v>10154</v>
      </c>
      <c r="B10154" s="2" t="str">
        <f>IFERROR(__xludf.DUMMYFUNCTION("GOOGLETRANSLATE(A10154, ""en"", ""mt"")"),"ħbiberija")</f>
        <v>ħbiberija</v>
      </c>
    </row>
    <row r="10155" ht="15.75" customHeight="1">
      <c r="A10155" s="2" t="s">
        <v>10155</v>
      </c>
      <c r="B10155" s="2" t="str">
        <f>IFERROR(__xludf.DUMMYFUNCTION("GOOGLETRANSLATE(A10155, ""en"", ""mt"")"),"It-Tlieta")</f>
        <v>It-Tlieta</v>
      </c>
    </row>
    <row r="10156" ht="15.75" customHeight="1">
      <c r="A10156" s="2" t="s">
        <v>10156</v>
      </c>
      <c r="B10156" s="2" t="str">
        <f>IFERROR(__xludf.DUMMYFUNCTION("GOOGLETRANSLATE(A10156, ""en"", ""mt"")"),"X'inhi t-tul tas-sena akkademika ta 'Harvard?")</f>
        <v>X'inhi t-tul tas-sena akkademika ta 'Harvard?</v>
      </c>
    </row>
    <row r="10157" ht="15.75" customHeight="1">
      <c r="A10157" s="2" t="s">
        <v>10157</v>
      </c>
      <c r="B10157" s="2" t="str">
        <f>IFERROR(__xludf.DUMMYFUNCTION("GOOGLETRANSLATE(A10157, ""en"", ""mt"")"),"Il-Kenja kienet forza dominanti fil-volleyball tan-nisa fl-Afrika, kemm il-klabbs kif ukoll it-tim nazzjonali jirbħu diversi kampjonati kontinentali fl-aħħar għaxar snin. [Ċitazzjoni meħtieġa] It-tim tan-nisa kkompeta fl-Olimpjadi u l-Kampjonati Dinjija i"&amp;"żda mingħajr suċċess notevoli. Cricket huwa ieħor popolari u l-iktar sport tat-tim ta 'suċċess. Il-Kenja kkompetiet fit-Tazza tad-Dinja tal-Cricket mill-1996. Huma mqalleb uħud mill-aqwa timijiet tad-dinja u laħqu s-semi-finali tal-kampjonat tal-2003. Hum"&amp;"a rebħu l-inawgurali tad-Diviżjoni 1 tad-Dinja tal-Kampjonat Cricket ospitat f'Nairobi u pparteċipaw fid-dinja T20. Il-kaptan attwali tagħhom huwa Rakep Patel. Huma pparteċipaw fit-Tazza tad-Dinja tal-ICC Cricket 2011. Il-Kenja hija rrappreżentata minn Lu"&amp;"cas Onyango bħala plejer professjonali tal-kampjonat tar-rugby li jilgħab ma 'Oldham Roughyeds. Minbarra l-eks tim Ewropew tas-Super League, huwa lagħab ma 'Widnes Vikings u Rugby Union ma' Sale Sharks. Ir-Rugby Union qed tiżdied fil-popolarità, speċjalme"&amp;"nt mal-kampjonat annwali tas-Safari Sevens. It-tim tal-Kenja Sevens ikklassifika d-9 post fis-Serje Dinjija tal-IRB Sevens għall-istaġun tal-2006. Il-Kenja kienet ukoll powerhouse reġjonali fil-futbol. Madankollu, id-dominanza tagħha tnaqqset mill-Wrangle"&amp;"s fil-Federazzjoni tal-Futbol tal-Kenja li issa ma tħaddimx, li wasslet għal sospensjoni mill-FIFA li tneħħiet f'Marzu 2007.")</f>
        <v>Il-Kenja kienet forza dominanti fil-volleyball tan-nisa fl-Afrika, kemm il-klabbs kif ukoll it-tim nazzjonali jirbħu diversi kampjonati kontinentali fl-aħħar għaxar snin. [Ċitazzjoni meħtieġa] It-tim tan-nisa kkompeta fl-Olimpjadi u l-Kampjonati Dinjija iżda mingħajr suċċess notevoli. Cricket huwa ieħor popolari u l-iktar sport tat-tim ta 'suċċess. Il-Kenja kkompetiet fit-Tazza tad-Dinja tal-Cricket mill-1996. Huma mqalleb uħud mill-aqwa timijiet tad-dinja u laħqu s-semi-finali tal-kampjonat tal-2003. Huma rebħu l-inawgurali tad-Diviżjoni 1 tad-Dinja tal-Kampjonat Cricket ospitat f'Nairobi u pparteċipaw fid-dinja T20. Il-kaptan attwali tagħhom huwa Rakep Patel. Huma pparteċipaw fit-Tazza tad-Dinja tal-ICC Cricket 2011. Il-Kenja hija rrappreżentata minn Lucas Onyango bħala plejer professjonali tal-kampjonat tar-rugby li jilgħab ma 'Oldham Roughyeds. Minbarra l-eks tim Ewropew tas-Super League, huwa lagħab ma 'Widnes Vikings u Rugby Union ma' Sale Sharks. Ir-Rugby Union qed tiżdied fil-popolarità, speċjalment mal-kampjonat annwali tas-Safari Sevens. It-tim tal-Kenja Sevens ikklassifika d-9 post fis-Serje Dinjija tal-IRB Sevens għall-istaġun tal-2006. Il-Kenja kienet ukoll powerhouse reġjonali fil-futbol. Madankollu, id-dominanza tagħha tnaqqset mill-Wrangles fil-Federazzjoni tal-Futbol tal-Kenja li issa ma tħaddimx, li wasslet għal sospensjoni mill-FIFA li tneħħiet f'Marzu 2007.</v>
      </c>
    </row>
    <row r="10158" ht="15.75" customHeight="1">
      <c r="A10158" s="2" t="s">
        <v>10158</v>
      </c>
      <c r="B10158" s="2" t="str">
        <f>IFERROR(__xludf.DUMMYFUNCTION("GOOGLETRANSLATE(A10158, ""en"", ""mt"")"),"X’kinxur il-grad ta ’Luther fl-1509?")</f>
        <v>X’kinxur il-grad ta ’Luther fl-1509?</v>
      </c>
    </row>
    <row r="10159" ht="15.75" customHeight="1">
      <c r="A10159" s="2" t="s">
        <v>10159</v>
      </c>
      <c r="B10159" s="2" t="str">
        <f>IFERROR(__xludf.DUMMYFUNCTION("GOOGLETRANSLATE(A10159, ""en"", ""mt"")"),"Liema kuluri kien il-logo ABC tal-2001?")</f>
        <v>Liema kuluri kien il-logo ABC tal-2001?</v>
      </c>
    </row>
    <row r="10160" ht="15.75" customHeight="1">
      <c r="A10160" s="2" t="s">
        <v>10160</v>
      </c>
      <c r="B10160" s="2" t="str">
        <f>IFERROR(__xludf.DUMMYFUNCTION("GOOGLETRANSLATE(A10160, ""en"", ""mt"")"),"Fluss ta 'elettroni ċikliċi")</f>
        <v>Fluss ta 'elettroni ċikliċi</v>
      </c>
    </row>
    <row r="10161" ht="15.75" customHeight="1">
      <c r="A10161" s="2" t="s">
        <v>10161</v>
      </c>
      <c r="B10161" s="2" t="str">
        <f>IFERROR(__xludf.DUMMYFUNCTION("GOOGLETRANSLATE(A10161, ""en"", ""mt"")"),"Fejn Tesla marret titlaq minn Gospic?")</f>
        <v>Fejn Tesla marret titlaq minn Gospic?</v>
      </c>
    </row>
    <row r="10162" ht="15.75" customHeight="1">
      <c r="A10162" s="2" t="s">
        <v>10162</v>
      </c>
      <c r="B10162" s="2" t="str">
        <f>IFERROR(__xludf.DUMMYFUNCTION("GOOGLETRANSLATE(A10162, ""en"", ""mt"")"),"li ddgħajjef l-ideoloġija komunista")</f>
        <v>li ddgħajjef l-ideoloġija komunista</v>
      </c>
    </row>
    <row r="10163" ht="15.75" customHeight="1">
      <c r="A10163" s="2" t="s">
        <v>10163</v>
      </c>
      <c r="B10163" s="2" t="str">
        <f>IFERROR(__xludf.DUMMYFUNCTION("GOOGLETRANSLATE(A10163, ""en"", ""mt"")"),"It-tieni liġi ta 'Newton tafferma l-proporzjonalità diretta ta' aċċellerazzjoni għall-forza u l-proporzjonalità inversa ta 'aċċellerazzjoni għall-massa. L-aċċellerazzjonijiet jistgħu jiġu definiti permezz ta 'kejl kinematiku. Madankollu, filwaqt li l-kine"&amp;"matika hija deskritta sew permezz ta 'analiżi tal-qafas ta' referenza fil-fiżika avvanzata, għad hemm mistoqsijiet profondi li jibqgħu dwar x'inhi d-definizzjoni xierqa tal-massa. Ir-Relatività Ġenerali toffri ekwivalenza bejn l-ispazju-ħin u l-massa, iżd"&amp;"a nieqsa minn teorija koerenti tal-gravità kwantistika, mhuwiex ċar dwar kif jew jekk din il-konnessjoni hijiex rilevanti fuq il-mikroskali. B'xi ġustifikazzjoni, it-tieni liġi ta 'Newton tista' tittieħed bħala definizzjoni kwantitattiva tal-massa billi t"&amp;"ikteb il-liġi bħala ugwaljanza; L-unitajiet relattivi tal-forza u l-massa mbagħad huma ffissati.")</f>
        <v>It-tieni liġi ta 'Newton tafferma l-proporzjonalità diretta ta' aċċellerazzjoni għall-forza u l-proporzjonalità inversa ta 'aċċellerazzjoni għall-massa. L-aċċellerazzjonijiet jistgħu jiġu definiti permezz ta 'kejl kinematiku. Madankollu, filwaqt li l-kinematika hija deskritta sew permezz ta 'analiżi tal-qafas ta' referenza fil-fiżika avvanzata, għad hemm mistoqsijiet profondi li jibqgħu dwar x'inhi d-definizzjoni xierqa tal-massa. Ir-Relatività Ġenerali toffri ekwivalenza bejn l-ispazju-ħin u l-massa, iżda nieqsa minn teorija koerenti tal-gravità kwantistika, mhuwiex ċar dwar kif jew jekk din il-konnessjoni hijiex rilevanti fuq il-mikroskali. B'xi ġustifikazzjoni, it-tieni liġi ta 'Newton tista' tittieħed bħala definizzjoni kwantitattiva tal-massa billi tikteb il-liġi bħala ugwaljanza; L-unitajiet relattivi tal-forza u l-massa mbagħad huma ffissati.</v>
      </c>
    </row>
    <row r="10164" ht="15.75" customHeight="1">
      <c r="A10164" s="2" t="s">
        <v>10164</v>
      </c>
      <c r="B10164" s="2" t="str">
        <f>IFERROR(__xludf.DUMMYFUNCTION("GOOGLETRANSLATE(A10164, ""en"", ""mt"")"),"27 ta ’Settembru 2001")</f>
        <v>27 ta ’Settembru 2001</v>
      </c>
    </row>
    <row r="10165" ht="15.75" customHeight="1">
      <c r="A10165" s="2" t="s">
        <v>10165</v>
      </c>
      <c r="B10165" s="2" t="str">
        <f>IFERROR(__xludf.DUMMYFUNCTION("GOOGLETRANSLATE(A10165, ""en"", ""mt"")"),"il-konferenza annwali tagħhom")</f>
        <v>il-konferenza annwali tagħhom</v>
      </c>
    </row>
    <row r="10166" ht="15.75" customHeight="1">
      <c r="A10166" s="2" t="s">
        <v>10166</v>
      </c>
      <c r="B10166" s="2" t="str">
        <f>IFERROR(__xludf.DUMMYFUNCTION("GOOGLETRANSLATE(A10166, ""en"", ""mt"")"),"Kamera tat-TV Apollo")</f>
        <v>Kamera tat-TV Apollo</v>
      </c>
    </row>
    <row r="10167" ht="15.75" customHeight="1">
      <c r="A10167" s="2" t="s">
        <v>10167</v>
      </c>
      <c r="B10167" s="2" t="str">
        <f>IFERROR(__xludf.DUMMYFUNCTION("GOOGLETRANSLATE(A10167, ""en"", ""mt"")"),"Diffikultajiet loġistiċi")</f>
        <v>Diffikultajiet loġistiċi</v>
      </c>
    </row>
    <row r="10168" ht="15.75" customHeight="1">
      <c r="A10168" s="2" t="s">
        <v>10168</v>
      </c>
      <c r="B10168" s="2" t="str">
        <f>IFERROR(__xludf.DUMMYFUNCTION("GOOGLETRANSLATE(A10168, ""en"", ""mt"")"),"fihom id-DNA tagħhom stess")</f>
        <v>fihom id-DNA tagħhom stess</v>
      </c>
    </row>
    <row r="10169" ht="15.75" customHeight="1">
      <c r="A10169" s="2" t="s">
        <v>10169</v>
      </c>
      <c r="B10169" s="2" t="str">
        <f>IFERROR(__xludf.DUMMYFUNCTION("GOOGLETRANSLATE(A10169, ""en"", ""mt"")"),"Xejn")</f>
        <v>Xejn</v>
      </c>
    </row>
    <row r="10170" ht="15.75" customHeight="1">
      <c r="A10170" s="2" t="s">
        <v>10170</v>
      </c>
      <c r="B10170" s="2" t="str">
        <f>IFERROR(__xludf.DUMMYFUNCTION("GOOGLETRANSLATE(A10170, ""en"", ""mt"")"),"Il-familji ta ’ħutu")</f>
        <v>Il-familji ta ’ħutu</v>
      </c>
    </row>
    <row r="10171" ht="15.75" customHeight="1">
      <c r="A10171" s="2" t="s">
        <v>10171</v>
      </c>
      <c r="B10171" s="2" t="str">
        <f>IFERROR(__xludf.DUMMYFUNCTION("GOOGLETRANSLATE(A10171, ""en"", ""mt"")"),"Chares """)</f>
        <v>Chares "</v>
      </c>
    </row>
    <row r="10172" ht="15.75" customHeight="1">
      <c r="A10172" s="2" t="s">
        <v>10172</v>
      </c>
      <c r="B10172" s="2" t="str">
        <f>IFERROR(__xludf.DUMMYFUNCTION("GOOGLETRANSLATE(A10172, ""en"", ""mt"")"),"L-organizzazzjonijiet kollha tal-istudenti rikonoxxuti, mill-Università ta ’Chicago Scavenger Hunt sal-mudell tan-NU, minbarra timijiet akkademiċi, klabb sportiv, gruppi tal-arti, u aktar huma ffinanzjati mill-gvern tal-istudenti tal-Università ta’ Chicag"&amp;"o. Il-gvern tal-istudenti huwa magħmul minn studenti gradwati u li għadhom ma ggradwawx eletti biex jirrappreżentaw lill-membri mill-unità akkademika rispettiva tagħhom. Huwa mmexxi minn kumitat eżekuttiv, ippresedut minn president bl-għajnuna ta 'żewġ vi"&amp;"ċi presidenti, wieħed għall-amministrazzjoni u l-ieħor għall-ħajja tal-istudenti, elett flimkien bħala lavanja mill-korp tal-istudenti kull rebbiegħa. Il-baġit annwali tiegħu huwa akbar minn $ 2 miljun.")</f>
        <v>L-organizzazzjonijiet kollha tal-istudenti rikonoxxuti, mill-Università ta ’Chicago Scavenger Hunt sal-mudell tan-NU, minbarra timijiet akkademiċi, klabb sportiv, gruppi tal-arti, u aktar huma ffinanzjati mill-gvern tal-istudenti tal-Università ta’ Chicago. Il-gvern tal-istudenti huwa magħmul minn studenti gradwati u li għadhom ma ggradwawx eletti biex jirrappreżentaw lill-membri mill-unità akkademika rispettiva tagħhom. Huwa mmexxi minn kumitat eżekuttiv, ippresedut minn president bl-għajnuna ta 'żewġ viċi presidenti, wieħed għall-amministrazzjoni u l-ieħor għall-ħajja tal-istudenti, elett flimkien bħala lavanja mill-korp tal-istudenti kull rebbiegħa. Il-baġit annwali tiegħu huwa akbar minn $ 2 miljun.</v>
      </c>
    </row>
    <row r="10173" ht="15.75" customHeight="1">
      <c r="A10173" s="2" t="s">
        <v>10173</v>
      </c>
      <c r="B10173" s="2" t="str">
        <f>IFERROR(__xludf.DUMMYFUNCTION("GOOGLETRANSLATE(A10173, ""en"", ""mt"")"),"X'kien it-twemmin ta 'Tesla dwar il-prezz tal-bejgħ tal-biplan?")</f>
        <v>X'kien it-twemmin ta 'Tesla dwar il-prezz tal-bejgħ tal-biplan?</v>
      </c>
    </row>
    <row r="10174" ht="15.75" customHeight="1">
      <c r="A10174" s="2" t="s">
        <v>10174</v>
      </c>
      <c r="B10174" s="2" t="str">
        <f>IFERROR(__xludf.DUMMYFUNCTION("GOOGLETRANSLATE(A10174, ""en"", ""mt"")"),"Innu għal tmiem il-ġimgħa")</f>
        <v>Innu għal tmiem il-ġimgħa</v>
      </c>
    </row>
    <row r="10175" ht="15.75" customHeight="1">
      <c r="A10175" s="2" t="s">
        <v>10175</v>
      </c>
      <c r="B10175" s="2" t="str">
        <f>IFERROR(__xludf.DUMMYFUNCTION("GOOGLETRANSLATE(A10175, ""en"", ""mt"")"),"X'inhi l-Liġi tal-Unjoni Ewropea?")</f>
        <v>X'inhi l-Liġi tal-Unjoni Ewropea?</v>
      </c>
    </row>
    <row r="10176" ht="15.75" customHeight="1">
      <c r="A10176" s="2" t="s">
        <v>10176</v>
      </c>
      <c r="B10176" s="2" t="str">
        <f>IFERROR(__xludf.DUMMYFUNCTION("GOOGLETRANSLATE(A10176, ""en"", ""mt"")"),"Tmien snin fl-iskola primarja u erba 'snin fl-iskola għolja")</f>
        <v>Tmien snin fl-iskola primarja u erba 'snin fl-iskola għolja</v>
      </c>
    </row>
    <row r="10177" ht="15.75" customHeight="1">
      <c r="A10177" s="2" t="s">
        <v>10177</v>
      </c>
      <c r="B10177" s="2" t="str">
        <f>IFERROR(__xludf.DUMMYFUNCTION("GOOGLETRANSLATE(A10177, ""en"", ""mt"")"),"Il-baqar ingħataw ix-xmara hemmhekk")</f>
        <v>Il-baqar ingħataw ix-xmara hemmhekk</v>
      </c>
    </row>
    <row r="10178" ht="15.75" customHeight="1">
      <c r="A10178" s="2" t="s">
        <v>10178</v>
      </c>
      <c r="B10178" s="2" t="str">
        <f>IFERROR(__xludf.DUMMYFUNCTION("GOOGLETRANSLATE(A10178, ""en"", ""mt"")"),"Kunsill Gateshead")</f>
        <v>Kunsill Gateshead</v>
      </c>
    </row>
    <row r="10179" ht="15.75" customHeight="1">
      <c r="A10179" s="2" t="s">
        <v>10179</v>
      </c>
      <c r="B10179" s="2" t="str">
        <f>IFERROR(__xludf.DUMMYFUNCTION("GOOGLETRANSLATE(A10179, ""en"", ""mt"")"),"jinteraġixxu u jaħdmu direttament ma 'studenti")</f>
        <v>jinteraġixxu u jaħdmu direttament ma 'studenti</v>
      </c>
    </row>
    <row r="10180" ht="15.75" customHeight="1">
      <c r="A10180" s="2" t="s">
        <v>10180</v>
      </c>
      <c r="B10180" s="2" t="str">
        <f>IFERROR(__xludf.DUMMYFUNCTION("GOOGLETRANSLATE(A10180, ""en"", ""mt"")"),"Xi jassorbi l-klorofilla?")</f>
        <v>Xi jassorbi l-klorofilla?</v>
      </c>
    </row>
    <row r="10181" ht="15.75" customHeight="1">
      <c r="A10181" s="2" t="s">
        <v>10181</v>
      </c>
      <c r="B10181" s="2" t="str">
        <f>IFERROR(__xludf.DUMMYFUNCTION("GOOGLETRANSLATE(A10181, ""en"", ""mt"")"),"Kemm il-flus ta 'John Jacob Astor IV ipprovda lil Tesla?")</f>
        <v>Kemm il-flus ta 'John Jacob Astor IV ipprovda lil Tesla?</v>
      </c>
    </row>
    <row r="10182" ht="15.75" customHeight="1">
      <c r="A10182" s="2" t="s">
        <v>10182</v>
      </c>
      <c r="B10182" s="2" t="str">
        <f>IFERROR(__xludf.DUMMYFUNCTION("GOOGLETRANSLATE(A10182, ""en"", ""mt"")"),"Arċisqof ta ’Trier")</f>
        <v>Arċisqof ta ’Trier</v>
      </c>
    </row>
    <row r="10183" ht="15.75" customHeight="1">
      <c r="A10183" s="2" t="s">
        <v>10183</v>
      </c>
      <c r="B10183" s="2" t="str">
        <f>IFERROR(__xludf.DUMMYFUNCTION("GOOGLETRANSLATE(A10183, ""en"", ""mt"")"),"Lill-Indjani Amerikani")</f>
        <v>Lill-Indjani Amerikani</v>
      </c>
    </row>
    <row r="10184" ht="15.75" customHeight="1">
      <c r="A10184" s="2" t="s">
        <v>10184</v>
      </c>
      <c r="B10184" s="2" t="str">
        <f>IFERROR(__xludf.DUMMYFUNCTION("GOOGLETRANSLATE(A10184, ""en"", ""mt"")"),"Indiġeni")</f>
        <v>Indiġeni</v>
      </c>
    </row>
    <row r="10185" ht="15.75" customHeight="1">
      <c r="A10185" s="2" t="s">
        <v>10185</v>
      </c>
      <c r="B10185" s="2" t="str">
        <f>IFERROR(__xludf.DUMMYFUNCTION("GOOGLETRANSLATE(A10185, ""en"", ""mt"")"),"Kul! Newcastlegateshead")</f>
        <v>Kul! Newcastlegateshead</v>
      </c>
    </row>
    <row r="10186" ht="15.75" customHeight="1">
      <c r="A10186" s="2" t="s">
        <v>10186</v>
      </c>
      <c r="B10186" s="2" t="str">
        <f>IFERROR(__xludf.DUMMYFUNCTION("GOOGLETRANSLATE(A10186, ""en"", ""mt"")"),"L-idea ta 'immunità akkwistata fil-vertebrati tax-xedaq hija l-bażi ta' liema trattament mediku?")</f>
        <v>L-idea ta 'immunità akkwistata fil-vertebrati tax-xedaq hija l-bażi ta' liema trattament mediku?</v>
      </c>
    </row>
    <row r="10187" ht="15.75" customHeight="1">
      <c r="A10187" s="2" t="s">
        <v>10187</v>
      </c>
      <c r="B10187" s="2" t="str">
        <f>IFERROR(__xludf.DUMMYFUNCTION("GOOGLETRANSLATE(A10187, ""en"", ""mt"")"),"Għaqda politika")</f>
        <v>Għaqda politika</v>
      </c>
    </row>
    <row r="10188" ht="15.75" customHeight="1">
      <c r="A10188" s="2" t="s">
        <v>10188</v>
      </c>
      <c r="B10188" s="2" t="str">
        <f>IFERROR(__xludf.DUMMYFUNCTION("GOOGLETRANSLATE(A10188, ""en"", ""mt"")"),"Liema wirja ta 'Aaron Sorkin iddebutta ABC fl-1998?")</f>
        <v>Liema wirja ta 'Aaron Sorkin iddebutta ABC fl-1998?</v>
      </c>
    </row>
    <row r="10189" ht="15.75" customHeight="1">
      <c r="A10189" s="2" t="s">
        <v>10189</v>
      </c>
      <c r="B10189" s="2" t="str">
        <f>IFERROR(__xludf.DUMMYFUNCTION("GOOGLETRANSLATE(A10189, ""en"", ""mt"")"),"qafas")</f>
        <v>qafas</v>
      </c>
    </row>
    <row r="10190" ht="15.75" customHeight="1">
      <c r="A10190" s="2" t="s">
        <v>10190</v>
      </c>
      <c r="B10190" s="2" t="str">
        <f>IFERROR(__xludf.DUMMYFUNCTION("GOOGLETRANSLATE(A10190, ""en"", ""mt"")"),"X'inhu ctenophora?")</f>
        <v>X'inhu ctenophora?</v>
      </c>
    </row>
    <row r="10191" ht="15.75" customHeight="1">
      <c r="A10191" s="2" t="s">
        <v>10191</v>
      </c>
      <c r="B10191" s="2" t="str">
        <f>IFERROR(__xludf.DUMMYFUNCTION("GOOGLETRANSLATE(A10191, ""en"", ""mt"")"),"Lewkoċiti (ċelloli bojod tad-demm) jaġixxu bħal organiżmi indipendenti b'ċelluli singoli u huma t-tieni fergħa tas-sistema immuni innata. Il-lewkoċiti innati jinkludu l-fagoċiti (makrofaġi, newtrofili, u ċelloli dendritiċi), ċelloli mast, eosinophils, bas"&amp;"ophils, u ċelloli qattiela naturali. Dawn iċ-ċelloli jidentifikaw u jeliminaw il-patoġeni, jew billi jattakkaw patoġeni akbar permezz ta 'kuntatt jew billi jinħadmu u mbagħad joqtlu mikro-organiżmi. Iċ-ċelloli innati huma wkoll medjaturi importanti fl-att"&amp;"ivazzjoni tas-sistema immunitarja adattiva.")</f>
        <v>Lewkoċiti (ċelloli bojod tad-demm) jaġixxu bħal organiżmi indipendenti b'ċelluli singoli u huma t-tieni fergħa tas-sistema immuni innata. Il-lewkoċiti innati jinkludu l-fagoċiti (makrofaġi, newtrofili, u ċelloli dendritiċi), ċelloli mast, eosinophils, basophils, u ċelloli qattiela naturali. Dawn iċ-ċelloli jidentifikaw u jeliminaw il-patoġeni, jew billi jattakkaw patoġeni akbar permezz ta 'kuntatt jew billi jinħadmu u mbagħad joqtlu mikro-organiżmi. Iċ-ċelloli innati huma wkoll medjaturi importanti fl-attivazzjoni tas-sistema immunitarja adattiva.</v>
      </c>
    </row>
    <row r="10192" ht="15.75" customHeight="1">
      <c r="A10192" s="2" t="s">
        <v>10192</v>
      </c>
      <c r="B10192" s="2" t="str">
        <f>IFERROR(__xludf.DUMMYFUNCTION("GOOGLETRANSLATE(A10192, ""en"", ""mt"")"),"Retorika Kontra l-Lhudija")</f>
        <v>Retorika Kontra l-Lhudija</v>
      </c>
    </row>
    <row r="10193" ht="15.75" customHeight="1">
      <c r="A10193" s="2" t="s">
        <v>10193</v>
      </c>
      <c r="B10193" s="2" t="str">
        <f>IFERROR(__xludf.DUMMYFUNCTION("GOOGLETRANSLATE(A10193, ""en"", ""mt"")"),"Il-kurva Kuznets tgħid bl-iżvilupp ekonomiku, l-inugwaljanza se tonqos wara xiex?")</f>
        <v>Il-kurva Kuznets tgħid bl-iżvilupp ekonomiku, l-inugwaljanza se tonqos wara xiex?</v>
      </c>
    </row>
    <row r="10194" ht="15.75" customHeight="1">
      <c r="A10194" s="2" t="s">
        <v>10194</v>
      </c>
      <c r="B10194" s="2" t="str">
        <f>IFERROR(__xludf.DUMMYFUNCTION("GOOGLETRANSLATE(A10194, ""en"", ""mt"")"),"L-ewwel film magħruf li fih xi xeni esterni ffilmjati fil-belt jinsab fil-lejl tan-nar (1939), għalkemm ġeneralment l-azzjoni hija marbuta mal-istudjo. Aktar tard waslu l-Isfar Msaħħab (1951) u l-Pagi (1961), it-tnejn li huma għandhom xeni aktar estensivi"&amp;" ffilmjati fil-belt. Il-film tal-1971 Get Carter ġie sparat fuq il-post fi Newcastle u madwarha u joffri opportunità biex tara kif kien jidher Newcastle fis-snin 1960 u fil-bidu tas-snin sebgħin. Il-belt kienet ukoll sfond għal film ieħor tal-gangster, il"&amp;"-film Noir Thriller Stormy tat-Tnejn tal-1988, dirett minn Mike Figgis u starring Tommy Lee Jones, Melanie Griffith, Sting u Sean Bean.")</f>
        <v>L-ewwel film magħruf li fih xi xeni esterni ffilmjati fil-belt jinsab fil-lejl tan-nar (1939), għalkemm ġeneralment l-azzjoni hija marbuta mal-istudjo. Aktar tard waslu l-Isfar Msaħħab (1951) u l-Pagi (1961), it-tnejn li huma għandhom xeni aktar estensivi ffilmjati fil-belt. Il-film tal-1971 Get Carter ġie sparat fuq il-post fi Newcastle u madwarha u joffri opportunità biex tara kif kien jidher Newcastle fis-snin 1960 u fil-bidu tas-snin sebgħin. Il-belt kienet ukoll sfond għal film ieħor tal-gangster, il-film Noir Thriller Stormy tat-Tnejn tal-1988, dirett minn Mike Figgis u starring Tommy Lee Jones, Melanie Griffith, Sting u Sean Bean.</v>
      </c>
    </row>
    <row r="10195" ht="15.75" customHeight="1">
      <c r="A10195" s="2" t="s">
        <v>10195</v>
      </c>
      <c r="B10195" s="2" t="str">
        <f>IFERROR(__xludf.DUMMYFUNCTION("GOOGLETRANSLATE(A10195, ""en"", ""mt"")"),"Fejn iddikjara li l-blueprint kien maħżun?")</f>
        <v>Fejn iddikjara li l-blueprint kien maħżun?</v>
      </c>
    </row>
    <row r="10196" ht="15.75" customHeight="1">
      <c r="A10196" s="2" t="s">
        <v>10196</v>
      </c>
      <c r="B10196" s="2" t="str">
        <f>IFERROR(__xludf.DUMMYFUNCTION("GOOGLETRANSLATE(A10196, ""en"", ""mt"")"),"Swaħili")</f>
        <v>Swaħili</v>
      </c>
    </row>
    <row r="10197" ht="15.75" customHeight="1">
      <c r="A10197" s="2" t="s">
        <v>10197</v>
      </c>
      <c r="B10197" s="2" t="str">
        <f>IFERROR(__xludf.DUMMYFUNCTION("GOOGLETRANSLATE(A10197, ""en"", ""mt"")"),"X'inhu xi kultant iktar effettiv minn diżubbidjenza ċivili xi drabi?")</f>
        <v>X'inhu xi kultant iktar effettiv minn diżubbidjenza ċivili xi drabi?</v>
      </c>
    </row>
    <row r="10198" ht="15.75" customHeight="1">
      <c r="A10198" s="2" t="s">
        <v>10198</v>
      </c>
      <c r="B10198" s="2" t="str">
        <f>IFERROR(__xludf.DUMMYFUNCTION("GOOGLETRANSLATE(A10198, ""en"", ""mt"")"),"ħafna elementi")</f>
        <v>ħafna elementi</v>
      </c>
    </row>
    <row r="10199" ht="15.75" customHeight="1">
      <c r="A10199" s="2" t="s">
        <v>10199</v>
      </c>
      <c r="B10199" s="2" t="str">
        <f>IFERROR(__xludf.DUMMYFUNCTION("GOOGLETRANSLATE(A10199, ""en"", ""mt"")"),"asfissjat")</f>
        <v>asfissjat</v>
      </c>
    </row>
    <row r="10200" ht="15.75" customHeight="1">
      <c r="A10200" s="2" t="s">
        <v>10200</v>
      </c>
      <c r="B10200" s="2" t="str">
        <f>IFERROR(__xludf.DUMMYFUNCTION("GOOGLETRANSLATE(A10200, ""en"", ""mt"")"),"Ohio Company of Virginia")</f>
        <v>Ohio Company of Virginia</v>
      </c>
    </row>
    <row r="10201" ht="15.75" customHeight="1">
      <c r="A10201" s="2" t="s">
        <v>10201</v>
      </c>
      <c r="B10201" s="2" t="str">
        <f>IFERROR(__xludf.DUMMYFUNCTION("GOOGLETRANSLATE(A10201, ""en"", ""mt"")"),"Iċ-ċelloli T qattiel jistgħu jirrikonoxxu biss antiġeni akkoppjati ma 'x'tip ta' molekuli?")</f>
        <v>Iċ-ċelloli T qattiel jistgħu jirrikonoxxu biss antiġeni akkoppjati ma 'x'tip ta' molekuli?</v>
      </c>
    </row>
    <row r="10202" ht="15.75" customHeight="1">
      <c r="A10202" s="2" t="s">
        <v>10202</v>
      </c>
      <c r="B10202" s="2" t="str">
        <f>IFERROR(__xludf.DUMMYFUNCTION("GOOGLETRANSLATE(A10202, ""en"", ""mt"")"),"Teorija tat-tiġrijiet")</f>
        <v>Teorija tat-tiġrijiet</v>
      </c>
    </row>
    <row r="10203" ht="15.75" customHeight="1">
      <c r="A10203" s="2" t="s">
        <v>10203</v>
      </c>
      <c r="B10203" s="2" t="str">
        <f>IFERROR(__xludf.DUMMYFUNCTION("GOOGLETRANSLATE(A10203, ""en"", ""mt"")"),"Jista 'jtaffi l-bajda tiegħu stess")</f>
        <v>Jista 'jtaffi l-bajda tiegħu stess</v>
      </c>
    </row>
    <row r="10204" ht="15.75" customHeight="1">
      <c r="A10204" s="2" t="s">
        <v>10204</v>
      </c>
      <c r="B10204" s="2" t="str">
        <f>IFERROR(__xludf.DUMMYFUNCTION("GOOGLETRANSLATE(A10204, ""en"", ""mt"")"),"X'inhu t-terminu għal laqgħa tal-kapijiet tal-Mongolja?")</f>
        <v>X'inhu t-terminu għal laqgħa tal-kapijiet tal-Mongolja?</v>
      </c>
    </row>
    <row r="10205" ht="15.75" customHeight="1">
      <c r="A10205" s="2" t="s">
        <v>10205</v>
      </c>
      <c r="B10205" s="2" t="str">
        <f>IFERROR(__xludf.DUMMYFUNCTION("GOOGLETRANSLATE(A10205, ""en"", ""mt"")"),"kejl kinematiku")</f>
        <v>kejl kinematiku</v>
      </c>
    </row>
    <row r="10206" ht="15.75" customHeight="1">
      <c r="A10206" s="2" t="s">
        <v>10206</v>
      </c>
      <c r="B10206" s="2" t="str">
        <f>IFERROR(__xludf.DUMMYFUNCTION("GOOGLETRANSLATE(A10206, ""en"", ""mt"")"),"99.4.")</f>
        <v>99.4.</v>
      </c>
    </row>
    <row r="10207" ht="15.75" customHeight="1">
      <c r="A10207" s="2" t="s">
        <v>10207</v>
      </c>
      <c r="B10207" s="2" t="str">
        <f>IFERROR(__xludf.DUMMYFUNCTION("GOOGLETRANSLATE(A10207, ""en"", ""mt"")"),"aktar minn ħames miljun")</f>
        <v>aktar minn ħames miljun</v>
      </c>
    </row>
    <row r="10208" ht="15.75" customHeight="1">
      <c r="A10208" s="2" t="s">
        <v>10208</v>
      </c>
      <c r="B10208" s="2" t="str">
        <f>IFERROR(__xludf.DUMMYFUNCTION("GOOGLETRANSLATE(A10208, ""en"", ""mt"")"),"X'inhi l-iktar kawża komuni ta 'immunodefiċjenza fin-nazzjonijiet li qed jiżviluppaw?")</f>
        <v>X'inhi l-iktar kawża komuni ta 'immunodefiċjenza fin-nazzjonijiet li qed jiżviluppaw?</v>
      </c>
    </row>
    <row r="10209" ht="15.75" customHeight="1">
      <c r="A10209" s="2" t="s">
        <v>10209</v>
      </c>
      <c r="B10209" s="2" t="str">
        <f>IFERROR(__xludf.DUMMYFUNCTION("GOOGLETRANSLATE(A10209, ""en"", ""mt"")"),"Paċifiku t'Isfel")</f>
        <v>Paċifiku t'Isfel</v>
      </c>
    </row>
    <row r="10210" ht="15.75" customHeight="1">
      <c r="A10210" s="2" t="s">
        <v>10210</v>
      </c>
      <c r="B10210" s="2" t="str">
        <f>IFERROR(__xludf.DUMMYFUNCTION("GOOGLETRANSLATE(A10210, ""en"", ""mt"")"),"Il-Broncos għelbu lil Pittsburgh Steelers fir-rawnd diviżjonali, 23-16, billi skorja 11-il punt fl-aħħar tliet minuti tal-logħba. Imbagħad għelbu liċ-champion tas-Super Bowl XLIX li jiddefendi New England Patriots fil-logħba tal-Kampjonat AFC, 20-18, bill"&amp;"i interċetta pass fuq l-attentat ta 'konverżjoni ta' 2 punti ta 'New England bi 17-il sekonda xellug fuq l-arloġġ. Minkejja l-problemi ta 'Manning bl-interċezzjonijiet matul l-istaġun, huwa ma tefa' l-ebda fiż-żewġ logħbiet tal-playoff tagħhom.")</f>
        <v>Il-Broncos għelbu lil Pittsburgh Steelers fir-rawnd diviżjonali, 23-16, billi skorja 11-il punt fl-aħħar tliet minuti tal-logħba. Imbagħad għelbu liċ-champion tas-Super Bowl XLIX li jiddefendi New England Patriots fil-logħba tal-Kampjonat AFC, 20-18, billi interċetta pass fuq l-attentat ta 'konverżjoni ta' 2 punti ta 'New England bi 17-il sekonda xellug fuq l-arloġġ. Minkejja l-problemi ta 'Manning bl-interċezzjonijiet matul l-istaġun, huwa ma tefa' l-ebda fiż-żewġ logħbiet tal-playoff tagħhom.</v>
      </c>
    </row>
    <row r="10211" ht="15.75" customHeight="1">
      <c r="A10211" s="2" t="s">
        <v>10211</v>
      </c>
      <c r="B10211" s="2" t="str">
        <f>IFERROR(__xludf.DUMMYFUNCTION("GOOGLETRANSLATE(A10211, ""en"", ""mt"")"),"kromalveolati")</f>
        <v>kromalveolati</v>
      </c>
    </row>
    <row r="10212" ht="15.75" customHeight="1">
      <c r="A10212" s="2" t="s">
        <v>10212</v>
      </c>
      <c r="B10212" s="2" t="str">
        <f>IFERROR(__xludf.DUMMYFUNCTION("GOOGLETRANSLATE(A10212, ""en"", ""mt"")"),"Kemm hemm konferenzi ċentrali barra mill-Istati Uniti?")</f>
        <v>Kemm hemm konferenzi ċentrali barra mill-Istati Uniti?</v>
      </c>
    </row>
    <row r="10213" ht="15.75" customHeight="1">
      <c r="A10213" s="2" t="s">
        <v>10213</v>
      </c>
      <c r="B10213" s="2" t="str">
        <f>IFERROR(__xludf.DUMMYFUNCTION("GOOGLETRANSLATE(A10213, ""en"", ""mt"")"),"Strateġija waħda ta 'Iżlamizzazzjoni hija li taħtaf il-poter b'liema metodi?")</f>
        <v>Strateġija waħda ta 'Iżlamizzazzjoni hija li taħtaf il-poter b'liema metodi?</v>
      </c>
    </row>
    <row r="10214" ht="15.75" customHeight="1">
      <c r="A10214" s="2" t="s">
        <v>10214</v>
      </c>
      <c r="B10214" s="2" t="str">
        <f>IFERROR(__xludf.DUMMYFUNCTION("GOOGLETRANSLATE(A10214, ""en"", ""mt"")"),"X'inhu eżempju ta 'kejl fi ħdan klassi ta' kumplessità li toħloq sett ikbar ta 'problemi jekk il-limiti jkunu rilassati?")</f>
        <v>X'inhu eżempju ta 'kejl fi ħdan klassi ta' kumplessità li toħloq sett ikbar ta 'problemi jekk il-limiti jkunu rilassati?</v>
      </c>
    </row>
    <row r="10215" ht="15.75" customHeight="1">
      <c r="A10215" s="2" t="s">
        <v>10215</v>
      </c>
      <c r="B10215" s="2" t="str">
        <f>IFERROR(__xludf.DUMMYFUNCTION("GOOGLETRANSLATE(A10215, ""en"", ""mt"")"),"Meristems Apical tal-Pjanti għall-Adulti")</f>
        <v>Meristems Apical tal-Pjanti għall-Adulti</v>
      </c>
    </row>
    <row r="10216" ht="15.75" customHeight="1">
      <c r="A10216" s="2" t="s">
        <v>10216</v>
      </c>
      <c r="B10216" s="2" t="str">
        <f>IFERROR(__xludf.DUMMYFUNCTION("GOOGLETRANSLATE(A10216, ""en"", ""mt"")"),"Liema duttrini oħra Luther ma qabdux dwar il-qaddisin?")</f>
        <v>Liema duttrini oħra Luther ma qabdux dwar il-qaddisin?</v>
      </c>
    </row>
    <row r="10217" ht="15.75" customHeight="1">
      <c r="A10217" s="2" t="s">
        <v>10217</v>
      </c>
      <c r="B10217" s="2" t="str">
        <f>IFERROR(__xludf.DUMMYFUNCTION("GOOGLETRANSLATE(A10217, ""en"", ""mt"")"),"rappreżentanti")</f>
        <v>rappreżentanti</v>
      </c>
    </row>
    <row r="10218" ht="15.75" customHeight="1">
      <c r="A10218" s="2" t="s">
        <v>10218</v>
      </c>
      <c r="B10218" s="2" t="str">
        <f>IFERROR(__xludf.DUMMYFUNCTION("GOOGLETRANSLATE(A10218, ""en"", ""mt"")"),"$ 5,000,000,")</f>
        <v>$ 5,000,000,</v>
      </c>
    </row>
    <row r="10219" ht="15.75" customHeight="1">
      <c r="A10219" s="2" t="s">
        <v>10219</v>
      </c>
      <c r="B10219" s="2" t="str">
        <f>IFERROR(__xludf.DUMMYFUNCTION("GOOGLETRANSLATE(A10219, ""en"", ""mt"")"),"Kif tissejjaħ terra preta?")</f>
        <v>Kif tissejjaħ terra preta?</v>
      </c>
    </row>
    <row r="10220" ht="15.75" customHeight="1">
      <c r="A10220" s="2" t="s">
        <v>10220</v>
      </c>
      <c r="B10220" s="2" t="str">
        <f>IFERROR(__xludf.DUMMYFUNCTION("GOOGLETRANSLATE(A10220, ""en"", ""mt"")"),"3.55 pulzier (90.2 mm)")</f>
        <v>3.55 pulzier (90.2 mm)</v>
      </c>
    </row>
    <row r="10221" ht="15.75" customHeight="1">
      <c r="A10221" s="2" t="s">
        <v>10221</v>
      </c>
      <c r="B10221" s="2" t="str">
        <f>IFERROR(__xludf.DUMMYFUNCTION("GOOGLETRANSLATE(A10221, ""en"", ""mt"")"),"Kooperazzjoni")</f>
        <v>Kooperazzjoni</v>
      </c>
    </row>
    <row r="10222" ht="15.75" customHeight="1">
      <c r="A10222" s="2" t="s">
        <v>10222</v>
      </c>
      <c r="B10222" s="2" t="str">
        <f>IFERROR(__xludf.DUMMYFUNCTION("GOOGLETRANSLATE(A10222, ""en"", ""mt"")"),"il-kastità tiegħu")</f>
        <v>il-kastità tiegħu</v>
      </c>
    </row>
    <row r="10223" ht="15.75" customHeight="1">
      <c r="A10223" s="2" t="s">
        <v>10223</v>
      </c>
      <c r="B10223" s="2" t="str">
        <f>IFERROR(__xludf.DUMMYFUNCTION("GOOGLETRANSLATE(A10223, ""en"", ""mt"")"),"Il-Bord Intergovernattiv dwar it-Tibdil fil-Klima (IPCC) huwa korp intergovernattiv xjentifiku taħt il-patroċinju tan-Nazzjonijiet Uniti, imwaqqaf fuq talba tal-gvernijiet membri. L-ewwel ġie stabbilit fl-1988 minn żewġ organizzazzjonijiet tan-Nazzjonijie"&amp;"t Uniti, l-Organizzazzjoni Meteoroloġika Dinjija (WMO) u l-Programm ta 'l-Ambjent tan-Nazzjonijiet Uniti (UNEP), u aktar tard approvat mill-Assemblea Ġenerali tan-Nazzjonijiet Uniti permezz tar-Riżoluzzjoni 43/53. Is-sħubija fl-IPCC hija miftuħa għall-mem"&amp;"bri kollha tal-WMO u l-UNEP. L-IPCC jipproduċi rapporti li jappoġġjaw il-Konvenzjoni Qafas tan-Nazzjonijiet Uniti dwar it-Tibdil fil-Klima (UNFCCC), li huwa t-Trattat Internazzjonali ewlieni dwar it-Tibdil fil-Klima. L-għan aħħari tal-UNFCCC huwa li ""tis"&amp;"tabbilizza l-konċentrazzjonijiet tal-gass serra fl-atmosfera f'livell li jipprevjeni interferenza antropoġenika perikoluża [i.e., indotta mill-bniedem] fis-sistema klimatika"". Ir-rapporti tal-IPCC ikopru ""l-informazzjoni xjentifika, teknika u soċjo-ekon"&amp;"omika rilevanti biex tifhem il-bażi xjentifika tar-riskju ta 'bidla fil-klima indotta mill-bniedem, l-impatti potenzjali u l-għażliet tagħha għall-adattament u l-mitigazzjoni.""")</f>
        <v>Il-Bord Intergovernattiv dwar it-Tibdil fil-Klima (IPCC) huwa korp intergovernattiv xjentifiku taħt il-patroċinju tan-Nazzjonijiet Uniti, imwaqqaf fuq talba tal-gvernijiet membri. L-ewwel ġie stabbilit fl-1988 minn żewġ organizzazzjonijiet tan-Nazzjonijiet Uniti, l-Organizzazzjoni Meteoroloġika Dinjija (WMO) u l-Programm ta 'l-Ambjent tan-Nazzjonijiet Uniti (UNEP), u aktar tard approvat mill-Assemblea Ġenerali tan-Nazzjonijiet Uniti permezz tar-Riżoluzzjoni 43/53. Is-sħubija fl-IPCC hija miftuħa għall-membri kollha tal-WMO u l-UNEP. L-IPCC jipproduċi rapporti li jappoġġjaw il-Konvenzjoni Qafas tan-Nazzjonijiet Uniti dwar it-Tibdil fil-Klima (UNFCCC), li huwa t-Trattat Internazzjonali ewlieni dwar it-Tibdil fil-Klima. L-għan aħħari tal-UNFCCC huwa li "tistabbilizza l-konċentrazzjonijiet tal-gass serra fl-atmosfera f'livell li jipprevjeni interferenza antropoġenika perikoluża [i.e., indotta mill-bniedem] fis-sistema klimatika". Ir-rapporti tal-IPCC ikopru "l-informazzjoni xjentifika, teknika u soċjo-ekonomika rilevanti biex tifhem il-bażi xjentifika tar-riskju ta 'bidla fil-klima indotta mill-bniedem, l-impatti potenzjali u l-għażliet tagħha għall-adattament u l-mitigazzjoni."</v>
      </c>
    </row>
    <row r="10224" ht="15.75" customHeight="1">
      <c r="A10224" s="2" t="s">
        <v>10224</v>
      </c>
      <c r="B10224" s="2" t="str">
        <f>IFERROR(__xludf.DUMMYFUNCTION("GOOGLETRANSLATE(A10224, ""en"", ""mt"")"),"1493-1500")</f>
        <v>1493-1500</v>
      </c>
    </row>
    <row r="10225" ht="15.75" customHeight="1">
      <c r="A10225" s="2" t="s">
        <v>10225</v>
      </c>
      <c r="B10225" s="2" t="str">
        <f>IFERROR(__xludf.DUMMYFUNCTION("GOOGLETRANSLATE(A10225, ""en"", ""mt"")"),"L-istazzjonijiet ewlenin ta 'kull stazzjon fis-swieq ta' kull tim se jġorru t-telefonati lokali play-by-play tagħhom. F'Denver, KOA (850 am) u KRFX (103.5 FM) se jġorru l-logħba, ma 'Dave Logan fuq play-by-play u Ed McCaffrey fuq kummentarju bil-kulur. F’"&amp;"Carolina tat-Tramuntana, WBT (1110 am) se jġorr il-logħba, ma ’Mick Mixon fuq Play-By-Play u Eugene Robinson u Jim Szoke fuq kummentarju tal-kulur. WBT se tissimula wkoll il-logħba fuq l-istazzjon oħtha WBT-FM (99.3 FM), li hija bbażata f'Chester, South C"&amp;"arolina. Peress li l-KOA u l-WBT huma t-tnejn stazzjonijiet tal-kanali ċari, ix-xandiriet lokali se jinstemgħu fuq ħafna mill-Istati Uniti tal-Punent wara nżul ix-xemx (għal Denver) u l-Istati Uniti tal-Lvant matul il-logħba (għal Carolina). Skond ir-rego"&amp;"li kuntrattwali, il-kumplament tal-istazzjonijiet fin-netwerks tar-radju Broncos u Panthers jew iġorru l-għalf ta 'Westwood One jew ma jġorrux il-logħba.")</f>
        <v>L-istazzjonijiet ewlenin ta 'kull stazzjon fis-swieq ta' kull tim se jġorru t-telefonati lokali play-by-play tagħhom. F'Denver, KOA (850 am) u KRFX (103.5 FM) se jġorru l-logħba, ma 'Dave Logan fuq play-by-play u Ed McCaffrey fuq kummentarju bil-kulur. F’Carolina tat-Tramuntana, WBT (1110 am) se jġorr il-logħba, ma ’Mick Mixon fuq Play-By-Play u Eugene Robinson u Jim Szoke fuq kummentarju tal-kulur. WBT se tissimula wkoll il-logħba fuq l-istazzjon oħtha WBT-FM (99.3 FM), li hija bbażata f'Chester, South Carolina. Peress li l-KOA u l-WBT huma t-tnejn stazzjonijiet tal-kanali ċari, ix-xandiriet lokali se jinstemgħu fuq ħafna mill-Istati Uniti tal-Punent wara nżul ix-xemx (għal Denver) u l-Istati Uniti tal-Lvant matul il-logħba (għal Carolina). Skond ir-regoli kuntrattwali, il-kumplament tal-istazzjonijiet fin-netwerks tar-radju Broncos u Panthers jew iġorru l-għalf ta 'Westwood One jew ma jġorrux il-logħba.</v>
      </c>
    </row>
    <row r="10226" ht="15.75" customHeight="1">
      <c r="A10226" s="2" t="s">
        <v>10226</v>
      </c>
      <c r="B10226" s="2" t="str">
        <f>IFERROR(__xludf.DUMMYFUNCTION("GOOGLETRANSLATE(A10226, ""en"", ""mt"")"),"X'tip ta 'strumenti mużikali ġab il-wan lejn iċ-Ċina?")</f>
        <v>X'tip ta 'strumenti mużikali ġab il-wan lejn iċ-Ċina?</v>
      </c>
    </row>
    <row r="10227" ht="15.75" customHeight="1">
      <c r="A10227" s="2" t="s">
        <v>10227</v>
      </c>
      <c r="B10227" s="2" t="str">
        <f>IFERROR(__xludf.DUMMYFUNCTION("GOOGLETRANSLATE(A10227, ""en"", ""mt"")"),"biex jipproteġu l-artijiet tribali tagħhom minn interessi kummerċjali")</f>
        <v>biex jipproteġu l-artijiet tribali tagħhom minn interessi kummerċjali</v>
      </c>
    </row>
    <row r="10228" ht="15.75" customHeight="1">
      <c r="A10228" s="2" t="s">
        <v>10228</v>
      </c>
      <c r="B10228" s="2" t="str">
        <f>IFERROR(__xludf.DUMMYFUNCTION("GOOGLETRANSLATE(A10228, ""en"", ""mt"")"),"Huwa bagħat missjunarji, appoġġjati minn fond biex jippremjaw finanzjarjament konvertiti")</f>
        <v>Huwa bagħat missjunarji, appoġġjati minn fond biex jippremjaw finanzjarjament konvertiti</v>
      </c>
    </row>
    <row r="10229" ht="15.75" customHeight="1">
      <c r="A10229" s="2" t="s">
        <v>10229</v>
      </c>
      <c r="B10229" s="2" t="str">
        <f>IFERROR(__xludf.DUMMYFUNCTION("GOOGLETRANSLATE(A10229, ""en"", ""mt"")"),"Taħdem permezz tal-Modernist Tork Mustafa Kemal Atatürk")</f>
        <v>Taħdem permezz tal-Modernist Tork Mustafa Kemal Atatürk</v>
      </c>
    </row>
    <row r="10230" ht="15.75" customHeight="1">
      <c r="A10230" s="2" t="s">
        <v>10230</v>
      </c>
      <c r="B10230" s="2" t="str">
        <f>IFERROR(__xludf.DUMMYFUNCTION("GOOGLETRANSLATE(A10230, ""en"", ""mt"")"),"Kemm hemm volumi totali fis-sistema tal-librerija ta 'Harvard?")</f>
        <v>Kemm hemm volumi totali fis-sistema tal-librerija ta 'Harvard?</v>
      </c>
    </row>
    <row r="10231" ht="15.75" customHeight="1">
      <c r="A10231" s="2" t="s">
        <v>10231</v>
      </c>
      <c r="B10231" s="2" t="str">
        <f>IFERROR(__xludf.DUMMYFUNCTION("GOOGLETRANSLATE(A10231, ""en"", ""mt"")"),"qtugħ tal-enerġija")</f>
        <v>qtugħ tal-enerġija</v>
      </c>
    </row>
    <row r="10232" ht="15.75" customHeight="1">
      <c r="A10232" s="2" t="s">
        <v>10232</v>
      </c>
      <c r="B10232" s="2" t="str">
        <f>IFERROR(__xludf.DUMMYFUNCTION("GOOGLETRANSLATE(A10232, ""en"", ""mt"")"),"Waqt li tesperimenta, Tesla involontarjament tefa 'ġeneratur tal-power station, u kkawża waqfien mill-enerġija. F'Awwissu tal-1917, Tesla spjegat dak li ġara fl-esperiment elettriku: ""Bħala eżempju ta 'dak li sar b'diversi mijiet ta' kilowatts ta 'enerġi"&amp;"ja ta' frekwenza għolja meħlusa, instab li d-dinamo f'dar f'qawwa ta 'sitt mili' l bogħod inħaraq ripetutament , minħabba l-kurrenti qawwija ta 'frekwenza għolja stabbiliti fihom, u li kkawżaw xrar tqal biex jaqbżu mill-koljaturi u jeqirdu l-insulazzjoni!"&amp;" """)</f>
        <v>Waqt li tesperimenta, Tesla involontarjament tefa 'ġeneratur tal-power station, u kkawża waqfien mill-enerġija. F'Awwissu tal-1917, Tesla spjegat dak li ġara fl-esperiment elettriku: "Bħala eżempju ta 'dak li sar b'diversi mijiet ta' kilowatts ta 'enerġija ta' frekwenza għolja meħlusa, instab li d-dinamo f'dar f'qawwa ta 'sitt mili' l bogħod inħaraq ripetutament , minħabba l-kurrenti qawwija ta 'frekwenza għolja stabbiliti fihom, u li kkawżaw xrar tqal biex jaqbżu mill-koljaturi u jeqirdu l-insulazzjoni! "</v>
      </c>
    </row>
    <row r="10233" ht="15.75" customHeight="1">
      <c r="A10233" s="2" t="s">
        <v>10233</v>
      </c>
      <c r="B10233" s="2" t="str">
        <f>IFERROR(__xludf.DUMMYFUNCTION("GOOGLETRANSLATE(A10233, ""en"", ""mt"")"),"L-invażjoni falliet kemm militarment kif ukoll politikament")</f>
        <v>L-invażjoni falliet kemm militarment kif ukoll politikament</v>
      </c>
    </row>
    <row r="10234" ht="15.75" customHeight="1">
      <c r="A10234" s="2" t="s">
        <v>10234</v>
      </c>
      <c r="B10234" s="2" t="str">
        <f>IFERROR(__xludf.DUMMYFUNCTION("GOOGLETRANSLATE(A10234, ""en"", ""mt"")"),"Il-kloroplasti ma jintirtux mill-ġenitur maskili")</f>
        <v>Il-kloroplasti ma jintirtux mill-ġenitur maskili</v>
      </c>
    </row>
    <row r="10235" ht="15.75" customHeight="1">
      <c r="A10235" s="2" t="s">
        <v>10235</v>
      </c>
      <c r="B10235" s="2" t="str">
        <f>IFERROR(__xludf.DUMMYFUNCTION("GOOGLETRANSLATE(A10235, ""en"", ""mt"")"),"vleġeġ")</f>
        <v>vleġeġ</v>
      </c>
    </row>
    <row r="10236" ht="15.75" customHeight="1">
      <c r="A10236" s="2" t="s">
        <v>10236</v>
      </c>
      <c r="B10236" s="2" t="str">
        <f>IFERROR(__xludf.DUMMYFUNCTION("GOOGLETRANSLATE(A10236, ""en"", ""mt"")"),"Fid-deċennji li ġejjin, l-ispiżjara huma mistennija jsiru aktar integrali fis-sistema tal-kura tas-saħħa. Minflok sempliċement iqassam il-medikazzjoni, l-ispiżjara huma dejjem aktar mistennija li jkunu kkumpensati għall-ħiliet tal-kura tal-pazjent tagħhom"&amp;". B'mod partikolari, il-ġestjoni tat-terapija ta 'medikazzjoni (MTM) tinkludi s-servizzi kliniċi li l-ispiżjara jistgħu jipprovdu għall-pazjenti tagħhom. Servizzi bħal dawn jinkludu l-analiżi bir-reqqa tal-medikazzjoni kollha (preskrizzjoni, nuqqas ta 'pr"&amp;"eskrizzjoni, u herbals) li bħalissa qed jittieħdu minn individwu. Ir-riżultat huwa rikonċiljazzjoni tal-medikazzjoni u l-edukazzjoni tal-pazjent li tirriżulta f'żieda fir-riżultati tas-saħħa tal-pazjent u tnaqqis fl-ispejjeż għas-sistema tal-kura tas-saħħ"&amp;"a.")</f>
        <v>Fid-deċennji li ġejjin, l-ispiżjara huma mistennija jsiru aktar integrali fis-sistema tal-kura tas-saħħa. Minflok sempliċement iqassam il-medikazzjoni, l-ispiżjara huma dejjem aktar mistennija li jkunu kkumpensati għall-ħiliet tal-kura tal-pazjent tagħhom. B'mod partikolari, il-ġestjoni tat-terapija ta 'medikazzjoni (MTM) tinkludi s-servizzi kliniċi li l-ispiżjara jistgħu jipprovdu għall-pazjenti tagħhom. Servizzi bħal dawn jinkludu l-analiżi bir-reqqa tal-medikazzjoni kollha (preskrizzjoni, nuqqas ta 'preskrizzjoni, u herbals) li bħalissa qed jittieħdu minn individwu. Ir-riżultat huwa rikonċiljazzjoni tal-medikazzjoni u l-edukazzjoni tal-pazjent li tirriżulta f'żieda fir-riżultati tas-saħħa tal-pazjent u tnaqqis fl-ispejjeż għas-sistema tal-kura tas-saħħa.</v>
      </c>
    </row>
    <row r="10237" ht="15.75" customHeight="1">
      <c r="A10237" s="2" t="s">
        <v>10237</v>
      </c>
      <c r="B10237" s="2" t="str">
        <f>IFERROR(__xludf.DUMMYFUNCTION("GOOGLETRANSLATE(A10237, ""en"", ""mt"")"),"Ir-Reġistru tal-Kunsill Farmaċewtiku Ġenerali (GPHC)")</f>
        <v>Ir-Reġistru tal-Kunsill Farmaċewtiku Ġenerali (GPHC)</v>
      </c>
    </row>
    <row r="10238" ht="15.75" customHeight="1">
      <c r="A10238" s="2" t="s">
        <v>10238</v>
      </c>
      <c r="B10238" s="2" t="str">
        <f>IFERROR(__xludf.DUMMYFUNCTION("GOOGLETRANSLATE(A10238, ""en"", ""mt"")"),"Rajthom bħala Ċiniżi wisq")</f>
        <v>Rajthom bħala Ċiniżi wisq</v>
      </c>
    </row>
    <row r="10239" ht="15.75" customHeight="1">
      <c r="A10239" s="2" t="s">
        <v>10239</v>
      </c>
      <c r="B10239" s="2" t="str">
        <f>IFERROR(__xludf.DUMMYFUNCTION("GOOGLETRANSLATE(A10239, ""en"", ""mt"")"),"Liema grupp ifittex li jirrikonċepixxi u jippromwovi l-qdusija Biblika fil-knisja tal-lum?")</f>
        <v>Liema grupp ifittex li jirrikonċepixxi u jippromwovi l-qdusija Biblika fil-knisja tal-lum?</v>
      </c>
    </row>
    <row r="10240" ht="15.75" customHeight="1">
      <c r="A10240" s="2" t="s">
        <v>10240</v>
      </c>
      <c r="B10240" s="2" t="str">
        <f>IFERROR(__xludf.DUMMYFUNCTION("GOOGLETRANSLATE(A10240, ""en"", ""mt"")"),"X'jaħżen ATP?")</f>
        <v>X'jaħżen ATP?</v>
      </c>
    </row>
    <row r="10241" ht="15.75" customHeight="1">
      <c r="A10241" s="2" t="s">
        <v>10241</v>
      </c>
      <c r="B10241" s="2" t="str">
        <f>IFERROR(__xludf.DUMMYFUNCTION("GOOGLETRANSLATE(A10241, ""en"", ""mt"")"),"monomeri tal-glukożju fil-kloroplast")</f>
        <v>monomeri tal-glukożju fil-kloroplast</v>
      </c>
    </row>
    <row r="10242" ht="15.75" customHeight="1">
      <c r="A10242" s="2" t="s">
        <v>10242</v>
      </c>
      <c r="B10242" s="2" t="str">
        <f>IFERROR(__xludf.DUMMYFUNCTION("GOOGLETRANSLATE(A10242, ""en"", ""mt"")"),"Liema logo ġie modifikat u użat mill-ġdid għall-50 anniversarju speċjali?")</f>
        <v>Liema logo ġie modifikat u użat mill-ġdid għall-50 anniversarju speċjali?</v>
      </c>
    </row>
    <row r="10243" ht="15.75" customHeight="1">
      <c r="A10243" s="2" t="s">
        <v>10243</v>
      </c>
      <c r="B10243" s="2" t="str">
        <f>IFERROR(__xludf.DUMMYFUNCTION("GOOGLETRANSLATE(A10243, ""en"", ""mt"")"),"il-Baħar l-Iswed")</f>
        <v>il-Baħar l-Iswed</v>
      </c>
    </row>
    <row r="10244" ht="15.75" customHeight="1">
      <c r="A10244" s="2" t="s">
        <v>10244</v>
      </c>
      <c r="B10244" s="2" t="str">
        <f>IFERROR(__xludf.DUMMYFUNCTION("GOOGLETRANSLATE(A10244, ""en"", ""mt"")"),"Kemm tunnellata ta 'trab tas-Saħara taqa' fuq il-baċin tal-Amażonja kull sena?")</f>
        <v>Kemm tunnellata ta 'trab tas-Saħara taqa' fuq il-baċin tal-Amażonja kull sena?</v>
      </c>
    </row>
    <row r="10245" ht="15.75" customHeight="1">
      <c r="A10245" s="2" t="s">
        <v>10245</v>
      </c>
      <c r="B10245" s="2" t="str">
        <f>IFERROR(__xludf.DUMMYFUNCTION("GOOGLETRANSLATE(A10245, ""en"", ""mt"")"),"X'kienet in-nazzjonalità ta 'Jerónimo de Ayanz y Beaumont?")</f>
        <v>X'kienet in-nazzjonalità ta 'Jerónimo de Ayanz y Beaumont?</v>
      </c>
    </row>
    <row r="10246" ht="15.75" customHeight="1">
      <c r="A10246" s="2" t="s">
        <v>10246</v>
      </c>
      <c r="B10246" s="2" t="str">
        <f>IFERROR(__xludf.DUMMYFUNCTION("GOOGLETRANSLATE(A10246, ""en"", ""mt"")"),"F’xi pjanti bħall-kakti, il-kloroplasti jinstabu fiż-zkuk, għalkemm fil-biċċa l-kbira tal-pjanti, il-kloroplasti huma kkonċentrati fil-weraq. Millimetru kwadru wieħed ta 'tessut tal-weraq jista' jkun fih nofs miljun kloroplasti. Fi ħdan werqa, il-kloropla"&amp;"sti jinstabu prinċipalment fis-saffi tal-mesofilla ta 'werqa, u fiċ-ċelloli tal-gwardja ta' stomata. Iċ-ċelloli tal-mesofilla Palisade jista 'jkun fihom 30-70 kloroplasti għal kull ċellula, filwaqt li ċelloli tal-gwardja stomatali fihom biss madwar 8-15 k"&amp;"ull ċellula, kif ukoll ħafna inqas klorofilla. Il-kloroplasti jistgħu jinstabu wkoll fiċ-ċelloli tal-għant tal-qatta 'ta' weraq, speċjalment fil-pjanti C4, li jwettqu ċ-ċiklu ta 'Calvin fiċ-ċelloli tal-għant tal-qatta' tagħhom. Ħafna drabi huma assenti mi"&amp;"ll-epidermide ta 'weraq.")</f>
        <v>F’xi pjanti bħall-kakti, il-kloroplasti jinstabu fiż-zkuk, għalkemm fil-biċċa l-kbira tal-pjanti, il-kloroplasti huma kkonċentrati fil-weraq. Millimetru kwadru wieħed ta 'tessut tal-weraq jista' jkun fih nofs miljun kloroplasti. Fi ħdan werqa, il-kloroplasti jinstabu prinċipalment fis-saffi tal-mesofilla ta 'werqa, u fiċ-ċelloli tal-gwardja ta' stomata. Iċ-ċelloli tal-mesofilla Palisade jista 'jkun fihom 30-70 kloroplasti għal kull ċellula, filwaqt li ċelloli tal-gwardja stomatali fihom biss madwar 8-15 kull ċellula, kif ukoll ħafna inqas klorofilla. Il-kloroplasti jistgħu jinstabu wkoll fiċ-ċelloli tal-għant tal-qatta 'ta' weraq, speċjalment fil-pjanti C4, li jwettqu ċ-ċiklu ta 'Calvin fiċ-ċelloli tal-għant tal-qatta' tagħhom. Ħafna drabi huma assenti mill-epidermide ta 'weraq.</v>
      </c>
    </row>
    <row r="10247" ht="15.75" customHeight="1">
      <c r="A10247" s="2" t="s">
        <v>10247</v>
      </c>
      <c r="B10247" s="2" t="str">
        <f>IFERROR(__xludf.DUMMYFUNCTION("GOOGLETRANSLATE(A10247, ""en"", ""mt"")"),"semi-privat")</f>
        <v>semi-privat</v>
      </c>
    </row>
    <row r="10248" ht="15.75" customHeight="1">
      <c r="A10248" s="2" t="s">
        <v>10248</v>
      </c>
      <c r="B10248" s="2" t="str">
        <f>IFERROR(__xludf.DUMMYFUNCTION("GOOGLETRANSLATE(A10248, ""en"", ""mt"")"),"Qrati tal-Istat Membru")</f>
        <v>Qrati tal-Istat Membru</v>
      </c>
    </row>
    <row r="10249" ht="15.75" customHeight="1">
      <c r="A10249" s="2" t="s">
        <v>10249</v>
      </c>
      <c r="B10249" s="2" t="str">
        <f>IFERROR(__xludf.DUMMYFUNCTION("GOOGLETRANSLATE(A10249, ""en"", ""mt"")"),"Għaliex il-kollezzjoni hija ddominata minn ħwejjeġ tal-moda magħmula għal okkażjonijiet speċjali?")</f>
        <v>Għaliex il-kollezzjoni hija ddominata minn ħwejjeġ tal-moda magħmula għal okkażjonijiet speċjali?</v>
      </c>
    </row>
    <row r="10250" ht="15.75" customHeight="1">
      <c r="A10250" s="2" t="s">
        <v>10250</v>
      </c>
      <c r="B10250" s="2" t="str">
        <f>IFERROR(__xludf.DUMMYFUNCTION("GOOGLETRANSLATE(A10250, ""en"", ""mt"")"),"Awtorità bbażata fuq il-popolazzjoni")</f>
        <v>Awtorità bbażata fuq il-popolazzjoni</v>
      </c>
    </row>
    <row r="10251" ht="15.75" customHeight="1">
      <c r="A10251" s="2" t="s">
        <v>10251</v>
      </c>
      <c r="B10251" s="2" t="str">
        <f>IFERROR(__xludf.DUMMYFUNCTION("GOOGLETRANSLATE(A10251, ""en"", ""mt"")"),"lamtu")</f>
        <v>lamtu</v>
      </c>
    </row>
    <row r="10252" ht="15.75" customHeight="1">
      <c r="A10252" s="2" t="s">
        <v>10252</v>
      </c>
      <c r="B10252" s="2" t="str">
        <f>IFERROR(__xludf.DUMMYFUNCTION("GOOGLETRANSLATE(A10252, ""en"", ""mt"")"),"Fl-2007, BSKYB u Virgin Media saru involuti f'tilwima dwar il-ġarr ta 'stazzjonijiet tas-sema fuq it-TV bil-kejbil. In-nuqqas ta 'ġedded il-ftehimiet ta' ġarr eżistenti nnegozjati ma 'NTL u t-telewest irriżulta f'Virgin Media li tneħħi l-kanali bażiċi min"&amp;"-netwerk fl-1 ta' Marzu 2007. Virgin Media sostniet li BSKYB żiedet sostanzjalment il-prezz mitlub għall-kanali, talba li BSKYB ċaħad, Fuq il-bażi li l-ftehim il-ġdid tagħhom offra ""sostanzjalment aktar valur"" billi jinkludi kanali HD u kontenut ta 'vid"&amp;"jow fuq talba li qabel ma kienx imwettaq minn cable.")</f>
        <v>Fl-2007, BSKYB u Virgin Media saru involuti f'tilwima dwar il-ġarr ta 'stazzjonijiet tas-sema fuq it-TV bil-kejbil. In-nuqqas ta 'ġedded il-ftehimiet ta' ġarr eżistenti nnegozjati ma 'NTL u t-telewest irriżulta f'Virgin Media li tneħħi l-kanali bażiċi min-netwerk fl-1 ta' Marzu 2007. Virgin Media sostniet li BSKYB żiedet sostanzjalment il-prezz mitlub għall-kanali, talba li BSKYB ċaħad, Fuq il-bażi li l-ftehim il-ġdid tagħhom offra "sostanzjalment aktar valur" billi jinkludi kanali HD u kontenut ta 'vidjow fuq talba li qabel ma kienx imwettaq minn cable.</v>
      </c>
    </row>
    <row r="10253" ht="15.75" customHeight="1">
      <c r="A10253" s="2" t="s">
        <v>10253</v>
      </c>
      <c r="B10253" s="2" t="str">
        <f>IFERROR(__xludf.DUMMYFUNCTION("GOOGLETRANSLATE(A10253, ""en"", ""mt"")"),"Ċelloli tal-qattiel naturali, jew ċelloli NK, huma komponent tas-sistema immuni innata li ma tattakkax direttament il-mikrobi li jinvadu. Anzi, iċ-ċelloli NK jeqirdu ċelloli ospitanti kompromessi, bħal ċelloli tat-tumur jew ċelloli infettati bil-virus, li"&amp;" jirrikonoxxu ċelloli bħal dawn b'kundizzjoni magħrufa bħala ""self nieqes."" Dan it-terminu jiddeskrivi ċelloli b'livelli baxxi ta 'markatur tal-wiċċ taċ-ċellula msejjaħ MHC I (kumpless maġġuri ta' istokompatibilità) - sitwazzjoni li tista 'tinqala' f'in"&amp;"fezzjonijiet virali taċ-ċelloli ospitanti. Huma ġew imsemmija ""Killer Naturali"" minħabba l-kunċett inizjali li ma jeħtiġux attivazzjoni sabiex joqtlu ċelloli li huma ""nieqsa minn rashom."" Għal ħafna snin ma kienx ċar kif iċ-ċelloli NK jirrikonoxxu ċel"&amp;"loli tat-tumur u ċelloli infettati. Issa huwa magħruf li l-għamla MHC fuq il-wiċċ ta 'dawk iċ-ċelloli hija mibdula u ċ-ċelloli NK isiru attivati ​​permezz tar-rikonoxximent ta' ""self nieqes"". Iċ-ċelloli normali tal-ġisem mhumiex rikonoxxuti u attakkati "&amp;"minn ċelloli NK minħabba li jesprimu antiġeni ta 'awto MHC intatti. Dawk l-antiġeni MHC huma rikonoxxuti minn riċetturi ta 'immunoglobulina taċ-ċelloli qattiel (KIR) li essenzjalment ipoġġu l-brejkijiet fuq iċ-ċelloli NK.")</f>
        <v>Ċelloli tal-qattiel naturali, jew ċelloli NK, huma komponent tas-sistema immuni innata li ma tattakkax direttament il-mikrobi li jinvadu. Anzi, iċ-ċelloli NK jeqirdu ċelloli ospitanti kompromessi, bħal ċelloli tat-tumur jew ċelloli infettati bil-virus, li jirrikonoxxu ċelloli bħal dawn b'kundizzjoni magħrufa bħala "self nieqes." Dan it-terminu jiddeskrivi ċelloli b'livelli baxxi ta 'markatur tal-wiċċ taċ-ċellula msejjaħ MHC I (kumpless maġġuri ta' istokompatibilità) - sitwazzjoni li tista 'tinqala' f'infezzjonijiet virali taċ-ċelloli ospitanti. Huma ġew imsemmija "Killer Naturali" minħabba l-kunċett inizjali li ma jeħtiġux attivazzjoni sabiex joqtlu ċelloli li huma "nieqsa minn rashom." Għal ħafna snin ma kienx ċar kif iċ-ċelloli NK jirrikonoxxu ċelloli tat-tumur u ċelloli infettati. Issa huwa magħruf li l-għamla MHC fuq il-wiċċ ta 'dawk iċ-ċelloli hija mibdula u ċ-ċelloli NK isiru attivati ​​permezz tar-rikonoxximent ta' "self nieqes". Iċ-ċelloli normali tal-ġisem mhumiex rikonoxxuti u attakkati minn ċelloli NK minħabba li jesprimu antiġeni ta 'awto MHC intatti. Dawk l-antiġeni MHC huma rikonoxxuti minn riċetturi ta 'immunoglobulina taċ-ċelloli qattiel (KIR) li essenzjalment ipoġġu l-brejkijiet fuq iċ-ċelloli NK.</v>
      </c>
    </row>
    <row r="10254" ht="15.75" customHeight="1">
      <c r="A10254" s="2" t="s">
        <v>10254</v>
      </c>
      <c r="B10254" s="2" t="str">
        <f>IFERROR(__xludf.DUMMYFUNCTION("GOOGLETRANSLATE(A10254, ""en"", ""mt"")"),"X'kienet dificult biex tirrikonċilja l-effett fotoelettriku u l-katastrofi ultravjola nieqsa?")</f>
        <v>X'kienet dificult biex tirrikonċilja l-effett fotoelettriku u l-katastrofi ultravjola nieqsa?</v>
      </c>
    </row>
    <row r="10255" ht="15.75" customHeight="1">
      <c r="A10255" s="2" t="s">
        <v>10255</v>
      </c>
      <c r="B10255" s="2" t="str">
        <f>IFERROR(__xludf.DUMMYFUNCTION("GOOGLETRANSLATE(A10255, ""en"", ""mt"")"),"In-Netwerk tal-Fondazzjoni Nazzjonali tax-Xjenza (NSFNET) kien programm ta 'proġetti kkoordinati u li qed jevolvu sponsorjati mill-Fondazzjoni Nazzjonali tax-Xjenza (NSF) li jibdew fl-1985 biex jippromwovu netwerking avvanzat ta' riċerka u edukazzjoni fl-"&amp;"Istati Uniti. NSFNET kien ukoll l-isem mogħti lil diversi netwerks tas-sinsla tal-pajjiż li joperaw b'veloċitajiet ta '56 kbit / s, 1.5 mbit / s (T1), u 45 mbit / s (T3) li ġew mibnija biex jappoġġjaw inizjattivi ta 'netwerking ta' NSF mill-1985-1995. Ini"&amp;"zjalment maħluqa biex jgħaqqdu r-riċerkaturi maċ-ċentri tas-superkompjuters iffinanzjati mill-NSF tan-nazzjon, permezz ta 'fondi pubbliċi u sħubijiet ta' l-industrija privata li żviluppaw f'parti ewlenija tas-sinsla tal-internet.")</f>
        <v>In-Netwerk tal-Fondazzjoni Nazzjonali tax-Xjenza (NSFNET) kien programm ta 'proġetti kkoordinati u li qed jevolvu sponsorjati mill-Fondazzjoni Nazzjonali tax-Xjenza (NSF) li jibdew fl-1985 biex jippromwovu netwerking avvanzat ta' riċerka u edukazzjoni fl-Istati Uniti. NSFNET kien ukoll l-isem mogħti lil diversi netwerks tas-sinsla tal-pajjiż li joperaw b'veloċitajiet ta '56 kbit / s, 1.5 mbit / s (T1), u 45 mbit / s (T3) li ġew mibnija biex jappoġġjaw inizjattivi ta 'netwerking ta' NSF mill-1985-1995. Inizjalment maħluqa biex jgħaqqdu r-riċerkaturi maċ-ċentri tas-superkompjuters iffinanzjati mill-NSF tan-nazzjon, permezz ta 'fondi pubbliċi u sħubijiet ta' l-industrija privata li żviluppaw f'parti ewlenija tas-sinsla tal-internet.</v>
      </c>
    </row>
    <row r="10256" ht="15.75" customHeight="1">
      <c r="A10256" s="2" t="s">
        <v>10256</v>
      </c>
      <c r="B10256" s="2" t="str">
        <f>IFERROR(__xludf.DUMMYFUNCTION("GOOGLETRANSLATE(A10256, ""en"", ""mt"")"),"id-dixxipli tagħhom")</f>
        <v>id-dixxipli tagħhom</v>
      </c>
    </row>
    <row r="10257" ht="15.75" customHeight="1">
      <c r="A10257" s="2" t="s">
        <v>10257</v>
      </c>
      <c r="B10257" s="2" t="str">
        <f>IFERROR(__xludf.DUMMYFUNCTION("GOOGLETRANSLATE(A10257, ""en"", ""mt"")"),"Kemm tfal kellhom Luther u martu?")</f>
        <v>Kemm tfal kellhom Luther u martu?</v>
      </c>
    </row>
    <row r="10258" ht="15.75" customHeight="1">
      <c r="A10258" s="2" t="s">
        <v>10258</v>
      </c>
      <c r="B10258" s="2" t="str">
        <f>IFERROR(__xludf.DUMMYFUNCTION("GOOGLETRANSLATE(A10258, ""en"", ""mt"")"),"dettaljat")</f>
        <v>dettaljat</v>
      </c>
    </row>
    <row r="10259" ht="15.75" customHeight="1">
      <c r="A10259" s="2" t="s">
        <v>10259</v>
      </c>
      <c r="B10259" s="2" t="str">
        <f>IFERROR(__xludf.DUMMYFUNCTION("GOOGLETRANSLATE(A10259, ""en"", ""mt"")"),"Għal liema tip ta 'missjonijiet huma skjerati regolarment il-forzi armati?")</f>
        <v>Għal liema tip ta 'missjonijiet huma skjerati regolarment il-forzi armati?</v>
      </c>
    </row>
    <row r="10260" ht="15.75" customHeight="1">
      <c r="A10260" s="2" t="s">
        <v>10260</v>
      </c>
      <c r="B10260" s="2" t="str">
        <f>IFERROR(__xludf.DUMMYFUNCTION("GOOGLETRANSLATE(A10260, ""en"", ""mt"")"),"X’dajla fir-Renu minħabba t-tneħħija tal-art fiż-żoni tal-art?")</f>
        <v>X’dajla fir-Renu minħabba t-tneħħija tal-art fiż-żoni tal-art?</v>
      </c>
    </row>
    <row r="10261" ht="15.75" customHeight="1">
      <c r="A10261" s="2" t="s">
        <v>10261</v>
      </c>
      <c r="B10261" s="2" t="str">
        <f>IFERROR(__xludf.DUMMYFUNCTION("GOOGLETRANSLATE(A10261, ""en"", ""mt"")"),"X'kien il-proporzjon ta 'rġiel għal nisa f'Harvard / Radcliffe?")</f>
        <v>X'kien il-proporzjon ta 'rġiel għal nisa f'Harvard / Radcliffe?</v>
      </c>
    </row>
    <row r="10262" ht="15.75" customHeight="1">
      <c r="A10262" s="2" t="s">
        <v>10262</v>
      </c>
      <c r="B10262" s="2" t="str">
        <f>IFERROR(__xludf.DUMMYFUNCTION("GOOGLETRANSLATE(A10262, ""en"", ""mt"")"),"King Sigismund III Vasa")</f>
        <v>King Sigismund III Vasa</v>
      </c>
    </row>
    <row r="10263" ht="15.75" customHeight="1">
      <c r="A10263" s="2" t="s">
        <v>10263</v>
      </c>
      <c r="B10263" s="2" t="str">
        <f>IFERROR(__xludf.DUMMYFUNCTION("GOOGLETRANSLATE(A10263, ""en"", ""mt"")"),"Bl-istess mod, mhux magħruf jekk L (is-sett tal-problemi kollha li jistgħu jiġu solvuti fl-ispazju logaritmiku) jinsab strettament f'P jew daqs P. ugwali għal P., hemm ħafna klassijiet ta 'kumplessità bejn it-tnejn, bħal NL u NC, u Mhux magħruf jekk humie"&amp;"x klassijiet distinti jew ugwali.")</f>
        <v>Bl-istess mod, mhux magħruf jekk L (is-sett tal-problemi kollha li jistgħu jiġu solvuti fl-ispazju logaritmiku) jinsab strettament f'P jew daqs P. ugwali għal P., hemm ħafna klassijiet ta 'kumplessità bejn it-tnejn, bħal NL u NC, u Mhux magħruf jekk humiex klassijiet distinti jew ugwali.</v>
      </c>
    </row>
    <row r="10264" ht="15.75" customHeight="1">
      <c r="A10264" s="2" t="s">
        <v>10264</v>
      </c>
      <c r="B10264" s="2" t="str">
        <f>IFERROR(__xludf.DUMMYFUNCTION("GOOGLETRANSLATE(A10264, ""en"", ""mt"")"),"Iswed u abjad")</f>
        <v>Iswed u abjad</v>
      </c>
    </row>
    <row r="10265" ht="15.75" customHeight="1">
      <c r="A10265" s="2" t="s">
        <v>10265</v>
      </c>
      <c r="B10265" s="2" t="str">
        <f>IFERROR(__xludf.DUMMYFUNCTION("GOOGLETRANSLATE(A10265, ""en"", ""mt"")"),"Fejn hi l-iktar sezzjoni kiesħa tar-Rabat?")</f>
        <v>Fejn hi l-iktar sezzjoni kiesħa tar-Rabat?</v>
      </c>
    </row>
    <row r="10266" ht="15.75" customHeight="1">
      <c r="A10266" s="2" t="s">
        <v>10266</v>
      </c>
      <c r="B10266" s="2" t="str">
        <f>IFERROR(__xludf.DUMMYFUNCTION("GOOGLETRANSLATE(A10266, ""en"", ""mt"")"),"l-iktar affidabbli")</f>
        <v>l-iktar affidabbli</v>
      </c>
    </row>
    <row r="10267" ht="15.75" customHeight="1">
      <c r="A10267" s="2" t="s">
        <v>10267</v>
      </c>
      <c r="B10267" s="2" t="str">
        <f>IFERROR(__xludf.DUMMYFUNCTION("GOOGLETRANSLATE(A10267, ""en"", ""mt"")"),"X'kien iddisinjat mill-ġdid waqt il-programm Apollo li ġie bbażat matul l-1970?")</f>
        <v>X'kien iddisinjat mill-ġdid waqt il-programm Apollo li ġie bbażat matul l-1970?</v>
      </c>
    </row>
    <row r="10268" ht="15.75" customHeight="1">
      <c r="A10268" s="2" t="s">
        <v>10268</v>
      </c>
      <c r="B10268" s="2" t="str">
        <f>IFERROR(__xludf.DUMMYFUNCTION("GOOGLETRANSLATE(A10268, ""en"", ""mt"")"),"Sports Programs, Inc.")</f>
        <v>Sports Programs, Inc.</v>
      </c>
    </row>
    <row r="10269" ht="15.75" customHeight="1">
      <c r="A10269" s="2" t="s">
        <v>10269</v>
      </c>
      <c r="B10269" s="2" t="str">
        <f>IFERROR(__xludf.DUMMYFUNCTION("GOOGLETRANSLATE(A10269, ""en"", ""mt"")"),"Pompi ċentrifugali f'diversi stadji")</f>
        <v>Pompi ċentrifugali f'diversi stadji</v>
      </c>
    </row>
    <row r="10270" ht="15.75" customHeight="1">
      <c r="A10270" s="2" t="s">
        <v>10270</v>
      </c>
      <c r="B10270" s="2" t="str">
        <f>IFERROR(__xludf.DUMMYFUNCTION("GOOGLETRANSLATE(A10270, ""en"", ""mt"")"),"Xi pajjiżi Asjatiċi, Afrikani u Karibew")</f>
        <v>Xi pajjiżi Asjatiċi, Afrikani u Karibew</v>
      </c>
    </row>
    <row r="10271" ht="15.75" customHeight="1">
      <c r="A10271" s="2" t="s">
        <v>10271</v>
      </c>
      <c r="B10271" s="2" t="str">
        <f>IFERROR(__xludf.DUMMYFUNCTION("GOOGLETRANSLATE(A10271, ""en"", ""mt"")"),"Massakru Peterloo")</f>
        <v>Massakru Peterloo</v>
      </c>
    </row>
    <row r="10272" ht="15.75" customHeight="1">
      <c r="A10272" s="2" t="s">
        <v>10272</v>
      </c>
      <c r="B10272" s="2" t="str">
        <f>IFERROR(__xludf.DUMMYFUNCTION("GOOGLETRANSLATE(A10272, ""en"", ""mt"")"),"Innu")</f>
        <v>Innu</v>
      </c>
    </row>
    <row r="10273" ht="15.75" customHeight="1">
      <c r="A10273" s="2" t="s">
        <v>10273</v>
      </c>
      <c r="B10273" s="2" t="str">
        <f>IFERROR(__xludf.DUMMYFUNCTION("GOOGLETRANSLATE(A10273, ""en"", ""mt"")"),"Il-kolonisti Ingliżi ma jkunux siguri")</f>
        <v>Il-kolonisti Ingliżi ma jkunux siguri</v>
      </c>
    </row>
    <row r="10274" ht="15.75" customHeight="1">
      <c r="A10274" s="2" t="s">
        <v>10274</v>
      </c>
      <c r="B10274" s="2" t="str">
        <f>IFERROR(__xludf.DUMMYFUNCTION("GOOGLETRANSLATE(A10274, ""en"", ""mt"")"),"Liema setgħat għandha l-Qorti tal-Ġustizzja tal-Unjoni Ewropea fir-rigward tat-trattati?")</f>
        <v>Liema setgħat għandha l-Qorti tal-Ġustizzja tal-Unjoni Ewropea fir-rigward tat-trattati?</v>
      </c>
    </row>
    <row r="10275" ht="15.75" customHeight="1">
      <c r="A10275" s="2" t="s">
        <v>10275</v>
      </c>
      <c r="B10275" s="2" t="str">
        <f>IFERROR(__xludf.DUMMYFUNCTION("GOOGLETRANSLATE(A10275, ""en"", ""mt"")"),"Fryderyk Chopin University of Music")</f>
        <v>Fryderyk Chopin University of Music</v>
      </c>
    </row>
    <row r="10276" ht="15.75" customHeight="1">
      <c r="A10276" s="2" t="s">
        <v>10276</v>
      </c>
      <c r="B10276" s="2" t="str">
        <f>IFERROR(__xludf.DUMMYFUNCTION("GOOGLETRANSLATE(A10276, ""en"", ""mt"")"),"Pedagoġija")</f>
        <v>Pedagoġija</v>
      </c>
    </row>
    <row r="10277" ht="15.75" customHeight="1">
      <c r="A10277" s="2" t="s">
        <v>10277</v>
      </c>
      <c r="B10277" s="2" t="str">
        <f>IFERROR(__xludf.DUMMYFUNCTION("GOOGLETRANSLATE(A10277, ""en"", ""mt"")"),"Ir-ribelljoni ċivili hija ġġustifikata bl-appell għal difetti kostituzzjonali, ir-ribelljoni hija ħafna iktar")</f>
        <v>Ir-ribelljoni ċivili hija ġġustifikata bl-appell għal difetti kostituzzjonali, ir-ribelljoni hija ħafna iktar</v>
      </c>
    </row>
    <row r="10278" ht="15.75" customHeight="1">
      <c r="A10278" s="2" t="s">
        <v>10278</v>
      </c>
      <c r="B10278" s="2" t="str">
        <f>IFERROR(__xludf.DUMMYFUNCTION("GOOGLETRANSLATE(A10278, ""en"", ""mt"")"),"Tmiem il-Gwerra tal-Messiku")</f>
        <v>Tmiem il-Gwerra tal-Messiku</v>
      </c>
    </row>
    <row r="10279" ht="15.75" customHeight="1">
      <c r="A10279" s="2" t="s">
        <v>10279</v>
      </c>
      <c r="B10279" s="2" t="str">
        <f>IFERROR(__xludf.DUMMYFUNCTION("GOOGLETRANSLATE(A10279, ""en"", ""mt"")"),"Il-katekiżmu żgħir")</f>
        <v>Il-katekiżmu żgħir</v>
      </c>
    </row>
    <row r="10280" ht="15.75" customHeight="1">
      <c r="A10280" s="2" t="s">
        <v>10280</v>
      </c>
      <c r="B10280" s="2" t="str">
        <f>IFERROR(__xludf.DUMMYFUNCTION("GOOGLETRANSLATE(A10280, ""en"", ""mt"")"),"X'inhuma t-trattati ewlenin li tikkonsisti l-liġi primarja tal-UE?")</f>
        <v>X'inhuma t-trattati ewlenin li tikkonsisti l-liġi primarja tal-UE?</v>
      </c>
    </row>
    <row r="10281" ht="15.75" customHeight="1">
      <c r="A10281" s="2" t="s">
        <v>10281</v>
      </c>
      <c r="B10281" s="2" t="str">
        <f>IFERROR(__xludf.DUMMYFUNCTION("GOOGLETRANSLATE(A10281, ""en"", ""mt"")"),"Kif jistgħu l-problemi tal-funzjoni tipikament jiġu ddikjarati mill-ġdid?")</f>
        <v>Kif jistgħu l-problemi tal-funzjoni tipikament jiġu ddikjarati mill-ġdid?</v>
      </c>
    </row>
    <row r="10282" ht="15.75" customHeight="1">
      <c r="A10282" s="2" t="s">
        <v>10282</v>
      </c>
      <c r="B10282" s="2" t="str">
        <f>IFERROR(__xludf.DUMMYFUNCTION("GOOGLETRANSLATE(A10282, ""en"", ""mt"")"),"X'tip ta 'sanzjonijiet idderieġa l-Istati Uniti lejn l-Iran?")</f>
        <v>X'tip ta 'sanzjonijiet idderieġa l-Istati Uniti lejn l-Iran?</v>
      </c>
    </row>
    <row r="10283" ht="15.75" customHeight="1">
      <c r="A10283" s="2" t="s">
        <v>10283</v>
      </c>
      <c r="B10283" s="2" t="str">
        <f>IFERROR(__xludf.DUMMYFUNCTION("GOOGLETRANSLATE(A10283, ""en"", ""mt"")"),"Mill-1321 sal-1323")</f>
        <v>Mill-1321 sal-1323</v>
      </c>
    </row>
    <row r="10284" ht="15.75" customHeight="1">
      <c r="A10284" s="2" t="s">
        <v>10284</v>
      </c>
      <c r="B10284" s="2" t="str">
        <f>IFERROR(__xludf.DUMMYFUNCTION("GOOGLETRANSLATE(A10284, ""en"", ""mt"")"),"Liġi Kostituzzjonali")</f>
        <v>Liġi Kostituzzjonali</v>
      </c>
    </row>
    <row r="10285" ht="15.75" customHeight="1">
      <c r="A10285" s="2" t="s">
        <v>10285</v>
      </c>
      <c r="B10285" s="2" t="str">
        <f>IFERROR(__xludf.DUMMYFUNCTION("GOOGLETRANSLATE(A10285, ""en"", ""mt"")"),"Disinn Ibni")</f>
        <v>Disinn Ibni</v>
      </c>
    </row>
    <row r="10286" ht="15.75" customHeight="1">
      <c r="A10286" s="2" t="s">
        <v>10286</v>
      </c>
      <c r="B10286" s="2" t="str">
        <f>IFERROR(__xludf.DUMMYFUNCTION("GOOGLETRANSLATE(A10286, ""en"", ""mt"")"),"X’wassal biex Newcastle jaqa ’mill-poter bħala konsulent militari?")</f>
        <v>X’wassal biex Newcastle jaqa ’mill-poter bħala konsulent militari?</v>
      </c>
    </row>
    <row r="10287" ht="15.75" customHeight="1">
      <c r="A10287" s="2" t="s">
        <v>10287</v>
      </c>
      <c r="B10287" s="2" t="str">
        <f>IFERROR(__xludf.DUMMYFUNCTION("GOOGLETRANSLATE(A10287, ""en"", ""mt"")"),"F’liema jispeċjalizzaw fihom il-kloroplasti tal-għant tal-qatta ’?")</f>
        <v>F’liema jispeċjalizzaw fihom il-kloroplasti tal-għant tal-qatta ’?</v>
      </c>
    </row>
    <row r="10288" ht="15.75" customHeight="1">
      <c r="A10288" s="2" t="s">
        <v>10288</v>
      </c>
      <c r="B10288" s="2" t="str">
        <f>IFERROR(__xludf.DUMMYFUNCTION("GOOGLETRANSLATE(A10288, ""en"", ""mt"")"),"X'inhu kkontrollat ​​mis-suq u l-ekonomija?")</f>
        <v>X'inhu kkontrollat ​​mis-suq u l-ekonomija?</v>
      </c>
    </row>
    <row r="10289" ht="15.75" customHeight="1">
      <c r="A10289" s="2" t="s">
        <v>10289</v>
      </c>
      <c r="B10289" s="2" t="str">
        <f>IFERROR(__xludf.DUMMYFUNCTION("GOOGLETRANSLATE(A10289, ""en"", ""mt"")"),"inċentiv għall-bidliet demokratiċi")</f>
        <v>inċentiv għall-bidliet demokratiċi</v>
      </c>
    </row>
    <row r="10290" ht="15.75" customHeight="1">
      <c r="A10290" s="2" t="s">
        <v>10290</v>
      </c>
      <c r="B10290" s="2" t="str">
        <f>IFERROR(__xludf.DUMMYFUNCTION("GOOGLETRANSLATE(A10290, ""en"", ""mt"")"),"Injorat il-parir ta ’Kristu")</f>
        <v>Injorat il-parir ta ’Kristu</v>
      </c>
    </row>
    <row r="10291" ht="15.75" customHeight="1">
      <c r="A10291" s="2" t="s">
        <v>10291</v>
      </c>
      <c r="B10291" s="2" t="str">
        <f>IFERROR(__xludf.DUMMYFUNCTION("GOOGLETRANSLATE(A10291, ""en"", ""mt"")"),"X'kienet l-ewwel magna vera li kienet suċċess kummerċjalment?")</f>
        <v>X'kienet l-ewwel magna vera li kienet suċċess kummerċjalment?</v>
      </c>
    </row>
    <row r="10292" ht="15.75" customHeight="1">
      <c r="A10292" s="2" t="s">
        <v>10292</v>
      </c>
      <c r="B10292" s="2" t="str">
        <f>IFERROR(__xludf.DUMMYFUNCTION("GOOGLETRANSLATE(A10292, ""en"", ""mt"")"),"F’liema età British Gas plc ġiegħlu lill-ħaddiema tagħhom jirtiraw?")</f>
        <v>F’liema età British Gas plc ġiegħlu lill-ħaddiema tagħhom jirtiraw?</v>
      </c>
    </row>
    <row r="10293" ht="15.75" customHeight="1">
      <c r="A10293" s="2" t="s">
        <v>10293</v>
      </c>
      <c r="B10293" s="2" t="str">
        <f>IFERROR(__xludf.DUMMYFUNCTION("GOOGLETRANSLATE(A10293, ""en"", ""mt"")"),"Liema organizzazzjoni toffri premjijiet monetarji għall-identifikazzjoni ta 'primes b'mill-inqas 100 miljun ċifra?")</f>
        <v>Liema organizzazzjoni toffri premjijiet monetarji għall-identifikazzjoni ta 'primes b'mill-inqas 100 miljun ċifra?</v>
      </c>
    </row>
    <row r="10294" ht="15.75" customHeight="1">
      <c r="A10294" s="2" t="s">
        <v>10294</v>
      </c>
      <c r="B10294" s="2" t="str">
        <f>IFERROR(__xludf.DUMMYFUNCTION("GOOGLETRANSLATE(A10294, ""en"", ""mt"")"),"Din iż-żona vibranti u kulturalment diversa ta 'negozji bl-imnut u residenzi esperjenzaw tiġdid wara tnaqqis sinifikanti fl-aħħar tas-snin 1960 u 1970. [Ċitazzjoni meħtieġa] wara għexieren ta' snin ta 'telqa u titjira suburbana, il-qawmien mill-ġdid tal-v"&amp;"iċinat segwa l-ftuħ mill-ġdid tat-Torri tat-Torri L-aħħar tas-snin sebgħin, li dak iż-żmien urew films tat-tieni u tat-tielet ġirja, flimkien ma 'films klassiċi. Roger Rocka's Dinner Theatre &amp; Good Company Players infetħu wkoll fil-viċin fl-1978, [Citatio"&amp;"n meħtieġa] fi Olive and Wishon Avenues. Audra McDonald indiġena ta 'Fresno marret fl-irwoli ewlenin ta' Evita u l-Wiz fit-teatru waqt li kienet studenta tal-iskola għolja. McDonald sussegwentement sar artist ewlieni fuq Broadway fi New York City u attriċ"&amp;"i rebbieħa tal-Premju Tony. Fid-distrett tat-Torri hemm ukoll it-2 teatru spazjali tal-plejers tal-kumpanija tajba.")</f>
        <v>Din iż-żona vibranti u kulturalment diversa ta 'negozji bl-imnut u residenzi esperjenzaw tiġdid wara tnaqqis sinifikanti fl-aħħar tas-snin 1960 u 1970. [Ċitazzjoni meħtieġa] wara għexieren ta' snin ta 'telqa u titjira suburbana, il-qawmien mill-ġdid tal-viċinat segwa l-ftuħ mill-ġdid tat-Torri tat-Torri L-aħħar tas-snin sebgħin, li dak iż-żmien urew films tat-tieni u tat-tielet ġirja, flimkien ma 'films klassiċi. Roger Rocka's Dinner Theatre &amp; Good Company Players infetħu wkoll fil-viċin fl-1978, [Citation meħtieġa] fi Olive and Wishon Avenues. Audra McDonald indiġena ta 'Fresno marret fl-irwoli ewlenin ta' Evita u l-Wiz fit-teatru waqt li kienet studenta tal-iskola għolja. McDonald sussegwentement sar artist ewlieni fuq Broadway fi New York City u attriċi rebbieħa tal-Premju Tony. Fid-distrett tat-Torri hemm ukoll it-2 teatru spazjali tal-plejers tal-kumpanija tajba.</v>
      </c>
    </row>
    <row r="10295" ht="15.75" customHeight="1">
      <c r="A10295" s="2" t="s">
        <v>10295</v>
      </c>
      <c r="B10295" s="2" t="str">
        <f>IFERROR(__xludf.DUMMYFUNCTION("GOOGLETRANSLATE(A10295, ""en"", ""mt"")"),"Phagosome")</f>
        <v>Phagosome</v>
      </c>
    </row>
    <row r="10296" ht="15.75" customHeight="1">
      <c r="A10296" s="2" t="s">
        <v>10296</v>
      </c>
      <c r="B10296" s="2" t="str">
        <f>IFERROR(__xludf.DUMMYFUNCTION("GOOGLETRANSLATE(A10296, ""en"", ""mt"")"),"tippermetti lil xi bdiewa jixtru assi")</f>
        <v>tippermetti lil xi bdiewa jixtru assi</v>
      </c>
    </row>
    <row r="10297" ht="15.75" customHeight="1">
      <c r="A10297" s="2" t="s">
        <v>10297</v>
      </c>
      <c r="B10297" s="2" t="str">
        <f>IFERROR(__xludf.DUMMYFUNCTION("GOOGLETRANSLATE(A10297, ""en"", ""mt"")"),"Ministri fid-dipartimenti li huma magħżula għall-interrogazzjoni ta 'dak il-jum tas-seduta")</f>
        <v>Ministri fid-dipartimenti li huma magħżula għall-interrogazzjoni ta 'dak il-jum tas-seduta</v>
      </c>
    </row>
    <row r="10298" ht="15.75" customHeight="1">
      <c r="A10298" s="2" t="s">
        <v>10298</v>
      </c>
      <c r="B10298" s="2" t="str">
        <f>IFERROR(__xludf.DUMMYFUNCTION("GOOGLETRANSLATE(A10298, ""en"", ""mt"")"),"Eżempju ta 'problema ta' deċiżjoni huwa dan li ġej. L-input huwa graff arbitrarju. Il-problema tikkonsisti fid-deċiżjoni jekk il-graff mogħti huwiex konness, jew le. Il-lingwa formali assoċjata ma 'din il-problema ta' deċiżjoni hija s-sett tal-graffs koll"&amp;"ha konnessi - naturalment, biex tinkiseb definizzjoni preċiża ta 'din il-lingwa, wieħed irid jiddeċiedi kif il-graffs huma kkodifikati bħala kordi binarji.")</f>
        <v>Eżempju ta 'problema ta' deċiżjoni huwa dan li ġej. L-input huwa graff arbitrarju. Il-problema tikkonsisti fid-deċiżjoni jekk il-graff mogħti huwiex konness, jew le. Il-lingwa formali assoċjata ma 'din il-problema ta' deċiżjoni hija s-sett tal-graffs kollha konnessi - naturalment, biex tinkiseb definizzjoni preċiża ta 'din il-lingwa, wieħed irid jiddeċiedi kif il-graffs huma kkodifikati bħala kordi binarji.</v>
      </c>
    </row>
    <row r="10299" ht="15.75" customHeight="1">
      <c r="A10299" s="2" t="s">
        <v>10299</v>
      </c>
      <c r="B10299" s="2" t="str">
        <f>IFERROR(__xludf.DUMMYFUNCTION("GOOGLETRANSLATE(A10299, ""en"", ""mt"")"),"£ 304m")</f>
        <v>£ 304m</v>
      </c>
    </row>
    <row r="10300" ht="15.75" customHeight="1">
      <c r="A10300" s="2" t="s">
        <v>10300</v>
      </c>
      <c r="B10300" s="2" t="str">
        <f>IFERROR(__xludf.DUMMYFUNCTION("GOOGLETRANSLATE(A10300, ""en"", ""mt"")"),"Matul liema staġun ABC ħa l-ewwel post fil-klassifika tat-televiżjoni?")</f>
        <v>Matul liema staġun ABC ħa l-ewwel post fil-klassifika tat-televiżjoni?</v>
      </c>
    </row>
    <row r="10301" ht="15.75" customHeight="1">
      <c r="A10301" s="2" t="s">
        <v>10301</v>
      </c>
      <c r="B10301" s="2" t="str">
        <f>IFERROR(__xludf.DUMMYFUNCTION("GOOGLETRANSLATE(A10301, ""en"", ""mt"")"),"pH jew ħadid disponibbli")</f>
        <v>pH jew ħadid disponibbli</v>
      </c>
    </row>
    <row r="10302" ht="15.75" customHeight="1">
      <c r="A10302" s="2" t="s">
        <v>10302</v>
      </c>
      <c r="B10302" s="2" t="str">
        <f>IFERROR(__xludf.DUMMYFUNCTION("GOOGLETRANSLATE(A10302, ""en"", ""mt"")"),"Riċerkaturi konservattivi argumentaw li l-inugwaljanza fid-dħul mhix sinifikanti minħabba li l-konsum, aktar milli d-dħul għandu jkun il-miżura ta 'l-inugwaljanza, u l-inugwaljanza tal-konsum hija inqas estrema mill-inugwaljanza tad-dħul fl-Istati Uniti. "&amp;"Wilkinson mill-Istitut Libertarian Cato se jiddikjara li ""l-piż tal-evidenza juri li t-tmexxija fl-inugwaljanza fil-konsum kienet konsiderevolment inqas drammatika miż-żieda fl-inugwaljanza tad-dħul,"" u l-konsum huwa iktar importanti mid-dħul. Skond Joh"&amp;"nson, Smeeding, u Tory, l-inugwaljanza fil-konsum kienet attwalment aktar baxxa fl-2001 milli kienet fl-1986. Id-dibattitu huwa mqassar f '""Il-Prosperità Moħbija tal-Fqar"" mill-ġurnalist Thomas B. Edsall. Studji oħra ma sabux inugwaljanza fil-konsum inq"&amp;"as drammatika mill-inugwaljanza fid-dħul tad-djar, u l-istudju tas-CBO sab dejta dwar il-konsum mhux ""b'mod adegwat"" li taqbad ""konsum minn djar bi dħul għoli"" bħalma jagħmel id-dħul tagħhom, għalkemm huwa jaqbel li n-numri tal-konsum tad-djar juru ak"&amp;"tar Distribuzzjoni ugwali mid-dħul tad-dar.")</f>
        <v>Riċerkaturi konservattivi argumentaw li l-inugwaljanza fid-dħul mhix sinifikanti minħabba li l-konsum, aktar milli d-dħul għandu jkun il-miżura ta 'l-inugwaljanza, u l-inugwaljanza tal-konsum hija inqas estrema mill-inugwaljanza tad-dħul fl-Istati Uniti. Wilkinson mill-Istitut Libertarian Cato se jiddikjara li "l-piż tal-evidenza juri li t-tmexxija fl-inugwaljanza fil-konsum kienet konsiderevolment inqas drammatika miż-żieda fl-inugwaljanza tad-dħul," u l-konsum huwa iktar importanti mid-dħul. Skond Johnson, Smeeding, u Tory, l-inugwaljanza fil-konsum kienet attwalment aktar baxxa fl-2001 milli kienet fl-1986. Id-dibattitu huwa mqassar f '"Il-Prosperità Moħbija tal-Fqar" mill-ġurnalist Thomas B. Edsall. Studji oħra ma sabux inugwaljanza fil-konsum inqas drammatika mill-inugwaljanza fid-dħul tad-djar, u l-istudju tas-CBO sab dejta dwar il-konsum mhux "b'mod adegwat" li taqbad "konsum minn djar bi dħul għoli" bħalma jagħmel id-dħul tagħhom, għalkemm huwa jaqbel li n-numri tal-konsum tad-djar juru aktar Distribuzzjoni ugwali mid-dħul tad-dar.</v>
      </c>
    </row>
    <row r="10303" ht="15.75" customHeight="1">
      <c r="A10303" s="2" t="s">
        <v>10303</v>
      </c>
      <c r="B10303" s="2" t="str">
        <f>IFERROR(__xludf.DUMMYFUNCTION("GOOGLETRANSLATE(A10303, ""en"", ""mt"")"),"membru tal-familja")</f>
        <v>membru tal-familja</v>
      </c>
    </row>
    <row r="10304" ht="15.75" customHeight="1">
      <c r="A10304" s="2" t="s">
        <v>10304</v>
      </c>
      <c r="B10304" s="2" t="str">
        <f>IFERROR(__xludf.DUMMYFUNCTION("GOOGLETRANSLATE(A10304, ""en"", ""mt"")"),"Min-naħa l-oħra, Luther jirrimarka wkoll li l-Għaxar Kmandamenti - meta meqjusa mhux bħala l-ġudizzju li jikkundanna t’Alla imma bħala espressjoni tar-rieda eterna tiegħu, jiġifieri, tal-liġi naturali - jgħallem ukoll b’mod pożittiv kif in-Nisrani għandu "&amp;"jgħix. Dan tradizzjonalment ġie msejjaħ ""it-tielet użu tal-liġi."" Għal Luther, ukoll il-ħajja ta ’Kristu, meta tinftiehem bħala eżempju, mhi xejn ħlief illustrazzjoni tal-Għaxar Kmandamenti, li Nisrani għandu jsegwi fil-vokazzjonijiet tiegħu jew tagħha "&amp;"kuljum.")</f>
        <v>Min-naħa l-oħra, Luther jirrimarka wkoll li l-Għaxar Kmandamenti - meta meqjusa mhux bħala l-ġudizzju li jikkundanna t’Alla imma bħala espressjoni tar-rieda eterna tiegħu, jiġifieri, tal-liġi naturali - jgħallem ukoll b’mod pożittiv kif in-Nisrani għandu jgħix. Dan tradizzjonalment ġie msejjaħ "it-tielet użu tal-liġi." Għal Luther, ukoll il-ħajja ta ’Kristu, meta tinftiehem bħala eżempju, mhi xejn ħlief illustrazzjoni tal-Għaxar Kmandamenti, li Nisrani għandu jsegwi fil-vokazzjonijiet tiegħu jew tagħha kuljum.</v>
      </c>
    </row>
    <row r="10305" ht="15.75" customHeight="1">
      <c r="A10305" s="2" t="s">
        <v>10305</v>
      </c>
      <c r="B10305" s="2" t="str">
        <f>IFERROR(__xludf.DUMMYFUNCTION("GOOGLETRANSLATE(A10305, ""en"", ""mt"")"),"Tesla sfurzat barra")</f>
        <v>Tesla sfurzat barra</v>
      </c>
    </row>
    <row r="10306" ht="15.75" customHeight="1">
      <c r="A10306" s="2" t="s">
        <v>10306</v>
      </c>
      <c r="B10306" s="2" t="str">
        <f>IFERROR(__xludf.DUMMYFUNCTION("GOOGLETRANSLATE(A10306, ""en"", ""mt"")"),"Liema tabib kien l-ewwel imsejjaħ bħala ""sigriet tiegħu""?")</f>
        <v>Liema tabib kien l-ewwel imsejjaħ bħala "sigriet tiegħu"?</v>
      </c>
    </row>
    <row r="10307" ht="15.75" customHeight="1">
      <c r="A10307" s="2" t="s">
        <v>10307</v>
      </c>
      <c r="B10307" s="2" t="str">
        <f>IFERROR(__xludf.DUMMYFUNCTION("GOOGLETRANSLATE(A10307, ""en"", ""mt"")"),"Esklużjoni Soċjali")</f>
        <v>Esklużjoni Soċjali</v>
      </c>
    </row>
    <row r="10308" ht="15.75" customHeight="1">
      <c r="A10308" s="2" t="s">
        <v>10308</v>
      </c>
      <c r="B10308" s="2" t="str">
        <f>IFERROR(__xludf.DUMMYFUNCTION("GOOGLETRANSLATE(A10308, ""en"", ""mt"")"),"B'suċċess ma jħalluhx jinqata '")</f>
        <v>B'suċċess ma jħalluhx jinqata '</v>
      </c>
    </row>
    <row r="10309" ht="15.75" customHeight="1">
      <c r="A10309" s="2" t="s">
        <v>10309</v>
      </c>
      <c r="B10309" s="2" t="str">
        <f>IFERROR(__xludf.DUMMYFUNCTION("GOOGLETRANSLATE(A10309, ""en"", ""mt"")"),"Fuq liema kalendarju ieħor huwa kkommemorat Luther?")</f>
        <v>Fuq liema kalendarju ieħor huwa kkommemorat Luther?</v>
      </c>
    </row>
    <row r="10310" ht="15.75" customHeight="1">
      <c r="A10310" s="2" t="s">
        <v>10310</v>
      </c>
      <c r="B10310" s="2" t="str">
        <f>IFERROR(__xludf.DUMMYFUNCTION("GOOGLETRANSLATE(A10310, ""en"", ""mt"")"),"Liema kliem biex jaħsbu li huma marbuta max-xogħol tal-Kenja?")</f>
        <v>Liema kliem biex jaħsbu li huma marbuta max-xogħol tal-Kenja?</v>
      </c>
    </row>
    <row r="10311" ht="15.75" customHeight="1">
      <c r="A10311" s="2" t="s">
        <v>10311</v>
      </c>
      <c r="B10311" s="2" t="str">
        <f>IFERROR(__xludf.DUMMYFUNCTION("GOOGLETRANSLATE(A10311, ""en"", ""mt"")"),"Jacques Legardere de Saint-Pierre")</f>
        <v>Jacques Legardere de Saint-Pierre</v>
      </c>
    </row>
    <row r="10312" ht="15.75" customHeight="1">
      <c r="A10312" s="2" t="s">
        <v>10312</v>
      </c>
      <c r="B10312" s="2" t="str">
        <f>IFERROR(__xludf.DUMMYFUNCTION("GOOGLETRANSLATE(A10312, ""en"", ""mt"")"),"F'liema qasam il-Premier tal-Film tat-Televiżjoni tal-1996?")</f>
        <v>F'liema qasam il-Premier tal-Film tat-Televiżjoni tal-1996?</v>
      </c>
    </row>
    <row r="10313" ht="15.75" customHeight="1">
      <c r="A10313" s="2" t="s">
        <v>10313</v>
      </c>
      <c r="B10313" s="2" t="str">
        <f>IFERROR(__xludf.DUMMYFUNCTION("GOOGLETRANSLATE(A10313, ""en"", ""mt"")"),"Liema xmara Genghis Khan qasmet qabel ma għelbet l-armata ewlenija tat-Tangut?")</f>
        <v>Liema xmara Genghis Khan qasmet qabel ma għelbet l-armata ewlenija tat-Tangut?</v>
      </c>
    </row>
    <row r="10314" ht="15.75" customHeight="1">
      <c r="A10314" s="2" t="s">
        <v>10314</v>
      </c>
      <c r="B10314" s="2" t="str">
        <f>IFERROR(__xludf.DUMMYFUNCTION("GOOGLETRANSLATE(A10314, ""en"", ""mt"")"),"għandu l-abbiltà li jespandi u jiżviluppa l-liġi skont il-prinċipji li jidhirlu li huma xierqa")</f>
        <v>għandu l-abbiltà li jespandi u jiżviluppa l-liġi skont il-prinċipji li jidhirlu li huma xierqa</v>
      </c>
    </row>
    <row r="10315" ht="15.75" customHeight="1">
      <c r="A10315" s="2" t="s">
        <v>10315</v>
      </c>
      <c r="B10315" s="2" t="str">
        <f>IFERROR(__xludf.DUMMYFUNCTION("GOOGLETRANSLATE(A10315, ""en"", ""mt"")"),"Triq Huguenot Distrett Storiku")</f>
        <v>Triq Huguenot Distrett Storiku</v>
      </c>
    </row>
    <row r="10316" ht="15.75" customHeight="1">
      <c r="A10316" s="2" t="s">
        <v>10316</v>
      </c>
      <c r="B10316" s="2" t="str">
        <f>IFERROR(__xludf.DUMMYFUNCTION("GOOGLETRANSLATE(A10316, ""en"", ""mt"")"),"Manifattura")</f>
        <v>Manifattura</v>
      </c>
    </row>
    <row r="10317" ht="15.75" customHeight="1">
      <c r="A10317" s="2" t="s">
        <v>10317</v>
      </c>
      <c r="B10317" s="2" t="str">
        <f>IFERROR(__xludf.DUMMYFUNCTION("GOOGLETRANSLATE(A10317, ""en"", ""mt"")"),"Liema ktieb ittradotta Martin Luther għall-impatt fuq il-kultura Ġermaniża?")</f>
        <v>Liema ktieb ittradotta Martin Luther għall-impatt fuq il-kultura Ġermaniża?</v>
      </c>
    </row>
    <row r="10318" ht="15.75" customHeight="1">
      <c r="A10318" s="2" t="s">
        <v>10318</v>
      </c>
      <c r="B10318" s="2" t="str">
        <f>IFERROR(__xludf.DUMMYFUNCTION("GOOGLETRANSLATE(A10318, ""en"", ""mt"")"),"L-ewwelnett, ċerti spejjeż huma diffiċli biex jiġu evitati u huma maqsuma minn kulħadd, bħall-ispejjeż tad-djar, il-pensjonijiet, l-edukazzjoni u l-kura tas-saħħa. Jekk l-istat ma jipprovdix dawn is-servizzi, allura għal dawk bi dħul aktar baxx, l-ispejje"&amp;"ż għandhom jiġu mislufa u ħafna drabi dawk bi dħul aktar baxx huma dawk li huma agħar mgħammra biex jimmaniġġjaw il-finanzi tagħhom. It-tieni, il-konsum ta 'aspirazzjoni jiddeskrivi l-proċess ta' dawk li jaqilgħu dħul medju li jaspiraw li jiksbu l-istanda"&amp;"rds ta 'għajxien li jgawdu l-kontropartijiet l-aktar sinjuri tagħhom u metodu wieħed biex tinkiseb din l-aspirazzjoni huwa billi tieħu d-dejn. Ir-riżultat iwassal għal inugwaljanza saħansitra akbar u instabilità ekonomika potenzjali.")</f>
        <v>L-ewwelnett, ċerti spejjeż huma diffiċli biex jiġu evitati u huma maqsuma minn kulħadd, bħall-ispejjeż tad-djar, il-pensjonijiet, l-edukazzjoni u l-kura tas-saħħa. Jekk l-istat ma jipprovdix dawn is-servizzi, allura għal dawk bi dħul aktar baxx, l-ispejjeż għandhom jiġu mislufa u ħafna drabi dawk bi dħul aktar baxx huma dawk li huma agħar mgħammra biex jimmaniġġjaw il-finanzi tagħhom. It-tieni, il-konsum ta 'aspirazzjoni jiddeskrivi l-proċess ta' dawk li jaqilgħu dħul medju li jaspiraw li jiksbu l-istandards ta 'għajxien li jgawdu l-kontropartijiet l-aktar sinjuri tagħhom u metodu wieħed biex tinkiseb din l-aspirazzjoni huwa billi tieħu d-dejn. Ir-riżultat iwassal għal inugwaljanza saħansitra akbar u instabilità ekonomika potenzjali.</v>
      </c>
    </row>
    <row r="10319" ht="15.75" customHeight="1">
      <c r="A10319" s="2" t="s">
        <v>10319</v>
      </c>
      <c r="B10319" s="2" t="str">
        <f>IFERROR(__xludf.DUMMYFUNCTION("GOOGLETRANSLATE(A10319, ""en"", ""mt"")"),"X'kienet ix-xejra tal-popolazzjoni ta 'studenti femminili mis-snin sebgħin u Deyond?")</f>
        <v>X'kienet ix-xejra tal-popolazzjoni ta 'studenti femminili mis-snin sebgħin u Deyond?</v>
      </c>
    </row>
    <row r="10320" ht="15.75" customHeight="1">
      <c r="A10320" s="2" t="s">
        <v>10320</v>
      </c>
      <c r="B10320" s="2" t="str">
        <f>IFERROR(__xludf.DUMMYFUNCTION("GOOGLETRANSLATE(A10320, ""en"", ""mt"")"),"Kif tgħid it-teorija sekondarja li l-biċċa l-kbira ta 'cpDNA tirreplika?")</f>
        <v>Kif tgħid it-teorija sekondarja li l-biċċa l-kbira ta 'cpDNA tirreplika?</v>
      </c>
    </row>
    <row r="10321" ht="15.75" customHeight="1">
      <c r="A10321" s="2" t="s">
        <v>10321</v>
      </c>
      <c r="B10321" s="2" t="str">
        <f>IFERROR(__xludf.DUMMYFUNCTION("GOOGLETRANSLATE(A10321, ""en"", ""mt"")"),"Il-pesta bubonika kienet mifruxa aktar malajr jew aktar bil-mod mill-pesta bubonika moderna?")</f>
        <v>Il-pesta bubonika kienet mifruxa aktar malajr jew aktar bil-mod mill-pesta bubonika moderna?</v>
      </c>
    </row>
    <row r="10322" ht="15.75" customHeight="1">
      <c r="A10322" s="2" t="s">
        <v>10322</v>
      </c>
      <c r="B10322" s="2" t="str">
        <f>IFERROR(__xludf.DUMMYFUNCTION("GOOGLETRANSLATE(A10322, ""en"", ""mt"")"),"Liema proprjetà tas-Serje Armonika 1 + 1/2 + 1/3 + 1/4 + ... turi li hemm numru infinit ta 'primes?")</f>
        <v>Liema proprjetà tas-Serje Armonika 1 + 1/2 + 1/3 + 1/4 + ... turi li hemm numru infinit ta 'primes?</v>
      </c>
    </row>
    <row r="10323" ht="15.75" customHeight="1">
      <c r="A10323" s="2" t="s">
        <v>10323</v>
      </c>
      <c r="B10323" s="2" t="str">
        <f>IFERROR(__xludf.DUMMYFUNCTION("GOOGLETRANSLATE(A10323, ""en"", ""mt"")"),"ifejjaq spiritwali")</f>
        <v>ifejjaq spiritwali</v>
      </c>
    </row>
    <row r="10324" ht="15.75" customHeight="1">
      <c r="A10324" s="2" t="s">
        <v>10324</v>
      </c>
      <c r="B10324" s="2" t="str">
        <f>IFERROR(__xludf.DUMMYFUNCTION("GOOGLETRANSLATE(A10324, ""en"", ""mt"")"),"Kick Back")</f>
        <v>Kick Back</v>
      </c>
    </row>
    <row r="10325" ht="15.75" customHeight="1">
      <c r="A10325" s="2" t="s">
        <v>10325</v>
      </c>
      <c r="B10325" s="2" t="str">
        <f>IFERROR(__xludf.DUMMYFUNCTION("GOOGLETRANSLATE(A10325, ""en"", ""mt"")"),"universitajiet")</f>
        <v>universitajiet</v>
      </c>
    </row>
    <row r="10326" ht="15.75" customHeight="1">
      <c r="A10326" s="2" t="s">
        <v>10326</v>
      </c>
      <c r="B10326" s="2" t="str">
        <f>IFERROR(__xludf.DUMMYFUNCTION("GOOGLETRANSLATE(A10326, ""en"", ""mt"")"),"X'kienu l-ewwel stazzjonijiet lokali li joffru flussi ta 'programmazzjoni tagħhom fuq Watch ABC?")</f>
        <v>X'kienu l-ewwel stazzjonijiet lokali li joffru flussi ta 'programmazzjoni tagħhom fuq Watch ABC?</v>
      </c>
    </row>
    <row r="10327" ht="15.75" customHeight="1">
      <c r="A10327" s="2" t="s">
        <v>10327</v>
      </c>
      <c r="B10327" s="2" t="str">
        <f>IFERROR(__xludf.DUMMYFUNCTION("GOOGLETRANSLATE(A10327, ""en"", ""mt"")"),"Linux")</f>
        <v>Linux</v>
      </c>
    </row>
    <row r="10328" ht="15.75" customHeight="1">
      <c r="A10328" s="2" t="s">
        <v>10328</v>
      </c>
      <c r="B10328" s="2" t="str">
        <f>IFERROR(__xludf.DUMMYFUNCTION("GOOGLETRANSLATE(A10328, ""en"", ""mt"")"),"tirrifjuta li tieħu impenn")</f>
        <v>tirrifjuta li tieħu impenn</v>
      </c>
    </row>
    <row r="10329" ht="15.75" customHeight="1">
      <c r="A10329" s="2" t="s">
        <v>10329</v>
      </c>
      <c r="B10329" s="2" t="str">
        <f>IFERROR(__xludf.DUMMYFUNCTION("GOOGLETRANSLATE(A10329, ""en"", ""mt"")"),"Fejn tinsab il-Kenja?")</f>
        <v>Fejn tinsab il-Kenja?</v>
      </c>
    </row>
    <row r="10330" ht="15.75" customHeight="1">
      <c r="A10330" s="2" t="s">
        <v>10330</v>
      </c>
      <c r="B10330" s="2" t="str">
        <f>IFERROR(__xludf.DUMMYFUNCTION("GOOGLETRANSLATE(A10330, ""en"", ""mt"")"),"Għalkemm m'hemm l-ebda definizzjoni uffiċjali għall-konfini tat-tramuntana tan-Nofsinhar ta 'California, tali diviżjoni teżisti minn meta l-Messiku ddeċieda California, u t-tilwim politiku qalbu bejn il-Californios ta' Monterey fil-parti ta 'fuq u f'Los A"&amp;"ngeles fil-parti ta' isfel ta 'Alta California - Wara l-akkwist ta 'California mill-Istati Uniti, id-diviżjoni kompliet bħala parti mill-attentat minn diversi politiċi favur l-iskjavitù biex jirranġaw id-diviżjoni ta' Alta California f'36 grad, 30 minuta,"&amp;" il-linja tal-kompromess ta 'Missouri. Minflok, il-mogħdija tal-kompromess tal-1850 ippermettiet lil California biex tiġi ammessa fl-unjoni bħala stat ħieles, li ma tħallix li n-Nofsinhar tal-Kalifornja ssir l-istat tal-iskjavi separat tagħha stess.")</f>
        <v>Għalkemm m'hemm l-ebda definizzjoni uffiċjali għall-konfini tat-tramuntana tan-Nofsinhar ta 'California, tali diviżjoni teżisti minn meta l-Messiku ddeċieda California, u t-tilwim politiku qalbu bejn il-Californios ta' Monterey fil-parti ta 'fuq u f'Los Angeles fil-parti ta' isfel ta 'Alta California - Wara l-akkwist ta 'California mill-Istati Uniti, id-diviżjoni kompliet bħala parti mill-attentat minn diversi politiċi favur l-iskjavitù biex jirranġaw id-diviżjoni ta' Alta California f'36 grad, 30 minuta, il-linja tal-kompromess ta 'Missouri. Minflok, il-mogħdija tal-kompromess tal-1850 ippermettiet lil California biex tiġi ammessa fl-unjoni bħala stat ħieles, li ma tħallix li n-Nofsinhar tal-Kalifornja ssir l-istat tal-iskjavi separat tagħha stess.</v>
      </c>
    </row>
    <row r="10331" ht="15.75" customHeight="1">
      <c r="A10331" s="2" t="s">
        <v>10331</v>
      </c>
      <c r="B10331" s="2" t="str">
        <f>IFERROR(__xludf.DUMMYFUNCTION("GOOGLETRANSLATE(A10331, ""en"", ""mt"")"),"il-honeyeater elmu")</f>
        <v>il-honeyeater elmu</v>
      </c>
    </row>
    <row r="10332" ht="15.75" customHeight="1">
      <c r="A10332" s="2" t="s">
        <v>10332</v>
      </c>
      <c r="B10332" s="2" t="str">
        <f>IFERROR(__xludf.DUMMYFUNCTION("GOOGLETRANSLATE(A10332, ""en"", ""mt"")"),"Il-forza tat-tensjoni fuq tagħbija tista 'tiġi mmultiplikata")</f>
        <v>Il-forza tat-tensjoni fuq tagħbija tista 'tiġi mmultiplikata</v>
      </c>
    </row>
    <row r="10333" ht="15.75" customHeight="1">
      <c r="A10333" s="2" t="s">
        <v>10333</v>
      </c>
      <c r="B10333" s="2" t="str">
        <f>IFERROR(__xludf.DUMMYFUNCTION("GOOGLETRANSLATE(A10333, ""en"", ""mt"")"),"Reviżjonijiet multipli")</f>
        <v>Reviżjonijiet multipli</v>
      </c>
    </row>
    <row r="10334" ht="15.75" customHeight="1">
      <c r="A10334" s="2" t="s">
        <v>10334</v>
      </c>
      <c r="B10334" s="2" t="str">
        <f>IFERROR(__xludf.DUMMYFUNCTION("GOOGLETRANSLATE(A10334, ""en"", ""mt"")"),"Min jista 'jkun is-suġġetti ta' investigazzjoni tal-kulleġġ ta 'għalliem?")</f>
        <v>Min jista 'jkun is-suġġetti ta' investigazzjoni tal-kulleġġ ta 'għalliem?</v>
      </c>
    </row>
    <row r="10335" ht="15.75" customHeight="1">
      <c r="A10335" s="2" t="s">
        <v>10335</v>
      </c>
      <c r="B10335" s="2" t="str">
        <f>IFERROR(__xludf.DUMMYFUNCTION("GOOGLETRANSLATE(A10335, ""en"", ""mt"")"),"L-inerzja rotazzjonali tal-pjaneta tad-dinja")</f>
        <v>L-inerzja rotazzjonali tal-pjaneta tad-dinja</v>
      </c>
    </row>
    <row r="10336" ht="15.75" customHeight="1">
      <c r="A10336" s="2" t="s">
        <v>10336</v>
      </c>
      <c r="B10336" s="2" t="str">
        <f>IFERROR(__xludf.DUMMYFUNCTION("GOOGLETRANSLATE(A10336, ""en"", ""mt"")"),"Liema teorija tiddikjara li l-karatteristiċi tad-Dinja baqgħu ma nbidlux wara li ffurmaw f'avveniment katastrofiku wieħed?")</f>
        <v>Liema teorija tiddikjara li l-karatteristiċi tad-Dinja baqgħu ma nbidlux wara li ffurmaw f'avveniment katastrofiku wieħed?</v>
      </c>
    </row>
    <row r="10337" ht="15.75" customHeight="1">
      <c r="A10337" s="2" t="s">
        <v>10337</v>
      </c>
      <c r="B10337" s="2" t="str">
        <f>IFERROR(__xludf.DUMMYFUNCTION("GOOGLETRANSLATE(A10337, ""en"", ""mt"")"),"Mount Bogong")</f>
        <v>Mount Bogong</v>
      </c>
    </row>
    <row r="10338" ht="15.75" customHeight="1">
      <c r="A10338" s="2" t="s">
        <v>10338</v>
      </c>
      <c r="B10338" s="2" t="str">
        <f>IFERROR(__xludf.DUMMYFUNCTION("GOOGLETRANSLATE(A10338, ""en"", ""mt"")"),"joqtlu")</f>
        <v>joqtlu</v>
      </c>
    </row>
    <row r="10339" ht="15.75" customHeight="1">
      <c r="A10339" s="2" t="s">
        <v>10339</v>
      </c>
      <c r="B10339" s="2" t="str">
        <f>IFERROR(__xludf.DUMMYFUNCTION("GOOGLETRANSLATE(A10339, ""en"", ""mt"")"),"Minħabba li ż-żejt kien ipprezzat f'dollari, id-dħul reali tal-produtturi taż-żejt naqas.")</f>
        <v>Minħabba li ż-żejt kien ipprezzat f'dollari, id-dħul reali tal-produtturi taż-żejt naqas.</v>
      </c>
    </row>
    <row r="10340" ht="15.75" customHeight="1">
      <c r="A10340" s="2" t="s">
        <v>10340</v>
      </c>
      <c r="B10340" s="2" t="str">
        <f>IFERROR(__xludf.DUMMYFUNCTION("GOOGLETRANSLATE(A10340, ""en"", ""mt"")"),"Il-prova u r-riabilitazzjoni ta 'Joan of Arc")</f>
        <v>Il-prova u r-riabilitazzjoni ta 'Joan of Arc</v>
      </c>
    </row>
    <row r="10341" ht="15.75" customHeight="1">
      <c r="A10341" s="2" t="s">
        <v>10341</v>
      </c>
      <c r="B10341" s="2" t="str">
        <f>IFERROR(__xludf.DUMMYFUNCTION("GOOGLETRANSLATE(A10341, ""en"", ""mt"")"),"Università u Akkademja Militari")</f>
        <v>Università u Akkademja Militari</v>
      </c>
    </row>
    <row r="10342" ht="15.75" customHeight="1">
      <c r="A10342" s="2" t="s">
        <v>10342</v>
      </c>
      <c r="B10342" s="2" t="str">
        <f>IFERROR(__xludf.DUMMYFUNCTION("GOOGLETRANSLATE(A10342, ""en"", ""mt"")"),"Il-kuntatti estensivi tal-Asja u Ewropej tal-Mongoli tal-Mongoli")</f>
        <v>Il-kuntatti estensivi tal-Asja u Ewropej tal-Mongoli tal-Mongoli</v>
      </c>
    </row>
    <row r="10343" ht="15.75" customHeight="1">
      <c r="A10343" s="2" t="s">
        <v>10343</v>
      </c>
      <c r="B10343" s="2" t="str">
        <f>IFERROR(__xludf.DUMMYFUNCTION("GOOGLETRANSLATE(A10343, ""en"", ""mt"")"),"Għaliex iż-żejt beda jiġi pprezzat f'termini ta 'deheb?")</f>
        <v>Għaliex iż-żejt beda jiġi pprezzat f'termini ta 'deheb?</v>
      </c>
    </row>
    <row r="10344" ht="15.75" customHeight="1">
      <c r="A10344" s="2" t="s">
        <v>10344</v>
      </c>
      <c r="B10344" s="2" t="str">
        <f>IFERROR(__xludf.DUMMYFUNCTION("GOOGLETRANSLATE(A10344, ""en"", ""mt"")"),"livelli ogħla")</f>
        <v>livelli ogħla</v>
      </c>
    </row>
    <row r="10345" ht="15.75" customHeight="1">
      <c r="A10345" s="2" t="s">
        <v>10345</v>
      </c>
      <c r="B10345" s="2" t="str">
        <f>IFERROR(__xludf.DUMMYFUNCTION("GOOGLETRANSLATE(A10345, ""en"", ""mt"")"),"l-osservazzjoni tiegħu ta 'qxur tal-annimali fossili")</f>
        <v>l-osservazzjoni tiegħu ta 'qxur tal-annimali fossili</v>
      </c>
    </row>
    <row r="10346" ht="15.75" customHeight="1">
      <c r="A10346" s="2" t="s">
        <v>10346</v>
      </c>
      <c r="B10346" s="2" t="str">
        <f>IFERROR(__xludf.DUMMYFUNCTION("GOOGLETRANSLATE(A10346, ""en"", ""mt"")"),"Ipproduċi kemm bajd kif ukoll sperma fl-istess ħin")</f>
        <v>Ipproduċi kemm bajd kif ukoll sperma fl-istess ħin</v>
      </c>
    </row>
    <row r="10347" ht="15.75" customHeight="1">
      <c r="A10347" s="2" t="s">
        <v>10347</v>
      </c>
      <c r="B10347" s="2" t="str">
        <f>IFERROR(__xludf.DUMMYFUNCTION("GOOGLETRANSLATE(A10347, ""en"", ""mt"")"),"isir iżgħar")</f>
        <v>isir iżgħar</v>
      </c>
    </row>
    <row r="10348" ht="15.75" customHeight="1">
      <c r="A10348" s="2" t="s">
        <v>10348</v>
      </c>
      <c r="B10348" s="2" t="str">
        <f>IFERROR(__xludf.DUMMYFUNCTION("GOOGLETRANSLATE(A10348, ""en"", ""mt"")"),"Liema xogħol ta 'Luther huwa meqjus bħala tagħlim reliġjuż ċar?")</f>
        <v>Liema xogħol ta 'Luther huwa meqjus bħala tagħlim reliġjuż ċar?</v>
      </c>
    </row>
    <row r="10349" ht="15.75" customHeight="1">
      <c r="A10349" s="2" t="s">
        <v>10349</v>
      </c>
      <c r="B10349" s="2" t="str">
        <f>IFERROR(__xludf.DUMMYFUNCTION("GOOGLETRANSLATE(A10349, ""en"", ""mt"")"),"X'ġara fil-programm Apollo għall-bqija tal-1970 wara l-inċident rigward Apollo 13?")</f>
        <v>X'ġara fil-programm Apollo għall-bqija tal-1970 wara l-inċident rigward Apollo 13?</v>
      </c>
    </row>
    <row r="10350" ht="15.75" customHeight="1">
      <c r="A10350" s="2" t="s">
        <v>10350</v>
      </c>
      <c r="B10350" s="2" t="str">
        <f>IFERROR(__xludf.DUMMYFUNCTION("GOOGLETRANSLATE(A10350, ""en"", ""mt"")"),"Ħafna mudelli ta 'magni differenti mill-magni standard tat-Turing b'ħafna tape ġew proposti fil-letteratura, pereżempju magni ta' aċċess bl-addoċċ. Forsi sorprendentement, kull wieħed minn dawn il-mudelli jista 'jiġi kkonvertit għal ieħor mingħajr ma jipp"&amp;"rovdi saħħa tal-komputazzjoni żejda. Il-konsum tal-ħin u tal-memorja ta 'dawn il-mudelli alternattivi jista' jvarja. Dak li dawn il-mudelli kollha għandhom komuni huwa li l-magni joperaw b'mod determinanti.")</f>
        <v>Ħafna mudelli ta 'magni differenti mill-magni standard tat-Turing b'ħafna tape ġew proposti fil-letteratura, pereżempju magni ta' aċċess bl-addoċċ. Forsi sorprendentement, kull wieħed minn dawn il-mudelli jista 'jiġi kkonvertit għal ieħor mingħajr ma jipprovdi saħħa tal-komputazzjoni żejda. Il-konsum tal-ħin u tal-memorja ta 'dawn il-mudelli alternattivi jista' jvarja. Dak li dawn il-mudelli kollha għandhom komuni huwa li l-magni joperaw b'mod determinanti.</v>
      </c>
    </row>
    <row r="10351" ht="15.75" customHeight="1">
      <c r="A10351" s="2" t="s">
        <v>10351</v>
      </c>
      <c r="B10351" s="2" t="str">
        <f>IFERROR(__xludf.DUMMYFUNCTION("GOOGLETRANSLATE(A10351, ""en"", ""mt"")"),"Programm ta 'Żvilupp Ekonomiku")</f>
        <v>Programm ta 'Żvilupp Ekonomiku</v>
      </c>
    </row>
    <row r="10352" ht="15.75" customHeight="1">
      <c r="A10352" s="2" t="s">
        <v>10352</v>
      </c>
      <c r="B10352" s="2" t="str">
        <f>IFERROR(__xludf.DUMMYFUNCTION("GOOGLETRANSLATE(A10352, ""en"", ""mt"")"),"Stati jew dipartimenti f'erba 'nazzjonijiet fihom ""Amazonas"" f'isimhom.")</f>
        <v>Stati jew dipartimenti f'erba 'nazzjonijiet fihom "Amazonas" f'isimhom.</v>
      </c>
    </row>
    <row r="10353" ht="15.75" customHeight="1">
      <c r="A10353" s="2" t="s">
        <v>10353</v>
      </c>
      <c r="B10353" s="2" t="str">
        <f>IFERROR(__xludf.DUMMYFUNCTION("GOOGLETRANSLATE(A10353, ""en"", ""mt"")"),"X'ġara bil-livell ta 'l-ilma ta' taħt l-art bil-programm Rhine Dritening?")</f>
        <v>X'ġara bil-livell ta 'l-ilma ta' taħt l-art bil-programm Rhine Dritening?</v>
      </c>
    </row>
    <row r="10354" ht="15.75" customHeight="1">
      <c r="A10354" s="2" t="s">
        <v>10354</v>
      </c>
      <c r="B10354" s="2" t="str">
        <f>IFERROR(__xludf.DUMMYFUNCTION("GOOGLETRANSLATE(A10354, ""en"", ""mt"")"),"permezz tat-tankijiet tas-saborra tal-vapuri")</f>
        <v>permezz tat-tankijiet tas-saborra tal-vapuri</v>
      </c>
    </row>
    <row r="10355" ht="15.75" customHeight="1">
      <c r="A10355" s="2" t="s">
        <v>10355</v>
      </c>
      <c r="B10355" s="2" t="str">
        <f>IFERROR(__xludf.DUMMYFUNCTION("GOOGLETRANSLATE(A10355, ""en"", ""mt"")"),"Qorti Suprema tar-Renju Unit")</f>
        <v>Qorti Suprema tar-Renju Unit</v>
      </c>
    </row>
    <row r="10356" ht="15.75" customHeight="1">
      <c r="A10356" s="2" t="s">
        <v>10356</v>
      </c>
      <c r="B10356" s="2" t="str">
        <f>IFERROR(__xludf.DUMMYFUNCTION("GOOGLETRANSLATE(A10356, ""en"", ""mt"")"),"Jekk wieħed jassumi l-kompitu li jinterpreta t-trattati, u jaċċellera l-integrazzjoni ekonomika u politika")</f>
        <v>Jekk wieħed jassumi l-kompitu li jinterpreta t-trattati, u jaċċellera l-integrazzjoni ekonomika u politika</v>
      </c>
    </row>
    <row r="10357" ht="15.75" customHeight="1">
      <c r="A10357" s="2" t="s">
        <v>10357</v>
      </c>
      <c r="B10357" s="2" t="str">
        <f>IFERROR(__xludf.DUMMYFUNCTION("GOOGLETRANSLATE(A10357, ""en"", ""mt"")"),"Negozjanti jew negozji tal-pil Brittaniċi, Céloron għarrafhom bit-talbiet Franċiżi fit-territorju u qalilhom biex jitilqu.")</f>
        <v>Negozjanti jew negozji tal-pil Brittaniċi, Céloron għarrafhom bit-talbiet Franċiżi fit-territorju u qalilhom biex jitilqu.</v>
      </c>
    </row>
    <row r="10358" ht="15.75" customHeight="1">
      <c r="A10358" s="2" t="s">
        <v>10358</v>
      </c>
      <c r="B10358" s="2" t="str">
        <f>IFERROR(__xludf.DUMMYFUNCTION("GOOGLETRANSLATE(A10358, ""en"", ""mt"")"),"X'tip ta 'magna tal-fwar m'għandhiex bżonn valvi biex tidderieġi l-istim?")</f>
        <v>X'tip ta 'magna tal-fwar m'għandhiex bżonn valvi biex tidderieġi l-istim?</v>
      </c>
    </row>
    <row r="10359" ht="15.75" customHeight="1">
      <c r="A10359" s="2" t="s">
        <v>10359</v>
      </c>
      <c r="B10359" s="2" t="str">
        <f>IFERROR(__xludf.DUMMYFUNCTION("GOOGLETRANSLATE(A10359, ""en"", ""mt"")"),"Is-snin sebgħin")</f>
        <v>Is-snin sebgħin</v>
      </c>
    </row>
    <row r="10360" ht="15.75" customHeight="1">
      <c r="A10360" s="2" t="s">
        <v>10360</v>
      </c>
      <c r="B10360" s="2" t="str">
        <f>IFERROR(__xludf.DUMMYFUNCTION("GOOGLETRANSLATE(A10360, ""en"", ""mt"")"),"Bejn wieħed u ieħor kemm oġġetti jinkludu l-ġabra tal-ġojjelli tal-V &amp; A?")</f>
        <v>Bejn wieħed u ieħor kemm oġġetti jinkludu l-ġabra tal-ġojjelli tal-V &amp; A?</v>
      </c>
    </row>
    <row r="10361" ht="15.75" customHeight="1">
      <c r="A10361" s="2" t="s">
        <v>10361</v>
      </c>
      <c r="B10361" s="2" t="str">
        <f>IFERROR(__xludf.DUMMYFUNCTION("GOOGLETRANSLATE(A10361, ""en"", ""mt"")"),"Woodblocks")</f>
        <v>Woodblocks</v>
      </c>
    </row>
    <row r="10362" ht="15.75" customHeight="1">
      <c r="A10362" s="2" t="s">
        <v>10362</v>
      </c>
      <c r="B10362" s="2" t="str">
        <f>IFERROR(__xludf.DUMMYFUNCTION("GOOGLETRANSLATE(A10362, ""en"", ""mt"")"),"Liema pajjiż kien qed jaħseb biex imur il-gwerra biex jieħu bil-forza l-għelieqi taż-żejt tal-Lvant Nofsani?")</f>
        <v>Liema pajjiż kien qed jaħseb biex imur il-gwerra biex jieħu bil-forza l-għelieqi taż-żejt tal-Lvant Nofsani?</v>
      </c>
    </row>
    <row r="10363" ht="15.75" customHeight="1">
      <c r="A10363" s="2" t="s">
        <v>10363</v>
      </c>
      <c r="B10363" s="2" t="str">
        <f>IFERROR(__xludf.DUMMYFUNCTION("GOOGLETRANSLATE(A10363, ""en"", ""mt"")"),"X'inhi funzjoni waħda li n-numri ewlenin għandhom dak 1?")</f>
        <v>X'inhi funzjoni waħda li n-numri ewlenin għandhom dak 1?</v>
      </c>
    </row>
    <row r="10364" ht="15.75" customHeight="1">
      <c r="A10364" s="2" t="s">
        <v>10364</v>
      </c>
      <c r="B10364" s="2" t="str">
        <f>IFERROR(__xludf.DUMMYFUNCTION("GOOGLETRANSLATE(A10364, ""en"", ""mt"")"),"aerobiku")</f>
        <v>aerobiku</v>
      </c>
    </row>
    <row r="10365" ht="15.75" customHeight="1">
      <c r="A10365" s="2" t="s">
        <v>10365</v>
      </c>
      <c r="B10365" s="2" t="str">
        <f>IFERROR(__xludf.DUMMYFUNCTION("GOOGLETRANSLATE(A10365, ""en"", ""mt"")"),"20.4 biljun,")</f>
        <v>20.4 biljun,</v>
      </c>
    </row>
    <row r="10366" ht="15.75" customHeight="1">
      <c r="A10366" s="2" t="s">
        <v>10366</v>
      </c>
      <c r="B10366" s="2" t="str">
        <f>IFERROR(__xludf.DUMMYFUNCTION("GOOGLETRANSLATE(A10366, ""en"", ""mt"")"),"pixxini ta 'kumpens")</f>
        <v>pixxini ta 'kumpens</v>
      </c>
    </row>
    <row r="10367" ht="15.75" customHeight="1">
      <c r="A10367" s="2" t="s">
        <v>10367</v>
      </c>
      <c r="B10367" s="2" t="str">
        <f>IFERROR(__xludf.DUMMYFUNCTION("GOOGLETRANSLATE(A10367, ""en"", ""mt"")"),"ġdid adeżjat fil-kollezzjoni")</f>
        <v>ġdid adeżjat fil-kollezzjoni</v>
      </c>
    </row>
    <row r="10368" ht="15.75" customHeight="1">
      <c r="A10368" s="2" t="s">
        <v>10368</v>
      </c>
      <c r="B10368" s="2" t="str">
        <f>IFERROR(__xludf.DUMMYFUNCTION("GOOGLETRANSLATE(A10368, ""en"", ""mt"")"),"It-terminu ""imperjalizmu"" ħafna drabi huwa magħluq ma '""kolonjaliżmu"", madankollu ħafna studjużi argumentaw li kull wieħed għandu d-definizzjoni distinta tagħhom stess. L-imperjalizmu u l-kolonjaliżmu intużaw sabiex jiddeskrivu s-superjorità, il-ħakma"&amp;" u l-influwenza ta 'wieħed fuq persuna jew grupp ta' nies. Robert Young jikteb li filwaqt li l-imperjalizmu jopera miċ-Ċentru, huwa politika tal-istat u huwa żviluppat għal raġunijiet ideoloġiċi kif ukoll finanzjarji, il-kolonjaliżmu huwa sempliċement l-i"&amp;"żvilupp għal soluzzjoni jew intenzjonijiet kummerċjali. Il-kolonjaliżmu fl-użu modern għandu wkoll it-tendenza li jimplika grad ta 'separazzjoni ġeografika bejn il-kolonja u l-qawwa imperjali. Partikolarment, Edward qal li jiddistingwi d-differenza bejn l"&amp;"-imperjalizmu u l-kolonjaliżmu billi jiddikjara; ""L-imperjalizmu kien jinvolvi"" l-prattika, it-teorija u l-attitudnijiet ta 'ċentru metropolitani dominanti li jiddeċiedi territorju' l bogħod "", filwaqt li l-kolonjaliżmu jirreferi għall-impjant ta 'l-in"&amp;"sedjamenti fuq territorju' l bogħod."" Imperi tal-art kontigwi bħar-Russu jew l-Ottoman huma ġeneralment esklużi minn diskussjonijiet dwar il-kolonjaliżmu. Spjegazzjoni meħtieġa]")</f>
        <v>It-terminu "imperjalizmu" ħafna drabi huwa magħluq ma '"kolonjaliżmu", madankollu ħafna studjużi argumentaw li kull wieħed għandu d-definizzjoni distinta tagħhom stess. L-imperjalizmu u l-kolonjaliżmu intużaw sabiex jiddeskrivu s-superjorità, il-ħakma u l-influwenza ta 'wieħed fuq persuna jew grupp ta' nies. Robert Young jikteb li filwaqt li l-imperjalizmu jopera miċ-Ċentru, huwa politika tal-istat u huwa żviluppat għal raġunijiet ideoloġiċi kif ukoll finanzjarji, il-kolonjaliżmu huwa sempliċement l-iżvilupp għal soluzzjoni jew intenzjonijiet kummerċjali. Il-kolonjaliżmu fl-użu modern għandu wkoll it-tendenza li jimplika grad ta 'separazzjoni ġeografika bejn il-kolonja u l-qawwa imperjali. Partikolarment, Edward qal li jiddistingwi d-differenza bejn l-imperjalizmu u l-kolonjaliżmu billi jiddikjara; "L-imperjalizmu kien jinvolvi" l-prattika, it-teorija u l-attitudnijiet ta 'ċentru metropolitani dominanti li jiddeċiedi territorju' l bogħod ", filwaqt li l-kolonjaliżmu jirreferi għall-impjant ta 'l-insedjamenti fuq territorju' l bogħod." Imperi tal-art kontigwi bħar-Russu jew l-Ottoman huma ġeneralment esklużi minn diskussjonijiet dwar il-kolonjaliżmu. Spjegazzjoni meħtieġa]</v>
      </c>
    </row>
    <row r="10369" ht="15.75" customHeight="1">
      <c r="A10369" s="2" t="s">
        <v>10369</v>
      </c>
      <c r="B10369" s="2" t="str">
        <f>IFERROR(__xludf.DUMMYFUNCTION("GOOGLETRANSLATE(A10369, ""en"", ""mt"")"),"X'tip ta 'tabib speċjali min juri kull sena mill-2005?")</f>
        <v>X'tip ta 'tabib speċjali min juri kull sena mill-2005?</v>
      </c>
    </row>
    <row r="10370" ht="15.75" customHeight="1">
      <c r="A10370" s="2" t="s">
        <v>10370</v>
      </c>
      <c r="B10370" s="2" t="str">
        <f>IFERROR(__xludf.DUMMYFUNCTION("GOOGLETRANSLATE(A10370, ""en"", ""mt"")"),"Il-kwistjoni dwar jekk P tkun daqs NP hija waħda mill-aktar mistoqsijiet miftuħa importanti fix-xjenza teoretika tal-kompjuter minħabba l-implikazzjonijiet wiesgħa ta 'soluzzjoni. Jekk it-tweġiba hija iva, ħafna problemi importanti jistgħu jintwerew li għ"&amp;"andhom soluzzjonijiet aktar effiċjenti. Dawn jinkludu diversi tipi ta 'problemi ta' programmazzjoni integri fir-riċerka tal-operazzjonijiet, ħafna problemi fil-loġistika, tbassir tal-istruttura tal-proteini fil-bijoloġija, u l-abbiltà li ssib provi formal"&amp;"i ta 'teoremi tal-matematika puri. Il-problema P kontra NP hija waħda mill-problemi tal-Premju tal-Millennju proposti mill-Istitut tal-Matematika Clay. Hemm premju ta 'US $ 1,000,000 għar-riżoluzzjoni tal-problema.")</f>
        <v>Il-kwistjoni dwar jekk P tkun daqs NP hija waħda mill-aktar mistoqsijiet miftuħa importanti fix-xjenza teoretika tal-kompjuter minħabba l-implikazzjonijiet wiesgħa ta 'soluzzjoni. Jekk it-tweġiba hija iva, ħafna problemi importanti jistgħu jintwerew li għandhom soluzzjonijiet aktar effiċjenti. Dawn jinkludu diversi tipi ta 'problemi ta' programmazzjoni integri fir-riċerka tal-operazzjonijiet, ħafna problemi fil-loġistika, tbassir tal-istruttura tal-proteini fil-bijoloġija, u l-abbiltà li ssib provi formali ta 'teoremi tal-matematika puri. Il-problema P kontra NP hija waħda mill-problemi tal-Premju tal-Millennju proposti mill-Istitut tal-Matematika Clay. Hemm premju ta 'US $ 1,000,000 għar-riżoluzzjoni tal-problema.</v>
      </c>
    </row>
    <row r="10371" ht="15.75" customHeight="1">
      <c r="A10371" s="2" t="s">
        <v>10371</v>
      </c>
      <c r="B10371" s="2" t="str">
        <f>IFERROR(__xludf.DUMMYFUNCTION("GOOGLETRANSLATE(A10371, ""en"", ""mt"")"),"X'mużika kienet ir-raba 'karatteristika ta' soundtrack?")</f>
        <v>X'mużika kienet ir-raba 'karatteristika ta' soundtrack?</v>
      </c>
    </row>
    <row r="10372" ht="15.75" customHeight="1">
      <c r="A10372" s="2" t="s">
        <v>10372</v>
      </c>
      <c r="B10372" s="2" t="str">
        <f>IFERROR(__xludf.DUMMYFUNCTION("GOOGLETRANSLATE(A10372, ""en"", ""mt"")"),"X'kien l-isem tad-dominju tas-sit li streamew il-logħba Super Bowl 50?")</f>
        <v>X'kien l-isem tad-dominju tas-sit li streamew il-logħba Super Bowl 50?</v>
      </c>
    </row>
    <row r="10373" ht="15.75" customHeight="1">
      <c r="A10373" s="2" t="s">
        <v>10373</v>
      </c>
      <c r="B10373" s="2" t="str">
        <f>IFERROR(__xludf.DUMMYFUNCTION("GOOGLETRANSLATE(A10373, ""en"", ""mt"")"),"Filwaqt li dan huwa l-perspettiva tal-kunsens fost il-maġġoranza tal-akkademiċi, xi għalliema u ġenituri favur stil ta 'dixxiplina aktar assertiv u konfrontazzjonali. [Ċitazzjoni meħtieġa] bħal dawn individwi jiddikjaraw li ħafna problemi bl-iskola modern"&amp;"a joħorġu mid-dgħjufija fid-dixxiplina tal-iskola u jekk l-għalliema eżerċitaw Kontroll tad-ditta fuq il-klassi huma jkunu jistgħu jgħallmu b'mod aktar effiċjenti. Din il-perspettiva hija appoġġjata mill-kisba edukattiva tal-pajjiżi - fl-Asja tal-Lvant pe"&amp;"reżempju - li tgħaqqad dixxiplina stretta ma 'standards għoljin ta' edukazzjoni. [Ċitazzjoni meħtieġa]")</f>
        <v>Filwaqt li dan huwa l-perspettiva tal-kunsens fost il-maġġoranza tal-akkademiċi, xi għalliema u ġenituri favur stil ta 'dixxiplina aktar assertiv u konfrontazzjonali. [Ċitazzjoni meħtieġa] bħal dawn individwi jiddikjaraw li ħafna problemi bl-iskola moderna joħorġu mid-dgħjufija fid-dixxiplina tal-iskola u jekk l-għalliema eżerċitaw Kontroll tad-ditta fuq il-klassi huma jkunu jistgħu jgħallmu b'mod aktar effiċjenti. Din il-perspettiva hija appoġġjata mill-kisba edukattiva tal-pajjiżi - fl-Asja tal-Lvant pereżempju - li tgħaqqad dixxiplina stretta ma 'standards għoljin ta' edukazzjoni. [Ċitazzjoni meħtieġa]</v>
      </c>
    </row>
    <row r="10374" ht="15.75" customHeight="1">
      <c r="A10374" s="2" t="s">
        <v>10374</v>
      </c>
      <c r="B10374" s="2" t="str">
        <f>IFERROR(__xludf.DUMMYFUNCTION("GOOGLETRANSLATE(A10374, ""en"", ""mt"")"),"Ftit millimetri sa 1.5 m (4 ft 11 in) fid-daqs.")</f>
        <v>Ftit millimetri sa 1.5 m (4 ft 11 in) fid-daqs.</v>
      </c>
    </row>
    <row r="10375" ht="15.75" customHeight="1">
      <c r="A10375" s="2" t="s">
        <v>10375</v>
      </c>
      <c r="B10375" s="2" t="str">
        <f>IFERROR(__xludf.DUMMYFUNCTION("GOOGLETRANSLATE(A10375, ""en"", ""mt"")"),"deformazzjonijiet")</f>
        <v>deformazzjonijiet</v>
      </c>
    </row>
    <row r="10376" ht="15.75" customHeight="1">
      <c r="A10376" s="2" t="s">
        <v>10376</v>
      </c>
      <c r="B10376" s="2" t="str">
        <f>IFERROR(__xludf.DUMMYFUNCTION("GOOGLETRANSLATE(A10376, ""en"", ""mt"")"),"Il-bini huwa lest biex jokkupa.")</f>
        <v>Il-bini huwa lest biex jokkupa.</v>
      </c>
    </row>
    <row r="10377" ht="15.75" customHeight="1">
      <c r="A10377" s="2" t="s">
        <v>10377</v>
      </c>
      <c r="B10377" s="2" t="str">
        <f>IFERROR(__xludf.DUMMYFUNCTION("GOOGLETRANSLATE(A10377, ""en"", ""mt"")"),"Fejn hi l-Librerija Presidenzjali George W. Bush?")</f>
        <v>Fejn hi l-Librerija Presidenzjali George W. Bush?</v>
      </c>
    </row>
    <row r="10378" ht="15.75" customHeight="1">
      <c r="A10378" s="2" t="s">
        <v>10378</v>
      </c>
      <c r="B10378" s="2" t="str">
        <f>IFERROR(__xludf.DUMMYFUNCTION("GOOGLETRANSLATE(A10378, ""en"", ""mt"")"),"L-imperjalizmu tal-Punent qassam il-globu skont liema teorija?")</f>
        <v>L-imperjalizmu tal-Punent qassam il-globu skont liema teorija?</v>
      </c>
    </row>
    <row r="10379" ht="15.75" customHeight="1">
      <c r="A10379" s="2" t="s">
        <v>10379</v>
      </c>
      <c r="B10379" s="2" t="str">
        <f>IFERROR(__xludf.DUMMYFUNCTION("GOOGLETRANSLATE(A10379, ""en"", ""mt"")"),"Fejn hi komuni l-fotofosforilazzjoni ċiklika?")</f>
        <v>Fejn hi komuni l-fotofosforilazzjoni ċiklika?</v>
      </c>
    </row>
    <row r="10380" ht="15.75" customHeight="1">
      <c r="A10380" s="2" t="s">
        <v>10380</v>
      </c>
      <c r="B10380" s="2" t="str">
        <f>IFERROR(__xludf.DUMMYFUNCTION("GOOGLETRANSLATE(A10380, ""en"", ""mt"")"),"Għaliex in-nazzjonijiet Ewropej u l-Ġappun isseparaw ruħhom mill-Istati Uniti waqt il-kriżi?")</f>
        <v>Għaliex in-nazzjonijiet Ewropej u l-Ġappun isseparaw ruħhom mill-Istati Uniti waqt il-kriżi?</v>
      </c>
    </row>
    <row r="10381" ht="15.75" customHeight="1">
      <c r="A10381" s="2" t="s">
        <v>10381</v>
      </c>
      <c r="B10381" s="2" t="str">
        <f>IFERROR(__xludf.DUMMYFUNCTION("GOOGLETRANSLATE(A10381, ""en"", ""mt"")"),"Kif tiġi implimentata l-komunikazzjoni tal-modalità tal-pakketti")</f>
        <v>Kif tiġi implimentata l-komunikazzjoni tal-modalità tal-pakketti</v>
      </c>
    </row>
    <row r="10382" ht="15.75" customHeight="1">
      <c r="A10382" s="2" t="s">
        <v>10382</v>
      </c>
      <c r="B10382" s="2" t="str">
        <f>IFERROR(__xludf.DUMMYFUNCTION("GOOGLETRANSLATE(A10382, ""en"", ""mt"")"),"4 ġimgħat")</f>
        <v>4 ġimgħat</v>
      </c>
    </row>
    <row r="10383" ht="15.75" customHeight="1">
      <c r="A10383" s="2" t="s">
        <v>10383</v>
      </c>
      <c r="B10383" s="2" t="str">
        <f>IFERROR(__xludf.DUMMYFUNCTION("GOOGLETRANSLATE(A10383, ""en"", ""mt"")"),"Forza ċentripetali żbilanċjata")</f>
        <v>Forza ċentripetali żbilanċjata</v>
      </c>
    </row>
    <row r="10384" ht="15.75" customHeight="1">
      <c r="A10384" s="2" t="s">
        <v>10384</v>
      </c>
      <c r="B10384" s="2" t="str">
        <f>IFERROR(__xludf.DUMMYFUNCTION("GOOGLETRANSLATE(A10384, ""en"", ""mt"")"),"Fuq xiex il-ko-tagħlim iġib lill-istudenti jiffokaw fuqhom?")</f>
        <v>Fuq xiex il-ko-tagħlim iġib lill-istudenti jiffokaw fuqhom?</v>
      </c>
    </row>
    <row r="10385" ht="15.75" customHeight="1">
      <c r="A10385" s="2" t="s">
        <v>10385</v>
      </c>
      <c r="B10385" s="2" t="str">
        <f>IFERROR(__xludf.DUMMYFUNCTION("GOOGLETRANSLATE(A10385, ""en"", ""mt"")"),"Provinċja tal-Kap tal-Punent")</f>
        <v>Provinċja tal-Kap tal-Punent</v>
      </c>
    </row>
    <row r="10386" ht="15.75" customHeight="1">
      <c r="A10386" s="2" t="s">
        <v>10386</v>
      </c>
      <c r="B10386" s="2" t="str">
        <f>IFERROR(__xludf.DUMMYFUNCTION("GOOGLETRANSLATE(A10386, ""en"", ""mt"")"),"Meta l-gvernijiet tal-Punent appoġġjaw l-Iżlamisti li qed joħorġu?")</f>
        <v>Meta l-gvernijiet tal-Punent appoġġjaw l-Iżlamisti li qed joħorġu?</v>
      </c>
    </row>
    <row r="10387" ht="15.75" customHeight="1">
      <c r="A10387" s="2" t="s">
        <v>10387</v>
      </c>
      <c r="B10387" s="2" t="str">
        <f>IFERROR(__xludf.DUMMYFUNCTION("GOOGLETRANSLATE(A10387, ""en"", ""mt"")"),"F'liema data ġie skopert mill-palazz ta 'Genghis Khan mill-ġdid mill-arkeaologi?")</f>
        <v>F'liema data ġie skopert mill-palazz ta 'Genghis Khan mill-ġdid mill-arkeaologi?</v>
      </c>
    </row>
    <row r="10388" ht="15.75" customHeight="1">
      <c r="A10388" s="2" t="s">
        <v>10388</v>
      </c>
      <c r="B10388" s="2" t="str">
        <f>IFERROR(__xludf.DUMMYFUNCTION("GOOGLETRANSLATE(A10388, ""en"", ""mt"")"),"X’kien jemmen Luther li r-ruħ tagħmel wara l-mewt?")</f>
        <v>X’kien jemmen Luther li r-ruħ tagħmel wara l-mewt?</v>
      </c>
    </row>
    <row r="10389" ht="15.75" customHeight="1">
      <c r="A10389" s="2" t="s">
        <v>10389</v>
      </c>
      <c r="B10389" s="2" t="str">
        <f>IFERROR(__xludf.DUMMYFUNCTION("GOOGLETRANSLATE(A10389, ""en"", ""mt"")"),"Seklu 19 tard.")</f>
        <v>Seklu 19 tard.</v>
      </c>
    </row>
    <row r="10390" ht="15.75" customHeight="1">
      <c r="A10390" s="2" t="s">
        <v>10390</v>
      </c>
      <c r="B10390" s="2" t="str">
        <f>IFERROR(__xludf.DUMMYFUNCTION("GOOGLETRANSLATE(A10390, ""en"", ""mt"")"),"2p - 1, bi P a prim")</f>
        <v>2p - 1, bi P a prim</v>
      </c>
    </row>
    <row r="10391" ht="15.75" customHeight="1">
      <c r="A10391" s="2" t="s">
        <v>10391</v>
      </c>
      <c r="B10391" s="2" t="str">
        <f>IFERROR(__xludf.DUMMYFUNCTION("GOOGLETRANSLATE(A10391, ""en"", ""mt"")"),"Ċentru tax-Xiri tal-Pjazza Eldon,")</f>
        <v>Ċentru tax-Xiri tal-Pjazza Eldon,</v>
      </c>
    </row>
    <row r="10392" ht="15.75" customHeight="1">
      <c r="A10392" s="2" t="s">
        <v>10392</v>
      </c>
      <c r="B10392" s="2" t="str">
        <f>IFERROR(__xludf.DUMMYFUNCTION("GOOGLETRANSLATE(A10392, ""en"", ""mt"")"),"Liema show tat-talk CBS ieħor lagħab, wara dak ewlieni li beda immedjatament wara Super Bowl 50?")</f>
        <v>Liema show tat-talk CBS ieħor lagħab, wara dak ewlieni li beda immedjatament wara Super Bowl 50?</v>
      </c>
    </row>
    <row r="10393" ht="15.75" customHeight="1">
      <c r="A10393" s="2" t="s">
        <v>10393</v>
      </c>
      <c r="B10393" s="2" t="str">
        <f>IFERROR(__xludf.DUMMYFUNCTION("GOOGLETRANSLATE(A10393, ""en"", ""mt"")"),"madwar nofs")</f>
        <v>madwar nofs</v>
      </c>
    </row>
    <row r="10394" ht="15.75" customHeight="1">
      <c r="A10394" s="2" t="s">
        <v>10394</v>
      </c>
      <c r="B10394" s="2" t="str">
        <f>IFERROR(__xludf.DUMMYFUNCTION("GOOGLETRANSLATE(A10394, ""en"", ""mt"")"),"Ċelloli qattiela naturali")</f>
        <v>Ċelloli qattiela naturali</v>
      </c>
    </row>
    <row r="10395" ht="15.75" customHeight="1">
      <c r="A10395" s="2" t="s">
        <v>10395</v>
      </c>
      <c r="B10395" s="2" t="str">
        <f>IFERROR(__xludf.DUMMYFUNCTION("GOOGLETRANSLATE(A10395, ""en"", ""mt"")"),"X'inhi d-dar tal-Kenja?")</f>
        <v>X'inhi d-dar tal-Kenja?</v>
      </c>
    </row>
    <row r="10396" ht="15.75" customHeight="1">
      <c r="A10396" s="2" t="s">
        <v>10396</v>
      </c>
      <c r="B10396" s="2" t="str">
        <f>IFERROR(__xludf.DUMMYFUNCTION("GOOGLETRANSLATE(A10396, ""en"", ""mt"")"),"Wara battalja legali twila mal-Kummissjoni Ewropea, li qieset l-esklussività tad-drittijiet biex tkun kontra l-interessi tal-kompetizzjoni u l-konsumatur, il-monopolju tal-BSKYB wasal fi tmiemu mill-istaġun 2007-208. F’Mejju 2006, ix-xandar Irlandiż Setan"&amp;"ta Sports ingħata tnejn mis-sitt pakketti tal-Premier League li l-FA Ingliża offriet lix-xandara. Sky qabad l-erbgħa li fadal għal £ 1.3bn. Fi Frar 2015, Sky Bid £ 4.2bn għal pakkett ta '120 logħob tal-Premier League fit-tliet staġuni mill-2016. Dan kien "&amp;"jirrappreżenta żieda ta' 70% fuq il-kuntratt preċedenti u intqal li kien £ 1 biljun aktar milli l-kumpanija kienet mistennija tħallas - Il-mossa ġiet segwita minn tnaqqis fil-persunal, żieda fil-prezzijiet tal-abbonament (inklużi 9% fil-pakkett tal-familj"&amp;"a ta 'Sky) u t-twaqqigħ tal-kanal 3D.")</f>
        <v>Wara battalja legali twila mal-Kummissjoni Ewropea, li qieset l-esklussività tad-drittijiet biex tkun kontra l-interessi tal-kompetizzjoni u l-konsumatur, il-monopolju tal-BSKYB wasal fi tmiemu mill-istaġun 2007-208. F’Mejju 2006, ix-xandar Irlandiż Setanta Sports ingħata tnejn mis-sitt pakketti tal-Premier League li l-FA Ingliża offriet lix-xandara. Sky qabad l-erbgħa li fadal għal £ 1.3bn. Fi Frar 2015, Sky Bid £ 4.2bn għal pakkett ta '120 logħob tal-Premier League fit-tliet staġuni mill-2016. Dan kien jirrappreżenta żieda ta' 70% fuq il-kuntratt preċedenti u intqal li kien £ 1 biljun aktar milli l-kumpanija kienet mistennija tħallas - Il-mossa ġiet segwita minn tnaqqis fil-persunal, żieda fil-prezzijiet tal-abbonament (inklużi 9% fil-pakkett tal-familja ta 'Sky) u t-twaqqigħ tal-kanal 3D.</v>
      </c>
    </row>
    <row r="10397" ht="15.75" customHeight="1">
      <c r="A10397" s="2" t="s">
        <v>10397</v>
      </c>
      <c r="B10397" s="2" t="str">
        <f>IFERROR(__xludf.DUMMYFUNCTION("GOOGLETRANSLATE(A10397, ""en"", ""mt"")"),"ftit")</f>
        <v>ftit</v>
      </c>
    </row>
    <row r="10398" ht="15.75" customHeight="1">
      <c r="A10398" s="2" t="s">
        <v>10398</v>
      </c>
      <c r="B10398" s="2" t="str">
        <f>IFERROR(__xludf.DUMMYFUNCTION("GOOGLETRANSLATE(A10398, ""en"", ""mt"")"),"fi tliet stadji")</f>
        <v>fi tliet stadji</v>
      </c>
    </row>
    <row r="10399" ht="15.75" customHeight="1">
      <c r="A10399" s="2" t="s">
        <v>10399</v>
      </c>
      <c r="B10399" s="2" t="str">
        <f>IFERROR(__xludf.DUMMYFUNCTION("GOOGLETRANSLATE(A10399, ""en"", ""mt"")"),"sagrifiċċju")</f>
        <v>sagrifiċċju</v>
      </c>
    </row>
    <row r="10400" ht="15.75" customHeight="1">
      <c r="A10400" s="2" t="s">
        <v>10400</v>
      </c>
      <c r="B10400" s="2" t="str">
        <f>IFERROR(__xludf.DUMMYFUNCTION("GOOGLETRANSLATE(A10400, ""en"", ""mt"")"),"sfurzar limitat")</f>
        <v>sfurzar limitat</v>
      </c>
    </row>
    <row r="10401" ht="15.75" customHeight="1">
      <c r="A10401" s="2" t="s">
        <v>10401</v>
      </c>
      <c r="B10401" s="2" t="str">
        <f>IFERROR(__xludf.DUMMYFUNCTION("GOOGLETRANSLATE(A10401, ""en"", ""mt"")"),"Kanċellerija tas-Sassonu")</f>
        <v>Kanċellerija tas-Sassonu</v>
      </c>
    </row>
    <row r="10402" ht="15.75" customHeight="1">
      <c r="A10402" s="2" t="s">
        <v>10402</v>
      </c>
      <c r="B10402" s="2" t="str">
        <f>IFERROR(__xludf.DUMMYFUNCTION("GOOGLETRANSLATE(A10402, ""en"", ""mt"")"),"Stress")</f>
        <v>Stress</v>
      </c>
    </row>
    <row r="10403" ht="15.75" customHeight="1">
      <c r="A10403" s="2" t="s">
        <v>10403</v>
      </c>
      <c r="B10403" s="2" t="str">
        <f>IFERROR(__xludf.DUMMYFUNCTION("GOOGLETRANSLATE(A10403, ""en"", ""mt"")"),"X'jiekol Mnemiopsis?")</f>
        <v>X'jiekol Mnemiopsis?</v>
      </c>
    </row>
    <row r="10404" ht="15.75" customHeight="1">
      <c r="A10404" s="2" t="s">
        <v>10404</v>
      </c>
      <c r="B10404" s="2" t="str">
        <f>IFERROR(__xludf.DUMMYFUNCTION("GOOGLETRANSLATE(A10404, ""en"", ""mt"")"),"Xi jfisser Kitab Rudjdjar bl-Ingliż?")</f>
        <v>Xi jfisser Kitab Rudjdjar bl-Ingliż?</v>
      </c>
    </row>
    <row r="10405" ht="15.75" customHeight="1">
      <c r="A10405" s="2" t="s">
        <v>10405</v>
      </c>
      <c r="B10405" s="2" t="str">
        <f>IFERROR(__xludf.DUMMYFUNCTION("GOOGLETRANSLATE(A10405, ""en"", ""mt"")"),"It-tieni skala turi l-iktar eon reċenti bi skala estiża")</f>
        <v>It-tieni skala turi l-iktar eon reċenti bi skala estiża</v>
      </c>
    </row>
    <row r="10406" ht="15.75" customHeight="1">
      <c r="A10406" s="2" t="s">
        <v>10406</v>
      </c>
      <c r="B10406" s="2" t="str">
        <f>IFERROR(__xludf.DUMMYFUNCTION("GOOGLETRANSLATE(A10406, ""en"", ""mt"")"),"Erbgħa")</f>
        <v>Erbgħa</v>
      </c>
    </row>
    <row r="10407" ht="15.75" customHeight="1">
      <c r="A10407" s="2" t="s">
        <v>10407</v>
      </c>
      <c r="B10407" s="2" t="str">
        <f>IFERROR(__xludf.DUMMYFUNCTION("GOOGLETRANSLATE(A10407, ""en"", ""mt"")"),"baċellerat")</f>
        <v>baċellerat</v>
      </c>
    </row>
    <row r="10408" ht="15.75" customHeight="1">
      <c r="A10408" s="2" t="s">
        <v>10408</v>
      </c>
      <c r="B10408" s="2" t="str">
        <f>IFERROR(__xludf.DUMMYFUNCTION("GOOGLETRANSLATE(A10408, ""en"", ""mt"")"),"Fl-1529, Varsavja għall-ewwel darba saret is-sede tal-Ġeneral SEJM, permanenti mill-1569. Fl-1573 il-belt tat isimha lill-Konfederazzjoni ta 'Varsavja, li tistabbilixxi formalment il-libertà reliġjuża fil-Commonwealth Pollakka-Litwana. Minħabba l-lok ċent"&amp;"rali tiegħu bejn il-kapitali tal-Commonwealth ta 'Kraków u Vilnius, Varsavja saret il-kapitali tal-Commonwealth u l-kuruna tar-renju tal-Polonja meta r-Re Sigismund III Vasa ressaq il-qorti tiegħu minn Kraków għal Varsavja fl-1596. Fis-snin li ġejjin il-b"&amp;"elt estiż lejn is-subborgi. Diversi distretti indipendenti privati ​​ġew stabbiliti, il-propjetà ta 'aristokratiċi u l-gentry, li kienu maħkuma mil-liġijiet tagħhom stess. Tliet darbiet bejn l-1655-1658 il-belt kienet taħt l-assedju u tliet darbiet ittieħ"&amp;"det u mħabbra mill-forzi Żvediżi, Brandenburgian u Transilvanja.")</f>
        <v>Fl-1529, Varsavja għall-ewwel darba saret is-sede tal-Ġeneral SEJM, permanenti mill-1569. Fl-1573 il-belt tat isimha lill-Konfederazzjoni ta 'Varsavja, li tistabbilixxi formalment il-libertà reliġjuża fil-Commonwealth Pollakka-Litwana. Minħabba l-lok ċentrali tiegħu bejn il-kapitali tal-Commonwealth ta 'Kraków u Vilnius, Varsavja saret il-kapitali tal-Commonwealth u l-kuruna tar-renju tal-Polonja meta r-Re Sigismund III Vasa ressaq il-qorti tiegħu minn Kraków għal Varsavja fl-1596. Fis-snin li ġejjin il-belt estiż lejn is-subborgi. Diversi distretti indipendenti privati ​​ġew stabbiliti, il-propjetà ta 'aristokratiċi u l-gentry, li kienu maħkuma mil-liġijiet tagħhom stess. Tliet darbiet bejn l-1655-1658 il-belt kienet taħt l-assedju u tliet darbiet ittieħdet u mħabbra mill-forzi Żvediżi, Brandenburgian u Transilvanja.</v>
      </c>
    </row>
    <row r="10409" ht="15.75" customHeight="1">
      <c r="A10409" s="2" t="s">
        <v>10409</v>
      </c>
      <c r="B10409" s="2" t="str">
        <f>IFERROR(__xludf.DUMMYFUNCTION("GOOGLETRANSLATE(A10409, ""en"", ""mt"")"),"mill-inqas erbgħa")</f>
        <v>mill-inqas erbgħa</v>
      </c>
    </row>
    <row r="10410" ht="15.75" customHeight="1">
      <c r="A10410" s="2" t="s">
        <v>10410</v>
      </c>
      <c r="B10410" s="2" t="str">
        <f>IFERROR(__xludf.DUMMYFUNCTION("GOOGLETRANSLATE(A10410, ""en"", ""mt"")"),"Il-kloroplasti għandhom it-tielet ċirku li jaqsam il-plastidi li jinsab fl-ispazju intermembrane tal-kloroplast")</f>
        <v>Il-kloroplasti għandhom it-tielet ċirku li jaqsam il-plastidi li jinsab fl-ispazju intermembrane tal-kloroplast</v>
      </c>
    </row>
    <row r="10411" ht="15.75" customHeight="1">
      <c r="A10411" s="2" t="s">
        <v>10411</v>
      </c>
      <c r="B10411" s="2" t="str">
        <f>IFERROR(__xludf.DUMMYFUNCTION("GOOGLETRANSLATE(A10411, ""en"", ""mt"")"),"Fil-bnedmin, din ir-rispons hija attivata billi l-kumpliment jorbot ma 'antikorpi li jkunu mwaħħlin ma' dawn il-mikrobi jew it-twaħħil ta 'proteini ta' komplement ma 'karboidrati fuq l-uċuħ ta' mikrobi. Dan is-sinjal ta 'rikonoxximent iqajjem rispons ta' "&amp;"qtil rapidu. Il-veloċità tar-rispons hija riżultat ta 'amplifikazzjoni tas-sinjal li sseħħ wara attivazzjoni proteolitika sekwenzjali ta' molekuli ta 'komplement, li huma wkoll proteasi. Wara li l-proteini tal-kumpliment inizjalment jorbtu mal-mikrobi, hu"&amp;"ma jattivaw l-attività tal-protease tagħhom, li min-naħa tagħhom jattiva proteasi oħra ta 'komplement, u l-bqija. Dan jipproduċi kaskata katalitika li tamplifika s-sinjal inizjali permezz ta 'rispons pożittiv ikkontrollat. Il-kaskata tirriżulta fil-produz"&amp;"zjoni ta 'peptidi li jattiraw ċelloli immuni, iżidu l-permeabilità vaskulari, u opsonize (kisja) il-wiċċ ta' patoġen, li jimmarkawha għall-qerda. Din id-deposizzjoni ta 'komplement tista' wkoll toqtol iċ-ċelloli direttament billi tfixkel il-membrana tal-p"&amp;"lażma tagħhom.")</f>
        <v>Fil-bnedmin, din ir-rispons hija attivata billi l-kumpliment jorbot ma 'antikorpi li jkunu mwaħħlin ma' dawn il-mikrobi jew it-twaħħil ta 'proteini ta' komplement ma 'karboidrati fuq l-uċuħ ta' mikrobi. Dan is-sinjal ta 'rikonoxximent iqajjem rispons ta' qtil rapidu. Il-veloċità tar-rispons hija riżultat ta 'amplifikazzjoni tas-sinjal li sseħħ wara attivazzjoni proteolitika sekwenzjali ta' molekuli ta 'komplement, li huma wkoll proteasi. Wara li l-proteini tal-kumpliment inizjalment jorbtu mal-mikrobi, huma jattivaw l-attività tal-protease tagħhom, li min-naħa tagħhom jattiva proteasi oħra ta 'komplement, u l-bqija. Dan jipproduċi kaskata katalitika li tamplifika s-sinjal inizjali permezz ta 'rispons pożittiv ikkontrollat. Il-kaskata tirriżulta fil-produzzjoni ta 'peptidi li jattiraw ċelloli immuni, iżidu l-permeabilità vaskulari, u opsonize (kisja) il-wiċċ ta' patoġen, li jimmarkawha għall-qerda. Din id-deposizzjoni ta 'komplement tista' wkoll toqtol iċ-ċelloli direttament billi tfixkel il-membrana tal-plażma tagħhom.</v>
      </c>
    </row>
    <row r="10412" ht="15.75" customHeight="1">
      <c r="A10412" s="2" t="s">
        <v>10412</v>
      </c>
      <c r="B10412" s="2" t="str">
        <f>IFERROR(__xludf.DUMMYFUNCTION("GOOGLETRANSLATE(A10412, ""en"", ""mt"")"),"Teorija tal-Miasma")</f>
        <v>Teorija tal-Miasma</v>
      </c>
    </row>
    <row r="10413" ht="15.75" customHeight="1">
      <c r="A10413" s="2" t="s">
        <v>10413</v>
      </c>
      <c r="B10413" s="2" t="str">
        <f>IFERROR(__xludf.DUMMYFUNCTION("GOOGLETRANSLATE(A10413, ""en"", ""mt"")"),"F’liema tip ta ’jihad jevita li jinvolvi ruħu?")</f>
        <v>F’liema tip ta ’jihad jevita li jinvolvi ruħu?</v>
      </c>
    </row>
    <row r="10414" ht="15.75" customHeight="1">
      <c r="A10414" s="2" t="s">
        <v>10414</v>
      </c>
      <c r="B10414" s="2" t="str">
        <f>IFERROR(__xludf.DUMMYFUNCTION("GOOGLETRANSLATE(A10414, ""en"", ""mt"")"),"L-ewwel netwerk ta 'dejta pubblika liċenzjata mill-FCC")</f>
        <v>L-ewwel netwerk ta 'dejta pubblika liċenzjata mill-FCC</v>
      </c>
    </row>
    <row r="10415" ht="15.75" customHeight="1">
      <c r="A10415" s="2" t="s">
        <v>10415</v>
      </c>
      <c r="B10415" s="2" t="str">
        <f>IFERROR(__xludf.DUMMYFUNCTION("GOOGLETRANSLATE(A10415, ""en"", ""mt"")"),"Dtime (f (n))")</f>
        <v>Dtime (f (n))</v>
      </c>
    </row>
    <row r="10416" ht="15.75" customHeight="1">
      <c r="A10416" s="2" t="s">
        <v>10416</v>
      </c>
      <c r="B10416" s="2" t="str">
        <f>IFERROR(__xludf.DUMMYFUNCTION("GOOGLETRANSLATE(A10416, ""en"", ""mt"")"),"kombustibbli")</f>
        <v>kombustibbli</v>
      </c>
    </row>
    <row r="10417" ht="15.75" customHeight="1">
      <c r="A10417" s="2" t="s">
        <v>10417</v>
      </c>
      <c r="B10417" s="2" t="str">
        <f>IFERROR(__xludf.DUMMYFUNCTION("GOOGLETRANSLATE(A10417, ""en"", ""mt"")"),"Meta sseħħ l-akbar fiera tal-ivvjaġġar fl-Ewropa?")</f>
        <v>Meta sseħħ l-akbar fiera tal-ivvjaġġar fl-Ewropa?</v>
      </c>
    </row>
    <row r="10418" ht="15.75" customHeight="1">
      <c r="A10418" s="2" t="s">
        <v>10418</v>
      </c>
      <c r="B10418" s="2" t="str">
        <f>IFERROR(__xludf.DUMMYFUNCTION("GOOGLETRANSLATE(A10418, ""en"", ""mt"")"),"tista 'tipproduċi kemm bajd kif ukoll sperma fl-istess ħin")</f>
        <v>tista 'tipproduċi kemm bajd kif ukoll sperma fl-istess ħin</v>
      </c>
    </row>
    <row r="10419" ht="15.75" customHeight="1">
      <c r="A10419" s="2" t="s">
        <v>10419</v>
      </c>
      <c r="B10419" s="2" t="str">
        <f>IFERROR(__xludf.DUMMYFUNCTION("GOOGLETRANSLATE(A10419, ""en"", ""mt"")"),"Liema pajjiż kien l-aħħar li rċieva l-marda?")</f>
        <v>Liema pajjiż kien l-aħħar li rċieva l-marda?</v>
      </c>
    </row>
    <row r="10420" ht="15.75" customHeight="1">
      <c r="A10420" s="2" t="s">
        <v>10420</v>
      </c>
      <c r="B10420" s="2" t="str">
        <f>IFERROR(__xludf.DUMMYFUNCTION("GOOGLETRANSLATE(A10420, ""en"", ""mt"")"),"In-Nofsinhar ta ’California hija wkoll id-dar tal-Port ta’ Los Angeles, il-port kummerċjali l-aktar traffikuż tal-Istati Uniti; il-port li jmissu ma 'Long Beach, it-tieni port tal-kontejners tat-tieni l-Istati Uniti; u l-port ta 'San Diego.")</f>
        <v>In-Nofsinhar ta ’California hija wkoll id-dar tal-Port ta’ Los Angeles, il-port kummerċjali l-aktar traffikuż tal-Istati Uniti; il-port li jmissu ma 'Long Beach, it-tieni port tal-kontejners tat-tieni l-Istati Uniti; u l-port ta 'San Diego.</v>
      </c>
    </row>
    <row r="10421" ht="15.75" customHeight="1">
      <c r="A10421" s="2" t="s">
        <v>10421</v>
      </c>
      <c r="B10421" s="2" t="str">
        <f>IFERROR(__xludf.DUMMYFUNCTION("GOOGLETRANSLATE(A10421, ""en"", ""mt"")"),"Kif huma ġeneralment iffurmati kloroplasti fil-pjanti tal-art?")</f>
        <v>Kif huma ġeneralment iffurmati kloroplasti fil-pjanti tal-art?</v>
      </c>
    </row>
    <row r="10422" ht="15.75" customHeight="1">
      <c r="A10422" s="2" t="s">
        <v>10422</v>
      </c>
      <c r="B10422" s="2" t="str">
        <f>IFERROR(__xludf.DUMMYFUNCTION("GOOGLETRANSLATE(A10422, ""en"", ""mt"")"),"irġiel fis-suq tax-xogħol")</f>
        <v>irġiel fis-suq tax-xogħol</v>
      </c>
    </row>
    <row r="10423" ht="15.75" customHeight="1">
      <c r="A10423" s="2" t="s">
        <v>10423</v>
      </c>
      <c r="B10423" s="2" t="str">
        <f>IFERROR(__xludf.DUMMYFUNCTION("GOOGLETRANSLATE(A10423, ""en"", ""mt"")"),"Definizzjonijiet analogi jistgħu jsiru għar-rekwiżiti tal-ispazju. Għalkemm il-ħin u l-ispazju huma l-iktar riżorsi ta 'kumplessità magħrufa, kwalunkwe miżura ta' kumplessità tista 'titqies bħala riżors tal-komputazzjoni. Miżuri ta 'kumplessità huma ġener"&amp;"alment definiti mill-axioms ta' kumplessità ta 'Blum. Miżuri oħra ta ’kumplessità użati fit-teorija tal-kumplessità jinkludu kumplessità tal-komunikazzjoni, kumplessità taċ-ċirkwit, u kumplessità tas-siġar tad-deċiżjonijiet.")</f>
        <v>Definizzjonijiet analogi jistgħu jsiru għar-rekwiżiti tal-ispazju. Għalkemm il-ħin u l-ispazju huma l-iktar riżorsi ta 'kumplessità magħrufa, kwalunkwe miżura ta' kumplessità tista 'titqies bħala riżors tal-komputazzjoni. Miżuri ta 'kumplessità huma ġeneralment definiti mill-axioms ta' kumplessità ta 'Blum. Miżuri oħra ta ’kumplessità użati fit-teorija tal-kumplessità jinkludu kumplessità tal-komunikazzjoni, kumplessità taċ-ċirkwit, u kumplessità tas-siġar tad-deċiżjonijiet.</v>
      </c>
    </row>
    <row r="10424" ht="15.75" customHeight="1">
      <c r="A10424" s="2" t="s">
        <v>10424</v>
      </c>
      <c r="B10424" s="2" t="str">
        <f>IFERROR(__xludf.DUMMYFUNCTION("GOOGLETRANSLATE(A10424, ""en"", ""mt"")"),"Molekuli organiċi komuni")</f>
        <v>Molekuli organiċi komuni</v>
      </c>
    </row>
    <row r="10425" ht="15.75" customHeight="1">
      <c r="A10425" s="2" t="s">
        <v>10425</v>
      </c>
      <c r="B10425" s="2" t="str">
        <f>IFERROR(__xludf.DUMMYFUNCTION("GOOGLETRANSLATE(A10425, ""en"", ""mt"")"),"Sistema tax-Xandir Mainichi")</f>
        <v>Sistema tax-Xandir Mainichi</v>
      </c>
    </row>
    <row r="10426" ht="15.75" customHeight="1">
      <c r="A10426" s="2" t="s">
        <v>10426</v>
      </c>
      <c r="B10426" s="2" t="str">
        <f>IFERROR(__xludf.DUMMYFUNCTION("GOOGLETRANSLATE(A10426, ""en"", ""mt"")"),"sensur tal-bilanċ")</f>
        <v>sensur tal-bilanċ</v>
      </c>
    </row>
    <row r="10427" ht="15.75" customHeight="1">
      <c r="A10427" s="2" t="s">
        <v>10427</v>
      </c>
      <c r="B10427" s="2" t="str">
        <f>IFERROR(__xludf.DUMMYFUNCTION("GOOGLETRANSLATE(A10427, ""en"", ""mt"")"),"X'jagħmel għalliem għal xi ħadd li huwa cocky?")</f>
        <v>X'jagħmel għalliem għal xi ħadd li huwa cocky?</v>
      </c>
    </row>
    <row r="10428" ht="15.75" customHeight="1">
      <c r="A10428" s="2" t="s">
        <v>10428</v>
      </c>
      <c r="B10428" s="2" t="str">
        <f>IFERROR(__xludf.DUMMYFUNCTION("GOOGLETRANSLATE(A10428, ""en"", ""mt"")"),"Iċ-ċiklu ta 'Rankine huwa l-bażi fundamentali termodinamika tal-magna tal-fwar. Iċ-ċiklu huwa arranġament ta 'komponenti kif tipikament jintuża għal produzzjoni ta' enerġija sempliċi, u juża l-bidla fil-fażi ta 'l-ilma (ilma jagħli li jipproduċi fwar, jik"&amp;"kondensa l-fwar tal-egżost, li jipproduċi ilma likwidu)) biex jipprovdi sistema prattika ta' konverżjoni tas-sħana / enerġija. Is-sħana hija fornuta esternament għal linja magħluqa b'xi ftit mis-sħana miżjuda tiġi kkonvertita għax-xogħol u s-sħana tal-isk"&amp;"art titneħħa f'kondensatur. Iċ-ċiklu Rankine jintuża fi kważi l-applikazzjonijiet kollha tal-produzzjoni tal-enerġija bil-fwar. Fid-disgħinijiet, iċ-ċikli tal-fwar ta 'Rankine ġġeneraw madwar 90% tal-enerġija elettrika kollha użata madwar id-dinja, inkluż"&amp;"i kważi l-impjanti tal-enerġija solari, tal-bijomassa, tal-faħam u nukleari. Huwa msemmi wara William John Macquorn Rankine, Polymath Skoċċiż.")</f>
        <v>Iċ-ċiklu ta 'Rankine huwa l-bażi fundamentali termodinamika tal-magna tal-fwar. Iċ-ċiklu huwa arranġament ta 'komponenti kif tipikament jintuża għal produzzjoni ta' enerġija sempliċi, u juża l-bidla fil-fażi ta 'l-ilma (ilma jagħli li jipproduċi fwar, jikkondensa l-fwar tal-egżost, li jipproduċi ilma likwidu)) biex jipprovdi sistema prattika ta' konverżjoni tas-sħana / enerġija. Is-sħana hija fornuta esternament għal linja magħluqa b'xi ftit mis-sħana miżjuda tiġi kkonvertita għax-xogħol u s-sħana tal-iskart titneħħa f'kondensatur. Iċ-ċiklu Rankine jintuża fi kważi l-applikazzjonijiet kollha tal-produzzjoni tal-enerġija bil-fwar. Fid-disgħinijiet, iċ-ċikli tal-fwar ta 'Rankine ġġeneraw madwar 90% tal-enerġija elettrika kollha użata madwar id-dinja, inklużi kważi l-impjanti tal-enerġija solari, tal-bijomassa, tal-faħam u nukleari. Huwa msemmi wara William John Macquorn Rankine, Polymath Skoċċiż.</v>
      </c>
    </row>
    <row r="10429" ht="15.75" customHeight="1">
      <c r="A10429" s="2" t="s">
        <v>10429</v>
      </c>
      <c r="B10429" s="2" t="str">
        <f>IFERROR(__xludf.DUMMYFUNCTION("GOOGLETRANSLATE(A10429, ""en"", ""mt"")"),"tul il-kosta, l-insedjamenti kienu qed jikbru fl-intern")</f>
        <v>tul il-kosta, l-insedjamenti kienu qed jikbru fl-intern</v>
      </c>
    </row>
    <row r="10430" ht="15.75" customHeight="1">
      <c r="A10430" s="2" t="s">
        <v>10430</v>
      </c>
      <c r="B10430" s="2" t="str">
        <f>IFERROR(__xludf.DUMMYFUNCTION("GOOGLETRANSLATE(A10430, ""en"", ""mt"")"),"Filwaqt li ħafna kongregazzjonijiet Metodisti Magħquda joperaw fit-tradizzjoni evanġelika, oħrajn jirriflettu t-tradizzjonijiet Protestanti ewlenin. Għalkemm il-prattiki Metodisti Magħquda u l-interpretazzjoni tat-twemmin evolvew maż-żmien, dawn il-pratti"&amp;"ki u t-twemmin jistgħu jiġu rintraċċati għall-kitbiet tal-fundaturi tal-knisja, speċjalment John Wesley u Charles Wesley (Anglikani), iżda wkoll Philip William Otterbein u Martin Boehm (ħutna magħquda) , u Jacob Albright (Assoċjazzjoni Evanġelika). Bil-fo"&amp;"rmazzjoni tal-Knisja Metodista Magħquda fl-1968, it-teologu Albert C. Outler mexxa lit-tim li sistematizza d-duttrina denominazzjonali. Ix-xogħol ta 'Outler wera ċentrali fix-xogħol ta' l-Unjoni, u huwa fil-biċċa l-kbira meqjus bħala l-ewwel teologu Metod"&amp;"ist Magħqud.")</f>
        <v>Filwaqt li ħafna kongregazzjonijiet Metodisti Magħquda joperaw fit-tradizzjoni evanġelika, oħrajn jirriflettu t-tradizzjonijiet Protestanti ewlenin. Għalkemm il-prattiki Metodisti Magħquda u l-interpretazzjoni tat-twemmin evolvew maż-żmien, dawn il-prattiki u t-twemmin jistgħu jiġu rintraċċati għall-kitbiet tal-fundaturi tal-knisja, speċjalment John Wesley u Charles Wesley (Anglikani), iżda wkoll Philip William Otterbein u Martin Boehm (ħutna magħquda) , u Jacob Albright (Assoċjazzjoni Evanġelika). Bil-formazzjoni tal-Knisja Metodista Magħquda fl-1968, it-teologu Albert C. Outler mexxa lit-tim li sistematizza d-duttrina denominazzjonali. Ix-xogħol ta 'Outler wera ċentrali fix-xogħol ta' l-Unjoni, u huwa fil-biċċa l-kbira meqjus bħala l-ewwel teologu Metodist Magħqud.</v>
      </c>
    </row>
    <row r="10431" ht="15.75" customHeight="1">
      <c r="A10431" s="2" t="s">
        <v>10431</v>
      </c>
      <c r="B10431" s="2" t="str">
        <f>IFERROR(__xludf.DUMMYFUNCTION("GOOGLETRANSLATE(A10431, ""en"", ""mt"")"),"Il-partit, jew il-partijiet, li jżommu l-maġġoranza tas-siġġijiet fil-Parlament")</f>
        <v>Il-partit, jew il-partijiet, li jżommu l-maġġoranza tas-siġġijiet fil-Parlament</v>
      </c>
    </row>
    <row r="10432" ht="15.75" customHeight="1">
      <c r="A10432" s="2" t="s">
        <v>10432</v>
      </c>
      <c r="B10432" s="2" t="str">
        <f>IFERROR(__xludf.DUMMYFUNCTION("GOOGLETRANSLATE(A10432, ""en"", ""mt"")"),"Il-Ġappun ħa parti mill-Gżira Sakhalin mir-Russja")</f>
        <v>Il-Ġappun ħa parti mill-Gżira Sakhalin mir-Russja</v>
      </c>
    </row>
    <row r="10433" ht="15.75" customHeight="1">
      <c r="A10433" s="2" t="s">
        <v>10433</v>
      </c>
      <c r="B10433" s="2" t="str">
        <f>IFERROR(__xludf.DUMMYFUNCTION("GOOGLETRANSLATE(A10433, ""en"", ""mt"")"),"24 ta ’Marzu 1879")</f>
        <v>24 ta ’Marzu 1879</v>
      </c>
    </row>
    <row r="10434" ht="15.75" customHeight="1">
      <c r="A10434" s="2" t="s">
        <v>10434</v>
      </c>
      <c r="B10434" s="2" t="str">
        <f>IFERROR(__xludf.DUMMYFUNCTION("GOOGLETRANSLATE(A10434, ""en"", ""mt"")"),"X'inhu eżempju ta 'mudell ta' magna li jiddevja minn magna b'ħafna tape aċċettata ġeneralment?")</f>
        <v>X'inhu eżempju ta 'mudell ta' magna li jiddevja minn magna b'ħafna tape aċċettata ġeneralment?</v>
      </c>
    </row>
    <row r="10435" ht="15.75" customHeight="1">
      <c r="A10435" s="2" t="s">
        <v>10435</v>
      </c>
      <c r="B10435" s="2" t="str">
        <f>IFERROR(__xludf.DUMMYFUNCTION("GOOGLETRANSLATE(A10435, ""en"", ""mt"")"),"Irrispondi għall-mistoqsijiet tal-investigaturi")</f>
        <v>Irrispondi għall-mistoqsijiet tal-investigaturi</v>
      </c>
    </row>
    <row r="10436" ht="15.75" customHeight="1">
      <c r="A10436" s="2" t="s">
        <v>10436</v>
      </c>
      <c r="B10436" s="2" t="str">
        <f>IFERROR(__xludf.DUMMYFUNCTION("GOOGLETRANSLATE(A10436, ""en"", ""mt"")"),"Minn xiex kien jaħseb li Luther ma setgħetx tinftiehem?")</f>
        <v>Minn xiex kien jaħseb li Luther ma setgħetx tinftiehem?</v>
      </c>
    </row>
    <row r="10437" ht="15.75" customHeight="1">
      <c r="A10437" s="2" t="s">
        <v>10437</v>
      </c>
      <c r="B10437" s="2" t="str">
        <f>IFERROR(__xludf.DUMMYFUNCTION("GOOGLETRANSLATE(A10437, ""en"", ""mt"")"),"F’liema tmiem tal-Ġnien Sassonu jinsab it-Tom tas-Suldat Mhux magħruf?")</f>
        <v>F’liema tmiem tal-Ġnien Sassonu jinsab it-Tom tas-Suldat Mhux magħruf?</v>
      </c>
    </row>
    <row r="10438" ht="15.75" customHeight="1">
      <c r="A10438" s="2" t="s">
        <v>10438</v>
      </c>
      <c r="B10438" s="2" t="str">
        <f>IFERROR(__xludf.DUMMYFUNCTION("GOOGLETRANSLATE(A10438, ""en"", ""mt"")"),"X’sar il-ħtieġa li l-ABC iżomm l-interessi f’pajjiżi oħra?")</f>
        <v>X’sar il-ħtieġa li l-ABC iżomm l-interessi f’pajjiżi oħra?</v>
      </c>
    </row>
    <row r="10439" ht="15.75" customHeight="1">
      <c r="A10439" s="2" t="s">
        <v>10439</v>
      </c>
      <c r="B10439" s="2" t="str">
        <f>IFERROR(__xludf.DUMMYFUNCTION("GOOGLETRANSLATE(A10439, ""en"", ""mt"")"),"Ġbir ta 'riżorsi mill-kolonji")</f>
        <v>Ġbir ta 'riżorsi mill-kolonji</v>
      </c>
    </row>
    <row r="10440" ht="15.75" customHeight="1">
      <c r="A10440" s="2" t="s">
        <v>10440</v>
      </c>
      <c r="B10440" s="2" t="str">
        <f>IFERROR(__xludf.DUMMYFUNCTION("GOOGLETRANSLATE(A10440, ""en"", ""mt"")"),"Aċidi grassi, isopentenyl pirofosfat, raggruppamenti ta 'kubrit tal-ħadid")</f>
        <v>Aċidi grassi, isopentenyl pirofosfat, raggruppamenti ta 'kubrit tal-ħadid</v>
      </c>
    </row>
    <row r="10441" ht="15.75" customHeight="1">
      <c r="A10441" s="2" t="s">
        <v>10441</v>
      </c>
      <c r="B10441" s="2" t="str">
        <f>IFERROR(__xludf.DUMMYFUNCTION("GOOGLETRANSLATE(A10441, ""en"", ""mt"")"),"iterattivament")</f>
        <v>iterattivament</v>
      </c>
    </row>
    <row r="10442" ht="15.75" customHeight="1">
      <c r="A10442" s="2" t="s">
        <v>10442</v>
      </c>
      <c r="B10442" s="2" t="str">
        <f>IFERROR(__xludf.DUMMYFUNCTION("GOOGLETRANSLATE(A10442, ""en"", ""mt"")"),"Il-Programm tal-Ambjent tan-Nazzjonijiet Uniti (UNEP) u l-Organizzazzjoni Meteoroloġika Dinjija (WMO),")</f>
        <v>Il-Programm tal-Ambjent tan-Nazzjonijiet Uniti (UNEP) u l-Organizzazzjoni Meteoroloġika Dinjija (WMO),</v>
      </c>
    </row>
    <row r="10443" ht="15.75" customHeight="1">
      <c r="A10443" s="2" t="s">
        <v>10443</v>
      </c>
      <c r="B10443" s="2" t="str">
        <f>IFERROR(__xludf.DUMMYFUNCTION("GOOGLETRANSLATE(A10443, ""en"", ""mt"")"),"X'")</f>
        <v>X'</v>
      </c>
    </row>
    <row r="10444" ht="15.75" customHeight="1">
      <c r="A10444" s="2" t="s">
        <v>10444</v>
      </c>
      <c r="B10444" s="2" t="str">
        <f>IFERROR(__xludf.DUMMYFUNCTION("GOOGLETRANSLATE(A10444, ""en"", ""mt"")"),"F'liema punt fil-priedki ta 'Luther kiteb lil Schurf lill-elettur?")</f>
        <v>F'liema punt fil-priedki ta 'Luther kiteb lil Schurf lill-elettur?</v>
      </c>
    </row>
    <row r="10445" ht="15.75" customHeight="1">
      <c r="A10445" s="2" t="s">
        <v>10445</v>
      </c>
      <c r="B10445" s="2" t="str">
        <f>IFERROR(__xludf.DUMMYFUNCTION("GOOGLETRANSLATE(A10445, ""en"", ""mt"")"),"Liema snin raw l-iktar telf ta 'wirjiet qodma fl-arkivji tal-BBC?")</f>
        <v>Liema snin raw l-iktar telf ta 'wirjiet qodma fl-arkivji tal-BBC?</v>
      </c>
    </row>
    <row r="10446" ht="15.75" customHeight="1">
      <c r="A10446" s="2" t="s">
        <v>10446</v>
      </c>
      <c r="B10446" s="2" t="str">
        <f>IFERROR(__xludf.DUMMYFUNCTION("GOOGLETRANSLATE(A10446, ""en"", ""mt"")"),"Aktar fin-nofsinhar l-intern tax-Xlokk kien iddominat minn Catawba li titkellem minn Siouan, Creek u Choctaw li jitkellmu bil-Muskogee, u t-tribujiet Cherokee li jitkellmu Iroquoian. Meta faqqgħet il-gwerra, il-Franċiżi użaw il-konnessjonijiet kummerċjali"&amp;" tagħhom biex jirreklutaw ġellieda minn tribujiet f'porzjonijiet tal-Punent tar-reġjun tal-Lagi l-Kbar (żona li mhix direttament soġġetta għall-kunflitt bejn il-Franċiżi u l-Ingliżi), inklużi l-Huron, Mississauga, Ojibwa, Winnebago, u Potawatomi. Il-Britt"&amp;"aniċi kienu appoġġjati fil-gwerra mill-Iroquois Six Nations, u wkoll miċ-Cherokee - sakemm id-differenzi qanqlu l-Gwerra Anglo-Cherokee fl-1758. Fl-1758 il-gvern ta ’Pennsylvania innegozja b’suċċess it-Trattat ta’ Easton, li fih numru ta ’tribujiet fil - "&amp;"Pajjiż Ohio wiegħed in-newtralità bi skambju għal konċessjonijiet tal-art u kunsiderazzjonijiet oħra. Il-biċċa l-kbira tat-tribujiet l-oħra tat-Tramuntana naħat mal-Franċiżi, is-sieħeb kummerċjali primarju tagħhom u l-fornitur tal-armi. Il-Creek u Cheroke"&amp;"e kienu soġġetti għal sforzi diplomatiċi kemm mill-Franċiżi kif ukoll mill-Ingliżi biex jiksbu l-appoġġ tagħhom jew in-newtralità fil-kunflitt. Ma kienx komuni għal baned żgħar biex jipparteċipaw fuq in- ""naħa l-oħra"" tal-kunflitt minn ftehimiet negozja"&amp;"ti formalment, peress li ħafna tribujiet kienu deċentralizzati u l-baned ħadu d-deċiżjonijiet tagħhom stess dwar il-gwerra.")</f>
        <v>Aktar fin-nofsinhar l-intern tax-Xlokk kien iddominat minn Catawba li titkellem minn Siouan, Creek u Choctaw li jitkellmu bil-Muskogee, u t-tribujiet Cherokee li jitkellmu Iroquoian. Meta faqqgħet il-gwerra, il-Franċiżi użaw il-konnessjonijiet kummerċjali tagħhom biex jirreklutaw ġellieda minn tribujiet f'porzjonijiet tal-Punent tar-reġjun tal-Lagi l-Kbar (żona li mhix direttament soġġetta għall-kunflitt bejn il-Franċiżi u l-Ingliżi), inklużi l-Huron, Mississauga, Ojibwa, Winnebago, u Potawatomi. Il-Brittaniċi kienu appoġġjati fil-gwerra mill-Iroquois Six Nations, u wkoll miċ-Cherokee - sakemm id-differenzi qanqlu l-Gwerra Anglo-Cherokee fl-1758. Fl-1758 il-gvern ta ’Pennsylvania innegozja b’suċċess it-Trattat ta’ Easton, li fih numru ta ’tribujiet fil - Pajjiż Ohio wiegħed in-newtralità bi skambju għal konċessjonijiet tal-art u kunsiderazzjonijiet oħra. Il-biċċa l-kbira tat-tribujiet l-oħra tat-Tramuntana naħat mal-Franċiżi, is-sieħeb kummerċjali primarju tagħhom u l-fornitur tal-armi. Il-Creek u Cherokee kienu soġġetti għal sforzi diplomatiċi kemm mill-Franċiżi kif ukoll mill-Ingliżi biex jiksbu l-appoġġ tagħhom jew in-newtralità fil-kunflitt. Ma kienx komuni għal baned żgħar biex jipparteċipaw fuq in- "naħa l-oħra" tal-kunflitt minn ftehimiet negozjati formalment, peress li ħafna tribujiet kienu deċentralizzati u l-baned ħadu d-deċiżjonijiet tagħhom stess dwar il-gwerra.</v>
      </c>
    </row>
    <row r="10447" ht="15.75" customHeight="1">
      <c r="A10447" s="2" t="s">
        <v>10447</v>
      </c>
      <c r="B10447" s="2" t="str">
        <f>IFERROR(__xludf.DUMMYFUNCTION("GOOGLETRANSLATE(A10447, ""en"", ""mt"")"),"Storikament, il-forzi ġew investigati l-ewwel kwantitattivament f'kundizzjonijiet ta 'bilanċ statiku fejn diversi forzi kkanċellaw lil xulxin. Esperimenti bħal dawn juru l-proprjetajiet kruċjali li l-forzi huma kwantitajiet ta 'vettur addittivi: għandhom "&amp;"kobor u direzzjoni. Meta żewġ forzi jaġixxu fuq partikula punt, il-forza li tirriżulta, li tirriżulta (tissejjaħ ukoll il-forza netta), tista 'tiġi ddeterminata billi ssegwi r-regola parallelogramma ta' vettur miżjud: iż-żieda ta 'żewġ vettori rappreżenta"&amp;"ti minn naħat ta' parallelogramma, tagħti ekwivalenti vettur li jirriżulta li huwa ugwali fil-kobor u d-direzzjoni għat-trasversali tal-parallelogramma. Il-kobor tar-riżultanti jvarja mid-differenza tal-kobor taż-żewġ forzi għas-somma tagħhom, skont l-ang"&amp;"olu bejn il-linji ta 'azzjoni tagħhom. Madankollu, jekk il-forzi qed jaġixxu fuq korp estiż, il-linji ta 'applikazzjoni rispettivi tagħhom għandhom jiġu speċifikati wkoll sabiex jiġu kkunsidrati l-effetti tagħhom fuq il-moviment tal-ġisem.")</f>
        <v>Storikament, il-forzi ġew investigati l-ewwel kwantitattivament f'kundizzjonijiet ta 'bilanċ statiku fejn diversi forzi kkanċellaw lil xulxin. Esperimenti bħal dawn juru l-proprjetajiet kruċjali li l-forzi huma kwantitajiet ta 'vettur addittivi: għandhom kobor u direzzjoni. Meta żewġ forzi jaġixxu fuq partikula punt, il-forza li tirriżulta, li tirriżulta (tissejjaħ ukoll il-forza netta), tista 'tiġi ddeterminata billi ssegwi r-regola parallelogramma ta' vettur miżjud: iż-żieda ta 'żewġ vettori rappreżentati minn naħat ta' parallelogramma, tagħti ekwivalenti vettur li jirriżulta li huwa ugwali fil-kobor u d-direzzjoni għat-trasversali tal-parallelogramma. Il-kobor tar-riżultanti jvarja mid-differenza tal-kobor taż-żewġ forzi għas-somma tagħhom, skont l-angolu bejn il-linji ta 'azzjoni tagħhom. Madankollu, jekk il-forzi qed jaġixxu fuq korp estiż, il-linji ta 'applikazzjoni rispettivi tagħhom għandhom jiġu speċifikati wkoll sabiex jiġu kkunsidrati l-effetti tagħhom fuq il-moviment tal-ġisem.</v>
      </c>
    </row>
    <row r="10448" ht="15.75" customHeight="1">
      <c r="A10448" s="2" t="s">
        <v>10448</v>
      </c>
      <c r="B10448" s="2" t="str">
        <f>IFERROR(__xludf.DUMMYFUNCTION("GOOGLETRANSLATE(A10448, ""en"", ""mt"")"),"Gwerer")</f>
        <v>Gwerer</v>
      </c>
    </row>
    <row r="10449" ht="15.75" customHeight="1">
      <c r="A10449" s="2" t="s">
        <v>10449</v>
      </c>
      <c r="B10449" s="2" t="str">
        <f>IFERROR(__xludf.DUMMYFUNCTION("GOOGLETRANSLATE(A10449, ""en"", ""mt"")"),"William III ta 'Orange")</f>
        <v>William III ta 'Orange</v>
      </c>
    </row>
    <row r="10450" ht="15.75" customHeight="1">
      <c r="A10450" s="2" t="s">
        <v>10450</v>
      </c>
      <c r="B10450" s="2" t="str">
        <f>IFERROR(__xludf.DUMMYFUNCTION("GOOGLETRANSLATE(A10450, ""en"", ""mt"")"),"Negozju Maġġuri")</f>
        <v>Negozju Maġġuri</v>
      </c>
    </row>
    <row r="10451" ht="15.75" customHeight="1">
      <c r="A10451" s="2" t="s">
        <v>10451</v>
      </c>
      <c r="B10451" s="2" t="str">
        <f>IFERROR(__xludf.DUMMYFUNCTION("GOOGLETRANSLATE(A10451, ""en"", ""mt"")"),"Min kienu l-kumpanji sekondarji tad-disa 'u l-għaxar tobba?")</f>
        <v>Min kienu l-kumpanji sekondarji tad-disa 'u l-għaxar tobba?</v>
      </c>
    </row>
    <row r="10452" ht="15.75" customHeight="1">
      <c r="A10452" s="2" t="s">
        <v>10452</v>
      </c>
      <c r="B10452" s="2" t="str">
        <f>IFERROR(__xludf.DUMMYFUNCTION("GOOGLETRANSLATE(A10452, ""en"", ""mt"")"),"X'inhu bejn L u P li jipprevjeni determinazzjoni definittiva tar-relazzjoni bejn L u P?")</f>
        <v>X'inhu bejn L u P li jipprevjeni determinazzjoni definittiva tar-relazzjoni bejn L u P?</v>
      </c>
    </row>
    <row r="10453" ht="15.75" customHeight="1">
      <c r="A10453" s="2" t="s">
        <v>10453</v>
      </c>
      <c r="B10453" s="2" t="str">
        <f>IFERROR(__xludf.DUMMYFUNCTION("GOOGLETRANSLATE(A10453, ""en"", ""mt"")"),"Kunsill Reġjonali Lothian")</f>
        <v>Kunsill Reġjonali Lothian</v>
      </c>
    </row>
    <row r="10454" ht="15.75" customHeight="1">
      <c r="A10454" s="2" t="s">
        <v>10454</v>
      </c>
      <c r="B10454" s="2" t="str">
        <f>IFERROR(__xludf.DUMMYFUNCTION("GOOGLETRANSLATE(A10454, ""en"", ""mt"")"),"quċċata")</f>
        <v>quċċata</v>
      </c>
    </row>
    <row r="10455" ht="15.75" customHeight="1">
      <c r="A10455" s="2" t="s">
        <v>10455</v>
      </c>
      <c r="B10455" s="2" t="str">
        <f>IFERROR(__xludf.DUMMYFUNCTION("GOOGLETRANSLATE(A10455, ""en"", ""mt"")"),"Lag tal-ilma ħelu")</f>
        <v>Lag tal-ilma ħelu</v>
      </c>
    </row>
    <row r="10456" ht="15.75" customHeight="1">
      <c r="A10456" s="2" t="s">
        <v>10456</v>
      </c>
      <c r="B10456" s="2" t="str">
        <f>IFERROR(__xludf.DUMMYFUNCTION("GOOGLETRANSLATE(A10456, ""en"", ""mt"")"),"Qawwija")</f>
        <v>Qawwija</v>
      </c>
    </row>
    <row r="10457" ht="15.75" customHeight="1">
      <c r="A10457" s="2" t="s">
        <v>10457</v>
      </c>
      <c r="B10457" s="2" t="str">
        <f>IFERROR(__xludf.DUMMYFUNCTION("GOOGLETRANSLATE(A10457, ""en"", ""mt"")"),"prodott sekondarju matematiku")</f>
        <v>prodott sekondarju matematiku</v>
      </c>
    </row>
    <row r="10458" ht="15.75" customHeight="1">
      <c r="A10458" s="2" t="s">
        <v>10458</v>
      </c>
      <c r="B10458" s="2" t="str">
        <f>IFERROR(__xludf.DUMMYFUNCTION("GOOGLETRANSLATE(A10458, ""en"", ""mt"")"),"werqa tal-irmied")</f>
        <v>werqa tal-irmied</v>
      </c>
    </row>
    <row r="10459" ht="15.75" customHeight="1">
      <c r="A10459" s="2" t="s">
        <v>10459</v>
      </c>
      <c r="B10459" s="2" t="str">
        <f>IFERROR(__xludf.DUMMYFUNCTION("GOOGLETRANSLATE(A10459, ""en"", ""mt"")"),"Fl-1873, Tesla rritornat fit-twelid tiegħu, Smiljan. Ftit wara li wasal, Tesla kkuntrattat il-kolera; Huwa kien imsaħħaħ għal disa 'xhur u kien qrib il-mewt diversi drabi. Missier Tesla, f’mument ta ’disperazzjoni, wiegħed li jibgħatlu lill-aqwa skola ta’"&amp;" inġinerija jekk irkupra mill-marda (missieru oriġinarjament ried li jidħol fis-saċerdozju).")</f>
        <v>Fl-1873, Tesla rritornat fit-twelid tiegħu, Smiljan. Ftit wara li wasal, Tesla kkuntrattat il-kolera; Huwa kien imsaħħaħ għal disa 'xhur u kien qrib il-mewt diversi drabi. Missier Tesla, f’mument ta ’disperazzjoni, wiegħed li jibgħatlu lill-aqwa skola ta’ inġinerija jekk irkupra mill-marda (missieru oriġinarjament ried li jidħol fis-saċerdozju).</v>
      </c>
    </row>
    <row r="10460" ht="15.75" customHeight="1">
      <c r="A10460" s="2" t="s">
        <v>10460</v>
      </c>
      <c r="B10460" s="2" t="str">
        <f>IFERROR(__xludf.DUMMYFUNCTION("GOOGLETRANSLATE(A10460, ""en"", ""mt"")"),"X'inhu l-isem tal-proċess li jikkonferma l-primalità ta 'numru N?")</f>
        <v>X'inhu l-isem tal-proċess li jikkonferma l-primalità ta 'numru N?</v>
      </c>
    </row>
    <row r="10461" ht="15.75" customHeight="1">
      <c r="A10461" s="2" t="s">
        <v>10461</v>
      </c>
      <c r="B10461" s="2" t="str">
        <f>IFERROR(__xludf.DUMMYFUNCTION("GOOGLETRANSLATE(A10461, ""en"", ""mt"")"),"huma mfixkla")</f>
        <v>huma mfixkla</v>
      </c>
    </row>
    <row r="10462" ht="15.75" customHeight="1">
      <c r="A10462" s="2" t="s">
        <v>10462</v>
      </c>
      <c r="B10462" s="2" t="str">
        <f>IFERROR(__xludf.DUMMYFUNCTION("GOOGLETRANSLATE(A10462, ""en"", ""mt"")"),"Prokarioti")</f>
        <v>Prokarioti</v>
      </c>
    </row>
    <row r="10463" ht="15.75" customHeight="1">
      <c r="A10463" s="2" t="s">
        <v>10463</v>
      </c>
      <c r="B10463" s="2" t="str">
        <f>IFERROR(__xludf.DUMMYFUNCTION("GOOGLETRANSLATE(A10463, ""en"", ""mt"")"),"8 ta ’Novembru 2010")</f>
        <v>8 ta ’Novembru 2010</v>
      </c>
    </row>
    <row r="10464" ht="15.75" customHeight="1">
      <c r="A10464" s="2" t="s">
        <v>10464</v>
      </c>
      <c r="B10464" s="2" t="str">
        <f>IFERROR(__xludf.DUMMYFUNCTION("GOOGLETRANSLATE(A10464, ""en"", ""mt"")"),"Liema entità hija maħluqa jekk it-tliet istituzzjonijiet differenti ma jistgħux jaslu għal kunsens fi kwalunkwe stadju?")</f>
        <v>Liema entità hija maħluqa jekk it-tliet istituzzjonijiet differenti ma jistgħux jaslu għal kunsens fi kwalunkwe stadju?</v>
      </c>
    </row>
    <row r="10465" ht="15.75" customHeight="1">
      <c r="A10465" s="2" t="s">
        <v>10465</v>
      </c>
      <c r="B10465" s="2" t="str">
        <f>IFERROR(__xludf.DUMMYFUNCTION("GOOGLETRANSLATE(A10465, ""en"", ""mt"")"),"qawwa")</f>
        <v>qawwa</v>
      </c>
    </row>
    <row r="10466" ht="15.75" customHeight="1">
      <c r="A10466" s="2" t="s">
        <v>10466</v>
      </c>
      <c r="B10466" s="2" t="str">
        <f>IFERROR(__xludf.DUMMYFUNCTION("GOOGLETRANSLATE(A10466, ""en"", ""mt"")"),"X'inhi t-teorija l-aktar ġdida, aċċettata b'mod aktar wiesa 'wara t-tixrid tal-pesta?")</f>
        <v>X'inhi t-teorija l-aktar ġdida, aċċettata b'mod aktar wiesa 'wara t-tixrid tal-pesta?</v>
      </c>
    </row>
    <row r="10467" ht="15.75" customHeight="1">
      <c r="A10467" s="2" t="s">
        <v>10467</v>
      </c>
      <c r="B10467" s="2" t="str">
        <f>IFERROR(__xludf.DUMMYFUNCTION("GOOGLETRANSLATE(A10467, ""en"", ""mt"")"),"riżultat tal-kulur tiegħu")</f>
        <v>riżultat tal-kulur tiegħu</v>
      </c>
    </row>
    <row r="10468" ht="15.75" customHeight="1">
      <c r="A10468" s="2" t="s">
        <v>10468</v>
      </c>
      <c r="B10468" s="2" t="str">
        <f>IFERROR(__xludf.DUMMYFUNCTION("GOOGLETRANSLATE(A10468, ""en"", ""mt"")"),"Fejn ir-rapporti tal-IPCC jiksbu l-informazzjoni tagħhom?")</f>
        <v>Fejn ir-rapporti tal-IPCC jiksbu l-informazzjoni tagħhom?</v>
      </c>
    </row>
    <row r="10469" ht="15.75" customHeight="1">
      <c r="A10469" s="2" t="s">
        <v>10469</v>
      </c>
      <c r="B10469" s="2" t="str">
        <f>IFERROR(__xludf.DUMMYFUNCTION("GOOGLETRANSLATE(A10469, ""en"", ""mt"")"),"Min flimkien mar-Russja appoġġjaw il-movimenti komunisti ta 'wara l-WW-II?")</f>
        <v>Min flimkien mar-Russja appoġġjaw il-movimenti komunisti ta 'wara l-WW-II?</v>
      </c>
    </row>
    <row r="10470" ht="15.75" customHeight="1">
      <c r="A10470" s="2" t="s">
        <v>10470</v>
      </c>
      <c r="B10470" s="2" t="str">
        <f>IFERROR(__xludf.DUMMYFUNCTION("GOOGLETRANSLATE(A10470, ""en"", ""mt"")"),"Il-messaġġ / dejta oriġinali hija mmuntata mill-ġdid fl-ordni t-tajba")</f>
        <v>Il-messaġġ / dejta oriġinali hija mmuntata mill-ġdid fl-ordni t-tajba</v>
      </c>
    </row>
    <row r="10471" ht="15.75" customHeight="1">
      <c r="A10471" s="2" t="s">
        <v>10471</v>
      </c>
      <c r="B10471" s="2" t="str">
        <f>IFERROR(__xludf.DUMMYFUNCTION("GOOGLETRANSLATE(A10471, ""en"", ""mt"")"),"Lingwa tas-Sinjali Amerikana")</f>
        <v>Lingwa tas-Sinjali Amerikana</v>
      </c>
    </row>
    <row r="10472" ht="15.75" customHeight="1">
      <c r="A10472" s="2" t="s">
        <v>10472</v>
      </c>
      <c r="B10472" s="2" t="str">
        <f>IFERROR(__xludf.DUMMYFUNCTION("GOOGLETRANSLATE(A10472, ""en"", ""mt"")"),"Kemm speċi ta 'ctenophores ġew ivvalidati?")</f>
        <v>Kemm speċi ta 'ctenophores ġew ivvalidati?</v>
      </c>
    </row>
    <row r="10473" ht="15.75" customHeight="1">
      <c r="A10473" s="2" t="s">
        <v>10473</v>
      </c>
      <c r="B10473" s="2" t="str">
        <f>IFERROR(__xludf.DUMMYFUNCTION("GOOGLETRANSLATE(A10473, ""en"", ""mt"")"),"Ażjatiċi, Afrikani u Karibew")</f>
        <v>Ażjatiċi, Afrikani u Karibew</v>
      </c>
    </row>
    <row r="10474" ht="15.75" customHeight="1">
      <c r="A10474" s="2" t="s">
        <v>10474</v>
      </c>
      <c r="B10474" s="2" t="str">
        <f>IFERROR(__xludf.DUMMYFUNCTION("GOOGLETRANSLATE(A10474, ""en"", ""mt"")"),"antiġen minn patoġen")</f>
        <v>antiġen minn patoġen</v>
      </c>
    </row>
    <row r="10475" ht="15.75" customHeight="1">
      <c r="A10475" s="2" t="s">
        <v>10475</v>
      </c>
      <c r="B10475" s="2" t="str">
        <f>IFERROR(__xludf.DUMMYFUNCTION("GOOGLETRANSLATE(A10475, ""en"", ""mt"")"),"Fil-granuli misjuba fl-ispazju tal-periplastid")</f>
        <v>Fil-granuli misjuba fl-ispazju tal-periplastid</v>
      </c>
    </row>
    <row r="10476" ht="15.75" customHeight="1">
      <c r="A10476" s="2" t="s">
        <v>10476</v>
      </c>
      <c r="B10476" s="2" t="str">
        <f>IFERROR(__xludf.DUMMYFUNCTION("GOOGLETRANSLATE(A10476, ""en"", ""mt"")"),"Ippubblikat fi żmien ta 'domanda dejjem tikber għal pubblikazzjonijiet bil-lingwa Ġermaniża, il-verżjoni ta' Luther malajr saret traduzzjoni tal-Bibbja popolari u influwenti. Bħala tali, hija tat kontribut sinifikanti għall-evoluzzjoni tal-lingwa u l-lett"&amp;"eratura Ġermaniża. Fornit b'noti u prefaces minn Luther, u bil-injam ta 'Lucas Cranach li kien fih xbihat anti-papali, hija kellha rwol ewlieni fit-tixrid tad-duttrina ta' Luther madwar il-Ġermanja. Il-Bibbja Luther influwenzat traduzzjonijiet vernakolari"&amp;" oħra, bħall-Bibbja Ingliża ta 'William Tyndale (1525' il quddiem), prekursur tal-Bibbja tar-Re James.")</f>
        <v>Ippubblikat fi żmien ta 'domanda dejjem tikber għal pubblikazzjonijiet bil-lingwa Ġermaniża, il-verżjoni ta' Luther malajr saret traduzzjoni tal-Bibbja popolari u influwenti. Bħala tali, hija tat kontribut sinifikanti għall-evoluzzjoni tal-lingwa u l-letteratura Ġermaniża. Fornit b'noti u prefaces minn Luther, u bil-injam ta 'Lucas Cranach li kien fih xbihat anti-papali, hija kellha rwol ewlieni fit-tixrid tad-duttrina ta' Luther madwar il-Ġermanja. Il-Bibbja Luther influwenzat traduzzjonijiet vernakolari oħra, bħall-Bibbja Ingliża ta 'William Tyndale (1525' il quddiem), prekursur tal-Bibbja tar-Re James.</v>
      </c>
    </row>
    <row r="10477" ht="15.75" customHeight="1">
      <c r="A10477" s="2" t="s">
        <v>10477</v>
      </c>
      <c r="B10477" s="2" t="str">
        <f>IFERROR(__xludf.DUMMYFUNCTION("GOOGLETRANSLATE(A10477, ""en"", ""mt"")"),"Forzi irregolari Franċiżi (Scouts Kanadiżi u Indjani) ffastidjaw lil Fort William Henry matul l-ewwel nofs tal-1757. F'Jannar huma ħarbu lill-gwardjani Ingliżi qrib Ticonderoga. Fi Frar nedew rejd qalbiena kontra l-pożizzjoni madwar il-Lag Frozen George, "&amp;"li jeqirdu l-imħażen u l-bini barra l-fortifikazzjoni ewlenija. Fil-bidu ta ’Awwissu, Montcalm u 7,000 truppa assedjaw il-forti, li kapitulaw bi ftehim biex jirtiraw taħt il-parole. Meta beda l-irtirar, uħud mill-alleati Indjani ta 'Montcalm, irrabjaw fl-"&amp;"opportunità mitlufa għal Loot, attakkaw il-kolonna Ingliża, qatlu u qabdu diversi mijiet ta' rġiel, nisa, tfal, u skjavi. Il-konsegwenzi ta 'l-assedju setgħu kkontribwew għat-trasmissjoni ta' ġidri f'popolazzjonijiet Indjani remoti; Peress li xi Indjani k"&amp;"ienu rrappurtati li vvjaġġaw minn lil hinn mill-Mississippi biex jipparteċipaw fil-kampanja u rritornaw wara li ġew esposti għal trasportaturi Ewropej.")</f>
        <v>Forzi irregolari Franċiżi (Scouts Kanadiżi u Indjani) ffastidjaw lil Fort William Henry matul l-ewwel nofs tal-1757. F'Jannar huma ħarbu lill-gwardjani Ingliżi qrib Ticonderoga. Fi Frar nedew rejd qalbiena kontra l-pożizzjoni madwar il-Lag Frozen George, li jeqirdu l-imħażen u l-bini barra l-fortifikazzjoni ewlenija. Fil-bidu ta ’Awwissu, Montcalm u 7,000 truppa assedjaw il-forti, li kapitulaw bi ftehim biex jirtiraw taħt il-parole. Meta beda l-irtirar, uħud mill-alleati Indjani ta 'Montcalm, irrabjaw fl-opportunità mitlufa għal Loot, attakkaw il-kolonna Ingliża, qatlu u qabdu diversi mijiet ta' rġiel, nisa, tfal, u skjavi. Il-konsegwenzi ta 'l-assedju setgħu kkontribwew għat-trasmissjoni ta' ġidri f'popolazzjonijiet Indjani remoti; Peress li xi Indjani kienu rrappurtati li vvjaġġaw minn lil hinn mill-Mississippi biex jipparteċipaw fil-kampanja u rritornaw wara li ġew esposti għal trasportaturi Ewropej.</v>
      </c>
    </row>
    <row r="10478" ht="15.75" customHeight="1">
      <c r="A10478" s="2" t="s">
        <v>10478</v>
      </c>
      <c r="B10478" s="2" t="str">
        <f>IFERROR(__xludf.DUMMYFUNCTION("GOOGLETRANSLATE(A10478, ""en"", ""mt"")"),"15 ta ’Ġunju 1899")</f>
        <v>15 ta ’Ġunju 1899</v>
      </c>
    </row>
    <row r="10479" ht="15.75" customHeight="1">
      <c r="A10479" s="2" t="s">
        <v>10479</v>
      </c>
      <c r="B10479" s="2" t="str">
        <f>IFERROR(__xludf.DUMMYFUNCTION("GOOGLETRANSLATE(A10479, ""en"", ""mt"")"),"Għin biex tippreserva t-tolleranza tas-soċjetà għad-diżubbidjenza ċivili")</f>
        <v>Għin biex tippreserva t-tolleranza tas-soċjetà għad-diżubbidjenza ċivili</v>
      </c>
    </row>
    <row r="10480" ht="15.75" customHeight="1">
      <c r="A10480" s="2" t="s">
        <v>10480</v>
      </c>
      <c r="B10480" s="2" t="str">
        <f>IFERROR(__xludf.DUMMYFUNCTION("GOOGLETRANSLATE(A10480, ""en"", ""mt"")"),"insegwiment bla skop")</f>
        <v>insegwiment bla skop</v>
      </c>
    </row>
    <row r="10481" ht="15.75" customHeight="1">
      <c r="A10481" s="2" t="s">
        <v>10481</v>
      </c>
      <c r="B10481" s="2" t="str">
        <f>IFERROR(__xludf.DUMMYFUNCTION("GOOGLETRANSLATE(A10481, ""en"", ""mt"")"),"Meta BSKYB l-ewwel ħabbar l-għan fil-mira tagħhom?")</f>
        <v>Meta BSKYB l-ewwel ħabbar l-għan fil-mira tagħhom?</v>
      </c>
    </row>
    <row r="10482" ht="15.75" customHeight="1">
      <c r="A10482" s="2" t="s">
        <v>10482</v>
      </c>
      <c r="B10482" s="2" t="str">
        <f>IFERROR(__xludf.DUMMYFUNCTION("GOOGLETRANSLATE(A10482, ""en"", ""mt"")"),"Għal xiex kien l-akronimu LMP rigward il-pożizzjonijiet ta 'tnedija tal-Blokk II?")</f>
        <v>Għal xiex kien l-akronimu LMP rigward il-pożizzjonijiet ta 'tnedija tal-Blokk II?</v>
      </c>
    </row>
    <row r="10483" ht="15.75" customHeight="1">
      <c r="A10483" s="2" t="s">
        <v>10483</v>
      </c>
      <c r="B10483" s="2" t="str">
        <f>IFERROR(__xludf.DUMMYFUNCTION("GOOGLETRANSLATE(A10483, ""en"", ""mt"")"),"X'inhu terminu ieħor għar-rotors?")</f>
        <v>X'inhu terminu ieħor għar-rotors?</v>
      </c>
    </row>
    <row r="10484" ht="15.75" customHeight="1">
      <c r="A10484" s="2" t="s">
        <v>10484</v>
      </c>
      <c r="B10484" s="2" t="str">
        <f>IFERROR(__xludf.DUMMYFUNCTION("GOOGLETRANSLATE(A10484, ""en"", ""mt"")"),"Ftit biss")</f>
        <v>Ftit biss</v>
      </c>
    </row>
    <row r="10485" ht="15.75" customHeight="1">
      <c r="A10485" s="2" t="s">
        <v>10485</v>
      </c>
      <c r="B10485" s="2" t="str">
        <f>IFERROR(__xludf.DUMMYFUNCTION("GOOGLETRANSLATE(A10485, ""en"", ""mt"")"),"Relatività Ġenerali")</f>
        <v>Relatività Ġenerali</v>
      </c>
    </row>
    <row r="10486" ht="15.75" customHeight="1">
      <c r="A10486" s="2" t="s">
        <v>10486</v>
      </c>
      <c r="B10486" s="2" t="str">
        <f>IFERROR(__xludf.DUMMYFUNCTION("GOOGLETRANSLATE(A10486, ""en"", ""mt"")"),"li fih jista 'jagħmel liġijiet")</f>
        <v>li fih jista 'jagħmel liġijiet</v>
      </c>
    </row>
    <row r="10487" ht="15.75" customHeight="1">
      <c r="A10487" s="2" t="s">
        <v>10487</v>
      </c>
      <c r="B10487" s="2" t="str">
        <f>IFERROR(__xludf.DUMMYFUNCTION("GOOGLETRANSLATE(A10487, ""en"", ""mt"")"),"Il-Qorti tal-Ġustizzja")</f>
        <v>Il-Qorti tal-Ġustizzja</v>
      </c>
    </row>
    <row r="10488" ht="15.75" customHeight="1">
      <c r="A10488" s="2" t="s">
        <v>10488</v>
      </c>
      <c r="B10488" s="2" t="str">
        <f>IFERROR(__xludf.DUMMYFUNCTION("GOOGLETRANSLATE(A10488, ""en"", ""mt"")"),"deheb")</f>
        <v>deheb</v>
      </c>
    </row>
    <row r="10489" ht="15.75" customHeight="1">
      <c r="A10489" s="2" t="s">
        <v>10489</v>
      </c>
      <c r="B10489" s="2" t="str">
        <f>IFERROR(__xludf.DUMMYFUNCTION("GOOGLETRANSLATE(A10489, ""en"", ""mt"")"),"Mill-1888 sa madwar l-1926")</f>
        <v>Mill-1888 sa madwar l-1926</v>
      </c>
    </row>
    <row r="10490" ht="15.75" customHeight="1">
      <c r="A10490" s="2" t="s">
        <v>10490</v>
      </c>
      <c r="B10490" s="2" t="str">
        <f>IFERROR(__xludf.DUMMYFUNCTION("GOOGLETRANSLATE(A10490, ""en"", ""mt"")"),"Kemm residenti ġew irreġistrati fiċ-ċensiment tal-2010 ta 'Jacksonville?")</f>
        <v>Kemm residenti ġew irreġistrati fiċ-ċensiment tal-2010 ta 'Jacksonville?</v>
      </c>
    </row>
    <row r="10491" ht="15.75" customHeight="1">
      <c r="A10491" s="2" t="s">
        <v>10491</v>
      </c>
      <c r="B10491" s="2" t="str">
        <f>IFERROR(__xludf.DUMMYFUNCTION("GOOGLETRANSLATE(A10491, ""en"", ""mt"")"),"Fil-11 ta 'Lulju 1934, in-New York Herald Tribune ppubblika artiklu fuq Tesla, li fih huwa fakkar f'avveniment li kultant iseħħ waqt li jesperimenta bit-tubi tal-vakwu tiegħu b'elettrodu wieħed; Partiċella minuta tkisser il-katodu, tgħaddi mit-tubu, u tol"&amp;"qot fiżikament. ""Tesla qalet li jista 'jħoss uġigħ qawwi fejn daħal f'ġismu, u għal darb'oħra fil-post fejn għadda."" Meta tqabbel dawn il-partiċelli mal-biċċiet tal-metall ipproġettati mill-pistola elettrika tiegħu, Tesla qalet, ""il-partiċelli fir-raġġ"&amp;" tal-forza ... se jivvjaġġaw ferm aktar malajr minn tali partiċelli ... u se jivvjaġġaw f'konċentrazzjonijiet.""")</f>
        <v>Fil-11 ta 'Lulju 1934, in-New York Herald Tribune ppubblika artiklu fuq Tesla, li fih huwa fakkar f'avveniment li kultant iseħħ waqt li jesperimenta bit-tubi tal-vakwu tiegħu b'elettrodu wieħed; Partiċella minuta tkisser il-katodu, tgħaddi mit-tubu, u tolqot fiżikament. "Tesla qalet li jista 'jħoss uġigħ qawwi fejn daħal f'ġismu, u għal darb'oħra fil-post fejn għadda." Meta tqabbel dawn il-partiċelli mal-biċċiet tal-metall ipproġettati mill-pistola elettrika tiegħu, Tesla qalet, "il-partiċelli fir-raġġ tal-forza ... se jivvjaġġaw ferm aktar malajr minn tali partiċelli ... u se jivvjaġġaw f'konċentrazzjonijiet."</v>
      </c>
    </row>
    <row r="10492" ht="15.75" customHeight="1">
      <c r="A10492" s="2" t="s">
        <v>10492</v>
      </c>
      <c r="B10492" s="2" t="str">
        <f>IFERROR(__xludf.DUMMYFUNCTION("GOOGLETRANSLATE(A10492, ""en"", ""mt"")"),"pajjiżi bi inugwaljanzi ta 'dħul akbar")</f>
        <v>pajjiżi bi inugwaljanzi ta 'dħul akbar</v>
      </c>
    </row>
    <row r="10493" ht="15.75" customHeight="1">
      <c r="A10493" s="2" t="s">
        <v>10493</v>
      </c>
      <c r="B10493" s="2" t="str">
        <f>IFERROR(__xludf.DUMMYFUNCTION("GOOGLETRANSLATE(A10493, ""en"", ""mt"")"),"Kemm hu kiesaħ dan ir-reġjun ta 'Victoria fir-rebbieħ?")</f>
        <v>Kemm hu kiesaħ dan ir-reġjun ta 'Victoria fir-rebbieħ?</v>
      </c>
    </row>
    <row r="10494" ht="15.75" customHeight="1">
      <c r="A10494" s="2" t="s">
        <v>10494</v>
      </c>
      <c r="B10494" s="2" t="str">
        <f>IFERROR(__xludf.DUMMYFUNCTION("GOOGLETRANSLATE(A10494, ""en"", ""mt"")"),"Sistema ta 'Broadcasting Turner")</f>
        <v>Sistema ta 'Broadcasting Turner</v>
      </c>
    </row>
    <row r="10495" ht="15.75" customHeight="1">
      <c r="A10495" s="2" t="s">
        <v>10495</v>
      </c>
      <c r="B10495" s="2" t="str">
        <f>IFERROR(__xludf.DUMMYFUNCTION("GOOGLETRANSLATE(A10495, ""en"", ""mt"")"),"X'għamel il-fiżika parzjali biex tiddeskrivi l-forzi sub-atomiċi?")</f>
        <v>X'għamel il-fiżika parzjali biex tiddeskrivi l-forzi sub-atomiċi?</v>
      </c>
    </row>
    <row r="10496" ht="15.75" customHeight="1">
      <c r="A10496" s="2" t="s">
        <v>10496</v>
      </c>
      <c r="B10496" s="2" t="str">
        <f>IFERROR(__xludf.DUMMYFUNCTION("GOOGLETRANSLATE(A10496, ""en"", ""mt"")"),"Perit")</f>
        <v>Perit</v>
      </c>
    </row>
    <row r="10497" ht="15.75" customHeight="1">
      <c r="A10497" s="2" t="s">
        <v>10497</v>
      </c>
      <c r="B10497" s="2" t="str">
        <f>IFERROR(__xludf.DUMMYFUNCTION("GOOGLETRANSLATE(A10497, ""en"", ""mt"")"),"Meta mietu l-erba 'kalifi ġustament iggwidati?")</f>
        <v>Meta mietu l-erba 'kalifi ġustament iggwidati?</v>
      </c>
    </row>
    <row r="10498" ht="15.75" customHeight="1">
      <c r="A10498" s="2" t="s">
        <v>10498</v>
      </c>
      <c r="B10498" s="2" t="str">
        <f>IFERROR(__xludf.DUMMYFUNCTION("GOOGLETRANSLATE(A10498, ""en"", ""mt"")"),"tiddikjara l-liġi marzjali")</f>
        <v>tiddikjara l-liġi marzjali</v>
      </c>
    </row>
    <row r="10499" ht="15.75" customHeight="1">
      <c r="A10499" s="2" t="s">
        <v>10499</v>
      </c>
      <c r="B10499" s="2" t="str">
        <f>IFERROR(__xludf.DUMMYFUNCTION("GOOGLETRANSLATE(A10499, ""en"", ""mt"")"),"Kitba ta 'Ktieb ta' Ħames Volum")</f>
        <v>Kitba ta 'Ktieb ta' Ħames Volum</v>
      </c>
    </row>
    <row r="10500" ht="15.75" customHeight="1">
      <c r="A10500" s="2" t="s">
        <v>10500</v>
      </c>
      <c r="B10500" s="2" t="str">
        <f>IFERROR(__xludf.DUMMYFUNCTION("GOOGLETRANSLATE(A10500, ""en"", ""mt"")"),"X'inhu t-terminu użat biex tidentifika magna tat-Turing deterministika li għandha bits każwali addizzjonali?")</f>
        <v>X'inhu t-terminu użat biex tidentifika magna tat-Turing deterministika li għandha bits każwali addizzjonali?</v>
      </c>
    </row>
    <row r="10501" ht="15.75" customHeight="1">
      <c r="A10501" s="2" t="s">
        <v>10501</v>
      </c>
      <c r="B10501" s="2" t="str">
        <f>IFERROR(__xludf.DUMMYFUNCTION("GOOGLETRANSLATE(A10501, ""en"", ""mt"")"),"Liema karatteristika tidentifika l-antenati Franċiżi ta 'xi Afrika t'Isfel?")</f>
        <v>Liema karatteristika tidentifika l-antenati Franċiżi ta 'xi Afrika t'Isfel?</v>
      </c>
    </row>
    <row r="10502" ht="15.75" customHeight="1">
      <c r="A10502" s="2" t="s">
        <v>10502</v>
      </c>
      <c r="B10502" s="2" t="str">
        <f>IFERROR(__xludf.DUMMYFUNCTION("GOOGLETRANSLATE(A10502, ""en"", ""mt"")"),"ċentripetal")</f>
        <v>ċentripetal</v>
      </c>
    </row>
    <row r="10503" ht="15.75" customHeight="1">
      <c r="A10503" s="2" t="s">
        <v>10503</v>
      </c>
      <c r="B10503" s="2" t="str">
        <f>IFERROR(__xludf.DUMMYFUNCTION("GOOGLETRANSLATE(A10503, ""en"", ""mt"")"),"X'jiddoqqlu l-imperi Ewropej biex ifornuhom b'riżorsi?")</f>
        <v>X'jiddoqqlu l-imperi Ewropej biex ifornuhom b'riżorsi?</v>
      </c>
    </row>
    <row r="10504" ht="15.75" customHeight="1">
      <c r="A10504" s="2" t="s">
        <v>10504</v>
      </c>
      <c r="B10504" s="2" t="str">
        <f>IFERROR(__xludf.DUMMYFUNCTION("GOOGLETRANSLATE(A10504, ""en"", ""mt"")"),"John Schmitt u Ben Zipperer (2006) tal-CEPR jindikaw il-liberaliżmu ekonomiku u t-tnaqqis tar-regolamentazzjoni tan-negozju flimkien mat-tnaqqis tas-sħubija fl-unjoni bħala waħda mill-kawżi tal-inugwaljanza ekonomika. F'analiżi tal-effetti tal-politiki li"&amp;"berali Anglo-Amerikani intensivi meta mqabbla mal-liberaliżmu Ewropew kontinentali, fejn l-għaqdiet baqgħu b'saħħithom, huma kkonkludew ""il-mudell ekonomiku u soċjali tal-Istati Uniti huwa assoċjat ma 'livelli sostanzjali ta' esklużjoni soċjali, inklużi "&amp;"livelli għoljin ta 'inugwaljanza fid-dħul , rati ta 'faqar relattivi u assoluti għoljin, riżultati edukattivi foqra u mhux ugwali, riżultati ta' saħħa foqra, u rati għoljin ta 'kriminalità u inkarċerazzjoni. Fl-istess ħin, l-evidenza disponibbli tipprovdi"&amp;" ftit appoġġ għall-fehma li l-flessibilità tas-suq tax-xogħol fl-istil ta' l-Istati Uniti titjieb b'mod drammatiku Riżultati tas-suq tax-xogħol. Minkejja preġudizzji popolari għall-kuntrarju, l-ekonomija ta 'l-Istati Uniti toffri b'mod konsistenti livell "&amp;"aktar baxx ta' mobilità ekonomika mill-pajjiżi Ewropej kontinentali kollha li għalihom hija disponibbli d-dejta. """)</f>
        <v>John Schmitt u Ben Zipperer (2006) tal-CEPR jindikaw il-liberaliżmu ekonomiku u t-tnaqqis tar-regolamentazzjoni tan-negozju flimkien mat-tnaqqis tas-sħubija fl-unjoni bħala waħda mill-kawżi tal-inugwaljanza ekonomika. F'analiżi tal-effetti tal-politiki liberali Anglo-Amerikani intensivi meta mqabbla mal-liberaliżmu Ewropew kontinentali, fejn l-għaqdiet baqgħu b'saħħithom, huma kkonkludew "il-mudell ekonomiku u soċjali tal-Istati Uniti huwa assoċjat ma 'livelli sostanzjali ta' esklużjoni soċjali, inklużi livelli għoljin ta 'inugwaljanza fid-dħul , rati ta 'faqar relattivi u assoluti għoljin, riżultati edukattivi foqra u mhux ugwali, riżultati ta' saħħa foqra, u rati għoljin ta 'kriminalità u inkarċerazzjoni. Fl-istess ħin, l-evidenza disponibbli tipprovdi ftit appoġġ għall-fehma li l-flessibilità tas-suq tax-xogħol fl-istil ta' l-Istati Uniti titjieb b'mod drammatiku Riżultati tas-suq tax-xogħol. Minkejja preġudizzji popolari għall-kuntrarju, l-ekonomija ta 'l-Istati Uniti toffri b'mod konsistenti livell aktar baxx ta' mobilità ekonomika mill-pajjiżi Ewropej kontinentali kollha li għalihom hija disponibbli d-dejta. "</v>
      </c>
    </row>
    <row r="10505" ht="15.75" customHeight="1">
      <c r="A10505" s="2" t="s">
        <v>10505</v>
      </c>
      <c r="B10505" s="2" t="str">
        <f>IFERROR(__xludf.DUMMYFUNCTION("GOOGLETRANSLATE(A10505, ""en"", ""mt"")"),"X'inhu eżempju drammatiku ta 'ġesti?")</f>
        <v>X'inhu eżempju drammatiku ta 'ġesti?</v>
      </c>
    </row>
    <row r="10506" ht="15.75" customHeight="1">
      <c r="A10506" s="2" t="s">
        <v>10506</v>
      </c>
      <c r="B10506" s="2" t="str">
        <f>IFERROR(__xludf.DUMMYFUNCTION("GOOGLETRANSLATE(A10506, ""en"", ""mt"")"),"Marzu 1896")</f>
        <v>Marzu 1896</v>
      </c>
    </row>
    <row r="10507" ht="15.75" customHeight="1">
      <c r="A10507" s="2" t="s">
        <v>10507</v>
      </c>
      <c r="B10507" s="2" t="str">
        <f>IFERROR(__xludf.DUMMYFUNCTION("GOOGLETRANSLATE(A10507, ""en"", ""mt"")"),"estiż")</f>
        <v>estiż</v>
      </c>
    </row>
    <row r="10508" ht="15.75" customHeight="1">
      <c r="A10508" s="2" t="s">
        <v>10508</v>
      </c>
      <c r="B10508" s="2" t="str">
        <f>IFERROR(__xludf.DUMMYFUNCTION("GOOGLETRANSLATE(A10508, ""en"", ""mt"")"),"Għajnuna Amerikana lill-Iżrael")</f>
        <v>Għajnuna Amerikana lill-Iżrael</v>
      </c>
    </row>
    <row r="10509" ht="15.75" customHeight="1">
      <c r="A10509" s="2" t="s">
        <v>10509</v>
      </c>
      <c r="B10509" s="2" t="str">
        <f>IFERROR(__xludf.DUMMYFUNCTION("GOOGLETRANSLATE(A10509, ""en"", ""mt"")"),"F’liema seklu ntużat is-sistema ta ’bilanċ ta’ Yarrow-Schlick-Tweedy?")</f>
        <v>F’liema seklu ntużat is-sistema ta ’bilanċ ta’ Yarrow-Schlick-Tweedy?</v>
      </c>
    </row>
    <row r="10510" ht="15.75" customHeight="1">
      <c r="A10510" s="2" t="s">
        <v>10510</v>
      </c>
      <c r="B10510" s="2" t="str">
        <f>IFERROR(__xludf.DUMMYFUNCTION("GOOGLETRANSLATE(A10510, ""en"", ""mt"")"),"Fejn se ssir il-Fiera Internazzjonali tal-Arti tal-2009?")</f>
        <v>Fejn se ssir il-Fiera Internazzjonali tal-Arti tal-2009?</v>
      </c>
    </row>
    <row r="10511" ht="15.75" customHeight="1">
      <c r="A10511" s="2" t="s">
        <v>10511</v>
      </c>
      <c r="B10511" s="2" t="str">
        <f>IFERROR(__xludf.DUMMYFUNCTION("GOOGLETRANSLATE(A10511, ""en"", ""mt"")"),"Nofs it-300,000 abitant ta 'Napli'")</f>
        <v>Nofs it-300,000 abitant ta 'Napli'</v>
      </c>
    </row>
    <row r="10512" ht="15.75" customHeight="1">
      <c r="A10512" s="2" t="s">
        <v>10512</v>
      </c>
      <c r="B10512" s="2" t="str">
        <f>IFERROR(__xludf.DUMMYFUNCTION("GOOGLETRANSLATE(A10512, ""en"", ""mt"")"),"Diversi prinċpijiet ta 'l-Art Imqaddsa waslu f'Limassol fl-istess ħin, b'mod partikolari Guy de Lusignan. Kollha ddikjaraw l-appoġġ tagħhom għal Richard ipprovda li huwa jappoġġja lil Guy kontra r-rivali tiegħu Conrad ta 'Montferrat. Il-baruni lokali abba"&amp;"ndunaw lil Isaac, li kkunsidra li jagħmel il-paċi ma 'Richard, jingħaqad miegħu fuq il-kruċjata, u joffri lil bintu fiż-żwieġ mal-persuna msemmija minn Richard. Imma Isaac biddel fehmtu u pprova jaħrab. Richard imbagħad ipproċeda biex jirbaħ il-gżira koll"&amp;"ha, it-truppi tiegħu huma mmexxija minn Guy de Lusignan. Isaac ċeda u kien limitat bil-ktajjen tal-fidda, għax Richard kien wiegħed li mhux se jpoġġih fil-mogħdija. Sal-1 ta ’Ġunju, Richard kien ħakem il-gżira kollha. L-isfruttament tiegħu ġie rreklamat s"&amp;"ew u kkontribwixxa għar-reputazzjoni tiegħu; Huwa ħareġ ukoll qligħ finanzjarju sinifikanti mill-konkwista tal-gżira. Richard telaq għal Acre fil-5 ta 'Ġunju, bl-alleati tiegħu. Qabel it-tluq tiegħu, huwa semma tnejn mill-ġenerali Norman tiegħu, Richard d"&amp;"e Camville u Robert de Thornham, bħala gvernaturi ta 'Ċipru.")</f>
        <v>Diversi prinċpijiet ta 'l-Art Imqaddsa waslu f'Limassol fl-istess ħin, b'mod partikolari Guy de Lusignan. Kollha ddikjaraw l-appoġġ tagħhom għal Richard ipprovda li huwa jappoġġja lil Guy kontra r-rivali tiegħu Conrad ta 'Montferrat. Il-baruni lokali abbandunaw lil Isaac, li kkunsidra li jagħmel il-paċi ma 'Richard, jingħaqad miegħu fuq il-kruċjata, u joffri lil bintu fiż-żwieġ mal-persuna msemmija minn Richard. Imma Isaac biddel fehmtu u pprova jaħrab. Richard imbagħad ipproċeda biex jirbaħ il-gżira kollha, it-truppi tiegħu huma mmexxija minn Guy de Lusignan. Isaac ċeda u kien limitat bil-ktajjen tal-fidda, għax Richard kien wiegħed li mhux se jpoġġih fil-mogħdija. Sal-1 ta ’Ġunju, Richard kien ħakem il-gżira kollha. L-isfruttament tiegħu ġie rreklamat sew u kkontribwixxa għar-reputazzjoni tiegħu; Huwa ħareġ ukoll qligħ finanzjarju sinifikanti mill-konkwista tal-gżira. Richard telaq għal Acre fil-5 ta 'Ġunju, bl-alleati tiegħu. Qabel it-tluq tiegħu, huwa semma tnejn mill-ġenerali Norman tiegħu, Richard de Camville u Robert de Thornham, bħala gvernaturi ta 'Ċipru.</v>
      </c>
    </row>
    <row r="10513" ht="15.75" customHeight="1">
      <c r="A10513" s="2" t="s">
        <v>10513</v>
      </c>
      <c r="B10513" s="2" t="str">
        <f>IFERROR(__xludf.DUMMYFUNCTION("GOOGLETRANSLATE(A10513, ""en"", ""mt"")"),"Infrastruttura mtejba ta 'transitu, shuttles possibbli miftuħa għall-pubbliku, u spazju għall-park li se jkun aċċessibbli wkoll għall-pubbliku")</f>
        <v>Infrastruttura mtejba ta 'transitu, shuttles possibbli miftuħa għall-pubbliku, u spazju għall-park li se jkun aċċessibbli wkoll għall-pubbliku</v>
      </c>
    </row>
    <row r="10514" ht="15.75" customHeight="1">
      <c r="A10514" s="2" t="s">
        <v>10514</v>
      </c>
      <c r="B10514" s="2" t="str">
        <f>IFERROR(__xludf.DUMMYFUNCTION("GOOGLETRANSLATE(A10514, ""en"", ""mt"")"),"Emmerich Rhine Bridge")</f>
        <v>Emmerich Rhine Bridge</v>
      </c>
    </row>
    <row r="10515" ht="15.75" customHeight="1">
      <c r="A10515" s="2" t="s">
        <v>10515</v>
      </c>
      <c r="B10515" s="2" t="str">
        <f>IFERROR(__xludf.DUMMYFUNCTION("GOOGLETRANSLATE(A10515, ""en"", ""mt"")"),"Imperjalizmu u kolonjaliżmu")</f>
        <v>Imperjalizmu u kolonjaliżmu</v>
      </c>
    </row>
    <row r="10516" ht="15.75" customHeight="1">
      <c r="A10516" s="2" t="s">
        <v>10516</v>
      </c>
      <c r="B10516" s="2" t="str">
        <f>IFERROR(__xludf.DUMMYFUNCTION("GOOGLETRANSLATE(A10516, ""en"", ""mt"")"),"Kif kienet tissejjaħ il-kolonja Franċiża Brażiljana?")</f>
        <v>Kif kienet tissejjaħ il-kolonja Franċiża Brażiljana?</v>
      </c>
    </row>
    <row r="10517" ht="15.75" customHeight="1">
      <c r="A10517" s="2" t="s">
        <v>10517</v>
      </c>
      <c r="B10517" s="2" t="str">
        <f>IFERROR(__xludf.DUMMYFUNCTION("GOOGLETRANSLATE(A10517, ""en"", ""mt"")"),"Professjonisti tal-kura tas-saħħa b'edukazzjoni speċjalizzata")</f>
        <v>Professjonisti tal-kura tas-saħħa b'edukazzjoni speċjalizzata</v>
      </c>
    </row>
    <row r="10518" ht="15.75" customHeight="1">
      <c r="A10518" s="2" t="s">
        <v>10518</v>
      </c>
      <c r="B10518" s="2" t="str">
        <f>IFERROR(__xludf.DUMMYFUNCTION("GOOGLETRANSLATE(A10518, ""en"", ""mt"")"),"Wara t-tieni sena tagħhom")</f>
        <v>Wara t-tieni sena tagħhom</v>
      </c>
    </row>
    <row r="10519" ht="15.75" customHeight="1">
      <c r="A10519" s="2" t="s">
        <v>10519</v>
      </c>
      <c r="B10519" s="2" t="str">
        <f>IFERROR(__xludf.DUMMYFUNCTION("GOOGLETRANSLATE(A10519, ""en"", ""mt"")"),"Qxur tal-annimali fossili")</f>
        <v>Qxur tal-annimali fossili</v>
      </c>
    </row>
    <row r="10520" ht="15.75" customHeight="1">
      <c r="A10520" s="2" t="s">
        <v>10520</v>
      </c>
      <c r="B10520" s="2" t="str">
        <f>IFERROR(__xludf.DUMMYFUNCTION("GOOGLETRANSLATE(A10520, ""en"", ""mt"")"),"Il-valur tal-kannamieli tal-gżejjer tal-Karibew ikun ikbar u aktar faċli biex jiddefendi mill-pil mill-kontinent")</f>
        <v>Il-valur tal-kannamieli tal-gżejjer tal-Karibew ikun ikbar u aktar faċli biex jiddefendi mill-pil mill-kontinent</v>
      </c>
    </row>
    <row r="10521" ht="15.75" customHeight="1">
      <c r="A10521" s="2" t="s">
        <v>10521</v>
      </c>
      <c r="B10521" s="2" t="str">
        <f>IFERROR(__xludf.DUMMYFUNCTION("GOOGLETRANSLATE(A10521, ""en"", ""mt"")"),"Il-familja tan-nofs u moderna")</f>
        <v>Il-familja tan-nofs u moderna</v>
      </c>
    </row>
    <row r="10522" ht="15.75" customHeight="1">
      <c r="A10522" s="2" t="s">
        <v>10522</v>
      </c>
      <c r="B10522" s="2" t="str">
        <f>IFERROR(__xludf.DUMMYFUNCTION("GOOGLETRANSLATE(A10522, ""en"", ""mt"")"),"Riċetturi tal-limfoċiti varjabbli")</f>
        <v>Riċetturi tal-limfoċiti varjabbli</v>
      </c>
    </row>
    <row r="10523" ht="15.75" customHeight="1">
      <c r="A10523" s="2" t="s">
        <v>10523</v>
      </c>
      <c r="B10523" s="2" t="str">
        <f>IFERROR(__xludf.DUMMYFUNCTION("GOOGLETRANSLATE(A10523, ""en"", ""mt"")"),"iffokat fuq l-identità u l-għaqda")</f>
        <v>iffokat fuq l-identità u l-għaqda</v>
      </c>
    </row>
    <row r="10524" ht="15.75" customHeight="1">
      <c r="A10524" s="2" t="s">
        <v>10524</v>
      </c>
      <c r="B10524" s="2" t="str">
        <f>IFERROR(__xludf.DUMMYFUNCTION("GOOGLETRANSLATE(A10524, ""en"", ""mt"")"),"Kemm-il darba Newcastle ġġieled barra l-Iskoċċiż matul is-seklu 14?")</f>
        <v>Kemm-il darba Newcastle ġġieled barra l-Iskoċċiż matul is-seklu 14?</v>
      </c>
    </row>
    <row r="10525" ht="15.75" customHeight="1">
      <c r="A10525" s="2" t="s">
        <v>10525</v>
      </c>
      <c r="B10525" s="2" t="str">
        <f>IFERROR(__xludf.DUMMYFUNCTION("GOOGLETRANSLATE(A10525, ""en"", ""mt"")"),"il-massa () u r-raġġ () tad-dinja")</f>
        <v>il-massa () u r-raġġ () tad-dinja</v>
      </c>
    </row>
    <row r="10526" ht="15.75" customHeight="1">
      <c r="A10526" s="2" t="s">
        <v>10526</v>
      </c>
      <c r="B10526" s="2" t="str">
        <f>IFERROR(__xludf.DUMMYFUNCTION("GOOGLETRANSLATE(A10526, ""en"", ""mt"")"),"Mudelli ta 'unifikazzjoni")</f>
        <v>Mudelli ta 'unifikazzjoni</v>
      </c>
    </row>
    <row r="10527" ht="15.75" customHeight="1">
      <c r="A10527" s="2" t="s">
        <v>10527</v>
      </c>
      <c r="B10527" s="2" t="str">
        <f>IFERROR(__xludf.DUMMYFUNCTION("GOOGLETRANSLATE(A10527, ""en"", ""mt"")"),"Problema tal-funzjoni")</f>
        <v>Problema tal-funzjoni</v>
      </c>
    </row>
    <row r="10528" ht="15.75" customHeight="1">
      <c r="A10528" s="2" t="s">
        <v>10528</v>
      </c>
      <c r="B10528" s="2" t="str">
        <f>IFERROR(__xludf.DUMMYFUNCTION("GOOGLETRANSLATE(A10528, ""en"", ""mt"")"),"Kemm kien jistenna telf ta 'enerġija?")</f>
        <v>Kemm kien jistenna telf ta 'enerġija?</v>
      </c>
    </row>
    <row r="10529" ht="15.75" customHeight="1">
      <c r="A10529" s="2" t="s">
        <v>10529</v>
      </c>
      <c r="B10529" s="2" t="str">
        <f>IFERROR(__xludf.DUMMYFUNCTION("GOOGLETRANSLATE(A10529, ""en"", ""mt"")"),"Doża tal-Unità")</f>
        <v>Doża tal-Unità</v>
      </c>
    </row>
    <row r="10530" ht="15.75" customHeight="1">
      <c r="A10530" s="2" t="s">
        <v>10530</v>
      </c>
      <c r="B10530" s="2" t="str">
        <f>IFERROR(__xludf.DUMMYFUNCTION("GOOGLETRANSLATE(A10530, ""en"", ""mt"")"),"Fejn ġie osservat l-ewwel gvernatur ċentrifugali minn Boulton?")</f>
        <v>Fejn ġie osservat l-ewwel gvernatur ċentrifugali minn Boulton?</v>
      </c>
    </row>
    <row r="10531" ht="15.75" customHeight="1">
      <c r="A10531" s="2" t="s">
        <v>10531</v>
      </c>
      <c r="B10531" s="2" t="str">
        <f>IFERROR(__xludf.DUMMYFUNCTION("GOOGLETRANSLATE(A10531, ""en"", ""mt"")"),"F'liema mudell jidhru grana bħal pancakes?")</f>
        <v>F'liema mudell jidhru grana bħal pancakes?</v>
      </c>
    </row>
    <row r="10532" ht="15.75" customHeight="1">
      <c r="A10532" s="2" t="s">
        <v>10532</v>
      </c>
      <c r="B10532" s="2" t="str">
        <f>IFERROR(__xludf.DUMMYFUNCTION("GOOGLETRANSLATE(A10532, ""en"", ""mt"")"),"L-approċċ tal-kapaċitajiet - xi kultant imsejjaħ l-approċċ għall-iżvilupp tal-bniedem - iħares lejn l-inugwaljanza tad-dħul u l-faqar bħala forma ta '""ċaħda ta' kapaċità"". B'differenza mill-neoliberaliżmu, li ""jiddefinixxi l-benesseri bħala massimizzaz"&amp;"zjoni ta 'utilità"", it-tkabbir ekonomiku u d-dħul huma meqjusa bħala mezz biex jintemm aktar milli t-tmiem innifsu. L-għan tiegħu huwa li ""widen [en] l-għażliet tan-nies u l-livell tal-benesseri miksub tagħhom"" permezz ta 'funzjonazzjonijiet dejjem jiż"&amp;"diedu (l-affarijiet li persuna tagħmel valutazzjoni), kapaċitajiet (il-libertà li tgawdi l-funzjonazzjonijiet) u l-aġenzija (il-kapaċità li ssegwi għanijiet stmati ).")</f>
        <v>L-approċċ tal-kapaċitajiet - xi kultant imsejjaħ l-approċċ għall-iżvilupp tal-bniedem - iħares lejn l-inugwaljanza tad-dħul u l-faqar bħala forma ta '"ċaħda ta' kapaċità". B'differenza mill-neoliberaliżmu, li "jiddefinixxi l-benesseri bħala massimizzazzjoni ta 'utilità", it-tkabbir ekonomiku u d-dħul huma meqjusa bħala mezz biex jintemm aktar milli t-tmiem innifsu. L-għan tiegħu huwa li "widen [en] l-għażliet tan-nies u l-livell tal-benesseri miksub tagħhom" permezz ta 'funzjonazzjonijiet dejjem jiżdiedu (l-affarijiet li persuna tagħmel valutazzjoni), kapaċitajiet (il-libertà li tgawdi l-funzjonazzjonijiet) u l-aġenzija (il-kapaċità li ssegwi għanijiet stmati ).</v>
      </c>
    </row>
    <row r="10533" ht="15.75" customHeight="1">
      <c r="A10533" s="2" t="s">
        <v>10533</v>
      </c>
      <c r="B10533" s="2" t="str">
        <f>IFERROR(__xludf.DUMMYFUNCTION("GOOGLETRANSLATE(A10533, ""en"", ""mt"")"),"X’ħejji Luther biex jgħallem il-Kristjaneżmu lill-kongregazzjoni?")</f>
        <v>X’ħejji Luther biex jgħallem il-Kristjaneżmu lill-kongregazzjoni?</v>
      </c>
    </row>
    <row r="10534" ht="15.75" customHeight="1">
      <c r="A10534" s="2" t="s">
        <v>10534</v>
      </c>
      <c r="B10534" s="2" t="str">
        <f>IFERROR(__xludf.DUMMYFUNCTION("GOOGLETRANSLATE(A10534, ""en"", ""mt"")"),"protesta mhux vjolenti")</f>
        <v>protesta mhux vjolenti</v>
      </c>
    </row>
    <row r="10535" ht="15.75" customHeight="1">
      <c r="A10535" s="2" t="s">
        <v>10535</v>
      </c>
      <c r="B10535" s="2" t="str">
        <f>IFERROR(__xludf.DUMMYFUNCTION("GOOGLETRANSLATE(A10535, ""en"", ""mt"")"),"Il-Kostituzzjoni Kolonjali tal-1855")</f>
        <v>Il-Kostituzzjoni Kolonjali tal-1855</v>
      </c>
    </row>
    <row r="10536" ht="15.75" customHeight="1">
      <c r="A10536" s="2" t="s">
        <v>10536</v>
      </c>
      <c r="B10536" s="2" t="str">
        <f>IFERROR(__xludf.DUMMYFUNCTION("GOOGLETRANSLATE(A10536, ""en"", ""mt"")"),"ħila")</f>
        <v>ħila</v>
      </c>
    </row>
    <row r="10537" ht="15.75" customHeight="1">
      <c r="A10537" s="2" t="s">
        <v>10537</v>
      </c>
      <c r="B10537" s="2" t="str">
        <f>IFERROR(__xludf.DUMMYFUNCTION("GOOGLETRANSLATE(A10537, ""en"", ""mt"")"),"Hendrix v Istitut tal-Assigurazzjoni tal-Impjegati")</f>
        <v>Hendrix v Istitut tal-Assigurazzjoni tal-Impjegati</v>
      </c>
    </row>
    <row r="10538" ht="15.75" customHeight="1">
      <c r="A10538" s="2" t="s">
        <v>10538</v>
      </c>
      <c r="B10538" s="2" t="str">
        <f>IFERROR(__xludf.DUMMYFUNCTION("GOOGLETRANSLATE(A10538, ""en"", ""mt"")"),"promozzjoni turistika")</f>
        <v>promozzjoni turistika</v>
      </c>
    </row>
    <row r="10539" ht="15.75" customHeight="1">
      <c r="A10539" s="2" t="s">
        <v>10539</v>
      </c>
      <c r="B10539" s="2" t="str">
        <f>IFERROR(__xludf.DUMMYFUNCTION("GOOGLETRANSLATE(A10539, ""en"", ""mt"")"),"qoxra")</f>
        <v>qoxra</v>
      </c>
    </row>
    <row r="10540" ht="15.75" customHeight="1">
      <c r="A10540" s="2" t="s">
        <v>10540</v>
      </c>
      <c r="B10540" s="2" t="str">
        <f>IFERROR(__xludf.DUMMYFUNCTION("GOOGLETRANSLATE(A10540, ""en"", ""mt"")"),"Ewropa Ċentrali")</f>
        <v>Ewropa Ċentrali</v>
      </c>
    </row>
    <row r="10541" ht="15.75" customHeight="1">
      <c r="A10541" s="2" t="s">
        <v>10541</v>
      </c>
      <c r="B10541" s="2" t="str">
        <f>IFERROR(__xludf.DUMMYFUNCTION("GOOGLETRANSLATE(A10541, ""en"", ""mt"")"),"$ 3.5 biljun")</f>
        <v>$ 3.5 biljun</v>
      </c>
    </row>
    <row r="10542" ht="15.75" customHeight="1">
      <c r="A10542" s="2" t="s">
        <v>10542</v>
      </c>
      <c r="B10542" s="2" t="str">
        <f>IFERROR(__xludf.DUMMYFUNCTION("GOOGLETRANSLATE(A10542, ""en"", ""mt"")"),"Kif huwa meħtieġ il-ħin biex tinkiseb is-soluzzjoni għal problema kkalkulata?")</f>
        <v>Kif huwa meħtieġ il-ħin biex tinkiseb is-soluzzjoni għal problema kkalkulata?</v>
      </c>
    </row>
    <row r="10543" ht="15.75" customHeight="1">
      <c r="A10543" s="2" t="s">
        <v>10543</v>
      </c>
      <c r="B10543" s="2" t="str">
        <f>IFERROR(__xludf.DUMMYFUNCTION("GOOGLETRANSLATE(A10543, ""en"", ""mt"")"),"bdew jiċkienu")</f>
        <v>bdew jiċkienu</v>
      </c>
    </row>
    <row r="10544" ht="15.75" customHeight="1">
      <c r="A10544" s="2" t="s">
        <v>10544</v>
      </c>
      <c r="B10544" s="2" t="str">
        <f>IFERROR(__xludf.DUMMYFUNCTION("GOOGLETRANSLATE(A10544, ""en"", ""mt"")"),"Liema forza tbiddel oġġetti ta 'oġġetti ta' l-ivvjaġġar?")</f>
        <v>Liema forza tbiddel oġġetti ta 'oġġetti ta' l-ivvjaġġar?</v>
      </c>
    </row>
    <row r="10545" ht="15.75" customHeight="1">
      <c r="A10545" s="2" t="s">
        <v>10545</v>
      </c>
      <c r="B10545" s="2" t="str">
        <f>IFERROR(__xludf.DUMMYFUNCTION("GOOGLETRANSLATE(A10545, ""en"", ""mt"")"),"X'kien ix-xogħol ta 'Kenneth Swezey?")</f>
        <v>X'kien ix-xogħol ta 'Kenneth Swezey?</v>
      </c>
    </row>
    <row r="10546" ht="15.75" customHeight="1">
      <c r="A10546" s="2" t="s">
        <v>10546</v>
      </c>
      <c r="B10546" s="2" t="str">
        <f>IFERROR(__xludf.DUMMYFUNCTION("GOOGLETRANSLATE(A10546, ""en"", ""mt"")"),"l-uffiċċju Ewropew kontra l-frodi")</f>
        <v>l-uffiċċju Ewropew kontra l-frodi</v>
      </c>
    </row>
    <row r="10547" ht="15.75" customHeight="1">
      <c r="A10547" s="2" t="s">
        <v>10547</v>
      </c>
      <c r="B10547" s="2" t="str">
        <f>IFERROR(__xludf.DUMMYFUNCTION("GOOGLETRANSLATE(A10547, ""en"", ""mt"")"),"Meta kien l-għoli tan-nazzjonaliżmu Għarbi sekulari?")</f>
        <v>Meta kien l-għoli tan-nazzjonaliżmu Għarbi sekulari?</v>
      </c>
    </row>
    <row r="10548" ht="15.75" customHeight="1">
      <c r="A10548" s="2" t="s">
        <v>10548</v>
      </c>
      <c r="B10548" s="2" t="str">
        <f>IFERROR(__xludf.DUMMYFUNCTION("GOOGLETRANSLATE(A10548, ""en"", ""mt"")"),"Flimkien ma 'l-ilbies, liema żvilupp jagħmilha diffiċli li tissiġilla r-rotors f'magna li hija nieqsa mill-pistuni?")</f>
        <v>Flimkien ma 'l-ilbies, liema żvilupp jagħmilha diffiċli li tissiġilla r-rotors f'magna li hija nieqsa mill-pistuni?</v>
      </c>
    </row>
    <row r="10549" ht="15.75" customHeight="1">
      <c r="A10549" s="2" t="s">
        <v>10549</v>
      </c>
      <c r="B10549" s="2" t="str">
        <f>IFERROR(__xludf.DUMMYFUNCTION("GOOGLETRANSLATE(A10549, ""en"", ""mt"")"),"Temüjin u ħuh Khasar")</f>
        <v>Temüjin u ħuh Khasar</v>
      </c>
    </row>
    <row r="10550" ht="15.75" customHeight="1">
      <c r="A10550" s="2" t="s">
        <v>10550</v>
      </c>
      <c r="B10550" s="2" t="str">
        <f>IFERROR(__xludf.DUMMYFUNCTION("GOOGLETRANSLATE(A10550, ""en"", ""mt"")"),"Unifikazzjoni awto-konsistenti")</f>
        <v>Unifikazzjoni awto-konsistenti</v>
      </c>
    </row>
    <row r="10551" ht="15.75" customHeight="1">
      <c r="A10551" s="2" t="s">
        <v>10551</v>
      </c>
      <c r="B10551" s="2" t="str">
        <f>IFERROR(__xludf.DUMMYFUNCTION("GOOGLETRANSLATE(A10551, ""en"", ""mt"")"),"Biex tħares kontra gruppi armati")</f>
        <v>Biex tħares kontra gruppi armati</v>
      </c>
    </row>
    <row r="10552" ht="15.75" customHeight="1">
      <c r="A10552" s="2" t="s">
        <v>10552</v>
      </c>
      <c r="B10552" s="2" t="str">
        <f>IFERROR(__xludf.DUMMYFUNCTION("GOOGLETRANSLATE(A10552, ""en"", ""mt"")"),"Kolonna ta 'Trajan")</f>
        <v>Kolonna ta 'Trajan</v>
      </c>
    </row>
    <row r="10553" ht="15.75" customHeight="1">
      <c r="A10553" s="2" t="s">
        <v>10553</v>
      </c>
      <c r="B10553" s="2" t="str">
        <f>IFERROR(__xludf.DUMMYFUNCTION("GOOGLETRANSLATE(A10553, ""en"", ""mt"")"),"X’ma għamlux l-elite Mongolja?")</f>
        <v>X’ma għamlux l-elite Mongolja?</v>
      </c>
    </row>
    <row r="10554" ht="15.75" customHeight="1">
      <c r="A10554" s="2" t="s">
        <v>10554</v>
      </c>
      <c r="B10554" s="2" t="str">
        <f>IFERROR(__xludf.DUMMYFUNCTION("GOOGLETRANSLATE(A10554, ""en"", ""mt"")"),"Kunflitti ta 'qsim ta' piż reġjonali")</f>
        <v>Kunflitti ta 'qsim ta' piż reġjonali</v>
      </c>
    </row>
    <row r="10555" ht="15.75" customHeight="1">
      <c r="A10555" s="2" t="s">
        <v>10555</v>
      </c>
      <c r="B10555" s="2" t="str">
        <f>IFERROR(__xludf.DUMMYFUNCTION("GOOGLETRANSLATE(A10555, ""en"", ""mt"")"),"inbid")</f>
        <v>inbid</v>
      </c>
    </row>
    <row r="10556" ht="15.75" customHeight="1">
      <c r="A10556" s="2" t="s">
        <v>10556</v>
      </c>
      <c r="B10556" s="2" t="str">
        <f>IFERROR(__xludf.DUMMYFUNCTION("GOOGLETRANSLATE(A10556, ""en"", ""mt"")"),"bejn wieħed u ieħor sferiku u rifrazzjoni ħafna")</f>
        <v>bejn wieħed u ieħor sferiku u rifrazzjoni ħafna</v>
      </c>
    </row>
    <row r="10557" ht="15.75" customHeight="1">
      <c r="A10557" s="2" t="s">
        <v>10557</v>
      </c>
      <c r="B10557" s="2" t="str">
        <f>IFERROR(__xludf.DUMMYFUNCTION("GOOGLETRANSLATE(A10557, ""en"", ""mt"")"),"is-sistema umoristika tagħha")</f>
        <v>is-sistema umoristika tagħha</v>
      </c>
    </row>
    <row r="10558" ht="15.75" customHeight="1">
      <c r="A10558" s="2" t="s">
        <v>10558</v>
      </c>
      <c r="B10558" s="2" t="str">
        <f>IFERROR(__xludf.DUMMYFUNCTION("GOOGLETRANSLATE(A10558, ""en"", ""mt"")"),"Genghis Khan u l-familja tiegħu")</f>
        <v>Genghis Khan u l-familja tiegħu</v>
      </c>
    </row>
    <row r="10559" ht="15.75" customHeight="1">
      <c r="A10559" s="2" t="s">
        <v>10559</v>
      </c>
      <c r="B10559" s="2" t="str">
        <f>IFERROR(__xludf.DUMMYFUNCTION("GOOGLETRANSLATE(A10559, ""en"", ""mt"")"),"Modulu tas-Servizz (SM)")</f>
        <v>Modulu tas-Servizz (SM)</v>
      </c>
    </row>
    <row r="10560" ht="15.75" customHeight="1">
      <c r="A10560" s="2" t="s">
        <v>10560</v>
      </c>
      <c r="B10560" s="2" t="str">
        <f>IFERROR(__xludf.DUMMYFUNCTION("GOOGLETRANSLATE(A10560, ""en"", ""mt"")"),"talli ma jkollokx permess ta 'residenza.")</f>
        <v>talli ma jkollokx permess ta 'residenza.</v>
      </c>
    </row>
    <row r="10561" ht="15.75" customHeight="1">
      <c r="A10561" s="2" t="s">
        <v>10561</v>
      </c>
      <c r="B10561" s="2" t="str">
        <f>IFERROR(__xludf.DUMMYFUNCTION("GOOGLETRANSLATE(A10561, ""en"", ""mt"")"),"X'INHU l-forza elettrostatika u manjetika mqajma bħala s-somma ta '?")</f>
        <v>X'INHU l-forza elettrostatika u manjetika mqajma bħala s-somma ta '?</v>
      </c>
    </row>
    <row r="10562" ht="15.75" customHeight="1">
      <c r="A10562" s="2" t="s">
        <v>10562</v>
      </c>
      <c r="B10562" s="2" t="str">
        <f>IFERROR(__xludf.DUMMYFUNCTION("GOOGLETRANSLATE(A10562, ""en"", ""mt"")"),"tliet membri")</f>
        <v>tliet membri</v>
      </c>
    </row>
    <row r="10563" ht="15.75" customHeight="1">
      <c r="A10563" s="2" t="s">
        <v>10563</v>
      </c>
      <c r="B10563" s="2" t="str">
        <f>IFERROR(__xludf.DUMMYFUNCTION("GOOGLETRANSLATE(A10563, ""en"", ""mt"")"),"Iċ-ċiklu ta 'Rankine u l-biċċa l-kbira tal-magni tal-fwar prattiċi għandhom pompa tal-ilma biex tirriċikla jew tagħlaq l-ilma tal-bojler, sabiex ikunu jistgħu jitmexxew kontinwament. Utilità u bojlers industrijali jużaw komunement pompi ċentrifugali f'div"&amp;"ersi stadji; Madankollu, tipi oħra jintużaw. Mezz ieħor biex iforni ilma ta 'l-għalf tal-bojler bi pressjoni baxxa huwa injettur, li juża ġett tal-fwar ġeneralment fornut mill-bojler. L-injetturi saru popolari fl-1850s iżda m'għadhomx jintużaw ħafna, ħlie"&amp;"f f'applikazzjonijiet bħal lokomottivi tal-fwar.")</f>
        <v>Iċ-ċiklu ta 'Rankine u l-biċċa l-kbira tal-magni tal-fwar prattiċi għandhom pompa tal-ilma biex tirriċikla jew tagħlaq l-ilma tal-bojler, sabiex ikunu jistgħu jitmexxew kontinwament. Utilità u bojlers industrijali jużaw komunement pompi ċentrifugali f'diversi stadji; Madankollu, tipi oħra jintużaw. Mezz ieħor biex iforni ilma ta 'l-għalf tal-bojler bi pressjoni baxxa huwa injettur, li juża ġett tal-fwar ġeneralment fornut mill-bojler. L-injetturi saru popolari fl-1850s iżda m'għadhomx jintużaw ħafna, ħlief f'applikazzjonijiet bħal lokomottivi tal-fwar.</v>
      </c>
    </row>
    <row r="10564" ht="15.75" customHeight="1">
      <c r="A10564" s="2" t="s">
        <v>10564</v>
      </c>
      <c r="B10564" s="2" t="str">
        <f>IFERROR(__xludf.DUMMYFUNCTION("GOOGLETRANSLATE(A10564, ""en"", ""mt"")"),"Wara l-prinċipju utilitarju li jfittex l-akbar ġid għall-akbar numru - l-inugwaljanza ekonomika hija problematika. Dar li tipprovdi inqas utilità lil miljunarju bħala dar tas-sajf milli kienet għal familja bla dar ta 'ħamsa, hija eżempju ta' ""effiċjenza "&amp;"distributtiva"" mnaqqsa fis-soċjetà, li tnaqqas l-utilità marġinali tal-ġid u b'hekk is-somma totali ta 'utilità personali. Dollaru addizzjonali minfuq minn persuna fqira se jmur għal affarijiet li jipprovdu ħafna utilità lil dik il-persuna, bħal ħtiġijie"&amp;"t bażiċi bħall-ikel, l-ilma, u l-kura tas-saħħa; Filwaqt li, dollaru addizzjonali li jintefaq minn persuna ferm iktar sinjura x'aktarx imur għal oġġetti ta 'lussu li jipprovdi relattivament inqas utilità lil dik il-persuna. Għalhekk, l-utilità marġinali t"&amp;"al-ġid għal kull persuna (""id-dollaru addizzjonali"") tonqos hekk kif persuna ssir iktar sinjura. Minn dan il-lat, għal kwalunkwe ammont ta 'ġid partikolari fis-soċjetà, soċjetà b'aktar ugwaljanza se jkollha utilità aggregata ogħla. Xi studji sabu eviden"&amp;"za għal din it-teorija, filwaqt li nnotaw li f'soċjetajiet fejn l-inugwaljanza hija aktar baxxa, is-sodisfazzjon u l-kuntentizza tal-popolazzjoni għandhom it-tendenza li jkunu ogħla.")</f>
        <v>Wara l-prinċipju utilitarju li jfittex l-akbar ġid għall-akbar numru - l-inugwaljanza ekonomika hija problematika. Dar li tipprovdi inqas utilità lil miljunarju bħala dar tas-sajf milli kienet għal familja bla dar ta 'ħamsa, hija eżempju ta' "effiċjenza distributtiva" mnaqqsa fis-soċjetà, li tnaqqas l-utilità marġinali tal-ġid u b'hekk is-somma totali ta 'utilità personali. Dollaru addizzjonali minfuq minn persuna fqira se jmur għal affarijiet li jipprovdu ħafna utilità lil dik il-persuna, bħal ħtiġijiet bażiċi bħall-ikel, l-ilma, u l-kura tas-saħħa; Filwaqt li, dollaru addizzjonali li jintefaq minn persuna ferm iktar sinjura x'aktarx imur għal oġġetti ta 'lussu li jipprovdi relattivament inqas utilità lil dik il-persuna. Għalhekk, l-utilità marġinali tal-ġid għal kull persuna ("id-dollaru addizzjonali") tonqos hekk kif persuna ssir iktar sinjura. Minn dan il-lat, għal kwalunkwe ammont ta 'ġid partikolari fis-soċjetà, soċjetà b'aktar ugwaljanza se jkollha utilità aggregata ogħla. Xi studji sabu evidenza għal din it-teorija, filwaqt li nnotaw li f'soċjetajiet fejn l-inugwaljanza hija aktar baxxa, is-sodisfazzjon u l-kuntentizza tal-popolazzjoni għandhom it-tendenza li jkunu ogħla.</v>
      </c>
    </row>
    <row r="10565" ht="15.75" customHeight="1">
      <c r="A10565" s="2" t="s">
        <v>10565</v>
      </c>
      <c r="B10565" s="2" t="str">
        <f>IFERROR(__xludf.DUMMYFUNCTION("GOOGLETRANSLATE(A10565, ""en"", ""mt"")"),"Burlington Northern Santa Fe Railway u Union Pacific Railroad")</f>
        <v>Burlington Northern Santa Fe Railway u Union Pacific Railroad</v>
      </c>
    </row>
    <row r="10566" ht="15.75" customHeight="1">
      <c r="A10566" s="2" t="s">
        <v>10566</v>
      </c>
      <c r="B10566" s="2" t="str">
        <f>IFERROR(__xludf.DUMMYFUNCTION("GOOGLETRANSLATE(A10566, ""en"", ""mt"")"),"X'kienu l-bini tal-vapuri u l-inġinerija importanti għal Newcastle fis-seklu 19?")</f>
        <v>X'kienu l-bini tal-vapuri u l-inġinerija importanti għal Newcastle fis-seklu 19?</v>
      </c>
    </row>
    <row r="10567" ht="15.75" customHeight="1">
      <c r="A10567" s="2" t="s">
        <v>10567</v>
      </c>
      <c r="B10567" s="2" t="str">
        <f>IFERROR(__xludf.DUMMYFUNCTION("GOOGLETRANSLATE(A10567, ""en"", ""mt"")"),"Votanti barra l-limiti tal-belt")</f>
        <v>Votanti barra l-limiti tal-belt</v>
      </c>
    </row>
    <row r="10568" ht="15.75" customHeight="1">
      <c r="A10568" s="2" t="s">
        <v>10568</v>
      </c>
      <c r="B10568" s="2" t="str">
        <f>IFERROR(__xludf.DUMMYFUNCTION("GOOGLETRANSLATE(A10568, ""en"", ""mt"")"),"Minn fejn kien iħabbar Tracy Wolfson matul il-logħba tas-Super Bowl 50?")</f>
        <v>Minn fejn kien iħabbar Tracy Wolfson matul il-logħba tas-Super Bowl 50?</v>
      </c>
    </row>
    <row r="10569" ht="15.75" customHeight="1">
      <c r="A10569" s="2" t="s">
        <v>10569</v>
      </c>
      <c r="B10569" s="2" t="str">
        <f>IFERROR(__xludf.DUMMYFUNCTION("GOOGLETRANSLATE(A10569, ""en"", ""mt"")"),"Ħsad fqir")</f>
        <v>Ħsad fqir</v>
      </c>
    </row>
    <row r="10570" ht="15.75" customHeight="1">
      <c r="A10570" s="2" t="s">
        <v>10570</v>
      </c>
      <c r="B10570" s="2" t="str">
        <f>IFERROR(__xludf.DUMMYFUNCTION("GOOGLETRANSLATE(A10570, ""en"", ""mt"")"),"X’qal Luther li kien jippermetti lill-Lhud jibqgħu?")</f>
        <v>X’qal Luther li kien jippermetti lill-Lhud jibqgħu?</v>
      </c>
    </row>
    <row r="10571" ht="15.75" customHeight="1">
      <c r="A10571" s="2" t="s">
        <v>10571</v>
      </c>
      <c r="B10571" s="2" t="str">
        <f>IFERROR(__xludf.DUMMYFUNCTION("GOOGLETRANSLATE(A10571, ""en"", ""mt"")"),"Xmara Charles")</f>
        <v>Xmara Charles</v>
      </c>
    </row>
    <row r="10572" ht="15.75" customHeight="1">
      <c r="A10572" s="2" t="s">
        <v>10572</v>
      </c>
      <c r="B10572" s="2" t="str">
        <f>IFERROR(__xludf.DUMMYFUNCTION("GOOGLETRANSLATE(A10572, ""en"", ""mt"")"),"Tqassim ta 'prodotti ta' taħt")</f>
        <v>Tqassim ta 'prodotti ta' taħt</v>
      </c>
    </row>
    <row r="10573" ht="15.75" customHeight="1">
      <c r="A10573" s="2" t="s">
        <v>10573</v>
      </c>
      <c r="B10573" s="2" t="str">
        <f>IFERROR(__xludf.DUMMYFUNCTION("GOOGLETRANSLATE(A10573, ""en"", ""mt"")"),"fi strutturi ramifikati, lineari, jew kumplessi oħra")</f>
        <v>fi strutturi ramifikati, lineari, jew kumplessi oħra</v>
      </c>
    </row>
    <row r="10574" ht="15.75" customHeight="1">
      <c r="A10574" s="2" t="s">
        <v>10574</v>
      </c>
      <c r="B10574" s="2" t="str">
        <f>IFERROR(__xludf.DUMMYFUNCTION("GOOGLETRANSLATE(A10574, ""en"", ""mt"")"),"Liema dmir xi nies jemmnu li għandhom id-diżubbidjenti ċivili?")</f>
        <v>Liema dmir xi nies jemmnu li għandhom id-diżubbidjenti ċivili?</v>
      </c>
    </row>
    <row r="10575" ht="15.75" customHeight="1">
      <c r="A10575" s="2" t="s">
        <v>10575</v>
      </c>
      <c r="B10575" s="2" t="str">
        <f>IFERROR(__xludf.DUMMYFUNCTION("GOOGLETRANSLATE(A10575, ""en"", ""mt"")"),"sentenzi sospiżi")</f>
        <v>sentenzi sospiżi</v>
      </c>
    </row>
    <row r="10576" ht="15.75" customHeight="1">
      <c r="A10576" s="2" t="s">
        <v>10576</v>
      </c>
      <c r="B10576" s="2" t="str">
        <f>IFERROR(__xludf.DUMMYFUNCTION("GOOGLETRANSLATE(A10576, ""en"", ""mt"")"),"4.6 biljun")</f>
        <v>4.6 biljun</v>
      </c>
    </row>
    <row r="10577" ht="15.75" customHeight="1">
      <c r="A10577" s="2" t="s">
        <v>10577</v>
      </c>
      <c r="B10577" s="2" t="str">
        <f>IFERROR(__xludf.DUMMYFUNCTION("GOOGLETRANSLATE(A10577, ""en"", ""mt"")"),"Knisja u t-tradizzjoni teoloġika Metodista-Kristjana")</f>
        <v>Knisja u t-tradizzjoni teoloġika Metodista-Kristjana</v>
      </c>
    </row>
    <row r="10578" ht="15.75" customHeight="1">
      <c r="A10578" s="2" t="s">
        <v>10578</v>
      </c>
      <c r="B10578" s="2" t="str">
        <f>IFERROR(__xludf.DUMMYFUNCTION("GOOGLETRANSLATE(A10578, ""en"", ""mt"")"),"Aqla 'l-istatus tal-għalliem mikri")</f>
        <v>Aqla 'l-istatus tal-għalliem mikri</v>
      </c>
    </row>
    <row r="10579" ht="15.75" customHeight="1">
      <c r="A10579" s="2" t="s">
        <v>10579</v>
      </c>
      <c r="B10579" s="2" t="str">
        <f>IFERROR(__xludf.DUMMYFUNCTION("GOOGLETRANSLATE(A10579, ""en"", ""mt"")"),"Teatri tal-Paramount United (UPT)")</f>
        <v>Teatri tal-Paramount United (UPT)</v>
      </c>
    </row>
    <row r="10580" ht="15.75" customHeight="1">
      <c r="A10580" s="2" t="s">
        <v>10580</v>
      </c>
      <c r="B10580" s="2" t="str">
        <f>IFERROR(__xludf.DUMMYFUNCTION("GOOGLETRANSLATE(A10580, ""en"", ""mt"")"),"Għandu jinħareġ għal skop mediku leġittimu minn prattikant liċenzjat li jaġixxi matul ir-relazzjoni leġittima ta 'tabib-pazjent")</f>
        <v>Għandu jinħareġ għal skop mediku leġittimu minn prattikant liċenzjat li jaġixxi matul ir-relazzjoni leġittima ta 'tabib-pazjent</v>
      </c>
    </row>
    <row r="10581" ht="15.75" customHeight="1">
      <c r="A10581" s="2" t="s">
        <v>10581</v>
      </c>
      <c r="B10581" s="2" t="str">
        <f>IFERROR(__xludf.DUMMYFUNCTION("GOOGLETRANSLATE(A10581, ""en"", ""mt"")"),"Mill-2005 sal-2014, kien hemm żewġ timijiet tal-futbol tal-kampjonat maġġuri f'Los Angeles - il-La Galaxy u Chivas USA - li t-tnejn lagħbu fiċ-Ċentru Stubhub u kienu rivali lokali. Madankollu, Chivas ġew sospiżi wara l-istaġun tal-MLS 2014, bit-tieni tim "&amp;"tal-MLS skedat li jirritorna fl-2018.")</f>
        <v>Mill-2005 sal-2014, kien hemm żewġ timijiet tal-futbol tal-kampjonat maġġuri f'Los Angeles - il-La Galaxy u Chivas USA - li t-tnejn lagħbu fiċ-Ċentru Stubhub u kienu rivali lokali. Madankollu, Chivas ġew sospiżi wara l-istaġun tal-MLS 2014, bit-tieni tim tal-MLS skedat li jirritorna fl-2018.</v>
      </c>
    </row>
    <row r="10582" ht="15.75" customHeight="1">
      <c r="A10582" s="2" t="s">
        <v>10582</v>
      </c>
      <c r="B10582" s="2" t="str">
        <f>IFERROR(__xludf.DUMMYFUNCTION("GOOGLETRANSLATE(A10582, ""en"", ""mt"")"),"Makroekonomiku")</f>
        <v>Makroekonomiku</v>
      </c>
    </row>
    <row r="10583" ht="15.75" customHeight="1">
      <c r="A10583" s="2" t="s">
        <v>10583</v>
      </c>
      <c r="B10583" s="2" t="str">
        <f>IFERROR(__xludf.DUMMYFUNCTION("GOOGLETRANSLATE(A10583, ""en"", ""mt"")"),"Ctenophores kienu meqjusa bħala ""truf mejta"" fil-ktajjen tal-ikel tal-baħar minħabba li kien maħsub il-proporzjon baxx tagħhom ta 'materja organika għall-melħ u l-ilma għamilhom dieta ħażina għal annimali oħra. Ħafna drabi huwa wkoll diffiċli li jiġu id"&amp;"entifikati l-fdalijiet ta 'ctenophores fl-imsaren ta' predaturi possibbli, għalkemm il-pettnijiet kultant jibqgħu intatti biżżejjed biex jipprovdu ħjiel. Investigazzjoni dettaljata tas-salamun chum, Oncorhynchus keta, wriet li dawn il-ħut diġestiti ctenop"&amp;"hores 20 darba malajr daqs piż ugwali ta 'gambli, u li ċ-ċtenofori jistgħu jipprovdu dieta tajba jekk hemm biżżejjed minnhom madwarhom. Beroids priża prinċipalment fuq ctenophores oħra. Xi bram u fkieren jieklu kwantitajiet kbar ta 'ctenophores, u l-bram "&amp;"jista' temporanjament iħassar il-popolazzjonijiet ta 'ctenophore. Peress li ċ-ċtenofori u l-bram spiss ikollhom varjazzjonijiet staġjonali kbar fil-popolazzjoni, il-biċċa l-kbira tal-ħut li priża fuqhom huma ġeneralisti, u jista 'jkollhom effett akbar fuq"&amp;" il-popolazzjonijiet milli l-ispeċjalisti tal-ġelatina. Dan huwa enfasizzat minn osservazzjoni ta 'ħut erbivori li jitma' deliberatament fuq zooplankton ġelatinuż waqt fjorituri fil-Baħar l-Aħmar. Il-larva ta 'xi anemoni tal-baħar huma parassiti fuq cteno"&amp;"phores, bħalma huma l-larva ta' xi dud tal-flat li parassitizzaw il-ħut meta jilħqu l-età adulta.")</f>
        <v>Ctenophores kienu meqjusa bħala "truf mejta" fil-ktajjen tal-ikel tal-baħar minħabba li kien maħsub il-proporzjon baxx tagħhom ta 'materja organika għall-melħ u l-ilma għamilhom dieta ħażina għal annimali oħra. Ħafna drabi huwa wkoll diffiċli li jiġu identifikati l-fdalijiet ta 'ctenophores fl-imsaren ta' predaturi possibbli, għalkemm il-pettnijiet kultant jibqgħu intatti biżżejjed biex jipprovdu ħjiel. Investigazzjoni dettaljata tas-salamun chum, Oncorhynchus keta, wriet li dawn il-ħut diġestiti ctenophores 20 darba malajr daqs piż ugwali ta 'gambli, u li ċ-ċtenofori jistgħu jipprovdu dieta tajba jekk hemm biżżejjed minnhom madwarhom. Beroids priża prinċipalment fuq ctenophores oħra. Xi bram u fkieren jieklu kwantitajiet kbar ta 'ctenophores, u l-bram jista' temporanjament iħassar il-popolazzjonijiet ta 'ctenophore. Peress li ċ-ċtenofori u l-bram spiss ikollhom varjazzjonijiet staġjonali kbar fil-popolazzjoni, il-biċċa l-kbira tal-ħut li priża fuqhom huma ġeneralisti, u jista 'jkollhom effett akbar fuq il-popolazzjonijiet milli l-ispeċjalisti tal-ġelatina. Dan huwa enfasizzat minn osservazzjoni ta 'ħut erbivori li jitma' deliberatament fuq zooplankton ġelatinuż waqt fjorituri fil-Baħar l-Aħmar. Il-larva ta 'xi anemoni tal-baħar huma parassiti fuq ctenophores, bħalma huma l-larva ta' xi dud tal-flat li parassitizzaw il-ħut meta jilħqu l-età adulta.</v>
      </c>
    </row>
    <row r="10584" ht="15.75" customHeight="1">
      <c r="A10584" s="2" t="s">
        <v>10584</v>
      </c>
      <c r="B10584" s="2" t="str">
        <f>IFERROR(__xludf.DUMMYFUNCTION("GOOGLETRANSLATE(A10584, ""en"", ""mt"")"),"X'tip ta 'kloroplasti ma tilfux id-dijatomi?")</f>
        <v>X'tip ta 'kloroplasti ma tilfux id-dijatomi?</v>
      </c>
    </row>
    <row r="10585" ht="15.75" customHeight="1">
      <c r="A10585" s="2" t="s">
        <v>10585</v>
      </c>
      <c r="B10585" s="2" t="str">
        <f>IFERROR(__xludf.DUMMYFUNCTION("GOOGLETRANSLATE(A10585, ""en"", ""mt"")"),"Liema tipi ta 'pompi huma tipikament użati fil-bojlers industrijali?")</f>
        <v>Liema tipi ta 'pompi huma tipikament użati fil-bojlers industrijali?</v>
      </c>
    </row>
    <row r="10586" ht="15.75" customHeight="1">
      <c r="A10586" s="2" t="s">
        <v>10586</v>
      </c>
      <c r="B10586" s="2" t="str">
        <f>IFERROR(__xludf.DUMMYFUNCTION("GOOGLETRANSLATE(A10586, ""en"", ""mt"")"),"Għaliex ir-Rhine ġie mqassar?")</f>
        <v>Għaliex ir-Rhine ġie mqassar?</v>
      </c>
    </row>
    <row r="10587" ht="15.75" customHeight="1">
      <c r="A10587" s="2" t="s">
        <v>10587</v>
      </c>
      <c r="B10587" s="2" t="str">
        <f>IFERROR(__xludf.DUMMYFUNCTION("GOOGLETRANSLATE(A10587, ""en"", ""mt"")"),"kloroplast")</f>
        <v>kloroplast</v>
      </c>
    </row>
    <row r="10588" ht="15.75" customHeight="1">
      <c r="A10588" s="2" t="s">
        <v>10588</v>
      </c>
      <c r="B10588" s="2" t="str">
        <f>IFERROR(__xludf.DUMMYFUNCTION("GOOGLETRANSLATE(A10588, ""en"", ""mt"")"),"X'jista 'jkun possibbli li ċ-ċikli ta' Kuznets multipli jkunu fi kwalunkwe ħin?")</f>
        <v>X'jista 'jkun possibbli li ċ-ċikli ta' Kuznets multipli jkunu fi kwalunkwe ħin?</v>
      </c>
    </row>
    <row r="10589" ht="15.75" customHeight="1">
      <c r="A10589" s="2" t="s">
        <v>10589</v>
      </c>
      <c r="B10589" s="2" t="str">
        <f>IFERROR(__xludf.DUMMYFUNCTION("GOOGLETRANSLATE(A10589, ""en"", ""mt"")"),"Il-kisba tal-kontroll tal-kriminalità permezz ta 'inkapaċitazzjoni u deterrenza")</f>
        <v>Il-kisba tal-kontroll tal-kriminalità permezz ta 'inkapaċitazzjoni u deterrenza</v>
      </c>
    </row>
    <row r="10590" ht="15.75" customHeight="1">
      <c r="A10590" s="2" t="s">
        <v>10590</v>
      </c>
      <c r="B10590" s="2" t="str">
        <f>IFERROR(__xludf.DUMMYFUNCTION("GOOGLETRANSLATE(A10590, ""en"", ""mt"")"),"Liema reliġjonijiet segwew Tugh Temur?")</f>
        <v>Liema reliġjonijiet segwew Tugh Temur?</v>
      </c>
    </row>
    <row r="10591" ht="15.75" customHeight="1">
      <c r="A10591" s="2" t="s">
        <v>10591</v>
      </c>
      <c r="B10591" s="2" t="str">
        <f>IFERROR(__xludf.DUMMYFUNCTION("GOOGLETRANSLATE(A10591, ""en"", ""mt"")"),"il-brutalità tiegħu")</f>
        <v>il-brutalità tiegħu</v>
      </c>
    </row>
    <row r="10592" ht="15.75" customHeight="1">
      <c r="A10592" s="2" t="s">
        <v>10592</v>
      </c>
      <c r="B10592" s="2" t="str">
        <f>IFERROR(__xludf.DUMMYFUNCTION("GOOGLETRANSLATE(A10592, ""en"", ""mt"")"),"L-istampar tal-bini qed jagħmilha possibbli li jinbnew b'mod flessibbli bini kummerċjali żgħar u abitazzjonijiet privati ​​f'liema ammont ta 'żmien?")</f>
        <v>L-istampar tal-bini qed jagħmilha possibbli li jinbnew b'mod flessibbli bini kummerċjali żgħar u abitazzjonijiet privati ​​f'liema ammont ta 'żmien?</v>
      </c>
    </row>
    <row r="10593" ht="15.75" customHeight="1">
      <c r="A10593" s="2" t="s">
        <v>10593</v>
      </c>
      <c r="B10593" s="2" t="str">
        <f>IFERROR(__xludf.DUMMYFUNCTION("GOOGLETRANSLATE(A10593, ""en"", ""mt"")"),"surrogat")</f>
        <v>surrogat</v>
      </c>
    </row>
    <row r="10594" ht="15.75" customHeight="1">
      <c r="A10594" s="2" t="s">
        <v>10594</v>
      </c>
      <c r="B10594" s="2" t="str">
        <f>IFERROR(__xludf.DUMMYFUNCTION("GOOGLETRANSLATE(A10594, ""en"", ""mt"")"),"9 seklu")</f>
        <v>9 seklu</v>
      </c>
    </row>
    <row r="10595" ht="15.75" customHeight="1">
      <c r="A10595" s="2" t="s">
        <v>10595</v>
      </c>
      <c r="B10595" s="2" t="str">
        <f>IFERROR(__xludf.DUMMYFUNCTION("GOOGLETRANSLATE(A10595, ""en"", ""mt"")"),"L-inkwiet tan-netwerk mas-serje eżistenti u l-kisba ta 'suċċessi ġodda mxerrda fl-iskeda 2010–11 tagħha: id-drammi ta' ABC matul dak l-istaġun komplew ifallu, bil-korp tad-drama ta 'investigazzjoni forensika f'nofs il-qofol huwa l-uniku wieħed li ġie mġed"&amp;"ded għat-tieni staġun. In-netwerk tħabat ukoll biex jistabbilixxi kummiedji ġodda biex jappoġġjaw id-debutt tas-sena ta 'qabel, bi premiere ta' l-istaġun tard biss li jaqla 't-tieni staġun. Sadanittant, il-livelli l-ġodda milquta minn Brothers &amp; Sisters w"&amp;"asslu għall-kanċellazzjoni tagħha, u l-uniku drama ta 'qabel tas-sena ta' tiġdid, V, naqas ukoll milli jaqla 'staġun ieħor wara ġirja ta' nofs il-livell baxx. Minkejja dan u l-klassifikazzjonijiet oħra notevoli jonqsu, ABC jirnexxielu jegħleb NBC għat-tie"&amp;"let post b'marġni akbar mis-sena ta 'qabel.")</f>
        <v>L-inkwiet tan-netwerk mas-serje eżistenti u l-kisba ta 'suċċessi ġodda mxerrda fl-iskeda 2010–11 tagħha: id-drammi ta' ABC matul dak l-istaġun komplew ifallu, bil-korp tad-drama ta 'investigazzjoni forensika f'nofs il-qofol huwa l-uniku wieħed li ġie mġedded għat-tieni staġun. In-netwerk tħabat ukoll biex jistabbilixxi kummiedji ġodda biex jappoġġjaw id-debutt tas-sena ta 'qabel, bi premiere ta' l-istaġun tard biss li jaqla 't-tieni staġun. Sadanittant, il-livelli l-ġodda milquta minn Brothers &amp; Sisters wasslu għall-kanċellazzjoni tagħha, u l-uniku drama ta 'qabel tas-sena ta' tiġdid, V, naqas ukoll milli jaqla 'staġun ieħor wara ġirja ta' nofs il-livell baxx. Minkejja dan u l-klassifikazzjonijiet oħra notevoli jonqsu, ABC jirnexxielu jegħleb NBC għat-tielet post b'marġni akbar mis-sena ta 'qabel.</v>
      </c>
    </row>
    <row r="10596" ht="15.75" customHeight="1">
      <c r="A10596" s="2" t="s">
        <v>10596</v>
      </c>
      <c r="B10596" s="2" t="str">
        <f>IFERROR(__xludf.DUMMYFUNCTION("GOOGLETRANSLATE(A10596, ""en"", ""mt"")"),"Turiżmu sportiv")</f>
        <v>Turiżmu sportiv</v>
      </c>
    </row>
    <row r="10597" ht="15.75" customHeight="1">
      <c r="A10597" s="2" t="s">
        <v>10597</v>
      </c>
      <c r="B10597" s="2" t="str">
        <f>IFERROR(__xludf.DUMMYFUNCTION("GOOGLETRANSLATE(A10597, ""en"", ""mt"")"),"ċelloli dendritiċi")</f>
        <v>ċelloli dendritiċi</v>
      </c>
    </row>
    <row r="10598" ht="15.75" customHeight="1">
      <c r="A10598" s="2" t="s">
        <v>10598</v>
      </c>
      <c r="B10598" s="2" t="str">
        <f>IFERROR(__xludf.DUMMYFUNCTION("GOOGLETRANSLATE(A10598, ""en"", ""mt"")"),"lil xulxin")</f>
        <v>lil xulxin</v>
      </c>
    </row>
    <row r="10599" ht="15.75" customHeight="1">
      <c r="A10599" s="2" t="s">
        <v>10599</v>
      </c>
      <c r="B10599" s="2" t="str">
        <f>IFERROR(__xludf.DUMMYFUNCTION("GOOGLETRANSLATE(A10599, ""en"", ""mt"")"),"Fejn jinsabu dawn id-digi?")</f>
        <v>Fejn jinsabu dawn id-digi?</v>
      </c>
    </row>
    <row r="10600" ht="15.75" customHeight="1">
      <c r="A10600" s="2" t="s">
        <v>10600</v>
      </c>
      <c r="B10600" s="2" t="str">
        <f>IFERROR(__xludf.DUMMYFUNCTION("GOOGLETRANSLATE(A10600, ""en"", ""mt"")"),"Biex tirkupra s-sehem tas-suq")</f>
        <v>Biex tirkupra s-sehem tas-suq</v>
      </c>
    </row>
    <row r="10601" ht="15.75" customHeight="1">
      <c r="A10601" s="2" t="s">
        <v>10601</v>
      </c>
      <c r="B10601" s="2" t="str">
        <f>IFERROR(__xludf.DUMMYFUNCTION("GOOGLETRANSLATE(A10601, ""en"", ""mt"")"),"Edukazzjoni")</f>
        <v>Edukazzjoni</v>
      </c>
    </row>
    <row r="10602" ht="15.75" customHeight="1">
      <c r="A10602" s="2" t="s">
        <v>10602</v>
      </c>
      <c r="B10602" s="2" t="str">
        <f>IFERROR(__xludf.DUMMYFUNCTION("GOOGLETRANSLATE(A10602, ""en"", ""mt"")"),"Kemm membrani għandhom il-kloroplast haptofite?")</f>
        <v>Kemm membrani għandhom il-kloroplast haptofite?</v>
      </c>
    </row>
    <row r="10603" ht="15.75" customHeight="1">
      <c r="A10603" s="2" t="s">
        <v>10603</v>
      </c>
      <c r="B10603" s="2" t="str">
        <f>IFERROR(__xludf.DUMMYFUNCTION("GOOGLETRANSLATE(A10603, ""en"", ""mt"")"),"dirett")</f>
        <v>dirett</v>
      </c>
    </row>
    <row r="10604" ht="15.75" customHeight="1">
      <c r="A10604" s="2" t="s">
        <v>10604</v>
      </c>
      <c r="B10604" s="2" t="str">
        <f>IFERROR(__xludf.DUMMYFUNCTION("GOOGLETRANSLATE(A10604, ""en"", ""mt"")"),"Iċ-Ċiniż Han")</f>
        <v>Iċ-Ċiniż Han</v>
      </c>
    </row>
    <row r="10605" ht="15.75" customHeight="1">
      <c r="A10605" s="2" t="s">
        <v>10605</v>
      </c>
      <c r="B10605" s="2" t="str">
        <f>IFERROR(__xludf.DUMMYFUNCTION("GOOGLETRANSLATE(A10605, ""en"", ""mt"")"),"X'inhu terminu ieħor għal skejjel preparatorji universitarji?")</f>
        <v>X'inhu terminu ieħor għal skejjel preparatorji universitarji?</v>
      </c>
    </row>
    <row r="10606" ht="15.75" customHeight="1">
      <c r="A10606" s="2" t="s">
        <v>10606</v>
      </c>
      <c r="B10606" s="2" t="str">
        <f>IFERROR(__xludf.DUMMYFUNCTION("GOOGLETRANSLATE(A10606, ""en"", ""mt"")"),"fuq tlett ijiem")</f>
        <v>fuq tlett ijiem</v>
      </c>
    </row>
    <row r="10607" ht="15.75" customHeight="1">
      <c r="A10607" s="2" t="s">
        <v>10607</v>
      </c>
      <c r="B10607" s="2" t="str">
        <f>IFERROR(__xludf.DUMMYFUNCTION("GOOGLETRANSLATE(A10607, ""en"", ""mt"")"),"Liema studju edukattiv Luther beda jsegwi u jaqa 'immedjatament?")</f>
        <v>Liema studju edukattiv Luther beda jsegwi u jaqa 'immedjatament?</v>
      </c>
    </row>
    <row r="10608" ht="15.75" customHeight="1">
      <c r="A10608" s="2" t="s">
        <v>10608</v>
      </c>
      <c r="B10608" s="2" t="str">
        <f>IFERROR(__xludf.DUMMYFUNCTION("GOOGLETRANSLATE(A10608, ""en"", ""mt"")"),"Xi jfissru xi sorsi li miet minn ħu Nikola?")</f>
        <v>Xi jfissru xi sorsi li miet minn ħu Nikola?</v>
      </c>
    </row>
    <row r="10609" ht="15.75" customHeight="1">
      <c r="A10609" s="2" t="s">
        <v>10609</v>
      </c>
      <c r="B10609" s="2" t="str">
        <f>IFERROR(__xludf.DUMMYFUNCTION("GOOGLETRANSLATE(A10609, ""en"", ""mt"")"),"il-prosperità tal-belt")</f>
        <v>il-prosperità tal-belt</v>
      </c>
    </row>
    <row r="10610" ht="15.75" customHeight="1">
      <c r="A10610" s="2" t="s">
        <v>10610</v>
      </c>
      <c r="B10610" s="2" t="str">
        <f>IFERROR(__xludf.DUMMYFUNCTION("GOOGLETRANSLATE(A10610, ""en"", ""mt"")"),"huma ġġudikati ""ħażin"" minn kuxjenza individwali")</f>
        <v>huma ġġudikati "ħażin" minn kuxjenza individwali</v>
      </c>
    </row>
    <row r="10611" ht="15.75" customHeight="1">
      <c r="A10611" s="2" t="s">
        <v>10611</v>
      </c>
      <c r="B10611" s="2" t="str">
        <f>IFERROR(__xludf.DUMMYFUNCTION("GOOGLETRANSLATE(A10611, ""en"", ""mt"")"),"żieda fil-komunikazzjoni u l-kummerċ")</f>
        <v>żieda fil-komunikazzjoni u l-kummerċ</v>
      </c>
    </row>
    <row r="10612" ht="15.75" customHeight="1">
      <c r="A10612" s="2" t="s">
        <v>10612</v>
      </c>
      <c r="B10612" s="2" t="str">
        <f>IFERROR(__xludf.DUMMYFUNCTION("GOOGLETRANSLATE(A10612, ""en"", ""mt"")"),"Salarji medji tal-għalliema")</f>
        <v>Salarji medji tal-għalliema</v>
      </c>
    </row>
    <row r="10613" ht="15.75" customHeight="1">
      <c r="A10613" s="2" t="s">
        <v>10613</v>
      </c>
      <c r="B10613" s="2" t="str">
        <f>IFERROR(__xludf.DUMMYFUNCTION("GOOGLETRANSLATE(A10613, ""en"", ""mt"")"),"Liema netwerk wera tabib li film?")</f>
        <v>Liema netwerk wera tabib li film?</v>
      </c>
    </row>
    <row r="10614" ht="15.75" customHeight="1">
      <c r="A10614" s="2" t="s">
        <v>10614</v>
      </c>
      <c r="B10614" s="2" t="str">
        <f>IFERROR(__xludf.DUMMYFUNCTION("GOOGLETRANSLATE(A10614, ""en"", ""mt"")"),"X'inhi l-kwittanza medja tal-Moselle għar-Renu?")</f>
        <v>X'inhi l-kwittanza medja tal-Moselle għar-Renu?</v>
      </c>
    </row>
    <row r="10615" ht="15.75" customHeight="1">
      <c r="A10615" s="2" t="s">
        <v>10615</v>
      </c>
      <c r="B10615" s="2" t="str">
        <f>IFERROR(__xludf.DUMMYFUNCTION("GOOGLETRANSLATE(A10615, ""en"", ""mt"")"),"X'inhuma t-tliet tipi ewlenin ta 'blat?")</f>
        <v>X'inhuma t-tliet tipi ewlenin ta 'blat?</v>
      </c>
    </row>
    <row r="10616" ht="15.75" customHeight="1">
      <c r="A10616" s="2" t="s">
        <v>10616</v>
      </c>
      <c r="B10616" s="2" t="str">
        <f>IFERROR(__xludf.DUMMYFUNCTION("GOOGLETRANSLATE(A10616, ""en"", ""mt"")"),"Għalliem")</f>
        <v>Għalliem</v>
      </c>
    </row>
    <row r="10617" ht="15.75" customHeight="1">
      <c r="A10617" s="2" t="s">
        <v>10617</v>
      </c>
      <c r="B10617" s="2" t="str">
        <f>IFERROR(__xludf.DUMMYFUNCTION("GOOGLETRANSLATE(A10617, ""en"", ""mt"")"),"Liema baħar imdawwar mal-imperu ta 'Genghis Khan lejn il-Lvant meta miet?")</f>
        <v>Liema baħar imdawwar mal-imperu ta 'Genghis Khan lejn il-Lvant meta miet?</v>
      </c>
    </row>
    <row r="10618" ht="15.75" customHeight="1">
      <c r="A10618" s="2" t="s">
        <v>10618</v>
      </c>
      <c r="B10618" s="2" t="str">
        <f>IFERROR(__xludf.DUMMYFUNCTION("GOOGLETRANSLATE(A10618, ""en"", ""mt"")"),"Kemm ħallas Westinghouse biex liċenzja d-disinji ta 'Tesla?")</f>
        <v>Kemm ħallas Westinghouse biex liċenzja d-disinji ta 'Tesla?</v>
      </c>
    </row>
    <row r="10619" ht="15.75" customHeight="1">
      <c r="A10619" s="2" t="s">
        <v>10619</v>
      </c>
      <c r="B10619" s="2" t="str">
        <f>IFERROR(__xludf.DUMMYFUNCTION("GOOGLETRANSLATE(A10619, ""en"", ""mt"")"),"Elettorat ta 'Brandenburg u Elettorat tal-Palatinat")</f>
        <v>Elettorat ta 'Brandenburg u Elettorat tal-Palatinat</v>
      </c>
    </row>
    <row r="10620" ht="15.75" customHeight="1">
      <c r="A10620" s="2" t="s">
        <v>10620</v>
      </c>
      <c r="B10620" s="2" t="str">
        <f>IFERROR(__xludf.DUMMYFUNCTION("GOOGLETRANSLATE(A10620, ""en"", ""mt"")"),"Mina ta 'livell profond")</f>
        <v>Mina ta 'livell profond</v>
      </c>
    </row>
    <row r="10621" ht="15.75" customHeight="1">
      <c r="A10621" s="2" t="s">
        <v>10621</v>
      </c>
      <c r="B10621" s="2" t="str">
        <f>IFERROR(__xludf.DUMMYFUNCTION("GOOGLETRANSLATE(A10621, ""en"", ""mt"")"),"l-imġieba statistika")</f>
        <v>l-imġieba statistika</v>
      </c>
    </row>
    <row r="10622" ht="15.75" customHeight="1">
      <c r="A10622" s="2" t="s">
        <v>10622</v>
      </c>
      <c r="B10622" s="2" t="str">
        <f>IFERROR(__xludf.DUMMYFUNCTION("GOOGLETRANSLATE(A10622, ""en"", ""mt"")"),"Fejn Tesla bdiet taħdem fl-1884?")</f>
        <v>Fejn Tesla bdiet taħdem fl-1884?</v>
      </c>
    </row>
    <row r="10623" ht="15.75" customHeight="1">
      <c r="A10623" s="2" t="s">
        <v>10623</v>
      </c>
      <c r="B10623" s="2" t="str">
        <f>IFERROR(__xludf.DUMMYFUNCTION("GOOGLETRANSLATE(A10623, ""en"", ""mt"")"),"tilħaq postijiet mhux fuq in-netwerk privat")</f>
        <v>tilħaq postijiet mhux fuq in-netwerk privat</v>
      </c>
    </row>
    <row r="10624" ht="15.75" customHeight="1">
      <c r="A10624" s="2" t="s">
        <v>10624</v>
      </c>
      <c r="B10624" s="2" t="str">
        <f>IFERROR(__xludf.DUMMYFUNCTION("GOOGLETRANSLATE(A10624, ""en"", ""mt"")"),"B'mod ġenerali, liema daqs huma t-terremoti li jolqtu n-Nofsinhar ta 'California?")</f>
        <v>B'mod ġenerali, liema daqs huma t-terremoti li jolqtu n-Nofsinhar ta 'California?</v>
      </c>
    </row>
    <row r="10625" ht="15.75" customHeight="1">
      <c r="A10625" s="2" t="s">
        <v>10625</v>
      </c>
      <c r="B10625" s="2" t="str">
        <f>IFERROR(__xludf.DUMMYFUNCTION("GOOGLETRANSLATE(A10625, ""en"", ""mt"")"),"il-klorofilla fihom")</f>
        <v>il-klorofilla fihom</v>
      </c>
    </row>
    <row r="10626" ht="15.75" customHeight="1">
      <c r="A10626" s="2" t="s">
        <v>10626</v>
      </c>
      <c r="B10626" s="2" t="str">
        <f>IFERROR(__xludf.DUMMYFUNCTION("GOOGLETRANSLATE(A10626, ""en"", ""mt"")"),"Kif tirreplika d-D-Loop li tirreplika?")</f>
        <v>Kif tirreplika d-D-Loop li tirreplika?</v>
      </c>
    </row>
    <row r="10627" ht="15.75" customHeight="1">
      <c r="A10627" s="2" t="s">
        <v>10627</v>
      </c>
      <c r="B10627" s="2" t="str">
        <f>IFERROR(__xludf.DUMMYFUNCTION("GOOGLETRANSLATE(A10627, ""en"", ""mt"")"),"Dan il-kunċett jikkuntrasta u jikkontradixxi l-prinċipji stabbiliti minn hemm 'il quddiem ta' allokazzjoni ta 'frekwenza tan-netwerk")</f>
        <v>Dan il-kunċett jikkuntrasta u jikkontradixxi l-prinċipji stabbiliti minn hemm 'il quddiem ta' allokazzjoni ta 'frekwenza tan-netwerk</v>
      </c>
    </row>
    <row r="10628" ht="15.75" customHeight="1">
      <c r="A10628" s="2" t="s">
        <v>10628</v>
      </c>
      <c r="B10628" s="2" t="str">
        <f>IFERROR(__xludf.DUMMYFUNCTION("GOOGLETRANSLATE(A10628, ""en"", ""mt"")"),"Il-gvernatur ċentrifugali ġie adottat minn James Watt għall-użu fuq magna tal-fwar fl-1788 wara li s-sieħeb ta 'Watt Boulton ra wieħed fi Dqiq Mill Boulton &amp; Watt kienu qed jibnu. Il-gvernatur ma setax fil-fatt iżomm veloċità stabbilita, minħabba li jassu"&amp;"mi veloċità kostanti ġdida b'reazzjoni għal bidliet fit-tagħbija. Il-gvernatur kien kapaċi jimmaniġġa varjazzjonijiet iżgħar bħal dawk ikkawżati minn tagħbija tas-sħana li tvarja lill-bojler. Ukoll, kien hemm tendenza għall-oxxillazzjoni kull meta kien he"&amp;"mm bidla fil-veloċità. Bħala konsegwenza, magni mgħammra biss ma 'dan il-gvernatur ma kinux adattati għal operazzjonijiet li jeħtieġu veloċità kostanti, bħall-għażil tal-qoton. Il-gvernatur ġie mtejjeb maż-żmien u flimkien ma 'fwar varjabbli maqtugħ, kont"&amp;"roll tal-veloċità tajba b'reazzjoni għal bidliet fit-tagħbija kien jista' jintlaħaq qrib it-tmiem tas-seklu 19.")</f>
        <v>Il-gvernatur ċentrifugali ġie adottat minn James Watt għall-użu fuq magna tal-fwar fl-1788 wara li s-sieħeb ta 'Watt Boulton ra wieħed fi Dqiq Mill Boulton &amp; Watt kienu qed jibnu. Il-gvernatur ma setax fil-fatt iżomm veloċità stabbilita, minħabba li jassumi veloċità kostanti ġdida b'reazzjoni għal bidliet fit-tagħbija. Il-gvernatur kien kapaċi jimmaniġġa varjazzjonijiet iżgħar bħal dawk ikkawżati minn tagħbija tas-sħana li tvarja lill-bojler. Ukoll, kien hemm tendenza għall-oxxillazzjoni kull meta kien hemm bidla fil-veloċità. Bħala konsegwenza, magni mgħammra biss ma 'dan il-gvernatur ma kinux adattati għal operazzjonijiet li jeħtieġu veloċità kostanti, bħall-għażil tal-qoton. Il-gvernatur ġie mtejjeb maż-żmien u flimkien ma 'fwar varjabbli maqtugħ, kontroll tal-veloċità tajba b'reazzjoni għal bidliet fit-tagħbija kien jista' jintlaħaq qrib it-tmiem tas-seklu 19.</v>
      </c>
    </row>
    <row r="10629" ht="15.75" customHeight="1">
      <c r="A10629" s="2" t="s">
        <v>10629</v>
      </c>
      <c r="B10629" s="2" t="str">
        <f>IFERROR(__xludf.DUMMYFUNCTION("GOOGLETRANSLATE(A10629, ""en"", ""mt"")"),"Kull ħames snin")</f>
        <v>Kull ħames snin</v>
      </c>
    </row>
    <row r="10630" ht="15.75" customHeight="1">
      <c r="A10630" s="2" t="s">
        <v>10630</v>
      </c>
      <c r="B10630" s="2" t="str">
        <f>IFERROR(__xludf.DUMMYFUNCTION("GOOGLETRANSLATE(A10630, ""en"", ""mt"")"),"Prinċipju lokali-globali")</f>
        <v>Prinċipju lokali-globali</v>
      </c>
    </row>
    <row r="10631" ht="15.75" customHeight="1">
      <c r="A10631" s="2" t="s">
        <v>10631</v>
      </c>
      <c r="B10631" s="2" t="str">
        <f>IFERROR(__xludf.DUMMYFUNCTION("GOOGLETRANSLATE(A10631, ""en"", ""mt"")"),"Min ġie introdott mill-ġdid għall-50 anniversarju speċjali?")</f>
        <v>Min ġie introdott mill-ġdid għall-50 anniversarju speċjali?</v>
      </c>
    </row>
    <row r="10632" ht="15.75" customHeight="1">
      <c r="A10632" s="2" t="s">
        <v>10632</v>
      </c>
      <c r="B10632" s="2" t="str">
        <f>IFERROR(__xludf.DUMMYFUNCTION("GOOGLETRANSLATE(A10632, ""en"", ""mt"")"),"Il-Knisja Kattolika Rumana")</f>
        <v>Il-Knisja Kattolika Rumana</v>
      </c>
    </row>
    <row r="10633" ht="15.75" customHeight="1">
      <c r="A10633" s="2" t="s">
        <v>10633</v>
      </c>
      <c r="B10633" s="2" t="str">
        <f>IFERROR(__xludf.DUMMYFUNCTION("GOOGLETRANSLATE(A10633, ""en"", ""mt"")"),"Molekuli tal-klassi I MHC")</f>
        <v>Molekuli tal-klassi I MHC</v>
      </c>
    </row>
    <row r="10634" ht="15.75" customHeight="1">
      <c r="A10634" s="2" t="s">
        <v>10634</v>
      </c>
      <c r="B10634" s="2" t="str">
        <f>IFERROR(__xludf.DUMMYFUNCTION("GOOGLETRANSLATE(A10634, ""en"", ""mt"")"),"f'diversi postijiet madwar id-dinja.")</f>
        <v>f'diversi postijiet madwar id-dinja.</v>
      </c>
    </row>
    <row r="10635" ht="15.75" customHeight="1">
      <c r="A10635" s="2" t="s">
        <v>10635</v>
      </c>
      <c r="B10635" s="2" t="str">
        <f>IFERROR(__xludf.DUMMYFUNCTION("GOOGLETRANSLATE(A10635, ""en"", ""mt"")"),"X'inhu r-rwol ta 'Odinga fil-gvern?")</f>
        <v>X'inhu r-rwol ta 'Odinga fil-gvern?</v>
      </c>
    </row>
    <row r="10636" ht="15.75" customHeight="1">
      <c r="A10636" s="2" t="s">
        <v>10636</v>
      </c>
      <c r="B10636" s="2" t="str">
        <f>IFERROR(__xludf.DUMMYFUNCTION("GOOGLETRANSLATE(A10636, ""en"", ""mt"")"),"24 ta ’April 1954")</f>
        <v>24 ta ’April 1954</v>
      </c>
    </row>
    <row r="10637" ht="15.75" customHeight="1">
      <c r="A10637" s="2" t="s">
        <v>10637</v>
      </c>
      <c r="B10637" s="2" t="str">
        <f>IFERROR(__xludf.DUMMYFUNCTION("GOOGLETRANSLATE(A10637, ""en"", ""mt"")"),"Fejn ġie rilokat il-Parlament temporanjament f'Mejju tas-sena 2000?")</f>
        <v>Fejn ġie rilokat il-Parlament temporanjament f'Mejju tas-sena 2000?</v>
      </c>
    </row>
    <row r="10638" ht="15.75" customHeight="1">
      <c r="A10638" s="2" t="s">
        <v>10638</v>
      </c>
      <c r="B10638" s="2" t="str">
        <f>IFERROR(__xludf.DUMMYFUNCTION("GOOGLETRANSLATE(A10638, ""en"", ""mt"")"),"Għaliex Oxfam u Credit Suisse jemmnu li s-sejbiet tagħhom qed jiġu ddubitati?")</f>
        <v>Għaliex Oxfam u Credit Suisse jemmnu li s-sejbiet tagħhom qed jiġu ddubitati?</v>
      </c>
    </row>
    <row r="10639" ht="15.75" customHeight="1">
      <c r="A10639" s="2" t="s">
        <v>10639</v>
      </c>
      <c r="B10639" s="2" t="str">
        <f>IFERROR(__xludf.DUMMYFUNCTION("GOOGLETRANSLATE(A10639, ""en"", ""mt"")"),"Fl-Irlanda, l-iskejjel privati ​​(Irlandiżi: Scoil phríobháideach) mhumiex tas-soltu minħabba li ċertu numru ta ’salarji tal-għalliema jitħallsu mill-istat. Jekk l-iskola tixtieq timpjega għalliema żejda huma jitħallsu bi ħlasijiet tal-iskola, li għandhom"&amp;" tendenza li jkunu relattivament baxxi fl-Irlanda meta mqabbla mal-bqija tad-dinja. Madankollu, hemm element limitat ta 'valutazzjoni tal-istat ta' skejjel privati, minħabba r-rekwiżit li l-istat jiżgura li t-tfal jirċievu ċerta edukazzjoni minima; L-iske"&amp;"jjel privati ​​Irlandiżi għandhom xorta jaħdmu lejn iċ-ċertifikat tal-junior u ċ-ċertifikat tat-tluq, eż. Bosta skejjel privati ​​fl-Irlanda jirdoppjaw ukoll bħala skejjel tal-imbark. Il-ħlas medju huwa ta 'madwar € 5,000 kull sena għal ħafna skejjel, iżd"&amp;"a wħud minn dawn l-iskejjel jipprovdu wkoll imbark u t-tariffi jistgħu mbagħad jogħlew sa € 25,000 fis-sena. L-iskejjel li jħallsu t-tariffi huma ġeneralment immexxija minn ordni reliġjuża, i.e., is-Soċjetà ta ’Ġesù jew kongregazzjoni ta’ aħwa Kristjani, "&amp;"eċċ.")</f>
        <v>Fl-Irlanda, l-iskejjel privati ​​(Irlandiżi: Scoil phríobháideach) mhumiex tas-soltu minħabba li ċertu numru ta ’salarji tal-għalliema jitħallsu mill-istat. Jekk l-iskola tixtieq timpjega għalliema żejda huma jitħallsu bi ħlasijiet tal-iskola, li għandhom tendenza li jkunu relattivament baxxi fl-Irlanda meta mqabbla mal-bqija tad-dinja. Madankollu, hemm element limitat ta 'valutazzjoni tal-istat ta' skejjel privati, minħabba r-rekwiżit li l-istat jiżgura li t-tfal jirċievu ċerta edukazzjoni minima; L-iskejjel privati ​​Irlandiżi għandhom xorta jaħdmu lejn iċ-ċertifikat tal-junior u ċ-ċertifikat tat-tluq, eż. Bosta skejjel privati ​​fl-Irlanda jirdoppjaw ukoll bħala skejjel tal-imbark. Il-ħlas medju huwa ta 'madwar € 5,000 kull sena għal ħafna skejjel, iżda wħud minn dawn l-iskejjel jipprovdu wkoll imbark u t-tariffi jistgħu mbagħad jogħlew sa € 25,000 fis-sena. L-iskejjel li jħallsu t-tariffi huma ġeneralment immexxija minn ordni reliġjuża, i.e., is-Soċjetà ta ’Ġesù jew kongregazzjoni ta’ aħwa Kristjani, eċċ.</v>
      </c>
    </row>
    <row r="10640" ht="15.75" customHeight="1">
      <c r="A10640" s="2" t="s">
        <v>10640</v>
      </c>
      <c r="B10640" s="2" t="str">
        <f>IFERROR(__xludf.DUMMYFUNCTION("GOOGLETRANSLATE(A10640, ""en"", ""mt"")"),"Għalliem irid ikun membru f'qagħda tajba ma 'liema entità f'ħafna sitwazzjonijiet?")</f>
        <v>Għalliem irid ikun membru f'qagħda tajba ma 'liema entità f'ħafna sitwazzjonijiet?</v>
      </c>
    </row>
    <row r="10641" ht="15.75" customHeight="1">
      <c r="A10641" s="2" t="s">
        <v>10641</v>
      </c>
      <c r="B10641" s="2" t="str">
        <f>IFERROR(__xludf.DUMMYFUNCTION("GOOGLETRANSLATE(A10641, ""en"", ""mt"")"),"Tesla x’sejjaħ l-effetti elettriċi tiegħu fl-1893?")</f>
        <v>Tesla x’sejjaħ l-effetti elettriċi tiegħu fl-1893?</v>
      </c>
    </row>
    <row r="10642" ht="15.75" customHeight="1">
      <c r="A10642" s="2" t="s">
        <v>10642</v>
      </c>
      <c r="B10642" s="2" t="str">
        <f>IFERROR(__xludf.DUMMYFUNCTION("GOOGLETRANSLATE(A10642, ""en"", ""mt"")"),"Manifatturi u negozjanti Ċiniżi tan-Nofsinhar")</f>
        <v>Manifatturi u negozjanti Ċiniżi tan-Nofsinhar</v>
      </c>
    </row>
    <row r="10643" ht="15.75" customHeight="1">
      <c r="A10643" s="2" t="s">
        <v>10643</v>
      </c>
      <c r="B10643" s="2" t="str">
        <f>IFERROR(__xludf.DUMMYFUNCTION("GOOGLETRANSLATE(A10643, ""en"", ""mt"")"),"promoss")</f>
        <v>promoss</v>
      </c>
    </row>
    <row r="10644" ht="15.75" customHeight="1">
      <c r="A10644" s="2" t="s">
        <v>10644</v>
      </c>
      <c r="B10644" s="2" t="str">
        <f>IFERROR(__xludf.DUMMYFUNCTION("GOOGLETRANSLATE(A10644, ""en"", ""mt"")"),"Ċittadin jista 'jistrieħ fuq id-direttiva f'tali azzjoni")</f>
        <v>Ċittadin jista 'jistrieħ fuq id-direttiva f'tali azzjoni</v>
      </c>
    </row>
    <row r="10645" ht="15.75" customHeight="1">
      <c r="A10645" s="2" t="s">
        <v>10645</v>
      </c>
      <c r="B10645" s="2" t="str">
        <f>IFERROR(__xludf.DUMMYFUNCTION("GOOGLETRANSLATE(A10645, ""en"", ""mt"")"),"F’liema reliġjon ġie mgħammed Martin Luther?")</f>
        <v>F’liema reliġjon ġie mgħammed Martin Luther?</v>
      </c>
    </row>
    <row r="10646" ht="15.75" customHeight="1">
      <c r="A10646" s="2" t="s">
        <v>10646</v>
      </c>
      <c r="B10646" s="2" t="str">
        <f>IFERROR(__xludf.DUMMYFUNCTION("GOOGLETRANSLATE(A10646, ""en"", ""mt"")"),"tfal")</f>
        <v>tfal</v>
      </c>
    </row>
    <row r="10647" ht="15.75" customHeight="1">
      <c r="A10647" s="2" t="s">
        <v>10647</v>
      </c>
      <c r="B10647" s="2" t="str">
        <f>IFERROR(__xludf.DUMMYFUNCTION("GOOGLETRANSLATE(A10647, ""en"", ""mt"")"),"Librerija tal-Art")</f>
        <v>Librerija tal-Art</v>
      </c>
    </row>
    <row r="10648" ht="15.75" customHeight="1">
      <c r="A10648" s="2" t="s">
        <v>10648</v>
      </c>
      <c r="B10648" s="2" t="str">
        <f>IFERROR(__xludf.DUMMYFUNCTION("GOOGLETRANSLATE(A10648, ""en"", ""mt"")"),"X'kien ippubblikat fi Frar tal-2007?")</f>
        <v>X'kien ippubblikat fi Frar tal-2007?</v>
      </c>
    </row>
    <row r="10649" ht="15.75" customHeight="1">
      <c r="A10649" s="2" t="s">
        <v>10649</v>
      </c>
      <c r="B10649" s="2" t="str">
        <f>IFERROR(__xludf.DUMMYFUNCTION("GOOGLETRANSLATE(A10649, ""en"", ""mt"")"),"Biex tevita interferenza ma 'stazzjonijiet tat-televiżjoni VHF eżistenti fiż-Żona tal-Bajja ta' San Francisco u dawk ippjanati għal Chico, Sacramento, Salinas, u Stockton, il-Kummissjoni Federali tal-Komunikazzjonijiet iddeċidiet li Fresno kien ikollu bis"&amp;"s stazzjonijiet tat-televiżjoni UHF. L-ewwel stazzjon tat-televiżjoni Fresno li beda jxandar kien KMJ-TV, li ddebutta fl-1 ta 'Ġunju, 1953. KMJ issa huwa magħruf bħala l-affiljat tal-NBC KSEE. Stazzjonijiet oħra ta 'Fresno jinkludu ABC O&amp;O KFSN, CBS affil"&amp;"jat KGPE, Affiljat CW KFRE, Fox affiljat KMPH, Affiljat MNTV KAIL, PBS affiljat KVPT, Telemundo O&amp;O KNSO, Univision O&amp;O KFTV, u Mundofox u Azteca affiljat KGMC-DT.")</f>
        <v>Biex tevita interferenza ma 'stazzjonijiet tat-televiżjoni VHF eżistenti fiż-Żona tal-Bajja ta' San Francisco u dawk ippjanati għal Chico, Sacramento, Salinas, u Stockton, il-Kummissjoni Federali tal-Komunikazzjonijiet iddeċidiet li Fresno kien ikollu biss stazzjonijiet tat-televiżjoni UHF. L-ewwel stazzjon tat-televiżjoni Fresno li beda jxandar kien KMJ-TV, li ddebutta fl-1 ta 'Ġunju, 1953. KMJ issa huwa magħruf bħala l-affiljat tal-NBC KSEE. Stazzjonijiet oħra ta 'Fresno jinkludu ABC O&amp;O KFSN, CBS affiljat KGPE, Affiljat CW KFRE, Fox affiljat KMPH, Affiljat MNTV KAIL, PBS affiljat KVPT, Telemundo O&amp;O KNSO, Univision O&amp;O KFTV, u Mundofox u Azteca affiljat KGMC-DT.</v>
      </c>
    </row>
    <row r="10650" ht="15.75" customHeight="1">
      <c r="A10650" s="2" t="s">
        <v>10650</v>
      </c>
      <c r="B10650" s="2" t="str">
        <f>IFERROR(__xludf.DUMMYFUNCTION("GOOGLETRANSLATE(A10650, ""en"", ""mt"")"),"bidu ta 'traduzzjoni")</f>
        <v>bidu ta 'traduzzjoni</v>
      </c>
    </row>
    <row r="10651" ht="15.75" customHeight="1">
      <c r="A10651" s="2" t="s">
        <v>10651</v>
      </c>
      <c r="B10651" s="2" t="str">
        <f>IFERROR(__xludf.DUMMYFUNCTION("GOOGLETRANSLATE(A10651, ""en"", ""mt"")"),"bliet ewlenin")</f>
        <v>bliet ewlenin</v>
      </c>
    </row>
    <row r="10652" ht="15.75" customHeight="1">
      <c r="A10652" s="2" t="s">
        <v>10652</v>
      </c>
      <c r="B10652" s="2" t="str">
        <f>IFERROR(__xludf.DUMMYFUNCTION("GOOGLETRANSLATE(A10652, ""en"", ""mt"")"),"L-għada tax-xandira oriġinali tagħhom")</f>
        <v>L-għada tax-xandira oriġinali tagħhom</v>
      </c>
    </row>
    <row r="10653" ht="15.75" customHeight="1">
      <c r="A10653" s="2" t="s">
        <v>10653</v>
      </c>
      <c r="B10653" s="2" t="str">
        <f>IFERROR(__xludf.DUMMYFUNCTION("GOOGLETRANSLATE(A10653, ""en"", ""mt"")"),"Istitut tal-Inġiniera tar-Radju")</f>
        <v>Istitut tal-Inġiniera tar-Radju</v>
      </c>
    </row>
    <row r="10654" ht="15.75" customHeight="1">
      <c r="A10654" s="2" t="s">
        <v>10654</v>
      </c>
      <c r="B10654" s="2" t="str">
        <f>IFERROR(__xludf.DUMMYFUNCTION("GOOGLETRANSLATE(A10654, ""en"", ""mt"")"),"B'mod ġenerali, x'kienu mħallsa l-għalliema fil-passat?")</f>
        <v>B'mod ġenerali, x'kienu mħallsa l-għalliema fil-passat?</v>
      </c>
    </row>
    <row r="10655" ht="15.75" customHeight="1">
      <c r="A10655" s="2" t="s">
        <v>10655</v>
      </c>
      <c r="B10655" s="2" t="str">
        <f>IFERROR(__xludf.DUMMYFUNCTION("GOOGLETRANSLATE(A10655, ""en"", ""mt"")"),"Minbarra li joħolqu drittijiet għal ""ħaddiema"" li ġeneralment m'għandhomx poter ta 'negozjar fis-suq, it-trattat dwar il-funzjonament tal-Unjoni Ewropea jipproteġi wkoll il- ""libertà tal-istabbiliment"" fl-Artikolu 49, u ""libertà li tipprovdi servizzi"&amp;""" fl-Artikolu 56. Fil-Gebhard vs Consiglio dell'ordine degli avvocati e procuratori di milano, il-qorti tal-ġustizzja ddeċidiet li tkun ""stabbilita"" tfisser li tipparteċipa fil-ħajja ekonomika ""fuq bażi stabbli u kontinwa"", filwaqt li tipprovdi ""ser"&amp;"vizzi"" tfisser li ssegwi attività aktar ""fuq bażi temporanja "". Dan kien ifisser li avukat minn Stuttgart, li kien waqqaf kmamar f'Milan u ġie ċċensurat mill-Kunsill tal-Avukati ta 'Milan talli ma rreġistrax, kien intitolat li jġib talba għal-libertà t"&amp;"a' stabbiliment, aktar milli l-libertà tas-servizz. Madankollu, ir-rekwiżiti li għandhom jiġu rreġistrati f'Milan qabel ma jkunu jistgħu jipprattikaw ikunu permessi kieku ma kinux diskriminatorji, ""ġustifikati minn rekwiżiti imperattivi fl-interess ġener"&amp;"ali"" u applikati b'mod proporzjonat. In-nies jew l-entitajiet kollha li jinvolvu ruħhom f'attività ekonomika, partikolarment dawk li jaħdmu għal rashom, jew ""impriżi"" bħal kumpaniji jew ditti, għandhom id-dritt li jwaqqfu intrapriża mingħajr restrizzjo"&amp;"nijiet mhux ġustifikati. Il-Qorti tal-Ġustizzja ddeċidiet li kemm gvern tal-istat membru kif ukoll parti privata jistgħu jfixklu l-libertà tal-istabbiliment, u għalhekk l-Artikolu 49 għandu effett dirett kemm ""vertikali"" kif ukoll ""orizzontali"". Fil-B"&amp;"elġju fil-Belġju, il-Qorti tal-Ġustizzja ddeċidiet li rifjut li jammetti avukat fil-bar Belġjan għax kien nieqes miċ-ċittadinanza Belġjana ma kienx iġġustifikat. L-Artikolu 49 tat-TFEU jgħid li l-istati huma eżentati milli jiksru l-libertà ta 'stabbilimen"&amp;"t ta' ħaddieħor meta jeżerċitaw ""awtorità uffiċjali"", iżda dan għamel ix-xogħol ta 'avukat (għall-kuntrarju ta' qorti) ma kienx uffiċjali. B'kuntrast fil-Kummissjoni v l-Italja l-Qorti tal-Ġustizzja ddeċidiet li rekwiżit għall-avukati fl-Italja biex jik"&amp;"konformaw mat-tariffi massimi sakemm ma kienx hemm ftehim ma 'klijent ma kienx restrizzjoni. Il-kamra kbira tal-Qorti tal-Ġustizzja ddeċidiet li l-kummissjoni ma wrietx li dan kellu xi oġġett jew effett li jillimitaw prattikanti milli jidħlu fis-suq. Għal"&amp;"hekk, ma kien hemm l-ebda libertà ta 'stabbiliment ta' ksur ta 'prima facie li kellha tkun iġġustifikata.")</f>
        <v>Minbarra li joħolqu drittijiet għal "ħaddiema" li ġeneralment m'għandhomx poter ta 'negozjar fis-suq, it-trattat dwar il-funzjonament tal-Unjoni Ewropea jipproteġi wkoll il- "libertà tal-istabbiliment" fl-Artikolu 49, u "libertà li tipprovdi servizzi" fl-Artikolu 56. Fil-Gebhard vs Consiglio dell'ordine degli avvocati e procuratori di milano, il-qorti tal-ġustizzja ddeċidiet li tkun "stabbilita" tfisser li tipparteċipa fil-ħajja ekonomika "fuq bażi stabbli u kontinwa", filwaqt li tipprovdi "servizzi" tfisser li ssegwi attività aktar "fuq bażi temporanja ". Dan kien ifisser li avukat minn Stuttgart, li kien waqqaf kmamar f'Milan u ġie ċċensurat mill-Kunsill tal-Avukati ta 'Milan talli ma rreġistrax, kien intitolat li jġib talba għal-libertà ta' stabbiliment, aktar milli l-libertà tas-servizz. Madankollu, ir-rekwiżiti li għandhom jiġu rreġistrati f'Milan qabel ma jkunu jistgħu jipprattikaw ikunu permessi kieku ma kinux diskriminatorji, "ġustifikati minn rekwiżiti imperattivi fl-interess ġenerali" u applikati b'mod proporzjonat. In-nies jew l-entitajiet kollha li jinvolvu ruħhom f'attività ekonomika, partikolarment dawk li jaħdmu għal rashom, jew "impriżi" bħal kumpaniji jew ditti, għandhom id-dritt li jwaqqfu intrapriża mingħajr restrizzjonijiet mhux ġustifikati. Il-Qorti tal-Ġustizzja ddeċidiet li kemm gvern tal-istat membru kif ukoll parti privata jistgħu jfixklu l-libertà tal-istabbiliment, u għalhekk l-Artikolu 49 għandu effett dirett kemm "vertikali" kif ukoll "orizzontali". Fil-Belġju fil-Belġju, il-Qorti tal-Ġustizzja ddeċidiet li rifjut li jammetti avukat fil-bar Belġjan għax kien nieqes miċ-ċittadinanza Belġjana ma kienx iġġustifikat. L-Artikolu 49 tat-TFEU jgħid li l-istati huma eżentati milli jiksru l-libertà ta 'stabbiliment ta' ħaddieħor meta jeżerċitaw "awtorità uffiċjali", iżda dan għamel ix-xogħol ta 'avukat (għall-kuntrarju ta' qorti) ma kienx uffiċjali. B'kuntrast fil-Kummissjoni v l-Italja l-Qorti tal-Ġustizzja ddeċidiet li rekwiżit għall-avukati fl-Italja biex jikkonformaw mat-tariffi massimi sakemm ma kienx hemm ftehim ma 'klijent ma kienx restrizzjoni. Il-kamra kbira tal-Qorti tal-Ġustizzja ddeċidiet li l-kummissjoni ma wrietx li dan kellu xi oġġett jew effett li jillimitaw prattikanti milli jidħlu fis-suq. Għalhekk, ma kien hemm l-ebda libertà ta 'stabbiliment ta' ksur ta 'prima facie li kellha tkun iġġustifikata.</v>
      </c>
    </row>
    <row r="10656" ht="15.75" customHeight="1">
      <c r="A10656" s="2" t="s">
        <v>10656</v>
      </c>
      <c r="B10656" s="2" t="str">
        <f>IFERROR(__xludf.DUMMYFUNCTION("GOOGLETRANSLATE(A10656, ""en"", ""mt"")"),"380 sena")</f>
        <v>380 sena</v>
      </c>
    </row>
    <row r="10657" ht="15.75" customHeight="1">
      <c r="A10657" s="2" t="s">
        <v>10657</v>
      </c>
      <c r="B10657" s="2" t="str">
        <f>IFERROR(__xludf.DUMMYFUNCTION("GOOGLETRANSLATE(A10657, ""en"", ""mt"")"),"sistema b'żewġ fażijiet")</f>
        <v>sistema b'żewġ fażijiet</v>
      </c>
    </row>
    <row r="10658" ht="15.75" customHeight="1">
      <c r="A10658" s="2" t="s">
        <v>10658</v>
      </c>
      <c r="B10658" s="2" t="str">
        <f>IFERROR(__xludf.DUMMYFUNCTION("GOOGLETRANSLATE(A10658, ""en"", ""mt"")"),"Manning temm il-logħba 13 minn 23 għal 141 tarzni b'interċettazzjoni waħda u żero touchdowns. Sanders kien l-aqwa riċevitur tiegħu b’sitt riċevimenti għal 83 tarzni. Anderson kien ir-rusher ewlieni tal-logħba b'90 jarda u touchdown, flimkien ma 'erba' riċ"&amp;"evimenti għal 10 tarzni. Miller kellu sitt indirizzi totali (ħames solo), 2½ xkejjer, u żewġ fumbles sfurzati. Ware kellu ħames indirizzi totali u żewġ xkejjer. Ward kellu seba 'indirizzi totali, irkupru ta' fumble, u interċettazzjoni. McManus għamel l-er"&amp;"ba 'gowls kollha tiegħu, u għamilha perfetta fuq il-11-il tentattiv kollu matul il-post-staġun. Newton temm 18 minn 41 pass għal 265 tarzni, b'interċettazzjoni waħda. Huwa kien ukoll ir-rusher ewlieni tat-tim b'45 tarzni fuq sitt ġarr. Brown qabad erba 'p"&amp;"asses għal 80 jarda, filwaqt li Ginn kellu erba' riċevimenti għal 74. Ealy kien l-aqwa artist difensiv għal Carolina b'erba 'indirizzi totali, tliet xkejjer, fumble sfurzat, irkupru fumble, u interċettazzjoni. It-tmiem difensiv ta ’Charles Johnson kellu e"&amp;"rba’ indirizzi totali, xkora, u fumble sfurzat. Il-linebacker Luke Kuechly kellu 11-il indirizz totali, filwaqt li Thomas Davis kellu sebgħa, minkejja li lagħab ġimgħatejn biss wara li kiser id-driegħ tal-lemin tiegħu fil-logħba tat-titlu NFC.")</f>
        <v>Manning temm il-logħba 13 minn 23 għal 141 tarzni b'interċettazzjoni waħda u żero touchdowns. Sanders kien l-aqwa riċevitur tiegħu b’sitt riċevimenti għal 83 tarzni. Anderson kien ir-rusher ewlieni tal-logħba b'90 jarda u touchdown, flimkien ma 'erba' riċevimenti għal 10 tarzni. Miller kellu sitt indirizzi totali (ħames solo), 2½ xkejjer, u żewġ fumbles sfurzati. Ware kellu ħames indirizzi totali u żewġ xkejjer. Ward kellu seba 'indirizzi totali, irkupru ta' fumble, u interċettazzjoni. McManus għamel l-erba 'gowls kollha tiegħu, u għamilha perfetta fuq il-11-il tentattiv kollu matul il-post-staġun. Newton temm 18 minn 41 pass għal 265 tarzni, b'interċettazzjoni waħda. Huwa kien ukoll ir-rusher ewlieni tat-tim b'45 tarzni fuq sitt ġarr. Brown qabad erba 'passes għal 80 jarda, filwaqt li Ginn kellu erba' riċevimenti għal 74. Ealy kien l-aqwa artist difensiv għal Carolina b'erba 'indirizzi totali, tliet xkejjer, fumble sfurzat, irkupru fumble, u interċettazzjoni. It-tmiem difensiv ta ’Charles Johnson kellu erba’ indirizzi totali, xkora, u fumble sfurzat. Il-linebacker Luke Kuechly kellu 11-il indirizz totali, filwaqt li Thomas Davis kellu sebgħa, minkejja li lagħab ġimgħatejn biss wara li kiser id-driegħ tal-lemin tiegħu fil-logħba tat-titlu NFC.</v>
      </c>
    </row>
    <row r="10659" ht="15.75" customHeight="1">
      <c r="A10659" s="2" t="s">
        <v>10659</v>
      </c>
      <c r="B10659" s="2" t="str">
        <f>IFERROR(__xludf.DUMMYFUNCTION("GOOGLETRANSLATE(A10659, ""en"", ""mt"")"),"X'qis il-Mongoli?")</f>
        <v>X'qis il-Mongoli?</v>
      </c>
    </row>
    <row r="10660" ht="15.75" customHeight="1">
      <c r="A10660" s="2" t="s">
        <v>10660</v>
      </c>
      <c r="B10660" s="2" t="str">
        <f>IFERROR(__xludf.DUMMYFUNCTION("GOOGLETRANSLATE(A10660, ""en"", ""mt"")"),"Appell għal difetti kostituzzjonali")</f>
        <v>Appell għal difetti kostituzzjonali</v>
      </c>
    </row>
    <row r="10661" ht="15.75" customHeight="1">
      <c r="A10661" s="2" t="s">
        <v>10661</v>
      </c>
      <c r="B10661" s="2" t="str">
        <f>IFERROR(__xludf.DUMMYFUNCTION("GOOGLETRANSLATE(A10661, ""en"", ""mt"")"),"X'jiera Robert Koch li kienet il-kawża ta 'mard infettiv?")</f>
        <v>X'jiera Robert Koch li kienet il-kawża ta 'mard infettiv?</v>
      </c>
    </row>
    <row r="10662" ht="15.75" customHeight="1">
      <c r="A10662" s="2" t="s">
        <v>10662</v>
      </c>
      <c r="B10662" s="2" t="str">
        <f>IFERROR(__xludf.DUMMYFUNCTION("GOOGLETRANSLATE(A10662, ""en"", ""mt"")"),"Wara liema avveniment l-Ispanjol ikkonċedi lil Florida lill-Gran Brittanja?")</f>
        <v>Wara liema avveniment l-Ispanjol ikkonċedi lil Florida lill-Gran Brittanja?</v>
      </c>
    </row>
    <row r="10663" ht="15.75" customHeight="1">
      <c r="A10663" s="2" t="s">
        <v>10663</v>
      </c>
      <c r="B10663" s="2" t="str">
        <f>IFERROR(__xludf.DUMMYFUNCTION("GOOGLETRANSLATE(A10663, ""en"", ""mt"")"),"Il-Mongoli attakkaw Samarkand billi jużaw għedewwa maqbudin bħala tarki tal-ġisem. Wara diversi jiem biss ftit suldati li fadal, partitarji leali tax-Shah, miżmuma fiċ-Ċittadella. Wara li l-fortizza waqgħet, Genghis allegatament reġa 'rrinunzja fuq it-ter"&amp;"mini ta' ċediment tiegħu u eżegwixxa lil kull suldat li kien ħa l-armi kontrih f'Samarkand. In-nies ta 'Samarkand ġew ordnati jevakwaw u jinġabru fi pjanura barra l-belt, fejn inqatlu u piramidi ta' kapijiet maqtugħin imqajma bħala simbolu tar-rebħa. Ata-"&amp;"Malik Juvayni, uffiċjal għoli fis-servizz tal-imperu Mongoljan, kiteb li f'Termez, fuq l-Oxus, ""in-nies kollha, kemm irġiel kif ukoll nisa, kienu mkeċċija fuq il-pjanura, u maqsuma skond id-drawwa tas-soltu tagħhom , allura dawn kienu kollha maqtula "".")</f>
        <v>Il-Mongoli attakkaw Samarkand billi jużaw għedewwa maqbudin bħala tarki tal-ġisem. Wara diversi jiem biss ftit suldati li fadal, partitarji leali tax-Shah, miżmuma fiċ-Ċittadella. Wara li l-fortizza waqgħet, Genghis allegatament reġa 'rrinunzja fuq it-termini ta' ċediment tiegħu u eżegwixxa lil kull suldat li kien ħa l-armi kontrih f'Samarkand. In-nies ta 'Samarkand ġew ordnati jevakwaw u jinġabru fi pjanura barra l-belt, fejn inqatlu u piramidi ta' kapijiet maqtugħin imqajma bħala simbolu tar-rebħa. Ata-Malik Juvayni, uffiċjal għoli fis-servizz tal-imperu Mongoljan, kiteb li f'Termez, fuq l-Oxus, "in-nies kollha, kemm irġiel kif ukoll nisa, kienu mkeċċija fuq il-pjanura, u maqsuma skond id-drawwa tas-soltu tagħhom , allura dawn kienu kollha maqtula ".</v>
      </c>
    </row>
    <row r="10664" ht="15.75" customHeight="1">
      <c r="A10664" s="2" t="s">
        <v>10664</v>
      </c>
      <c r="B10664" s="2" t="str">
        <f>IFERROR(__xludf.DUMMYFUNCTION("GOOGLETRANSLATE(A10664, ""en"", ""mt"")"),"billi tirbaħ l-artijiet tal-istat l-ieħor")</f>
        <v>billi tirbaħ l-artijiet tal-istat l-ieħor</v>
      </c>
    </row>
    <row r="10665" ht="15.75" customHeight="1">
      <c r="A10665" s="2" t="s">
        <v>10665</v>
      </c>
      <c r="B10665" s="2" t="str">
        <f>IFERROR(__xludf.DUMMYFUNCTION("GOOGLETRANSLATE(A10665, ""en"", ""mt"")"),"antitetiku")</f>
        <v>antitetiku</v>
      </c>
    </row>
    <row r="10666" ht="15.75" customHeight="1">
      <c r="A10666" s="2" t="s">
        <v>10666</v>
      </c>
      <c r="B10666" s="2" t="str">
        <f>IFERROR(__xludf.DUMMYFUNCTION("GOOGLETRANSLATE(A10666, ""en"", ""mt"")"),"L-Iżvezja")</f>
        <v>L-Iżvezja</v>
      </c>
    </row>
    <row r="10667" ht="15.75" customHeight="1">
      <c r="A10667" s="2" t="s">
        <v>10667</v>
      </c>
      <c r="B10667" s="2" t="str">
        <f>IFERROR(__xludf.DUMMYFUNCTION("GOOGLETRANSLATE(A10667, ""en"", ""mt"")"),"Liema talk show segwa immedjatament wara Super Bowl 50 fuq CBS?")</f>
        <v>Liema talk show segwa immedjatament wara Super Bowl 50 fuq CBS?</v>
      </c>
    </row>
    <row r="10668" ht="15.75" customHeight="1">
      <c r="A10668" s="2" t="s">
        <v>10668</v>
      </c>
      <c r="B10668" s="2" t="str">
        <f>IFERROR(__xludf.DUMMYFUNCTION("GOOGLETRANSLATE(A10668, ""en"", ""mt"")"),"_____ jgħin lill-Biospher mill-UV.")</f>
        <v>_____ jgħin lill-Biospher mill-UV.</v>
      </c>
    </row>
    <row r="10669" ht="15.75" customHeight="1">
      <c r="A10669" s="2" t="s">
        <v>10669</v>
      </c>
      <c r="B10669" s="2" t="str">
        <f>IFERROR(__xludf.DUMMYFUNCTION("GOOGLETRANSLATE(A10669, ""en"", ""mt"")"),"Filwaqt li l-Kummissjoni għandha monopolju fuq il-bidu tal-leġislazzjoni, il-Parlament Ewropew u l-Kunsill tal-Unjoni Ewropea għandhom setgħat ta 'emenda u veto matul il-proċess leġiżlattiv. Skond it-Trattat dwar l-Artikoli tal-Unjoni Ewropea 9 u 10, l-UE"&amp;" tosserva ""l-prinċipju ta 'l-ugwaljanza taċ-ċittadini tagħha"" u hija maħsuba biex tkun ibbażata fuq ""demokrazija rappreżentattiva"". Fil-prattika, l-ugwaljanza u d-demokrazija huma defiċjenti minħabba li r-rappreżentanti eletti fil-Parlament ma jistgħu"&amp;"x jibdew leġislazzjoni kontra x-xewqat tal-kummissjoni, iċ-ċittadini tal-iżgħar pajjiżi għandhom għaxar darbiet il-piż tal-vot fil-parlament bħala ċittadini tal-akbar pajjiżi, u ""maġġoranza kwalifikata"" jew kunsens ta ' Il-kunsill huwa mitlub jilleġiżla"&amp;". Il-ġustifikazzjoni għal dan id- ""defiċit demokratiku"" taħt it-trattati ġeneralment huwa maħsub li l-integrazzjoni tat-tlestija tal-ekonomija u l-istituzzjonijiet politiċi Ewropej kienet teħtieġ il-koordinazzjoni teknika tal-esperti, filwaqt li l-għarf"&amp;"ien popolari tal-UE żviluppa u s-sentimenti nazzjonalisti naqas wara l-gwerra. Maż-żmien, dan kien ifisser li l-Parlament gradwalment assuma aktar vuċi: milli jkun assemblea mhux eletta, għall-ewwel elezzjonijiet diretti tiegħu fl-1979, għal dejjem aktar "&amp;"aktar drittijiet fil-proċess leġiżlattiv. Id-drittijiet taċ-ċittadini huma għalhekk limitati meta mqabbla mal-politiki demokratiċi fl-Istati Membri Ewropej kollha: Taħt l-Artikolu 11 tat-TEU, iċ-ċittadini u l-assoċjazzjonijiet għandhom id-drittijiet bħall"&amp;"-pubbliċità tal-fehmiet tagħhom u jissottomettu inizjattiva li għandha tiġi kkunsidrata mill-Kummissjoni b'miljun firma. L-Artikolu 227 tat-TFEU fih dritt ieħor għaċ-ċittadini biex jitolbu lill-Parlament dwar kwistjonijiet li jaffettwawhom. L-elezzjonijie"&amp;"t tal-Parlament, iseħħu kull ħames snin, u l-voti għall-membri tal-Parlament Ewropew fl-Istati Membri għandhom jiġu organizzati permezz ta 'rappreżentanza proporzjonali jew vot trasferibbli wieħed. Hemm 750 mep u n-numri tagħhom huma ""proporzjonalment de"&amp;"gressivament"" skond id-daqs tal-istat membru. Dan ifisser - għalkemm il-kunsill huwa maħsub biex ikun il-korp li jirrappreżenta l-istati membri - fiċ-ċittadini tal-Parlament ta 'stati membri iżgħar għandhom aktar vuċi minn ċittadini fi stati membri akbar"&amp;". Il-MEPS jaqsmu, bħalma jagħmlu fil-parlamenti nazzjonali, fuq linji tal-partit politiku: il-Partit Konservattiv tal-Poplu Ewropew bħalissa huwa l-akbar, u l-Partit tas-Soċjalisti Ewropej imexxi l-oppożizzjoni. Il-Partijiet ma jirċevux fondi pubbliċi mil"&amp;"l-UE, peress li l-Qorti tal-Ġustizzja li saret fil-Parlament tal-Parti ""Les Verts"" v li din kienet kwistjoni kompletament biex tkun regolata mill-Istati Membri. Il-poteri tal-Parlament jinkludu li jsejħu inkjesti dwar amministrazzjoni ħażina jew jaħtru "&amp;"ombudsman sakemm issir xi proċeduri tal-qorti. Jista 'jirrikjedi li l-kummissjoni tirrispondi għall-mistoqsijiet u b'maġġoranza ta' żewġ terzi tista 'tiċċensura l-kummissjoni kollha (kif ġara lill-Kummissjoni Santer fl-1999). F’xi każijiet, il-Parlament g"&amp;"ħandu drittijiet ta ’konsultazzjoni espliċiti, li l-Kummissjoni għandha ssegwi ġenwinament. Madankollu l-parteċipazzjoni tar-rwol tagħha fil-proċess leġiżlattiv għadha limitata għax l-ebda membru ma jista 'effettivament jew jgħaddi leġislazzjoni mingħajr "&amp;"il-kummissjoni u l-kunsill, li jfisser li l-poter (""kratia"") mhuwiex f'idejn ir-rappreżentanti eletti direttament tan-nies (""demos""): Fl-UE għadu mhux veru li ""l-amministrazzjoni tinsab f'idejn il-ħafna u mhux tal-ftit.""")</f>
        <v>Filwaqt li l-Kummissjoni għandha monopolju fuq il-bidu tal-leġislazzjoni, il-Parlament Ewropew u l-Kunsill tal-Unjoni Ewropea għandhom setgħat ta 'emenda u veto matul il-proċess leġiżlattiv. Skond it-Trattat dwar l-Artikoli tal-Unjoni Ewropea 9 u 10, l-UE tosserva "l-prinċipju ta 'l-ugwaljanza taċ-ċittadini tagħha" u hija maħsuba biex tkun ibbażata fuq "demokrazija rappreżentattiva". Fil-prattika, l-ugwaljanza u d-demokrazija huma defiċjenti minħabba li r-rappreżentanti eletti fil-Parlament ma jistgħux jibdew leġislazzjoni kontra x-xewqat tal-kummissjoni, iċ-ċittadini tal-iżgħar pajjiżi għandhom għaxar darbiet il-piż tal-vot fil-parlament bħala ċittadini tal-akbar pajjiżi, u "maġġoranza kwalifikata" jew kunsens ta ' Il-kunsill huwa mitlub jilleġiżla. Il-ġustifikazzjoni għal dan id- "defiċit demokratiku" taħt it-trattati ġeneralment huwa maħsub li l-integrazzjoni tat-tlestija tal-ekonomija u l-istituzzjonijiet politiċi Ewropej kienet teħtieġ il-koordinazzjoni teknika tal-esperti, filwaqt li l-għarfien popolari tal-UE żviluppa u s-sentimenti nazzjonalisti naqas wara l-gwerra. Maż-żmien, dan kien ifisser li l-Parlament gradwalment assuma aktar vuċi: milli jkun assemblea mhux eletta, għall-ewwel elezzjonijiet diretti tiegħu fl-1979, għal dejjem aktar aktar drittijiet fil-proċess leġiżlattiv. Id-drittijiet taċ-ċittadini huma għalhekk limitati meta mqabbla mal-politiki demokratiċi fl-Istati Membri Ewropej kollha: Taħt l-Artikolu 11 tat-TEU, iċ-ċittadini u l-assoċjazzjonijiet għandhom id-drittijiet bħall-pubbliċità tal-fehmiet tagħhom u jissottomettu inizjattiva li għandha tiġi kkunsidrata mill-Kummissjoni b'miljun firma. L-Artikolu 227 tat-TFEU fih dritt ieħor għaċ-ċittadini biex jitolbu lill-Parlament dwar kwistjonijiet li jaffettwawhom. L-elezzjonijiet tal-Parlament, iseħħu kull ħames snin, u l-voti għall-membri tal-Parlament Ewropew fl-Istati Membri għandhom jiġu organizzati permezz ta 'rappreżentanza proporzjonali jew vot trasferibbli wieħed. Hemm 750 mep u n-numri tagħhom huma "proporzjonalment degressivament" skond id-daqs tal-istat membru. Dan ifisser - għalkemm il-kunsill huwa maħsub biex ikun il-korp li jirrappreżenta l-istati membri - fiċ-ċittadini tal-Parlament ta 'stati membri iżgħar għandhom aktar vuċi minn ċittadini fi stati membri akbar. Il-MEPS jaqsmu, bħalma jagħmlu fil-parlamenti nazzjonali, fuq linji tal-partit politiku: il-Partit Konservattiv tal-Poplu Ewropew bħalissa huwa l-akbar, u l-Partit tas-Soċjalisti Ewropej imexxi l-oppożizzjoni. Il-Partijiet ma jirċevux fondi pubbliċi mill-UE, peress li l-Qorti tal-Ġustizzja li saret fil-Parlament tal-Parti "Les Verts" v li din kienet kwistjoni kompletament biex tkun regolata mill-Istati Membri. Il-poteri tal-Parlament jinkludu li jsejħu inkjesti dwar amministrazzjoni ħażina jew jaħtru ombudsman sakemm issir xi proċeduri tal-qorti. Jista 'jirrikjedi li l-kummissjoni tirrispondi għall-mistoqsijiet u b'maġġoranza ta' żewġ terzi tista 'tiċċensura l-kummissjoni kollha (kif ġara lill-Kummissjoni Santer fl-1999). F’xi każijiet, il-Parlament għandu drittijiet ta ’konsultazzjoni espliċiti, li l-Kummissjoni għandha ssegwi ġenwinament. Madankollu l-parteċipazzjoni tar-rwol tagħha fil-proċess leġiżlattiv għadha limitata għax l-ebda membru ma jista 'effettivament jew jgħaddi leġislazzjoni mingħajr il-kummissjoni u l-kunsill, li jfisser li l-poter ("kratia") mhuwiex f'idejn ir-rappreżentanti eletti direttament tan-nies ("demos"): Fl-UE għadu mhux veru li "l-amministrazzjoni tinsab f'idejn il-ħafna u mhux tal-ftit."</v>
      </c>
    </row>
    <row r="10670" ht="15.75" customHeight="1">
      <c r="A10670" s="2" t="s">
        <v>10670</v>
      </c>
      <c r="B10670" s="2" t="str">
        <f>IFERROR(__xludf.DUMMYFUNCTION("GOOGLETRANSLATE(A10670, ""en"", ""mt"")"),"F'dak li għandu x'jaqsam ma 'l-ipprogrammar, erbgħa mill-wirjiet tal-marka ta' ABC tas-snin sebgħin temmew il-ġirjiet tagħhom matul nofs is-snin 1980: Laverne &amp; Shirley temmew il-ġirja tagħha fl-1983, Happy Days u Three's Company spiċċaw fl-1984 (b'dawn t"&amp;"al-aħħar jipproduċu ħajja qasira spinoff dik is-sena), filwaqt li l-imħabba tad-dgħajsa temmet il-ġirja tagħha fl-1986. Wara kważi għaxar snin ta 'problemi ta' klassifikazzjonijiet, NBC reġgħet kisbet il-klassifikazzjonijiet taċ-ċomb fost it-tliet netwerk"&amp;"s il-kbar fl-1984 fuq is-suċċess ta 'serje bħal The Cosby Show, Cheers u Miami Viċi. Biex tikkontrobatti l-NBC, ABC iddeċieda li jerġa 'jiffoka ruħu fuq kummiedji u serje orjentata lejn il-familja li tibda f'nofs is-snin 1980 inkluż is-Sur Belvedere, Rose"&amp;"anne, Who's the Boss?, Biss l-għaxra minna, is-snin tal-għaġeb, id-dar sħiħa u l-barranin perfetti.")</f>
        <v>F'dak li għandu x'jaqsam ma 'l-ipprogrammar, erbgħa mill-wirjiet tal-marka ta' ABC tas-snin sebgħin temmew il-ġirjiet tagħhom matul nofs is-snin 1980: Laverne &amp; Shirley temmew il-ġirja tagħha fl-1983, Happy Days u Three's Company spiċċaw fl-1984 (b'dawn tal-aħħar jipproduċu ħajja qasira spinoff dik is-sena), filwaqt li l-imħabba tad-dgħajsa temmet il-ġirja tagħha fl-1986. Wara kważi għaxar snin ta 'problemi ta' klassifikazzjonijiet, NBC reġgħet kisbet il-klassifikazzjonijiet taċ-ċomb fost it-tliet netwerks il-kbar fl-1984 fuq is-suċċess ta 'serje bħal The Cosby Show, Cheers u Miami Viċi. Biex tikkontrobatti l-NBC, ABC iddeċieda li jerġa 'jiffoka ruħu fuq kummiedji u serje orjentata lejn il-familja li tibda f'nofs is-snin 1980 inkluż is-Sur Belvedere, Roseanne, Who's the Boss?, Biss l-għaxra minna, is-snin tal-għaġeb, id-dar sħiħa u l-barranin perfetti.</v>
      </c>
    </row>
    <row r="10671" ht="15.75" customHeight="1">
      <c r="A10671" s="2" t="s">
        <v>10671</v>
      </c>
      <c r="B10671" s="2" t="str">
        <f>IFERROR(__xludf.DUMMYFUNCTION("GOOGLETRANSLATE(A10671, ""en"", ""mt"")"),"Nikola Tesla (Serb Cyrillic: никола тесла; 10 ta 'Lulju 1856 - 7 ta' Jannar 1943) kien inventur Amerikan Serb, inġinier elettriku, inġinier mekkaniku, fiżiċista, u futurist l-aktar magħruf għad-disinn tiegħu għad-disinn tal-kurrent alternattiv modern (AC)"&amp;" elettriku sistema ta 'provvista.")</f>
        <v>Nikola Tesla (Serb Cyrillic: никола тесла; 10 ta 'Lulju 1856 - 7 ta' Jannar 1943) kien inventur Amerikan Serb, inġinier elettriku, inġinier mekkaniku, fiżiċista, u futurist l-aktar magħruf għad-disinn tiegħu għad-disinn tal-kurrent alternattiv modern (AC) elettriku sistema ta 'provvista.</v>
      </c>
    </row>
    <row r="10672" ht="15.75" customHeight="1">
      <c r="A10672" s="2" t="s">
        <v>10672</v>
      </c>
      <c r="B10672" s="2" t="str">
        <f>IFERROR(__xludf.DUMMYFUNCTION("GOOGLETRANSLATE(A10672, ""en"", ""mt"")"),"Meta żviluppa Mechlin Lace?")</f>
        <v>Meta żviluppa Mechlin Lace?</v>
      </c>
    </row>
    <row r="10673" ht="15.75" customHeight="1">
      <c r="A10673" s="2" t="s">
        <v>10673</v>
      </c>
      <c r="B10673" s="2" t="str">
        <f>IFERROR(__xludf.DUMMYFUNCTION("GOOGLETRANSLATE(A10673, ""en"", ""mt"")"),"5 sa 15-il sena")</f>
        <v>5 sa 15-il sena</v>
      </c>
    </row>
    <row r="10674" ht="15.75" customHeight="1">
      <c r="A10674" s="2" t="s">
        <v>10674</v>
      </c>
      <c r="B10674" s="2" t="str">
        <f>IFERROR(__xludf.DUMMYFUNCTION("GOOGLETRANSLATE(A10674, ""en"", ""mt"")"),"Min kienu s-Super Bowl 50 ħabbar sideline?")</f>
        <v>Min kienu s-Super Bowl 50 ħabbar sideline?</v>
      </c>
    </row>
    <row r="10675" ht="15.75" customHeight="1">
      <c r="A10675" s="2" t="s">
        <v>10675</v>
      </c>
      <c r="B10675" s="2" t="str">
        <f>IFERROR(__xludf.DUMMYFUNCTION("GOOGLETRANSLATE(A10675, ""en"", ""mt"")"),"Minkejja r-rebħa tiegħu f'Wittenberg, Luther ma setax joħnoq ir-radikaliżmu aktar 'il bogħod. Predikaturi bħall-Profeta Zwickau Nicholas Storch u Thomas Müntzer għenu biex jinbdew il-gwerra tal-bdiewa Ġermaniżi tal-1524-25, li matulha kienu impenjati ħafn"&amp;"a atroċitajiet, ħafna drabi fl-isem ta 'Luther. Kien hemm rewwixti mill-kampanja fuq skala iżgħar sa mis-seklu 15. Il-fuljetti ta 'Luther kontra l-knisja u l-ġerarkija, ħafna drabi fformulati bil-frażijoloġija ""liberali"", issa wasslu lil ħafna bdiewa bi"&amp;"ex jemmnu li se jappoġġja attakk fuq il-klassijiet ta' fuq b'mod ġenerali. Ir-rewwixti faqqgħu fi Franconia, is-Swabia, u t-Turingija fl-1524, anke billi ġabu appoġġ minn nobbli diżaffettati, li ħafna minnhom kienu fid-dejn. Meta kiseb il-momentum taħt it"&amp;"-tmexxija ta 'radikali bħal Müntzer fit-Turingia u Michael Gaismair fit-Tirol, ir-rewwixti nbidlu fi gwerra.")</f>
        <v>Minkejja r-rebħa tiegħu f'Wittenberg, Luther ma setax joħnoq ir-radikaliżmu aktar 'il bogħod. Predikaturi bħall-Profeta Zwickau Nicholas Storch u Thomas Müntzer għenu biex jinbdew il-gwerra tal-bdiewa Ġermaniżi tal-1524-25, li matulha kienu impenjati ħafna atroċitajiet, ħafna drabi fl-isem ta 'Luther. Kien hemm rewwixti mill-kampanja fuq skala iżgħar sa mis-seklu 15. Il-fuljetti ta 'Luther kontra l-knisja u l-ġerarkija, ħafna drabi fformulati bil-frażijoloġija "liberali", issa wasslu lil ħafna bdiewa biex jemmnu li se jappoġġja attakk fuq il-klassijiet ta' fuq b'mod ġenerali. Ir-rewwixti faqqgħu fi Franconia, is-Swabia, u t-Turingija fl-1524, anke billi ġabu appoġġ minn nobbli diżaffettati, li ħafna minnhom kienu fid-dejn. Meta kiseb il-momentum taħt it-tmexxija ta 'radikali bħal Müntzer fit-Turingia u Michael Gaismair fit-Tirol, ir-rewwixti nbidlu fi gwerra.</v>
      </c>
    </row>
    <row r="10676" ht="15.75" customHeight="1">
      <c r="A10676" s="2" t="s">
        <v>10676</v>
      </c>
      <c r="B10676" s="2" t="str">
        <f>IFERROR(__xludf.DUMMYFUNCTION("GOOGLETRANSLATE(A10676, ""en"", ""mt"")"),"Il-Profeta Mohammad u s-suċċessuri tiegħu")</f>
        <v>Il-Profeta Mohammad u s-suċċessuri tiegħu</v>
      </c>
    </row>
    <row r="10677" ht="15.75" customHeight="1">
      <c r="A10677" s="2" t="s">
        <v>10677</v>
      </c>
      <c r="B10677" s="2" t="str">
        <f>IFERROR(__xludf.DUMMYFUNCTION("GOOGLETRANSLATE(A10677, ""en"", ""mt"")"),"Il-bżonnijiet tal-bdiewa tas-sojja ntużaw biex jiġġustifikaw ħafna mill-proġetti ta 'trasport kontroversjali li bħalissa qed jiżviluppaw fl-Amażonja. L-ewwel żewġ awtostradi fetħu b'suċċess il-foresta tropikali u wasslu għal żieda fis-soluzzjoni u d-defor"&amp;"estazzjoni. Ir-rata medja ta 'deforestazzjoni annwali mill-2000 sal-2005 (22,392 km2 jew 8,646 sq mi fis-sena) kienet 18% ogħla milli fil-ħames snin ta' qabel (19,018 km2 jew 7,343 sq mi fis-sena). Għalkemm id-deforestazzjoni naqset b'mod sinifikanti fl-A"&amp;"mażonja Brażiljana bejn l-2004 u l-2014, kien hemm żieda sal-lum.")</f>
        <v>Il-bżonnijiet tal-bdiewa tas-sojja ntużaw biex jiġġustifikaw ħafna mill-proġetti ta 'trasport kontroversjali li bħalissa qed jiżviluppaw fl-Amażonja. L-ewwel żewġ awtostradi fetħu b'suċċess il-foresta tropikali u wasslu għal żieda fis-soluzzjoni u d-deforestazzjoni. Ir-rata medja ta 'deforestazzjoni annwali mill-2000 sal-2005 (22,392 km2 jew 8,646 sq mi fis-sena) kienet 18% ogħla milli fil-ħames snin ta' qabel (19,018 km2 jew 7,343 sq mi fis-sena). Għalkemm id-deforestazzjoni naqset b'mod sinifikanti fl-Amażonja Brażiljana bejn l-2004 u l-2014, kien hemm żieda sal-lum.</v>
      </c>
    </row>
    <row r="10678" ht="15.75" customHeight="1">
      <c r="A10678" s="2" t="s">
        <v>10678</v>
      </c>
      <c r="B10678" s="2" t="str">
        <f>IFERROR(__xludf.DUMMYFUNCTION("GOOGLETRANSLATE(A10678, ""en"", ""mt"")"),"Il-logo użat għat-tielet u t-tmien tobba")</f>
        <v>Il-logo użat għat-tielet u t-tmien tobba</v>
      </c>
    </row>
    <row r="10679" ht="15.75" customHeight="1">
      <c r="A10679" s="2" t="s">
        <v>10679</v>
      </c>
      <c r="B10679" s="2" t="str">
        <f>IFERROR(__xludf.DUMMYFUNCTION("GOOGLETRANSLATE(A10679, ""en"", ""mt"")"),"Ottubru 2011")</f>
        <v>Ottubru 2011</v>
      </c>
    </row>
    <row r="10680" ht="15.75" customHeight="1">
      <c r="A10680" s="2" t="s">
        <v>10680</v>
      </c>
      <c r="B10680" s="2" t="str">
        <f>IFERROR(__xludf.DUMMYFUNCTION("GOOGLETRANSLATE(A10680, ""en"", ""mt"")"),"Mużew")</f>
        <v>Mużew</v>
      </c>
    </row>
    <row r="10681" ht="15.75" customHeight="1">
      <c r="A10681" s="2" t="s">
        <v>10681</v>
      </c>
      <c r="B10681" s="2" t="str">
        <f>IFERROR(__xludf.DUMMYFUNCTION("GOOGLETRANSLATE(A10681, ""en"", ""mt"")"),"Fejn jinsabu ħafna spiżeriji fl-isptar?")</f>
        <v>Fejn jinsabu ħafna spiżeriji fl-isptar?</v>
      </c>
    </row>
    <row r="10682" ht="15.75" customHeight="1">
      <c r="A10682" s="2" t="s">
        <v>10682</v>
      </c>
      <c r="B10682" s="2" t="str">
        <f>IFERROR(__xludf.DUMMYFUNCTION("GOOGLETRANSLATE(A10682, ""en"", ""mt"")"),"forza innata ta 'impetu")</f>
        <v>forza innata ta 'impetu</v>
      </c>
    </row>
    <row r="10683" ht="15.75" customHeight="1">
      <c r="A10683" s="2" t="s">
        <v>10683</v>
      </c>
      <c r="B10683" s="2" t="str">
        <f>IFERROR(__xludf.DUMMYFUNCTION("GOOGLETRANSLATE(A10683, ""en"", ""mt"")"),"It-Torri Magdalen ta 'Oxford")</f>
        <v>It-Torri Magdalen ta 'Oxford</v>
      </c>
    </row>
    <row r="10684" ht="15.75" customHeight="1">
      <c r="A10684" s="2" t="s">
        <v>10684</v>
      </c>
      <c r="B10684" s="2" t="str">
        <f>IFERROR(__xludf.DUMMYFUNCTION("GOOGLETRANSLATE(A10684, ""en"", ""mt"")"),"Fejn Franza ffokat l-isforzi tagħha biex tibni mill-ġdid l-imperu tagħha?")</f>
        <v>Fejn Franza ffokat l-isforzi tagħha biex tibni mill-ġdid l-imperu tagħha?</v>
      </c>
    </row>
    <row r="10685" ht="15.75" customHeight="1">
      <c r="A10685" s="2" t="s">
        <v>10685</v>
      </c>
      <c r="B10685" s="2" t="str">
        <f>IFERROR(__xludf.DUMMYFUNCTION("GOOGLETRANSLATE(A10685, ""en"", ""mt"")"),"għalliema")</f>
        <v>għalliema</v>
      </c>
    </row>
    <row r="10686" ht="15.75" customHeight="1">
      <c r="A10686" s="2" t="s">
        <v>10686</v>
      </c>
      <c r="B10686" s="2" t="str">
        <f>IFERROR(__xludf.DUMMYFUNCTION("GOOGLETRANSLATE(A10686, ""en"", ""mt"")"),"kapaċi jiffinanzjaw vjaġġaturi")</f>
        <v>kapaċi jiffinanzjaw vjaġġaturi</v>
      </c>
    </row>
    <row r="10687" ht="15.75" customHeight="1">
      <c r="A10687" s="2" t="s">
        <v>10687</v>
      </c>
      <c r="B10687" s="2" t="str">
        <f>IFERROR(__xludf.DUMMYFUNCTION("GOOGLETRANSLATE(A10687, ""en"", ""mt"")"),"Bħala inċentiv għall-ubbidjenza assoluta u wara l-istat tad-dritt tiegħu, il-Kodiċi Yassa, Temüjin wiegħed lill-ġid ċivili u suldati mill-imħassra futura tal-gwerra. Hekk kif għeleb it-tribujiet rivali, huwa ma mexxax is-suldati tal-għadu u jabbanduna l-k"&amp;"umplament. Minflok, huwa ħa t-tribù maħkuma taħt il-protezzjoni tiegħu u integra l-membri tiegħu fit-tribù tiegħu stess. Huwa kien saħansitra jkollu lil ommu tadotta orfni mit-tribù maħkuma, u ġġibhom fil-familja tiegħu. Dawn l-innovazzjonijiet politiċi i"&amp;"spiraw lealtà kbira fost in-nies maħkuma, u jagħmlu lil Temüjin aktar b'saħħtu ma 'kull rebħa.")</f>
        <v>Bħala inċentiv għall-ubbidjenza assoluta u wara l-istat tad-dritt tiegħu, il-Kodiċi Yassa, Temüjin wiegħed lill-ġid ċivili u suldati mill-imħassra futura tal-gwerra. Hekk kif għeleb it-tribujiet rivali, huwa ma mexxax is-suldati tal-għadu u jabbanduna l-kumplament. Minflok, huwa ħa t-tribù maħkuma taħt il-protezzjoni tiegħu u integra l-membri tiegħu fit-tribù tiegħu stess. Huwa kien saħansitra jkollu lil ommu tadotta orfni mit-tribù maħkuma, u ġġibhom fil-familja tiegħu. Dawn l-innovazzjonijiet politiċi ispiraw lealtà kbira fost in-nies maħkuma, u jagħmlu lil Temüjin aktar b'saħħtu ma 'kull rebħa.</v>
      </c>
    </row>
    <row r="10688" ht="15.75" customHeight="1">
      <c r="A10688" s="2" t="s">
        <v>10688</v>
      </c>
      <c r="B10688" s="2" t="str">
        <f>IFERROR(__xludf.DUMMYFUNCTION("GOOGLETRANSLATE(A10688, ""en"", ""mt"")"),"Jacques Legardere de Saint-Pierre, li rnexxielu lil Marin bħala kmandant tal-forzi Franċiżi wara li dan tal-aħħar miet fid-29 ta 'Ottubru, stieden lil Washington biex tiekol miegħu. Matul il-pranzu, Washington ippreżenta lil Saint-Pierre bl-ittra minn Din"&amp;"widdie fejn talbet irtirar Franċiż immedjat mill-pajjiż ta 'Ohio. Saint-Pierre qal, ""Fir-rigward tat-taħrika li tibgħatli biex nirtira, ma naħsibx lili nnifsi obbligat li nobdiha."" Huwa qal lil Washington li t-talba ta 'Franza fir-reġjun kienet superjur"&amp;"i għal dik tal-Ingliżi, minn meta René-Robert Cavelier, Sieur de la Salle kien esplora l-pajjiż ta' Ohio kważi seklu qabel.")</f>
        <v>Jacques Legardere de Saint-Pierre, li rnexxielu lil Marin bħala kmandant tal-forzi Franċiżi wara li dan tal-aħħar miet fid-29 ta 'Ottubru, stieden lil Washington biex tiekol miegħu. Matul il-pranzu, Washington ippreżenta lil Saint-Pierre bl-ittra minn Dinwiddie fejn talbet irtirar Franċiż immedjat mill-pajjiż ta 'Ohio. Saint-Pierre qal, "Fir-rigward tat-taħrika li tibgħatli biex nirtira, ma naħsibx lili nnifsi obbligat li nobdiha." Huwa qal lil Washington li t-talba ta 'Franza fir-reġjun kienet superjuri għal dik tal-Ingliżi, minn meta René-Robert Cavelier, Sieur de la Salle kien esplora l-pajjiż ta' Ohio kważi seklu qabel.</v>
      </c>
    </row>
    <row r="10689" ht="15.75" customHeight="1">
      <c r="A10689" s="2" t="s">
        <v>10689</v>
      </c>
      <c r="B10689" s="2" t="str">
        <f>IFERROR(__xludf.DUMMYFUNCTION("GOOGLETRANSLATE(A10689, ""en"", ""mt"")"),"Kien hemm ħafna reliġjonijiet ipprattikati matul id-dinastija Yuan, bħall-Buddiżmu, l-Islam, u l-Kristjaneżmu. L-istabbiliment tad-dinastija Yuan kien żied b'mod drammatiku n-numru ta 'Musulmani fiċ-Ċina. Madankollu, b'differenza mill-Khanates tal-Punent,"&amp;" id-dinastija Yuan qatt ma kkonvertiet għall-Iżlam. Minflok, Kublai Khan, il-fundatur tad-dinastija Yuan, iffavorixxa l-Buddiżmu, speċjalment il-varjanti tat-Tibet. Bħala riżultat, il-Buddiżmu Tibetan ġie stabbilit bħala r-reliġjon tal-istat de facto. Id-"&amp;"dipartiment tal-ogħla livell u l-aġenzija tal-gvern magħrufa bħala l-Bureau tal-Affarijiet Buddisti u Tibetani (Xuanzheng Yuan) twaqqfet f'Khanbaliq (Modern Beijing) biex tissorvelja patrijiet Buddisti fl-imperu kollu. Peress li Kublai Khan stma biss is-s"&amp;"etta Sakya tal-Buddiżmu Tibetan, reliġjonijiet oħra saru inqas importanti. Huwa u s-suċċessuri tiegħu żammew il-preċettur imperjali Sakya (dixx) fil-qorti. Qabel it-tmiem tad-dinastija Yuan, 14-il mexxej tas-setta Sakya kellhom il-kariga ta 'preċettur imp"&amp;"erjali, u b'hekk igawdu poter speċjali. Barra minn hekk, il-patroċinju Mongoljan tal-Buddiżmu rriżulta f'numru ta 'monumenti ta' arti Buddista. It-traduzzjonijiet Buddisti Mongoljani, kważi kollha mill-oriġinali tat-Tibet, bdew fuq skala kbira wara l-1300"&amp;". Ħafna Mongoli tal-klassi ta ’fuq bħall-Jalayir u n-nobbli Oronar kif ukoll l-imperaturi wkoll patronizzaw studjużi u istituzzjonijiet Confucian. Numru konsiderevoli ta 'xogħlijiet storiċi Confucian u Ċiniżi ġew tradotti fil-lingwa Mongoljana.")</f>
        <v>Kien hemm ħafna reliġjonijiet ipprattikati matul id-dinastija Yuan, bħall-Buddiżmu, l-Islam, u l-Kristjaneżmu. L-istabbiliment tad-dinastija Yuan kien żied b'mod drammatiku n-numru ta 'Musulmani fiċ-Ċina. Madankollu, b'differenza mill-Khanates tal-Punent, id-dinastija Yuan qatt ma kkonvertiet għall-Iżlam. Minflok, Kublai Khan, il-fundatur tad-dinastija Yuan, iffavorixxa l-Buddiżmu, speċjalment il-varjanti tat-Tibet. Bħala riżultat, il-Buddiżmu Tibetan ġie stabbilit bħala r-reliġjon tal-istat de facto. Id-dipartiment tal-ogħla livell u l-aġenzija tal-gvern magħrufa bħala l-Bureau tal-Affarijiet Buddisti u Tibetani (Xuanzheng Yuan) twaqqfet f'Khanbaliq (Modern Beijing) biex tissorvelja patrijiet Buddisti fl-imperu kollu. Peress li Kublai Khan stma biss is-setta Sakya tal-Buddiżmu Tibetan, reliġjonijiet oħra saru inqas importanti. Huwa u s-suċċessuri tiegħu żammew il-preċettur imperjali Sakya (dixx) fil-qorti. Qabel it-tmiem tad-dinastija Yuan, 14-il mexxej tas-setta Sakya kellhom il-kariga ta 'preċettur imperjali, u b'hekk igawdu poter speċjali. Barra minn hekk, il-patroċinju Mongoljan tal-Buddiżmu rriżulta f'numru ta 'monumenti ta' arti Buddista. It-traduzzjonijiet Buddisti Mongoljani, kważi kollha mill-oriġinali tat-Tibet, bdew fuq skala kbira wara l-1300. Ħafna Mongoli tal-klassi ta ’fuq bħall-Jalayir u n-nobbli Oronar kif ukoll l-imperaturi wkoll patronizzaw studjużi u istituzzjonijiet Confucian. Numru konsiderevoli ta 'xogħlijiet storiċi Confucian u Ċiniżi ġew tradotti fil-lingwa Mongoljana.</v>
      </c>
    </row>
    <row r="10690" ht="15.75" customHeight="1">
      <c r="A10690" s="2" t="s">
        <v>10690</v>
      </c>
      <c r="B10690" s="2" t="str">
        <f>IFERROR(__xludf.DUMMYFUNCTION("GOOGLETRANSLATE(A10690, ""en"", ""mt"")"),"Il-forzi armati huma skjerati regolarment fil-missjonijiet taż-żamma tal-paċi madwar id-dinja. Barra minn hekk, wara l-elezzjonijiet nazzjonali ta 'Diċembru 2007 u l-vjolenza li sussegwentement ħakmet lill-pajjiż, kummissjoni ta' inkjesta, il-Kummissjoni "&amp;"Waki, faħħret il-prontezza tagħha u aġġudikatha biex ""marret id-dmir tagħha sew."" Madankollu, kien hemm allegazzjonijiet serji ta 'ksur tad-drittijiet tal-bniedem, l-iktar reċentement waqt li wettaq operazzjonijiet ta' kontra-ribelli fiż-żona ta 'Mt Elg"&amp;"on u wkoll fid-distrett ta' Mandera Central.")</f>
        <v>Il-forzi armati huma skjerati regolarment fil-missjonijiet taż-żamma tal-paċi madwar id-dinja. Barra minn hekk, wara l-elezzjonijiet nazzjonali ta 'Diċembru 2007 u l-vjolenza li sussegwentement ħakmet lill-pajjiż, kummissjoni ta' inkjesta, il-Kummissjoni Waki, faħħret il-prontezza tagħha u aġġudikatha biex "marret id-dmir tagħha sew." Madankollu, kien hemm allegazzjonijiet serji ta 'ksur tad-drittijiet tal-bniedem, l-iktar reċentement waqt li wettaq operazzjonijiet ta' kontra-ribelli fiż-żona ta 'Mt Elgon u wkoll fid-distrett ta' Mandera Central.</v>
      </c>
    </row>
    <row r="10691" ht="15.75" customHeight="1">
      <c r="A10691" s="2" t="s">
        <v>10691</v>
      </c>
      <c r="B10691" s="2" t="str">
        <f>IFERROR(__xludf.DUMMYFUNCTION("GOOGLETRANSLATE(A10691, ""en"", ""mt"")"),"Għaliex kien dan il-kont nessecary?")</f>
        <v>Għaliex kien dan il-kont nessecary?</v>
      </c>
    </row>
    <row r="10692" ht="15.75" customHeight="1">
      <c r="A10692" s="2" t="s">
        <v>10692</v>
      </c>
      <c r="B10692" s="2" t="str">
        <f>IFERROR(__xludf.DUMMYFUNCTION("GOOGLETRANSLATE(A10692, ""en"", ""mt"")"),"Minbarra l-mewt tal-kafè Wish, kemm kompetituri oħra pparteċipaw fil-konkors?")</f>
        <v>Minbarra l-mewt tal-kafè Wish, kemm kompetituri oħra pparteċipaw fil-konkors?</v>
      </c>
    </row>
    <row r="10693" ht="15.75" customHeight="1">
      <c r="A10693" s="2" t="s">
        <v>10693</v>
      </c>
      <c r="B10693" s="2" t="str">
        <f>IFERROR(__xludf.DUMMYFUNCTION("GOOGLETRANSLATE(A10693, ""en"", ""mt"")"),"Tliet diviżjonijiet biss")</f>
        <v>Tliet diviżjonijiet biss</v>
      </c>
    </row>
    <row r="10694" ht="15.75" customHeight="1">
      <c r="A10694" s="2" t="s">
        <v>10694</v>
      </c>
      <c r="B10694" s="2" t="str">
        <f>IFERROR(__xludf.DUMMYFUNCTION("GOOGLETRANSLATE(A10694, ""en"", ""mt"")"),"Splużjoni tat-tank tal-ossiġnu fi tranżitu")</f>
        <v>Splużjoni tat-tank tal-ossiġnu fi tranżitu</v>
      </c>
    </row>
    <row r="10695" ht="15.75" customHeight="1">
      <c r="A10695" s="2" t="s">
        <v>10695</v>
      </c>
      <c r="B10695" s="2" t="str">
        <f>IFERROR(__xludf.DUMMYFUNCTION("GOOGLETRANSLATE(A10695, ""en"", ""mt"")"),"Liema pajjiżi l-kastig korporali għadu prattika normali?")</f>
        <v>Liema pajjiżi l-kastig korporali għadu prattika normali?</v>
      </c>
    </row>
    <row r="10696" ht="15.75" customHeight="1">
      <c r="A10696" s="2" t="s">
        <v>10696</v>
      </c>
      <c r="B10696" s="2" t="str">
        <f>IFERROR(__xludf.DUMMYFUNCTION("GOOGLETRANSLATE(A10696, ""en"", ""mt"")"),"John iweġġa '")</f>
        <v>John iweġġa '</v>
      </c>
    </row>
    <row r="10697" ht="15.75" customHeight="1">
      <c r="A10697" s="2" t="s">
        <v>10697</v>
      </c>
      <c r="B10697" s="2" t="str">
        <f>IFERROR(__xludf.DUMMYFUNCTION("GOOGLETRANSLATE(A10697, ""en"", ""mt"")"),"Wara li kkanċella l-ispettaklu, x’qal il-BBC lill-pubbliku?")</f>
        <v>Wara li kkanċella l-ispettaklu, x’qal il-BBC lill-pubbliku?</v>
      </c>
    </row>
    <row r="10698" ht="15.75" customHeight="1">
      <c r="A10698" s="2" t="s">
        <v>10698</v>
      </c>
      <c r="B10698" s="2" t="str">
        <f>IFERROR(__xludf.DUMMYFUNCTION("GOOGLETRANSLATE(A10698, ""en"", ""mt"")"),"Kemm mill-ħalib tal-Awstralja huwa prodott fir-Rabat?")</f>
        <v>Kemm mill-ħalib tal-Awstralja huwa prodott fir-Rabat?</v>
      </c>
    </row>
    <row r="10699" ht="15.75" customHeight="1">
      <c r="A10699" s="2" t="s">
        <v>10699</v>
      </c>
      <c r="B10699" s="2" t="str">
        <f>IFERROR(__xludf.DUMMYFUNCTION("GOOGLETRANSLATE(A10699, ""en"", ""mt"")"),"B'kuntrast ma 'dan ġew murija l-Qaddisin Kattoliċi?")</f>
        <v>B'kuntrast ma 'dan ġew murija l-Qaddisin Kattoliċi?</v>
      </c>
    </row>
    <row r="10700" ht="15.75" customHeight="1">
      <c r="A10700" s="2" t="s">
        <v>10700</v>
      </c>
      <c r="B10700" s="2" t="str">
        <f>IFERROR(__xludf.DUMMYFUNCTION("GOOGLETRANSLATE(A10700, ""en"", ""mt"")"),"Fattur ieħor fil-bidu tas-snin disgħin li ħadem biex jirradikalizza l-moviment Iżlamista kien il-Gwerra tal-Golf, li ġabet diversi mijiet ta 'eluf ta' l-Istati Uniti u alleat persunal militari mhux Musulman lejn il-ħamrija Għarab Sawdita biex itemmu l-okk"&amp;"upazzjoni ta 'Saddam Hussein fil-Kuwajt. Qabel l-1990 l-Arabja Sawdita kellha rwol importanti fit-trażżin tal-ħafna gruppi Iżlamisti li rċevew l-għajnuna tiegħu. Imma meta Saddam, sekularist u dittatur Ba'athist tal-Iraq ġirien, attakkaw l-Arabja Sawdija "&amp;"(l-għadu tiegħu fil-gwerra), it-truppi tal-Punent ġew biex jipproteġu l-monarkija Sawdita. L-Iżlamisti akkużaw lir-reġim Sawdi li kien pupazz tal-Punent.")</f>
        <v>Fattur ieħor fil-bidu tas-snin disgħin li ħadem biex jirradikalizza l-moviment Iżlamista kien il-Gwerra tal-Golf, li ġabet diversi mijiet ta 'eluf ta' l-Istati Uniti u alleat persunal militari mhux Musulman lejn il-ħamrija Għarab Sawdita biex itemmu l-okkupazzjoni ta 'Saddam Hussein fil-Kuwajt. Qabel l-1990 l-Arabja Sawdita kellha rwol importanti fit-trażżin tal-ħafna gruppi Iżlamisti li rċevew l-għajnuna tiegħu. Imma meta Saddam, sekularist u dittatur Ba'athist tal-Iraq ġirien, attakkaw l-Arabja Sawdija (l-għadu tiegħu fil-gwerra), it-truppi tal-Punent ġew biex jipproteġu l-monarkija Sawdita. L-Iżlamisti akkużaw lir-reġim Sawdi li kien pupazz tal-Punent.</v>
      </c>
    </row>
    <row r="10701" ht="15.75" customHeight="1">
      <c r="A10701" s="2" t="s">
        <v>10701</v>
      </c>
      <c r="B10701" s="2" t="str">
        <f>IFERROR(__xludf.DUMMYFUNCTION("GOOGLETRANSLATE(A10701, ""en"", ""mt"")"),"Ieħor mill-gruppi Eġizzjani li impjegaw vjolenza fit-taqbida tagħhom għal ordni Iżlamika kien al-gama'a al-Islamiyya (grupp Iżlamiku). Il-vittmi tal-kampanja tagħhom kontra l-istat Eġizzjan fid-disgħinijiet kienu jinkludu l-kap tal-pulizija kontra t-terro"&amp;"riżmu (il-Ġeneral Maġġur Raouf Khayrat), kelliem parlamentari (Rifaat al-Mahgoub), għexieren ta ’turisti Ewropej u persuni li jrażżnu l-Eġizzjani, u aktar minn 100 pulizija Eġizzjana - Fl-aħħar mill-aħħar il-kampanja biex jitwaqqa 'l-gvern ma rnexxietx, u"&amp;" l-grupp jihadi ewlieni, Jamaa Islamiya (jew al-gama'a al-Islamiya), irrinunzjat vjolenza fl-2003. Gruppi oħra magħrufa inqas jinkludu l-Partit ta' Liberazzjoni Iżlamika, Salvazzjoni mill-Infern u Takfir Wal-Hijra, u dawn il-gruppi kienu involuti b'mod va"&amp;"rju f'attivitajiet bħal attentat ta 'qtil ta' figuri politiċi, inżul ta 'ħwienet tal-vidjow u attentat ta' akkwist ta 'bini tal-gvern.")</f>
        <v>Ieħor mill-gruppi Eġizzjani li impjegaw vjolenza fit-taqbida tagħhom għal ordni Iżlamika kien al-gama'a al-Islamiyya (grupp Iżlamiku). Il-vittmi tal-kampanja tagħhom kontra l-istat Eġizzjan fid-disgħinijiet kienu jinkludu l-kap tal-pulizija kontra t-terroriżmu (il-Ġeneral Maġġur Raouf Khayrat), kelliem parlamentari (Rifaat al-Mahgoub), għexieren ta ’turisti Ewropej u persuni li jrażżnu l-Eġizzjani, u aktar minn 100 pulizija Eġizzjana - Fl-aħħar mill-aħħar il-kampanja biex jitwaqqa 'l-gvern ma rnexxietx, u l-grupp jihadi ewlieni, Jamaa Islamiya (jew al-gama'a al-Islamiya), irrinunzjat vjolenza fl-2003. Gruppi oħra magħrufa inqas jinkludu l-Partit ta' Liberazzjoni Iżlamika, Salvazzjoni mill-Infern u Takfir Wal-Hijra, u dawn il-gruppi kienu involuti b'mod varju f'attivitajiet bħal attentat ta 'qtil ta' figuri politiċi, inżul ta 'ħwienet tal-vidjow u attentat ta' akkwist ta 'bini tal-gvern.</v>
      </c>
    </row>
    <row r="10702" ht="15.75" customHeight="1">
      <c r="A10702" s="2" t="s">
        <v>10702</v>
      </c>
      <c r="B10702" s="2" t="str">
        <f>IFERROR(__xludf.DUMMYFUNCTION("GOOGLETRANSLATE(A10702, ""en"", ""mt"")"),"ħin")</f>
        <v>ħin</v>
      </c>
    </row>
    <row r="10703" ht="15.75" customHeight="1">
      <c r="A10703" s="2" t="s">
        <v>10703</v>
      </c>
      <c r="B10703" s="2" t="str">
        <f>IFERROR(__xludf.DUMMYFUNCTION("GOOGLETRANSLATE(A10703, ""en"", ""mt"")"),"Dawk li jipproċedu għall-iskola sekondarja jew taħriġ vokazzjonali")</f>
        <v>Dawk li jipproċedu għall-iskola sekondarja jew taħriġ vokazzjonali</v>
      </c>
    </row>
    <row r="10704" ht="15.75" customHeight="1">
      <c r="A10704" s="2" t="s">
        <v>10704</v>
      </c>
      <c r="B10704" s="2" t="str">
        <f>IFERROR(__xludf.DUMMYFUNCTION("GOOGLETRANSLATE(A10704, ""en"", ""mt"")"),"Kellha biss is-serje Dalek biex tmur")</f>
        <v>Kellha biss is-serje Dalek biex tmur</v>
      </c>
    </row>
    <row r="10705" ht="15.75" customHeight="1">
      <c r="A10705" s="2" t="s">
        <v>10705</v>
      </c>
      <c r="B10705" s="2" t="str">
        <f>IFERROR(__xludf.DUMMYFUNCTION("GOOGLETRANSLATE(A10705, ""en"", ""mt"")"),"is-saċerdozju")</f>
        <v>is-saċerdozju</v>
      </c>
    </row>
    <row r="10706" ht="15.75" customHeight="1">
      <c r="A10706" s="2" t="s">
        <v>10706</v>
      </c>
      <c r="B10706" s="2" t="str">
        <f>IFERROR(__xludf.DUMMYFUNCTION("GOOGLETRANSLATE(A10706, ""en"", ""mt"")"),"ID tal-Konnessjoni")</f>
        <v>ID tal-Konnessjoni</v>
      </c>
    </row>
    <row r="10707" ht="15.75" customHeight="1">
      <c r="A10707" s="2" t="s">
        <v>10707</v>
      </c>
      <c r="B10707" s="2" t="str">
        <f>IFERROR(__xludf.DUMMYFUNCTION("GOOGLETRANSLATE(A10707, ""en"", ""mt"")"),"huwa meqjus essenzjali għall-bidu tat-traduzzjoni fil-biċċa l-kbira tal-kloroplasti u l-prokarioti")</f>
        <v>huwa meqjus essenzjali għall-bidu tat-traduzzjoni fil-biċċa l-kbira tal-kloroplasti u l-prokarioti</v>
      </c>
    </row>
    <row r="10708" ht="15.75" customHeight="1">
      <c r="A10708" s="2" t="s">
        <v>10708</v>
      </c>
      <c r="B10708" s="2" t="str">
        <f>IFERROR(__xludf.DUMMYFUNCTION("GOOGLETRANSLATE(A10708, ""en"", ""mt"")"),"Iċ-ċiklu tal-ossiġnu")</f>
        <v>Iċ-ċiklu tal-ossiġnu</v>
      </c>
    </row>
    <row r="10709" ht="15.75" customHeight="1">
      <c r="A10709" s="2" t="s">
        <v>10709</v>
      </c>
      <c r="B10709" s="2" t="str">
        <f>IFERROR(__xludf.DUMMYFUNCTION("GOOGLETRANSLATE(A10709, ""en"", ""mt"")"),"Apollo 17 kien sinifikanti għal liema raġuni?")</f>
        <v>Apollo 17 kien sinifikanti għal liema raġuni?</v>
      </c>
    </row>
    <row r="10710" ht="15.75" customHeight="1">
      <c r="A10710" s="2" t="s">
        <v>10710</v>
      </c>
      <c r="B10710" s="2" t="str">
        <f>IFERROR(__xludf.DUMMYFUNCTION("GOOGLETRANSLATE(A10710, ""en"", ""mt"")"),"Tagħmir ta 'sigurtà xieraq")</f>
        <v>Tagħmir ta 'sigurtà xieraq</v>
      </c>
    </row>
    <row r="10711" ht="15.75" customHeight="1">
      <c r="A10711" s="2" t="s">
        <v>10711</v>
      </c>
      <c r="B10711" s="2" t="str">
        <f>IFERROR(__xludf.DUMMYFUNCTION("GOOGLETRANSLATE(A10711, ""en"", ""mt"")"),"Karità u Xogħlijiet Tajba")</f>
        <v>Karità u Xogħlijiet Tajba</v>
      </c>
    </row>
    <row r="10712" ht="15.75" customHeight="1">
      <c r="A10712" s="2" t="s">
        <v>10712</v>
      </c>
      <c r="B10712" s="2" t="str">
        <f>IFERROR(__xludf.DUMMYFUNCTION("GOOGLETRANSLATE(A10712, ""en"", ""mt"")"),"NP-Sodisfazzjon Boolean NP")</f>
        <v>NP-Sodisfazzjon Boolean NP</v>
      </c>
    </row>
    <row r="10713" ht="15.75" customHeight="1">
      <c r="A10713" s="2" t="s">
        <v>10713</v>
      </c>
      <c r="B10713" s="2" t="str">
        <f>IFERROR(__xludf.DUMMYFUNCTION("GOOGLETRANSLATE(A10713, ""en"", ""mt"")"),"jispjegaw l-azzjonijiet tagħhom")</f>
        <v>jispjegaw l-azzjonijiet tagħhom</v>
      </c>
    </row>
    <row r="10714" ht="15.75" customHeight="1">
      <c r="A10714" s="2" t="s">
        <v>10714</v>
      </c>
      <c r="B10714" s="2" t="str">
        <f>IFERROR(__xludf.DUMMYFUNCTION("GOOGLETRANSLATE(A10714, ""en"", ""mt"")"),"Ir-reat tal-Panthers, li wassal lill-NFL meta skorja (500 punt), kien mgħobbi bit-talent, li jiftaħar sitt selezzjonijiet Pro Bowl. Il-quarterback ta 'Pro Bowl Cam Newton kellu wieħed mill-aqwa staġuni tiegħu, jitfa' għal 3,837 tarzni u jgħaġġel għal 636,"&amp;" waqt li rrekordja 45 touchdowns totali ta 'karriera għolja u kampjonati (35 li jgħaddu, 10 ġirja), 10 interċezzjonijiet baxxi fil-karriera, u Klassifikazzjoni tal-aqwa quarterback tal-karriera ta '99 .4. Ir-riċevituri ewlenin ta 'Newton kienu tmiem stret"&amp;"t Greg Olsen, li qabad 77 pass fil-karriera għal 1,104 tarzni u seba' touchdowns, u r-riċevitur wiesa 'Ted Ginn, Jr., li qabad 44 pass għal 739 tarzna u 10 touchdowns; Ginn ġrew ukoll għal 60 jarda u rritorna 27 punti għal 277 tarzni. Riċevituri ewlenin o"&amp;"ħra kienu jinkludu l-veteran Jerricho Cotchery (39 riċeviment għal 485 tarzni), Rookie Devin Funchess (31 riċeviment għal 473 tarzni u ħames touchdowns), u r-riċevitur tat-tieni sena Corey Brown (31 riċeviment għal 447 tarzna). Il-backfield tal-Panthers d"&amp;"eher lil Pro Bowl li ġera lura Jonathan Stewart, li mexxa lit-tim b'989 tarzni u sitt touchdowns fi 13-il logħba, flimkien ma 'Pro Bowl fullback Mike Tolbert, li ġrew għal 256 tarzni u qabad 18-il pass għal 154 tarzna oħra. Il-linja offensiva ta 'Carolina"&amp;" kienet tidher ukoll żewġ selezzjonijiet ta' Pro Bowl: Centre Ryan Kalil u Guard Trai Turner.")</f>
        <v>Ir-reat tal-Panthers, li wassal lill-NFL meta skorja (500 punt), kien mgħobbi bit-talent, li jiftaħar sitt selezzjonijiet Pro Bowl. Il-quarterback ta 'Pro Bowl Cam Newton kellu wieħed mill-aqwa staġuni tiegħu, jitfa' għal 3,837 tarzni u jgħaġġel għal 636, waqt li rrekordja 45 touchdowns totali ta 'karriera għolja u kampjonati (35 li jgħaddu, 10 ġirja), 10 interċezzjonijiet baxxi fil-karriera, u Klassifikazzjoni tal-aqwa quarterback tal-karriera ta '99 .4. Ir-riċevituri ewlenin ta 'Newton kienu tmiem strett Greg Olsen, li qabad 77 pass fil-karriera għal 1,104 tarzni u seba' touchdowns, u r-riċevitur wiesa 'Ted Ginn, Jr., li qabad 44 pass għal 739 tarzna u 10 touchdowns; Ginn ġrew ukoll għal 60 jarda u rritorna 27 punti għal 277 tarzni. Riċevituri ewlenin oħra kienu jinkludu l-veteran Jerricho Cotchery (39 riċeviment għal 485 tarzni), Rookie Devin Funchess (31 riċeviment għal 473 tarzni u ħames touchdowns), u r-riċevitur tat-tieni sena Corey Brown (31 riċeviment għal 447 tarzna). Il-backfield tal-Panthers deher lil Pro Bowl li ġera lura Jonathan Stewart, li mexxa lit-tim b'989 tarzni u sitt touchdowns fi 13-il logħba, flimkien ma 'Pro Bowl fullback Mike Tolbert, li ġrew għal 256 tarzni u qabad 18-il pass għal 154 tarzna oħra. Il-linja offensiva ta 'Carolina kienet tidher ukoll żewġ selezzjonijiet ta' Pro Bowl: Centre Ryan Kalil u Guard Trai Turner.</v>
      </c>
    </row>
    <row r="10715" ht="15.75" customHeight="1">
      <c r="A10715" s="2" t="s">
        <v>10715</v>
      </c>
      <c r="B10715" s="2" t="str">
        <f>IFERROR(__xludf.DUMMYFUNCTION("GOOGLETRANSLATE(A10715, ""en"", ""mt"")"),"iservu u jipproteġu lill-pubbliku")</f>
        <v>iservu u jipproteġu lill-pubbliku</v>
      </c>
    </row>
    <row r="10716" ht="15.75" customHeight="1">
      <c r="A10716" s="2" t="s">
        <v>10716</v>
      </c>
      <c r="B10716" s="2" t="str">
        <f>IFERROR(__xludf.DUMMYFUNCTION("GOOGLETRANSLATE(A10716, ""en"", ""mt"")"),"Agrikoltura dwar l-Età tal-Bronż")</f>
        <v>Agrikoltura dwar l-Età tal-Bronż</v>
      </c>
    </row>
    <row r="10717" ht="15.75" customHeight="1">
      <c r="A10717" s="2" t="s">
        <v>10717</v>
      </c>
      <c r="B10717" s="2" t="str">
        <f>IFERROR(__xludf.DUMMYFUNCTION("GOOGLETRANSLATE(A10717, ""en"", ""mt"")"),"X'kien ir-rwol ta 'William Johnson fil-militar Ingliż?")</f>
        <v>X'kien ir-rwol ta 'William Johnson fil-militar Ingliż?</v>
      </c>
    </row>
    <row r="10718" ht="15.75" customHeight="1">
      <c r="A10718" s="2" t="s">
        <v>10718</v>
      </c>
      <c r="B10718" s="2" t="str">
        <f>IFERROR(__xludf.DUMMYFUNCTION("GOOGLETRANSLATE(A10718, ""en"", ""mt"")"),"X'kien l-isem tal-politika imperjalista fiċ-Ċina?")</f>
        <v>X'kien l-isem tal-politika imperjalista fiċ-Ċina?</v>
      </c>
    </row>
    <row r="10719" ht="15.75" customHeight="1">
      <c r="A10719" s="2" t="s">
        <v>10719</v>
      </c>
      <c r="B10719" s="2" t="str">
        <f>IFERROR(__xludf.DUMMYFUNCTION("GOOGLETRANSLATE(A10719, ""en"", ""mt"")"),"kunjardi orogeniċi")</f>
        <v>kunjardi orogeniċi</v>
      </c>
    </row>
    <row r="10720" ht="15.75" customHeight="1">
      <c r="A10720" s="2" t="s">
        <v>10720</v>
      </c>
      <c r="B10720" s="2" t="str">
        <f>IFERROR(__xludf.DUMMYFUNCTION("GOOGLETRANSLATE(A10720, ""en"", ""mt"")"),"Liema grupp ta 'ctenophore huma l-aktar diffiċli biex jiġu studjati?")</f>
        <v>Liema grupp ta 'ctenophore huma l-aktar diffiċli biex jiġu studjati?</v>
      </c>
    </row>
    <row r="10721" ht="15.75" customHeight="1">
      <c r="A10721" s="2" t="s">
        <v>10721</v>
      </c>
      <c r="B10721" s="2" t="str">
        <f>IFERROR(__xludf.DUMMYFUNCTION("GOOGLETRANSLATE(A10721, ""en"", ""mt"")"),"Kull tmien snin")</f>
        <v>Kull tmien snin</v>
      </c>
    </row>
    <row r="10722" ht="15.75" customHeight="1">
      <c r="A10722" s="2" t="s">
        <v>10722</v>
      </c>
      <c r="B10722" s="2" t="str">
        <f>IFERROR(__xludf.DUMMYFUNCTION("GOOGLETRANSLATE(A10722, ""en"", ""mt"")"),"Filippini")</f>
        <v>Filippini</v>
      </c>
    </row>
    <row r="10723" ht="15.75" customHeight="1">
      <c r="A10723" s="2" t="s">
        <v>10723</v>
      </c>
      <c r="B10723" s="2" t="str">
        <f>IFERROR(__xludf.DUMMYFUNCTION("GOOGLETRANSLATE(A10723, ""en"", ""mt"")"),"Triq Konwiktorska")</f>
        <v>Triq Konwiktorska</v>
      </c>
    </row>
    <row r="10724" ht="15.75" customHeight="1">
      <c r="A10724" s="2" t="s">
        <v>10724</v>
      </c>
      <c r="B10724" s="2" t="str">
        <f>IFERROR(__xludf.DUMMYFUNCTION("GOOGLETRANSLATE(A10724, ""en"", ""mt"")"),"ma ġewx restawrati")</f>
        <v>ma ġewx restawrati</v>
      </c>
    </row>
    <row r="10725" ht="15.75" customHeight="1">
      <c r="A10725" s="2" t="s">
        <v>10725</v>
      </c>
      <c r="B10725" s="2" t="str">
        <f>IFERROR(__xludf.DUMMYFUNCTION("GOOGLETRANSLATE(A10725, ""en"", ""mt"")"),"X'inhuma Chares?")</f>
        <v>X'inhuma Chares?</v>
      </c>
    </row>
    <row r="10726" ht="15.75" customHeight="1">
      <c r="A10726" s="2" t="s">
        <v>10726</v>
      </c>
      <c r="B10726" s="2" t="str">
        <f>IFERROR(__xludf.DUMMYFUNCTION("GOOGLETRANSLATE(A10726, ""en"", ""mt"")"),"L-ewwel liġi")</f>
        <v>L-ewwel liġi</v>
      </c>
    </row>
    <row r="10727" ht="15.75" customHeight="1">
      <c r="A10727" s="2" t="s">
        <v>10727</v>
      </c>
      <c r="B10727" s="2" t="str">
        <f>IFERROR(__xludf.DUMMYFUNCTION("GOOGLETRANSLATE(A10727, ""en"", ""mt"")"),"Tard is-seklu 14")</f>
        <v>Tard is-seklu 14</v>
      </c>
    </row>
    <row r="10728" ht="15.75" customHeight="1">
      <c r="A10728" s="2" t="s">
        <v>10728</v>
      </c>
      <c r="B10728" s="2" t="str">
        <f>IFERROR(__xludf.DUMMYFUNCTION("GOOGLETRANSLATE(A10728, ""en"", ""mt"")"),"X'kienet l-iktar bidla governattiva importanti għall-mandat tal-art?")</f>
        <v>X'kienet l-iktar bidla governattiva importanti għall-mandat tal-art?</v>
      </c>
    </row>
    <row r="10729" ht="15.75" customHeight="1">
      <c r="A10729" s="2" t="s">
        <v>10729</v>
      </c>
      <c r="B10729" s="2" t="str">
        <f>IFERROR(__xludf.DUMMYFUNCTION("GOOGLETRANSLATE(A10729, ""en"", ""mt"")"),"Fl-1990, x'kien l-itwal programm ta 'divertiment primetime fl-istorja ta' ABC?")</f>
        <v>Fl-1990, x'kien l-itwal programm ta 'divertiment primetime fl-istorja ta' ABC?</v>
      </c>
    </row>
    <row r="10730" ht="15.75" customHeight="1">
      <c r="A10730" s="2" t="s">
        <v>10730</v>
      </c>
      <c r="B10730" s="2" t="str">
        <f>IFERROR(__xludf.DUMMYFUNCTION("GOOGLETRANSLATE(A10730, ""en"", ""mt"")"),"fuq 3 ijiem")</f>
        <v>fuq 3 ijiem</v>
      </c>
    </row>
    <row r="10731" ht="15.75" customHeight="1">
      <c r="A10731" s="2" t="s">
        <v>10731</v>
      </c>
      <c r="B10731" s="2" t="str">
        <f>IFERROR(__xludf.DUMMYFUNCTION("GOOGLETRANSLATE(A10731, ""en"", ""mt"")"),"Formazzjonijiet tal-ħadid banded")</f>
        <v>Formazzjonijiet tal-ħadid banded</v>
      </c>
    </row>
    <row r="10732" ht="15.75" customHeight="1">
      <c r="A10732" s="2" t="s">
        <v>10732</v>
      </c>
      <c r="B10732" s="2" t="str">
        <f>IFERROR(__xludf.DUMMYFUNCTION("GOOGLETRANSLATE(A10732, ""en"", ""mt"")"),"Il-Prova ta 'Żmien Mulej")</f>
        <v>Il-Prova ta 'Żmien Mulej</v>
      </c>
    </row>
    <row r="10733" ht="15.75" customHeight="1">
      <c r="A10733" s="2" t="s">
        <v>10733</v>
      </c>
      <c r="B10733" s="2" t="str">
        <f>IFERROR(__xludf.DUMMYFUNCTION("GOOGLETRANSLATE(A10733, ""en"", ""mt"")"),"X'għamel Luther biex jevita meta waqqaf il-knisja tiegħu?")</f>
        <v>X'għamel Luther biex jevita meta waqqaf il-knisja tiegħu?</v>
      </c>
    </row>
    <row r="10734" ht="15.75" customHeight="1">
      <c r="A10734" s="2" t="s">
        <v>10734</v>
      </c>
      <c r="B10734" s="2" t="str">
        <f>IFERROR(__xludf.DUMMYFUNCTION("GOOGLETRANSLATE(A10734, ""en"", ""mt"")"),"Is-Sindku W. Haydon Burns '")</f>
        <v>Is-Sindku W. Haydon Burns '</v>
      </c>
    </row>
    <row r="10735" ht="15.75" customHeight="1">
      <c r="A10735" s="2" t="s">
        <v>10735</v>
      </c>
      <c r="B10735" s="2" t="str">
        <f>IFERROR(__xludf.DUMMYFUNCTION("GOOGLETRANSLATE(A10735, ""en"", ""mt"")"),"X'tip ta 'magni tipikament għandha l-karozza Amerikana?")</f>
        <v>X'tip ta 'magni tipikament għandha l-karozza Amerikana?</v>
      </c>
    </row>
    <row r="10736" ht="15.75" customHeight="1">
      <c r="A10736" s="2" t="s">
        <v>10736</v>
      </c>
      <c r="B10736" s="2" t="str">
        <f>IFERROR(__xludf.DUMMYFUNCTION("GOOGLETRANSLATE(A10736, ""en"", ""mt"")"),"X'għamel nsfnet eventwalment")</f>
        <v>X'għamel nsfnet eventwalment</v>
      </c>
    </row>
    <row r="10737" ht="15.75" customHeight="1">
      <c r="A10737" s="2" t="s">
        <v>10737</v>
      </c>
      <c r="B10737" s="2" t="str">
        <f>IFERROR(__xludf.DUMMYFUNCTION("GOOGLETRANSLATE(A10737, ""en"", ""mt"")"),"Iżlamisti moderati u riformisti li jaċċettaw u jaħdmu fil-proċess demokratiku jinkludu partijiet bħall-moviment Tuneżin Ennahda. Il-Jamaat-e-Islami tal-Pakistan huwa bażikament partit soċjo-politiku u Demokratiku Vanguard iżda kiseb ukoll influwenza polit"&amp;"ika permezz ta 'kolp ta' stat militari fil-passat. Il-gruppi Iżlamisti bħal Hezbollah fil-Libanu u l-Ħamas fil-Palestina jipparteċipaw fil-proċess demokratiku u politiku kif ukoll attakki armati, li jfittxu li jabolixxu l-istat ta ’Iżrael. Organizzazzjoni"&amp;"jiet Iżlamiċi radikali bħal Al-Qaeda u l-Ġiħad Iżlamiku Eġizzjan, u gruppi bħat-Taliban, jirrifjutaw kompletament id-demokrazija, li spiss jiddikjaraw bħala kuffar dawk il-Musulmani li jappoġġjawha (ara t-takfirizmu), kif ukoll jitolbu għal jihad vjolenti"&amp;" / offensiv jew li jħeġġeġ twettaq attakki fuq bażi reliġjuża.")</f>
        <v>Iżlamisti moderati u riformisti li jaċċettaw u jaħdmu fil-proċess demokratiku jinkludu partijiet bħall-moviment Tuneżin Ennahda. Il-Jamaat-e-Islami tal-Pakistan huwa bażikament partit soċjo-politiku u Demokratiku Vanguard iżda kiseb ukoll influwenza politika permezz ta 'kolp ta' stat militari fil-passat. Il-gruppi Iżlamisti bħal Hezbollah fil-Libanu u l-Ħamas fil-Palestina jipparteċipaw fil-proċess demokratiku u politiku kif ukoll attakki armati, li jfittxu li jabolixxu l-istat ta ’Iżrael. Organizzazzjonijiet Iżlamiċi radikali bħal Al-Qaeda u l-Ġiħad Iżlamiku Eġizzjan, u gruppi bħat-Taliban, jirrifjutaw kompletament id-demokrazija, li spiss jiddikjaraw bħala kuffar dawk il-Musulmani li jappoġġjawha (ara t-takfirizmu), kif ukoll jitolbu għal jihad vjolenti / offensiv jew li jħeġġeġ twettaq attakki fuq bażi reliġjuża.</v>
      </c>
    </row>
    <row r="10738" ht="15.75" customHeight="1">
      <c r="A10738" s="2" t="s">
        <v>10738</v>
      </c>
      <c r="B10738" s="2" t="str">
        <f>IFERROR(__xludf.DUMMYFUNCTION("GOOGLETRANSLATE(A10738, ""en"", ""mt"")"),"Pittsburgh, Pennsylvania")</f>
        <v>Pittsburgh, Pennsylvania</v>
      </c>
    </row>
    <row r="10739" ht="15.75" customHeight="1">
      <c r="A10739" s="2" t="s">
        <v>10739</v>
      </c>
      <c r="B10739" s="2" t="str">
        <f>IFERROR(__xludf.DUMMYFUNCTION("GOOGLETRANSLATE(A10739, ""en"", ""mt"")"),"Il-popolazzjoni tal-far ma kinitx biżżejjed")</f>
        <v>Il-popolazzjoni tal-far ma kinitx biżżejjed</v>
      </c>
    </row>
    <row r="10740" ht="15.75" customHeight="1">
      <c r="A10740" s="2" t="s">
        <v>10740</v>
      </c>
      <c r="B10740" s="2" t="str">
        <f>IFERROR(__xludf.DUMMYFUNCTION("GOOGLETRANSLATE(A10740, ""en"", ""mt"")"),"President tad-Diviżjoni tad-Divertiment tal-NBC")</f>
        <v>President tad-Diviżjoni tad-Divertiment tal-NBC</v>
      </c>
    </row>
    <row r="10741" ht="15.75" customHeight="1">
      <c r="A10741" s="2" t="s">
        <v>10741</v>
      </c>
      <c r="B10741" s="2" t="str">
        <f>IFERROR(__xludf.DUMMYFUNCTION("GOOGLETRANSLATE(A10741, ""en"", ""mt"")"),"X'inhu tipikament użat biex jiddefinixxi b'mod wiesa 'miżuri ta' kumplessità?")</f>
        <v>X'inhu tipikament użat biex jiddefinixxi b'mod wiesa 'miżuri ta' kumplessità?</v>
      </c>
    </row>
    <row r="10742" ht="15.75" customHeight="1">
      <c r="A10742" s="2" t="s">
        <v>10742</v>
      </c>
      <c r="B10742" s="2" t="str">
        <f>IFERROR(__xludf.DUMMYFUNCTION("GOOGLETRANSLATE(A10742, ""en"", ""mt"")"),"X'tip ta 'sħubija se tippermetti lir-ragħajja lokali jirtiraw bħala kleru?")</f>
        <v>X'tip ta 'sħubija se tippermetti lir-ragħajja lokali jirtiraw bħala kleru?</v>
      </c>
    </row>
    <row r="10743" ht="15.75" customHeight="1">
      <c r="A10743" s="2" t="s">
        <v>10743</v>
      </c>
      <c r="B10743" s="2" t="str">
        <f>IFERROR(__xludf.DUMMYFUNCTION("GOOGLETRANSLATE(A10743, ""en"", ""mt"")"),"F'liema għaxar snin ir-Rankine Cycle ħoloq 90% tal-enerġija elettrika?")</f>
        <v>F'liema għaxar snin ir-Rankine Cycle ħoloq 90% tal-enerġija elettrika?</v>
      </c>
    </row>
    <row r="10744" ht="15.75" customHeight="1">
      <c r="A10744" s="2" t="s">
        <v>10744</v>
      </c>
      <c r="B10744" s="2" t="str">
        <f>IFERROR(__xludf.DUMMYFUNCTION("GOOGLETRANSLATE(A10744, ""en"", ""mt"")"),"Il-Kalendarju tal-Qaddisin tal-Knisja tal-Ingilterra")</f>
        <v>Il-Kalendarju tal-Qaddisin tal-Knisja tal-Ingilterra</v>
      </c>
    </row>
    <row r="10745" ht="15.75" customHeight="1">
      <c r="A10745" s="2" t="s">
        <v>10745</v>
      </c>
      <c r="B10745" s="2" t="str">
        <f>IFERROR(__xludf.DUMMYFUNCTION("GOOGLETRANSLATE(A10745, ""en"", ""mt"")"),"arja dephlogisticated")</f>
        <v>arja dephlogisticated</v>
      </c>
    </row>
    <row r="10746" ht="15.75" customHeight="1">
      <c r="A10746" s="2" t="s">
        <v>10746</v>
      </c>
      <c r="B10746" s="2" t="str">
        <f>IFERROR(__xludf.DUMMYFUNCTION("GOOGLETRANSLATE(A10746, ""en"", ""mt"")"),"X'kien l-uniku reġjun fl-Ewropa li ma ħasibx mit-tribujiet Ġermaniċi?")</f>
        <v>X'kien l-uniku reġjun fl-Ewropa li ma ħasibx mit-tribujiet Ġermaniċi?</v>
      </c>
    </row>
    <row r="10747" ht="15.75" customHeight="1">
      <c r="A10747" s="2" t="s">
        <v>10747</v>
      </c>
      <c r="B10747" s="2" t="str">
        <f>IFERROR(__xludf.DUMMYFUNCTION("GOOGLETRANSLATE(A10747, ""en"", ""mt"")"),"Importaturi paralleli bħas-Sur Dassonville")</f>
        <v>Importaturi paralleli bħas-Sur Dassonville</v>
      </c>
    </row>
    <row r="10748" ht="15.75" customHeight="1">
      <c r="A10748" s="2" t="s">
        <v>10748</v>
      </c>
      <c r="B10748" s="2" t="str">
        <f>IFERROR(__xludf.DUMMYFUNCTION("GOOGLETRANSLATE(A10748, ""en"", ""mt"")"),"Renju tal-Prussja")</f>
        <v>Renju tal-Prussja</v>
      </c>
    </row>
    <row r="10749" ht="15.75" customHeight="1">
      <c r="A10749" s="2" t="s">
        <v>10749</v>
      </c>
      <c r="B10749" s="2" t="str">
        <f>IFERROR(__xludf.DUMMYFUNCTION("GOOGLETRANSLATE(A10749, ""en"", ""mt"")"),"Qlib ta 'blokka ta' messaġġi adattivi distribwiti")</f>
        <v>Qlib ta 'blokka ta' messaġġi adattivi distribwiti</v>
      </c>
    </row>
    <row r="10750" ht="15.75" customHeight="1">
      <c r="A10750" s="2" t="s">
        <v>10750</v>
      </c>
      <c r="B10750" s="2" t="str">
        <f>IFERROR(__xludf.DUMMYFUNCTION("GOOGLETRANSLATE(A10750, ""en"", ""mt"")"),"Meta impjant ikun imweġġa ', x'jista' jsir proplastids?")</f>
        <v>Meta impjant ikun imweġġa ', x'jista' jsir proplastids?</v>
      </c>
    </row>
    <row r="10751" ht="15.75" customHeight="1">
      <c r="A10751" s="2" t="s">
        <v>10751</v>
      </c>
      <c r="B10751" s="2" t="str">
        <f>IFERROR(__xludf.DUMMYFUNCTION("GOOGLETRANSLATE(A10751, ""en"", ""mt"")"),"Il-korruzzjoni misjuba mill-Kumitat ta 'Esperti Indipendenti rriżultat għall-ħolqien ta' liema uffiċċju?")</f>
        <v>Il-korruzzjoni misjuba mill-Kumitat ta 'Esperti Indipendenti rriżultat għall-ħolqien ta' liema uffiċċju?</v>
      </c>
    </row>
    <row r="10752" ht="15.75" customHeight="1">
      <c r="A10752" s="2" t="s">
        <v>10752</v>
      </c>
      <c r="B10752" s="2" t="str">
        <f>IFERROR(__xludf.DUMMYFUNCTION("GOOGLETRANSLATE(A10752, ""en"", ""mt"")"),"Fejn Tetzel qabeż it-tagħlim tiegħu?")</f>
        <v>Fejn Tetzel qabeż it-tagħlim tiegħu?</v>
      </c>
    </row>
    <row r="10753" ht="15.75" customHeight="1">
      <c r="A10753" s="2" t="s">
        <v>10753</v>
      </c>
      <c r="B10753" s="2" t="str">
        <f>IFERROR(__xludf.DUMMYFUNCTION("GOOGLETRANSLATE(A10753, ""en"", ""mt"")"),"bena t-triq tar-re")</f>
        <v>bena t-triq tar-re</v>
      </c>
    </row>
    <row r="10754" ht="15.75" customHeight="1">
      <c r="A10754" s="2" t="s">
        <v>10754</v>
      </c>
      <c r="B10754" s="2" t="str">
        <f>IFERROR(__xludf.DUMMYFUNCTION("GOOGLETRANSLATE(A10754, ""en"", ""mt"")"),"Fejn jista 'jinstab it-trattat?")</f>
        <v>Fejn jista 'jinstab it-trattat?</v>
      </c>
    </row>
    <row r="10755" ht="15.75" customHeight="1">
      <c r="A10755" s="2" t="s">
        <v>10755</v>
      </c>
      <c r="B10755" s="2" t="str">
        <f>IFERROR(__xludf.DUMMYFUNCTION("GOOGLETRANSLATE(A10755, ""en"", ""mt"")"),"Skejjel affiljati u denominazzjonali reliġjużament jiffurmaw subkategorija ta 'skejjel privati. Xi skejjel bħal dawn jgħallmu l-edukazzjoni reliġjuża, flimkien mas-suġġetti akkademiċi tas-soltu biex jimpressjonaw it-twemmin u t-tradizzjonijiet tal-fidi pa"&amp;"rtikolari tagħhom fl-istudenti li jattendu. Oħrajn jużaw id-denominazzjoni bħala aktar ta 'tikketta ġenerali biex jiddeskrivu fuq dak li l-fundaturi bbażaw it-twemmin tagħhom, filwaqt li għadhom iżommu distinzjoni fina bejn l-akkademiċi u r-reliġjon. Dawn"&amp;" jinkludu skejjel parrokkjali, terminu li ħafna drabi jintuża biex jindika skejjel Kattoliċi Rumani. Gruppi reliġjużi oħra rappreżentati fis-settur tal-edukazzjoni privata tal-K-12 jinkludu Protestanti, Lhud, Musulmani u l-Insara Ortodossi.")</f>
        <v>Skejjel affiljati u denominazzjonali reliġjużament jiffurmaw subkategorija ta 'skejjel privati. Xi skejjel bħal dawn jgħallmu l-edukazzjoni reliġjuża, flimkien mas-suġġetti akkademiċi tas-soltu biex jimpressjonaw it-twemmin u t-tradizzjonijiet tal-fidi partikolari tagħhom fl-istudenti li jattendu. Oħrajn jużaw id-denominazzjoni bħala aktar ta 'tikketta ġenerali biex jiddeskrivu fuq dak li l-fundaturi bbażaw it-twemmin tagħhom, filwaqt li għadhom iżommu distinzjoni fina bejn l-akkademiċi u r-reliġjon. Dawn jinkludu skejjel parrokkjali, terminu li ħafna drabi jintuża biex jindika skejjel Kattoliċi Rumani. Gruppi reliġjużi oħra rappreżentati fis-settur tal-edukazzjoni privata tal-K-12 jinkludu Protestanti, Lhud, Musulmani u l-Insara Ortodossi.</v>
      </c>
    </row>
    <row r="10756" ht="15.75" customHeight="1">
      <c r="A10756" s="2" t="s">
        <v>10756</v>
      </c>
      <c r="B10756" s="2" t="str">
        <f>IFERROR(__xludf.DUMMYFUNCTION("GOOGLETRANSLATE(A10756, ""en"", ""mt"")"),"siġill")</f>
        <v>siġill</v>
      </c>
    </row>
    <row r="10757" ht="15.75" customHeight="1">
      <c r="A10757" s="2" t="s">
        <v>10757</v>
      </c>
      <c r="B10757" s="2" t="str">
        <f>IFERROR(__xludf.DUMMYFUNCTION("GOOGLETRANSLATE(A10757, ""en"", ""mt"")"),"Kodiċi Yassa")</f>
        <v>Kodiċi Yassa</v>
      </c>
    </row>
    <row r="10758" ht="15.75" customHeight="1">
      <c r="A10758" s="2" t="s">
        <v>10758</v>
      </c>
      <c r="B10758" s="2" t="str">
        <f>IFERROR(__xludf.DUMMYFUNCTION("GOOGLETRANSLATE(A10758, ""en"", ""mt"")"),"X'inhi l-forza repulsiva ta 'interazzjoni ta' atomu ta 'firxa mill-qrib?")</f>
        <v>X'inhi l-forza repulsiva ta 'interazzjoni ta' atomu ta 'firxa mill-qrib?</v>
      </c>
    </row>
    <row r="10759" ht="15.75" customHeight="1">
      <c r="A10759" s="2" t="s">
        <v>10759</v>
      </c>
      <c r="B10759" s="2" t="str">
        <f>IFERROR(__xludf.DUMMYFUNCTION("GOOGLETRANSLATE(A10759, ""en"", ""mt"")"),"X'kien l-ammont ta 'royalties ġenerużi żżejjed li Tesla kienet qed tirċievi?")</f>
        <v>X'kien l-ammont ta 'royalties ġenerużi żżejjed li Tesla kienet qed tirċievi?</v>
      </c>
    </row>
    <row r="10760" ht="15.75" customHeight="1">
      <c r="A10760" s="2" t="s">
        <v>10760</v>
      </c>
      <c r="B10760" s="2" t="str">
        <f>IFERROR(__xludf.DUMMYFUNCTION("GOOGLETRANSLATE(A10760, ""en"", ""mt"")"),"stat Musulman")</f>
        <v>stat Musulman</v>
      </c>
    </row>
    <row r="10761" ht="15.75" customHeight="1">
      <c r="A10761" s="2" t="s">
        <v>10761</v>
      </c>
      <c r="B10761" s="2" t="str">
        <f>IFERROR(__xludf.DUMMYFUNCTION("GOOGLETRANSLATE(A10761, ""en"", ""mt"")"),"Westwood One se jġorr il-logħba madwar l-Amerika ta ’Fuq, bi Kevin Harlan bħala ħabbar play-by-play, Boomer Esiason u Dan Fouts bħala analisti tal-kulur, u James Lofton u Mark Malone bħala reporters tal-ġenb. Jim Gray se jankra l-kopertura ta 'qabel il-lo"&amp;"għba u l-mistrieħ.")</f>
        <v>Westwood One se jġorr il-logħba madwar l-Amerika ta ’Fuq, bi Kevin Harlan bħala ħabbar play-by-play, Boomer Esiason u Dan Fouts bħala analisti tal-kulur, u James Lofton u Mark Malone bħala reporters tal-ġenb. Jim Gray se jankra l-kopertura ta 'qabel il-logħba u l-mistrieħ.</v>
      </c>
    </row>
    <row r="10762" ht="15.75" customHeight="1">
      <c r="A10762" s="2" t="s">
        <v>10762</v>
      </c>
      <c r="B10762" s="2" t="str">
        <f>IFERROR(__xludf.DUMMYFUNCTION("GOOGLETRANSLATE(A10762, ""en"", ""mt"")"),"ix-xokk taż-żejt")</f>
        <v>ix-xokk taż-żejt</v>
      </c>
    </row>
    <row r="10763" ht="15.75" customHeight="1">
      <c r="A10763" s="2" t="s">
        <v>10763</v>
      </c>
      <c r="B10763" s="2" t="str">
        <f>IFERROR(__xludf.DUMMYFUNCTION("GOOGLETRANSLATE(A10763, ""en"", ""mt"")"),"muturi jew mopeds li jiġbdu karrijiet")</f>
        <v>muturi jew mopeds li jiġbdu karrijiet</v>
      </c>
    </row>
    <row r="10764" ht="15.75" customHeight="1">
      <c r="A10764" s="2" t="s">
        <v>10764</v>
      </c>
      <c r="B10764" s="2" t="str">
        <f>IFERROR(__xludf.DUMMYFUNCTION("GOOGLETRANSLATE(A10764, ""en"", ""mt"")"),"Sandwich, faversham u maidstone")</f>
        <v>Sandwich, faversham u maidstone</v>
      </c>
    </row>
    <row r="10765" ht="15.75" customHeight="1">
      <c r="A10765" s="2" t="s">
        <v>10765</v>
      </c>
      <c r="B10765" s="2" t="str">
        <f>IFERROR(__xludf.DUMMYFUNCTION("GOOGLETRANSLATE(A10765, ""en"", ""mt"")"),"Delta tal-marea")</f>
        <v>Delta tal-marea</v>
      </c>
    </row>
    <row r="10766" ht="15.75" customHeight="1">
      <c r="A10766" s="2" t="s">
        <v>10766</v>
      </c>
      <c r="B10766" s="2" t="str">
        <f>IFERROR(__xludf.DUMMYFUNCTION("GOOGLETRANSLATE(A10766, ""en"", ""mt"")"),"merkantiliżmu")</f>
        <v>merkantiliżmu</v>
      </c>
    </row>
    <row r="10767" ht="15.75" customHeight="1">
      <c r="A10767" s="2" t="s">
        <v>10767</v>
      </c>
      <c r="B10767" s="2" t="str">
        <f>IFERROR(__xludf.DUMMYFUNCTION("GOOGLETRANSLATE(A10767, ""en"", ""mt"")"),"il-bankier tal-ipoteki")</f>
        <v>il-bankier tal-ipoteki</v>
      </c>
    </row>
    <row r="10768" ht="15.75" customHeight="1">
      <c r="A10768" s="2" t="s">
        <v>10768</v>
      </c>
      <c r="B10768" s="2" t="str">
        <f>IFERROR(__xludf.DUMMYFUNCTION("GOOGLETRANSLATE(A10768, ""en"", ""mt"")"),"It-tim tad-disinn huwa l-aktar użat minn min?")</f>
        <v>It-tim tad-disinn huwa l-aktar użat minn min?</v>
      </c>
    </row>
    <row r="10769" ht="15.75" customHeight="1">
      <c r="A10769" s="2" t="s">
        <v>10769</v>
      </c>
      <c r="B10769" s="2" t="str">
        <f>IFERROR(__xludf.DUMMYFUNCTION("GOOGLETRANSLATE(A10769, ""en"", ""mt"")"),"funzjoni ta 'sostenn")</f>
        <v>funzjoni ta 'sostenn</v>
      </c>
    </row>
    <row r="10770" ht="15.75" customHeight="1">
      <c r="A10770" s="2" t="s">
        <v>10770</v>
      </c>
      <c r="B10770" s="2" t="str">
        <f>IFERROR(__xludf.DUMMYFUNCTION("GOOGLETRANSLATE(A10770, ""en"", ""mt"")"),"Assoċjazzjoni tal-Karozzi tal-Istat tal-Kalifornja")</f>
        <v>Assoċjazzjoni tal-Karozzi tal-Istat tal-Kalifornja</v>
      </c>
    </row>
    <row r="10771" ht="15.75" customHeight="1">
      <c r="A10771" s="2" t="s">
        <v>10771</v>
      </c>
      <c r="B10771" s="2" t="str">
        <f>IFERROR(__xludf.DUMMYFUNCTION("GOOGLETRANSLATE(A10771, ""en"", ""mt"")"),"L-ambizzjonijiet imperjalisti tal-Gran Brittanja jistgħu jidhru kmieni mis-seklu sittax. Fl-1599 il-Kumpanija Ingliża tal-Indja tal-Lvant ġiet stabbilita u ġiet mikrija mir-Reġina Eliżabetta fis-sena ta 'wara. Bl-istabbiliment ta 'karigi ta' kummerċ fl-In"&amp;"dja, l-Ingliżi setgħu jżommu saħħa relattivament għal oħrajn imperi bħall-Portugiż li diġà waqqaf postijiet kummerċjali fl-Indja. Fl-1767 l-attività politika kkawżat l-isfruttament tal-Kumpanija tal-Indja tal-Lvant li kkawżat it-tisħiħ tal-ekonomija lokal"&amp;"i, kważi ġab lill-kumpanija falluta.")</f>
        <v>L-ambizzjonijiet imperjalisti tal-Gran Brittanja jistgħu jidhru kmieni mis-seklu sittax. Fl-1599 il-Kumpanija Ingliża tal-Indja tal-Lvant ġiet stabbilita u ġiet mikrija mir-Reġina Eliżabetta fis-sena ta 'wara. Bl-istabbiliment ta 'karigi ta' kummerċ fl-Indja, l-Ingliżi setgħu jżommu saħħa relattivament għal oħrajn imperi bħall-Portugiż li diġà waqqaf postijiet kummerċjali fl-Indja. Fl-1767 l-attività politika kkawżat l-isfruttament tal-Kumpanija tal-Indja tal-Lvant li kkawżat it-tisħiħ tal-ekonomija lokali, kważi ġab lill-kumpanija falluta.</v>
      </c>
    </row>
    <row r="10772" ht="15.75" customHeight="1">
      <c r="A10772" s="2" t="s">
        <v>10772</v>
      </c>
      <c r="B10772" s="2" t="str">
        <f>IFERROR(__xludf.DUMMYFUNCTION("GOOGLETRANSLATE(A10772, ""en"", ""mt"")"),"X’tagħmel ir-rivoluzzjoni industrijali li ġara lil Newcastle?")</f>
        <v>X’tagħmel ir-rivoluzzjoni industrijali li ġara lil Newcastle?</v>
      </c>
    </row>
    <row r="10773" ht="15.75" customHeight="1">
      <c r="A10773" s="2" t="s">
        <v>10773</v>
      </c>
      <c r="B10773" s="2" t="str">
        <f>IFERROR(__xludf.DUMMYFUNCTION("GOOGLETRANSLATE(A10773, ""en"", ""mt"")"),"Aktar minn miljun")</f>
        <v>Aktar minn miljun</v>
      </c>
    </row>
    <row r="10774" ht="15.75" customHeight="1">
      <c r="A10774" s="2" t="s">
        <v>10774</v>
      </c>
      <c r="B10774" s="2" t="str">
        <f>IFERROR(__xludf.DUMMYFUNCTION("GOOGLETRANSLATE(A10774, ""en"", ""mt"")"),"X'jista 'jweġġa' s-saħħa mentali u fiżika ta 'għalliem?")</f>
        <v>X'jista 'jweġġa' s-saħħa mentali u fiżika ta 'għalliem?</v>
      </c>
    </row>
    <row r="10775" ht="15.75" customHeight="1">
      <c r="A10775" s="2" t="s">
        <v>10775</v>
      </c>
      <c r="B10775" s="2" t="str">
        <f>IFERROR(__xludf.DUMMYFUNCTION("GOOGLETRANSLATE(A10775, ""en"", ""mt"")"),"Teatru Ewropew")</f>
        <v>Teatru Ewropew</v>
      </c>
    </row>
    <row r="10776" ht="15.75" customHeight="1">
      <c r="A10776" s="2" t="s">
        <v>10776</v>
      </c>
      <c r="B10776" s="2" t="str">
        <f>IFERROR(__xludf.DUMMYFUNCTION("GOOGLETRANSLATE(A10776, ""en"", ""mt"")"),"X'inhu differenti dwar Cyanidioschyzon Merolæ?")</f>
        <v>X'inhu differenti dwar Cyanidioschyzon Merolæ?</v>
      </c>
    </row>
    <row r="10777" ht="15.75" customHeight="1">
      <c r="A10777" s="2" t="s">
        <v>10777</v>
      </c>
      <c r="B10777" s="2" t="str">
        <f>IFERROR(__xludf.DUMMYFUNCTION("GOOGLETRANSLATE(A10777, ""en"", ""mt"")"),"X’inhu promossi t-tkabbir tal-mnemiposis fil-Baħar l-Iswed?")</f>
        <v>X’inhu promossi t-tkabbir tal-mnemiposis fil-Baħar l-Iswed?</v>
      </c>
    </row>
    <row r="10778" ht="15.75" customHeight="1">
      <c r="A10778" s="2" t="s">
        <v>10778</v>
      </c>
      <c r="B10778" s="2" t="str">
        <f>IFERROR(__xludf.DUMMYFUNCTION("GOOGLETRANSLATE(A10778, ""en"", ""mt"")"),"Fl-4 ta 'Ġunju, 2014, l-NFL ħabbret li l-prattika tal-immarkar tal-logħob tas-Super Bowl b'numri Rumani, prattika stabbilita fis-Super Bowl V, tkun temporanjament sospiża, u li l-logħba tkun imsemmija bl-użu ta' numri Għarbi bħala Super Bowl 50 lil Super "&amp;"Bowl L. L-użu tan-numri Rumani se jerġa 'jiddaħħal għas-Super Bowl LI. Jaime Weston, il-viċi president tal-kampjonat tal-marka u kreattiv, spjega li raġuni primarja għall-bidla kienet id-diffikultà li tfassal logo estetikament pjaċevoli bl-ittra ""L"" bl-"&amp;"użu tal-mudell tal-logo standardizzat introdott fis-Super Bowl XLV. Il-logo jiddevja wkoll mill-mudell billi fih numri kbar, ikkuluriti fid-deheb, wara t-trofew Vince Lombardi, minflok taħt u fil-fidda bħal fil-logo standard.")</f>
        <v>Fl-4 ta 'Ġunju, 2014, l-NFL ħabbret li l-prattika tal-immarkar tal-logħob tas-Super Bowl b'numri Rumani, prattika stabbilita fis-Super Bowl V, tkun temporanjament sospiża, u li l-logħba tkun imsemmija bl-użu ta' numri Għarbi bħala Super Bowl 50 lil Super Bowl L. L-użu tan-numri Rumani se jerġa 'jiddaħħal għas-Super Bowl LI. Jaime Weston, il-viċi president tal-kampjonat tal-marka u kreattiv, spjega li raġuni primarja għall-bidla kienet id-diffikultà li tfassal logo estetikament pjaċevoli bl-ittra "L" bl-użu tal-mudell tal-logo standardizzat introdott fis-Super Bowl XLV. Il-logo jiddevja wkoll mill-mudell billi fih numri kbar, ikkuluriti fid-deheb, wara t-trofew Vince Lombardi, minflok taħt u fil-fidda bħal fil-logo standard.</v>
      </c>
    </row>
    <row r="10779" ht="15.75" customHeight="1">
      <c r="A10779" s="2" t="s">
        <v>10779</v>
      </c>
      <c r="B10779" s="2" t="str">
        <f>IFERROR(__xludf.DUMMYFUNCTION("GOOGLETRANSLATE(A10779, ""en"", ""mt"")"),"Liema membrana kienet mitlufa fil-kloroplasti euglenofiti?")</f>
        <v>Liema membrana kienet mitlufa fil-kloroplasti euglenofiti?</v>
      </c>
    </row>
    <row r="10780" ht="15.75" customHeight="1">
      <c r="A10780" s="2" t="s">
        <v>10780</v>
      </c>
      <c r="B10780" s="2" t="str">
        <f>IFERROR(__xludf.DUMMYFUNCTION("GOOGLETRANSLATE(A10780, ""en"", ""mt"")"),"X'tip ta 'sistema ta' infezzjoni tinvolvi li tiddaħħal tubu vojt f'ċellula ospitanti?")</f>
        <v>X'tip ta 'sistema ta' infezzjoni tinvolvi li tiddaħħal tubu vojt f'ċellula ospitanti?</v>
      </c>
    </row>
    <row r="10781" ht="15.75" customHeight="1">
      <c r="A10781" s="2" t="s">
        <v>10781</v>
      </c>
      <c r="B10781" s="2" t="str">
        <f>IFERROR(__xludf.DUMMYFUNCTION("GOOGLETRANSLATE(A10781, ""en"", ""mt"")"),"L-akbar komunità Amerikana Filippina")</f>
        <v>L-akbar komunità Amerikana Filippina</v>
      </c>
    </row>
    <row r="10782" ht="15.75" customHeight="1">
      <c r="A10782" s="2" t="s">
        <v>10782</v>
      </c>
      <c r="B10782" s="2" t="str">
        <f>IFERROR(__xludf.DUMMYFUNCTION("GOOGLETRANSLATE(A10782, ""en"", ""mt"")"),"Li r-rwol tagħhom huwa li tiddisinja x-xogħlijiet, tħejji l-ispeċifikazzjonijiet u tipproduċi tpinġijiet tal-kostruzzjoni, tamministra l-kuntratt, tenera x-xogħlijiet, u timmaniġġja x-xogħlijiet mill-bidu sal-tlestija")</f>
        <v>Li r-rwol tagħhom huwa li tiddisinja x-xogħlijiet, tħejji l-ispeċifikazzjonijiet u tipproduċi tpinġijiet tal-kostruzzjoni, tamministra l-kuntratt, tenera x-xogħlijiet, u timmaniġġja x-xogħlijiet mill-bidu sal-tlestija</v>
      </c>
    </row>
    <row r="10783" ht="15.75" customHeight="1">
      <c r="A10783" s="2" t="s">
        <v>10783</v>
      </c>
      <c r="B10783" s="2" t="str">
        <f>IFERROR(__xludf.DUMMYFUNCTION("GOOGLETRANSLATE(A10783, ""en"", ""mt"")"),"Il-Leġislatura tal-Florida")</f>
        <v>Il-Leġislatura tal-Florida</v>
      </c>
    </row>
    <row r="10784" ht="15.75" customHeight="1">
      <c r="A10784" s="2" t="s">
        <v>10784</v>
      </c>
      <c r="B10784" s="2" t="str">
        <f>IFERROR(__xludf.DUMMYFUNCTION("GOOGLETRANSLATE(A10784, ""en"", ""mt"")"),"B'liema korp għandu jirreġistra tekniku tal-ispiżerija?")</f>
        <v>B'liema korp għandu jirreġistra tekniku tal-ispiżerija?</v>
      </c>
    </row>
    <row r="10785" ht="15.75" customHeight="1">
      <c r="A10785" s="2" t="s">
        <v>10785</v>
      </c>
      <c r="B10785" s="2" t="str">
        <f>IFERROR(__xludf.DUMMYFUNCTION("GOOGLETRANSLATE(A10785, ""en"", ""mt"")"),"Liema żieda fil-piż tal-materjal waqt is-sadid kienet ħjiel bikri li t-teorija ta 'Philogiston kienet ħażina?")</f>
        <v>Liema żieda fil-piż tal-materjal waqt is-sadid kienet ħjiel bikri li t-teorija ta 'Philogiston kienet ħażina?</v>
      </c>
    </row>
    <row r="10786" ht="15.75" customHeight="1">
      <c r="A10786" s="2" t="s">
        <v>10786</v>
      </c>
      <c r="B10786" s="2" t="str">
        <f>IFERROR(__xludf.DUMMYFUNCTION("GOOGLETRANSLATE(A10786, ""en"", ""mt"")"),"Meta s-sistema immuni hija inqas attiva min-normal")</f>
        <v>Meta s-sistema immuni hija inqas attiva min-normal</v>
      </c>
    </row>
    <row r="10787" ht="15.75" customHeight="1">
      <c r="A10787" s="2" t="s">
        <v>10787</v>
      </c>
      <c r="B10787" s="2" t="str">
        <f>IFERROR(__xludf.DUMMYFUNCTION("GOOGLETRANSLATE(A10787, ""en"", ""mt"")"),"Imperu Ingliż")</f>
        <v>Imperu Ingliż</v>
      </c>
    </row>
    <row r="10788" ht="15.75" customHeight="1">
      <c r="A10788" s="2" t="s">
        <v>10788</v>
      </c>
      <c r="B10788" s="2" t="str">
        <f>IFERROR(__xludf.DUMMYFUNCTION("GOOGLETRANSLATE(A10788, ""en"", ""mt"")"),"termodinamiku")</f>
        <v>termodinamiku</v>
      </c>
    </row>
    <row r="10789" ht="15.75" customHeight="1">
      <c r="A10789" s="2" t="s">
        <v>10789</v>
      </c>
      <c r="B10789" s="2" t="str">
        <f>IFERROR(__xludf.DUMMYFUNCTION("GOOGLETRANSLATE(A10789, ""en"", ""mt"")"),"Liema komposti huma rilaxxati minn ċelloli mweġġa 'jew infettati, li jikkawżaw infjammazzjoni?")</f>
        <v>Liema komposti huma rilaxxati minn ċelloli mweġġa 'jew infettati, li jikkawżaw infjammazzjoni?</v>
      </c>
    </row>
    <row r="10790" ht="15.75" customHeight="1">
      <c r="A10790" s="2" t="s">
        <v>10790</v>
      </c>
      <c r="B10790" s="2" t="str">
        <f>IFERROR(__xludf.DUMMYFUNCTION("GOOGLETRANSLATE(A10790, ""en"", ""mt"")"),"Entużjażmu tal-għalliem")</f>
        <v>Entużjażmu tal-għalliem</v>
      </c>
    </row>
    <row r="10791" ht="15.75" customHeight="1">
      <c r="A10791" s="2" t="s">
        <v>10791</v>
      </c>
      <c r="B10791" s="2" t="str">
        <f>IFERROR(__xludf.DUMMYFUNCTION("GOOGLETRANSLATE(A10791, ""en"", ""mt"")"),"università jew kulleġġ")</f>
        <v>università jew kulleġġ</v>
      </c>
    </row>
    <row r="10792" ht="15.75" customHeight="1">
      <c r="A10792" s="2" t="s">
        <v>10792</v>
      </c>
      <c r="B10792" s="2" t="str">
        <f>IFERROR(__xludf.DUMMYFUNCTION("GOOGLETRANSLATE(A10792, ""en"", ""mt"")"),"li jikkonvertu")</f>
        <v>li jikkonvertu</v>
      </c>
    </row>
    <row r="10793" ht="15.75" customHeight="1">
      <c r="A10793" s="2" t="s">
        <v>10793</v>
      </c>
      <c r="B10793" s="2" t="str">
        <f>IFERROR(__xludf.DUMMYFUNCTION("GOOGLETRANSLATE(A10793, ""en"", ""mt"")"),"Xi jfisser il-leġġenda tgħid li Genghis Khan uża biex iħassar il-post tat-twelid tal-emporer ta 'Kharezmid?")</f>
        <v>Xi jfisser il-leġġenda tgħid li Genghis Khan uża biex iħassar il-post tat-twelid tal-emporer ta 'Kharezmid?</v>
      </c>
    </row>
    <row r="10794" ht="15.75" customHeight="1">
      <c r="A10794" s="2" t="s">
        <v>10794</v>
      </c>
      <c r="B10794" s="2" t="str">
        <f>IFERROR(__xludf.DUMMYFUNCTION("GOOGLETRANSLATE(A10794, ""en"", ""mt"")"),"X'jiġri f'dan il-liwja fir-Renu?")</f>
        <v>X'jiġri f'dan il-liwja fir-Renu?</v>
      </c>
    </row>
    <row r="10795" ht="15.75" customHeight="1">
      <c r="A10795" s="2" t="s">
        <v>10795</v>
      </c>
      <c r="B10795" s="2" t="str">
        <f>IFERROR(__xludf.DUMMYFUNCTION("GOOGLETRANSLATE(A10795, ""en"", ""mt"")"),"Għal ħafna applikazzjonijiet ġeoloġiċi, il-proporzjonijiet ta 'iżotopi ta' elementi radjuattivi huma mkejla f'minerali li jagħtu l-ammont ta 'ħin li għadda minn meta blat għadda mit-temperatura ta' għeluq partikolari tiegħu, il-punt li fih iżotopi radjome"&amp;"triċi differenti jieqfu jxerrdu ġewwa u barra mill-kannizzata tal-kristall. Dawn jintużaw fi studji ġeokronoloġiċi u termokronoloġiċi. Metodi komuni jinkludu dating taċ-ċomb tal-uranju, dating tal-argon tal-potassju, dating tal-argon-argon u dating tal-ur"&amp;"anju. Dawn il-metodi jintużaw għal varjetà ta 'applikazzjonijiet. Id-dating ta 'lava u saffi ta' rmied vulkaniku misjuba f'sekwenza stratigrafika tista 'tipprovdi dejta ta' età assoluta għal unitajiet ta 'blat sedimentarju li ma fihomx iżotopi radjuattivi"&amp;" u jikkalibraw tekniki ta' dating relattivi. Dawn il-metodi jistgħu jintużaw ukoll biex jiddeterminaw l-etajiet ta 'pluton emplacement. Tekniki termokimiċi jistgħu jintużaw biex jiddeterminaw il-profili tat-temperatura fil-qoxra, l-irfigħ tal-firxiet tal-"&amp;"muntanji, u l-paleotopografija.")</f>
        <v>Għal ħafna applikazzjonijiet ġeoloġiċi, il-proporzjonijiet ta 'iżotopi ta' elementi radjuattivi huma mkejla f'minerali li jagħtu l-ammont ta 'ħin li għadda minn meta blat għadda mit-temperatura ta' għeluq partikolari tiegħu, il-punt li fih iżotopi radjometriċi differenti jieqfu jxerrdu ġewwa u barra mill-kannizzata tal-kristall. Dawn jintużaw fi studji ġeokronoloġiċi u termokronoloġiċi. Metodi komuni jinkludu dating taċ-ċomb tal-uranju, dating tal-argon tal-potassju, dating tal-argon-argon u dating tal-uranju. Dawn il-metodi jintużaw għal varjetà ta 'applikazzjonijiet. Id-dating ta 'lava u saffi ta' rmied vulkaniku misjuba f'sekwenza stratigrafika tista 'tipprovdi dejta ta' età assoluta għal unitajiet ta 'blat sedimentarju li ma fihomx iżotopi radjuattivi u jikkalibraw tekniki ta' dating relattivi. Dawn il-metodi jistgħu jintużaw ukoll biex jiddeterminaw l-etajiet ta 'pluton emplacement. Tekniki termokimiċi jistgħu jintużaw biex jiddeterminaw il-profili tat-temperatura fil-qoxra, l-irfigħ tal-firxiet tal-muntanji, u l-paleotopografija.</v>
      </c>
    </row>
    <row r="10796" ht="15.75" customHeight="1">
      <c r="A10796" s="2" t="s">
        <v>10796</v>
      </c>
      <c r="B10796" s="2" t="str">
        <f>IFERROR(__xludf.DUMMYFUNCTION("GOOGLETRANSLATE(A10796, ""en"", ""mt"")"),"passiġġier")</f>
        <v>passiġġier</v>
      </c>
    </row>
    <row r="10797" ht="15.75" customHeight="1">
      <c r="A10797" s="2" t="s">
        <v>10797</v>
      </c>
      <c r="B10797" s="2" t="str">
        <f>IFERROR(__xludf.DUMMYFUNCTION("GOOGLETRANSLATE(A10797, ""en"", ""mt"")"),"Liema esperjenzi ta 'aċċellerazzjoni meta forza esterna hija applikata għal sistema?")</f>
        <v>Liema esperjenzi ta 'aċċellerazzjoni meta forza esterna hija applikata għal sistema?</v>
      </c>
    </row>
    <row r="10798" ht="15.75" customHeight="1">
      <c r="A10798" s="2" t="s">
        <v>10798</v>
      </c>
      <c r="B10798" s="2" t="str">
        <f>IFERROR(__xludf.DUMMYFUNCTION("GOOGLETRANSLATE(A10798, ""en"", ""mt"")"),"xogħol niket fuq id-dnub")</f>
        <v>xogħol niket fuq id-dnub</v>
      </c>
    </row>
    <row r="10799" ht="15.75" customHeight="1">
      <c r="A10799" s="2" t="s">
        <v>10799</v>
      </c>
      <c r="B10799" s="2" t="str">
        <f>IFERROR(__xludf.DUMMYFUNCTION("GOOGLETRANSLATE(A10799, ""en"", ""mt"")"),"L-Istitut Franklin")</f>
        <v>L-Istitut Franklin</v>
      </c>
    </row>
    <row r="10800" ht="15.75" customHeight="1">
      <c r="A10800" s="2" t="s">
        <v>10800</v>
      </c>
      <c r="B10800" s="2" t="str">
        <f>IFERROR(__xludf.DUMMYFUNCTION("GOOGLETRANSLATE(A10800, ""en"", ""mt"")"),"X'tip ta 'università hija l-Istitut tat-Teknoloġija ta' California?")</f>
        <v>X'tip ta 'università hija l-Istitut tat-Teknoloġija ta' California?</v>
      </c>
    </row>
    <row r="10801" ht="15.75" customHeight="1">
      <c r="A10801" s="2" t="s">
        <v>10801</v>
      </c>
      <c r="B10801" s="2" t="str">
        <f>IFERROR(__xludf.DUMMYFUNCTION("GOOGLETRANSLATE(A10801, ""en"", ""mt"")"),"X'tip ta 'post huwa t-Teatr Wielki?")</f>
        <v>X'tip ta 'post huwa t-Teatr Wielki?</v>
      </c>
    </row>
    <row r="10802" ht="15.75" customHeight="1">
      <c r="A10802" s="2" t="s">
        <v>10802</v>
      </c>
      <c r="B10802" s="2" t="str">
        <f>IFERROR(__xludf.DUMMYFUNCTION("GOOGLETRANSLATE(A10802, ""en"", ""mt"")"),"li jinvolvu kunjardi orogeniċi")</f>
        <v>li jinvolvu kunjardi orogeniċi</v>
      </c>
    </row>
    <row r="10803" ht="15.75" customHeight="1">
      <c r="A10803" s="2" t="s">
        <v>10803</v>
      </c>
      <c r="B10803" s="2" t="str">
        <f>IFERROR(__xludf.DUMMYFUNCTION("GOOGLETRANSLATE(A10803, ""en"", ""mt"")"),"Kif huma spjegati l-forzi tal-partikuli u l-aċċelerazzjonijiet kif mill-iskambju tal-bosons tal-kejl?")</f>
        <v>Kif huma spjegati l-forzi tal-partikuli u l-aċċelerazzjonijiet kif mill-iskambju tal-bosons tal-kejl?</v>
      </c>
    </row>
    <row r="10804" ht="15.75" customHeight="1">
      <c r="A10804" s="2" t="s">
        <v>10804</v>
      </c>
      <c r="B10804" s="2" t="str">
        <f>IFERROR(__xludf.DUMMYFUNCTION("GOOGLETRANSLATE(A10804, ""en"", ""mt"")"),"Biex tagħmel leġislazzjoni ġdida, l-Artikolu 294 tat-TFEU jiddefinixxi l- ""proċedura leġiżlattiva ordinarja"" li tapplika għall-biċċa l-kbira tal-atti tal-UE. L-essenza hija li hemm tliet qari, li jibdew bi proposta ta 'kummissjoni, fejn il-parlament iri"&amp;"d jivvota b'maġġoranza tal-MEPs kollha (mhux biss dawk preżenti) biex jimblokka jew jissuġġerixxi bidliet, u l-kunsill għandu jivvota b'maġġoranza kwalifikata biex japprova bidliet, iżda bl-unanimità biex timblokka l-emenda tal-kummissjoni. Meta l-istituz"&amp;"zjonijiet differenti ma jistgħux jaqblu fi kwalunkwe stadju, huwa mlaqqa '""kumitat ta' konċiljazzjoni"", li jirrappreżenta lill-MEPs, lill-ministri u lill-Kummissjoni biex jippruvaw jiksbu ftehim fuq test konġunt: jekk dan jaħdem, dan jintbagħat lura lil"&amp;"l-Parlament u l-Kunsill biex japprova b'maġġoranza assoluta u kwalifikata. Dan ifisser, il-leġiżlazzjoni tista 'tiġi mblukkata b'maġġoranza fil-Parlament, minoranza fil-kunsill, u maġġoranza fil-kummissjoni: huwa iktar diffiċli li tinbidel il-liġi tal-UE "&amp;"milli tibqa' l-istess. Proċedura differenti teżisti għall-baġits. Għal ""kooperazzjoni msaħħa"" fost sotto-sett ta 'mill-inqas stati membri, l-awtorizzazzjoni għandha tingħata mill-kunsill. Il-gvernijiet tal-Istat Membru għandhom jiġu infurmati mill-Kummi"&amp;"ssjoni mill-bidu qabel ma kwalunkwe proposta tibda l-proċedura leġiżlattiva. L-UE kollha kemm hi tista 'taġixxi biss fil-poter tagħha stabbilita fit-trattati. L-Artikoli 4 u 5 tat-TEU jiddikjaraw li s-setgħat jibqgħu mal-istati membri sakemm ma jkunux ġew"&amp;" mogħtija, għalkemm hemm dibattitu dwar il-mistoqsija Kompetenz-Kompetenz: li fl-aħħar għandu l- ""kompetenza"" biex jiddefinixxi l- ""kompetenza"" tal-UE. Bosta qrati tal-istat membri jemmnu li jiddeċiedu, parlamenti oħra tal-istat membri jemmnu li jidde"&amp;"ċiedu, waqt li fl-UE, il-Qorti tal-Ġustizzja temmen li għandha l-aħħar kelma.")</f>
        <v>Biex tagħmel leġislazzjoni ġdida, l-Artikolu 294 tat-TFEU jiddefinixxi l- "proċedura leġiżlattiva ordinarja" li tapplika għall-biċċa l-kbira tal-atti tal-UE. L-essenza hija li hemm tliet qari, li jibdew bi proposta ta 'kummissjoni, fejn il-parlament irid jivvota b'maġġoranza tal-MEPs kollha (mhux biss dawk preżenti) biex jimblokka jew jissuġġerixxi bidliet, u l-kunsill għandu jivvota b'maġġoranza kwalifikata biex japprova bidliet, iżda bl-unanimità biex timblokka l-emenda tal-kummissjoni. Meta l-istituzzjonijiet differenti ma jistgħux jaqblu fi kwalunkwe stadju, huwa mlaqqa '"kumitat ta' konċiljazzjoni", li jirrappreżenta lill-MEPs, lill-ministri u lill-Kummissjoni biex jippruvaw jiksbu ftehim fuq test konġunt: jekk dan jaħdem, dan jintbagħat lura lill-Parlament u l-Kunsill biex japprova b'maġġoranza assoluta u kwalifikata. Dan ifisser, il-leġiżlazzjoni tista 'tiġi mblukkata b'maġġoranza fil-Parlament, minoranza fil-kunsill, u maġġoranza fil-kummissjoni: huwa iktar diffiċli li tinbidel il-liġi tal-UE milli tibqa' l-istess. Proċedura differenti teżisti għall-baġits. Għal "kooperazzjoni msaħħa" fost sotto-sett ta 'mill-inqas stati membri, l-awtorizzazzjoni għandha tingħata mill-kunsill. Il-gvernijiet tal-Istat Membru għandhom jiġu infurmati mill-Kummissjoni mill-bidu qabel ma kwalunkwe proposta tibda l-proċedura leġiżlattiva. L-UE kollha kemm hi tista 'taġixxi biss fil-poter tagħha stabbilita fit-trattati. L-Artikoli 4 u 5 tat-TEU jiddikjaraw li s-setgħat jibqgħu mal-istati membri sakemm ma jkunux ġew mogħtija, għalkemm hemm dibattitu dwar il-mistoqsija Kompetenz-Kompetenz: li fl-aħħar għandu l- "kompetenza" biex jiddefinixxi l- "kompetenza" tal-UE. Bosta qrati tal-istat membri jemmnu li jiddeċiedu, parlamenti oħra tal-istat membri jemmnu li jiddeċiedu, waqt li fl-UE, il-Qorti tal-Ġustizzja temmen li għandha l-aħħar kelma.</v>
      </c>
    </row>
    <row r="10805" ht="15.75" customHeight="1">
      <c r="A10805" s="2" t="s">
        <v>10805</v>
      </c>
      <c r="B10805" s="2" t="str">
        <f>IFERROR(__xludf.DUMMYFUNCTION("GOOGLETRANSLATE(A10805, ""en"", ""mt"")"),"X'kienu wħud mill-esperimenti ta 'Tesla?")</f>
        <v>X'kienu wħud mill-esperimenti ta 'Tesla?</v>
      </c>
    </row>
    <row r="10806" ht="15.75" customHeight="1">
      <c r="A10806" s="2" t="s">
        <v>10806</v>
      </c>
      <c r="B10806" s="2" t="str">
        <f>IFERROR(__xludf.DUMMYFUNCTION("GOOGLETRANSLATE(A10806, ""en"", ""mt"")"),"proċess edukattiv")</f>
        <v>proċess edukattiv</v>
      </c>
    </row>
    <row r="10807" ht="15.75" customHeight="1">
      <c r="A10807" s="2" t="s">
        <v>10807</v>
      </c>
      <c r="B10807" s="2" t="str">
        <f>IFERROR(__xludf.DUMMYFUNCTION("GOOGLETRANSLATE(A10807, ""en"", ""mt"")"),"""Makrocilia""")</f>
        <v>"Makrocilia"</v>
      </c>
    </row>
    <row r="10808" ht="15.75" customHeight="1">
      <c r="A10808" s="2" t="s">
        <v>10808</v>
      </c>
      <c r="B10808" s="2" t="str">
        <f>IFERROR(__xludf.DUMMYFUNCTION("GOOGLETRANSLATE(A10808, ""en"", ""mt"")"),"X'tip ta 'teatru huwa l-Fotoplastikon ta' Varsavja?")</f>
        <v>X'tip ta 'teatru huwa l-Fotoplastikon ta' Varsavja?</v>
      </c>
    </row>
    <row r="10809" ht="15.75" customHeight="1">
      <c r="A10809" s="2" t="s">
        <v>10809</v>
      </c>
      <c r="B10809" s="2" t="str">
        <f>IFERROR(__xludf.DUMMYFUNCTION("GOOGLETRANSLATE(A10809, ""en"", ""mt"")"),"vleġeġ, xwabel, u tarki tal-ġilda")</f>
        <v>vleġeġ, xwabel, u tarki tal-ġilda</v>
      </c>
    </row>
    <row r="10810" ht="15.75" customHeight="1">
      <c r="A10810" s="2" t="s">
        <v>10810</v>
      </c>
      <c r="B10810" s="2" t="str">
        <f>IFERROR(__xludf.DUMMYFUNCTION("GOOGLETRANSLATE(A10810, ""en"", ""mt"")"),"Dak li ġie ssuġġerit fis-simpożju fl-1967")</f>
        <v>Dak li ġie ssuġġerit fis-simpożju fl-1967</v>
      </c>
    </row>
    <row r="10811" ht="15.75" customHeight="1">
      <c r="A10811" s="2" t="s">
        <v>10811</v>
      </c>
      <c r="B10811" s="2" t="str">
        <f>IFERROR(__xludf.DUMMYFUNCTION("GOOGLETRANSLATE(A10811, ""en"", ""mt"")"),"X’wiegħed missier Tesla waqt li kien imqabbad?")</f>
        <v>X’wiegħed missier Tesla waqt li kien imqabbad?</v>
      </c>
    </row>
    <row r="10812" ht="15.75" customHeight="1">
      <c r="A10812" s="2" t="s">
        <v>10812</v>
      </c>
      <c r="B10812" s="2" t="str">
        <f>IFERROR(__xludf.DUMMYFUNCTION("GOOGLETRANSLATE(A10812, ""en"", ""mt"")"),"X'kienet ir-raġuni ewlenija għall-bidla għall-fehma li l-inugwaljanza tad-dħul tagħmel ħsara lit-tkabbir?")</f>
        <v>X'kienet ir-raġuni ewlenija għall-bidla għall-fehma li l-inugwaljanza tad-dħul tagħmel ħsara lit-tkabbir?</v>
      </c>
    </row>
    <row r="10813" ht="15.75" customHeight="1">
      <c r="A10813" s="2" t="s">
        <v>10813</v>
      </c>
      <c r="B10813" s="2" t="str">
        <f>IFERROR(__xludf.DUMMYFUNCTION("GOOGLETRANSLATE(A10813, ""en"", ""mt"")"),"Fejn qal Luther li r-ruħ ma torqodx, anzi għandha viżjonijiet?")</f>
        <v>Fejn qal Luther li r-ruħ ma torqodx, anzi għandha viżjonijiet?</v>
      </c>
    </row>
    <row r="10814" ht="15.75" customHeight="1">
      <c r="A10814" s="2" t="s">
        <v>10814</v>
      </c>
      <c r="B10814" s="2" t="str">
        <f>IFERROR(__xludf.DUMMYFUNCTION("GOOGLETRANSLATE(A10814, ""en"", ""mt"")"),"Liġi tal-liġi")</f>
        <v>Liġi tal-liġi</v>
      </c>
    </row>
    <row r="10815" ht="15.75" customHeight="1">
      <c r="A10815" s="2" t="s">
        <v>10815</v>
      </c>
      <c r="B10815" s="2" t="str">
        <f>IFERROR(__xludf.DUMMYFUNCTION("GOOGLETRANSLATE(A10815, ""en"", ""mt"")"),"Min ħareġ il-Proklamazzjoni Rjali tal-1763?")</f>
        <v>Min ħareġ il-Proklamazzjoni Rjali tal-1763?</v>
      </c>
    </row>
    <row r="10816" ht="15.75" customHeight="1">
      <c r="A10816" s="2" t="s">
        <v>10816</v>
      </c>
      <c r="B10816" s="2" t="str">
        <f>IFERROR(__xludf.DUMMYFUNCTION("GOOGLETRANSLATE(A10816, ""en"", ""mt"")"),"It-terminu konferenza annwali spiss jintuża biex jirreferi għal xiex?")</f>
        <v>It-terminu konferenza annwali spiss jintuża biex jirreferi għal xiex?</v>
      </c>
    </row>
    <row r="10817" ht="15.75" customHeight="1">
      <c r="A10817" s="2" t="s">
        <v>10817</v>
      </c>
      <c r="B10817" s="2" t="str">
        <f>IFERROR(__xludf.DUMMYFUNCTION("GOOGLETRANSLATE(A10817, ""en"", ""mt"")"),"Tymnet kien netwerk ta 'komunikazzjonijiet ta' dejta internazzjonali bil-kwartjieri ġenerali f'San Jose, CA li utilizza l-interfaces ta 'pakkett ta' sejħa virtwali u uża X.25, SNA / SDLC, BSC u ASCII interfaces biex jgħaqqdu kompjuters ospitanti (servers)"&amp;" f'eluf ta 'kumpaniji kbar, istituzzjonijiet edukattivi, u aġenziji tal-gvern. L-utenti tipikament konnessi permezz ta 'konnessjonijiet dial-up jew konnessjonijiet ta' async iddedikati. In-negozju kien jikkonsisti minn netwerk pubbliku kbir li appoġġa lil"&amp;"l-utenti dial-up u negozju ta 'netwerk privat li ppermetta aġenziji tal-gvern u kumpaniji kbar (l-aktar banek u linji tal-ajru) biex jibnu n-netwerks iddedikati tagħhom stess. In-netwerks privati ​​spiss kienu konnessi permezz ta ’gateways man-netwerk pub"&amp;"bliku biex jilħqu postijiet mhux fuq in-netwerk privat. Tymnet kien ukoll konness ma 'għexieren ta' netwerks pubbliċi oħra fl-Istati Uniti u internazzjonalment permezz ta 'gateways X.25 / x.75. (Nota interessanti: Tymnet ma kienx imsemmi wara s-Sur Tyme. "&amp;"Impjegat ieħor issuġġerixxa l-isem.)")</f>
        <v>Tymnet kien netwerk ta 'komunikazzjonijiet ta' dejta internazzjonali bil-kwartjieri ġenerali f'San Jose, CA li utilizza l-interfaces ta 'pakkett ta' sejħa virtwali u uża X.25, SNA / SDLC, BSC u ASCII interfaces biex jgħaqqdu kompjuters ospitanti (servers) f'eluf ta 'kumpaniji kbar, istituzzjonijiet edukattivi, u aġenziji tal-gvern. L-utenti tipikament konnessi permezz ta 'konnessjonijiet dial-up jew konnessjonijiet ta' async iddedikati. In-negozju kien jikkonsisti minn netwerk pubbliku kbir li appoġġa lill-utenti dial-up u negozju ta 'netwerk privat li ppermetta aġenziji tal-gvern u kumpaniji kbar (l-aktar banek u linji tal-ajru) biex jibnu n-netwerks iddedikati tagħhom stess. In-netwerks privati ​​spiss kienu konnessi permezz ta ’gateways man-netwerk pubbliku biex jilħqu postijiet mhux fuq in-netwerk privat. Tymnet kien ukoll konness ma 'għexieren ta' netwerks pubbliċi oħra fl-Istati Uniti u internazzjonalment permezz ta 'gateways X.25 / x.75. (Nota interessanti: Tymnet ma kienx imsemmi wara s-Sur Tyme. Impjegat ieħor issuġġerixxa l-isem.)</v>
      </c>
    </row>
    <row r="10818" ht="15.75" customHeight="1">
      <c r="A10818" s="2" t="s">
        <v>10818</v>
      </c>
      <c r="B10818" s="2" t="str">
        <f>IFERROR(__xludf.DUMMYFUNCTION("GOOGLETRANSLATE(A10818, ""en"", ""mt"")"),"X’jagħmel it-Tabib Min jagħmel meta ġismu jiġi bil-ħsara mortali?")</f>
        <v>X’jagħmel it-Tabib Min jagħmel meta ġismu jiġi bil-ħsara mortali?</v>
      </c>
    </row>
    <row r="10819" ht="15.75" customHeight="1">
      <c r="A10819" s="2" t="s">
        <v>10819</v>
      </c>
      <c r="B10819" s="2" t="str">
        <f>IFERROR(__xludf.DUMMYFUNCTION("GOOGLETRANSLATE(A10819, ""en"", ""mt"")"),"Biex tiżgura li r-riċetta tkun valida")</f>
        <v>Biex tiżgura li r-riċetta tkun valida</v>
      </c>
    </row>
    <row r="10820" ht="15.75" customHeight="1">
      <c r="A10820" s="2" t="s">
        <v>10820</v>
      </c>
      <c r="B10820" s="2" t="str">
        <f>IFERROR(__xludf.DUMMYFUNCTION("GOOGLETRANSLATE(A10820, ""en"", ""mt"")"),"Huwa ħadem bħala rapporteur")</f>
        <v>Huwa ħadem bħala rapporteur</v>
      </c>
    </row>
    <row r="10821" ht="15.75" customHeight="1">
      <c r="A10821" s="2" t="s">
        <v>10821</v>
      </c>
      <c r="B10821" s="2" t="str">
        <f>IFERROR(__xludf.DUMMYFUNCTION("GOOGLETRANSLATE(A10821, ""en"", ""mt"")"),"Storikament, il-Knisja Metodista appoġġat il-moviment tat-tempra. John Wesley wissa kontra l-perikli tax-xorb fil-priedka famuża tiegħu, ""l-użu tal-flus,"" u fl-ittra tiegħu lil alkoħoliku. F’ħin minnhom, il-ministri Metodisti kellhom jieħdu wegħda li ma"&amp;" jixorbux u jħeġġu lill-kongregazzjonijiet tagħhom biex jagħmlu l-istess. Illum il-Knisja Metodista Magħquda tiddikjara li ""tafferma l-appoġġ ta 'l-astinenza li ilha għaddejja mill-alkoħol bħala xhud leali għal Alla li jillibera u jifdi l-imħabba għall-p"&amp;"ersuni."" Fil-fatt, il-Knisja Metodista Magħquda tuża meraq tal-għeneb mhux iffermentat fis-sagrament tat-Tqarbin Imqaddes, u b'hekk ""tesprimi tħassib pastorali għall-irkupru tal-alkoħoliċi, li tippermetti l-parteċipazzjoni tat-tfal u ż-żgħażagħ, u tappo"&amp;"ġġja x-xhieda tal-knisja ta 'astinenza."" Barra minn hekk, fl-2011 u fl-2012, il-Bord Ġenerali tal-Knisja u s-Soċjetà tal-Knisja Metodista Magħquda talab lill-Metodisti Magħquda kollha biex jastjenu mill-alkoħol għar-Randan.")</f>
        <v>Storikament, il-Knisja Metodista appoġġat il-moviment tat-tempra. John Wesley wissa kontra l-perikli tax-xorb fil-priedka famuża tiegħu, "l-użu tal-flus," u fl-ittra tiegħu lil alkoħoliku. F’ħin minnhom, il-ministri Metodisti kellhom jieħdu wegħda li ma jixorbux u jħeġġu lill-kongregazzjonijiet tagħhom biex jagħmlu l-istess. Illum il-Knisja Metodista Magħquda tiddikjara li "tafferma l-appoġġ ta 'l-astinenza li ilha għaddejja mill-alkoħol bħala xhud leali għal Alla li jillibera u jifdi l-imħabba għall-persuni." Fil-fatt, il-Knisja Metodista Magħquda tuża meraq tal-għeneb mhux iffermentat fis-sagrament tat-Tqarbin Imqaddes, u b'hekk "tesprimi tħassib pastorali għall-irkupru tal-alkoħoliċi, li tippermetti l-parteċipazzjoni tat-tfal u ż-żgħażagħ, u tappoġġja x-xhieda tal-knisja ta 'astinenza." Barra minn hekk, fl-2011 u fl-2012, il-Bord Ġenerali tal-Knisja u s-Soċjetà tal-Knisja Metodista Magħquda talab lill-Metodisti Magħquda kollha biex jastjenu mill-alkoħol għar-Randan.</v>
      </c>
    </row>
    <row r="10822" ht="15.75" customHeight="1">
      <c r="A10822" s="2" t="s">
        <v>10822</v>
      </c>
      <c r="B10822" s="2" t="str">
        <f>IFERROR(__xludf.DUMMYFUNCTION("GOOGLETRANSLATE(A10822, ""en"", ""mt"")"),"Stil Art Deco")</f>
        <v>Stil Art Deco</v>
      </c>
    </row>
    <row r="10823" ht="15.75" customHeight="1">
      <c r="A10823" s="2" t="s">
        <v>10823</v>
      </c>
      <c r="B10823" s="2" t="str">
        <f>IFERROR(__xludf.DUMMYFUNCTION("GOOGLETRANSLATE(A10823, ""en"", ""mt"")"),"Twaqqif ta 'relazzjonijiet ma' parteċipanti oħra meħtieġa")</f>
        <v>Twaqqif ta 'relazzjonijiet ma' parteċipanti oħra meħtieġa</v>
      </c>
    </row>
    <row r="10824" ht="15.75" customHeight="1">
      <c r="A10824" s="2" t="s">
        <v>10824</v>
      </c>
      <c r="B10824" s="2" t="str">
        <f>IFERROR(__xludf.DUMMYFUNCTION("GOOGLETRANSLATE(A10824, ""en"", ""mt"")"),"Aqta 'l-Frontier Franċiż Fortizzi Aktar lejn il-Punent u n-Nofsinhar")</f>
        <v>Aqta 'l-Frontier Franċiż Fortizzi Aktar lejn il-Punent u n-Nofsinhar</v>
      </c>
    </row>
    <row r="10825" ht="15.75" customHeight="1">
      <c r="A10825" s="2" t="s">
        <v>10825</v>
      </c>
      <c r="B10825" s="2" t="str">
        <f>IFERROR(__xludf.DUMMYFUNCTION("GOOGLETRANSLATE(A10825, ""en"", ""mt"")"),"Il-Knisja Kattolika Mqaddsa (jew Universali)")</f>
        <v>Il-Knisja Kattolika Mqaddsa (jew Universali)</v>
      </c>
    </row>
    <row r="10826" ht="15.75" customHeight="1">
      <c r="A10826" s="2" t="s">
        <v>10826</v>
      </c>
      <c r="B10826" s="2" t="str">
        <f>IFERROR(__xludf.DUMMYFUNCTION("GOOGLETRANSLATE(A10826, ""en"", ""mt"")"),"sas-seklu 19")</f>
        <v>sas-seklu 19</v>
      </c>
    </row>
    <row r="10827" ht="15.75" customHeight="1">
      <c r="A10827" s="2" t="s">
        <v>10827</v>
      </c>
      <c r="B10827" s="2" t="str">
        <f>IFERROR(__xludf.DUMMYFUNCTION("GOOGLETRANSLATE(A10827, ""en"", ""mt"")"),"Fundatur ta 'knejjes Protestanti ġodda f'reġjuni kkontrollati mill-Kattoliċi")</f>
        <v>Fundatur ta 'knejjes Protestanti ġodda f'reġjuni kkontrollati mill-Kattoliċi</v>
      </c>
    </row>
    <row r="10828" ht="15.75" customHeight="1">
      <c r="A10828" s="2" t="s">
        <v>10828</v>
      </c>
      <c r="B10828" s="2" t="str">
        <f>IFERROR(__xludf.DUMMYFUNCTION("GOOGLETRANSLATE(A10828, ""en"", ""mt"")"),"Kuntrattur identifika ordnijiet ta 'bidla jew bidliet fil-proġett li żiedu l-ispejjeż")</f>
        <v>Kuntrattur identifika ordnijiet ta 'bidla jew bidliet fil-proġett li żiedu l-ispejjeż</v>
      </c>
    </row>
    <row r="10829" ht="15.75" customHeight="1">
      <c r="A10829" s="2" t="s">
        <v>10829</v>
      </c>
      <c r="B10829" s="2" t="str">
        <f>IFERROR(__xludf.DUMMYFUNCTION("GOOGLETRANSLATE(A10829, ""en"", ""mt"")"),"konvertiti ġodda")</f>
        <v>konvertiti ġodda</v>
      </c>
    </row>
    <row r="10830" ht="15.75" customHeight="1">
      <c r="A10830" s="2" t="s">
        <v>10830</v>
      </c>
      <c r="B10830" s="2" t="str">
        <f>IFERROR(__xludf.DUMMYFUNCTION("GOOGLETRANSLATE(A10830, ""en"", ""mt"")"),"Wiesner żamm il-pressjoni, anke għamel in-nuqqas ta ’qbil pubbliku waqt żjara ta’ jumejn f’Settembru mill-president fiċ-Ċentru tat-Titjira Spazjali Marshall. Wiesner blurted barra ""Le, dak mhux tajjeb"" quddiem l-istampa, waqt preżentazzjoni minn von Bra"&amp;"un. Webb qabża u ddefenda lil Von Braun, sakemm Kennedy temm il-squabble billi ddikjara li l-kwistjoni kienet ""għadha soġġetta għal reviżjoni finali"". Webb kellu ditta, u ħareġ talba għal proposta lill-kuntratturi tal-Modulu tal-Eskursjoni Lunar tal-Kan"&amp;"didati (LEM). Wiesner fl-aħħar ingħata, ma riedx isolvi t-tilwima darba għal dejjem fl-uffiċċju ta 'Kennedy, minħabba l-involviment tal-president mal-kriżi tal-missili Kubani ta' Ottubru, u l-biża 'tal-appoġġ ta' Kennedy għal Webb. In-NASA ħabbret l-għażl"&amp;"a ta 'Grumman bħala l-kuntrattur LEM f'Novembru 1962.")</f>
        <v>Wiesner żamm il-pressjoni, anke għamel in-nuqqas ta ’qbil pubbliku waqt żjara ta’ jumejn f’Settembru mill-president fiċ-Ċentru tat-Titjira Spazjali Marshall. Wiesner blurted barra "Le, dak mhux tajjeb" quddiem l-istampa, waqt preżentazzjoni minn von Braun. Webb qabża u ddefenda lil Von Braun, sakemm Kennedy temm il-squabble billi ddikjara li l-kwistjoni kienet "għadha soġġetta għal reviżjoni finali". Webb kellu ditta, u ħareġ talba għal proposta lill-kuntratturi tal-Modulu tal-Eskursjoni Lunar tal-Kandidati (LEM). Wiesner fl-aħħar ingħata, ma riedx isolvi t-tilwima darba għal dejjem fl-uffiċċju ta 'Kennedy, minħabba l-involviment tal-president mal-kriżi tal-missili Kubani ta' Ottubru, u l-biża 'tal-appoġġ ta' Kennedy għal Webb. In-NASA ħabbret l-għażla ta 'Grumman bħala l-kuntrattur LEM f'Novembru 1962.</v>
      </c>
    </row>
    <row r="10831" ht="15.75" customHeight="1">
      <c r="A10831" s="2" t="s">
        <v>10831</v>
      </c>
      <c r="B10831" s="2" t="str">
        <f>IFERROR(__xludf.DUMMYFUNCTION("GOOGLETRANSLATE(A10831, ""en"", ""mt"")"),"X'tipprojbi l-Artikolu 102 tat-Trattat ta 'Lisbona?")</f>
        <v>X'tipprojbi l-Artikolu 102 tat-Trattat ta 'Lisbona?</v>
      </c>
    </row>
    <row r="10832" ht="15.75" customHeight="1">
      <c r="A10832" s="2" t="s">
        <v>10832</v>
      </c>
      <c r="B10832" s="2" t="str">
        <f>IFERROR(__xludf.DUMMYFUNCTION("GOOGLETRANSLATE(A10832, ""en"", ""mt"")"),"Dating ta 'lava u saffi ta' rmied vulkaniku misjuba f'sekwenza stratigrafika")</f>
        <v>Dating ta 'lava u saffi ta' rmied vulkaniku misjuba f'sekwenza stratigrafika</v>
      </c>
    </row>
    <row r="10833" ht="15.75" customHeight="1">
      <c r="A10833" s="2" t="s">
        <v>10833</v>
      </c>
      <c r="B10833" s="2" t="str">
        <f>IFERROR(__xludf.DUMMYFUNCTION("GOOGLETRANSLATE(A10833, ""en"", ""mt"")"),"bidla organizzattiva, relazzjonijiet ma 'studenti, għalliema sħabhom, u persunal amministrattiv, ambjent tax-xogħol, aspettattivi biex tissostitwixxi, sigħat twal")</f>
        <v>bidla organizzattiva, relazzjonijiet ma 'studenti, għalliema sħabhom, u persunal amministrattiv, ambjent tax-xogħol, aspettattivi biex tissostitwixxi, sigħat twal</v>
      </c>
    </row>
    <row r="10834" ht="15.75" customHeight="1">
      <c r="A10834" s="2" t="s">
        <v>10834</v>
      </c>
      <c r="B10834" s="2" t="str">
        <f>IFERROR(__xludf.DUMMYFUNCTION("GOOGLETRANSLATE(A10834, ""en"", ""mt"")"),"Fejn jinsabu ż-żewġ qrati mitfugħa?")</f>
        <v>Fejn jinsabu ż-żewġ qrati mitfugħa?</v>
      </c>
    </row>
    <row r="10835" ht="15.75" customHeight="1">
      <c r="A10835" s="2" t="s">
        <v>10835</v>
      </c>
      <c r="B10835" s="2" t="str">
        <f>IFERROR(__xludf.DUMMYFUNCTION("GOOGLETRANSLATE(A10835, ""en"", ""mt"")"),"Ħafna mill-ġeni tagħha ntilfu jew ġew trasferiti")</f>
        <v>Ħafna mill-ġeni tagħha ntilfu jew ġew trasferiti</v>
      </c>
    </row>
    <row r="10836" ht="15.75" customHeight="1">
      <c r="A10836" s="2" t="s">
        <v>10836</v>
      </c>
      <c r="B10836" s="2" t="str">
        <f>IFERROR(__xludf.DUMMYFUNCTION("GOOGLETRANSLATE(A10836, ""en"", ""mt"")"),"Il-Parlament tipikament joqgħod it-Tlieta, l-Erbgħa u l-Ħamis mill-bidu ta 'Jannar sal-aħħar ta' Ġunju u mill-bidu ta 'Settembru sa nofs Diċembru, b'ħeġġa ta' ġimgħatejn f'April u Ottubru. Laqgħat plenarji fil-kamra tad-dibattitu ġeneralment isiru nhar l-"&amp;"Erbgħa wara nofsinhar mis-2 pm sas-6 pm u nhar il-Ħamis mid-9: 15 am sas-6 pm. Id-dibattiti tal-kamra u l-laqgħat tal-kumitat huma miftuħa għall-pubbliku. Id-dħul huwa bla ħlas, iżda l-prenotazzjoni bil-quddiem hija rrakkomandata minħabba spazju limitat. "&amp;"Il-laqgħat jixxandru fuq il-kanal tal-Parlament stess Holyrood.tv u fuq il-Kanal Parlamentari tal-BBC BBC Parlament. Il-proċeduri huma rreġistrati wkoll f'forma ta 'test, bl-istampar u online, fir-rapport uffiċjali, li huwa t-traskrizzjoni sostanzjalment "&amp;"verbatim tad-dibattiti parlamentari.")</f>
        <v>Il-Parlament tipikament joqgħod it-Tlieta, l-Erbgħa u l-Ħamis mill-bidu ta 'Jannar sal-aħħar ta' Ġunju u mill-bidu ta 'Settembru sa nofs Diċembru, b'ħeġġa ta' ġimgħatejn f'April u Ottubru. Laqgħat plenarji fil-kamra tad-dibattitu ġeneralment isiru nhar l-Erbgħa wara nofsinhar mis-2 pm sas-6 pm u nhar il-Ħamis mid-9: 15 am sas-6 pm. Id-dibattiti tal-kamra u l-laqgħat tal-kumitat huma miftuħa għall-pubbliku. Id-dħul huwa bla ħlas, iżda l-prenotazzjoni bil-quddiem hija rrakkomandata minħabba spazju limitat. Il-laqgħat jixxandru fuq il-kanal tal-Parlament stess Holyrood.tv u fuq il-Kanal Parlamentari tal-BBC BBC Parlament. Il-proċeduri huma rreġistrati wkoll f'forma ta 'test, bl-istampar u online, fir-rapport uffiċjali, li huwa t-traskrizzjoni sostanzjalment verbatim tad-dibattiti parlamentari.</v>
      </c>
    </row>
    <row r="10837" ht="15.75" customHeight="1">
      <c r="A10837" s="2" t="s">
        <v>10837</v>
      </c>
      <c r="B10837" s="2" t="str">
        <f>IFERROR(__xludf.DUMMYFUNCTION("GOOGLETRANSLATE(A10837, ""en"", ""mt"")"),"il-mewt ta 'heretic")</f>
        <v>il-mewt ta 'heretic</v>
      </c>
    </row>
    <row r="10838" ht="15.75" customHeight="1">
      <c r="A10838" s="2" t="s">
        <v>10838</v>
      </c>
      <c r="B10838" s="2" t="str">
        <f>IFERROR(__xludf.DUMMYFUNCTION("GOOGLETRANSLATE(A10838, ""en"", ""mt"")"),"Ikkastiga lill-Kristjani minn Alla")</f>
        <v>Ikkastiga lill-Kristjani minn Alla</v>
      </c>
    </row>
    <row r="10839" ht="15.75" customHeight="1">
      <c r="A10839" s="2" t="s">
        <v>10839</v>
      </c>
      <c r="B10839" s="2" t="str">
        <f>IFERROR(__xludf.DUMMYFUNCTION("GOOGLETRANSLATE(A10839, ""en"", ""mt"")"),"X’kawżaw ir-riformaturi radikali fl-ordni l-ġdida?")</f>
        <v>X’kawżaw ir-riformaturi radikali fl-ordni l-ġdida?</v>
      </c>
    </row>
    <row r="10840" ht="15.75" customHeight="1">
      <c r="A10840" s="2" t="s">
        <v>10840</v>
      </c>
      <c r="B10840" s="2" t="str">
        <f>IFERROR(__xludf.DUMMYFUNCTION("GOOGLETRANSLATE(A10840, ""en"", ""mt"")"),"F'liema tip ta 'fluwidu huma d-differenzi fil-pressjoni kkawżati mid-direzzjoni tal-forzi fuq il-gradjenti?")</f>
        <v>F'liema tip ta 'fluwidu huma d-differenzi fil-pressjoni kkawżati mid-direzzjoni tal-forzi fuq il-gradjenti?</v>
      </c>
    </row>
    <row r="10841" ht="15.75" customHeight="1">
      <c r="A10841" s="2" t="s">
        <v>10841</v>
      </c>
      <c r="B10841" s="2" t="str">
        <f>IFERROR(__xludf.DUMMYFUNCTION("GOOGLETRANSLATE(A10841, ""en"", ""mt"")"),"Il-Knisja tal-Ingilterra")</f>
        <v>Il-Knisja tal-Ingilterra</v>
      </c>
    </row>
    <row r="10842" ht="15.75" customHeight="1">
      <c r="A10842" s="2" t="s">
        <v>10842</v>
      </c>
      <c r="B10842" s="2" t="str">
        <f>IFERROR(__xludf.DUMMYFUNCTION("GOOGLETRANSLATE(A10842, ""en"", ""mt"")"),"$ 200,000")</f>
        <v>$ 200,000</v>
      </c>
    </row>
    <row r="10843" ht="15.75" customHeight="1">
      <c r="A10843" s="2" t="s">
        <v>10843</v>
      </c>
      <c r="B10843" s="2" t="str">
        <f>IFERROR(__xludf.DUMMYFUNCTION("GOOGLETRANSLATE(A10843, ""en"", ""mt"")"),"L-ilma mkeċċi jmexxihom lura malajr ħafna")</f>
        <v>L-ilma mkeċċi jmexxihom lura malajr ħafna</v>
      </c>
    </row>
    <row r="10844" ht="15.75" customHeight="1">
      <c r="A10844" s="2" t="s">
        <v>10844</v>
      </c>
      <c r="B10844" s="2" t="str">
        <f>IFERROR(__xludf.DUMMYFUNCTION("GOOGLETRANSLATE(A10844, ""en"", ""mt"")"),"Ċelloli speċjalizzati f'forma ta 'faqqiegħ fis-saff ta' barra ta 'l-epidermide")</f>
        <v>Ċelloli speċjalizzati f'forma ta 'faqqiegħ fis-saff ta' barra ta 'l-epidermide</v>
      </c>
    </row>
    <row r="10845" ht="15.75" customHeight="1">
      <c r="A10845" s="2" t="s">
        <v>10845</v>
      </c>
      <c r="B10845" s="2" t="str">
        <f>IFERROR(__xludf.DUMMYFUNCTION("GOOGLETRANSLATE(A10845, ""en"", ""mt"")"),"X'inhi l-espressjoni ta 'Alla tar-rieda eterna, skond Luther?")</f>
        <v>X'inhi l-espressjoni ta 'Alla tar-rieda eterna, skond Luther?</v>
      </c>
    </row>
    <row r="10846" ht="15.75" customHeight="1">
      <c r="A10846" s="2" t="s">
        <v>10846</v>
      </c>
      <c r="B10846" s="2" t="str">
        <f>IFERROR(__xludf.DUMMYFUNCTION("GOOGLETRANSLATE(A10846, ""en"", ""mt"")"),"Liu Bingzhong u Yao Shu")</f>
        <v>Liu Bingzhong u Yao Shu</v>
      </c>
    </row>
    <row r="10847" ht="15.75" customHeight="1">
      <c r="A10847" s="2" t="s">
        <v>10847</v>
      </c>
      <c r="B10847" s="2" t="str">
        <f>IFERROR(__xludf.DUMMYFUNCTION("GOOGLETRANSLATE(A10847, ""en"", ""mt"")"),"X'inhu simili ATP synthase?")</f>
        <v>X'inhu simili ATP synthase?</v>
      </c>
    </row>
    <row r="10848" ht="15.75" customHeight="1">
      <c r="A10848" s="2" t="s">
        <v>10848</v>
      </c>
      <c r="B10848" s="2" t="str">
        <f>IFERROR(__xludf.DUMMYFUNCTION("GOOGLETRANSLATE(A10848, ""en"", ""mt"")"),"B'liema mod jistgħu jinġiebu lura")</f>
        <v>B'liema mod jistgħu jinġiebu lura</v>
      </c>
    </row>
    <row r="10849" ht="15.75" customHeight="1">
      <c r="A10849" s="2" t="s">
        <v>10849</v>
      </c>
      <c r="B10849" s="2" t="str">
        <f>IFERROR(__xludf.DUMMYFUNCTION("GOOGLETRANSLATE(A10849, ""en"", ""mt"")"),"X'inhu l-isem tal-ispazju aħdar fit-tramuntana taċ-ċentru ta 'Newcastle?")</f>
        <v>X'inhu l-isem tal-ispazju aħdar fit-tramuntana taċ-ċentru ta 'Newcastle?</v>
      </c>
    </row>
    <row r="10850" ht="15.75" customHeight="1">
      <c r="A10850" s="2" t="s">
        <v>10850</v>
      </c>
      <c r="B10850" s="2" t="str">
        <f>IFERROR(__xludf.DUMMYFUNCTION("GOOGLETRANSLATE(A10850, ""en"", ""mt"")"),"45–60 nanometri madwar")</f>
        <v>45–60 nanometri madwar</v>
      </c>
    </row>
    <row r="10851" ht="15.75" customHeight="1">
      <c r="A10851" s="2" t="s">
        <v>10851</v>
      </c>
      <c r="B10851" s="2" t="str">
        <f>IFERROR(__xludf.DUMMYFUNCTION("GOOGLETRANSLATE(A10851, ""en"", ""mt"")"),"Liema ġlied ieħor kien involut fit-teħid ta 'Louisbourg?")</f>
        <v>Liema ġlied ieħor kien involut fit-teħid ta 'Louisbourg?</v>
      </c>
    </row>
    <row r="10852" ht="15.75" customHeight="1">
      <c r="A10852" s="2" t="s">
        <v>10852</v>
      </c>
      <c r="B10852" s="2" t="str">
        <f>IFERROR(__xludf.DUMMYFUNCTION("GOOGLETRANSLATE(A10852, ""en"", ""mt"")"),"Fil Millingen Aan de Rijn fejn tinqasam ir-Rhine, għal xiex tbiddel l-isem?")</f>
        <v>Fil Millingen Aan de Rijn fejn tinqasam ir-Rhine, għal xiex tbiddel l-isem?</v>
      </c>
    </row>
    <row r="10853" ht="15.75" customHeight="1">
      <c r="A10853" s="2" t="s">
        <v>10853</v>
      </c>
      <c r="B10853" s="2" t="str">
        <f>IFERROR(__xludf.DUMMYFUNCTION("GOOGLETRANSLATE(A10853, ""en"", ""mt"")"),"It-tieni l-iktar popolat")</f>
        <v>It-tieni l-iktar popolat</v>
      </c>
    </row>
    <row r="10854" ht="15.75" customHeight="1">
      <c r="A10854" s="2" t="s">
        <v>10854</v>
      </c>
      <c r="B10854" s="2" t="str">
        <f>IFERROR(__xludf.DUMMYFUNCTION("GOOGLETRANSLATE(A10854, ""en"", ""mt"")"),"Prinċipji ta 'pre-allokazzjoni ta' bandwidth tan-netwerk")</f>
        <v>Prinċipji ta 'pre-allokazzjoni ta' bandwidth tan-netwerk</v>
      </c>
    </row>
    <row r="10855" ht="15.75" customHeight="1">
      <c r="A10855" s="2" t="s">
        <v>10855</v>
      </c>
      <c r="B10855" s="2" t="str">
        <f>IFERROR(__xludf.DUMMYFUNCTION("GOOGLETRANSLATE(A10855, ""en"", ""mt"")"),"In-numri ta 'Huguenot laħqu l-quċċata ta' stima ta 'żewġ miljun sal-1562, ikkonċentrati prinċipalment fil-partijiet tan-Nofsinhar u Ċentrali ta' Franza, madwar tmienja n-numru ta 'Kattoliċi Franċiżi. Hekk kif Huguenots kisbu influwenza u wrew b'mod aktar "&amp;"miftuħ il-fidi tagħhom, l-ostilità Kattolika kibret, minkejja konċessjonijiet politiċi dejjem aktar liberali u edetti ta 'tolleranza mill-kuruna Franċiża. Segwiet serje ta 'kunflitti reliġjużi, magħrufa bħala l-Gwerer tar-Reliġjon, ġġieldu b'mod intermitt"&amp;"enti mill-1562 sal-1598. Il-gwerer fl-aħħar intemmu bl-għoti tal-editt ta' Nantes, li taw lill-Huguenots sostanzjali reliġjużi, politiċi u militari.")</f>
        <v>In-numri ta 'Huguenot laħqu l-quċċata ta' stima ta 'żewġ miljun sal-1562, ikkonċentrati prinċipalment fil-partijiet tan-Nofsinhar u Ċentrali ta' Franza, madwar tmienja n-numru ta 'Kattoliċi Franċiżi. Hekk kif Huguenots kisbu influwenza u wrew b'mod aktar miftuħ il-fidi tagħhom, l-ostilità Kattolika kibret, minkejja konċessjonijiet politiċi dejjem aktar liberali u edetti ta 'tolleranza mill-kuruna Franċiża. Segwiet serje ta 'kunflitti reliġjużi, magħrufa bħala l-Gwerer tar-Reliġjon, ġġieldu b'mod intermittenti mill-1562 sal-1598. Il-gwerer fl-aħħar intemmu bl-għoti tal-editt ta' Nantes, li taw lill-Huguenots sostanzjali reliġjużi, politiċi u militari.</v>
      </c>
    </row>
    <row r="10856" ht="15.75" customHeight="1">
      <c r="A10856" s="2" t="s">
        <v>10856</v>
      </c>
      <c r="B10856" s="2" t="str">
        <f>IFERROR(__xludf.DUMMYFUNCTION("GOOGLETRANSLATE(A10856, ""en"", ""mt"")"),"L-Ewwel Emenda")</f>
        <v>L-Ewwel Emenda</v>
      </c>
    </row>
    <row r="10857" ht="15.75" customHeight="1">
      <c r="A10857" s="2" t="s">
        <v>10857</v>
      </c>
      <c r="B10857" s="2" t="str">
        <f>IFERROR(__xludf.DUMMYFUNCTION("GOOGLETRANSLATE(A10857, ""en"", ""mt"")"),"Min hu mistenni li jmexxi l-familja fil-mentoring spiritwali?")</f>
        <v>Min hu mistenni li jmexxi l-familja fil-mentoring spiritwali?</v>
      </c>
    </row>
    <row r="10858" ht="15.75" customHeight="1">
      <c r="A10858" s="2" t="s">
        <v>10858</v>
      </c>
      <c r="B10858" s="2" t="str">
        <f>IFERROR(__xludf.DUMMYFUNCTION("GOOGLETRANSLATE(A10858, ""en"", ""mt"")"),"X'sar is-Sovjetiċi li jużaw fil-vettura spazjali wara s-suċċess ta 'Zond 5?")</f>
        <v>X'sar is-Sovjetiċi li jużaw fil-vettura spazjali wara s-suċċess ta 'Zond 5?</v>
      </c>
    </row>
    <row r="10859" ht="15.75" customHeight="1">
      <c r="A10859" s="2" t="s">
        <v>10859</v>
      </c>
      <c r="B10859" s="2" t="str">
        <f>IFERROR(__xludf.DUMMYFUNCTION("GOOGLETRANSLATE(A10859, ""en"", ""mt"")"),"Musulmani fil-klassi Semu")</f>
        <v>Musulmani fil-klassi Semu</v>
      </c>
    </row>
    <row r="10860" ht="15.75" customHeight="1">
      <c r="A10860" s="2" t="s">
        <v>10860</v>
      </c>
      <c r="B10860" s="2" t="str">
        <f>IFERROR(__xludf.DUMMYFUNCTION("GOOGLETRANSLATE(A10860, ""en"", ""mt"")"),"X'tip ta 'trattat kien it-Trattat ta' Lisbona?")</f>
        <v>X'tip ta 'trattat kien it-Trattat ta' Lisbona?</v>
      </c>
    </row>
    <row r="10861" ht="15.75" customHeight="1">
      <c r="A10861" s="2" t="s">
        <v>10861</v>
      </c>
      <c r="B10861" s="2" t="str">
        <f>IFERROR(__xludf.DUMMYFUNCTION("GOOGLETRANSLATE(A10861, ""en"", ""mt"")"),"Mill-ewwel reklam tal-millennju")</f>
        <v>Mill-ewwel reklam tal-millennju</v>
      </c>
    </row>
    <row r="10862" ht="15.75" customHeight="1">
      <c r="A10862" s="2" t="s">
        <v>10862</v>
      </c>
      <c r="B10862" s="2" t="str">
        <f>IFERROR(__xludf.DUMMYFUNCTION("GOOGLETRANSLATE(A10862, ""en"", ""mt"")"),"Kif il-proġett ħeġġeġ il-kummerċjalizzazzjoni tal-legumi?")</f>
        <v>Kif il-proġett ħeġġeġ il-kummerċjalizzazzjoni tal-legumi?</v>
      </c>
    </row>
    <row r="10863" ht="15.75" customHeight="1">
      <c r="A10863" s="2" t="s">
        <v>10863</v>
      </c>
      <c r="B10863" s="2" t="str">
        <f>IFERROR(__xludf.DUMMYFUNCTION("GOOGLETRANSLATE(A10863, ""en"", ""mt"")"),"L-użu tal-flus,")</f>
        <v>L-użu tal-flus,</v>
      </c>
    </row>
    <row r="10864" ht="15.75" customHeight="1">
      <c r="A10864" s="2" t="s">
        <v>10864</v>
      </c>
      <c r="B10864" s="2" t="str">
        <f>IFERROR(__xludf.DUMMYFUNCTION("GOOGLETRANSLATE(A10864, ""en"", ""mt"")"),"inaqqsu")</f>
        <v>inaqqsu</v>
      </c>
    </row>
    <row r="10865" ht="15.75" customHeight="1">
      <c r="A10865" s="2" t="s">
        <v>10865</v>
      </c>
      <c r="B10865" s="2" t="str">
        <f>IFERROR(__xludf.DUMMYFUNCTION("GOOGLETRANSLATE(A10865, ""en"", ""mt"")"),"Subborgi")</f>
        <v>Subborgi</v>
      </c>
    </row>
    <row r="10866" ht="15.75" customHeight="1">
      <c r="A10866" s="2" t="s">
        <v>10866</v>
      </c>
      <c r="B10866" s="2" t="str">
        <f>IFERROR(__xludf.DUMMYFUNCTION("GOOGLETRANSLATE(A10866, ""en"", ""mt"")"),"ċelloli T helper")</f>
        <v>ċelloli T helper</v>
      </c>
    </row>
    <row r="10867" ht="15.75" customHeight="1">
      <c r="A10867" s="2" t="s">
        <v>10867</v>
      </c>
      <c r="B10867" s="2" t="str">
        <f>IFERROR(__xludf.DUMMYFUNCTION("GOOGLETRANSLATE(A10867, ""en"", ""mt"")"),"X'inhu soluzzjoni importanti tas-Swaħili tul il-kosta?")</f>
        <v>X'inhu soluzzjoni importanti tas-Swaħili tul il-kosta?</v>
      </c>
    </row>
    <row r="10868" ht="15.75" customHeight="1">
      <c r="A10868" s="2" t="s">
        <v>10868</v>
      </c>
      <c r="B10868" s="2" t="str">
        <f>IFERROR(__xludf.DUMMYFUNCTION("GOOGLETRANSLATE(A10868, ""en"", ""mt"")"),"X'tip ta 'tkabbir ħeġġeġ Kublai?")</f>
        <v>X'tip ta 'tkabbir ħeġġeġ Kublai?</v>
      </c>
    </row>
    <row r="10869" ht="15.75" customHeight="1">
      <c r="A10869" s="2" t="s">
        <v>10869</v>
      </c>
      <c r="B10869" s="2" t="str">
        <f>IFERROR(__xludf.DUMMYFUNCTION("GOOGLETRANSLATE(A10869, ""en"", ""mt"")"),"penitenza u tjieba")</f>
        <v>penitenza u tjieba</v>
      </c>
    </row>
    <row r="10870" ht="15.75" customHeight="1">
      <c r="A10870" s="2" t="s">
        <v>10870</v>
      </c>
      <c r="B10870" s="2" t="str">
        <f>IFERROR(__xludf.DUMMYFUNCTION("GOOGLETRANSLATE(A10870, ""en"", ""mt"")"),"tipiku tal-pajjiżi tal-blokk tal-Lvant")</f>
        <v>tipiku tal-pajjiżi tal-blokk tal-Lvant</v>
      </c>
    </row>
    <row r="10871" ht="15.75" customHeight="1">
      <c r="A10871" s="2" t="s">
        <v>10871</v>
      </c>
      <c r="B10871" s="2" t="str">
        <f>IFERROR(__xludf.DUMMYFUNCTION("GOOGLETRANSLATE(A10871, ""en"", ""mt"")"),"Att dwar il-Kolonja tar-Rabat")</f>
        <v>Att dwar il-Kolonja tar-Rabat</v>
      </c>
    </row>
    <row r="10872" ht="15.75" customHeight="1">
      <c r="A10872" s="2" t="s">
        <v>10872</v>
      </c>
      <c r="B10872" s="2" t="str">
        <f>IFERROR(__xludf.DUMMYFUNCTION("GOOGLETRANSLATE(A10872, ""en"", ""mt"")"),"Xi riedu li tkun is-sistema edukattiva?")</f>
        <v>Xi riedu li tkun is-sistema edukattiva?</v>
      </c>
    </row>
    <row r="10873" ht="15.75" customHeight="1">
      <c r="A10873" s="2" t="s">
        <v>10873</v>
      </c>
      <c r="B10873" s="2" t="str">
        <f>IFERROR(__xludf.DUMMYFUNCTION("GOOGLETRANSLATE(A10873, ""en"", ""mt"")"),"X'jista 'jitqies bħala funzjoni tal-prezz tas-suq tal-ħila?")</f>
        <v>X'jista 'jitqies bħala funzjoni tal-prezz tas-suq tal-ħila?</v>
      </c>
    </row>
    <row r="10874" ht="15.75" customHeight="1">
      <c r="A10874" s="2" t="s">
        <v>10874</v>
      </c>
      <c r="B10874" s="2" t="str">
        <f>IFERROR(__xludf.DUMMYFUNCTION("GOOGLETRANSLATE(A10874, ""en"", ""mt"")"),"b'regoli komuni għall-faħam u l-azzar")</f>
        <v>b'regoli komuni għall-faħam u l-azzar</v>
      </c>
    </row>
    <row r="10875" ht="15.75" customHeight="1">
      <c r="A10875" s="2" t="s">
        <v>10875</v>
      </c>
      <c r="B10875" s="2" t="str">
        <f>IFERROR(__xludf.DUMMYFUNCTION("GOOGLETRANSLATE(A10875, ""en"", ""mt"")"),"Bi protesta kontra l-okkupazzjoni tal-Prussja minn Napuljun")</f>
        <v>Bi protesta kontra l-okkupazzjoni tal-Prussja minn Napuljun</v>
      </c>
    </row>
    <row r="10876" ht="15.75" customHeight="1">
      <c r="A10876" s="2" t="s">
        <v>10876</v>
      </c>
      <c r="B10876" s="2" t="str">
        <f>IFERROR(__xludf.DUMMYFUNCTION("GOOGLETRANSLATE(A10876, ""en"", ""mt"")"),"X’għamlet Tesla bil-privattivi tiegħu li ġiegħlu jitlefhom?")</f>
        <v>X’għamlet Tesla bil-privattivi tiegħu li ġiegħlu jitlefhom?</v>
      </c>
    </row>
    <row r="10877" ht="15.75" customHeight="1">
      <c r="A10877" s="2" t="s">
        <v>10877</v>
      </c>
      <c r="B10877" s="2" t="str">
        <f>IFERROR(__xludf.DUMMYFUNCTION("GOOGLETRANSLATE(A10877, ""en"", ""mt"")"),"Fejn saret il-funeral?")</f>
        <v>Fejn saret il-funeral?</v>
      </c>
    </row>
    <row r="10878" ht="15.75" customHeight="1">
      <c r="A10878" s="2" t="s">
        <v>10878</v>
      </c>
      <c r="B10878" s="2" t="str">
        <f>IFERROR(__xludf.DUMMYFUNCTION("GOOGLETRANSLATE(A10878, ""en"", ""mt"")"),"Il-kors naturali tax-xmara minħabba numru ta 'proġetti ta' kanalizzazzjoni kompluti fis-seklu 19 u 20")</f>
        <v>Il-kors naturali tax-xmara minħabba numru ta 'proġetti ta' kanalizzazzjoni kompluti fis-seklu 19 u 20</v>
      </c>
    </row>
    <row r="10879" ht="15.75" customHeight="1">
      <c r="A10879" s="2" t="s">
        <v>10879</v>
      </c>
      <c r="B10879" s="2" t="str">
        <f>IFERROR(__xludf.DUMMYFUNCTION("GOOGLETRANSLATE(A10879, ""en"", ""mt"")"),"Kemm fatturat il-Panthers seħħew waqt il-logħba tal-kampjonat NFC?")</f>
        <v>Kemm fatturat il-Panthers seħħew waqt il-logħba tal-kampjonat NFC?</v>
      </c>
    </row>
    <row r="10880" ht="15.75" customHeight="1">
      <c r="A10880" s="2" t="s">
        <v>10880</v>
      </c>
      <c r="B10880" s="2" t="str">
        <f>IFERROR(__xludf.DUMMYFUNCTION("GOOGLETRANSLATE(A10880, ""en"", ""mt"")"),"Meta jsir il-weekend tal-Gallerija ta 'Varsavja?")</f>
        <v>Meta jsir il-weekend tal-Gallerija ta 'Varsavja?</v>
      </c>
    </row>
    <row r="10881" ht="15.75" customHeight="1">
      <c r="A10881" s="2" t="s">
        <v>10881</v>
      </c>
      <c r="B10881" s="2" t="str">
        <f>IFERROR(__xludf.DUMMYFUNCTION("GOOGLETRANSLATE(A10881, ""en"", ""mt"")"),"Il-flussi iżgħar jintużaw għal xiex?")</f>
        <v>Il-flussi iżgħar jintużaw għal xiex?</v>
      </c>
    </row>
    <row r="10882" ht="15.75" customHeight="1">
      <c r="A10882" s="2" t="s">
        <v>10882</v>
      </c>
      <c r="B10882" s="2" t="str">
        <f>IFERROR(__xludf.DUMMYFUNCTION("GOOGLETRANSLATE(A10882, ""en"", ""mt"")"),"""L-abbozz għal dan l-Att tal-Parlament Skoċċiż ġie mgħoddi mill-Parlament fid-data [tad-data] u rċieva kunsens irjali fid-data [tad-data]"".")</f>
        <v>"L-abbozz għal dan l-Att tal-Parlament Skoċċiż ġie mgħoddi mill-Parlament fid-data [tad-data] u rċieva kunsens irjali fid-data [tad-data]".</v>
      </c>
    </row>
    <row r="10883" ht="15.75" customHeight="1">
      <c r="A10883" s="2" t="s">
        <v>10883</v>
      </c>
      <c r="B10883" s="2" t="str">
        <f>IFERROR(__xludf.DUMMYFUNCTION("GOOGLETRANSLATE(A10883, ""en"", ""mt"")"),"Jules Ferry ħaseb li r- ""tiġrijiet ogħla"" għandhom id-dmir għal xiex?")</f>
        <v>Jules Ferry ħaseb li r- "tiġrijiet ogħla" għandhom id-dmir għal xiex?</v>
      </c>
    </row>
    <row r="10884" ht="15.75" customHeight="1">
      <c r="A10884" s="2" t="s">
        <v>10884</v>
      </c>
      <c r="B10884" s="2" t="str">
        <f>IFERROR(__xludf.DUMMYFUNCTION("GOOGLETRANSLATE(A10884, ""en"", ""mt"")"),"X'inhuma l-maniġers tal-kostruzzjoni?")</f>
        <v>X'inhuma l-maniġers tal-kostruzzjoni?</v>
      </c>
    </row>
    <row r="10885" ht="15.75" customHeight="1">
      <c r="A10885" s="2" t="s">
        <v>10885</v>
      </c>
      <c r="B10885" s="2" t="str">
        <f>IFERROR(__xludf.DUMMYFUNCTION("GOOGLETRANSLATE(A10885, ""en"", ""mt"")"),"ġeneralment bnedmin")</f>
        <v>ġeneralment bnedmin</v>
      </c>
    </row>
    <row r="10886" ht="15.75" customHeight="1">
      <c r="A10886" s="2" t="s">
        <v>10886</v>
      </c>
      <c r="B10886" s="2" t="str">
        <f>IFERROR(__xludf.DUMMYFUNCTION("GOOGLETRANSLATE(A10886, ""en"", ""mt"")"),"""Tnaqqis fost problemi kombinatorji""")</f>
        <v>"Tnaqqis fost problemi kombinatorji"</v>
      </c>
    </row>
    <row r="10887" ht="15.75" customHeight="1">
      <c r="A10887" s="2" t="s">
        <v>10887</v>
      </c>
      <c r="B10887" s="2" t="str">
        <f>IFERROR(__xludf.DUMMYFUNCTION("GOOGLETRANSLATE(A10887, ""en"", ""mt"")"),"Il-Filippini")</f>
        <v>Il-Filippini</v>
      </c>
    </row>
    <row r="10888" ht="15.75" customHeight="1">
      <c r="A10888" s="2" t="s">
        <v>10888</v>
      </c>
      <c r="B10888" s="2" t="str">
        <f>IFERROR(__xludf.DUMMYFUNCTION("GOOGLETRANSLATE(A10888, ""en"", ""mt"")"),"Liema importazzjonijiet ta 'pajjiż saru l-mexxejja tas-suq tal-massa de facto?")</f>
        <v>Liema importazzjonijiet ta 'pajjiż saru l-mexxejja tas-suq tal-massa de facto?</v>
      </c>
    </row>
    <row r="10889" ht="15.75" customHeight="1">
      <c r="A10889" s="2" t="s">
        <v>10889</v>
      </c>
      <c r="B10889" s="2" t="str">
        <f>IFERROR(__xludf.DUMMYFUNCTION("GOOGLETRANSLATE(A10889, ""en"", ""mt"")"),"Bilanċ tal-partijiet madwar il-Parlament")</f>
        <v>Bilanċ tal-partijiet madwar il-Parlament</v>
      </c>
    </row>
    <row r="10890" ht="15.75" customHeight="1">
      <c r="A10890" s="2" t="s">
        <v>10890</v>
      </c>
      <c r="B10890" s="2" t="str">
        <f>IFERROR(__xludf.DUMMYFUNCTION("GOOGLETRANSLATE(A10890, ""en"", ""mt"")"),"Liema task force tiddikjara li l-pornografija hija ta 'ħsara?")</f>
        <v>Liema task force tiddikjara li l-pornografija hija ta 'ħsara?</v>
      </c>
    </row>
    <row r="10891" ht="15.75" customHeight="1">
      <c r="A10891" s="2" t="s">
        <v>10891</v>
      </c>
      <c r="B10891" s="2" t="str">
        <f>IFERROR(__xludf.DUMMYFUNCTION("GOOGLETRANSLATE(A10891, ""en"", ""mt"")"),"Dak li jiżdied maż-żieda fl-inugwaljanza tad-dħul?")</f>
        <v>Dak li jiżdied maż-żieda fl-inugwaljanza tad-dħul?</v>
      </c>
    </row>
    <row r="10892" ht="15.75" customHeight="1">
      <c r="A10892" s="2" t="s">
        <v>10892</v>
      </c>
      <c r="B10892" s="2" t="str">
        <f>IFERROR(__xludf.DUMMYFUNCTION("GOOGLETRANSLATE(A10892, ""en"", ""mt"")"),"Għall-bosta snin li ġejjin, Hoelun u wliedha kienu jgħixu fil-faqar, baqgħu ħajjin primarjament fuq frott selvaġġ u karkassi tal-ox, marmots, u kaċċa żgħira oħra maqtula minn Temüjin u ħutu. Begter, nofs ħuh anzjan ta 'Temujin, beda jeżerċita l-poter ta' "&amp;"l-akbar raġel fil-familja u eventwalment omm Hoelun ta 'Temujin (omm mhux Begter) kienet ikollha taċċettah bħala żewġha jekk u meta sar adult. Ir-riżentiment ta 'Temujin faqqa waqt eskursjoni waħda tal-kaċċa li Temüjin u ħuh Khasar qatlu l-begter tagħhom "&amp;"nofs ħuhom.")</f>
        <v>Għall-bosta snin li ġejjin, Hoelun u wliedha kienu jgħixu fil-faqar, baqgħu ħajjin primarjament fuq frott selvaġġ u karkassi tal-ox, marmots, u kaċċa żgħira oħra maqtula minn Temüjin u ħutu. Begter, nofs ħuh anzjan ta 'Temujin, beda jeżerċita l-poter ta' l-akbar raġel fil-familja u eventwalment omm Hoelun ta 'Temujin (omm mhux Begter) kienet ikollha taċċettah bħala żewġha jekk u meta sar adult. Ir-riżentiment ta 'Temujin faqqa waqt eskursjoni waħda tal-kaċċa li Temüjin u ħuh Khasar qatlu l-begter tagħhom nofs ħuhom.</v>
      </c>
    </row>
    <row r="10893" ht="15.75" customHeight="1">
      <c r="A10893" s="2" t="s">
        <v>10893</v>
      </c>
      <c r="B10893" s="2" t="str">
        <f>IFERROR(__xludf.DUMMYFUNCTION("GOOGLETRANSLATE(A10893, ""en"", ""mt"")"),"Liema entitajiet kienu oriġinarjament imħassba dwar il-prevenzjoni ta 'ksur tad-drittijiet tal-bniedem?")</f>
        <v>Liema entitajiet kienu oriġinarjament imħassba dwar il-prevenzjoni ta 'ksur tad-drittijiet tal-bniedem?</v>
      </c>
    </row>
    <row r="10894" ht="15.75" customHeight="1">
      <c r="A10894" s="2" t="s">
        <v>10894</v>
      </c>
      <c r="B10894" s="2" t="str">
        <f>IFERROR(__xludf.DUMMYFUNCTION("GOOGLETRANSLATE(A10894, ""en"", ""mt"")"),"il-korpi artab u ġelatinuż tagħhom")</f>
        <v>il-korpi artab u ġelatinuż tagħhom</v>
      </c>
    </row>
    <row r="10895" ht="15.75" customHeight="1">
      <c r="A10895" s="2" t="s">
        <v>10895</v>
      </c>
      <c r="B10895" s="2" t="str">
        <f>IFERROR(__xludf.DUMMYFUNCTION("GOOGLETRANSLATE(A10895, ""en"", ""mt"")"),"Perspettivi differenti u partiti politiċi")</f>
        <v>Perspettivi differenti u partiti politiċi</v>
      </c>
    </row>
    <row r="10896" ht="15.75" customHeight="1">
      <c r="A10896" s="2" t="s">
        <v>10896</v>
      </c>
      <c r="B10896" s="2" t="str">
        <f>IFERROR(__xludf.DUMMYFUNCTION("GOOGLETRANSLATE(A10896, ""en"", ""mt"")"),"Meta temm il-BSKYB is-servizz analogu tagħhom?")</f>
        <v>Meta temm il-BSKYB is-servizz analogu tagħhom?</v>
      </c>
    </row>
    <row r="10897" ht="15.75" customHeight="1">
      <c r="A10897" s="2" t="s">
        <v>10897</v>
      </c>
      <c r="B10897" s="2" t="str">
        <f>IFERROR(__xludf.DUMMYFUNCTION("GOOGLETRANSLATE(A10897, ""en"", ""mt"")"),"X'inhu l-liberaliżmu ekonomiku wieħed mill-kawżi ta '?")</f>
        <v>X'inhu l-liberaliżmu ekonomiku wieħed mill-kawżi ta '?</v>
      </c>
    </row>
    <row r="10898" ht="15.75" customHeight="1">
      <c r="A10898" s="2" t="s">
        <v>10898</v>
      </c>
      <c r="B10898" s="2" t="str">
        <f>IFERROR(__xludf.DUMMYFUNCTION("GOOGLETRANSLATE(A10898, ""en"", ""mt"")"),"Meta jtejbu s-soċjetà kollha kemm hi")</f>
        <v>Meta jtejbu s-soċjetà kollha kemm hi</v>
      </c>
    </row>
    <row r="10899" ht="15.75" customHeight="1">
      <c r="A10899" s="2" t="s">
        <v>10899</v>
      </c>
      <c r="B10899" s="2" t="str">
        <f>IFERROR(__xludf.DUMMYFUNCTION("GOOGLETRANSLATE(A10899, ""en"", ""mt"")"),"Organiżmi anerobiċi obbligati")</f>
        <v>Organiżmi anerobiċi obbligati</v>
      </c>
    </row>
    <row r="10900" ht="15.75" customHeight="1">
      <c r="A10900" s="2" t="s">
        <v>10900</v>
      </c>
      <c r="B10900" s="2" t="str">
        <f>IFERROR(__xludf.DUMMYFUNCTION("GOOGLETRANSLATE(A10900, ""en"", ""mt"")"),"Il-militar Mongolol kien ukoll suċċess fil-gwerra tal-assedju, li qata ’r-riżorsi għall-bliet u l-bliet billi ddevja ċerti xmajjar, jieħu priġunieri ghadu u jmexxihom quddiem l-armata, u adotta ideat, tekniki u għodod ġodda min-nies li ħakmu, partikolarme"&amp;"nt Timpjega magni u inġiniera Musulmani u Ċiniżi biex jgħinu lill-kavallerija Mongoljana fil-qbid tal-ibliet. Tattika standard oħra tal-militar tal-Mongolja kienet l-irtir li ġie pprattikat komunement biex jikser il-formazzjonijiet tal-għadu u biex jattir"&amp;"aw gruppi żgħar ta 'ghadu' l bogħod mill-grupp ikbar u ddefendew il-pożizzjoni għall-imbusc u l-kontrattakk.")</f>
        <v>Il-militar Mongolol kien ukoll suċċess fil-gwerra tal-assedju, li qata ’r-riżorsi għall-bliet u l-bliet billi ddevja ċerti xmajjar, jieħu priġunieri ghadu u jmexxihom quddiem l-armata, u adotta ideat, tekniki u għodod ġodda min-nies li ħakmu, partikolarment Timpjega magni u inġiniera Musulmani u Ċiniżi biex jgħinu lill-kavallerija Mongoljana fil-qbid tal-ibliet. Tattika standard oħra tal-militar tal-Mongolja kienet l-irtir li ġie pprattikat komunement biex jikser il-formazzjonijiet tal-għadu u biex jattiraw gruppi żgħar ta 'ghadu' l bogħod mill-grupp ikbar u ddefendew il-pożizzjoni għall-imbusc u l-kontrattakk.</v>
      </c>
    </row>
    <row r="10901" ht="15.75" customHeight="1">
      <c r="A10901" s="2" t="s">
        <v>10901</v>
      </c>
      <c r="B10901" s="2" t="str">
        <f>IFERROR(__xludf.DUMMYFUNCTION("GOOGLETRANSLATE(A10901, ""en"", ""mt"")"),"European_union_law")</f>
        <v>European_union_law</v>
      </c>
    </row>
    <row r="10902" ht="15.75" customHeight="1">
      <c r="A10902" s="2" t="s">
        <v>10902</v>
      </c>
      <c r="B10902" s="2" t="str">
        <f>IFERROR(__xludf.DUMMYFUNCTION("GOOGLETRANSLATE(A10902, ""en"", ""mt"")"),"BSKYB iġorr xi kontroll fuq il-kwalità tal-istampa ta 'kanal?")</f>
        <v>BSKYB iġorr xi kontroll fuq il-kwalità tal-istampa ta 'kanal?</v>
      </c>
    </row>
    <row r="10903" ht="15.75" customHeight="1">
      <c r="A10903" s="2" t="s">
        <v>10903</v>
      </c>
      <c r="B10903" s="2" t="str">
        <f>IFERROR(__xludf.DUMMYFUNCTION("GOOGLETRANSLATE(A10903, ""en"", ""mt"")"),"Stabbilizza l-konċentrazzjonijiet tal-gass serra fl-atmosfera")</f>
        <v>Stabbilizza l-konċentrazzjonijiet tal-gass serra fl-atmosfera</v>
      </c>
    </row>
    <row r="10904" ht="15.75" customHeight="1">
      <c r="A10904" s="2" t="s">
        <v>10904</v>
      </c>
      <c r="B10904" s="2" t="str">
        <f>IFERROR(__xludf.DUMMYFUNCTION("GOOGLETRANSLATE(A10904, ""en"", ""mt"")"),"Sferi epistemoloġiċi differenti.")</f>
        <v>Sferi epistemoloġiċi differenti.</v>
      </c>
    </row>
    <row r="10905" ht="15.75" customHeight="1">
      <c r="A10905" s="2" t="s">
        <v>10905</v>
      </c>
      <c r="B10905" s="2" t="str">
        <f>IFERROR(__xludf.DUMMYFUNCTION("GOOGLETRANSLATE(A10905, ""en"", ""mt"")"),"f'Mejju 1888")</f>
        <v>f'Mejju 1888</v>
      </c>
    </row>
    <row r="10906" ht="15.75" customHeight="1">
      <c r="A10906" s="2" t="s">
        <v>10906</v>
      </c>
      <c r="B10906" s="2" t="str">
        <f>IFERROR(__xludf.DUMMYFUNCTION("GOOGLETRANSLATE(A10906, ""en"", ""mt"")"),"X'inhu użat biex insemmu l-istren tal-gravità relattiva?")</f>
        <v>X'inhu użat biex insemmu l-istren tal-gravità relattiva?</v>
      </c>
    </row>
    <row r="10907" ht="15.75" customHeight="1">
      <c r="A10907" s="2" t="s">
        <v>10907</v>
      </c>
      <c r="B10907" s="2" t="str">
        <f>IFERROR(__xludf.DUMMYFUNCTION("GOOGLETRANSLATE(A10907, ""en"", ""mt"")"),"3.7 miljun metru kubu")</f>
        <v>3.7 miljun metru kubu</v>
      </c>
    </row>
    <row r="10908" ht="15.75" customHeight="1">
      <c r="A10908" s="2" t="s">
        <v>10908</v>
      </c>
      <c r="B10908" s="2" t="str">
        <f>IFERROR(__xludf.DUMMYFUNCTION("GOOGLETRANSLATE(A10908, ""en"", ""mt"")"),"Min jimpurta l-iktar għat-tkabbir ekonomiku?")</f>
        <v>Min jimpurta l-iktar għat-tkabbir ekonomiku?</v>
      </c>
    </row>
    <row r="10909" ht="15.75" customHeight="1">
      <c r="A10909" s="2" t="s">
        <v>10909</v>
      </c>
      <c r="B10909" s="2" t="str">
        <f>IFERROR(__xludf.DUMMYFUNCTION("GOOGLETRANSLATE(A10909, ""en"", ""mt"")"),"X'kien l-isem tal-effett tas-sistema 3D fid-dimensjoni fil-ħin?")</f>
        <v>X'kien l-isem tal-effett tas-sistema 3D fid-dimensjoni fil-ħin?</v>
      </c>
    </row>
    <row r="10910" ht="15.75" customHeight="1">
      <c r="A10910" s="2" t="s">
        <v>10910</v>
      </c>
      <c r="B10910" s="2" t="str">
        <f>IFERROR(__xludf.DUMMYFUNCTION("GOOGLETRANSLATE(A10910, ""en"", ""mt"")"),"A Commune")</f>
        <v>A Commune</v>
      </c>
    </row>
    <row r="10911" ht="15.75" customHeight="1">
      <c r="A10911" s="2" t="s">
        <v>10911</v>
      </c>
      <c r="B10911" s="2" t="str">
        <f>IFERROR(__xludf.DUMMYFUNCTION("GOOGLETRANSLATE(A10911, ""en"", ""mt"")"),"Hemm żewġ tipi ta 'thylakoids - thylakoids granali, li huma rranġati f'Grana, u thylakoids stromali, li huma f'kuntatt mal-istoma. Thylakoids tal-granal huma diski ċirkulari b'forma ta 'pancake madwar 300-600 nanometru fid-dijametru. Thylakoids stromali h"&amp;"uma folji helicoid li spirali madwar Grana. L-uċuħ ċatti u l-qigħan tat-thylakoids tal-granal fihom biss il-kumpless tal-proteina Photosystem II relattivament ċatt. Dan jippermettilhom li jwaqqfu sewwa, u jiffurmaw Grana b'ħafna saffi ta 'membrana stretta"&amp;"ment, imsejħa membrana tal-granal, li żżid l-istabbiltà u l-erja tal-wiċċ għall-qbid tad-dawl.")</f>
        <v>Hemm żewġ tipi ta 'thylakoids - thylakoids granali, li huma rranġati f'Grana, u thylakoids stromali, li huma f'kuntatt mal-istoma. Thylakoids tal-granal huma diski ċirkulari b'forma ta 'pancake madwar 300-600 nanometru fid-dijametru. Thylakoids stromali huma folji helicoid li spirali madwar Grana. L-uċuħ ċatti u l-qigħan tat-thylakoids tal-granal fihom biss il-kumpless tal-proteina Photosystem II relattivament ċatt. Dan jippermettilhom li jwaqqfu sewwa, u jiffurmaw Grana b'ħafna saffi ta 'membrana strettament, imsejħa membrana tal-granal, li żżid l-istabbiltà u l-erja tal-wiċċ għall-qbid tad-dawl.</v>
      </c>
    </row>
    <row r="10912" ht="15.75" customHeight="1">
      <c r="A10912" s="2" t="s">
        <v>10912</v>
      </c>
      <c r="B10912" s="2" t="str">
        <f>IFERROR(__xludf.DUMMYFUNCTION("GOOGLETRANSLATE(A10912, ""en"", ""mt"")"),"L-1 ta 'Jannar, 1968")</f>
        <v>L-1 ta 'Jannar, 1968</v>
      </c>
    </row>
    <row r="10913" ht="15.75" customHeight="1">
      <c r="A10913" s="2" t="s">
        <v>10913</v>
      </c>
      <c r="B10913" s="2" t="str">
        <f>IFERROR(__xludf.DUMMYFUNCTION("GOOGLETRANSLATE(A10913, ""en"", ""mt"")"),"F'liema sena nħolqot is-sistema ta 'awtostrada bejn l-istati?")</f>
        <v>F'liema sena nħolqot is-sistema ta 'awtostrada bejn l-istati?</v>
      </c>
    </row>
    <row r="10914" ht="15.75" customHeight="1">
      <c r="A10914" s="2" t="s">
        <v>10914</v>
      </c>
      <c r="B10914" s="2" t="str">
        <f>IFERROR(__xludf.DUMMYFUNCTION("GOOGLETRANSLATE(A10914, ""en"", ""mt"")"),"Il-liġi tal-Unjoni Ewropea hija applikata mill-qrati ta 'l-Istati Membri u l-Qorti tal-Ġustizzja ta' l-Unjoni Ewropea. Fejn il-liġijiet tal-istati membri jipprovdu għal-liġi tal-Unjoni Ewropea tad-drittijiet inqas jistgħu jiġu infurzati mill-qrati tal-ist"&amp;"ati membri. Fil-każ tal-liġi tal-Unjoni Ewropea li suppost ġiet trasposta fil-liġijiet tal-istati membri, bħal direttivi, il-Kummissjoni Ewropea tista 'tieħu proċeduri kontra l-Istat Membru taħt it-Trattat dwar il-Funzjonament tal-Unjoni Ewropea. Il-Qorti"&amp;" Ewropea tal-Ġustizzja hija l-ogħla qorti li kapaċi tinterpreta l-liġi tal-Unjoni Ewropea. Sorsi supplimentari tal-liġi tal-Unjoni Ewropea jinkludu ġurisprudenza mill-Qorti tal-Ġustizzja, Liġi Internazzjonali u Prinċipji Ġenerali tal-Liġi tal-Unjoni Ewrop"&amp;"ea.")</f>
        <v>Il-liġi tal-Unjoni Ewropea hija applikata mill-qrati ta 'l-Istati Membri u l-Qorti tal-Ġustizzja ta' l-Unjoni Ewropea. Fejn il-liġijiet tal-istati membri jipprovdu għal-liġi tal-Unjoni Ewropea tad-drittijiet inqas jistgħu jiġu infurzati mill-qrati tal-istati membri. Fil-każ tal-liġi tal-Unjoni Ewropea li suppost ġiet trasposta fil-liġijiet tal-istati membri, bħal direttivi, il-Kummissjoni Ewropea tista 'tieħu proċeduri kontra l-Istat Membru taħt it-Trattat dwar il-Funzjonament tal-Unjoni Ewropea. Il-Qorti Ewropea tal-Ġustizzja hija l-ogħla qorti li kapaċi tinterpreta l-liġi tal-Unjoni Ewropea. Sorsi supplimentari tal-liġi tal-Unjoni Ewropea jinkludu ġurisprudenza mill-Qorti tal-Ġustizzja, Liġi Internazzjonali u Prinċipji Ġenerali tal-Liġi tal-Unjoni Ewropea.</v>
      </c>
    </row>
    <row r="10915" ht="15.75" customHeight="1">
      <c r="A10915" s="2" t="s">
        <v>10915</v>
      </c>
      <c r="B10915" s="2" t="str">
        <f>IFERROR(__xludf.DUMMYFUNCTION("GOOGLETRANSLATE(A10915, ""en"", ""mt"")"),"Xi tfisser Ctenophore bil-Grieg?")</f>
        <v>Xi tfisser Ctenophore bil-Grieg?</v>
      </c>
    </row>
    <row r="10916" ht="15.75" customHeight="1">
      <c r="A10916" s="2" t="s">
        <v>10916</v>
      </c>
      <c r="B10916" s="2" t="str">
        <f>IFERROR(__xludf.DUMMYFUNCTION("GOOGLETRANSLATE(A10916, ""en"", ""mt"")"),"Kif tiddetermina l-aċċellerazzjoni ta 'ħabel meta żewġ persuni qed jiġbduha?")</f>
        <v>Kif tiddetermina l-aċċellerazzjoni ta 'ħabel meta żewġ persuni qed jiġbduha?</v>
      </c>
    </row>
    <row r="10917" ht="15.75" customHeight="1">
      <c r="A10917" s="2" t="s">
        <v>10917</v>
      </c>
      <c r="B10917" s="2" t="str">
        <f>IFERROR(__xludf.DUMMYFUNCTION("GOOGLETRANSLATE(A10917, ""en"", ""mt"")"),"Kanzunetta")</f>
        <v>Kanzunetta</v>
      </c>
    </row>
    <row r="10918" ht="15.75" customHeight="1">
      <c r="A10918" s="2" t="s">
        <v>10918</v>
      </c>
      <c r="B10918" s="2" t="str">
        <f>IFERROR(__xludf.DUMMYFUNCTION("GOOGLETRANSLATE(A10918, ""en"", ""mt"")"),"X'toffri Edison Tesla wara li temm il-proġett?")</f>
        <v>X'toffri Edison Tesla wara li temm il-proġett?</v>
      </c>
    </row>
    <row r="10919" ht="15.75" customHeight="1">
      <c r="A10919" s="2" t="s">
        <v>10919</v>
      </c>
      <c r="B10919" s="2" t="str">
        <f>IFERROR(__xludf.DUMMYFUNCTION("GOOGLETRANSLATE(A10919, ""en"", ""mt"")"),"barrani")</f>
        <v>barrani</v>
      </c>
    </row>
    <row r="10920" ht="15.75" customHeight="1">
      <c r="A10920" s="2" t="s">
        <v>10920</v>
      </c>
      <c r="B10920" s="2" t="str">
        <f>IFERROR(__xludf.DUMMYFUNCTION("GOOGLETRANSLATE(A10920, ""en"", ""mt"")"),"Rivoluzzjonarju")</f>
        <v>Rivoluzzjonarju</v>
      </c>
    </row>
    <row r="10921" ht="15.75" customHeight="1">
      <c r="A10921" s="2" t="s">
        <v>10921</v>
      </c>
      <c r="B10921" s="2" t="str">
        <f>IFERROR(__xludf.DUMMYFUNCTION("GOOGLETRANSLATE(A10921, ""en"", ""mt"")"),"ir-renju")</f>
        <v>ir-renju</v>
      </c>
    </row>
    <row r="10922" ht="15.75" customHeight="1">
      <c r="A10922" s="2" t="s">
        <v>10922</v>
      </c>
      <c r="B10922" s="2" t="str">
        <f>IFERROR(__xludf.DUMMYFUNCTION("GOOGLETRANSLATE(A10922, ""en"", ""mt"")"),"likwidu")</f>
        <v>likwidu</v>
      </c>
    </row>
    <row r="10923" ht="15.75" customHeight="1">
      <c r="A10923" s="2" t="s">
        <v>10923</v>
      </c>
      <c r="B10923" s="2" t="str">
        <f>IFERROR(__xludf.DUMMYFUNCTION("GOOGLETRANSLATE(A10923, ""en"", ""mt"")"),"Ġerusalemm")</f>
        <v>Ġerusalemm</v>
      </c>
    </row>
    <row r="10924" ht="15.75" customHeight="1">
      <c r="A10924" s="2" t="s">
        <v>10924</v>
      </c>
      <c r="B10924" s="2" t="str">
        <f>IFERROR(__xludf.DUMMYFUNCTION("GOOGLETRANSLATE(A10924, ""en"", ""mt"")"),"Kemm ilu rikonoxxut il-kunċett ta 'ċertezza legali bħala wieħed mill-prinċipji ġenerali mil-liġi tal-UE?")</f>
        <v>Kemm ilu rikonoxxut il-kunċett ta 'ċertezza legali bħala wieħed mill-prinċipji ġenerali mil-liġi tal-UE?</v>
      </c>
    </row>
    <row r="10925" ht="15.75" customHeight="1">
      <c r="A10925" s="2" t="s">
        <v>10925</v>
      </c>
      <c r="B10925" s="2" t="str">
        <f>IFERROR(__xludf.DUMMYFUNCTION("GOOGLETRANSLATE(A10925, ""en"", ""mt"")"),"Pjazza tal-Parlament")</f>
        <v>Pjazza tal-Parlament</v>
      </c>
    </row>
    <row r="10926" ht="15.75" customHeight="1">
      <c r="A10926" s="2" t="s">
        <v>10926</v>
      </c>
      <c r="B10926" s="2" t="str">
        <f>IFERROR(__xludf.DUMMYFUNCTION("GOOGLETRANSLATE(A10926, ""en"", ""mt"")"),"Wara l-1945, dak li kkontesta l-Imperu Franċiż?")</f>
        <v>Wara l-1945, dak li kkontesta l-Imperu Franċiż?</v>
      </c>
    </row>
    <row r="10927" ht="15.75" customHeight="1">
      <c r="A10927" s="2" t="s">
        <v>10927</v>
      </c>
      <c r="B10927" s="2" t="str">
        <f>IFERROR(__xludf.DUMMYFUNCTION("GOOGLETRANSLATE(A10927, ""en"", ""mt"")"),"Il-Qorti Ewropea tad-Drittijiet tal-Bniedem")</f>
        <v>Il-Qorti Ewropea tad-Drittijiet tal-Bniedem</v>
      </c>
    </row>
    <row r="10928" ht="15.75" customHeight="1">
      <c r="A10928" s="2" t="s">
        <v>10928</v>
      </c>
      <c r="B10928" s="2" t="str">
        <f>IFERROR(__xludf.DUMMYFUNCTION("GOOGLETRANSLATE(A10928, ""en"", ""mt"")"),"Jittrasformaw il-konfini")</f>
        <v>Jittrasformaw il-konfini</v>
      </c>
    </row>
    <row r="10929" ht="15.75" customHeight="1">
      <c r="A10929" s="2" t="s">
        <v>10929</v>
      </c>
      <c r="B10929" s="2" t="str">
        <f>IFERROR(__xludf.DUMMYFUNCTION("GOOGLETRANSLATE(A10929, ""en"", ""mt"")"),"Guinea Ġermaniża Ġermaniża")</f>
        <v>Guinea Ġermaniża Ġermaniża</v>
      </c>
    </row>
    <row r="10930" ht="15.75" customHeight="1">
      <c r="A10930" s="2" t="s">
        <v>10930</v>
      </c>
      <c r="B10930" s="2" t="str">
        <f>IFERROR(__xludf.DUMMYFUNCTION("GOOGLETRANSLATE(A10930, ""en"", ""mt"")"),"L-ewwel Ewropew li jivvjaġġa t-tul tax-Xmara Amazon kien Francisco de Orellana fl-1542. L-istoriji mhux naturali tal-BBC jippreżentaw evidenza li Orellana, aktar milli teżaġera t-talbiet tiegħu kif kien maħsub qabel, kienet korretta fl-osservazzjonijiet t"&amp;"iegħu li ċiviltà kumplessa kienet qed tiffjorixxi tul l-Amażonja fl-1540s. Huwa maħsub li ċ-ċiviltà aktar tard kienet ħerba mit-tixrid tal-mard mill-Ewropa, bħal ġidri. Mis-snin sebgħin, ġew skoperti bosta ġeoglyphs fuq art deforestata li tmur bejn AD 0-1"&amp;"250, li tkompli t-talbiet dwar ċiviltajiet pre-Kolumbjani. OnDemar Dias huwa akkreditat li l-ewwel jiskopri l-ġeoglyphs fl-1977 u l-Alceu Ranzi billi tkompli l-iskoperta tagħhom wara li ttajjar fuq l-acre. L-istoriji mhux naturali tal-BBC ippreżentaw evid"&amp;"enza li l-foresta tropikali tal-Amażonja, aktar milli tkun deżert verġni, ġiet iffurmata mill-bniedem għal mill-inqas 11,000 sena permezz ta 'prattiki bħall-ġardinaġġ tal-foresti u terra preta.")</f>
        <v>L-ewwel Ewropew li jivvjaġġa t-tul tax-Xmara Amazon kien Francisco de Orellana fl-1542. L-istoriji mhux naturali tal-BBC jippreżentaw evidenza li Orellana, aktar milli teżaġera t-talbiet tiegħu kif kien maħsub qabel, kienet korretta fl-osservazzjonijiet tiegħu li ċiviltà kumplessa kienet qed tiffjorixxi tul l-Amażonja fl-1540s. Huwa maħsub li ċ-ċiviltà aktar tard kienet ħerba mit-tixrid tal-mard mill-Ewropa, bħal ġidri. Mis-snin sebgħin, ġew skoperti bosta ġeoglyphs fuq art deforestata li tmur bejn AD 0-1250, li tkompli t-talbiet dwar ċiviltajiet pre-Kolumbjani. OnDemar Dias huwa akkreditat li l-ewwel jiskopri l-ġeoglyphs fl-1977 u l-Alceu Ranzi billi tkompli l-iskoperta tagħhom wara li ttajjar fuq l-acre. L-istoriji mhux naturali tal-BBC ippreżentaw evidenza li l-foresta tropikali tal-Amażonja, aktar milli tkun deżert verġni, ġiet iffurmata mill-bniedem għal mill-inqas 11,000 sena permezz ta 'prattiki bħall-ġardinaġġ tal-foresti u terra preta.</v>
      </c>
    </row>
    <row r="10931" ht="15.75" customHeight="1">
      <c r="A10931" s="2" t="s">
        <v>10931</v>
      </c>
      <c r="B10931" s="2" t="str">
        <f>IFERROR(__xludf.DUMMYFUNCTION("GOOGLETRANSLATE(A10931, ""en"", ""mt"")"),"Tipprevjeni l-installazzjoni ta 'immaġini pagani")</f>
        <v>Tipprevjeni l-installazzjoni ta 'immaġini pagani</v>
      </c>
    </row>
    <row r="10932" ht="15.75" customHeight="1">
      <c r="A10932" s="2" t="s">
        <v>10932</v>
      </c>
      <c r="B10932" s="2" t="str">
        <f>IFERROR(__xludf.DUMMYFUNCTION("GOOGLETRANSLATE(A10932, ""en"", ""mt"")"),"rata ta 'l-aqwa taxxa")</f>
        <v>rata ta 'l-aqwa taxxa</v>
      </c>
    </row>
    <row r="10933" ht="15.75" customHeight="1">
      <c r="A10933" s="2" t="s">
        <v>10933</v>
      </c>
      <c r="B10933" s="2" t="str">
        <f>IFERROR(__xludf.DUMMYFUNCTION("GOOGLETRANSLATE(A10933, ""en"", ""mt"")"),"Fl-1846, il-lezzjonijiet tal-istorja naturali ta 'Louis Agassiz ġew milqugħin kemm fi New York kif ukoll fil-kampus fil-Kulleġġ ta' Harvard. L-approċċ ta 'Agassiz kien idealist b'mod distint u poġġa lill-Amerikani ""il-parteċipazzjoni fin-natura divina"" "&amp;"u l-possibbiltà li jifhmu ""eżistenzi intellettwali"". Il-perspettiva ta 'Agassiz dwar ix-xjenza kkombinat l-osservazzjoni mal-intwizzjoni u s-suppożizzjoni li persuna tista' tifhem il- ""pjan divin"" fil-fenomeni kollha. Meta ġie biex jispjega l-forom ta"&amp;"l-ħajja, Agassiz irrikorrew għal kwistjonijiet ta 'forma bbażati fuq arketip preżunt għall-evidenza tiegħu. Din il-fehma doppja tal-għarfien kienet f'kunċert mat-tagħlim tas-sens komun Il-popolarità ta 'l-isforzi ta' Agassiz biex ""jogħlew ma 'Plato"" x'a"&amp;"ktarx ukoll derivati ​​minn kitbiet oħra li l-istudenti ta' Harvard kienu esposti, inklużi trattati platoniċi minn Ralph Cudworth, John Norrisand, f'vina romantika, Samuel Coleridge. Ir-rekords tal-librerija f'Harvard jiżvelaw li l-kitbiet ta 'Platun u s-"&amp;"segwaċi moderni u romantiċi tiegħu kienu qraw regolarment matul is-seklu 19 bħal dawk tal- ""filosofija uffiċjali"" ta' l-iskola Skoċċiża aktar empirika u aktar deistika.")</f>
        <v>Fl-1846, il-lezzjonijiet tal-istorja naturali ta 'Louis Agassiz ġew milqugħin kemm fi New York kif ukoll fil-kampus fil-Kulleġġ ta' Harvard. L-approċċ ta 'Agassiz kien idealist b'mod distint u poġġa lill-Amerikani "il-parteċipazzjoni fin-natura divina" u l-possibbiltà li jifhmu "eżistenzi intellettwali". Il-perspettiva ta 'Agassiz dwar ix-xjenza kkombinat l-osservazzjoni mal-intwizzjoni u s-suppożizzjoni li persuna tista' tifhem il- "pjan divin" fil-fenomeni kollha. Meta ġie biex jispjega l-forom tal-ħajja, Agassiz irrikorrew għal kwistjonijiet ta 'forma bbażati fuq arketip preżunt għall-evidenza tiegħu. Din il-fehma doppja tal-għarfien kienet f'kunċert mat-tagħlim tas-sens komun Il-popolarità ta 'l-isforzi ta' Agassiz biex "jogħlew ma 'Plato" x'aktarx ukoll derivati ​​minn kitbiet oħra li l-istudenti ta' Harvard kienu esposti, inklużi trattati platoniċi minn Ralph Cudworth, John Norrisand, f'vina romantika, Samuel Coleridge. Ir-rekords tal-librerija f'Harvard jiżvelaw li l-kitbiet ta 'Platun u s-segwaċi moderni u romantiċi tiegħu kienu qraw regolarment matul is-seklu 19 bħal dawk tal- "filosofija uffiċjali" ta' l-iskola Skoċċiża aktar empirika u aktar deistika.</v>
      </c>
    </row>
    <row r="10934" ht="15.75" customHeight="1">
      <c r="A10934" s="2" t="s">
        <v>10934</v>
      </c>
      <c r="B10934" s="2" t="str">
        <f>IFERROR(__xludf.DUMMYFUNCTION("GOOGLETRANSLATE(A10934, ""en"", ""mt"")"),"seklu sittax")</f>
        <v>seklu sittax</v>
      </c>
    </row>
    <row r="10935" ht="15.75" customHeight="1">
      <c r="A10935" s="2" t="s">
        <v>10935</v>
      </c>
      <c r="B10935" s="2" t="str">
        <f>IFERROR(__xludf.DUMMYFUNCTION("GOOGLETRANSLATE(A10935, ""en"", ""mt"")"),"Sess")</f>
        <v>Sess</v>
      </c>
    </row>
    <row r="10936" ht="15.75" customHeight="1">
      <c r="A10936" s="2" t="s">
        <v>10936</v>
      </c>
      <c r="B10936" s="2" t="str">
        <f>IFERROR(__xludf.DUMMYFUNCTION("GOOGLETRANSLATE(A10936, ""en"", ""mt"")"),"X'inhi s-suppożizzjoni mhux ippruvata ġeneralment attribwita għall-valur tal-klassijiet ta 'kumplessità?")</f>
        <v>X'inhi s-suppożizzjoni mhux ippruvata ġeneralment attribwita għall-valur tal-klassijiet ta 'kumplessità?</v>
      </c>
    </row>
    <row r="10937" ht="15.75" customHeight="1">
      <c r="A10937" s="2" t="s">
        <v>10937</v>
      </c>
      <c r="B10937" s="2" t="str">
        <f>IFERROR(__xludf.DUMMYFUNCTION("GOOGLETRANSLATE(A10937, ""en"", ""mt"")"),"Proplastidi mhux differenzjati misjuba fiż-żigot, jew bajda fertilizzata")</f>
        <v>Proplastidi mhux differenzjati misjuba fiż-żigot, jew bajda fertilizzata</v>
      </c>
    </row>
    <row r="10938" ht="15.75" customHeight="1">
      <c r="A10938" s="2" t="s">
        <v>10938</v>
      </c>
      <c r="B10938" s="2" t="str">
        <f>IFERROR(__xludf.DUMMYFUNCTION("GOOGLETRANSLATE(A10938, ""en"", ""mt"")"),"ħin esponenzjali")</f>
        <v>ħin esponenzjali</v>
      </c>
    </row>
    <row r="10939" ht="15.75" customHeight="1">
      <c r="A10939" s="2" t="s">
        <v>10939</v>
      </c>
      <c r="B10939" s="2" t="str">
        <f>IFERROR(__xludf.DUMMYFUNCTION("GOOGLETRANSLATE(A10939, ""en"", ""mt"")"),"Liema teorija ssuġġeriet li n-nies fit-tropiċi ma kinux inkarigati?")</f>
        <v>Liema teorija ssuġġeriet li n-nies fit-tropiċi ma kinux inkarigati?</v>
      </c>
    </row>
    <row r="10940" ht="15.75" customHeight="1">
      <c r="A10940" s="2" t="s">
        <v>10940</v>
      </c>
      <c r="B10940" s="2" t="str">
        <f>IFERROR(__xludf.DUMMYFUNCTION("GOOGLETRANSLATE(A10940, ""en"", ""mt"")"),"St Thomas Becket")</f>
        <v>St Thomas Becket</v>
      </c>
    </row>
    <row r="10941" ht="15.75" customHeight="1">
      <c r="A10941" s="2" t="s">
        <v>10941</v>
      </c>
      <c r="B10941" s="2" t="str">
        <f>IFERROR(__xludf.DUMMYFUNCTION("GOOGLETRANSLATE(A10941, ""en"", ""mt"")"),"tvarja minn 53% fil-Botswana għal -40% fil-Baħrejn")</f>
        <v>tvarja minn 53% fil-Botswana għal -40% fil-Baħrejn</v>
      </c>
    </row>
    <row r="10942" ht="15.75" customHeight="1">
      <c r="A10942" s="2" t="s">
        <v>10942</v>
      </c>
      <c r="B10942" s="2" t="str">
        <f>IFERROR(__xludf.DUMMYFUNCTION("GOOGLETRANSLATE(A10942, ""en"", ""mt"")"),"Mediċini li jgħaqqdu / iqassmu")</f>
        <v>Mediċini li jgħaqqdu / iqassmu</v>
      </c>
    </row>
    <row r="10943" ht="15.75" customHeight="1">
      <c r="A10943" s="2" t="s">
        <v>10943</v>
      </c>
      <c r="B10943" s="2" t="str">
        <f>IFERROR(__xludf.DUMMYFUNCTION("GOOGLETRANSLATE(A10943, ""en"", ""mt"")"),"San Lawrenz u Mississippi")</f>
        <v>San Lawrenz u Mississippi</v>
      </c>
    </row>
    <row r="10944" ht="15.75" customHeight="1">
      <c r="A10944" s="2" t="s">
        <v>10944</v>
      </c>
      <c r="B10944" s="2" t="str">
        <f>IFERROR(__xludf.DUMMYFUNCTION("GOOGLETRANSLATE(A10944, ""en"", ""mt"")"),"X'jista 'jiġi ppreżentat lill-Parlament b'diversi modi?")</f>
        <v>X'jista 'jiġi ppreżentat lill-Parlament b'diversi modi?</v>
      </c>
    </row>
    <row r="10945" ht="15.75" customHeight="1">
      <c r="A10945" s="2" t="s">
        <v>10945</v>
      </c>
      <c r="B10945" s="2" t="str">
        <f>IFERROR(__xludf.DUMMYFUNCTION("GOOGLETRANSLATE(A10945, ""en"", ""mt"")"),"Il-Ġnien John Makeski")</f>
        <v>Il-Ġnien John Makeski</v>
      </c>
    </row>
    <row r="10946" ht="15.75" customHeight="1">
      <c r="A10946" s="2" t="s">
        <v>10946</v>
      </c>
      <c r="B10946" s="2" t="str">
        <f>IFERROR(__xludf.DUMMYFUNCTION("GOOGLETRANSLATE(A10946, ""en"", ""mt"")"),"diversi snin")</f>
        <v>diversi snin</v>
      </c>
    </row>
    <row r="10947" ht="15.75" customHeight="1">
      <c r="A10947" s="2" t="s">
        <v>10947</v>
      </c>
      <c r="B10947" s="2" t="str">
        <f>IFERROR(__xludf.DUMMYFUNCTION("GOOGLETRANSLATE(A10947, ""en"", ""mt"")"),"Pubblikazzjonijiet bil-lingwa Ġermaniża,")</f>
        <v>Pubblikazzjonijiet bil-lingwa Ġermaniża,</v>
      </c>
    </row>
    <row r="10948" ht="15.75" customHeight="1">
      <c r="A10948" s="2" t="s">
        <v>10948</v>
      </c>
      <c r="B10948" s="2" t="str">
        <f>IFERROR(__xludf.DUMMYFUNCTION("GOOGLETRANSLATE(A10948, ""en"", ""mt"")"),"Filwaqt li l-kunċett ta '""ekonomija tas-suq soċjali"" ġie introdott biss fil-liġi tal-UE fl-2007, il-moviment liberu u l-kummerċ kienu ċentrali għall-iżvilupp Ewropew mit-Trattat ta' Ruma 1957. Skond it-teorija standard tal-vantaġġ komparattiv, żewġ pajj"&amp;"iżi jistgħu jibbenefikaw minn Kummerċ anke jekk wieħed minnhom għandu ekonomija inqas produttiva fl-aspetti kollha. Bħal f'organizzazzjonijiet reġjonali oħra bħall-Assoċjazzjoni tal-Kummerċ Ħieles tal-Amerika ta 'Fuq, jew l-Organizzazzjoni Dinjija tal-Kum"&amp;"merċ, tkisser l-ostakli għall-kummerċ, u t-titjib tal-moviment liberu ta' oġġetti, servizzi, xogħol u kapital, huwa maħsub biex inaqqas il-prezzijiet tal-konsumatur. Kien oriġinarjament teorizzat li żona ta 'kummerċ ħieles kellha tendenza li tagħti post g"&amp;"ħal unjoni doganali, li wasslet għal suq komuni, imbagħad unjoni monetarja, imbagħad unjoni tal-politika monetarja u fiskali, politika u eventwalment xi unjoni sħiħa karatteristika ta' stat federali - Fl-Ewropa, madankollu, dawk l-istadji kienu mħallta ko"&amp;"nsiderevolment, u għadu mhux ċar jekk il- ""endgame"" għandux ikun l-istess bħal stat, tradizzjonalment mifhum. Fil-prattika kummerċ ħieles, mingħajr standards biex jiżgura kummerċ ġust, jistgħu jibbenefikaw xi nies u gruppi ġewwa pajjiżi (partikolarment "&amp;"negozju kbir) ħafna iktar minn oħrajn, iżda se jġorru nies li m'għandhomx poter ta 'negozjar f'suq li qed jespandi, partikolarment ħaddiema, konsumaturi, negozji żgħar , li qed jiżviluppaw industriji, u komunitajiet. It-trattat dwar il-funzjonament tal-ar"&amp;"tikoli tal-Unjoni Ewropea 28 sa 37 jistabbilixxi l-prinċipju tal-moviment liberu tal-merkanzija fl-UE, filwaqt li l-artikoli 45 sa 66 jeħtieġu moviment liberu ta 'persuni, servizzi u kapital. Dawn l-hekk imsejħa ""erba 'libertajiet"" kienu maħsuba li huma"&amp;" inibiti minn ostakli fiżiċi (eż. Dwana), ostakli tekniċi (e.g. liġijiet differenti dwar is-sigurtà, l-istandards tal-konsumatur jew ambjentali) u ostakli fiskali (per eżempju rati differenti ta' taxxa fuq il-valur miżjud). It-tensjoni fil-liġi hija li l-"&amp;"moviment liberu u l-kummerċ mhux suppost jinxterdu f'liċenzja għal profitt kummerċjali mhux ristrett. It-trattati jillimitaw il-kummerċ ħieles, biex jipprijoritizzaw valuri oħra bħas-saħħa pubblika, il-protezzjoni tal-konsumatur, id-drittijiet tax-xogħol,"&amp;" kompetizzjoni ġusta, u titjib ambjentali. Kulma jmur il-Qorti tal-Ġustizzja għamlet il-fehma li l-għanijiet speċifiċi tal-kummerċ ħieles huma msejsa mill-għanijiet ġenerali tat-trattat għat-titjib tal-benesseri tan-nies.")</f>
        <v>Filwaqt li l-kunċett ta '"ekonomija tas-suq soċjali" ġie introdott biss fil-liġi tal-UE fl-2007, il-moviment liberu u l-kummerċ kienu ċentrali għall-iżvilupp Ewropew mit-Trattat ta' Ruma 1957. Skond it-teorija standard tal-vantaġġ komparattiv, żewġ pajjiżi jistgħu jibbenefikaw minn Kummerċ anke jekk wieħed minnhom għandu ekonomija inqas produttiva fl-aspetti kollha. Bħal f'organizzazzjonijiet reġjonali oħra bħall-Assoċjazzjoni tal-Kummerċ Ħieles tal-Amerika ta 'Fuq, jew l-Organizzazzjoni Dinjija tal-Kummerċ, tkisser l-ostakli għall-kummerċ, u t-titjib tal-moviment liberu ta' oġġetti, servizzi, xogħol u kapital, huwa maħsub biex inaqqas il-prezzijiet tal-konsumatur. Kien oriġinarjament teorizzat li żona ta 'kummerċ ħieles kellha tendenza li tagħti post għal unjoni doganali, li wasslet għal suq komuni, imbagħad unjoni monetarja, imbagħad unjoni tal-politika monetarja u fiskali, politika u eventwalment xi unjoni sħiħa karatteristika ta' stat federali - Fl-Ewropa, madankollu, dawk l-istadji kienu mħallta konsiderevolment, u għadu mhux ċar jekk il- "endgame" għandux ikun l-istess bħal stat, tradizzjonalment mifhum. Fil-prattika kummerċ ħieles, mingħajr standards biex jiżgura kummerċ ġust, jistgħu jibbenefikaw xi nies u gruppi ġewwa pajjiżi (partikolarment negozju kbir) ħafna iktar minn oħrajn, iżda se jġorru nies li m'għandhomx poter ta 'negozjar f'suq li qed jespandi, partikolarment ħaddiema, konsumaturi, negozji żgħar , li qed jiżviluppaw industriji, u komunitajiet. It-trattat dwar il-funzjonament tal-artikoli tal-Unjoni Ewropea 28 sa 37 jistabbilixxi l-prinċipju tal-moviment liberu tal-merkanzija fl-UE, filwaqt li l-artikoli 45 sa 66 jeħtieġu moviment liberu ta 'persuni, servizzi u kapital. Dawn l-hekk imsejħa "erba 'libertajiet" kienu maħsuba li huma inibiti minn ostakli fiżiċi (eż. Dwana), ostakli tekniċi (e.g. liġijiet differenti dwar is-sigurtà, l-istandards tal-konsumatur jew ambjentali) u ostakli fiskali (per eżempju rati differenti ta' taxxa fuq il-valur miżjud). It-tensjoni fil-liġi hija li l-moviment liberu u l-kummerċ mhux suppost jinxterdu f'liċenzja għal profitt kummerċjali mhux ristrett. It-trattati jillimitaw il-kummerċ ħieles, biex jipprijoritizzaw valuri oħra bħas-saħħa pubblika, il-protezzjoni tal-konsumatur, id-drittijiet tax-xogħol, kompetizzjoni ġusta, u titjib ambjentali. Kulma jmur il-Qorti tal-Ġustizzja għamlet il-fehma li l-għanijiet speċifiċi tal-kummerċ ħieles huma msejsa mill-għanijiet ġenerali tat-trattat għat-titjib tal-benesseri tan-nies.</v>
      </c>
    </row>
    <row r="10949" ht="15.75" customHeight="1">
      <c r="A10949" s="2" t="s">
        <v>10949</v>
      </c>
      <c r="B10949" s="2" t="str">
        <f>IFERROR(__xludf.DUMMYFUNCTION("GOOGLETRANSLATE(A10949, ""en"", ""mt"")"),"Harambee House ta 'Nairobi")</f>
        <v>Harambee House ta 'Nairobi</v>
      </c>
    </row>
    <row r="10950" ht="15.75" customHeight="1">
      <c r="A10950" s="2" t="s">
        <v>10950</v>
      </c>
      <c r="B10950" s="2" t="str">
        <f>IFERROR(__xludf.DUMMYFUNCTION("GOOGLETRANSLATE(A10950, ""en"", ""mt"")"),"Vjaġġi ta 'Marco Polo")</f>
        <v>Vjaġġi ta 'Marco Polo</v>
      </c>
    </row>
    <row r="10951" ht="15.75" customHeight="1">
      <c r="A10951" s="2" t="s">
        <v>10951</v>
      </c>
      <c r="B10951" s="2" t="str">
        <f>IFERROR(__xludf.DUMMYFUNCTION("GOOGLETRANSLATE(A10951, ""en"", ""mt"")"),"Protezzjoni tat-Tfal u Gruppi tad-Drittijiet tal-Ġenituri")</f>
        <v>Protezzjoni tat-Tfal u Gruppi tad-Drittijiet tal-Ġenituri</v>
      </c>
    </row>
    <row r="10952" ht="15.75" customHeight="1">
      <c r="A10952" s="2" t="s">
        <v>10952</v>
      </c>
      <c r="B10952" s="2" t="str">
        <f>IFERROR(__xludf.DUMMYFUNCTION("GOOGLETRANSLATE(A10952, ""en"", ""mt"")"),"kundizzjonijiet ta 'ekwilibriju statiku")</f>
        <v>kundizzjonijiet ta 'ekwilibriju statiku</v>
      </c>
    </row>
    <row r="10953" ht="15.75" customHeight="1">
      <c r="A10953" s="2" t="s">
        <v>10953</v>
      </c>
      <c r="B10953" s="2" t="str">
        <f>IFERROR(__xludf.DUMMYFUNCTION("GOOGLETRANSLATE(A10953, ""en"", ""mt"")"),"Għaliex in-nifs ossiġnu fl-inġenju tal-ispazju mhux perikoluż għas-saħħa?")</f>
        <v>Għaliex in-nifs ossiġnu fl-inġenju tal-ispazju mhux perikoluż għas-saħħa?</v>
      </c>
    </row>
    <row r="10954" ht="15.75" customHeight="1">
      <c r="A10954" s="2" t="s">
        <v>10954</v>
      </c>
      <c r="B10954" s="2" t="str">
        <f>IFERROR(__xludf.DUMMYFUNCTION("GOOGLETRANSLATE(A10954, ""en"", ""mt"")"),"Kontenut ogħla ta 'ossiġnu")</f>
        <v>Kontenut ogħla ta 'ossiġnu</v>
      </c>
    </row>
    <row r="10955" ht="15.75" customHeight="1">
      <c r="A10955" s="2" t="s">
        <v>10955</v>
      </c>
      <c r="B10955" s="2" t="str">
        <f>IFERROR(__xludf.DUMMYFUNCTION("GOOGLETRANSLATE(A10955, ""en"", ""mt"")"),"Lejl tal-ftuħ tas-Super Bowl")</f>
        <v>Lejl tal-ftuħ tas-Super Bowl</v>
      </c>
    </row>
    <row r="10956" ht="15.75" customHeight="1">
      <c r="A10956" s="2" t="s">
        <v>10956</v>
      </c>
      <c r="B10956" s="2" t="str">
        <f>IFERROR(__xludf.DUMMYFUNCTION("GOOGLETRANSLATE(A10956, ""en"", ""mt"")"),"18-Karat miksija bid-deheb")</f>
        <v>18-Karat miksija bid-deheb</v>
      </c>
    </row>
    <row r="10957" ht="15.75" customHeight="1">
      <c r="A10957" s="2" t="s">
        <v>10957</v>
      </c>
      <c r="B10957" s="2" t="str">
        <f>IFERROR(__xludf.DUMMYFUNCTION("GOOGLETRANSLATE(A10957, ""en"", ""mt"")"),"X’kienu fehmu ċ-ċittadini Pollakki li għandhom il-kliem ta ’Ġwanni Pawlu II?")</f>
        <v>X’kienu fehmu ċ-ċittadini Pollakki li għandhom il-kliem ta ’Ġwanni Pawlu II?</v>
      </c>
    </row>
    <row r="10958" ht="15.75" customHeight="1">
      <c r="A10958" s="2" t="s">
        <v>10958</v>
      </c>
      <c r="B10958" s="2" t="str">
        <f>IFERROR(__xludf.DUMMYFUNCTION("GOOGLETRANSLATE(A10958, ""en"", ""mt"")"),"is-sitwazzjoni finanzjarja diżastruża tagħhom")</f>
        <v>is-sitwazzjoni finanzjarja diżastruża tagħhom</v>
      </c>
    </row>
    <row r="10959" ht="15.75" customHeight="1">
      <c r="A10959" s="2" t="s">
        <v>10959</v>
      </c>
      <c r="B10959" s="2" t="str">
        <f>IFERROR(__xludf.DUMMYFUNCTION("GOOGLETRANSLATE(A10959, ""en"", ""mt"")"),"F'liema post l-esperjenza tal-NFL saret?")</f>
        <v>F'liema post l-esperjenza tal-NFL saret?</v>
      </c>
    </row>
    <row r="10960" ht="15.75" customHeight="1">
      <c r="A10960" s="2" t="s">
        <v>10960</v>
      </c>
      <c r="B10960" s="2" t="str">
        <f>IFERROR(__xludf.DUMMYFUNCTION("GOOGLETRANSLATE(A10960, ""en"", ""mt"")"),"Liema grad għall-iktar belt popolata fl-Unjoni Ewropea għandha Varsavja?")</f>
        <v>Liema grad għall-iktar belt popolata fl-Unjoni Ewropea għandha Varsavja?</v>
      </c>
    </row>
    <row r="10961" ht="15.75" customHeight="1">
      <c r="A10961" s="2" t="s">
        <v>10961</v>
      </c>
      <c r="B10961" s="2" t="str">
        <f>IFERROR(__xludf.DUMMYFUNCTION("GOOGLETRANSLATE(A10961, ""en"", ""mt"")"),"X'kien qed jikkawża Franza l-ġdida li jkollha problemi bil-provvista mill-ġdid?")</f>
        <v>X'kien qed jikkawża Franza l-ġdida li jkollha problemi bil-provvista mill-ġdid?</v>
      </c>
    </row>
    <row r="10962" ht="15.75" customHeight="1">
      <c r="A10962" s="2" t="s">
        <v>10962</v>
      </c>
      <c r="B10962" s="2" t="str">
        <f>IFERROR(__xludf.DUMMYFUNCTION("GOOGLETRANSLATE(A10962, ""en"", ""mt"")"),"Liema tip ta 'liġi jagħmel l-istituzzjonijiet tal-UE u l-istati membri tagħha jsegwu l-liġi?")</f>
        <v>Liema tip ta 'liġi jagħmel l-istituzzjonijiet tal-UE u l-istati membri tagħha jsegwu l-liġi?</v>
      </c>
    </row>
    <row r="10963" ht="15.75" customHeight="1">
      <c r="A10963" s="2" t="s">
        <v>10963</v>
      </c>
      <c r="B10963" s="2" t="str">
        <f>IFERROR(__xludf.DUMMYFUNCTION("GOOGLETRANSLATE(A10963, ""en"", ""mt"")"),"49–15,")</f>
        <v>49–15,</v>
      </c>
    </row>
    <row r="10964" ht="15.75" customHeight="1">
      <c r="A10964" s="2" t="s">
        <v>10964</v>
      </c>
      <c r="B10964" s="2" t="str">
        <f>IFERROR(__xludf.DUMMYFUNCTION("GOOGLETRANSLATE(A10964, ""en"", ""mt"")"),"Il-qtil tal-President Amerikan John F. Kennedy")</f>
        <v>Il-qtil tal-President Amerikan John F. Kennedy</v>
      </c>
    </row>
    <row r="10965" ht="15.75" customHeight="1">
      <c r="A10965" s="2" t="s">
        <v>10965</v>
      </c>
      <c r="B10965" s="2" t="str">
        <f>IFERROR(__xludf.DUMMYFUNCTION("GOOGLETRANSLATE(A10965, ""en"", ""mt"")"),"Xi jipproponi Graham Twigg dwar it-tixrid tal-mard?")</f>
        <v>Xi jipproponi Graham Twigg dwar it-tixrid tal-mard?</v>
      </c>
    </row>
    <row r="10966" ht="15.75" customHeight="1">
      <c r="A10966" s="2" t="s">
        <v>10966</v>
      </c>
      <c r="B10966" s="2" t="str">
        <f>IFERROR(__xludf.DUMMYFUNCTION("GOOGLETRANSLATE(A10966, ""en"", ""mt"")"),"Kuntratturi D&amp;B")</f>
        <v>Kuntratturi D&amp;B</v>
      </c>
    </row>
    <row r="10967" ht="15.75" customHeight="1">
      <c r="A10967" s="2" t="s">
        <v>10967</v>
      </c>
      <c r="B10967" s="2" t="str">
        <f>IFERROR(__xludf.DUMMYFUNCTION("GOOGLETRANSLATE(A10967, ""en"", ""mt"")"),"qed jiġi abbozzat fl-armata Awstro-Ungeriża")</f>
        <v>qed jiġi abbozzat fl-armata Awstro-Ungeriża</v>
      </c>
    </row>
    <row r="10968" ht="15.75" customHeight="1">
      <c r="A10968" s="2" t="s">
        <v>10968</v>
      </c>
      <c r="B10968" s="2" t="str">
        <f>IFERROR(__xludf.DUMMYFUNCTION("GOOGLETRANSLATE(A10968, ""en"", ""mt"")"),"Bejn il-Franċiżi u l-Ingliżi, liema gruppi kkontrollaw art?")</f>
        <v>Bejn il-Franċiżi u l-Ingliżi, liema gruppi kkontrollaw art?</v>
      </c>
    </row>
    <row r="10969" ht="15.75" customHeight="1">
      <c r="A10969" s="2" t="s">
        <v>10969</v>
      </c>
      <c r="B10969" s="2" t="str">
        <f>IFERROR(__xludf.DUMMYFUNCTION("GOOGLETRANSLATE(A10969, ""en"", ""mt"")"),"Protesti illegali simboliċi")</f>
        <v>Protesti illegali simboliċi</v>
      </c>
    </row>
    <row r="10970" ht="15.75" customHeight="1">
      <c r="A10970" s="2" t="s">
        <v>10970</v>
      </c>
      <c r="B10970" s="2" t="str">
        <f>IFERROR(__xludf.DUMMYFUNCTION("GOOGLETRANSLATE(A10970, ""en"", ""mt"")"),"Iż-żona hija magħrufa wkoll għad-djar tal-bidu tas-seklu għoxrin tagħha, li ħafna minnhom ġew restawrati fl-aħħar għexieren ta ’snin. Iż-żona tinkludi ħafna djar tal-istil tal-bungalow u artiġjani Amerikani tal-Kalifornja, arkitettura tal-istil tal-qawmie"&amp;"n mill-ġdid Spanjol, arkitettura tal-istil tal-qawmien mill-ġdid tal-Mediterran, arkitettura tal-istil tal-qawmien mill-ġdid tal-missjoni, u ħafna djar tal-istejjer iddisinjati minn Fresno Architects, Hilliard, Taylor &amp; Wheeler. L-arkitettura residenzjali"&amp;" tad-distrett tat-Torri tikkuntrasta maż-żoni l-aktar ġodda tad-djar tal-passaġġ urbani fiż-żoni tat-tramuntana u tal-lvant ta 'Fresno.")</f>
        <v>Iż-żona hija magħrufa wkoll għad-djar tal-bidu tas-seklu għoxrin tagħha, li ħafna minnhom ġew restawrati fl-aħħar għexieren ta ’snin. Iż-żona tinkludi ħafna djar tal-istil tal-bungalow u artiġjani Amerikani tal-Kalifornja, arkitettura tal-istil tal-qawmien mill-ġdid Spanjol, arkitettura tal-istil tal-qawmien mill-ġdid tal-Mediterran, arkitettura tal-istil tal-qawmien mill-ġdid tal-missjoni, u ħafna djar tal-istejjer iddisinjati minn Fresno Architects, Hilliard, Taylor &amp; Wheeler. L-arkitettura residenzjali tad-distrett tat-Torri tikkuntrasta maż-żoni l-aktar ġodda tad-djar tal-passaġġ urbani fiż-żoni tat-tramuntana u tal-lvant ta 'Fresno.</v>
      </c>
    </row>
    <row r="10971" ht="15.75" customHeight="1">
      <c r="A10971" s="2" t="s">
        <v>10971</v>
      </c>
      <c r="B10971" s="2" t="str">
        <f>IFERROR(__xludf.DUMMYFUNCTION("GOOGLETRANSLATE(A10971, ""en"", ""mt"")"),"Kemm dam biex titjieb fuq il-liġijiet tal-mozzjoni ta 'Sir Isaac Newton?")</f>
        <v>Kemm dam biex titjieb fuq il-liġijiet tal-mozzjoni ta 'Sir Isaac Newton?</v>
      </c>
    </row>
    <row r="10972" ht="15.75" customHeight="1">
      <c r="A10972" s="2" t="s">
        <v>10972</v>
      </c>
      <c r="B10972" s="2" t="str">
        <f>IFERROR(__xludf.DUMMYFUNCTION("GOOGLETRANSLATE(A10972, ""en"", ""mt"")"),"Eżekuttiv tat-Trasport tal-Passiġġieri")</f>
        <v>Eżekuttiv tat-Trasport tal-Passiġġieri</v>
      </c>
    </row>
    <row r="10973" ht="15.75" customHeight="1">
      <c r="A10973" s="2" t="s">
        <v>10973</v>
      </c>
      <c r="B10973" s="2" t="str">
        <f>IFERROR(__xludf.DUMMYFUNCTION("GOOGLETRANSLATE(A10973, ""en"", ""mt"")"),"X'kienu magħrufa r-raġġi X bħala dak iż-żmien?")</f>
        <v>X'kienu magħrufa r-raġġi X bħala dak iż-żmien?</v>
      </c>
    </row>
    <row r="10974" ht="15.75" customHeight="1">
      <c r="A10974" s="2" t="s">
        <v>10974</v>
      </c>
      <c r="B10974" s="2" t="str">
        <f>IFERROR(__xludf.DUMMYFUNCTION("GOOGLETRANSLATE(A10974, ""en"", ""mt"")"),"Taqsima 30")</f>
        <v>Taqsima 30</v>
      </c>
    </row>
    <row r="10975" ht="15.75" customHeight="1">
      <c r="A10975" s="2" t="s">
        <v>10975</v>
      </c>
      <c r="B10975" s="2" t="str">
        <f>IFERROR(__xludf.DUMMYFUNCTION("GOOGLETRANSLATE(A10975, ""en"", ""mt"")"),"Interazzjoni Elettroweak")</f>
        <v>Interazzjoni Elettroweak</v>
      </c>
    </row>
    <row r="10976" ht="15.75" customHeight="1">
      <c r="A10976" s="2" t="s">
        <v>10976</v>
      </c>
      <c r="B10976" s="2" t="str">
        <f>IFERROR(__xludf.DUMMYFUNCTION("GOOGLETRANSLATE(A10976, ""en"", ""mt"")"),"Show tard tard ma 'James Corden")</f>
        <v>Show tard tard ma 'James Corden</v>
      </c>
    </row>
    <row r="10977" ht="15.75" customHeight="1">
      <c r="A10977" s="2" t="s">
        <v>10977</v>
      </c>
      <c r="B10977" s="2" t="str">
        <f>IFERROR(__xludf.DUMMYFUNCTION("GOOGLETRANSLATE(A10977, ""en"", ""mt"")"),"Liema leġislazzjoni importanti ġiet mgħoddija mill-Kungress għall-industrija tat-televiżjoni fl-1961?")</f>
        <v>Liema leġislazzjoni importanti ġiet mgħoddija mill-Kungress għall-industrija tat-televiżjoni fl-1961?</v>
      </c>
    </row>
    <row r="10978" ht="15.75" customHeight="1">
      <c r="A10978" s="2" t="s">
        <v>10978</v>
      </c>
      <c r="B10978" s="2" t="str">
        <f>IFERROR(__xludf.DUMMYFUNCTION("GOOGLETRANSLATE(A10978, ""en"", ""mt"")"),"Reviżjonijiet tal-Uża tal-Mediċina")</f>
        <v>Reviżjonijiet tal-Uża tal-Mediċina</v>
      </c>
    </row>
    <row r="10979" ht="15.75" customHeight="1">
      <c r="A10979" s="2" t="s">
        <v>10979</v>
      </c>
      <c r="B10979" s="2" t="str">
        <f>IFERROR(__xludf.DUMMYFUNCTION("GOOGLETRANSLATE(A10979, ""en"", ""mt"")"),"Miżuri ta 'kumplessità")</f>
        <v>Miżuri ta 'kumplessità</v>
      </c>
    </row>
    <row r="10980" ht="15.75" customHeight="1">
      <c r="A10980" s="2" t="s">
        <v>10980</v>
      </c>
      <c r="B10980" s="2" t="str">
        <f>IFERROR(__xludf.DUMMYFUNCTION("GOOGLETRANSLATE(A10980, ""en"", ""mt"")"),"inerzja rotazzjonali tal-pjaneta")</f>
        <v>inerzja rotazzjonali tal-pjaneta</v>
      </c>
    </row>
    <row r="10981" ht="15.75" customHeight="1">
      <c r="A10981" s="2" t="s">
        <v>10981</v>
      </c>
      <c r="B10981" s="2" t="str">
        <f>IFERROR(__xludf.DUMMYFUNCTION("GOOGLETRANSLATE(A10981, ""en"", ""mt"")"),"ħafif u xemxi")</f>
        <v>ħafif u xemxi</v>
      </c>
    </row>
    <row r="10982" ht="15.75" customHeight="1">
      <c r="A10982" s="2" t="s">
        <v>10982</v>
      </c>
      <c r="B10982" s="2" t="str">
        <f>IFERROR(__xludf.DUMMYFUNCTION("GOOGLETRANSLATE(A10982, ""en"", ""mt"")"),"Gotiku bikri")</f>
        <v>Gotiku bikri</v>
      </c>
    </row>
    <row r="10983" ht="15.75" customHeight="1">
      <c r="A10983" s="2" t="s">
        <v>10983</v>
      </c>
      <c r="B10983" s="2" t="str">
        <f>IFERROR(__xludf.DUMMYFUNCTION("GOOGLETRANSLATE(A10983, ""en"", ""mt"")"),"Fejn huma l-eqdem kollezzjoni ta 'mapep, gazettes u atlasi ta' l-Amerika ta 'l-Amerika?")</f>
        <v>Fejn huma l-eqdem kollezzjoni ta 'mapep, gazettes u atlasi ta' l-Amerika ta 'l-Amerika?</v>
      </c>
    </row>
    <row r="10984" ht="15.75" customHeight="1">
      <c r="A10984" s="2" t="s">
        <v>10984</v>
      </c>
      <c r="B10984" s="2" t="str">
        <f>IFERROR(__xludf.DUMMYFUNCTION("GOOGLETRANSLATE(A10984, ""en"", ""mt"")"),"Lil min Luther bagħat ittra li fiha l-95 teżi tiegħu?")</f>
        <v>Lil min Luther bagħat ittra li fiha l-95 teżi tiegħu?</v>
      </c>
    </row>
    <row r="10985" ht="15.75" customHeight="1">
      <c r="A10985" s="2" t="s">
        <v>10985</v>
      </c>
      <c r="B10985" s="2" t="str">
        <f>IFERROR(__xludf.DUMMYFUNCTION("GOOGLETRANSLATE(A10985, ""en"", ""mt"")"),"Min jikkontribwixxi għan-negozju tal-membri minbarra l-proponent?")</f>
        <v>Min jikkontribwixxi għan-negozju tal-membri minbarra l-proponent?</v>
      </c>
    </row>
    <row r="10986" ht="15.75" customHeight="1">
      <c r="A10986" s="2" t="s">
        <v>10986</v>
      </c>
      <c r="B10986" s="2" t="str">
        <f>IFERROR(__xludf.DUMMYFUNCTION("GOOGLETRANSLATE(A10986, ""en"", ""mt"")"),"Dorotheenstadt u Friedrichstadt")</f>
        <v>Dorotheenstadt u Friedrichstadt</v>
      </c>
    </row>
    <row r="10987" ht="15.75" customHeight="1">
      <c r="A10987" s="2" t="s">
        <v>10987</v>
      </c>
      <c r="B10987" s="2" t="str">
        <f>IFERROR(__xludf.DUMMYFUNCTION("GOOGLETRANSLATE(A10987, ""en"", ""mt"")"),"Skond l-istorja sigrieta, Temüjin reġa 'offra l-ħbiberija tiegħu lil Jamukha, u talbuh jirritorna lejn in-naħa tiegħu. Temüjin kien qatel l-irġiel li ttradixxa lil Jamukha, u ddikjara li ma riedx irġiel żleali fl-armata tiegħu. Jamukha rrifjuta l-offerta "&amp;"ta 'ħbiberija u riunjoni, u qal li jista' jkun hemm xemx waħda biss fis-sema, u huwa talab mewt nobbli. Id-drawwa hija li tmut mingħajr ma tixrid id-demm, li jingħata billi tkisser id-dahar. Jamukha talab din il-forma ta 'mewt, minkejja l-fatt li fil-pass"&amp;"at Jamukha kien magħruf li għeleb lill-ġenerali tal-avversarji tiegħu ħajjin.")</f>
        <v>Skond l-istorja sigrieta, Temüjin reġa 'offra l-ħbiberija tiegħu lil Jamukha, u talbuh jirritorna lejn in-naħa tiegħu. Temüjin kien qatel l-irġiel li ttradixxa lil Jamukha, u ddikjara li ma riedx irġiel żleali fl-armata tiegħu. Jamukha rrifjuta l-offerta ta 'ħbiberija u riunjoni, u qal li jista' jkun hemm xemx waħda biss fis-sema, u huwa talab mewt nobbli. Id-drawwa hija li tmut mingħajr ma tixrid id-demm, li jingħata billi tkisser id-dahar. Jamukha talab din il-forma ta 'mewt, minkejja l-fatt li fil-passat Jamukha kien magħruf li għeleb lill-ġenerali tal-avversarji tiegħu ħajjin.</v>
      </c>
    </row>
    <row r="10988" ht="15.75" customHeight="1">
      <c r="A10988" s="2" t="s">
        <v>10988</v>
      </c>
      <c r="B10988" s="2" t="str">
        <f>IFERROR(__xludf.DUMMYFUNCTION("GOOGLETRANSLATE(A10988, ""en"", ""mt"")"),"l-agħar kumplessità tal-ħin")</f>
        <v>l-agħar kumplessità tal-ħin</v>
      </c>
    </row>
    <row r="10989" ht="15.75" customHeight="1">
      <c r="A10989" s="2" t="s">
        <v>10989</v>
      </c>
      <c r="B10989" s="2" t="str">
        <f>IFERROR(__xludf.DUMMYFUNCTION("GOOGLETRANSLATE(A10989, ""en"", ""mt"")"),"Kteis 'comb' u φέρω pherō 'iġorru'")</f>
        <v>Kteis 'comb' u φέρω pherō 'iġorru'</v>
      </c>
    </row>
    <row r="10990" ht="15.75" customHeight="1">
      <c r="A10990" s="2" t="s">
        <v>10990</v>
      </c>
      <c r="B10990" s="2" t="str">
        <f>IFERROR(__xludf.DUMMYFUNCTION("GOOGLETRANSLATE(A10990, ""en"", ""mt"")"),"F'liema snin Bach uża aktar mill-innijiet ta 'Luther fil-kompożizzjonijiet tiegħu?")</f>
        <v>F'liema snin Bach uża aktar mill-innijiet ta 'Luther fil-kompożizzjonijiet tiegħu?</v>
      </c>
    </row>
    <row r="10991" ht="15.75" customHeight="1">
      <c r="A10991" s="2" t="s">
        <v>10991</v>
      </c>
      <c r="B10991" s="2" t="str">
        <f>IFERROR(__xludf.DUMMYFUNCTION("GOOGLETRANSLATE(A10991, ""en"", ""mt"")"),"Ġiħad Iżlamiku Eġizzjan")</f>
        <v>Ġiħad Iżlamiku Eġizzjan</v>
      </c>
    </row>
    <row r="10992" ht="15.75" customHeight="1">
      <c r="A10992" s="2" t="s">
        <v>10992</v>
      </c>
      <c r="B10992" s="2" t="str">
        <f>IFERROR(__xludf.DUMMYFUNCTION("GOOGLETRANSLATE(A10992, ""en"", ""mt"")"),"X'tip ta 'proporzjonijiet jintużaw fi studji ġeokronoloġiċi u termokronoloġiċi?")</f>
        <v>X'tip ta 'proporzjonijiet jintużaw fi studji ġeokronoloġiċi u termokronoloġiċi?</v>
      </c>
    </row>
    <row r="10993" ht="15.75" customHeight="1">
      <c r="A10993" s="2" t="s">
        <v>10993</v>
      </c>
      <c r="B10993" s="2" t="str">
        <f>IFERROR(__xludf.DUMMYFUNCTION("GOOGLETRANSLATE(A10993, ""en"", ""mt"")"),"Il-Ġermanja m'għandhiex passat imperialist sa meta?")</f>
        <v>Il-Ġermanja m'għandhiex passat imperialist sa meta?</v>
      </c>
    </row>
    <row r="10994" ht="15.75" customHeight="1">
      <c r="A10994" s="2" t="s">
        <v>10994</v>
      </c>
      <c r="B10994" s="2" t="str">
        <f>IFERROR(__xludf.DUMMYFUNCTION("GOOGLETRANSLATE(A10994, ""en"", ""mt"")"),"X'jista 'jirriżulta f'aktar distribuzzjoni ugwali tad-dħul?")</f>
        <v>X'jista 'jirriżulta f'aktar distribuzzjoni ugwali tad-dħul?</v>
      </c>
    </row>
    <row r="10995" ht="15.75" customHeight="1">
      <c r="A10995" s="2" t="s">
        <v>10995</v>
      </c>
      <c r="B10995" s="2" t="str">
        <f>IFERROR(__xludf.DUMMYFUNCTION("GOOGLETRANSLATE(A10995, ""en"", ""mt"")"),"Jannar 2003")</f>
        <v>Jannar 2003</v>
      </c>
    </row>
    <row r="10996" ht="15.75" customHeight="1">
      <c r="A10996" s="2" t="s">
        <v>10996</v>
      </c>
      <c r="B10996" s="2" t="str">
        <f>IFERROR(__xludf.DUMMYFUNCTION("GOOGLETRANSLATE(A10996, ""en"", ""mt"")"),"Il-Fresno Barn")</f>
        <v>Il-Fresno Barn</v>
      </c>
    </row>
    <row r="10997" ht="15.75" customHeight="1">
      <c r="A10997" s="2" t="s">
        <v>10997</v>
      </c>
      <c r="B10997" s="2" t="str">
        <f>IFERROR(__xludf.DUMMYFUNCTION("GOOGLETRANSLATE(A10997, ""en"", ""mt"")"),"Minbarra l-Ġermanja u l-Isvizzera, fejn inkella l-Lag Constance?")</f>
        <v>Minbarra l-Ġermanja u l-Isvizzera, fejn inkella l-Lag Constance?</v>
      </c>
    </row>
    <row r="10998" ht="15.75" customHeight="1">
      <c r="A10998" s="2" t="s">
        <v>10998</v>
      </c>
      <c r="B10998" s="2" t="str">
        <f>IFERROR(__xludf.DUMMYFUNCTION("GOOGLETRANSLATE(A10998, ""en"", ""mt"")"),"Invenzjonijiet, riċerki u kitbiet ta 'Nikola Tesla.")</f>
        <v>Invenzjonijiet, riċerki u kitbiet ta 'Nikola Tesla.</v>
      </c>
    </row>
    <row r="10999" ht="15.75" customHeight="1">
      <c r="A10999" s="2" t="s">
        <v>10999</v>
      </c>
      <c r="B10999" s="2" t="str">
        <f>IFERROR(__xludf.DUMMYFUNCTION("GOOGLETRANSLATE(A10999, ""en"", ""mt"")"),"Kemm-il darba jiltaqa 'l-Kunsill Ewropew?")</f>
        <v>Kemm-il darba jiltaqa 'l-Kunsill Ewropew?</v>
      </c>
    </row>
    <row r="11000" ht="15.75" customHeight="1">
      <c r="A11000" s="2" t="s">
        <v>11000</v>
      </c>
      <c r="B11000" s="2" t="str">
        <f>IFERROR(__xludf.DUMMYFUNCTION("GOOGLETRANSLATE(A11000, ""en"", ""mt"")"),"fażi ta 'setup f'kull nodu involut qabel ma jiġi trasferit kwalunkwe pakkett biex jistabbilixxi l-parametri tal-komunikazzjoni")</f>
        <v>fażi ta 'setup f'kull nodu involut qabel ma jiġi trasferit kwalunkwe pakkett biex jistabbilixxi l-parametri tal-komunikazzjoni</v>
      </c>
    </row>
    <row r="11001" ht="15.75" customHeight="1">
      <c r="A11001" s="2" t="s">
        <v>11001</v>
      </c>
      <c r="B11001" s="2" t="str">
        <f>IFERROR(__xludf.DUMMYFUNCTION("GOOGLETRANSLATE(A11001, ""en"", ""mt"")"),"X'kien l-ewwel apparat li jaħdem bil-fwar użat kummerċjalment?")</f>
        <v>X'kien l-ewwel apparat li jaħdem bil-fwar użat kummerċjalment?</v>
      </c>
    </row>
    <row r="11002" ht="15.75" customHeight="1">
      <c r="A11002" s="2" t="s">
        <v>11002</v>
      </c>
      <c r="B11002" s="2" t="str">
        <f>IFERROR(__xludf.DUMMYFUNCTION("GOOGLETRANSLATE(A11002, ""en"", ""mt"")"),"L-Isqof Reuben H. Mueller")</f>
        <v>L-Isqof Reuben H. Mueller</v>
      </c>
    </row>
    <row r="11003" ht="15.75" customHeight="1">
      <c r="A11003" s="2" t="s">
        <v>11003</v>
      </c>
      <c r="B11003" s="2" t="str">
        <f>IFERROR(__xludf.DUMMYFUNCTION("GOOGLETRANSLATE(A11003, ""en"", ""mt"")"),"Tekniki ta 'reazzjoni fil-katina tal-polimerażi (PCR)")</f>
        <v>Tekniki ta 'reazzjoni fil-katina tal-polimerażi (PCR)</v>
      </c>
    </row>
    <row r="11004" ht="15.75" customHeight="1">
      <c r="A11004" s="2" t="s">
        <v>11004</v>
      </c>
      <c r="B11004" s="2" t="str">
        <f>IFERROR(__xludf.DUMMYFUNCTION("GOOGLETRANSLATE(A11004, ""en"", ""mt"")"),"disinji fir-realtà")</f>
        <v>disinji fir-realtà</v>
      </c>
    </row>
    <row r="11005" ht="15.75" customHeight="1">
      <c r="A11005" s="2" t="s">
        <v>11005</v>
      </c>
      <c r="B11005" s="2" t="str">
        <f>IFERROR(__xludf.DUMMYFUNCTION("GOOGLETRANSLATE(A11005, ""en"", ""mt"")"),"aktar minn 6000")</f>
        <v>aktar minn 6000</v>
      </c>
    </row>
    <row r="11006" ht="15.75" customHeight="1">
      <c r="A11006" s="2" t="s">
        <v>11006</v>
      </c>
      <c r="B11006" s="2" t="str">
        <f>IFERROR(__xludf.DUMMYFUNCTION("GOOGLETRANSLATE(A11006, ""en"", ""mt"")"),"Meta seħħ l-inċident?")</f>
        <v>Meta seħħ l-inċident?</v>
      </c>
    </row>
    <row r="11007" ht="15.75" customHeight="1">
      <c r="A11007" s="2" t="s">
        <v>11007</v>
      </c>
      <c r="B11007" s="2" t="str">
        <f>IFERROR(__xludf.DUMMYFUNCTION("GOOGLETRANSLATE(A11007, ""en"", ""mt"")"),"Klieb Mad")</f>
        <v>Klieb Mad</v>
      </c>
    </row>
    <row r="11008" ht="15.75" customHeight="1">
      <c r="A11008" s="2" t="s">
        <v>11008</v>
      </c>
      <c r="B11008" s="2" t="str">
        <f>IFERROR(__xludf.DUMMYFUNCTION("GOOGLETRANSLATE(A11008, ""en"", ""mt"")"),"L-ebda wieħed mit-trattati oriġinali li jistabbilixxu l-Unjoni Ewropea ma jissemma l-protezzjoni għad-drittijiet fundamentali. Ma kienx previst għal miżuri tal-Unjoni Ewropea, li huma azzjonijiet leġiżlattivi u amministrattivi mill-istituzzjonijiet tal-Un"&amp;"joni Ewropea, li jkunu soġġetti għad-drittijiet tal-bniedem. Dak iż-żmien l-uniku tħassib kien li l-Istati Membri għandhom jiġu evitati milli jiksru d-drittijiet tal-bniedem, u għalhekk it-twaqqif tal-Konvenzjoni Ewropea dwar id-Drittijiet tal-Bniedem fl-"&amp;"1950 u l-istabbiliment tal-Qorti Ewropea tad-Drittijiet tal-Bniedem. Il-Qorti Ewropea tal-Ġustizzja għarfet id-drittijiet fundamentali bħala prinċipju ġenerali tal-liġi tal-Unjoni Ewropea bħala l-ħtieġa li jiġi żgurat li l-miżuri tal-Unjoni Ewropea jkunu "&amp;"kompatibbli mad-drittijiet tal-bniedem minquxa fil-kostituzzjoni tal-Istati Membri saru dejjem aktar evidenti. Fl-1999 il-Kunsill Ewropew waqqaf korp inkarigat bl-abbozzar ta 'Karta Ewropea tad-Drittijiet tal-Bniedem, li jista' jifforma l-bażi kostituzzjo"&amp;"nali għall-Unjoni Ewropea u bħala tali mfassal speċifikament biex japplika għall-Unjoni Ewropea u l-istituzzjonijiet tagħha. Il-Karta tad-Drittijiet Fundamentali tal-Unjoni Ewropea tiġbed lista ta ’drittijiet fundamentali mill-Konvenzjoni Ewropea dwar id-"&amp;"Drittijiet tal-Bniedem u l-Libertajiet Fundamentali, id-Dikjarazzjoni dwar id-Drittijiet Fundamentali prodotti mill-Parlament Ewropew fl-1989 u t-Trattati tal-Unjoni Ewropea.")</f>
        <v>L-ebda wieħed mit-trattati oriġinali li jistabbilixxu l-Unjoni Ewropea ma jissemma l-protezzjoni għad-drittijiet fundamentali. Ma kienx previst għal miżuri tal-Unjoni Ewropea, li huma azzjonijiet leġiżlattivi u amministrattivi mill-istituzzjonijiet tal-Unjoni Ewropea, li jkunu soġġetti għad-drittijiet tal-bniedem. Dak iż-żmien l-uniku tħassib kien li l-Istati Membri għandhom jiġu evitati milli jiksru d-drittijiet tal-bniedem, u għalhekk it-twaqqif tal-Konvenzjoni Ewropea dwar id-Drittijiet tal-Bniedem fl-1950 u l-istabbiliment tal-Qorti Ewropea tad-Drittijiet tal-Bniedem. Il-Qorti Ewropea tal-Ġustizzja għarfet id-drittijiet fundamentali bħala prinċipju ġenerali tal-liġi tal-Unjoni Ewropea bħala l-ħtieġa li jiġi żgurat li l-miżuri tal-Unjoni Ewropea jkunu kompatibbli mad-drittijiet tal-bniedem minquxa fil-kostituzzjoni tal-Istati Membri saru dejjem aktar evidenti. Fl-1999 il-Kunsill Ewropew waqqaf korp inkarigat bl-abbozzar ta 'Karta Ewropea tad-Drittijiet tal-Bniedem, li jista' jifforma l-bażi kostituzzjonali għall-Unjoni Ewropea u bħala tali mfassal speċifikament biex japplika għall-Unjoni Ewropea u l-istituzzjonijiet tagħha. Il-Karta tad-Drittijiet Fundamentali tal-Unjoni Ewropea tiġbed lista ta ’drittijiet fundamentali mill-Konvenzjoni Ewropea dwar id-Drittijiet tal-Bniedem u l-Libertajiet Fundamentali, id-Dikjarazzjoni dwar id-Drittijiet Fundamentali prodotti mill-Parlament Ewropew fl-1989 u t-Trattati tal-Unjoni Ewropea.</v>
      </c>
    </row>
    <row r="11009" ht="15.75" customHeight="1">
      <c r="A11009" s="2" t="s">
        <v>11009</v>
      </c>
      <c r="B11009" s="2" t="str">
        <f>IFERROR(__xludf.DUMMYFUNCTION("GOOGLETRANSLATE(A11009, ""en"", ""mt"")"),"Militant estremista")</f>
        <v>Militant estremista</v>
      </c>
    </row>
    <row r="11010" ht="15.75" customHeight="1">
      <c r="A11010" s="2" t="s">
        <v>11010</v>
      </c>
      <c r="B11010" s="2" t="str">
        <f>IFERROR(__xludf.DUMMYFUNCTION("GOOGLETRANSLATE(A11010, ""en"", ""mt"")"),"Liema ħsad ewlieni nġieb lejn iċ-Ċina mill-Punent?")</f>
        <v>Liema ħsad ewlieni nġieb lejn iċ-Ċina mill-Punent?</v>
      </c>
    </row>
    <row r="11011" ht="15.75" customHeight="1">
      <c r="A11011" s="2" t="s">
        <v>11011</v>
      </c>
      <c r="B11011" s="2" t="str">
        <f>IFERROR(__xludf.DUMMYFUNCTION("GOOGLETRANSLATE(A11011, ""en"", ""mt"")"),"magħluq")</f>
        <v>magħluq</v>
      </c>
    </row>
    <row r="11012" ht="15.75" customHeight="1">
      <c r="A11012" s="2" t="s">
        <v>11012</v>
      </c>
      <c r="B11012" s="2" t="str">
        <f>IFERROR(__xludf.DUMMYFUNCTION("GOOGLETRANSLATE(A11012, ""en"", ""mt"")"),"Noble akkwista self minn liema entità jżomm ABC Solvent fl-1951?")</f>
        <v>Noble akkwista self minn liema entità jżomm ABC Solvent fl-1951?</v>
      </c>
    </row>
    <row r="11013" ht="15.75" customHeight="1">
      <c r="A11013" s="2" t="s">
        <v>11013</v>
      </c>
      <c r="B11013" s="2" t="str">
        <f>IFERROR(__xludf.DUMMYFUNCTION("GOOGLETRANSLATE(A11013, ""en"", ""mt"")"),"Liema programm is-Salib l-Aħmar ġab flimkien fl-2011?")</f>
        <v>Liema programm is-Salib l-Aħmar ġab flimkien fl-2011?</v>
      </c>
    </row>
    <row r="11014" ht="15.75" customHeight="1">
      <c r="A11014" s="2" t="s">
        <v>11014</v>
      </c>
      <c r="B11014" s="2" t="str">
        <f>IFERROR(__xludf.DUMMYFUNCTION("GOOGLETRANSLATE(A11014, ""en"", ""mt"")"),"ġlieda, ġuħ, u mrar")</f>
        <v>ġlieda, ġuħ, u mrar</v>
      </c>
    </row>
    <row r="11015" ht="15.75" customHeight="1">
      <c r="A11015" s="2" t="s">
        <v>11015</v>
      </c>
      <c r="B11015" s="2" t="str">
        <f>IFERROR(__xludf.DUMMYFUNCTION("GOOGLETRANSLATE(A11015, ""en"", ""mt"")"),"Mużew Nikola Tesla")</f>
        <v>Mużew Nikola Tesla</v>
      </c>
    </row>
    <row r="11016" ht="15.75" customHeight="1">
      <c r="A11016" s="2" t="s">
        <v>11016</v>
      </c>
      <c r="B11016" s="2" t="str">
        <f>IFERROR(__xludf.DUMMYFUNCTION("GOOGLETRANSLATE(A11016, ""en"", ""mt"")"),"Hamas")</f>
        <v>Hamas</v>
      </c>
    </row>
    <row r="11017" ht="15.75" customHeight="1">
      <c r="A11017" s="2" t="s">
        <v>11017</v>
      </c>
      <c r="B11017" s="2" t="str">
        <f>IFERROR(__xludf.DUMMYFUNCTION("GOOGLETRANSLATE(A11017, ""en"", ""mt"")"),"L-UMC tikkundanna liema tip ta 'kastig?")</f>
        <v>L-UMC tikkundanna liema tip ta 'kastig?</v>
      </c>
    </row>
    <row r="11018" ht="15.75" customHeight="1">
      <c r="A11018" s="2" t="s">
        <v>11018</v>
      </c>
      <c r="B11018" s="2" t="str">
        <f>IFERROR(__xludf.DUMMYFUNCTION("GOOGLETRANSLATE(A11018, ""en"", ""mt"")"),"Hemm ħafna forom ta 'għalliema spiritwali jew reliġjużi fil-Kristjaneżmu, fit-tliet tradizzjonijiet ewlenin kollha - (Rumani) Kattoliċi, (tal-Lvant) Ortodossi Kattoliċi, u Protestanti / Mhux Denominazzjonali, bi tradizzjoni aktar b'saħħitha ta' formazzjon"&amp;"i spiritwali fl-aktar storiku u awtoritarju / Tradizzjonijiet Kristjani ġerarkiċi bi tradizzjoni twila ta '""dixxerniment ta' spirti"", ta 'vokazzjonijiet, u aspetti oħra tal-ħajja spiritwali, speċjalment il-knejjes Kattoliċi Rumani u Ortodossi. Dawn il-p"&amp;"ożizzjonijiet jinkludu: il-pożizzjoni onorata imma informali ta 'starets jew anzjani - raġel (jew, inqas spiss, mara), ħafna drabi monastiku, meqjus bħala grazzja minn Alla b'ċerti rigali għall-gwida ta' l-erwieħ u l-iskoperta u l-korrezzjoni ta 'prelest "&amp;"(kburija jew qerq spiritwali) - li jaġixxi bħala gwida spiritwali jew missier fit-tradizzjoni Kattolika Ortodossa, speċjalment l-ortodossija Russa (ara l-Monasteru Opina, li kellu linja twila ta 'starets imsemmija); il-qassis jew il-konfessur fil-Kattoliċ"&amp;"iżmu Ruman, li ħafna drabi huwa raġel f'ordnijiet qaddisa iżda jista 'jkun persuna monastika jew oħra rispettata għall-kisbiet jew id-dehen spiritwali tiegħu (anke l-Papa ta' Ruma għandu konfessur, li mhux dejjem huwa isqof, u,, u,, Minħabba l-istruttura "&amp;"ġerarkika tal-knisja Rumana, ma tistax tkun l-ugwali tiegħu fl-awtorità), li ħafna drabi hija semi-uffiċjali għall-pożizzjoni uffiċjali, għall-kuntrarju tal-pożizzjonijiet mhux uffiċjali ta 'gwidi spiritwali fit-tradizzjonijiet Kattoliċi u Protestanti Ort"&amp;"odossi; u l-arranġamenti kważi esklussivament informali (ġeneralment formali biss f'membri li huma taħt xi forma ta 'dixxiplina tal-knisja) ta' mentoring (kemm ta 'adulti kif ukoll ta' tfal, fl-aħħar każ ta 'spiss ragħaj taż-żgħażagħ) fit-tradizzjonijiet "&amp;"Protestanti u mhux denominazzjonali, li Il-konfini jistgħu jiġu mċajpra bil-pożizzjoni ta '""konfessur"" aktar tipikament Rumana f'xi wħud mill-knejjes ta' riformazzjoni aktar storiċi u konservattivi, bħal uħud mill-Luterani u l-Anglikani. B'konformità ma"&amp;"n-natura individwalista tal-biċċa l-kbira tad-denominazzjonijiet Protestanti, l-enfasi fuq li tkun iggwidat fl-iżvilupp spiritwali hija żgħira, b'enfasi qawwija mqiegħda fuq qari tqil u interpretazzjoni personali, imdawla bl-ispirtu tal-Bibbja Mqaddsa.")</f>
        <v>Hemm ħafna forom ta 'għalliema spiritwali jew reliġjużi fil-Kristjaneżmu, fit-tliet tradizzjonijiet ewlenin kollha - (Rumani) Kattoliċi, (tal-Lvant) Ortodossi Kattoliċi, u Protestanti / Mhux Denominazzjonali, bi tradizzjoni aktar b'saħħitha ta' formazzjoni spiritwali fl-aktar storiku u awtoritarju / Tradizzjonijiet Kristjani ġerarkiċi bi tradizzjoni twila ta '"dixxerniment ta' spirti", ta 'vokazzjonijiet, u aspetti oħra tal-ħajja spiritwali, speċjalment il-knejjes Kattoliċi Rumani u Ortodossi. Dawn il-pożizzjonijiet jinkludu: il-pożizzjoni onorata imma informali ta 'starets jew anzjani - raġel (jew, inqas spiss, mara), ħafna drabi monastiku, meqjus bħala grazzja minn Alla b'ċerti rigali għall-gwida ta' l-erwieħ u l-iskoperta u l-korrezzjoni ta 'prelest (kburija jew qerq spiritwali) - li jaġixxi bħala gwida spiritwali jew missier fit-tradizzjoni Kattolika Ortodossa, speċjalment l-ortodossija Russa (ara l-Monasteru Opina, li kellu linja twila ta 'starets imsemmija); il-qassis jew il-konfessur fil-Kattoliċiżmu Ruman, li ħafna drabi huwa raġel f'ordnijiet qaddisa iżda jista 'jkun persuna monastika jew oħra rispettata għall-kisbiet jew id-dehen spiritwali tiegħu (anke l-Papa ta' Ruma għandu konfessur, li mhux dejjem huwa isqof, u,, u,, Minħabba l-istruttura ġerarkika tal-knisja Rumana, ma tistax tkun l-ugwali tiegħu fl-awtorità), li ħafna drabi hija semi-uffiċjali għall-pożizzjoni uffiċjali, għall-kuntrarju tal-pożizzjonijiet mhux uffiċjali ta 'gwidi spiritwali fit-tradizzjonijiet Kattoliċi u Protestanti Ortodossi; u l-arranġamenti kważi esklussivament informali (ġeneralment formali biss f'membri li huma taħt xi forma ta 'dixxiplina tal-knisja) ta' mentoring (kemm ta 'adulti kif ukoll ta' tfal, fl-aħħar każ ta 'spiss ragħaj taż-żgħażagħ) fit-tradizzjonijiet Protestanti u mhux denominazzjonali, li Il-konfini jistgħu jiġu mċajpra bil-pożizzjoni ta '"konfessur" aktar tipikament Rumana f'xi wħud mill-knejjes ta' riformazzjoni aktar storiċi u konservattivi, bħal uħud mill-Luterani u l-Anglikani. B'konformità man-natura individwalista tal-biċċa l-kbira tad-denominazzjonijiet Protestanti, l-enfasi fuq li tkun iggwidat fl-iżvilupp spiritwali hija żgħira, b'enfasi qawwija mqiegħda fuq qari tqil u interpretazzjoni personali, imdawla bl-ispirtu tal-Bibbja Mqaddsa.</v>
      </c>
    </row>
    <row r="11019" ht="15.75" customHeight="1">
      <c r="A11019" s="2" t="s">
        <v>11019</v>
      </c>
      <c r="B11019" s="2" t="str">
        <f>IFERROR(__xludf.DUMMYFUNCTION("GOOGLETRANSLATE(A11019, ""en"", ""mt"")"),"Fit-teorija taċ-ċirku")</f>
        <v>Fit-teorija taċ-ċirku</v>
      </c>
    </row>
    <row r="11020" ht="15.75" customHeight="1">
      <c r="A11020" s="2" t="s">
        <v>11020</v>
      </c>
      <c r="B11020" s="2" t="str">
        <f>IFERROR(__xludf.DUMMYFUNCTION("GOOGLETRANSLATE(A11020, ""en"", ""mt"")"),"Biex tevita trivjalizzazzjoni")</f>
        <v>Biex tevita trivjalizzazzjoni</v>
      </c>
    </row>
    <row r="11021" ht="15.75" customHeight="1">
      <c r="A11021" s="2" t="s">
        <v>11021</v>
      </c>
      <c r="B11021" s="2" t="str">
        <f>IFERROR(__xludf.DUMMYFUNCTION("GOOGLETRANSLATE(A11021, ""en"", ""mt"")"),"Mill-Dynasties Sui u Tang")</f>
        <v>Mill-Dynasties Sui u Tang</v>
      </c>
    </row>
    <row r="11022" ht="15.75" customHeight="1">
      <c r="A11022" s="2" t="s">
        <v>11022</v>
      </c>
      <c r="B11022" s="2" t="str">
        <f>IFERROR(__xludf.DUMMYFUNCTION("GOOGLETRANSLATE(A11022, ""en"", ""mt"")"),"Imblokk Brittaniku")</f>
        <v>Imblokk Brittaniku</v>
      </c>
    </row>
    <row r="11023" ht="15.75" customHeight="1">
      <c r="A11023" s="2" t="s">
        <v>11023</v>
      </c>
      <c r="B11023" s="2" t="str">
        <f>IFERROR(__xludf.DUMMYFUNCTION("GOOGLETRANSLATE(A11023, ""en"", ""mt"")"),"L-Asja Ċentrali")</f>
        <v>L-Asja Ċentrali</v>
      </c>
    </row>
    <row r="11024" ht="15.75" customHeight="1">
      <c r="A11024" s="2" t="s">
        <v>11024</v>
      </c>
      <c r="B11024" s="2" t="str">
        <f>IFERROR(__xludf.DUMMYFUNCTION("GOOGLETRANSLATE(A11024, ""en"", ""mt"")"),"importanza dejjem tiżdied tal-kapital uman")</f>
        <v>importanza dejjem tiżdied tal-kapital uman</v>
      </c>
    </row>
    <row r="11025" ht="15.75" customHeight="1">
      <c r="A11025" s="2" t="s">
        <v>11025</v>
      </c>
      <c r="B11025" s="2" t="str">
        <f>IFERROR(__xludf.DUMMYFUNCTION("GOOGLETRANSLATE(A11025, ""en"", ""mt"")"),"mhux irreġistrat fil-kontijiet tax-xhieda")</f>
        <v>mhux irreġistrat fil-kontijiet tax-xhieda</v>
      </c>
    </row>
    <row r="11026" ht="15.75" customHeight="1">
      <c r="A11026" s="2" t="s">
        <v>11026</v>
      </c>
      <c r="B11026" s="2" t="str">
        <f>IFERROR(__xludf.DUMMYFUNCTION("GOOGLETRANSLATE(A11026, ""en"", ""mt"")"),"ripetizzjonijiet diretti")</f>
        <v>ripetizzjonijiet diretti</v>
      </c>
    </row>
    <row r="11027" ht="15.75" customHeight="1">
      <c r="A11027" s="2" t="s">
        <v>11027</v>
      </c>
      <c r="B11027" s="2" t="str">
        <f>IFERROR(__xludf.DUMMYFUNCTION("GOOGLETRANSLATE(A11027, ""en"", ""mt"")"),"Huwa t-tentazzjoni li wieħed jaħseb li l-kunċett ta 'problemi ta' funzjoni huwa ħafna iktar sinjur mill-kunċett ta 'problemi ta' deċiżjoni. Madankollu, dan mhuwiex verament il-każ, peress li l-problemi tal-funzjoni jistgħu jerġgħu jinġabru bħala problemi "&amp;"ta 'deċiżjoni. Pereżempju, il-multiplikazzjoni ta 'żewġ numri interi tista' tiġi espressa bħala s-sett ta 'trippli (a, b, c) tali li r-relazzjoni a × b = c iżżomm. Jiddeċiedi jekk trippla partikolari hijiex membru ta 'dan is-sett tikkorrispondix biex isso"&amp;"lvi l-problema ta' l-immultiplikazzjoni ta 'żewġ numri.")</f>
        <v>Huwa t-tentazzjoni li wieħed jaħseb li l-kunċett ta 'problemi ta' funzjoni huwa ħafna iktar sinjur mill-kunċett ta 'problemi ta' deċiżjoni. Madankollu, dan mhuwiex verament il-każ, peress li l-problemi tal-funzjoni jistgħu jerġgħu jinġabru bħala problemi ta 'deċiżjoni. Pereżempju, il-multiplikazzjoni ta 'żewġ numri interi tista' tiġi espressa bħala s-sett ta 'trippli (a, b, c) tali li r-relazzjoni a × b = c iżżomm. Jiddeċiedi jekk trippla partikolari hijiex membru ta 'dan is-sett tikkorrispondix biex issolvi l-problema ta' l-immultiplikazzjoni ta 'żewġ numri.</v>
      </c>
    </row>
    <row r="11028" ht="15.75" customHeight="1">
      <c r="A11028" s="2" t="s">
        <v>11028</v>
      </c>
      <c r="B11028" s="2" t="str">
        <f>IFERROR(__xludf.DUMMYFUNCTION("GOOGLETRANSLATE(A11028, ""en"", ""mt"")"),"Imperu Ruman Qaddis")</f>
        <v>Imperu Ruman Qaddis</v>
      </c>
    </row>
    <row r="11029" ht="15.75" customHeight="1">
      <c r="A11029" s="2" t="s">
        <v>11029</v>
      </c>
      <c r="B11029" s="2" t="str">
        <f>IFERROR(__xludf.DUMMYFUNCTION("GOOGLETRANSLATE(A11029, ""en"", ""mt"")"),"Fil-bidu tal-2012, Goodell qal li s-Super Bowl 50 se jkun xiex?")</f>
        <v>Fil-bidu tal-2012, Goodell qal li s-Super Bowl 50 se jkun xiex?</v>
      </c>
    </row>
    <row r="11030" ht="15.75" customHeight="1">
      <c r="A11030" s="2" t="s">
        <v>11030</v>
      </c>
      <c r="B11030" s="2" t="str">
        <f>IFERROR(__xludf.DUMMYFUNCTION("GOOGLETRANSLATE(A11030, ""en"", ""mt"")"),"Afrikani-Amerikani")</f>
        <v>Afrikani-Amerikani</v>
      </c>
    </row>
    <row r="11031" ht="15.75" customHeight="1">
      <c r="A11031" s="2" t="s">
        <v>11031</v>
      </c>
      <c r="B11031" s="2" t="str">
        <f>IFERROR(__xludf.DUMMYFUNCTION("GOOGLETRANSLATE(A11031, ""en"", ""mt"")"),"X'tip ta 'stat kien il-Khwarezmia?")</f>
        <v>X'tip ta 'stat kien il-Khwarezmia?</v>
      </c>
    </row>
    <row r="11032" ht="15.75" customHeight="1">
      <c r="A11032" s="2" t="s">
        <v>11032</v>
      </c>
      <c r="B11032" s="2" t="str">
        <f>IFERROR(__xludf.DUMMYFUNCTION("GOOGLETRANSLATE(A11032, ""en"", ""mt"")"),"rwol ta 'yersinia pestis fil-mewt l-Iswed")</f>
        <v>rwol ta 'yersinia pestis fil-mewt l-Iswed</v>
      </c>
    </row>
    <row r="11033" ht="15.75" customHeight="1">
      <c r="A11033" s="2" t="s">
        <v>11033</v>
      </c>
      <c r="B11033" s="2" t="str">
        <f>IFERROR(__xludf.DUMMYFUNCTION("GOOGLETRANSLATE(A11033, ""en"", ""mt"")"),"Il-kollezzjonijiet tal-mużew ta 'l-arti tal-Asja t'Isfel u tax-Xlokk huma l-aktar komprensivi u importanti fil-Punent li jinkludu kważi 60,000 oġġett, inklużi madwar 10,000 tessuti u 6000 pitturi, il-firxa tal-kollezzjoni hija immensa. Il-Gallerija ta 'l-"&amp;"Art Indjana ta' Jawaharlal Nehru, infetħet fl-1991, fiha arti minn madwar 500 QK sas-seklu 19. Hemm kollezzjoni estensiva ta 'skultura, prinċipalment ta' natura reliġjuża, hindu, Buddista u Jain. Il-gallerija hija mogħnija b’ħafna bl-arti tal-imperu Mugha"&amp;"l u l-Marathas, inklużi ritratti fini tal-imperaturi u pitturi u tpinġijiet oħra, tazzi tal-inbid tal-ġada u mgħaref tad-deheb inset ma ’żmeraldi, djamanti u rubini, ukoll minn dan il-perjodu huma partijiet ta’ bini bħal bħala jaali u pilastri. L-Indja ki"&amp;"enet produttur kbir ta 'tessuti, minn chintz tal-qoton miżbugħ, musulina għal xogħol ta' rakkmu rikk bl-użu ta 'ħajt tad-deheb u tal-fidda, sequins ikkuluriti u żibeġ huwa muri, bħalma huma t-twapet minn Agra u Lahore. Eżempji ta 'ħwejjeġ huma murija wkol"&amp;"l.")</f>
        <v>Il-kollezzjonijiet tal-mużew ta 'l-arti tal-Asja t'Isfel u tax-Xlokk huma l-aktar komprensivi u importanti fil-Punent li jinkludu kważi 60,000 oġġett, inklużi madwar 10,000 tessuti u 6000 pitturi, il-firxa tal-kollezzjoni hija immensa. Il-Gallerija ta 'l-Art Indjana ta' Jawaharlal Nehru, infetħet fl-1991, fiha arti minn madwar 500 QK sas-seklu 19. Hemm kollezzjoni estensiva ta 'skultura, prinċipalment ta' natura reliġjuża, hindu, Buddista u Jain. Il-gallerija hija mogħnija b’ħafna bl-arti tal-imperu Mughal u l-Marathas, inklużi ritratti fini tal-imperaturi u pitturi u tpinġijiet oħra, tazzi tal-inbid tal-ġada u mgħaref tad-deheb inset ma ’żmeraldi, djamanti u rubini, ukoll minn dan il-perjodu huma partijiet ta’ bini bħal bħala jaali u pilastri. L-Indja kienet produttur kbir ta 'tessuti, minn chintz tal-qoton miżbugħ, musulina għal xogħol ta' rakkmu rikk bl-użu ta 'ħajt tad-deheb u tal-fidda, sequins ikkuluriti u żibeġ huwa muri, bħalma huma t-twapet minn Agra u Lahore. Eżempji ta 'ħwejjeġ huma murija wkoll.</v>
      </c>
    </row>
    <row r="11034" ht="15.75" customHeight="1">
      <c r="A11034" s="2" t="s">
        <v>11034</v>
      </c>
      <c r="B11034" s="2" t="str">
        <f>IFERROR(__xludf.DUMMYFUNCTION("GOOGLETRANSLATE(A11034, ""en"", ""mt"")"),"Fejn kienu jinsabu l-poplu Kikuyu?")</f>
        <v>Fejn kienu jinsabu l-poplu Kikuyu?</v>
      </c>
    </row>
    <row r="11035" ht="15.75" customHeight="1">
      <c r="A11035" s="2" t="s">
        <v>11035</v>
      </c>
      <c r="B11035" s="2" t="str">
        <f>IFERROR(__xludf.DUMMYFUNCTION("GOOGLETRANSLATE(A11035, ""en"", ""mt"")"),"Liema direttiva msemmija nħolqot fl-1994?")</f>
        <v>Liema direttiva msemmija nħolqot fl-1994?</v>
      </c>
    </row>
    <row r="11036" ht="15.75" customHeight="1">
      <c r="A11036" s="2" t="s">
        <v>11036</v>
      </c>
      <c r="B11036" s="2" t="str">
        <f>IFERROR(__xludf.DUMMYFUNCTION("GOOGLETRANSLATE(A11036, ""en"", ""mt"")"),"Liema avveniment ta 'estinzjoni jista' jkun ħoloq xi kundizzjonijiet li jippermettu l-espansjoni tal-Amazon Rainforest?")</f>
        <v>Liema avveniment ta 'estinzjoni jista' jkun ħoloq xi kundizzjonijiet li jippermettu l-espansjoni tal-Amazon Rainforest?</v>
      </c>
    </row>
    <row r="11037" ht="15.75" customHeight="1">
      <c r="A11037" s="2" t="s">
        <v>11037</v>
      </c>
      <c r="B11037" s="2" t="str">
        <f>IFERROR(__xludf.DUMMYFUNCTION("GOOGLETRANSLATE(A11037, ""en"", ""mt"")"),"Kemm wara l-inċident tan-nar tal-kabina n-NASA ħolqot il-bord ta 'reviżjoni tal-aċċidenti tagħha?")</f>
        <v>Kemm wara l-inċident tan-nar tal-kabina n-NASA ħolqot il-bord ta 'reviżjoni tal-aċċidenti tagħha?</v>
      </c>
    </row>
    <row r="11038" ht="15.75" customHeight="1">
      <c r="A11038" s="2" t="s">
        <v>11038</v>
      </c>
      <c r="B11038" s="2" t="str">
        <f>IFERROR(__xludf.DUMMYFUNCTION("GOOGLETRANSLATE(A11038, ""en"", ""mt"")"),"L-aktar struttura tal-konkrit ta 'wara t-tensjoni, wara t-tensjoni")</f>
        <v>L-aktar struttura tal-konkrit ta 'wara t-tensjoni, wara t-tensjoni</v>
      </c>
    </row>
    <row r="11039" ht="15.75" customHeight="1">
      <c r="A11039" s="2" t="s">
        <v>11039</v>
      </c>
      <c r="B11039" s="2" t="str">
        <f>IFERROR(__xludf.DUMMYFUNCTION("GOOGLETRANSLATE(A11039, ""en"", ""mt"")"),"Il-knisja tiddikjara li, bħala Kristjani, huma konxji li la t-triq ta 'dak li hu ġust quddiem Alla? """)</f>
        <v>Il-knisja tiddikjara li, bħala Kristjani, huma konxji li la t-triq ta 'dak li hu ġust quddiem Alla? "</v>
      </c>
    </row>
    <row r="11040" ht="15.75" customHeight="1">
      <c r="A11040" s="2" t="s">
        <v>11040</v>
      </c>
      <c r="B11040" s="2" t="str">
        <f>IFERROR(__xludf.DUMMYFUNCTION("GOOGLETRANSLATE(A11040, ""en"", ""mt"")"),"Għal xiex kienu x.25 u relay tal-qafas użat")</f>
        <v>Għal xiex kienu x.25 u relay tal-qafas użat</v>
      </c>
    </row>
    <row r="11041" ht="15.75" customHeight="1">
      <c r="A11041" s="2" t="s">
        <v>11041</v>
      </c>
      <c r="B11041" s="2" t="str">
        <f>IFERROR(__xludf.DUMMYFUNCTION("GOOGLETRANSLATE(A11041, ""en"", ""mt"")"),"Att dwar l-Iskozja")</f>
        <v>Att dwar l-Iskozja</v>
      </c>
    </row>
    <row r="11042" ht="15.75" customHeight="1">
      <c r="A11042" s="2" t="s">
        <v>11042</v>
      </c>
      <c r="B11042" s="2" t="str">
        <f>IFERROR(__xludf.DUMMYFUNCTION("GOOGLETRANSLATE(A11042, ""en"", ""mt"")"),"Ir-riżultati tal-istudju Haensch minn dakinhar ġew ikkonfermati u emendati. Ibbażat fuq evidenza ġenetika derivata minn vittmi tal-mewt iswed fis-sit tad-dfin tal-Lvant ta 'Smithfield fl-Ingilterra, Schuenemann et al. ikkonkluda fl-2011 ""li l-mewt sewda "&amp;"fl-Ewropa medjevali kienet ikkawżata minn varjant ta 'Y. pestis li jista' ma jibqax jeżisti."" Studju ppubblikat fin-Natura f'Ottubru 2011 sekwenzja l-ġenoma ta 'Y. pestis mill-vittmi tal-pesta u indika li r-razza li kkawżat il-mewt sewda hija antenata għ"&amp;"all-aktar razez moderni tal-marda.")</f>
        <v>Ir-riżultati tal-istudju Haensch minn dakinhar ġew ikkonfermati u emendati. Ibbażat fuq evidenza ġenetika derivata minn vittmi tal-mewt iswed fis-sit tad-dfin tal-Lvant ta 'Smithfield fl-Ingilterra, Schuenemann et al. ikkonkluda fl-2011 "li l-mewt sewda fl-Ewropa medjevali kienet ikkawżata minn varjant ta 'Y. pestis li jista' ma jibqax jeżisti." Studju ppubblikat fin-Natura f'Ottubru 2011 sekwenzja l-ġenoma ta 'Y. pestis mill-vittmi tal-pesta u indika li r-razza li kkawżat il-mewt sewda hija antenata għall-aktar razez moderni tal-marda.</v>
      </c>
    </row>
    <row r="11043" ht="15.75" customHeight="1">
      <c r="A11043" s="2" t="s">
        <v>11043</v>
      </c>
      <c r="B11043" s="2" t="str">
        <f>IFERROR(__xludf.DUMMYFUNCTION("GOOGLETRANSLATE(A11043, ""en"", ""mt"")"),"X'inhu kunċett ġenerali wieħed li japplika għal elementi ta 'ċrieki kommutattivi?")</f>
        <v>X'inhu kunċett ġenerali wieħed li japplika għal elementi ta 'ċrieki kommutattivi?</v>
      </c>
    </row>
    <row r="11044" ht="15.75" customHeight="1">
      <c r="A11044" s="2" t="s">
        <v>11044</v>
      </c>
      <c r="B11044" s="2" t="str">
        <f>IFERROR(__xludf.DUMMYFUNCTION("GOOGLETRANSLATE(A11044, ""en"", ""mt"")"),"Profeti Zwickau")</f>
        <v>Profeti Zwickau</v>
      </c>
    </row>
    <row r="11045" ht="15.75" customHeight="1">
      <c r="A11045" s="2" t="s">
        <v>11045</v>
      </c>
      <c r="B11045" s="2" t="str">
        <f>IFERROR(__xludf.DUMMYFUNCTION("GOOGLETRANSLATE(A11045, ""en"", ""mt"")"),"Dħul mhux mill-ħolqien tal-ġid imma billi taqbad sehem akbar minnu jafu lill-ekonomisti b'liema terminu?")</f>
        <v>Dħul mhux mill-ħolqien tal-ġid imma billi taqbad sehem akbar minnu jafu lill-ekonomisti b'liema terminu?</v>
      </c>
    </row>
    <row r="11046" ht="15.75" customHeight="1">
      <c r="A11046" s="2" t="s">
        <v>11046</v>
      </c>
      <c r="B11046" s="2" t="str">
        <f>IFERROR(__xludf.DUMMYFUNCTION("GOOGLETRANSLATE(A11046, ""en"", ""mt"")"),"F'liema snin wera t-tabib li oriġinarjament fuq it-TV?")</f>
        <v>F'liema snin wera t-tabib li oriġinarjament fuq it-TV?</v>
      </c>
    </row>
    <row r="11047" ht="15.75" customHeight="1">
      <c r="A11047" s="2" t="s">
        <v>11047</v>
      </c>
      <c r="B11047" s="2" t="str">
        <f>IFERROR(__xludf.DUMMYFUNCTION("GOOGLETRANSLATE(A11047, ""en"", ""mt"")"),"Ipproponi firxa ta 'figuri tal-popolazzjoni preinententi")</f>
        <v>Ipproponi firxa ta 'figuri tal-popolazzjoni preinententi</v>
      </c>
    </row>
    <row r="11048" ht="15.75" customHeight="1">
      <c r="A11048" s="2" t="s">
        <v>11048</v>
      </c>
      <c r="B11048" s="2" t="str">
        <f>IFERROR(__xludf.DUMMYFUNCTION("GOOGLETRANSLATE(A11048, ""en"", ""mt"")"),"X'jikkawża s-sintomi ta 'infjammazzjoni?")</f>
        <v>X'jikkawża s-sintomi ta 'infjammazzjoni?</v>
      </c>
    </row>
    <row r="11049" ht="15.75" customHeight="1">
      <c r="A11049" s="2" t="s">
        <v>11049</v>
      </c>
      <c r="B11049" s="2" t="str">
        <f>IFERROR(__xludf.DUMMYFUNCTION("GOOGLETRANSLATE(A11049, ""en"", ""mt"")"),"Minbarra d-drogi, x'iktar jipprovdu l-ispiżeriji speċjalizzati?")</f>
        <v>Minbarra d-drogi, x'iktar jipprovdu l-ispiżeriji speċjalizzati?</v>
      </c>
    </row>
    <row r="11050" ht="15.75" customHeight="1">
      <c r="A11050" s="2" t="s">
        <v>11050</v>
      </c>
      <c r="B11050" s="2" t="str">
        <f>IFERROR(__xludf.DUMMYFUNCTION("GOOGLETRANSLATE(A11050, ""en"", ""mt"")"),"Mill-1965, Donald Davies fil-Laboratorju Fiżiku Nazzjonali, ir-Renju Unit, żviluppa b'mod indipendenti l-istess metodoloġija ta 'rotta ta' messaġġi kif żviluppat minn Baran. Huwa sejjaħlu l-iswiċċ tal-pakkett, isem aktar aċċessibbli minn dak ta 'Baran, u "&amp;"ppropona li jibni netwerk nazzjonali fir-Renju Unit. Huwa ta taħdita dwar il-proposta fl-1966, u wara persuna mill-Ministeru tad-Difiża (MOD) qaltlu dwar ix-xogħol ta 'Baran. Membru tat-tim ta 'Davies (Roger Scantlebury) iltaqa' ma 'Lawrence Roberts fis-S"&amp;"ymposium ACM tal-1967 dwar il-prinċipji tas-sistema operattiva u ssuġġerixxah għall-użu fl-arpanet.")</f>
        <v>Mill-1965, Donald Davies fil-Laboratorju Fiżiku Nazzjonali, ir-Renju Unit, żviluppa b'mod indipendenti l-istess metodoloġija ta 'rotta ta' messaġġi kif żviluppat minn Baran. Huwa sejjaħlu l-iswiċċ tal-pakkett, isem aktar aċċessibbli minn dak ta 'Baran, u ppropona li jibni netwerk nazzjonali fir-Renju Unit. Huwa ta taħdita dwar il-proposta fl-1966, u wara persuna mill-Ministeru tad-Difiża (MOD) qaltlu dwar ix-xogħol ta 'Baran. Membru tat-tim ta 'Davies (Roger Scantlebury) iltaqa' ma 'Lawrence Roberts fis-Symposium ACM tal-1967 dwar il-prinċipji tas-sistema operattiva u ssuġġerixxah għall-użu fl-arpanet.</v>
      </c>
    </row>
    <row r="11051" ht="15.75" customHeight="1">
      <c r="A11051" s="2" t="s">
        <v>11051</v>
      </c>
      <c r="B11051" s="2" t="str">
        <f>IFERROR(__xludf.DUMMYFUNCTION("GOOGLETRANSLATE(A11051, ""en"", ""mt"")"),"finit")</f>
        <v>finit</v>
      </c>
    </row>
    <row r="11052" ht="15.75" customHeight="1">
      <c r="A11052" s="2" t="s">
        <v>11052</v>
      </c>
      <c r="B11052" s="2" t="str">
        <f>IFERROR(__xludf.DUMMYFUNCTION("GOOGLETRANSLATE(A11052, ""en"", ""mt"")"),"2,900 kilometru")</f>
        <v>2,900 kilometru</v>
      </c>
    </row>
    <row r="11053" ht="15.75" customHeight="1">
      <c r="A11053" s="2" t="s">
        <v>11053</v>
      </c>
      <c r="B11053" s="2" t="str">
        <f>IFERROR(__xludf.DUMMYFUNCTION("GOOGLETRANSLATE(A11053, ""en"", ""mt"")"),"Li bħalissa ma teżisti l-ebda problema ta 'fatturizzazzjoni sħiħa magħrufa fuq liema sistema użata b'mod komuni?")</f>
        <v>Li bħalissa ma teżisti l-ebda problema ta 'fatturizzazzjoni sħiħa magħrufa fuq liema sistema użata b'mod komuni?</v>
      </c>
    </row>
    <row r="11054" ht="15.75" customHeight="1">
      <c r="A11054" s="2" t="s">
        <v>11054</v>
      </c>
      <c r="B11054" s="2" t="str">
        <f>IFERROR(__xludf.DUMMYFUNCTION("GOOGLETRANSLATE(A11054, ""en"", ""mt"")"),"Meta miet Augustus?")</f>
        <v>Meta miet Augustus?</v>
      </c>
    </row>
    <row r="11055" ht="15.75" customHeight="1">
      <c r="A11055" s="2" t="s">
        <v>11055</v>
      </c>
      <c r="B11055" s="2" t="str">
        <f>IFERROR(__xludf.DUMMYFUNCTION("GOOGLETRANSLATE(A11055, ""en"", ""mt"")"),"Louisiana Franċiża fil-punent tax-Xmara Mississippi (inkluża New Orleans)")</f>
        <v>Louisiana Franċiża fil-punent tax-Xmara Mississippi (inkluża New Orleans)</v>
      </c>
    </row>
    <row r="11056" ht="15.75" customHeight="1">
      <c r="A11056" s="2" t="s">
        <v>11056</v>
      </c>
      <c r="B11056" s="2" t="str">
        <f>IFERROR(__xludf.DUMMYFUNCTION("GOOGLETRANSLATE(A11056, ""en"", ""mt"")"),"F'każijiet ta 'mezz fiżiku maqsum kif jiġu kkonsenjati")</f>
        <v>F'każijiet ta 'mezz fiżiku maqsum kif jiġu kkonsenjati</v>
      </c>
    </row>
    <row r="11057" ht="15.75" customHeight="1">
      <c r="A11057" s="2" t="s">
        <v>11057</v>
      </c>
      <c r="B11057" s="2" t="str">
        <f>IFERROR(__xludf.DUMMYFUNCTION("GOOGLETRANSLATE(A11057, ""en"", ""mt"")"),"X'inhi l-iktar ħaġa importanti li jagħmlu l-apikoplasti?")</f>
        <v>X'inhi l-iktar ħaġa importanti li jagħmlu l-apikoplasti?</v>
      </c>
    </row>
    <row r="11058" ht="15.75" customHeight="1">
      <c r="A11058" s="2" t="s">
        <v>11058</v>
      </c>
      <c r="B11058" s="2" t="str">
        <f>IFERROR(__xludf.DUMMYFUNCTION("GOOGLETRANSLATE(A11058, ""en"", ""mt"")"),"Teorija tan-Numri")</f>
        <v>Teorija tan-Numri</v>
      </c>
    </row>
    <row r="11059" ht="15.75" customHeight="1">
      <c r="A11059" s="2" t="s">
        <v>11059</v>
      </c>
      <c r="B11059" s="2" t="str">
        <f>IFERROR(__xludf.DUMMYFUNCTION("GOOGLETRANSLATE(A11059, ""en"", ""mt"")"),"Wara titjira ta 'test LM mingħajr ekwipaġġ AS-206, ekwipaġġ itir l-ewwel Blokk II CSM u LM f'missjoni doppja magħrufa bħala AS-207/208, jew AS-278 (kull vettura spazjali kienet titnieda fuq Saturn separat separat.) Il-pożizzjonijiet tal-ekwipaġġ tal-Blokk"&amp;" II kienu intitolati Kmandant (CDR) Modulu Pilot (CMP) u l-pilota tal-modulu Lunar (LMP). L-astronawti jibdew jilbsu spazjar ta 'Apollo ġdid, iddisinjat biex jakkomoda attività extravehicular lunari (EVA). L-elmu tal-viżiera tradizzjonali ġie sostitwit b'"&amp;"tip ċar ta '""fishbowl"" għal viżibilità akbar, u l-libsa EVA tal-wiċċ lunari tinkludi ħwejjeġ ta' taħt imkessħa bl-ilma.")</f>
        <v>Wara titjira ta 'test LM mingħajr ekwipaġġ AS-206, ekwipaġġ itir l-ewwel Blokk II CSM u LM f'missjoni doppja magħrufa bħala AS-207/208, jew AS-278 (kull vettura spazjali kienet titnieda fuq Saturn separat separat.) Il-pożizzjonijiet tal-ekwipaġġ tal-Blokk II kienu intitolati Kmandant (CDR) Modulu Pilot (CMP) u l-pilota tal-modulu Lunar (LMP). L-astronawti jibdew jilbsu spazjar ta 'Apollo ġdid, iddisinjat biex jakkomoda attività extravehicular lunari (EVA). L-elmu tal-viżiera tradizzjonali ġie sostitwit b'tip ċar ta '"fishbowl" għal viżibilità akbar, u l-libsa EVA tal-wiċċ lunari tinkludi ħwejjeġ ta' taħt imkessħa bl-ilma.</v>
      </c>
    </row>
    <row r="11060" ht="15.75" customHeight="1">
      <c r="A11060" s="2" t="s">
        <v>11060</v>
      </c>
      <c r="B11060" s="2" t="str">
        <f>IFERROR(__xludf.DUMMYFUNCTION("GOOGLETRANSLATE(A11060, ""en"", ""mt"")"),"X'taħseb li kienet il-pesta Gasquet?")</f>
        <v>X'taħseb li kienet il-pesta Gasquet?</v>
      </c>
    </row>
    <row r="11061" ht="15.75" customHeight="1">
      <c r="A11061" s="2" t="s">
        <v>11061</v>
      </c>
      <c r="B11061" s="2" t="str">
        <f>IFERROR(__xludf.DUMMYFUNCTION("GOOGLETRANSLATE(A11061, ""en"", ""mt"")"),"F’xi żoni rurali fir-Renju Unit")</f>
        <v>F’xi żoni rurali fir-Renju Unit</v>
      </c>
    </row>
    <row r="11062" ht="15.75" customHeight="1">
      <c r="A11062" s="2" t="s">
        <v>11062</v>
      </c>
      <c r="B11062" s="2" t="str">
        <f>IFERROR(__xludf.DUMMYFUNCTION("GOOGLETRANSLATE(A11062, ""en"", ""mt"")"),"Iċ-ċelloli T Delta Gamma jaqsmu l-karatteristiċi ta 'liema tipi oħra ta' ċelloli T?")</f>
        <v>Iċ-ċelloli T Delta Gamma jaqsmu l-karatteristiċi ta 'liema tipi oħra ta' ċelloli T?</v>
      </c>
    </row>
    <row r="11063" ht="15.75" customHeight="1">
      <c r="A11063" s="2" t="s">
        <v>11063</v>
      </c>
      <c r="B11063" s="2" t="str">
        <f>IFERROR(__xludf.DUMMYFUNCTION("GOOGLETRANSLATE(A11063, ""en"", ""mt"")"),"bi traskuraġni")</f>
        <v>bi traskuraġni</v>
      </c>
    </row>
    <row r="11064" ht="15.75" customHeight="1">
      <c r="A11064" s="2" t="s">
        <v>11064</v>
      </c>
      <c r="B11064" s="2" t="str">
        <f>IFERROR(__xludf.DUMMYFUNCTION("GOOGLETRANSLATE(A11064, ""en"", ""mt"")"),"F’Ottubru 1529, Filippu I, Landgrave ta ’Hesse, ikkonverta assemblea ta’ teologi Ġermaniżi u Żvizzeri fil-Colloquy ta ’Marburg, biex jistabbilixxi unità dottrinali fl-istati Protestanti emerġenti. Intlaħaq ftehim fuq erbatax-il punt minn ħmistax, l-eċċezz"&amp;"joni hija n-natura tal-Ewkaristija - is-sagrament tal-Ikla tal-Mulej - kwistjoni kruċjali għal Luther.")</f>
        <v>F’Ottubru 1529, Filippu I, Landgrave ta ’Hesse, ikkonverta assemblea ta’ teologi Ġermaniżi u Żvizzeri fil-Colloquy ta ’Marburg, biex jistabbilixxi unità dottrinali fl-istati Protestanti emerġenti. Intlaħaq ftehim fuq erbatax-il punt minn ħmistax, l-eċċezzjoni hija n-natura tal-Ewkaristija - is-sagrament tal-Ikla tal-Mulej - kwistjoni kruċjali għal Luther.</v>
      </c>
    </row>
    <row r="11065" ht="15.75" customHeight="1">
      <c r="A11065" s="2" t="s">
        <v>11065</v>
      </c>
      <c r="B11065" s="2" t="str">
        <f>IFERROR(__xludf.DUMMYFUNCTION("GOOGLETRANSLATE(A11065, ""en"", ""mt"")"),"X'inhuma l-ambjentalisti mħassba dwar li ġew rilaxxati mir-reġjun tal-Amażonja?")</f>
        <v>X'inhuma l-ambjentalisti mħassba dwar li ġew rilaxxati mir-reġjun tal-Amażonja?</v>
      </c>
    </row>
    <row r="11066" ht="15.75" customHeight="1">
      <c r="A11066" s="2" t="s">
        <v>11066</v>
      </c>
      <c r="B11066" s="2" t="str">
        <f>IFERROR(__xludf.DUMMYFUNCTION("GOOGLETRANSLATE(A11066, ""en"", ""mt"")"),"Sussidenza tettonika kontinwa")</f>
        <v>Sussidenza tettonika kontinwa</v>
      </c>
    </row>
    <row r="11067" ht="15.75" customHeight="1">
      <c r="A11067" s="2" t="s">
        <v>11067</v>
      </c>
      <c r="B11067" s="2" t="str">
        <f>IFERROR(__xludf.DUMMYFUNCTION("GOOGLETRANSLATE(A11067, ""en"", ""mt"")"),"Programm ta 'żvilupp ekonomiku li jittama li jpoġġi l-pajjiż fl-istess kampjonat bħat-Tigers Ekonomiċi Ażjatiċi sas-sena 2030")</f>
        <v>Programm ta 'żvilupp ekonomiku li jittama li jpoġġi l-pajjiż fl-istess kampjonat bħat-Tigers Ekonomiċi Ażjatiċi sas-sena 2030</v>
      </c>
    </row>
    <row r="11068" ht="15.75" customHeight="1">
      <c r="A11068" s="2" t="s">
        <v>11068</v>
      </c>
      <c r="B11068" s="2" t="str">
        <f>IFERROR(__xludf.DUMMYFUNCTION("GOOGLETRANSLATE(A11068, ""en"", ""mt"")"),"Knisja Kattolika fi Franza")</f>
        <v>Knisja Kattolika fi Franza</v>
      </c>
    </row>
    <row r="11069" ht="15.75" customHeight="1">
      <c r="A11069" s="2" t="s">
        <v>11069</v>
      </c>
      <c r="B11069" s="2" t="str">
        <f>IFERROR(__xludf.DUMMYFUNCTION("GOOGLETRANSLATE(A11069, ""en"", ""mt"")"),"X'ġara waqt il-missjoni tat-test Apollo 7 biex toħroġhom verżjoni inqas tad-DSM?")</f>
        <v>X'ġara waqt il-missjoni tat-test Apollo 7 biex toħroġhom verżjoni inqas tad-DSM?</v>
      </c>
    </row>
    <row r="11070" ht="15.75" customHeight="1">
      <c r="A11070" s="2" t="s">
        <v>11070</v>
      </c>
      <c r="B11070" s="2" t="str">
        <f>IFERROR(__xludf.DUMMYFUNCTION("GOOGLETRANSLATE(A11070, ""en"", ""mt"")"),"Ir-Repubblika tal-Kenja")</f>
        <v>Ir-Repubblika tal-Kenja</v>
      </c>
    </row>
    <row r="11071" ht="15.75" customHeight="1">
      <c r="A11071" s="2" t="s">
        <v>11071</v>
      </c>
      <c r="B11071" s="2" t="str">
        <f>IFERROR(__xludf.DUMMYFUNCTION("GOOGLETRANSLATE(A11071, ""en"", ""mt"")"),"Liema kwantitajiet fiżiċi m'għandhomx direzzjoni?")</f>
        <v>Liema kwantitajiet fiżiċi m'għandhomx direzzjoni?</v>
      </c>
    </row>
    <row r="11072" ht="15.75" customHeight="1">
      <c r="A11072" s="2" t="s">
        <v>11072</v>
      </c>
      <c r="B11072" s="2" t="str">
        <f>IFERROR(__xludf.DUMMYFUNCTION("GOOGLETRANSLATE(A11072, ""en"", ""mt"")"),"Fejn tinsab is-Sala tal-Kungress?")</f>
        <v>Fejn tinsab is-Sala tal-Kungress?</v>
      </c>
    </row>
    <row r="11073" ht="15.75" customHeight="1">
      <c r="A11073" s="2" t="s">
        <v>11073</v>
      </c>
      <c r="B11073" s="2" t="str">
        <f>IFERROR(__xludf.DUMMYFUNCTION("GOOGLETRANSLATE(A11073, ""en"", ""mt"")"),"Kulleġġ")</f>
        <v>Kulleġġ</v>
      </c>
    </row>
    <row r="11074" ht="15.75" customHeight="1">
      <c r="A11074" s="2" t="s">
        <v>11074</v>
      </c>
      <c r="B11074" s="2" t="str">
        <f>IFERROR(__xludf.DUMMYFUNCTION("GOOGLETRANSLATE(A11074, ""en"", ""mt"")"),"Min jirċievi salarji ogħla fi skejjel privati ​​li jitolbu tagħlim ogħla?")</f>
        <v>Min jirċievi salarji ogħla fi skejjel privati ​​li jitolbu tagħlim ogħla?</v>
      </c>
    </row>
    <row r="11075" ht="15.75" customHeight="1">
      <c r="A11075" s="2" t="s">
        <v>11075</v>
      </c>
      <c r="B11075" s="2" t="str">
        <f>IFERROR(__xludf.DUMMYFUNCTION("GOOGLETRANSLATE(A11075, ""en"", ""mt"")"),"Qabel it-Tieni Gwerra Dinjija, Fresno kellu ħafna kwartieri etniċi, inklużi Little Armenja, Belt Ġermaniża, Little Italja, u Chinatown. Fl-1940, l-Uffiċċju taċ-Ċensiment irrapporta l-popolazzjoni ta 'Fresno bħala 94.0% abjad, 3.3% iswed u 2.7% Asjatiku. ("&amp;"Inkongruż, Chinatown kien primarjament viċinat Ġappuniż u llum għadhom in-negozji Ġappuniżi-Amerikani). Matul l-1942, Pinedale, f’dak li issa hu North Fresno, kien is-sit taċ-Ċentru tal-Assemblea Pinedale, faċilità interim għar-rilokazzjoni taż-żona ta ’F"&amp;"resno Amerikani Ġappuniżi għal kampijiet ta’ internament. Il-fieri ta 'Fresno ġiet użata wkoll bħala ċentru ta' assemblaġġ.")</f>
        <v>Qabel it-Tieni Gwerra Dinjija, Fresno kellu ħafna kwartieri etniċi, inklużi Little Armenja, Belt Ġermaniża, Little Italja, u Chinatown. Fl-1940, l-Uffiċċju taċ-Ċensiment irrapporta l-popolazzjoni ta 'Fresno bħala 94.0% abjad, 3.3% iswed u 2.7% Asjatiku. (Inkongruż, Chinatown kien primarjament viċinat Ġappuniż u llum għadhom in-negozji Ġappuniżi-Amerikani). Matul l-1942, Pinedale, f’dak li issa hu North Fresno, kien is-sit taċ-Ċentru tal-Assemblea Pinedale, faċilità interim għar-rilokazzjoni taż-żona ta ’Fresno Amerikani Ġappuniżi għal kampijiet ta’ internament. Il-fieri ta 'Fresno ġiet użata wkoll bħala ċentru ta' assemblaġġ.</v>
      </c>
    </row>
    <row r="11076" ht="15.75" customHeight="1">
      <c r="A11076" s="2" t="s">
        <v>11076</v>
      </c>
      <c r="B11076" s="2" t="str">
        <f>IFERROR(__xludf.DUMMYFUNCTION("GOOGLETRANSLATE(A11076, ""en"", ""mt"")"),"Liema film ħallas Lionsgate biex it-trejler jixxandar matul is-Super Bowl?")</f>
        <v>Liema film ħallas Lionsgate biex it-trejler jixxandar matul is-Super Bowl?</v>
      </c>
    </row>
    <row r="11077" ht="15.75" customHeight="1">
      <c r="A11077" s="2" t="s">
        <v>11077</v>
      </c>
      <c r="B11077" s="2" t="str">
        <f>IFERROR(__xludf.DUMMYFUNCTION("GOOGLETRANSLATE(A11077, ""en"", ""mt"")"),"Netwerk tal-kanali intern taħt ir-ringieli tal-moxt")</f>
        <v>Netwerk tal-kanali intern taħt ir-ringieli tal-moxt</v>
      </c>
    </row>
    <row r="11078" ht="15.75" customHeight="1">
      <c r="A11078" s="2" t="s">
        <v>11078</v>
      </c>
      <c r="B11078" s="2" t="str">
        <f>IFERROR(__xludf.DUMMYFUNCTION("GOOGLETRANSLATE(A11078, ""en"", ""mt"")"),"xmara xmara")</f>
        <v>xmara xmara</v>
      </c>
    </row>
    <row r="11079" ht="15.75" customHeight="1">
      <c r="A11079" s="2" t="s">
        <v>11079</v>
      </c>
      <c r="B11079" s="2" t="str">
        <f>IFERROR(__xludf.DUMMYFUNCTION("GOOGLETRANSLATE(A11079, ""en"", ""mt"")"),"Kamera Speċjali tat-TV Apollo")</f>
        <v>Kamera Speċjali tat-TV Apollo</v>
      </c>
    </row>
    <row r="11080" ht="15.75" customHeight="1">
      <c r="A11080" s="2" t="s">
        <v>11080</v>
      </c>
      <c r="B11080" s="2" t="str">
        <f>IFERROR(__xludf.DUMMYFUNCTION("GOOGLETRANSLATE(A11080, ""en"", ""mt"")"),"Liema tip ta 'klima jista' jkun ippermetta lill-foresta tropikali tinfirex madwar il-kontinent?")</f>
        <v>Liema tip ta 'klima jista' jkun ippermetta lill-foresta tropikali tinfirex madwar il-kontinent?</v>
      </c>
    </row>
    <row r="11081" ht="15.75" customHeight="1">
      <c r="A11081" s="2" t="s">
        <v>11081</v>
      </c>
      <c r="B11081" s="2" t="str">
        <f>IFERROR(__xludf.DUMMYFUNCTION("GOOGLETRANSLATE(A11081, ""en"", ""mt"")"),"X'inhu simili għal taħriġ vokazzjonali?")</f>
        <v>X'inhu simili għal taħriġ vokazzjonali?</v>
      </c>
    </row>
    <row r="11082" ht="15.75" customHeight="1">
      <c r="A11082" s="2" t="s">
        <v>11082</v>
      </c>
      <c r="B11082" s="2" t="str">
        <f>IFERROR(__xludf.DUMMYFUNCTION("GOOGLETRANSLATE(A11082, ""en"", ""mt"")"),"it-tieni")</f>
        <v>it-tieni</v>
      </c>
    </row>
    <row r="11083" ht="15.75" customHeight="1">
      <c r="A11083" s="2" t="s">
        <v>11083</v>
      </c>
      <c r="B11083" s="2" t="str">
        <f>IFERROR(__xludf.DUMMYFUNCTION("GOOGLETRANSLATE(A11083, ""en"", ""mt"")"),"permess ta 'okkupazzjoni")</f>
        <v>permess ta 'okkupazzjoni</v>
      </c>
    </row>
    <row r="11084" ht="15.75" customHeight="1">
      <c r="A11084" s="2" t="s">
        <v>11084</v>
      </c>
      <c r="B11084" s="2" t="str">
        <f>IFERROR(__xludf.DUMMYFUNCTION("GOOGLETRANSLATE(A11084, ""en"", ""mt"")"),"l-urbanizzazzjoni tal-belt")</f>
        <v>l-urbanizzazzjoni tal-belt</v>
      </c>
    </row>
    <row r="11085" ht="15.75" customHeight="1">
      <c r="A11085" s="2" t="s">
        <v>11085</v>
      </c>
      <c r="B11085" s="2" t="str">
        <f>IFERROR(__xludf.DUMMYFUNCTION("GOOGLETRANSLATE(A11085, ""en"", ""mt"")"),"Tentattiv biex tenfasizza l-akkademiċi fuq l-atletika")</f>
        <v>Tentattiv biex tenfasizza l-akkademiċi fuq l-atletika</v>
      </c>
    </row>
    <row r="11086" ht="15.75" customHeight="1">
      <c r="A11086" s="2" t="s">
        <v>11086</v>
      </c>
      <c r="B11086" s="2" t="str">
        <f>IFERROR(__xludf.DUMMYFUNCTION("GOOGLETRANSLATE(A11086, ""en"", ""mt"")"),"X'kien DataNet 1")</f>
        <v>X'kien DataNet 1</v>
      </c>
    </row>
    <row r="11087" ht="15.75" customHeight="1">
      <c r="A11087" s="2" t="s">
        <v>11087</v>
      </c>
      <c r="B11087" s="2" t="str">
        <f>IFERROR(__xludf.DUMMYFUNCTION("GOOGLETRANSLATE(A11087, ""en"", ""mt"")"),"billi tagħmel ħsara apposta lis-sistema fotosintetika tagħhom")</f>
        <v>billi tagħmel ħsara apposta lis-sistema fotosintetika tagħhom</v>
      </c>
    </row>
    <row r="11088" ht="15.75" customHeight="1">
      <c r="A11088" s="2" t="s">
        <v>11088</v>
      </c>
      <c r="B11088" s="2" t="str">
        <f>IFERROR(__xludf.DUMMYFUNCTION("GOOGLETRANSLATE(A11088, ""en"", ""mt"")"),"Teorija tal-Miasma.")</f>
        <v>Teorija tal-Miasma.</v>
      </c>
    </row>
    <row r="11089" ht="15.75" customHeight="1">
      <c r="A11089" s="2" t="s">
        <v>11089</v>
      </c>
      <c r="B11089" s="2" t="str">
        <f>IFERROR(__xludf.DUMMYFUNCTION("GOOGLETRANSLATE(A11089, ""en"", ""mt"")"),"Matul il-pesta ta 'Ateni fl-430 QK")</f>
        <v>Matul il-pesta ta 'Ateni fl-430 QK</v>
      </c>
    </row>
    <row r="11090" ht="15.75" customHeight="1">
      <c r="A11090" s="2" t="s">
        <v>11090</v>
      </c>
      <c r="B11090" s="2" t="str">
        <f>IFERROR(__xludf.DUMMYFUNCTION("GOOGLETRANSLATE(A11090, ""en"", ""mt"")"),"Awtorizzazzjoni ta 'innijiet")</f>
        <v>Awtorizzazzjoni ta 'innijiet</v>
      </c>
    </row>
    <row r="11091" ht="15.75" customHeight="1">
      <c r="A11091" s="2" t="s">
        <v>11091</v>
      </c>
      <c r="B11091" s="2" t="str">
        <f>IFERROR(__xludf.DUMMYFUNCTION("GOOGLETRANSLATE(A11091, ""en"", ""mt"")"),"attakka l-kolonna Ingliża, qatel u qabad diversi mijiet ta 'rġiel, nisa, tfal, u skjavi.")</f>
        <v>attakka l-kolonna Ingliża, qatel u qabad diversi mijiet ta 'rġiel, nisa, tfal, u skjavi.</v>
      </c>
    </row>
    <row r="11092" ht="15.75" customHeight="1">
      <c r="A11092" s="2" t="s">
        <v>11092</v>
      </c>
      <c r="B11092" s="2" t="str">
        <f>IFERROR(__xludf.DUMMYFUNCTION("GOOGLETRANSLATE(A11092, ""en"", ""mt"")"),"Kif inhu konness l-ajruport ta 'Newport mal-belt?")</f>
        <v>Kif inhu konness l-ajruport ta 'Newport mal-belt?</v>
      </c>
    </row>
    <row r="11093" ht="15.75" customHeight="1">
      <c r="A11093" s="2" t="s">
        <v>11093</v>
      </c>
      <c r="B11093" s="2" t="str">
        <f>IFERROR(__xludf.DUMMYFUNCTION("GOOGLETRANSLATE(A11093, ""en"", ""mt"")"),"il-ħtieġa għal alleanzi")</f>
        <v>il-ħtieġa għal alleanzi</v>
      </c>
    </row>
    <row r="11094" ht="15.75" customHeight="1">
      <c r="A11094" s="2" t="s">
        <v>11094</v>
      </c>
      <c r="B11094" s="2" t="str">
        <f>IFERROR(__xludf.DUMMYFUNCTION("GOOGLETRANSLATE(A11094, ""en"", ""mt"")"),"Tesla Coil")</f>
        <v>Tesla Coil</v>
      </c>
    </row>
    <row r="11095" ht="15.75" customHeight="1">
      <c r="A11095" s="2" t="s">
        <v>11095</v>
      </c>
      <c r="B11095" s="2" t="str">
        <f>IFERROR(__xludf.DUMMYFUNCTION("GOOGLETRANSLATE(A11095, ""en"", ""mt"")"),"Bosta pajjiżi joffru programmi alternattivi ta 'liċenzjar biex jattiraw nies fit-tagħlim, speċjalment għal pożizzjonijiet diffiċli biex jimlew. Opportunitajiet ta 'xogħol eċċellenti huma mistennija bħala rtirar, speċjalment fost l-għalliema tal-iskejjel s"&amp;"ekondarji, huma akbar mit-tkabbir tal-iskrizzjoni; L-opportunitajiet ivarjaw skont iż-żona ġeografika u s-suġġett mgħallem. [Ċitazzjoni meħtieġa]")</f>
        <v>Bosta pajjiżi joffru programmi alternattivi ta 'liċenzjar biex jattiraw nies fit-tagħlim, speċjalment għal pożizzjonijiet diffiċli biex jimlew. Opportunitajiet ta 'xogħol eċċellenti huma mistennija bħala rtirar, speċjalment fost l-għalliema tal-iskejjel sekondarji, huma akbar mit-tkabbir tal-iskrizzjoni; L-opportunitajiet ivarjaw skont iż-żona ġeografika u s-suġġett mgħallem. [Ċitazzjoni meħtieġa]</v>
      </c>
    </row>
    <row r="11096" ht="15.75" customHeight="1">
      <c r="A11096" s="2" t="s">
        <v>11096</v>
      </c>
      <c r="B11096" s="2" t="str">
        <f>IFERROR(__xludf.DUMMYFUNCTION("GOOGLETRANSLATE(A11096, ""en"", ""mt"")"),"X’wassal għat-turiżmu ta ’Jacksonville biex isir inqas mixtieq fl-aħħar nofs tas-seklu 19?")</f>
        <v>X’wassal għat-turiżmu ta ’Jacksonville biex isir inqas mixtieq fl-aħħar nofs tas-seklu 19?</v>
      </c>
    </row>
    <row r="11097" ht="15.75" customHeight="1">
      <c r="A11097" s="2" t="s">
        <v>11097</v>
      </c>
      <c r="B11097" s="2" t="str">
        <f>IFERROR(__xludf.DUMMYFUNCTION("GOOGLETRANSLATE(A11097, ""en"", ""mt"")"),"3 u 14-il siegħa fil-ġimgħa")</f>
        <v>3 u 14-il siegħa fil-ġimgħa</v>
      </c>
    </row>
    <row r="11098" ht="15.75" customHeight="1">
      <c r="A11098" s="2" t="s">
        <v>11098</v>
      </c>
      <c r="B11098" s="2" t="str">
        <f>IFERROR(__xludf.DUMMYFUNCTION("GOOGLETRANSLATE(A11098, ""en"", ""mt"")"),"Mediċini ġodda li għandhom bżonn jinħażnu sewwa, jiġu amministrati, immonitorjati bir-reqqa, u ġestiti klinikament")</f>
        <v>Mediċini ġodda li għandhom bżonn jinħażnu sewwa, jiġu amministrati, immonitorjati bir-reqqa, u ġestiti klinikament</v>
      </c>
    </row>
    <row r="11099" ht="15.75" customHeight="1">
      <c r="A11099" s="2" t="s">
        <v>11099</v>
      </c>
      <c r="B11099" s="2" t="str">
        <f>IFERROR(__xludf.DUMMYFUNCTION("GOOGLETRANSLATE(A11099, ""en"", ""mt"")"),"Minn xiex jinżlu l-kloroplasti tal-pjanta?")</f>
        <v>Minn xiex jinżlu l-kloroplasti tal-pjanta?</v>
      </c>
    </row>
    <row r="11100" ht="15.75" customHeight="1">
      <c r="A11100" s="2" t="s">
        <v>11100</v>
      </c>
      <c r="B11100" s="2" t="str">
        <f>IFERROR(__xludf.DUMMYFUNCTION("GOOGLETRANSLATE(A11100, ""en"", ""mt"")"),"Is-sismologi jistgħu jużaw il-ħinijiet tal-wasla tal-mewġ sismiku bil-maqlub biex jimmaġinaw l-intern tad-dinja. Avvanzi bikrija f'dan il-qasam urew l-eżistenza ta 'qalba ta' barra likwidu (fejn il-mewġ ta 'shear ma setgħux jinfirxu) u qalba ta' ġewwa sol"&amp;"ida densa. Dawn l-avvanzi wasslu għall-iżvilupp ta 'mudell b'saffi ta' l-art, bil-qoxra u l-litosfera fuq nett, il-mantell ta 'taħt (separat fih innifsu permezz ta' diskontinwitajiet sismiċi f'410 u 660 kilometru), u l-qalba ta 'barra u l-qalba ta' ġewwa "&amp;"u l-qalba ta 'ġewwa taħt dak. Aktar reċentement, is-sismologi setgħu joħolqu immaġini dettaljati ta 'veloċitajiet tal-mewġ ġewwa d-Dinja bl-istess mod li tabib jimmaġina korp fi scan CT. Dawn l-immaġini wasslu għal veduta ferm aktar dettaljata ta 'l-inter"&amp;"n tad-dinja, u biddlu l-mudell simplifikat b'saffi b'mudell ferm aktar dinamiku.")</f>
        <v>Is-sismologi jistgħu jużaw il-ħinijiet tal-wasla tal-mewġ sismiku bil-maqlub biex jimmaġinaw l-intern tad-dinja. Avvanzi bikrija f'dan il-qasam urew l-eżistenza ta 'qalba ta' barra likwidu (fejn il-mewġ ta 'shear ma setgħux jinfirxu) u qalba ta' ġewwa solida densa. Dawn l-avvanzi wasslu għall-iżvilupp ta 'mudell b'saffi ta' l-art, bil-qoxra u l-litosfera fuq nett, il-mantell ta 'taħt (separat fih innifsu permezz ta' diskontinwitajiet sismiċi f'410 u 660 kilometru), u l-qalba ta 'barra u l-qalba ta' ġewwa u l-qalba ta 'ġewwa taħt dak. Aktar reċentement, is-sismologi setgħu joħolqu immaġini dettaljati ta 'veloċitajiet tal-mewġ ġewwa d-Dinja bl-istess mod li tabib jimmaġina korp fi scan CT. Dawn l-immaġini wasslu għal veduta ferm aktar dettaljata ta 'l-intern tad-dinja, u biddlu l-mudell simplifikat b'saffi b'mudell ferm aktar dinamiku.</v>
      </c>
    </row>
    <row r="11101" ht="15.75" customHeight="1">
      <c r="A11101" s="2" t="s">
        <v>11101</v>
      </c>
      <c r="B11101" s="2" t="str">
        <f>IFERROR(__xludf.DUMMYFUNCTION("GOOGLETRANSLATE(A11101, ""en"", ""mt"")"),"Kemm dam biex l-istampar tat-teżijiet jinfirex il-Ġermanja?")</f>
        <v>Kemm dam biex l-istampar tat-teżijiet jinfirex il-Ġermanja?</v>
      </c>
    </row>
    <row r="11102" ht="15.75" customHeight="1">
      <c r="A11102" s="2" t="s">
        <v>11102</v>
      </c>
      <c r="B11102" s="2" t="str">
        <f>IFERROR(__xludf.DUMMYFUNCTION("GOOGLETRANSLATE(A11102, ""en"", ""mt"")"),"Wara nofsinhar tat-2 ta 'Mejju")</f>
        <v>Wara nofsinhar tat-2 ta 'Mejju</v>
      </c>
    </row>
    <row r="11103" ht="15.75" customHeight="1">
      <c r="A11103" s="2" t="s">
        <v>11103</v>
      </c>
      <c r="B11103" s="2" t="str">
        <f>IFERROR(__xludf.DUMMYFUNCTION("GOOGLETRANSLATE(A11103, ""en"", ""mt"")"),"Wara li huwa ħabbar rebbieħ")</f>
        <v>Wara li huwa ħabbar rebbieħ</v>
      </c>
    </row>
    <row r="11104" ht="15.75" customHeight="1">
      <c r="A11104" s="2" t="s">
        <v>11104</v>
      </c>
      <c r="B11104" s="2" t="str">
        <f>IFERROR(__xludf.DUMMYFUNCTION("GOOGLETRANSLATE(A11104, ""en"", ""mt"")"),"Mantell tad-Dinja")</f>
        <v>Mantell tad-Dinja</v>
      </c>
    </row>
    <row r="11105" ht="15.75" customHeight="1">
      <c r="A11105" s="2" t="s">
        <v>11105</v>
      </c>
      <c r="B11105" s="2" t="str">
        <f>IFERROR(__xludf.DUMMYFUNCTION("GOOGLETRANSLATE(A11105, ""en"", ""mt"")"),"40 sa 50 student,")</f>
        <v>40 sa 50 student,</v>
      </c>
    </row>
    <row r="11106" ht="15.75" customHeight="1">
      <c r="A11106" s="2" t="s">
        <v>11106</v>
      </c>
      <c r="B11106" s="2" t="str">
        <f>IFERROR(__xludf.DUMMYFUNCTION("GOOGLETRANSLATE(A11106, ""en"", ""mt"")"),"Fejn CHP ma jintużax, it-turbini tal-fwar fl-istazzjonijiet tal-enerġija jużaw kondensaturi tal-wiċċ bħala sink kiesaħ. Il-kondensaturi huma mkessħa mill-fluss tal-ilma mill-oċeani, xmajjar, lagi, u ħafna drabi minn torrijiet li jkessħu li jevaporaw l-ilm"&amp;"a biex jipprovdu t-tneħħija tal-enerġija tat-tkessiħ. Il-ħruġ ta 'ilma sħun ikkondensat li jirriżulta mill-kondensatur imbagħad jerġa' jitpoġġa fil-bojler permezz ta 'pompa. Torri tat-tkessiħ tat-tip xott huwa simili għal radjatur tal-karozzi u jintuża f'"&amp;"postijiet fejn l-ilma jiswa ħafna. Torrijiet tat-tkessiħ evaporattivi (imxarrbin) jużaw is-sħana rifjutata biex jevaporaw l-ilma; Dan l-ilma jinżamm separat mill-kondensat, li jiċċirkola f'sistema magħluqa u jirritorna fil-bojler. Torrijiet bħal dawn spis"&amp;"s ikollhom plumi viżibbli minħabba l-ilma evaporat li jikkondensa fi qtar imwettaq mill-arja sħuna. Torrijiet tat-tkessiħ evaporattivi għandhom bżonn inqas fluss ta 'ilma minn tkessiħ ""darba"" minn ilma tax-xmara jew tal-lag; Impjant ta 'l-enerġija li ja"&amp;"ħdem bil-faħam ta' 700 megawatt jista 'juża madwar 3600 metru kubu ta' ilma tal-make-up kull siegħa għat-tkessiħ evaporattiv, iżda jkun jeħtieġ madwar għoxrin darba kemm jekk imkessaħ bl-ilma tax-xmara. [Ċitazzjoni meħtieġa]")</f>
        <v>Fejn CHP ma jintużax, it-turbini tal-fwar fl-istazzjonijiet tal-enerġija jużaw kondensaturi tal-wiċċ bħala sink kiesaħ. Il-kondensaturi huma mkessħa mill-fluss tal-ilma mill-oċeani, xmajjar, lagi, u ħafna drabi minn torrijiet li jkessħu li jevaporaw l-ilma biex jipprovdu t-tneħħija tal-enerġija tat-tkessiħ. Il-ħruġ ta 'ilma sħun ikkondensat li jirriżulta mill-kondensatur imbagħad jerġa' jitpoġġa fil-bojler permezz ta 'pompa. Torri tat-tkessiħ tat-tip xott huwa simili għal radjatur tal-karozzi u jintuża f'postijiet fejn l-ilma jiswa ħafna. Torrijiet tat-tkessiħ evaporattivi (imxarrbin) jużaw is-sħana rifjutata biex jevaporaw l-ilma; Dan l-ilma jinżamm separat mill-kondensat, li jiċċirkola f'sistema magħluqa u jirritorna fil-bojler. Torrijiet bħal dawn spiss ikollhom plumi viżibbli minħabba l-ilma evaporat li jikkondensa fi qtar imwettaq mill-arja sħuna. Torrijiet tat-tkessiħ evaporattivi għandhom bżonn inqas fluss ta 'ilma minn tkessiħ "darba" minn ilma tax-xmara jew tal-lag; Impjant ta 'l-enerġija li jaħdem bil-faħam ta' 700 megawatt jista 'juża madwar 3600 metru kubu ta' ilma tal-make-up kull siegħa għat-tkessiħ evaporattiv, iżda jkun jeħtieġ madwar għoxrin darba kemm jekk imkessaħ bl-ilma tax-xmara. [Ċitazzjoni meħtieġa]</v>
      </c>
    </row>
    <row r="11107" ht="15.75" customHeight="1">
      <c r="A11107" s="2" t="s">
        <v>11107</v>
      </c>
      <c r="B11107" s="2" t="str">
        <f>IFERROR(__xludf.DUMMYFUNCTION("GOOGLETRANSLATE(A11107, ""en"", ""mt"")"),"Kważi miljun viżitaturi u nofs")</f>
        <v>Kważi miljun viżitaturi u nofs</v>
      </c>
    </row>
    <row r="11108" ht="15.75" customHeight="1">
      <c r="A11108" s="2" t="s">
        <v>11108</v>
      </c>
      <c r="B11108" s="2" t="str">
        <f>IFERROR(__xludf.DUMMYFUNCTION("GOOGLETRANSLATE(A11108, ""en"", ""mt"")"),"Dirichlet's")</f>
        <v>Dirichlet's</v>
      </c>
    </row>
    <row r="11109" ht="15.75" customHeight="1">
      <c r="A11109" s="2" t="s">
        <v>11109</v>
      </c>
      <c r="B11109" s="2" t="str">
        <f>IFERROR(__xludf.DUMMYFUNCTION("GOOGLETRANSLATE(A11109, ""en"", ""mt"")"),"l-erbgħa kollha")</f>
        <v>l-erbgħa kollha</v>
      </c>
    </row>
    <row r="11110" ht="15.75" customHeight="1">
      <c r="A11110" s="2" t="s">
        <v>11110</v>
      </c>
      <c r="B11110" s="2" t="str">
        <f>IFERROR(__xludf.DUMMYFUNCTION("GOOGLETRANSLATE(A11110, ""en"", ""mt"")"),"1368–1644")</f>
        <v>1368–1644</v>
      </c>
    </row>
    <row r="11111" ht="15.75" customHeight="1">
      <c r="A11111" s="2" t="s">
        <v>11111</v>
      </c>
      <c r="B11111" s="2" t="str">
        <f>IFERROR(__xludf.DUMMYFUNCTION("GOOGLETRANSLATE(A11111, ""en"", ""mt"")"),"Noetherjan")</f>
        <v>Noetherjan</v>
      </c>
    </row>
    <row r="11112" ht="15.75" customHeight="1">
      <c r="A11112" s="2" t="s">
        <v>11112</v>
      </c>
      <c r="B11112" s="2" t="str">
        <f>IFERROR(__xludf.DUMMYFUNCTION("GOOGLETRANSLATE(A11112, ""en"", ""mt"")"),"Meta Obama fl-aħħar żar il-Kenja?")</f>
        <v>Meta Obama fl-aħħar żar il-Kenja?</v>
      </c>
    </row>
    <row r="11113" ht="15.75" customHeight="1">
      <c r="A11113" s="2" t="s">
        <v>11113</v>
      </c>
      <c r="B11113" s="2" t="str">
        <f>IFERROR(__xludf.DUMMYFUNCTION("GOOGLETRANSLATE(A11113, ""en"", ""mt"")"),"miksur")</f>
        <v>miksur</v>
      </c>
    </row>
    <row r="11114" ht="15.75" customHeight="1">
      <c r="A11114" s="2" t="s">
        <v>11114</v>
      </c>
      <c r="B11114" s="2" t="str">
        <f>IFERROR(__xludf.DUMMYFUNCTION("GOOGLETRANSLATE(A11114, ""en"", ""mt"")"),"Huwa miftuħ għall-età kollha irrispettivament mill-età, il-livell tal-litteriżmu u għandu materjali rilevanti għal nies ta 'kull qasam tal-ħajja")</f>
        <v>Huwa miftuħ għall-età kollha irrispettivament mill-età, il-livell tal-litteriżmu u għandu materjali rilevanti għal nies ta 'kull qasam tal-ħajja</v>
      </c>
    </row>
    <row r="11115" ht="15.75" customHeight="1">
      <c r="A11115" s="2" t="s">
        <v>11115</v>
      </c>
      <c r="B11115" s="2" t="str">
        <f>IFERROR(__xludf.DUMMYFUNCTION("GOOGLETRANSLATE(A11115, ""en"", ""mt"")"),"Ftit qtar")</f>
        <v>Ftit qtar</v>
      </c>
    </row>
    <row r="11116" ht="15.75" customHeight="1">
      <c r="A11116" s="2" t="s">
        <v>11116</v>
      </c>
      <c r="B11116" s="2" t="str">
        <f>IFERROR(__xludf.DUMMYFUNCTION("GOOGLETRANSLATE(A11116, ""en"", ""mt"")"),"Magni tax-xogħol ta 'daqs sħiħ fuq liema vetturi kultant jużaw magni tal-fwar taċ-ċilindru li joxxillaw?")</f>
        <v>Magni tax-xogħol ta 'daqs sħiħ fuq liema vetturi kultant jużaw magni tal-fwar taċ-ċilindru li joxxillaw?</v>
      </c>
    </row>
    <row r="11117" ht="15.75" customHeight="1">
      <c r="A11117" s="2" t="s">
        <v>11117</v>
      </c>
      <c r="B11117" s="2" t="str">
        <f>IFERROR(__xludf.DUMMYFUNCTION("GOOGLETRANSLATE(A11117, ""en"", ""mt"")"),"Il-Qorti Ewropea")</f>
        <v>Il-Qorti Ewropea</v>
      </c>
    </row>
    <row r="11118" ht="15.75" customHeight="1">
      <c r="A11118" s="2" t="s">
        <v>11118</v>
      </c>
      <c r="B11118" s="2" t="str">
        <f>IFERROR(__xludf.DUMMYFUNCTION("GOOGLETRANSLATE(A11118, ""en"", ""mt"")"),"Sonia Shankman School Orthogenic")</f>
        <v>Sonia Shankman School Orthogenic</v>
      </c>
    </row>
    <row r="11119" ht="15.75" customHeight="1">
      <c r="A11119" s="2" t="s">
        <v>11119</v>
      </c>
      <c r="B11119" s="2" t="str">
        <f>IFERROR(__xludf.DUMMYFUNCTION("GOOGLETRANSLATE(A11119, ""en"", ""mt"")"),"tilwima dwar il-kontroll tal-konfluwenza tax-xmajjar Allegheny u Monongahela")</f>
        <v>tilwima dwar il-kontroll tal-konfluwenza tax-xmajjar Allegheny u Monongahela</v>
      </c>
    </row>
    <row r="11120" ht="15.75" customHeight="1">
      <c r="A11120" s="2" t="s">
        <v>11120</v>
      </c>
      <c r="B11120" s="2" t="str">
        <f>IFERROR(__xludf.DUMMYFUNCTION("GOOGLETRANSLATE(A11120, ""en"", ""mt"")"),"X'inhi n-natura tar-relazzjoni bejn iċ-ċelloli T u l-vitamina D?")</f>
        <v>X'inhi n-natura tar-relazzjoni bejn iċ-ċelloli T u l-vitamina D?</v>
      </c>
    </row>
    <row r="11121" ht="15.75" customHeight="1">
      <c r="A11121" s="2" t="s">
        <v>11121</v>
      </c>
      <c r="B11121" s="2" t="str">
        <f>IFERROR(__xludf.DUMMYFUNCTION("GOOGLETRANSLATE(A11121, ""en"", ""mt"")"),"Kaxxa tal-Pulizija Blu")</f>
        <v>Kaxxa tal-Pulizija Blu</v>
      </c>
    </row>
    <row r="11122" ht="15.75" customHeight="1">
      <c r="A11122" s="2" t="s">
        <v>11122</v>
      </c>
      <c r="B11122" s="2" t="str">
        <f>IFERROR(__xludf.DUMMYFUNCTION("GOOGLETRANSLATE(A11122, ""en"", ""mt"")"),"tkissir id-dahar")</f>
        <v>tkissir id-dahar</v>
      </c>
    </row>
    <row r="11123" ht="15.75" customHeight="1">
      <c r="A11123" s="2" t="s">
        <v>11123</v>
      </c>
      <c r="B11123" s="2" t="str">
        <f>IFERROR(__xludf.DUMMYFUNCTION("GOOGLETRANSLATE(A11123, ""en"", ""mt"")"),"Il-magni LM ġew imwettqa b'suċċess u bdew mill-ġdid")</f>
        <v>Il-magni LM ġew imwettqa b'suċċess u bdew mill-ġdid</v>
      </c>
    </row>
    <row r="11124" ht="15.75" customHeight="1">
      <c r="A11124" s="2" t="s">
        <v>11124</v>
      </c>
      <c r="B11124" s="2" t="str">
        <f>IFERROR(__xludf.DUMMYFUNCTION("GOOGLETRANSLATE(A11124, ""en"", ""mt"")"),"Kemm hemm żoni metropolitani estiżi?")</f>
        <v>Kemm hemm żoni metropolitani estiżi?</v>
      </c>
    </row>
    <row r="11125" ht="15.75" customHeight="1">
      <c r="A11125" s="2" t="s">
        <v>11125</v>
      </c>
      <c r="B11125" s="2" t="str">
        <f>IFERROR(__xludf.DUMMYFUNCTION("GOOGLETRANSLATE(A11125, ""en"", ""mt"")"),"Il-movimenti tal-lobati combs huma kkontrollati minn xiex?")</f>
        <v>Il-movimenti tal-lobati combs huma kkontrollati minn xiex?</v>
      </c>
    </row>
    <row r="11126" ht="15.75" customHeight="1">
      <c r="A11126" s="2" t="s">
        <v>11126</v>
      </c>
      <c r="B11126" s="2" t="str">
        <f>IFERROR(__xludf.DUMMYFUNCTION("GOOGLETRANSLATE(A11126, ""en"", ""mt"")"),"is-solvabilità tal-ekwazzjonijiet kwadratiċi")</f>
        <v>is-solvabilità tal-ekwazzjonijiet kwadratiċi</v>
      </c>
    </row>
    <row r="11127" ht="15.75" customHeight="1">
      <c r="A11127" s="2" t="s">
        <v>11127</v>
      </c>
      <c r="B11127" s="2" t="str">
        <f>IFERROR(__xludf.DUMMYFUNCTION("GOOGLETRANSLATE(A11127, ""en"", ""mt"")"),"Xi wħud fl-UMC iħossu li l-ekumeniżmu falz jista 'jirriżulta f'liema?")</f>
        <v>Xi wħud fl-UMC iħossu li l-ekumeniżmu falz jista 'jirriżulta f'liema?</v>
      </c>
    </row>
    <row r="11128" ht="15.75" customHeight="1">
      <c r="A11128" s="2" t="s">
        <v>11128</v>
      </c>
      <c r="B11128" s="2" t="str">
        <f>IFERROR(__xludf.DUMMYFUNCTION("GOOGLETRANSLATE(A11128, ""en"", ""mt"")"),"Kemm nefqet Tesla fuq il-ħamiem imweġġa '?")</f>
        <v>Kemm nefqet Tesla fuq il-ħamiem imweġġa '?</v>
      </c>
    </row>
    <row r="11129" ht="15.75" customHeight="1">
      <c r="A11129" s="2" t="s">
        <v>11129</v>
      </c>
      <c r="B11129" s="2" t="str">
        <f>IFERROR(__xludf.DUMMYFUNCTION("GOOGLETRANSLATE(A11129, ""en"", ""mt"")"),"F’ħafna partijiet ta ’l-Istati Uniti, wara d-deċiżjoni tal-1954 fil-Każ tal-Qorti ta’ Landmark Brown v. Board of Education of Topeka li talbu skejjel ta ’l-Istati Uniti desegregati"" bil-veloċità kollha deliberati ”, il-familji lokali organizzaw mewġa ta’"&amp;" “akkademji Kristjani” privati. F’ħafna mill-Istati Uniti tan-Nofsinhar, ħafna studenti bojod emigraw lejn l-akkademji, filwaqt li l-iskejjel pubbliċi saru aktar ikkonċentrati ħafna ma ’studenti Afrikani-Amerikani (ara l-lista ta’ skejjel privati ​​f’Miss"&amp;"issippi). Il-kontenut akkademiku tal-akkademji ġeneralment kien preparatorju fil-kulleġġ. Mill-1970, ħafna minn dawn l- ""akkademji ta 'segregazzjoni"" għalaq, għalkemm xi wħud jibqgħu joperaw. [Ċitazzjoni meħtieġa]")</f>
        <v>F’ħafna partijiet ta ’l-Istati Uniti, wara d-deċiżjoni tal-1954 fil-Każ tal-Qorti ta’ Landmark Brown v. Board of Education of Topeka li talbu skejjel ta ’l-Istati Uniti desegregati" bil-veloċità kollha deliberati ”, il-familji lokali organizzaw mewġa ta’ “akkademji Kristjani” privati. F’ħafna mill-Istati Uniti tan-Nofsinhar, ħafna studenti bojod emigraw lejn l-akkademji, filwaqt li l-iskejjel pubbliċi saru aktar ikkonċentrati ħafna ma ’studenti Afrikani-Amerikani (ara l-lista ta’ skejjel privati ​​f’Mississippi). Il-kontenut akkademiku tal-akkademji ġeneralment kien preparatorju fil-kulleġġ. Mill-1970, ħafna minn dawn l- "akkademji ta 'segregazzjoni" għalaq, għalkemm xi wħud jibqgħu joperaw. [Ċitazzjoni meħtieġa]</v>
      </c>
    </row>
    <row r="11130" ht="15.75" customHeight="1">
      <c r="A11130" s="2" t="s">
        <v>11130</v>
      </c>
      <c r="B11130" s="2" t="str">
        <f>IFERROR(__xludf.DUMMYFUNCTION("GOOGLETRANSLATE(A11130, ""en"", ""mt"")"),"Għaliex huwa importanti li ndaħħlu preċiżament il-blat fit-taqsima stratigrafika?")</f>
        <v>Għaliex huwa importanti li ndaħħlu preċiżament il-blat fit-taqsima stratigrafika?</v>
      </c>
    </row>
    <row r="11131" ht="15.75" customHeight="1">
      <c r="A11131" s="2" t="s">
        <v>11131</v>
      </c>
      <c r="B11131" s="2" t="str">
        <f>IFERROR(__xludf.DUMMYFUNCTION("GOOGLETRANSLATE(A11131, ""en"", ""mt"")"),"id-dispożizzjoni tal-effetti personali tal-priġunieri")</f>
        <v>id-dispożizzjoni tal-effetti personali tal-priġunieri</v>
      </c>
    </row>
    <row r="11132" ht="15.75" customHeight="1">
      <c r="A11132" s="2" t="s">
        <v>11132</v>
      </c>
      <c r="B11132" s="2" t="str">
        <f>IFERROR(__xludf.DUMMYFUNCTION("GOOGLETRANSLATE(A11132, ""en"", ""mt"")"),"Studju ta 'pożizzjonijiet ta' unitajiet tal-blat u d-deformazzjoni tagħhom")</f>
        <v>Studju ta 'pożizzjonijiet ta' unitajiet tal-blat u d-deformazzjoni tagħhom</v>
      </c>
    </row>
    <row r="11133" ht="15.75" customHeight="1">
      <c r="A11133" s="2" t="s">
        <v>11133</v>
      </c>
      <c r="B11133" s="2" t="str">
        <f>IFERROR(__xludf.DUMMYFUNCTION("GOOGLETRANSLATE(A11133, ""en"", ""mt"")"),"perjodu ta 'kompressjoni")</f>
        <v>perjodu ta 'kompressjoni</v>
      </c>
    </row>
    <row r="11134" ht="15.75" customHeight="1">
      <c r="A11134" s="2" t="s">
        <v>11134</v>
      </c>
      <c r="B11134" s="2" t="str">
        <f>IFERROR(__xludf.DUMMYFUNCTION("GOOGLETRANSLATE(A11134, ""en"", ""mt"")"),"dwar mistoqsijiet kostituzzjonali fundamentali li jaffettwaw id-demokrazija u d-drittijiet tal-bniedem")</f>
        <v>dwar mistoqsijiet kostituzzjonali fundamentali li jaffettwaw id-demokrazija u d-drittijiet tal-bniedem</v>
      </c>
    </row>
    <row r="11135" ht="15.75" customHeight="1">
      <c r="A11135" s="2" t="s">
        <v>11135</v>
      </c>
      <c r="B11135" s="2" t="str">
        <f>IFERROR(__xludf.DUMMYFUNCTION("GOOGLETRANSLATE(A11135, ""en"", ""mt"")"),"Kemm siġġijiet ħadu l-SNP mid-Demokratiċi Liberali?")</f>
        <v>Kemm siġġijiet ħadu l-SNP mid-Demokratiċi Liberali?</v>
      </c>
    </row>
    <row r="11136" ht="15.75" customHeight="1">
      <c r="A11136" s="2" t="s">
        <v>11136</v>
      </c>
      <c r="B11136" s="2" t="str">
        <f>IFERROR(__xludf.DUMMYFUNCTION("GOOGLETRANSLATE(A11136, ""en"", ""mt"")"),"Biżgħat li jiġu ttikkettjati pedofili")</f>
        <v>Biżgħat li jiġu ttikkettjati pedofili</v>
      </c>
    </row>
    <row r="11137" ht="15.75" customHeight="1">
      <c r="A11137" s="2" t="s">
        <v>11137</v>
      </c>
      <c r="B11137" s="2" t="str">
        <f>IFERROR(__xludf.DUMMYFUNCTION("GOOGLETRANSLATE(A11137, ""en"", ""mt"")"),"Min hu l-poter eżekuttiv?")</f>
        <v>Min hu l-poter eżekuttiv?</v>
      </c>
    </row>
    <row r="11138" ht="15.75" customHeight="1">
      <c r="A11138" s="2" t="s">
        <v>11138</v>
      </c>
      <c r="B11138" s="2" t="str">
        <f>IFERROR(__xludf.DUMMYFUNCTION("GOOGLETRANSLATE(A11138, ""en"", ""mt"")"),"Fil-31 ta 'Ottubru 1517, Luther kiteb lill-isqof tiegħu, Albert ta' Mainz, li pprotesta l-bejgħ ta 'indulġenzi. Huwa magħluq fl-ittra tiegħu kopja tat- ""tilwima tiegħu ta 'Martin Luther dwar il-poter u l-effikaċja ta' l-indulġenzi"", li saret magħrufa bħ"&amp;"ala l-ħamsa u disgħin teżi. Hans Hillerbrand jikteb li Luther ma kellu l-ebda intenzjoni li jiffaċċja l-knisja, iżda ra t-tilwima tiegħu bħala oġġezzjoni akkademika għall-prattiki tal-knisja, u t-ton tal-kitba huwa għalhekk ""tiftix, aktar milli duttrinai"&amp;"re."" Hillerbrand jikteb li madankollu hemm nuqqas ta 'kurrent ta' sfida f'bosta mit-teżijiet, partikolarment fit-Teżi 86, li jistaqsi: ""Għaliex il-Papa, li l-ġid tiegħu llum huwa akbar mill-ġid tal-aktar sinjur Crassus, jibni l-bażilika ta 'San Pietru B"&amp;"il-flus ta 'dawk li jemmnu foqra aktar milli bil-flus tiegħu stess? """)</f>
        <v>Fil-31 ta 'Ottubru 1517, Luther kiteb lill-isqof tiegħu, Albert ta' Mainz, li pprotesta l-bejgħ ta 'indulġenzi. Huwa magħluq fl-ittra tiegħu kopja tat- "tilwima tiegħu ta 'Martin Luther dwar il-poter u l-effikaċja ta' l-indulġenzi", li saret magħrufa bħala l-ħamsa u disgħin teżi. Hans Hillerbrand jikteb li Luther ma kellu l-ebda intenzjoni li jiffaċċja l-knisja, iżda ra t-tilwima tiegħu bħala oġġezzjoni akkademika għall-prattiki tal-knisja, u t-ton tal-kitba huwa għalhekk "tiftix, aktar milli duttrinaire." Hillerbrand jikteb li madankollu hemm nuqqas ta 'kurrent ta' sfida f'bosta mit-teżijiet, partikolarment fit-Teżi 86, li jistaqsi: "Għaliex il-Papa, li l-ġid tiegħu llum huwa akbar mill-ġid tal-aktar sinjur Crassus, jibni l-bażilika ta 'San Pietru Bil-flus ta 'dawk li jemmnu foqra aktar milli bil-flus tiegħu stess? "</v>
      </c>
    </row>
    <row r="11139" ht="15.75" customHeight="1">
      <c r="A11139" s="2" t="s">
        <v>11139</v>
      </c>
      <c r="B11139" s="2" t="str">
        <f>IFERROR(__xludf.DUMMYFUNCTION("GOOGLETRANSLATE(A11139, ""en"", ""mt"")"),"Tana River, kif ukoll id-diga ta ’Turkwel Gorge")</f>
        <v>Tana River, kif ukoll id-diga ta ’Turkwel Gorge</v>
      </c>
    </row>
    <row r="11140" ht="15.75" customHeight="1">
      <c r="A11140" s="2" t="s">
        <v>11140</v>
      </c>
      <c r="B11140" s="2" t="str">
        <f>IFERROR(__xludf.DUMMYFUNCTION("GOOGLETRANSLATE(A11140, ""en"", ""mt"")"),"parti mill-arja maqbuda")</f>
        <v>parti mill-arja maqbuda</v>
      </c>
    </row>
    <row r="11141" ht="15.75" customHeight="1">
      <c r="A11141" s="2" t="s">
        <v>11141</v>
      </c>
      <c r="B11141" s="2" t="str">
        <f>IFERROR(__xludf.DUMMYFUNCTION("GOOGLETRANSLATE(A11141, ""en"", ""mt"")"),"X'tip ta 'elettriku kienet qed tinvestiga Tesla?")</f>
        <v>X'tip ta 'elettriku kienet qed tinvestiga Tesla?</v>
      </c>
    </row>
    <row r="11142" ht="15.75" customHeight="1">
      <c r="A11142" s="2" t="s">
        <v>11142</v>
      </c>
      <c r="B11142" s="2" t="str">
        <f>IFERROR(__xludf.DUMMYFUNCTION("GOOGLETRANSLATE(A11142, ""en"", ""mt"")"),"Madwar 9.81 metri kull sekonda kwadru")</f>
        <v>Madwar 9.81 metri kull sekonda kwadru</v>
      </c>
    </row>
    <row r="11143" ht="15.75" customHeight="1">
      <c r="A11143" s="2" t="s">
        <v>11143</v>
      </c>
      <c r="B11143" s="2" t="str">
        <f>IFERROR(__xludf.DUMMYFUNCTION("GOOGLETRANSLATE(A11143, ""en"", ""mt"")"),"X'qed issostitwixxa ħaddiema b'ħiliet aktar baxxi fl-Istati Uniti?")</f>
        <v>X'qed issostitwixxa ħaddiema b'ħiliet aktar baxxi fl-Istati Uniti?</v>
      </c>
    </row>
    <row r="11144" ht="15.75" customHeight="1">
      <c r="A11144" s="2" t="s">
        <v>11144</v>
      </c>
      <c r="B11144" s="2" t="str">
        <f>IFERROR(__xludf.DUMMYFUNCTION("GOOGLETRANSLATE(A11144, ""en"", ""mt"")"),"bejn 8 sa 10 mili kuljum")</f>
        <v>bejn 8 sa 10 mili kuljum</v>
      </c>
    </row>
    <row r="11145" ht="15.75" customHeight="1">
      <c r="A11145" s="2" t="s">
        <v>11145</v>
      </c>
      <c r="B11145" s="2" t="str">
        <f>IFERROR(__xludf.DUMMYFUNCTION("GOOGLETRANSLATE(A11145, ""en"", ""mt"")"),"Ir-Rwol tal-Mapep tas-Seklu Dsatax")</f>
        <v>Ir-Rwol tal-Mapep tas-Seklu Dsatax</v>
      </c>
    </row>
    <row r="11146" ht="15.75" customHeight="1">
      <c r="A11146" s="2" t="s">
        <v>11146</v>
      </c>
      <c r="B11146" s="2" t="str">
        <f>IFERROR(__xludf.DUMMYFUNCTION("GOOGLETRANSLATE(A11146, ""en"", ""mt"")"),"Prezzijiet tal-konsumatur")</f>
        <v>Prezzijiet tal-konsumatur</v>
      </c>
    </row>
    <row r="11147" ht="15.75" customHeight="1">
      <c r="A11147" s="2" t="s">
        <v>11147</v>
      </c>
      <c r="B11147" s="2" t="str">
        <f>IFERROR(__xludf.DUMMYFUNCTION("GOOGLETRANSLATE(A11147, ""en"", ""mt"")"),"X'inhi l-forza bejn in-nukleoni?")</f>
        <v>X'inhi l-forza bejn in-nukleoni?</v>
      </c>
    </row>
    <row r="11148" ht="15.75" customHeight="1">
      <c r="A11148" s="2" t="s">
        <v>11148</v>
      </c>
      <c r="B11148" s="2" t="str">
        <f>IFERROR(__xludf.DUMMYFUNCTION("GOOGLETRANSLATE(A11148, ""en"", ""mt"")"),"Phylum ta 'annimali li jgħixu fl-ilmijiet tal-baħar")</f>
        <v>Phylum ta 'annimali li jgħixu fl-ilmijiet tal-baħar</v>
      </c>
    </row>
    <row r="11149" ht="15.75" customHeight="1">
      <c r="A11149" s="2" t="s">
        <v>11149</v>
      </c>
      <c r="B11149" s="2" t="str">
        <f>IFERROR(__xludf.DUMMYFUNCTION("GOOGLETRANSLATE(A11149, ""en"", ""mt"")"),"l-uffiċjal li jippresiedi")</f>
        <v>l-uffiċjal li jippresiedi</v>
      </c>
    </row>
    <row r="11150" ht="15.75" customHeight="1">
      <c r="A11150" s="2" t="s">
        <v>11150</v>
      </c>
      <c r="B11150" s="2" t="str">
        <f>IFERROR(__xludf.DUMMYFUNCTION("GOOGLETRANSLATE(A11150, ""en"", ""mt"")"),"m'għandhomx forzi wieqfa")</f>
        <v>m'għandhomx forzi wieqfa</v>
      </c>
    </row>
    <row r="11151" ht="15.75" customHeight="1">
      <c r="A11151" s="2" t="s">
        <v>11151</v>
      </c>
      <c r="B11151" s="2" t="str">
        <f>IFERROR(__xludf.DUMMYFUNCTION("GOOGLETRANSLATE(A11151, ""en"", ""mt"")"),"Luther iġġustifika l-oppożizzjoni tiegħu għar-ribelli għal tliet raġunijiet. L-ewwel, fl-għażla tal-vjolenza fuq sottomissjoni legali lill-gvern sekulari, huma kienu jinjoraw il-parir ta 'Kristu biex ""jirrendu lil Ċesari l-affarijiet li huma Caesar""; Sa"&amp;"n Pawl kien kiteb fl-epistola tiegħu lir-Rumani 13: 1-7 li l-awtoritajiet kollha huma maħtura minn Alla u għalhekk m'għandhomx jiġu rreżistiti. Din ir-referenza mill-Bibbja tifforma l-pedament għad-duttrina magħrufa bħala d-dritt divin tar-rejiet, jew, fi"&amp;"l-każ Ġermaniż, id-dritt divin tal-prinċpijiet. It-tieni, l-azzjonijiet vjolenti ta 'ribelli, serq u serq poġġew lill-bdiewa ""barra l-liġi ta' Alla u l-Imperu"", u għalhekk ħaqqhom ""mewt fil-ġisem u r-ruħ, jekk biss bħala awtostradi u qattiela."" Fl-aħħ"&amp;"arnett, Luther akkuża lir-ribelli bi dagħa talli sejħu lilhom infushom ""Ħutna Kristjana"" u wettqu l-atti midinba tagħhom taħt il-bandiera tal-Evanġelju.")</f>
        <v>Luther iġġustifika l-oppożizzjoni tiegħu għar-ribelli għal tliet raġunijiet. L-ewwel, fl-għażla tal-vjolenza fuq sottomissjoni legali lill-gvern sekulari, huma kienu jinjoraw il-parir ta 'Kristu biex "jirrendu lil Ċesari l-affarijiet li huma Caesar"; San Pawl kien kiteb fl-epistola tiegħu lir-Rumani 13: 1-7 li l-awtoritajiet kollha huma maħtura minn Alla u għalhekk m'għandhomx jiġu rreżistiti. Din ir-referenza mill-Bibbja tifforma l-pedament għad-duttrina magħrufa bħala d-dritt divin tar-rejiet, jew, fil-każ Ġermaniż, id-dritt divin tal-prinċpijiet. It-tieni, l-azzjonijiet vjolenti ta 'ribelli, serq u serq poġġew lill-bdiewa "barra l-liġi ta' Alla u l-Imperu", u għalhekk ħaqqhom "mewt fil-ġisem u r-ruħ, jekk biss bħala awtostradi u qattiela." Fl-aħħarnett, Luther akkuża lir-ribelli bi dagħa talli sejħu lilhom infushom "Ħutna Kristjana" u wettqu l-atti midinba tagħhom taħt il-bandiera tal-Evanġelju.</v>
      </c>
    </row>
    <row r="11152" ht="15.75" customHeight="1">
      <c r="A11152" s="2" t="s">
        <v>11152</v>
      </c>
      <c r="B11152" s="2" t="str">
        <f>IFERROR(__xludf.DUMMYFUNCTION("GOOGLETRANSLATE(A11152, ""en"", ""mt"")"),"iddeterjorat")</f>
        <v>iddeterjorat</v>
      </c>
    </row>
    <row r="11153" ht="15.75" customHeight="1">
      <c r="A11153" s="2" t="s">
        <v>11153</v>
      </c>
      <c r="B11153" s="2" t="str">
        <f>IFERROR(__xludf.DUMMYFUNCTION("GOOGLETRANSLATE(A11153, ""en"", ""mt"")"),"kuntest modern")</f>
        <v>kuntest modern</v>
      </c>
    </row>
    <row r="11154" ht="15.75" customHeight="1">
      <c r="A11154" s="2" t="s">
        <v>11154</v>
      </c>
      <c r="B11154" s="2" t="str">
        <f>IFERROR(__xludf.DUMMYFUNCTION("GOOGLETRANSLATE(A11154, ""en"", ""mt"")"),"Bejn Mejju u Settembru 2005, l-għajdut ċċirkolaw li Disney-ABC kienet qed tikkunsidra bejgħ ta 'ABC Radio, b'Clear Channel Communications u Westwood One (li qabel kienet xtrat id-diviżjoni tar-radju ta' NBC, kif ukoll id-drittijiet ta 'distribuzzjoni għal"&amp;" CBS's, u s-sistema ta' xandir reċiproku Matul id-disgħinijiet) bħala xerrejja potenzjali. Fid-19 ta 'Ottubru, 2005, ABC ħabbret ir-ristrutturar tal-grupp f'sitt diviżjonijiet: komunikazzjonijiet ta' divertiment, riżorsi ta 'komunikazzjoni, komunikazzjoni"&amp;"jiet għat-tfal, komunikazzjonijiet tal-aħbarijiet, komunikazzjonijiet korporattivi, u komunikazzjonijiet internazzjonali.")</f>
        <v>Bejn Mejju u Settembru 2005, l-għajdut ċċirkolaw li Disney-ABC kienet qed tikkunsidra bejgħ ta 'ABC Radio, b'Clear Channel Communications u Westwood One (li qabel kienet xtrat id-diviżjoni tar-radju ta' NBC, kif ukoll id-drittijiet ta 'distribuzzjoni għal CBS's, u s-sistema ta' xandir reċiproku Matul id-disgħinijiet) bħala xerrejja potenzjali. Fid-19 ta 'Ottubru, 2005, ABC ħabbret ir-ristrutturar tal-grupp f'sitt diviżjonijiet: komunikazzjonijiet ta' divertiment, riżorsi ta 'komunikazzjoni, komunikazzjonijiet għat-tfal, komunikazzjonijiet tal-aħbarijiet, komunikazzjonijiet korporattivi, u komunikazzjonijiet internazzjonali.</v>
      </c>
    </row>
    <row r="11155" ht="15.75" customHeight="1">
      <c r="A11155" s="2" t="s">
        <v>11155</v>
      </c>
      <c r="B11155" s="2" t="str">
        <f>IFERROR(__xludf.DUMMYFUNCTION("GOOGLETRANSLATE(A11155, ""en"", ""mt"")"),"X’talab Jamukha mingħand Temüjin minflok il-ħbiberija?")</f>
        <v>X’talab Jamukha mingħand Temüjin minflok il-ħbiberija?</v>
      </c>
    </row>
    <row r="11156" ht="15.75" customHeight="1">
      <c r="A11156" s="2" t="s">
        <v>11156</v>
      </c>
      <c r="B11156" s="2" t="str">
        <f>IFERROR(__xludf.DUMMYFUNCTION("GOOGLETRANSLATE(A11156, ""en"", ""mt"")"),"Unions tal-istess sess")</f>
        <v>Unions tal-istess sess</v>
      </c>
    </row>
    <row r="11157" ht="15.75" customHeight="1">
      <c r="A11157" s="2" t="s">
        <v>11157</v>
      </c>
      <c r="B11157" s="2" t="str">
        <f>IFERROR(__xludf.DUMMYFUNCTION("GOOGLETRANSLATE(A11157, ""en"", ""mt"")"),"L-uffiċċji u l-kamra tal-bord eċċ.")</f>
        <v>L-uffiċċji u l-kamra tal-bord eċċ.</v>
      </c>
    </row>
    <row r="11158" ht="15.75" customHeight="1">
      <c r="A11158" s="2" t="s">
        <v>11158</v>
      </c>
      <c r="B11158" s="2" t="str">
        <f>IFERROR(__xludf.DUMMYFUNCTION("GOOGLETRANSLATE(A11158, ""en"", ""mt"")"),"patoġen")</f>
        <v>patoġen</v>
      </c>
    </row>
    <row r="11159" ht="15.75" customHeight="1">
      <c r="A11159" s="2" t="s">
        <v>11159</v>
      </c>
      <c r="B11159" s="2" t="str">
        <f>IFERROR(__xludf.DUMMYFUNCTION("GOOGLETRANSLATE(A11159, ""en"", ""mt"")"),"X'tip ta 'blat jinstab fil-Grand Canyon?")</f>
        <v>X'tip ta 'blat jinstab fil-Grand Canyon?</v>
      </c>
    </row>
    <row r="11160" ht="15.75" customHeight="1">
      <c r="A11160" s="2" t="s">
        <v>11160</v>
      </c>
      <c r="B11160" s="2" t="str">
        <f>IFERROR(__xludf.DUMMYFUNCTION("GOOGLETRANSLATE(A11160, ""en"", ""mt"")"),"Arti u għamara Franċiża tas-seklu 18")</f>
        <v>Arti u għamara Franċiża tas-seklu 18</v>
      </c>
    </row>
    <row r="11161" ht="15.75" customHeight="1">
      <c r="A11161" s="2" t="s">
        <v>11161</v>
      </c>
      <c r="B11161" s="2" t="str">
        <f>IFERROR(__xludf.DUMMYFUNCTION("GOOGLETRANSLATE(A11161, ""en"", ""mt"")"),"programmi biex jiġu evitati diżastri simili fil-futur")</f>
        <v>programmi biex jiġu evitati diżastri simili fil-futur</v>
      </c>
    </row>
    <row r="11162" ht="15.75" customHeight="1">
      <c r="A11162" s="2" t="s">
        <v>11162</v>
      </c>
      <c r="B11162" s="2" t="str">
        <f>IFERROR(__xludf.DUMMYFUNCTION("GOOGLETRANSLATE(A11162, ""en"", ""mt"")"),"storbjuż")</f>
        <v>storbjuż</v>
      </c>
    </row>
    <row r="11163" ht="15.75" customHeight="1">
      <c r="A11163" s="2" t="s">
        <v>11163</v>
      </c>
      <c r="B11163" s="2" t="str">
        <f>IFERROR(__xludf.DUMMYFUNCTION("GOOGLETRANSLATE(A11163, ""en"", ""mt"")"),"Konferenza ta 'l-UMC ta' Baltimore-Washington")</f>
        <v>Konferenza ta 'l-UMC ta' Baltimore-Washington</v>
      </c>
    </row>
    <row r="11164" ht="15.75" customHeight="1">
      <c r="A11164" s="2" t="s">
        <v>11164</v>
      </c>
      <c r="B11164" s="2" t="str">
        <f>IFERROR(__xludf.DUMMYFUNCTION("GOOGLETRANSLATE(A11164, ""en"", ""mt"")"),"Modulu tas-Servizz Ċilindriku")</f>
        <v>Modulu tas-Servizz Ċilindriku</v>
      </c>
    </row>
    <row r="11165" ht="15.75" customHeight="1">
      <c r="A11165" s="2" t="s">
        <v>11165</v>
      </c>
      <c r="B11165" s="2" t="str">
        <f>IFERROR(__xludf.DUMMYFUNCTION("GOOGLETRANSLATE(A11165, ""en"", ""mt"")"),"Kemm plejers offensivi mill-Panthers ġew magħżula biex jilagħbu fil-Pro Bowl?")</f>
        <v>Kemm plejers offensivi mill-Panthers ġew magħżula biex jilagħbu fil-Pro Bowl?</v>
      </c>
    </row>
    <row r="11166" ht="15.75" customHeight="1">
      <c r="A11166" s="2" t="s">
        <v>11166</v>
      </c>
      <c r="B11166" s="2" t="str">
        <f>IFERROR(__xludf.DUMMYFUNCTION("GOOGLETRANSLATE(A11166, ""en"", ""mt"")"),"Rotary")</f>
        <v>Rotary</v>
      </c>
    </row>
    <row r="11167" ht="15.75" customHeight="1">
      <c r="A11167" s="2" t="s">
        <v>11167</v>
      </c>
      <c r="B11167" s="2" t="str">
        <f>IFERROR(__xludf.DUMMYFUNCTION("GOOGLETRANSLATE(A11167, ""en"", ""mt"")"),"neputi")</f>
        <v>neputi</v>
      </c>
    </row>
    <row r="11168" ht="15.75" customHeight="1">
      <c r="A11168" s="2" t="s">
        <v>11168</v>
      </c>
      <c r="B11168" s="2" t="str">
        <f>IFERROR(__xludf.DUMMYFUNCTION("GOOGLETRANSLATE(A11168, ""en"", ""mt"")"),"kloroplast sitt membrani")</f>
        <v>kloroplast sitt membrani</v>
      </c>
    </row>
    <row r="11169" ht="15.75" customHeight="1">
      <c r="A11169" s="2" t="s">
        <v>11169</v>
      </c>
      <c r="B11169" s="2" t="str">
        <f>IFERROR(__xludf.DUMMYFUNCTION("GOOGLETRANSLATE(A11169, ""en"", ""mt"")"),"Kwalità ta 'istituzzjonijiet ta' pajjiż")</f>
        <v>Kwalità ta 'istituzzjonijiet ta' pajjiż</v>
      </c>
    </row>
    <row r="11170" ht="15.75" customHeight="1">
      <c r="A11170" s="2" t="s">
        <v>11170</v>
      </c>
      <c r="B11170" s="2" t="str">
        <f>IFERROR(__xludf.DUMMYFUNCTION("GOOGLETRANSLATE(A11170, ""en"", ""mt"")"),"X'inhu karatteristika ta 'hermaphrodites sekwenzjali?")</f>
        <v>X'inhu karatteristika ta 'hermaphrodites sekwenzjali?</v>
      </c>
    </row>
    <row r="11171" ht="15.75" customHeight="1">
      <c r="A11171" s="2" t="s">
        <v>11171</v>
      </c>
      <c r="B11171" s="2" t="str">
        <f>IFERROR(__xludf.DUMMYFUNCTION("GOOGLETRANSLATE(A11171, ""en"", ""mt"")"),"100–106 ° F.")</f>
        <v>100–106 ° F.</v>
      </c>
    </row>
    <row r="11172" ht="15.75" customHeight="1">
      <c r="A11172" s="2" t="s">
        <v>11172</v>
      </c>
      <c r="B11172" s="2" t="str">
        <f>IFERROR(__xludf.DUMMYFUNCTION("GOOGLETRANSLATE(A11172, ""en"", ""mt"")"),"Liema reliġjon kienu n-Normanni")</f>
        <v>Liema reliġjon kienu n-Normanni</v>
      </c>
    </row>
    <row r="11173" ht="15.75" customHeight="1">
      <c r="A11173" s="2" t="s">
        <v>11173</v>
      </c>
      <c r="B11173" s="2" t="str">
        <f>IFERROR(__xludf.DUMMYFUNCTION("GOOGLETRANSLATE(A11173, ""en"", ""mt"")"),"Liema ftehim sar għall-kummerċ ma 'indiġeni u Ingliżi?")</f>
        <v>Liema ftehim sar għall-kummerċ ma 'indiġeni u Ingliżi?</v>
      </c>
    </row>
    <row r="11174" ht="15.75" customHeight="1">
      <c r="A11174" s="2" t="s">
        <v>11174</v>
      </c>
      <c r="B11174" s="2" t="str">
        <f>IFERROR(__xludf.DUMMYFUNCTION("GOOGLETRANSLATE(A11174, ""en"", ""mt"")"),"jista 'jkun ta' profitt")</f>
        <v>jista 'jkun ta' profitt</v>
      </c>
    </row>
    <row r="11175" ht="15.75" customHeight="1">
      <c r="A11175" s="2" t="s">
        <v>11175</v>
      </c>
      <c r="B11175" s="2" t="str">
        <f>IFERROR(__xludf.DUMMYFUNCTION("GOOGLETRANSLATE(A11175, ""en"", ""mt"")"),"Mount Kenja")</f>
        <v>Mount Kenja</v>
      </c>
    </row>
    <row r="11176" ht="15.75" customHeight="1">
      <c r="A11176" s="2" t="s">
        <v>11176</v>
      </c>
      <c r="B11176" s="2" t="str">
        <f>IFERROR(__xludf.DUMMYFUNCTION("GOOGLETRANSLATE(A11176, ""en"", ""mt"")"),"tirċievi l-ebda ħin tal-ħabs")</f>
        <v>tirċievi l-ebda ħin tal-ħabs</v>
      </c>
    </row>
    <row r="11177" ht="15.75" customHeight="1">
      <c r="A11177" s="2" t="s">
        <v>11177</v>
      </c>
      <c r="B11177" s="2" t="str">
        <f>IFERROR(__xludf.DUMMYFUNCTION("GOOGLETRANSLATE(A11177, ""en"", ""mt"")"),"Stampar tal-istampa.")</f>
        <v>Stampar tal-istampa.</v>
      </c>
    </row>
    <row r="11178" ht="15.75" customHeight="1">
      <c r="A11178" s="2" t="s">
        <v>11178</v>
      </c>
      <c r="B11178" s="2" t="str">
        <f>IFERROR(__xludf.DUMMYFUNCTION("GOOGLETRANSLATE(A11178, ""en"", ""mt"")"),"Liema riżorsa ġiet imminata fiż-żona ta 'Newcastle?")</f>
        <v>Liema riżorsa ġiet imminata fiż-żona ta 'Newcastle?</v>
      </c>
    </row>
    <row r="11179" ht="15.75" customHeight="1">
      <c r="A11179" s="2" t="s">
        <v>11179</v>
      </c>
      <c r="B11179" s="2" t="str">
        <f>IFERROR(__xludf.DUMMYFUNCTION("GOOGLETRANSLATE(A11179, ""en"", ""mt"")"),"Jiltaqa 'darbtejn fis-sena fi")</f>
        <v>Jiltaqa 'darbtejn fis-sena fi</v>
      </c>
    </row>
    <row r="11180" ht="15.75" customHeight="1">
      <c r="A11180" s="2" t="s">
        <v>11180</v>
      </c>
      <c r="B11180" s="2" t="str">
        <f>IFERROR(__xludf.DUMMYFUNCTION("GOOGLETRANSLATE(A11180, ""en"", ""mt"")"),"l-inqas oneruż")</f>
        <v>l-inqas oneruż</v>
      </c>
    </row>
    <row r="11181" ht="15.75" customHeight="1">
      <c r="A11181" s="2" t="s">
        <v>11181</v>
      </c>
      <c r="B11181" s="2" t="str">
        <f>IFERROR(__xludf.DUMMYFUNCTION("GOOGLETRANSLATE(A11181, ""en"", ""mt"")"),"X’użat Gou għall-Astronomija?")</f>
        <v>X’użat Gou għall-Astronomija?</v>
      </c>
    </row>
    <row r="11182" ht="15.75" customHeight="1">
      <c r="A11182" s="2" t="s">
        <v>11182</v>
      </c>
      <c r="B11182" s="2" t="str">
        <f>IFERROR(__xludf.DUMMYFUNCTION("GOOGLETRANSLATE(A11182, ""en"", ""mt"")"),"għedewwa perikolużi")</f>
        <v>għedewwa perikolużi</v>
      </c>
    </row>
    <row r="11183" ht="15.75" customHeight="1">
      <c r="A11183" s="2" t="s">
        <v>11183</v>
      </c>
      <c r="B11183" s="2" t="str">
        <f>IFERROR(__xludf.DUMMYFUNCTION("GOOGLETRANSLATE(A11183, ""en"", ""mt"")"),"X'inhuma l-fatturi li qed jikkontribwixxu għax-xewqa li l-SR 99 jitjiebu biex ikunu ta 'standards bejn l-istati?")</f>
        <v>X'inhuma l-fatturi li qed jikkontribwixxu għax-xewqa li l-SR 99 jitjiebu biex ikunu ta 'standards bejn l-istati?</v>
      </c>
    </row>
    <row r="11184" ht="15.75" customHeight="1">
      <c r="A11184" s="2" t="s">
        <v>11184</v>
      </c>
      <c r="B11184" s="2" t="str">
        <f>IFERROR(__xludf.DUMMYFUNCTION("GOOGLETRANSLATE(A11184, ""en"", ""mt"")"),"Baċellerat")</f>
        <v>Baċellerat</v>
      </c>
    </row>
    <row r="11185" ht="15.75" customHeight="1">
      <c r="A11185" s="2" t="s">
        <v>11185</v>
      </c>
      <c r="B11185" s="2" t="str">
        <f>IFERROR(__xludf.DUMMYFUNCTION("GOOGLETRANSLATE(A11185, ""en"", ""mt"")"),"Liema karatteristika Tesla qalet għenet l-abbiltajiet xjentifiċi tiegħu?")</f>
        <v>Liema karatteristika Tesla qalet għenet l-abbiltajiet xjentifiċi tiegħu?</v>
      </c>
    </row>
    <row r="11186" ht="15.75" customHeight="1">
      <c r="A11186" s="2" t="s">
        <v>11186</v>
      </c>
      <c r="B11186" s="2" t="str">
        <f>IFERROR(__xludf.DUMMYFUNCTION("GOOGLETRANSLATE(A11186, ""en"", ""mt"")"),"Varsavja kienet okkupata mill-Ġermanja mill-4 ta ’Awwissu 1915 sa Novembru 1918. It-termini tal-Armistizju Alleati meħtieġa fl-Artikolu 12 li l-Ġermanja tirtira minn żoni kkontrollati mir-Russja fl-1914, li kienet tinkludi Varsavja. Il-Ġermanja għamlet he"&amp;"kk, u l-mexxej taħt l-art Piłsudski rritorna lejn Varsavja fil-11 ta 'Novembru u waqqaf dak li sar it-tieni repubblika Pollakka, bil-kapitali Varsavja. Matul il-Gwerra Pollakka-Bolxevika tal-1920, il-battalja enormi ta 'Varsavja ġiet miġġielda fil-perifer"&amp;"ija tal-Lvant tal-belt li fiha l-kapitali ġiet iddefendita b'suċċess u l-Armata l-Ħamra telfa. Il-Polonja waqfet minnha nnifisha l-piż sħiħ tal-Armata l-Ħamra u għelbet idea ta '""l-esportazzjoni tar-rivoluzzjoni"".")</f>
        <v>Varsavja kienet okkupata mill-Ġermanja mill-4 ta ’Awwissu 1915 sa Novembru 1918. It-termini tal-Armistizju Alleati meħtieġa fl-Artikolu 12 li l-Ġermanja tirtira minn żoni kkontrollati mir-Russja fl-1914, li kienet tinkludi Varsavja. Il-Ġermanja għamlet hekk, u l-mexxej taħt l-art Piłsudski rritorna lejn Varsavja fil-11 ta 'Novembru u waqqaf dak li sar it-tieni repubblika Pollakka, bil-kapitali Varsavja. Matul il-Gwerra Pollakka-Bolxevika tal-1920, il-battalja enormi ta 'Varsavja ġiet miġġielda fil-periferija tal-Lvant tal-belt li fiha l-kapitali ġiet iddefendita b'suċċess u l-Armata l-Ħamra telfa. Il-Polonja waqfet minnha nnifisha l-piż sħiħ tal-Armata l-Ħamra u għelbet idea ta '"l-esportazzjoni tar-rivoluzzjoni".</v>
      </c>
    </row>
    <row r="11187" ht="15.75" customHeight="1">
      <c r="A11187" s="2" t="s">
        <v>11187</v>
      </c>
      <c r="B11187" s="2" t="str">
        <f>IFERROR(__xludf.DUMMYFUNCTION("GOOGLETRANSLATE(A11187, ""en"", ""mt"")"),"Riżultat tar-Rivoluzzjoni Amerikana")</f>
        <v>Riżultat tar-Rivoluzzjoni Amerikana</v>
      </c>
    </row>
    <row r="11188" ht="15.75" customHeight="1">
      <c r="A11188" s="2" t="s">
        <v>11188</v>
      </c>
      <c r="B11188" s="2" t="str">
        <f>IFERROR(__xludf.DUMMYFUNCTION("GOOGLETRANSLATE(A11188, ""en"", ""mt"")"),"Elettur tas-Sassonja")</f>
        <v>Elettur tas-Sassonja</v>
      </c>
    </row>
    <row r="11189" ht="15.75" customHeight="1">
      <c r="A11189" s="2" t="s">
        <v>11189</v>
      </c>
      <c r="B11189" s="2" t="str">
        <f>IFERROR(__xludf.DUMMYFUNCTION("GOOGLETRANSLATE(A11189, ""en"", ""mt"")"),"X'inhu t-tip tat-temp ta 'Mallee u Upper Wimmera?")</f>
        <v>X'inhu t-tip tat-temp ta 'Mallee u Upper Wimmera?</v>
      </c>
    </row>
    <row r="11190" ht="15.75" customHeight="1">
      <c r="A11190" s="2" t="s">
        <v>11190</v>
      </c>
      <c r="B11190" s="2" t="str">
        <f>IFERROR(__xludf.DUMMYFUNCTION("GOOGLETRANSLATE(A11190, ""en"", ""mt"")"),"12")</f>
        <v>12</v>
      </c>
    </row>
    <row r="11191" ht="15.75" customHeight="1">
      <c r="A11191" s="2" t="s">
        <v>11191</v>
      </c>
      <c r="B11191" s="2" t="str">
        <f>IFERROR(__xludf.DUMMYFUNCTION("GOOGLETRANSLATE(A11191, ""en"", ""mt"")"),"Huwa eħfef jew aktar diffiċli li tbiddel il-liġi tal-UE milli tibqa 'l-istess?")</f>
        <v>Huwa eħfef jew aktar diffiċli li tbiddel il-liġi tal-UE milli tibqa 'l-istess?</v>
      </c>
    </row>
    <row r="11192" ht="15.75" customHeight="1">
      <c r="A11192" s="2" t="s">
        <v>11192</v>
      </c>
      <c r="B11192" s="2" t="str">
        <f>IFERROR(__xludf.DUMMYFUNCTION("GOOGLETRANSLATE(A11192, ""en"", ""mt"")"),"X'inhu l-isem tal-programm ta 'trattament residenzjali li tmexxi l-università?")</f>
        <v>X'inhu l-isem tal-programm ta 'trattament residenzjali li tmexxi l-università?</v>
      </c>
    </row>
    <row r="11193" ht="15.75" customHeight="1">
      <c r="A11193" s="2" t="s">
        <v>11193</v>
      </c>
      <c r="B11193" s="2" t="str">
        <f>IFERROR(__xludf.DUMMYFUNCTION("GOOGLETRANSLATE(A11193, ""en"", ""mt"")"),"Dwar il-libertà ta ’Nisrani.")</f>
        <v>Dwar il-libertà ta ’Nisrani.</v>
      </c>
    </row>
    <row r="11194" ht="15.75" customHeight="1">
      <c r="A11194" s="2" t="s">
        <v>11194</v>
      </c>
      <c r="B11194" s="2" t="str">
        <f>IFERROR(__xludf.DUMMYFUNCTION("GOOGLETRANSLATE(A11194, ""en"", ""mt"")"),"Għal liema rotta tal-kummerċ Genghis Khan ġab klima politika stabbli?")</f>
        <v>Għal liema rotta tal-kummerċ Genghis Khan ġab klima politika stabbli?</v>
      </c>
    </row>
    <row r="11195" ht="15.75" customHeight="1">
      <c r="A11195" s="2" t="s">
        <v>11195</v>
      </c>
      <c r="B11195" s="2" t="str">
        <f>IFERROR(__xludf.DUMMYFUNCTION("GOOGLETRANSLATE(A11195, ""en"", ""mt"")"),"Liema stil storiku tal-arti ntuża fid-dekorazzjoni għall-parti tat-tramuntana tal-mużew?")</f>
        <v>Liema stil storiku tal-arti ntuża fid-dekorazzjoni għall-parti tat-tramuntana tal-mużew?</v>
      </c>
    </row>
    <row r="11196" ht="15.75" customHeight="1">
      <c r="A11196" s="2" t="s">
        <v>11196</v>
      </c>
      <c r="B11196" s="2" t="str">
        <f>IFERROR(__xludf.DUMMYFUNCTION("GOOGLETRANSLATE(A11196, ""en"", ""mt"")"),"Is-servizz ferrovjarju tal-passiġġieri huwa pprovdut minn Amtrak San Joaquins. L-istazzjon tal-ferrovija tal-passiġġieri prinċipali huwa l-istoriku storiku rinnovat ta 'Santa Fe Depot fil-belt ta' Fresno. Il-linji ewlenin ta 'Bakersfield-Stockton tal-Ferr"&amp;"ovija ta' Burlington Northern Santa Fe u l-Ferrovija tal-Ferrovija tal-Paċifiku tal-Unjoni fi Fresno, u ż-żewġ ferroviji jżommu l-ferroviji fil-belt; Il-Ferrovija ta ’San Joaquin Valley topera wkoll ex-fergħat tal-Paċifiku tan-Nofsinhar li jmorru lejn il-"&amp;"punent u n-nofsinhar barra mill-belt. Il-belt ta 'Fresno hija ppjanata li sservi l-ferrovija futura ta' veloċità għolja ta 'California.")</f>
        <v>Is-servizz ferrovjarju tal-passiġġieri huwa pprovdut minn Amtrak San Joaquins. L-istazzjon tal-ferrovija tal-passiġġieri prinċipali huwa l-istoriku storiku rinnovat ta 'Santa Fe Depot fil-belt ta' Fresno. Il-linji ewlenin ta 'Bakersfield-Stockton tal-Ferrovija ta' Burlington Northern Santa Fe u l-Ferrovija tal-Ferrovija tal-Paċifiku tal-Unjoni fi Fresno, u ż-żewġ ferroviji jżommu l-ferroviji fil-belt; Il-Ferrovija ta ’San Joaquin Valley topera wkoll ex-fergħat tal-Paċifiku tan-Nofsinhar li jmorru lejn il-punent u n-nofsinhar barra mill-belt. Il-belt ta 'Fresno hija ppjanata li sservi l-ferrovija futura ta' veloċità għolja ta 'California.</v>
      </c>
    </row>
    <row r="11197" ht="15.75" customHeight="1">
      <c r="A11197" s="2" t="s">
        <v>11197</v>
      </c>
      <c r="B11197" s="2" t="str">
        <f>IFERROR(__xludf.DUMMYFUNCTION("GOOGLETRANSLATE(A11197, ""en"", ""mt"")"),"X'tip ta 'sorsi mhux riveduti mill-peer juża l-IPCC?")</f>
        <v>X'tip ta 'sorsi mhux riveduti mill-peer juża l-IPCC?</v>
      </c>
    </row>
    <row r="11198" ht="15.75" customHeight="1">
      <c r="A11198" s="2" t="s">
        <v>11198</v>
      </c>
      <c r="B11198" s="2" t="str">
        <f>IFERROR(__xludf.DUMMYFUNCTION("GOOGLETRANSLATE(A11198, ""en"", ""mt"")"),"L-iswiċċjar taċ-ċirkwit huwa kkaratterizzat minn tariffa għal kull unità ta 'ħin ta' konnessjoni")</f>
        <v>L-iswiċċjar taċ-ċirkwit huwa kkaratterizzat minn tariffa għal kull unità ta 'ħin ta' konnessjoni</v>
      </c>
    </row>
    <row r="11199" ht="15.75" customHeight="1">
      <c r="A11199" s="2" t="s">
        <v>11199</v>
      </c>
      <c r="B11199" s="2" t="str">
        <f>IFERROR(__xludf.DUMMYFUNCTION("GOOGLETRANSLATE(A11199, ""en"", ""mt"")"),"Liema terminoloġija oħra hija meqjusa ħafna iktar distruttiva?")</f>
        <v>Liema terminoloġija oħra hija meqjusa ħafna iktar distruttiva?</v>
      </c>
    </row>
    <row r="11200" ht="15.75" customHeight="1">
      <c r="A11200" s="2" t="s">
        <v>11200</v>
      </c>
      <c r="B11200" s="2" t="str">
        <f>IFERROR(__xludf.DUMMYFUNCTION("GOOGLETRANSLATE(A11200, ""en"", ""mt"")"),"Min qabad lil Fort Beausejour?")</f>
        <v>Min qabad lil Fort Beausejour?</v>
      </c>
    </row>
    <row r="11201" ht="15.75" customHeight="1">
      <c r="A11201" s="2" t="s">
        <v>11201</v>
      </c>
      <c r="B11201" s="2" t="str">
        <f>IFERROR(__xludf.DUMMYFUNCTION("GOOGLETRANSLATE(A11201, ""en"", ""mt"")"),"Liema pożizzjoni Fred Silverman ħalla lil ABC biex jieħu fl-1978?")</f>
        <v>Liema pożizzjoni Fred Silverman ħalla lil ABC biex jieħu fl-1978?</v>
      </c>
    </row>
    <row r="11202" ht="15.75" customHeight="1">
      <c r="A11202" s="2" t="s">
        <v>11202</v>
      </c>
      <c r="B11202" s="2" t="str">
        <f>IFERROR(__xludf.DUMMYFUNCTION("GOOGLETRANSLATE(A11202, ""en"", ""mt"")"),"espansjoni")</f>
        <v>espansjoni</v>
      </c>
    </row>
    <row r="11203" ht="15.75" customHeight="1">
      <c r="A11203" s="2" t="s">
        <v>11203</v>
      </c>
      <c r="B11203" s="2" t="str">
        <f>IFERROR(__xludf.DUMMYFUNCTION("GOOGLETRANSLATE(A11203, ""en"", ""mt"")"),"Aġitazzjoni żbaljata")</f>
        <v>Aġitazzjoni żbaljata</v>
      </c>
    </row>
    <row r="11204" ht="15.75" customHeight="1">
      <c r="A11204" s="2" t="s">
        <v>11204</v>
      </c>
      <c r="B11204" s="2" t="str">
        <f>IFERROR(__xludf.DUMMYFUNCTION("GOOGLETRANSLATE(A11204, ""en"", ""mt"")"),"b'suċċess")</f>
        <v>b'suċċess</v>
      </c>
    </row>
    <row r="11205" ht="15.75" customHeight="1">
      <c r="A11205" s="2" t="s">
        <v>11205</v>
      </c>
      <c r="B11205" s="2" t="str">
        <f>IFERROR(__xludf.DUMMYFUNCTION("GOOGLETRANSLATE(A11205, ""en"", ""mt"")"),"Prinċipju ta 'ekwivalenza")</f>
        <v>Prinċipju ta 'ekwivalenza</v>
      </c>
    </row>
    <row r="11206" ht="15.75" customHeight="1">
      <c r="A11206" s="2" t="s">
        <v>11206</v>
      </c>
      <c r="B11206" s="2" t="str">
        <f>IFERROR(__xludf.DUMMYFUNCTION("GOOGLETRANSLATE(A11206, ""en"", ""mt"")"),"mingħajr marki")</f>
        <v>mingħajr marki</v>
      </c>
    </row>
    <row r="11207" ht="15.75" customHeight="1">
      <c r="A11207" s="2" t="s">
        <v>11207</v>
      </c>
      <c r="B11207" s="2" t="str">
        <f>IFERROR(__xludf.DUMMYFUNCTION("GOOGLETRANSLATE(A11207, ""en"", ""mt"")"),"X'azzjoni minn Luther żiedet l-antisemitiżmu fil-Ġermanja?")</f>
        <v>X'azzjoni minn Luther żiedet l-antisemitiżmu fil-Ġermanja?</v>
      </c>
    </row>
    <row r="11208" ht="15.75" customHeight="1">
      <c r="A11208" s="2" t="s">
        <v>11208</v>
      </c>
      <c r="B11208" s="2" t="str">
        <f>IFERROR(__xludf.DUMMYFUNCTION("GOOGLETRANSLATE(A11208, ""en"", ""mt"")"),"Agrikoltura u Silvikultura")</f>
        <v>Agrikoltura u Silvikultura</v>
      </c>
    </row>
    <row r="11209" ht="15.75" customHeight="1">
      <c r="A11209" s="2" t="s">
        <v>11209</v>
      </c>
      <c r="B11209" s="2" t="str">
        <f>IFERROR(__xludf.DUMMYFUNCTION("GOOGLETRANSLATE(A11209, ""en"", ""mt"")"),"ċittadin privat")</f>
        <v>ċittadin privat</v>
      </c>
    </row>
    <row r="11210" ht="15.75" customHeight="1">
      <c r="A11210" s="2" t="s">
        <v>11210</v>
      </c>
      <c r="B11210" s="2" t="str">
        <f>IFERROR(__xludf.DUMMYFUNCTION("GOOGLETRANSLATE(A11210, ""en"", ""mt"")"),"Sabiex jitnaqqsu l-ispejjeż tal-konsumatur")</f>
        <v>Sabiex jitnaqqsu l-ispejjeż tal-konsumatur</v>
      </c>
    </row>
    <row r="11211" ht="15.75" customHeight="1">
      <c r="A11211" s="2" t="s">
        <v>11211</v>
      </c>
      <c r="B11211" s="2" t="str">
        <f>IFERROR(__xludf.DUMMYFUNCTION("GOOGLETRANSLATE(A11211, ""en"", ""mt"")"),"Qrib it-tmiem ta ’ħajtu, Tesla tlaqt il-park kuljum biex titma’ l-ħamiem u saħansitra ġabet lil dawk midruba fil-kamra tal-lukanda tiegħu biex infermiera lura għas-saħħa. Huwa qal li kien żar minn ħamiem abjad midruba speċifiku kuljum. Tesla nefqet aktar "&amp;"minn $ 2,000, inkluż il-bini ta 'apparat li appoġġjaha bil-kumdità sabiex l-għadam tagħha jkun jista' jfejjaq, biex jiffissa l-ġwienaħ u s-sieq miksura tagħha. Tesla ddikjarat,")</f>
        <v>Qrib it-tmiem ta ’ħajtu, Tesla tlaqt il-park kuljum biex titma’ l-ħamiem u saħansitra ġabet lil dawk midruba fil-kamra tal-lukanda tiegħu biex infermiera lura għas-saħħa. Huwa qal li kien żar minn ħamiem abjad midruba speċifiku kuljum. Tesla nefqet aktar minn $ 2,000, inkluż il-bini ta 'apparat li appoġġjaha bil-kumdità sabiex l-għadam tagħha jkun jista' jfejjaq, biex jiffissa l-ġwienaħ u s-sieq miksura tagħha. Tesla ddikjarat,</v>
      </c>
    </row>
    <row r="11212" ht="15.75" customHeight="1">
      <c r="A11212" s="2" t="s">
        <v>11212</v>
      </c>
      <c r="B11212" s="2" t="str">
        <f>IFERROR(__xludf.DUMMYFUNCTION("GOOGLETRANSLATE(A11212, ""en"", ""mt"")"),"kompetizzjoni bejn il-ħaddiema")</f>
        <v>kompetizzjoni bejn il-ħaddiema</v>
      </c>
    </row>
    <row r="11213" ht="15.75" customHeight="1">
      <c r="A11213" s="2" t="s">
        <v>11213</v>
      </c>
      <c r="B11213" s="2" t="str">
        <f>IFERROR(__xludf.DUMMYFUNCTION("GOOGLETRANSLATE(A11213, ""en"", ""mt"")"),"Dati ta 'prova tal-qorti kriminali internazzjonali")</f>
        <v>Dati ta 'prova tal-qorti kriminali internazzjonali</v>
      </c>
    </row>
    <row r="11214" ht="15.75" customHeight="1">
      <c r="A11214" s="2" t="s">
        <v>11214</v>
      </c>
      <c r="B11214" s="2" t="str">
        <f>IFERROR(__xludf.DUMMYFUNCTION("GOOGLETRANSLATE(A11214, ""en"", ""mt"")"),"$ 41 triljun")</f>
        <v>$ 41 triljun</v>
      </c>
    </row>
    <row r="11215" ht="15.75" customHeight="1">
      <c r="A11215" s="2" t="s">
        <v>11215</v>
      </c>
      <c r="B11215" s="2" t="str">
        <f>IFERROR(__xludf.DUMMYFUNCTION("GOOGLETRANSLATE(A11215, ""en"", ""mt"")"),"Uħud mill-pettnijiet fil-kollezzjoni V &amp; A ta 'l-arti tal-Asja tax-Xlokk huma magħmula minn liema materjal?")</f>
        <v>Uħud mill-pettnijiet fil-kollezzjoni V &amp; A ta 'l-arti tal-Asja tax-Xlokk huma magħmula minn liema materjal?</v>
      </c>
    </row>
    <row r="11216" ht="15.75" customHeight="1">
      <c r="A11216" s="2" t="s">
        <v>11216</v>
      </c>
      <c r="B11216" s="2" t="str">
        <f>IFERROR(__xludf.DUMMYFUNCTION("GOOGLETRANSLATE(A11216, ""en"", ""mt"")"),"ossidi")</f>
        <v>ossidi</v>
      </c>
    </row>
    <row r="11217" ht="15.75" customHeight="1">
      <c r="A11217" s="2" t="s">
        <v>11217</v>
      </c>
      <c r="B11217" s="2" t="str">
        <f>IFERROR(__xludf.DUMMYFUNCTION("GOOGLETRANSLATE(A11217, ""en"", ""mt"")"),"X'periklu jissottovaluta l-IPCC?")</f>
        <v>X'periklu jissottovaluta l-IPCC?</v>
      </c>
    </row>
    <row r="11218" ht="15.75" customHeight="1">
      <c r="A11218" s="2" t="s">
        <v>11218</v>
      </c>
      <c r="B11218" s="2" t="str">
        <f>IFERROR(__xludf.DUMMYFUNCTION("GOOGLETRANSLATE(A11218, ""en"", ""mt"")"),"L-oqsma kompluti (jew lokali)")</f>
        <v>L-oqsma kompluti (jew lokali)</v>
      </c>
    </row>
    <row r="11219" ht="15.75" customHeight="1">
      <c r="A11219" s="2" t="s">
        <v>11219</v>
      </c>
      <c r="B11219" s="2" t="str">
        <f>IFERROR(__xludf.DUMMYFUNCTION("GOOGLETRANSLATE(A11219, ""en"", ""mt"")"),"Industrija u manifattura")</f>
        <v>Industrija u manifattura</v>
      </c>
    </row>
    <row r="11220" ht="15.75" customHeight="1">
      <c r="A11220" s="2" t="s">
        <v>11220</v>
      </c>
      <c r="B11220" s="2" t="str">
        <f>IFERROR(__xludf.DUMMYFUNCTION("GOOGLETRANSLATE(A11220, ""en"", ""mt"")"),"It-trattati japplikaw malli jidħlu fis-seħħ, sakemm ma jingħadx mod ieħor")</f>
        <v>It-trattati japplikaw malli jidħlu fis-seħħ, sakemm ma jingħadx mod ieħor</v>
      </c>
    </row>
    <row r="11221" ht="15.75" customHeight="1">
      <c r="A11221" s="2" t="s">
        <v>11221</v>
      </c>
      <c r="B11221" s="2" t="str">
        <f>IFERROR(__xludf.DUMMYFUNCTION("GOOGLETRANSLATE(A11221, ""en"", ""mt"")"),"Tesla tinqatel permezz ta 'xogħol żejjed")</f>
        <v>Tesla tinqatel permezz ta 'xogħol żejjed</v>
      </c>
    </row>
    <row r="11222" ht="15.75" customHeight="1">
      <c r="A11222" s="2" t="s">
        <v>11222</v>
      </c>
      <c r="B11222" s="2" t="str">
        <f>IFERROR(__xludf.DUMMYFUNCTION("GOOGLETRANSLATE(A11222, ""en"", ""mt"")"),"ideat")</f>
        <v>ideat</v>
      </c>
    </row>
    <row r="11223" ht="15.75" customHeight="1">
      <c r="A11223" s="2" t="s">
        <v>11223</v>
      </c>
      <c r="B11223" s="2" t="str">
        <f>IFERROR(__xludf.DUMMYFUNCTION("GOOGLETRANSLATE(A11223, ""en"", ""mt"")"),"X'inhuma frets?")</f>
        <v>X'inhuma frets?</v>
      </c>
    </row>
    <row r="11224" ht="15.75" customHeight="1">
      <c r="A11224" s="2" t="s">
        <v>11224</v>
      </c>
      <c r="B11224" s="2" t="str">
        <f>IFERROR(__xludf.DUMMYFUNCTION("GOOGLETRANSLATE(A11224, ""en"", ""mt"")"),"qbid tal-priża")</f>
        <v>qbid tal-priża</v>
      </c>
    </row>
    <row r="11225" ht="15.75" customHeight="1">
      <c r="A11225" s="2" t="s">
        <v>11225</v>
      </c>
      <c r="B11225" s="2" t="str">
        <f>IFERROR(__xludf.DUMMYFUNCTION("GOOGLETRANSLATE(A11225, ""en"", ""mt"")"),"Biex tespandi kontinwament l-investiment, ir-riżorsi materjali u l-ħaddiema")</f>
        <v>Biex tespandi kontinwament l-investiment, ir-riżorsi materjali u l-ħaddiema</v>
      </c>
    </row>
    <row r="11226" ht="15.75" customHeight="1">
      <c r="A11226" s="2" t="s">
        <v>11226</v>
      </c>
      <c r="B11226" s="2" t="str">
        <f>IFERROR(__xludf.DUMMYFUNCTION("GOOGLETRANSLATE(A11226, ""en"", ""mt"")"),"Min huma l-liġijiet tal-AID kontra l-importazzjoni ta 'mediċini mmirati?")</f>
        <v>Min huma l-liġijiet tal-AID kontra l-importazzjoni ta 'mediċini mmirati?</v>
      </c>
    </row>
    <row r="11227" ht="15.75" customHeight="1">
      <c r="A11227" s="2" t="s">
        <v>11227</v>
      </c>
      <c r="B11227" s="2" t="str">
        <f>IFERROR(__xludf.DUMMYFUNCTION("GOOGLETRANSLATE(A11227, ""en"", ""mt"")"),"Il-forzi tal-WHWN huma ngles it-tajba ma 'xulxin x'jistgħu jinqasmu?")</f>
        <v>Il-forzi tal-WHWN huma ngles it-tajba ma 'xulxin x'jistgħu jinqasmu?</v>
      </c>
    </row>
    <row r="11228" ht="15.75" customHeight="1">
      <c r="A11228" s="2" t="s">
        <v>11228</v>
      </c>
      <c r="B11228" s="2" t="str">
        <f>IFERROR(__xludf.DUMMYFUNCTION("GOOGLETRANSLATE(A11228, ""en"", ""mt"")"),"id-data")</f>
        <v>id-data</v>
      </c>
    </row>
    <row r="11229" ht="15.75" customHeight="1">
      <c r="A11229" s="2" t="s">
        <v>11229</v>
      </c>
      <c r="B11229" s="2" t="str">
        <f>IFERROR(__xludf.DUMMYFUNCTION("GOOGLETRANSLATE(A11229, ""en"", ""mt"")"),"Avvenimenti deformazzjonali")</f>
        <v>Avvenimenti deformazzjonali</v>
      </c>
    </row>
    <row r="11230" ht="15.75" customHeight="1">
      <c r="A11230" s="2" t="s">
        <v>11230</v>
      </c>
      <c r="B11230" s="2" t="str">
        <f>IFERROR(__xludf.DUMMYFUNCTION("GOOGLETRANSLATE(A11230, ""en"", ""mt"")"),"Numru ta 'atleti Kenjani biex jirrappreżentaw pajjiżi oħra")</f>
        <v>Numru ta 'atleti Kenjani biex jirrappreżentaw pajjiżi oħra</v>
      </c>
    </row>
    <row r="11231" ht="15.75" customHeight="1">
      <c r="A11231" s="2" t="s">
        <v>11231</v>
      </c>
      <c r="B11231" s="2" t="str">
        <f>IFERROR(__xludf.DUMMYFUNCTION("GOOGLETRANSLATE(A11231, ""en"", ""mt"")"),"Liema professjoni għandu Simon Kuznets?")</f>
        <v>Liema professjoni għandu Simon Kuznets?</v>
      </c>
    </row>
    <row r="11232" ht="15.75" customHeight="1">
      <c r="A11232" s="2" t="s">
        <v>11232</v>
      </c>
      <c r="B11232" s="2" t="str">
        <f>IFERROR(__xludf.DUMMYFUNCTION("GOOGLETRANSLATE(A11232, ""en"", ""mt"")"),"Bħala protesta")</f>
        <v>Bħala protesta</v>
      </c>
    </row>
    <row r="11233" ht="15.75" customHeight="1">
      <c r="A11233" s="2" t="s">
        <v>11233</v>
      </c>
      <c r="B11233" s="2" t="str">
        <f>IFERROR(__xludf.DUMMYFUNCTION("GOOGLETRANSLATE(A11233, ""en"", ""mt"")"),"Il-kriżi kellha impatt kbir fuq ir-relazzjonijiet internazzjonali u ħolqot qasma fi ħdan in-NATO. Xi nazzjonijiet Ewropej u l-Ġappun fittxew li jassoċjaw ruħhom mill-politika barranija tal-Istati Uniti fil-Lvant Nofsani biex jevitaw li jkunu mmirati mill-"&amp;"bojkott. Il-produtturi taż-żejt Għarbi marbuta ma 'kwalunkwe bidla fil-politika futura fil-paċi bejn il-belligerenti. Biex tindirizza dan, l-amministrazzjoni Nixon bdiet negozjati multilaterali mal-ġellieda. Huma rranġaw biex l-Iżrael jiġbed lura mill-Pen"&amp;"iżola tas-Sinaj u l-Golan Heights. Fit-18 ta 'Jannar, 1974, is-Segretarju tal-Istat Amerikan Henry Kissinger kien innegozja irtirar ta' truppi Iżraeljani minn partijiet tal-Peniżola tas-Sinaj. Il-wegħda ta 'ftehim innegozjat bejn l-Iżrael u s-Sirja kienet"&amp;" biżżejjed biex tikkonvinċi lill-produtturi taż-żejt Għarab biex jerfgħu l-embargo f'Marzu tal-1974.")</f>
        <v>Il-kriżi kellha impatt kbir fuq ir-relazzjonijiet internazzjonali u ħolqot qasma fi ħdan in-NATO. Xi nazzjonijiet Ewropej u l-Ġappun fittxew li jassoċjaw ruħhom mill-politika barranija tal-Istati Uniti fil-Lvant Nofsani biex jevitaw li jkunu mmirati mill-bojkott. Il-produtturi taż-żejt Għarbi marbuta ma 'kwalunkwe bidla fil-politika futura fil-paċi bejn il-belligerenti. Biex tindirizza dan, l-amministrazzjoni Nixon bdiet negozjati multilaterali mal-ġellieda. Huma rranġaw biex l-Iżrael jiġbed lura mill-Peniżola tas-Sinaj u l-Golan Heights. Fit-18 ta 'Jannar, 1974, is-Segretarju tal-Istat Amerikan Henry Kissinger kien innegozja irtirar ta' truppi Iżraeljani minn partijiet tal-Peniżola tas-Sinaj. Il-wegħda ta 'ftehim innegozjat bejn l-Iżrael u s-Sirja kienet biżżejjed biex tikkonvinċi lill-produtturi taż-żejt Għarab biex jerfgħu l-embargo f'Marzu tal-1974.</v>
      </c>
    </row>
    <row r="11234" ht="15.75" customHeight="1">
      <c r="A11234" s="2" t="s">
        <v>11234</v>
      </c>
      <c r="B11234" s="2" t="str">
        <f>IFERROR(__xludf.DUMMYFUNCTION("GOOGLETRANSLATE(A11234, ""en"", ""mt"")"),"Wirja kbira")</f>
        <v>Wirja kbira</v>
      </c>
    </row>
    <row r="11235" ht="15.75" customHeight="1">
      <c r="A11235" s="2" t="s">
        <v>11235</v>
      </c>
      <c r="B11235" s="2" t="str">
        <f>IFERROR(__xludf.DUMMYFUNCTION("GOOGLETRANSLATE(A11235, ""en"", ""mt"")"),"ippropona li jibni netwerk nazzjonali fir-Renju Unit")</f>
        <v>ippropona li jibni netwerk nazzjonali fir-Renju Unit</v>
      </c>
    </row>
    <row r="11236" ht="15.75" customHeight="1">
      <c r="A11236" s="2" t="s">
        <v>11236</v>
      </c>
      <c r="B11236" s="2" t="str">
        <f>IFERROR(__xludf.DUMMYFUNCTION("GOOGLETRANSLATE(A11236, ""en"", ""mt"")"),"Matul in-nofs Eocene")</f>
        <v>Matul in-nofs Eocene</v>
      </c>
    </row>
    <row r="11237" ht="15.75" customHeight="1">
      <c r="A11237" s="2" t="s">
        <v>11237</v>
      </c>
      <c r="B11237" s="2" t="str">
        <f>IFERROR(__xludf.DUMMYFUNCTION("GOOGLETRANSLATE(A11237, ""en"", ""mt"")"),"Tank tal-ossiġnu likwidu sploda, billi tiddiżattiva l-modulu tas-servizz")</f>
        <v>Tank tal-ossiġnu likwidu sploda, billi tiddiżattiva l-modulu tas-servizz</v>
      </c>
    </row>
    <row r="11238" ht="15.75" customHeight="1">
      <c r="A11238" s="2" t="s">
        <v>11238</v>
      </c>
      <c r="B11238" s="2" t="str">
        <f>IFERROR(__xludf.DUMMYFUNCTION("GOOGLETRANSLATE(A11238, ""en"", ""mt"")"),"Għodda tax-Xitan,")</f>
        <v>Għodda tax-Xitan,</v>
      </c>
    </row>
    <row r="11239" ht="15.75" customHeight="1">
      <c r="A11239" s="2" t="s">
        <v>11239</v>
      </c>
      <c r="B11239" s="2" t="str">
        <f>IFERROR(__xludf.DUMMYFUNCTION("GOOGLETRANSLATE(A11239, ""en"", ""mt"")"),"430 QK")</f>
        <v>430 QK</v>
      </c>
    </row>
    <row r="11240" ht="15.75" customHeight="1">
      <c r="A11240" s="2" t="s">
        <v>11240</v>
      </c>
      <c r="B11240" s="2" t="str">
        <f>IFERROR(__xludf.DUMMYFUNCTION("GOOGLETRANSLATE(A11240, ""en"", ""mt"")"),"Liema tliet affarijiet huma meħtieġa biex isseħħ il-kostruzzjoni?")</f>
        <v>Liema tliet affarijiet huma meħtieġa biex isseħħ il-kostruzzjoni?</v>
      </c>
    </row>
    <row r="11241" ht="15.75" customHeight="1">
      <c r="A11241" s="2" t="s">
        <v>11241</v>
      </c>
      <c r="B11241" s="2" t="str">
        <f>IFERROR(__xludf.DUMMYFUNCTION("GOOGLETRANSLATE(A11241, ""en"", ""mt"")"),"Aġenziji mhux governattivi")</f>
        <v>Aġenziji mhux governattivi</v>
      </c>
    </row>
    <row r="11242" ht="15.75" customHeight="1">
      <c r="A11242" s="2" t="s">
        <v>11242</v>
      </c>
      <c r="B11242" s="2" t="str">
        <f>IFERROR(__xludf.DUMMYFUNCTION("GOOGLETRANSLATE(A11242, ""en"", ""mt"")"),"Min ħa t-triq tal-vjolenza?")</f>
        <v>Min ħa t-triq tal-vjolenza?</v>
      </c>
    </row>
    <row r="11243" ht="15.75" customHeight="1">
      <c r="A11243" s="2" t="s">
        <v>11243</v>
      </c>
      <c r="B11243" s="2" t="str">
        <f>IFERROR(__xludf.DUMMYFUNCTION("GOOGLETRANSLATE(A11243, ""en"", ""mt"")"),"It-Tieni Gwerra Dinjija")</f>
        <v>It-Tieni Gwerra Dinjija</v>
      </c>
    </row>
    <row r="11244" ht="15.75" customHeight="1">
      <c r="A11244" s="2" t="s">
        <v>11244</v>
      </c>
      <c r="B11244" s="2" t="str">
        <f>IFERROR(__xludf.DUMMYFUNCTION("GOOGLETRANSLATE(A11244, ""en"", ""mt"")"),"Il-familji ta 'l-aħwa jkomplu fil-minjieri tar-ram ta' missierhom Hans Luther")</f>
        <v>Il-familji ta 'l-aħwa jkomplu fil-minjieri tar-ram ta' missierhom Hans Luther</v>
      </c>
    </row>
    <row r="11245" ht="15.75" customHeight="1">
      <c r="A11245" s="2" t="s">
        <v>11245</v>
      </c>
      <c r="B11245" s="2" t="str">
        <f>IFERROR(__xludf.DUMMYFUNCTION("GOOGLETRANSLATE(A11245, ""en"", ""mt"")"),"Bijokimiku")</f>
        <v>Bijokimiku</v>
      </c>
    </row>
    <row r="11246" ht="15.75" customHeight="1">
      <c r="A11246" s="2" t="s">
        <v>11246</v>
      </c>
      <c r="B11246" s="2" t="str">
        <f>IFERROR(__xludf.DUMMYFUNCTION("GOOGLETRANSLATE(A11246, ""en"", ""mt"")"),"elju")</f>
        <v>elju</v>
      </c>
    </row>
    <row r="11247" ht="15.75" customHeight="1">
      <c r="A11247" s="2" t="s">
        <v>11247</v>
      </c>
      <c r="B11247" s="2" t="str">
        <f>IFERROR(__xludf.DUMMYFUNCTION("GOOGLETRANSLATE(A11247, ""en"", ""mt"")"),"2.45 a.m.")</f>
        <v>2.45 a.m.</v>
      </c>
    </row>
    <row r="11248" ht="15.75" customHeight="1">
      <c r="A11248" s="2" t="s">
        <v>11248</v>
      </c>
      <c r="B11248" s="2" t="str">
        <f>IFERROR(__xludf.DUMMYFUNCTION("GOOGLETRANSLATE(A11248, ""en"", ""mt"")"),"Li żviluppa l-istess teknoloġija bħal baran")</f>
        <v>Li żviluppa l-istess teknoloġija bħal baran</v>
      </c>
    </row>
    <row r="11249" ht="15.75" customHeight="1">
      <c r="A11249" s="2" t="s">
        <v>11249</v>
      </c>
      <c r="B11249" s="2" t="str">
        <f>IFERROR(__xludf.DUMMYFUNCTION("GOOGLETRANSLATE(A11249, ""en"", ""mt"")"),"Dan jgħodd ukoll matul il-biċċa l-kbira tal-Istati Uniti. Madankollu, jeżistu approċċi alternattivi għall-edukazzjoni primarja. Waħda minn dawn, xi kultant imsejħa bħala sistema ta '""platoon"", tinvolvi li tpoġġi grupp ta' studenti flimkien fi klassi waħ"&amp;"da li timxi minn speċjalista għal ieħor għal kull suġġett. Il-vantaġġ hawnhekk huwa li l-istudenti jitgħallmu minn għalliema li jispeċjalizzaw f'suġġett wieħed u li għandhom it-tendenza li jkunu aktar infurmati f'dak il-qasam minn għalliem li jgħallem ħaf"&amp;"na suġġetti. L-istudenti għadhom jiksbu sens qawwi ta 'sigurtà billi joqogħdu mal-istess grupp ta' sħabhom għall-klassijiet kollha.")</f>
        <v>Dan jgħodd ukoll matul il-biċċa l-kbira tal-Istati Uniti. Madankollu, jeżistu approċċi alternattivi għall-edukazzjoni primarja. Waħda minn dawn, xi kultant imsejħa bħala sistema ta '"platoon", tinvolvi li tpoġġi grupp ta' studenti flimkien fi klassi waħda li timxi minn speċjalista għal ieħor għal kull suġġett. Il-vantaġġ hawnhekk huwa li l-istudenti jitgħallmu minn għalliema li jispeċjalizzaw f'suġġett wieħed u li għandhom it-tendenza li jkunu aktar infurmati f'dak il-qasam minn għalliem li jgħallem ħafna suġġetti. L-istudenti għadhom jiksbu sens qawwi ta 'sigurtà billi joqogħdu mal-istess grupp ta' sħabhom għall-klassijiet kollha.</v>
      </c>
    </row>
    <row r="11250" ht="15.75" customHeight="1">
      <c r="A11250" s="2" t="s">
        <v>11250</v>
      </c>
      <c r="B11250" s="2" t="str">
        <f>IFERROR(__xludf.DUMMYFUNCTION("GOOGLETRANSLATE(A11250, ""en"", ""mt"")"),"Meta bdiet il-Gwerra Ċivili Sirjana?")</f>
        <v>Meta bdiet il-Gwerra Ċivili Sirjana?</v>
      </c>
    </row>
    <row r="11251" ht="15.75" customHeight="1">
      <c r="A11251" s="2" t="s">
        <v>11251</v>
      </c>
      <c r="B11251" s="2" t="str">
        <f>IFERROR(__xludf.DUMMYFUNCTION("GOOGLETRANSLATE(A11251, ""en"", ""mt"")"),"X'tip ta 'numeral uża l-aħħar Super Bowl biex jinnomina n-numru tal-logħob?")</f>
        <v>X'tip ta 'numeral uża l-aħħar Super Bowl biex jinnomina n-numru tal-logħob?</v>
      </c>
    </row>
    <row r="11252" ht="15.75" customHeight="1">
      <c r="A11252" s="2" t="s">
        <v>11252</v>
      </c>
      <c r="B11252" s="2" t="str">
        <f>IFERROR(__xludf.DUMMYFUNCTION("GOOGLETRANSLATE(A11252, ""en"", ""mt"")"),"L-għan huwa tipikament imwettaq permezz ta 'approċċ informali jew formali għat-tagħlim, inkluż kors ta' studju u pjan ta 'lezzjoni li jgħallem ħiliet, għarfien u / jew ħiliet ta' ħsieb. Modi differenti biex tgħallem huma spiss imsejħa pedagoġija. Meta tid"&amp;"deċiedi liema metodu ta 'tagħlim biex tuża l-għalliema jikkunsidraw l-għarfien ta' l-isfond, l-ambjent u l-għanijiet ta 'tagħlim tagħhom kif ukoll kurrikuli standardizzati kif determinat mill-awtorità rilevanti. Ħafna drabi, l-għalliema jgħinu fit-tagħlim"&amp;" barra l-klassi billi jakkumpanjaw lill-istudenti fuq vjaġġi fuq il-post. L-użu dejjem jiżdied tat-teknoloġija, speċifikament iż-żieda tal-internet matul l-aħħar għaxar snin, beda jsawwar il-mod kif l-għalliema javviċinaw ir-rwoli tagħhom fil-klassi.")</f>
        <v>L-għan huwa tipikament imwettaq permezz ta 'approċċ informali jew formali għat-tagħlim, inkluż kors ta' studju u pjan ta 'lezzjoni li jgħallem ħiliet, għarfien u / jew ħiliet ta' ħsieb. Modi differenti biex tgħallem huma spiss imsejħa pedagoġija. Meta tiddeċiedi liema metodu ta 'tagħlim biex tuża l-għalliema jikkunsidraw l-għarfien ta' l-isfond, l-ambjent u l-għanijiet ta 'tagħlim tagħhom kif ukoll kurrikuli standardizzati kif determinat mill-awtorità rilevanti. Ħafna drabi, l-għalliema jgħinu fit-tagħlim barra l-klassi billi jakkumpanjaw lill-istudenti fuq vjaġġi fuq il-post. L-użu dejjem jiżdied tat-teknoloġija, speċifikament iż-żieda tal-internet matul l-aħħar għaxar snin, beda jsawwar il-mod kif l-għalliema javviċinaw ir-rwoli tagħhom fil-klassi.</v>
      </c>
    </row>
    <row r="11253" ht="15.75" customHeight="1">
      <c r="A11253" s="2" t="s">
        <v>11253</v>
      </c>
      <c r="B11253" s="2" t="str">
        <f>IFERROR(__xludf.DUMMYFUNCTION("GOOGLETRANSLATE(A11253, ""en"", ""mt"")"),"&gt; 500 da")</f>
        <v>&gt; 500 da</v>
      </c>
    </row>
    <row r="11254" ht="15.75" customHeight="1">
      <c r="A11254" s="2" t="s">
        <v>11254</v>
      </c>
      <c r="B11254" s="2" t="str">
        <f>IFERROR(__xludf.DUMMYFUNCTION("GOOGLETRANSLATE(A11254, ""en"", ""mt"")"),"Mill-inqas kors avvanzat kull tliet snin")</f>
        <v>Mill-inqas kors avvanzat kull tliet snin</v>
      </c>
    </row>
    <row r="11255" ht="15.75" customHeight="1">
      <c r="A11255" s="2" t="s">
        <v>11255</v>
      </c>
      <c r="B11255" s="2" t="str">
        <f>IFERROR(__xludf.DUMMYFUNCTION("GOOGLETRANSLATE(A11255, ""en"", ""mt"")"),"okkorrenza")</f>
        <v>okkorrenza</v>
      </c>
    </row>
    <row r="11256" ht="15.75" customHeight="1">
      <c r="A11256" s="2" t="s">
        <v>11256</v>
      </c>
      <c r="B11256" s="2" t="str">
        <f>IFERROR(__xludf.DUMMYFUNCTION("GOOGLETRANSLATE(A11256, ""en"", ""mt"")"),"Fejn Kublai bena l-qawwa tal-amministrazzjoni tiegħu?")</f>
        <v>Fejn Kublai bena l-qawwa tal-amministrazzjoni tiegħu?</v>
      </c>
    </row>
    <row r="11257" ht="15.75" customHeight="1">
      <c r="A11257" s="2" t="s">
        <v>11257</v>
      </c>
      <c r="B11257" s="2" t="str">
        <f>IFERROR(__xludf.DUMMYFUNCTION("GOOGLETRANSLATE(A11257, ""en"", ""mt"")"),"Liema dinastiji ispiraw l-elementi bħal Ċiniżi tal-gvern ta 'Kublai?")</f>
        <v>Liema dinastiji ispiraw l-elementi bħal Ċiniżi tal-gvern ta 'Kublai?</v>
      </c>
    </row>
    <row r="11258" ht="15.75" customHeight="1">
      <c r="A11258" s="2" t="s">
        <v>11258</v>
      </c>
      <c r="B11258" s="2" t="str">
        <f>IFERROR(__xludf.DUMMYFUNCTION("GOOGLETRANSLATE(A11258, ""en"", ""mt"")"),"Kurunell Monckton")</f>
        <v>Kurunell Monckton</v>
      </c>
    </row>
    <row r="11259" ht="15.75" customHeight="1">
      <c r="A11259" s="2" t="s">
        <v>11259</v>
      </c>
      <c r="B11259" s="2" t="str">
        <f>IFERROR(__xludf.DUMMYFUNCTION("GOOGLETRANSLATE(A11259, ""en"", ""mt"")"),"X'inhu l-korp ġudizzjarju ewlieni tal-UE?")</f>
        <v>X'inhu l-korp ġudizzjarju ewlieni tal-UE?</v>
      </c>
    </row>
    <row r="11260" ht="15.75" customHeight="1">
      <c r="A11260" s="2" t="s">
        <v>11260</v>
      </c>
      <c r="B11260" s="2" t="str">
        <f>IFERROR(__xludf.DUMMYFUNCTION("GOOGLETRANSLATE(A11260, ""en"", ""mt"")"),"X’naqsmu fl-għadd bejn l-1984 u l-1991?")</f>
        <v>X’naqsmu fl-għadd bejn l-1984 u l-1991?</v>
      </c>
    </row>
    <row r="11261" ht="15.75" customHeight="1">
      <c r="A11261" s="2" t="s">
        <v>11261</v>
      </c>
      <c r="B11261" s="2" t="str">
        <f>IFERROR(__xludf.DUMMYFUNCTION("GOOGLETRANSLATE(A11261, ""en"", ""mt"")"),"F'liema parti ta 'l-Istati Uniti ħafna studenti jemigraw lejn akkademji Kristjani matul il-perjodu ta' desegregazzjoni?")</f>
        <v>F'liema parti ta 'l-Istati Uniti ħafna studenti jemigraw lejn akkademji Kristjani matul il-perjodu ta' desegregazzjoni?</v>
      </c>
    </row>
    <row r="11262" ht="15.75" customHeight="1">
      <c r="A11262" s="2" t="s">
        <v>11262</v>
      </c>
      <c r="B11262" s="2" t="str">
        <f>IFERROR(__xludf.DUMMYFUNCTION("GOOGLETRANSLATE(A11262, ""en"", ""mt"")"),"Deċiżjonijiet bejn il-laqgħat ta 'erba' snin jittieħdu mill-Kunsill tal-Missjoni (ġeneralment jikkonsistu minn isqfijiet tal-knisja). Waħda mill-aktar deċiżjonijiet ta 'profil għoli f'dawn l-aħħar snin minn wieħed mill-kunsilli kienet deċiżjoni mill-Kunsi"&amp;"ll tal-Missjoni tal-Ġurisdizzjoni Ċentrali tan-Nofsinhar li f'Marzu 2007 approva kirja ta '99 sena ta' 36 acres (150,000 m2) fl-Università Metodista tan-Nofsinhar Librerija Presidenzjali George W. Bush. Id-deċiżjoni ġġenerat kontroversja fid-dawl tal-appo"&amp;"ġġ ta ’Bush għall-gwerra tal-Iraq li l-isqfijiet tal-knisja kkritikaw. Dibattitu dwar jekk id-deċiżjoni għandhiex jew tista 'tiġi sottomessa għall-approvazzjoni mill-Konferenza Ġurisdizzjonali tan-Nofsinhar fil-laqgħa tagħha f'Lulju 2008 f'Dallas, Texas, "&amp;"għadu mhux solvut.")</f>
        <v>Deċiżjonijiet bejn il-laqgħat ta 'erba' snin jittieħdu mill-Kunsill tal-Missjoni (ġeneralment jikkonsistu minn isqfijiet tal-knisja). Waħda mill-aktar deċiżjonijiet ta 'profil għoli f'dawn l-aħħar snin minn wieħed mill-kunsilli kienet deċiżjoni mill-Kunsill tal-Missjoni tal-Ġurisdizzjoni Ċentrali tan-Nofsinhar li f'Marzu 2007 approva kirja ta '99 sena ta' 36 acres (150,000 m2) fl-Università Metodista tan-Nofsinhar Librerija Presidenzjali George W. Bush. Id-deċiżjoni ġġenerat kontroversja fid-dawl tal-appoġġ ta ’Bush għall-gwerra tal-Iraq li l-isqfijiet tal-knisja kkritikaw. Dibattitu dwar jekk id-deċiżjoni għandhiex jew tista 'tiġi sottomessa għall-approvazzjoni mill-Konferenza Ġurisdizzjonali tan-Nofsinhar fil-laqgħa tagħha f'Lulju 2008 f'Dallas, Texas, għadu mhux solvut.</v>
      </c>
    </row>
    <row r="11263" ht="15.75" customHeight="1">
      <c r="A11263" s="2" t="s">
        <v>11263</v>
      </c>
      <c r="B11263" s="2" t="str">
        <f>IFERROR(__xludf.DUMMYFUNCTION("GOOGLETRANSLATE(A11263, ""en"", ""mt"")"),"Kemm kien sinifikanti t-trasferiment tal-mard permezz tal-briegħed?")</f>
        <v>Kemm kien sinifikanti t-trasferiment tal-mard permezz tal-briegħed?</v>
      </c>
    </row>
    <row r="11264" ht="15.75" customHeight="1">
      <c r="A11264" s="2" t="s">
        <v>11264</v>
      </c>
      <c r="B11264" s="2" t="str">
        <f>IFERROR(__xludf.DUMMYFUNCTION("GOOGLETRANSLATE(A11264, ""en"", ""mt"")"),"Amministrazzjoni tal-Iskola tas-Servizz Soċjali")</f>
        <v>Amministrazzjoni tal-Iskola tas-Servizz Soċjali</v>
      </c>
    </row>
    <row r="11265" ht="15.75" customHeight="1">
      <c r="A11265" s="2" t="s">
        <v>11265</v>
      </c>
      <c r="B11265" s="2" t="str">
        <f>IFERROR(__xludf.DUMMYFUNCTION("GOOGLETRANSLATE(A11265, ""en"", ""mt"")"),"Sitt ħarġiet ta 'soundtrack ġew rilaxxati mill-2005. L-ewwel binarji dehru mill-ewwel żewġ serje, it-tieni u t-tielet mużika dehru mit-tielet u r-raba' serje rispettivament. Ir-raba 'ġie rilaxxat fl-4 ta' Ottubru 2010 bħala edizzjoni speċjali b'żewġ diska"&amp;" u kien fih mużika mill-ispeċjalitajiet 2008-2010 (it-tabib li jmiss sa tmiem il-ħin Parti 2). Is-soundtrack għas-Serje 5 ġiet rilaxxata fit-8 ta 'Novembru 2010. Fi Frar 2011, soundtrack ġiet rilaxxata għall-2010 tal-Milied Speċjali: ""A Christmas Carol"""&amp;", u f'Diċembru 2011 ġiet rilaxxata s-soundtrack għas-serje 6, it-tnejn minn Silva Screen Records.")</f>
        <v>Sitt ħarġiet ta 'soundtrack ġew rilaxxati mill-2005. L-ewwel binarji dehru mill-ewwel żewġ serje, it-tieni u t-tielet mużika dehru mit-tielet u r-raba' serje rispettivament. Ir-raba 'ġie rilaxxat fl-4 ta' Ottubru 2010 bħala edizzjoni speċjali b'żewġ diska u kien fih mużika mill-ispeċjalitajiet 2008-2010 (it-tabib li jmiss sa tmiem il-ħin Parti 2). Is-soundtrack għas-Serje 5 ġiet rilaxxata fit-8 ta 'Novembru 2010. Fi Frar 2011, soundtrack ġiet rilaxxata għall-2010 tal-Milied Speċjali: "A Christmas Carol", u f'Diċembru 2011 ġiet rilaxxata s-soundtrack għas-serje 6, it-tnejn minn Silva Screen Records.</v>
      </c>
    </row>
    <row r="11266" ht="15.75" customHeight="1">
      <c r="A11266" s="2" t="s">
        <v>11266</v>
      </c>
      <c r="B11266" s="2" t="str">
        <f>IFERROR(__xludf.DUMMYFUNCTION("GOOGLETRANSLATE(A11266, ""en"", ""mt"")"),"Proporzjonali b'ħafna membri")</f>
        <v>Proporzjonali b'ħafna membri</v>
      </c>
    </row>
    <row r="11267" ht="15.75" customHeight="1">
      <c r="A11267" s="2" t="s">
        <v>11267</v>
      </c>
      <c r="B11267" s="2" t="str">
        <f>IFERROR(__xludf.DUMMYFUNCTION("GOOGLETRANSLATE(A11267, ""en"", ""mt"")"),"komunità usa '")</f>
        <v>komunità usa '</v>
      </c>
    </row>
    <row r="11268" ht="15.75" customHeight="1">
      <c r="A11268" s="2" t="s">
        <v>11268</v>
      </c>
      <c r="B11268" s="2" t="str">
        <f>IFERROR(__xludf.DUMMYFUNCTION("GOOGLETRANSLATE(A11268, ""en"", ""mt"")"),"Fejn mar l-iskola Martin Luther?")</f>
        <v>Fejn mar l-iskola Martin Luther?</v>
      </c>
    </row>
    <row r="11269" ht="15.75" customHeight="1">
      <c r="A11269" s="2" t="s">
        <v>11269</v>
      </c>
      <c r="B11269" s="2" t="str">
        <f>IFERROR(__xludf.DUMMYFUNCTION("GOOGLETRANSLATE(A11269, ""en"", ""mt"")"),"f'konformità")</f>
        <v>f'konformità</v>
      </c>
    </row>
    <row r="11270" ht="15.75" customHeight="1">
      <c r="A11270" s="2" t="s">
        <v>11270</v>
      </c>
      <c r="B11270" s="2" t="str">
        <f>IFERROR(__xludf.DUMMYFUNCTION("GOOGLETRANSLATE(A11270, ""en"", ""mt"")"),"il-ħbiberija tiegħu")</f>
        <v>il-ħbiberija tiegħu</v>
      </c>
    </row>
    <row r="11271" ht="15.75" customHeight="1">
      <c r="A11271" s="2" t="s">
        <v>11271</v>
      </c>
      <c r="B11271" s="2" t="str">
        <f>IFERROR(__xludf.DUMMYFUNCTION("GOOGLETRANSLATE(A11271, ""en"", ""mt"")"),"47 ° 39′N 9 ° 19′E / 47.650 ° N 9.317 ° E / 47.650; 9.317")</f>
        <v>47 ° 39′N 9 ° 19′E / 47.650 ° N 9.317 ° E / 47.650; 9.317</v>
      </c>
    </row>
    <row r="11272" ht="15.75" customHeight="1">
      <c r="A11272" s="2" t="s">
        <v>11272</v>
      </c>
      <c r="B11272" s="2" t="str">
        <f>IFERROR(__xludf.DUMMYFUNCTION("GOOGLETRANSLATE(A11272, ""en"", ""mt"")"),"Fejn jinstab l-ossiġnu ħieles?")</f>
        <v>Fejn jinstab l-ossiġnu ħieles?</v>
      </c>
    </row>
    <row r="11273" ht="15.75" customHeight="1">
      <c r="A11273" s="2" t="s">
        <v>11273</v>
      </c>
      <c r="B11273" s="2" t="str">
        <f>IFERROR(__xludf.DUMMYFUNCTION("GOOGLETRANSLATE(A11273, ""en"", ""mt"")"),"mistoqsijiet u tweġibiet")</f>
        <v>mistoqsijiet u tweġibiet</v>
      </c>
    </row>
    <row r="11274" ht="15.75" customHeight="1">
      <c r="A11274" s="2" t="s">
        <v>11274</v>
      </c>
      <c r="B11274" s="2" t="str">
        <f>IFERROR(__xludf.DUMMYFUNCTION("GOOGLETRANSLATE(A11274, ""en"", ""mt"")"),"Liema post ospita Super Bowl tal-ftuħ tal-lejl?")</f>
        <v>Liema post ospita Super Bowl tal-ftuħ tal-lejl?</v>
      </c>
    </row>
    <row r="11275" ht="15.75" customHeight="1">
      <c r="A11275" s="2" t="s">
        <v>11275</v>
      </c>
      <c r="B11275" s="2" t="str">
        <f>IFERROR(__xludf.DUMMYFUNCTION("GOOGLETRANSLATE(A11275, ""en"", ""mt"")"),"X'tip ta 'swieq serva l-aħmar NBC?")</f>
        <v>X'tip ta 'swieq serva l-aħmar NBC?</v>
      </c>
    </row>
    <row r="11276" ht="15.75" customHeight="1">
      <c r="A11276" s="2" t="s">
        <v>11276</v>
      </c>
      <c r="B11276" s="2" t="str">
        <f>IFERROR(__xludf.DUMMYFUNCTION("GOOGLETRANSLATE(A11276, ""en"", ""mt"")"),"derivat mill-alka ħamra")</f>
        <v>derivat mill-alka ħamra</v>
      </c>
    </row>
    <row r="11277" ht="15.75" customHeight="1">
      <c r="A11277" s="2" t="s">
        <v>11277</v>
      </c>
      <c r="B11277" s="2" t="str">
        <f>IFERROR(__xludf.DUMMYFUNCTION("GOOGLETRANSLATE(A11277, ""en"", ""mt"")"),"suq")</f>
        <v>suq</v>
      </c>
    </row>
    <row r="11278" ht="15.75" customHeight="1">
      <c r="A11278" s="2" t="s">
        <v>11278</v>
      </c>
      <c r="B11278" s="2" t="str">
        <f>IFERROR(__xludf.DUMMYFUNCTION("GOOGLETRANSLATE(A11278, ""en"", ""mt"")"),"Liema ex-bini bħalissa huwa magħruf bħala Grand 1401?")</f>
        <v>Liema ex-bini bħalissa huwa magħruf bħala Grand 1401?</v>
      </c>
    </row>
    <row r="11279" ht="15.75" customHeight="1">
      <c r="A11279" s="2" t="s">
        <v>11279</v>
      </c>
      <c r="B11279" s="2" t="str">
        <f>IFERROR(__xludf.DUMMYFUNCTION("GOOGLETRANSLATE(A11279, ""en"", ""mt"")"),"Flotta Ġdida ta 'Ferroviji")</f>
        <v>Flotta Ġdida ta 'Ferroviji</v>
      </c>
    </row>
    <row r="11280" ht="15.75" customHeight="1">
      <c r="A11280" s="2" t="s">
        <v>11280</v>
      </c>
      <c r="B11280" s="2" t="str">
        <f>IFERROR(__xludf.DUMMYFUNCTION("GOOGLETRANSLATE(A11280, ""en"", ""mt"")"),"Kemm se jdum l-avveniment fiċ-Ċentru tal-Konvenzjoni ta 'Santa Clara?")</f>
        <v>Kemm se jdum l-avveniment fiċ-Ċentru tal-Konvenzjoni ta 'Santa Clara?</v>
      </c>
    </row>
    <row r="11281" ht="15.75" customHeight="1">
      <c r="A11281" s="2" t="s">
        <v>11281</v>
      </c>
      <c r="B11281" s="2" t="str">
        <f>IFERROR(__xludf.DUMMYFUNCTION("GOOGLETRANSLATE(A11281, ""en"", ""mt"")"),"Kif ġiet immaniġġjata r-reliġjon fl-imperu Mongoljan?")</f>
        <v>Kif ġiet immaniġġjata r-reliġjon fl-imperu Mongoljan?</v>
      </c>
    </row>
    <row r="11282" ht="15.75" customHeight="1">
      <c r="A11282" s="2" t="s">
        <v>11282</v>
      </c>
      <c r="B11282" s="2" t="str">
        <f>IFERROR(__xludf.DUMMYFUNCTION("GOOGLETRANSLATE(A11282, ""en"", ""mt"")"),"Għalkemm l-Unjoni Ewropea m'għandhiex kostituzzjoni kodifikata, bħal kull korp politiku li għandu liġijiet li ""jikkostitwixxu"" l-istruttura bażika ta 'governanza tagħha. Is-sorsi kostituzzjonali primarji tal-UE huma t-Trattat dwar l-Unjoni Ewropea (TEU)"&amp;" u t-Trattat dwar il-Funzjonament tal-Unjoni Ewropea (TFEU), li ġew miftehma jew osservati fost il-gvernijiet tat-28 stat membru kollha. It-trattati jistabbilixxu l-istituzzjonijiet tal-UE, jelenkaw is-setgħat u r-responsabbiltajiet tagħhom, u jispjegaw l"&amp;"-oqsma li fihom l-UE tista 'tilleġiżla b'direttivi jew regolamenti. Il-Kummissjoni Ewropea għandha l-inizjattiva li tipproponi leġislazzjoni. Matul il-proċedura leġiżlattiva ordinarja, il-Kunsill (li huma ministri mill-gvernijiet tal-Istat Membru) u l-Par"&amp;"lament Ewropew (elett miċ-ċittadini) jista 'jagħmel emendi u għandu jagħti l-kunsens tagħhom għal-liġijiet li jgħaddu. Il-Kummissjoni tissorvelja d-dipartimenti u diversi aġenziji li jeżegwixxu jew jinfurzaw il-liġi tal-UE. Il- ""Kunsill Ewropew"" (minflo"&amp;"k il-Kunsill, magħmul minn ministri tal-gvern differenti) huwa magħmul mill-Prim Ministri jew il-Presidenti Eżekuttivi tal-Istati Membri. Huwa jaħtar il-Kummissarji u l-Bord tal-Bank Ċentrali Ewropew. Il-Qorti Ewropea tal-Ġustizzja hija l-korp ġudizzjarju"&amp;" suprem li jinterpreta l-liġi tal-UE, u jiżviluppaha permezz ta 'preċedent. Il-qorti tista 'tirrevedi l-legalità tal-azzjonijiet tal-istituzzjonijiet tal-UE, b'konformità mat-trattati. Jista 'jiddeċiedi wkoll dwar talbiet għal ksur tal-liġijiet tal-UE mil"&amp;"l-istati membri u ċ-ċittadini.")</f>
        <v>Għalkemm l-Unjoni Ewropea m'għandhiex kostituzzjoni kodifikata, bħal kull korp politiku li għandu liġijiet li "jikkostitwixxu" l-istruttura bażika ta 'governanza tagħha. Is-sorsi kostituzzjonali primarji tal-UE huma t-Trattat dwar l-Unjoni Ewropea (TEU) u t-Trattat dwar il-Funzjonament tal-Unjoni Ewropea (TFEU), li ġew miftehma jew osservati fost il-gvernijiet tat-28 stat membru kollha. It-trattati jistabbilixxu l-istituzzjonijiet tal-UE, jelenkaw is-setgħat u r-responsabbiltajiet tagħhom, u jispjegaw l-oqsma li fihom l-UE tista 'tilleġiżla b'direttivi jew regolamenti. Il-Kummissjoni Ewropea għandha l-inizjattiva li tipproponi leġislazzjoni. Matul il-proċedura leġiżlattiva ordinarja, il-Kunsill (li huma ministri mill-gvernijiet tal-Istat Membru) u l-Parlament Ewropew (elett miċ-ċittadini) jista 'jagħmel emendi u għandu jagħti l-kunsens tagħhom għal-liġijiet li jgħaddu. Il-Kummissjoni tissorvelja d-dipartimenti u diversi aġenziji li jeżegwixxu jew jinfurzaw il-liġi tal-UE. Il- "Kunsill Ewropew" (minflok il-Kunsill, magħmul minn ministri tal-gvern differenti) huwa magħmul mill-Prim Ministri jew il-Presidenti Eżekuttivi tal-Istati Membri. Huwa jaħtar il-Kummissarji u l-Bord tal-Bank Ċentrali Ewropew. Il-Qorti Ewropea tal-Ġustizzja hija l-korp ġudizzjarju suprem li jinterpreta l-liġi tal-UE, u jiżviluppaha permezz ta 'preċedent. Il-qorti tista 'tirrevedi l-legalità tal-azzjonijiet tal-istituzzjonijiet tal-UE, b'konformità mat-trattati. Jista 'jiddeċiedi wkoll dwar talbiet għal ksur tal-liġijiet tal-UE mill-istati membri u ċ-ċittadini.</v>
      </c>
    </row>
    <row r="11283" ht="15.75" customHeight="1">
      <c r="A11283" s="2" t="s">
        <v>11283</v>
      </c>
      <c r="B11283" s="2" t="str">
        <f>IFERROR(__xludf.DUMMYFUNCTION("GOOGLETRANSLATE(A11283, ""en"", ""mt"")"),"Algoritmi ta 'ħin esponenzjali")</f>
        <v>Algoritmi ta 'ħin esponenzjali</v>
      </c>
    </row>
    <row r="11284" ht="15.75" customHeight="1">
      <c r="A11284" s="2" t="s">
        <v>11284</v>
      </c>
      <c r="B11284" s="2" t="str">
        <f>IFERROR(__xludf.DUMMYFUNCTION("GOOGLETRANSLATE(A11284, ""en"", ""mt"")"),"Liema pjanti joħolqu ħafna enerġija elettrika?")</f>
        <v>Liema pjanti joħolqu ħafna enerġija elettrika?</v>
      </c>
    </row>
    <row r="11285" ht="15.75" customHeight="1">
      <c r="A11285" s="2" t="s">
        <v>11285</v>
      </c>
      <c r="B11285" s="2" t="str">
        <f>IFERROR(__xludf.DUMMYFUNCTION("GOOGLETRANSLATE(A11285, ""en"", ""mt"")"),"Għaliex Confucians jħobbu l-qasam mediku?")</f>
        <v>Għaliex Confucians jħobbu l-qasam mediku?</v>
      </c>
    </row>
    <row r="11286" ht="15.75" customHeight="1">
      <c r="A11286" s="2" t="s">
        <v>11286</v>
      </c>
      <c r="B11286" s="2" t="str">
        <f>IFERROR(__xludf.DUMMYFUNCTION("GOOGLETRANSLATE(A11286, ""en"", ""mt"")"),"Min rebaħ il-battalja ħdejn il-Muntanji Helan?")</f>
        <v>Min rebaħ il-battalja ħdejn il-Muntanji Helan?</v>
      </c>
    </row>
    <row r="11287" ht="15.75" customHeight="1">
      <c r="A11287" s="2" t="s">
        <v>11287</v>
      </c>
      <c r="B11287" s="2" t="str">
        <f>IFERROR(__xludf.DUMMYFUNCTION("GOOGLETRANSLATE(A11287, ""en"", ""mt"")"),"espansjonijiet")</f>
        <v>espansjonijiet</v>
      </c>
    </row>
    <row r="11288" ht="15.75" customHeight="1">
      <c r="A11288" s="2" t="s">
        <v>11288</v>
      </c>
      <c r="B11288" s="2" t="str">
        <f>IFERROR(__xludf.DUMMYFUNCTION("GOOGLETRANSLATE(A11288, ""en"", ""mt"")"),"X'kienet l-ideoloġija uffiċjali ta 'Zia-ul-Haq?")</f>
        <v>X'kienet l-ideoloġija uffiċjali ta 'Zia-ul-Haq?</v>
      </c>
    </row>
    <row r="11289" ht="15.75" customHeight="1">
      <c r="A11289" s="2" t="s">
        <v>11289</v>
      </c>
      <c r="B11289" s="2" t="str">
        <f>IFERROR(__xludf.DUMMYFUNCTION("GOOGLETRANSLATE(A11289, ""en"", ""mt"")"),"X'tip ta 'magna tat-Turing hija kapaċi għal azzjonijiet multipli u testendi f'varjetà ta' mogħdijiet tal-komputazzjoni?")</f>
        <v>X'tip ta 'magna tat-Turing hija kapaċi għal azzjonijiet multipli u testendi f'varjetà ta' mogħdijiet tal-komputazzjoni?</v>
      </c>
    </row>
    <row r="11290" ht="15.75" customHeight="1">
      <c r="A11290" s="2" t="s">
        <v>11290</v>
      </c>
      <c r="B11290" s="2" t="str">
        <f>IFERROR(__xludf.DUMMYFUNCTION("GOOGLETRANSLATE(A11290, ""en"", ""mt"")"),"Uża Sickles biex tiddefla wieħed mill-koppji l-kbar li jkopru żewġ platti bis-satellita")</f>
        <v>Uża Sickles biex tiddefla wieħed mill-koppji l-kbar li jkopru żewġ platti bis-satellita</v>
      </c>
    </row>
    <row r="11291" ht="15.75" customHeight="1">
      <c r="A11291" s="2" t="s">
        <v>11291</v>
      </c>
      <c r="B11291" s="2" t="str">
        <f>IFERROR(__xludf.DUMMYFUNCTION("GOOGLETRANSLATE(A11291, ""en"", ""mt"")"),"X'kien ħażin fil-ħamiem?")</f>
        <v>X'kien ħażin fil-ħamiem?</v>
      </c>
    </row>
    <row r="11292" ht="15.75" customHeight="1">
      <c r="A11292" s="2" t="s">
        <v>11292</v>
      </c>
      <c r="B11292" s="2" t="str">
        <f>IFERROR(__xludf.DUMMYFUNCTION("GOOGLETRANSLATE(A11292, ""en"", ""mt"")"),"L-Iskoċċiżi")</f>
        <v>L-Iskoċċiżi</v>
      </c>
    </row>
    <row r="11293" ht="15.75" customHeight="1">
      <c r="A11293" s="2" t="s">
        <v>11293</v>
      </c>
      <c r="B11293" s="2" t="str">
        <f>IFERROR(__xludf.DUMMYFUNCTION("GOOGLETRANSLATE(A11293, ""en"", ""mt"")"),"Nobbli")</f>
        <v>Nobbli</v>
      </c>
    </row>
    <row r="11294" ht="15.75" customHeight="1">
      <c r="A11294" s="2" t="s">
        <v>11294</v>
      </c>
      <c r="B11294" s="2" t="str">
        <f>IFERROR(__xludf.DUMMYFUNCTION("GOOGLETRANSLATE(A11294, ""en"", ""mt"")"),"Min hu responsabbli għall-edukazzjoni fil-pajjiż tal-Awstralja?")</f>
        <v>Min hu responsabbli għall-edukazzjoni fil-pajjiż tal-Awstralja?</v>
      </c>
    </row>
    <row r="11295" ht="15.75" customHeight="1">
      <c r="A11295" s="2" t="s">
        <v>11295</v>
      </c>
      <c r="B11295" s="2" t="str">
        <f>IFERROR(__xludf.DUMMYFUNCTION("GOOGLETRANSLATE(A11295, ""en"", ""mt"")"),"żieda")</f>
        <v>żieda</v>
      </c>
    </row>
    <row r="11296" ht="15.75" customHeight="1">
      <c r="A11296" s="2" t="s">
        <v>11296</v>
      </c>
      <c r="B11296" s="2" t="str">
        <f>IFERROR(__xludf.DUMMYFUNCTION("GOOGLETRANSLATE(A11296, ""en"", ""mt"")"),"F'liema kulur kien irrappreżentat id-DOT fis-sekwenza tal-ID tal-1977 tal-ABC?")</f>
        <v>F'liema kulur kien irrappreżentat id-DOT fis-sekwenza tal-ID tal-1977 tal-ABC?</v>
      </c>
    </row>
    <row r="11297" ht="15.75" customHeight="1">
      <c r="A11297" s="2" t="s">
        <v>11297</v>
      </c>
      <c r="B11297" s="2" t="str">
        <f>IFERROR(__xludf.DUMMYFUNCTION("GOOGLETRANSLATE(A11297, ""en"", ""mt"")"),"Fit-3 ta 'Settembru, 1958, is-serje Anthology Disneyland ġiet imdaħħla mill-ġdid Walt Disney tippreżenta hekk kif ġiet diżassoċjata mal-park tematiku tal-istess isem. Il-moviment fil-Westerns, li ABC huwa kkreditat talli beda, irrappreżenta ħamsa tas-serj"&amp;"e kollha ta 'żmien fuq it-televiżjoni Amerikana f'Jannar 1959, f'liema punt il-wirjiet tad-ditektif kienu qed jibdew jiżdiedu wkoll fil-popolarità. ABC talbet produzzjonijiet addizzjonali minn Disney. Fl-aħħar tal-1958, DeSilu Productions qabdet is-serje "&amp;"tad-ditektif tagħha The Untouchables to CBS; Wara dak in-netwerk ċaħad l-ispettaklu minħabba l-użu tiegħu tal-vjolenza, DeSilu mbagħad ippreżentah lil ABC, li aċċetta li jtellgħu l-ispettaklu, u ddebuttaw l-intouchables f'April 1959. Is-serje kompliet iss"&amp;"ir malajr ""immens popolari"".")</f>
        <v>Fit-3 ta 'Settembru, 1958, is-serje Anthology Disneyland ġiet imdaħħla mill-ġdid Walt Disney tippreżenta hekk kif ġiet diżassoċjata mal-park tematiku tal-istess isem. Il-moviment fil-Westerns, li ABC huwa kkreditat talli beda, irrappreżenta ħamsa tas-serje kollha ta 'żmien fuq it-televiżjoni Amerikana f'Jannar 1959, f'liema punt il-wirjiet tad-ditektif kienu qed jibdew jiżdiedu wkoll fil-popolarità. ABC talbet produzzjonijiet addizzjonali minn Disney. Fl-aħħar tal-1958, DeSilu Productions qabdet is-serje tad-ditektif tagħha The Untouchables to CBS; Wara dak in-netwerk ċaħad l-ispettaklu minħabba l-użu tiegħu tal-vjolenza, DeSilu mbagħad ippreżentah lil ABC, li aċċetta li jtellgħu l-ispettaklu, u ddebuttaw l-intouchables f'April 1959. Is-serje kompliet issir malajr "immens popolari".</v>
      </c>
    </row>
    <row r="11298" ht="15.75" customHeight="1">
      <c r="A11298" s="2" t="s">
        <v>11298</v>
      </c>
      <c r="B11298" s="2" t="str">
        <f>IFERROR(__xludf.DUMMYFUNCTION("GOOGLETRANSLATE(A11298, ""en"", ""mt"")"),"Taħlita tan-nitroġenu / ossiġnu")</f>
        <v>Taħlita tan-nitroġenu / ossiġnu</v>
      </c>
    </row>
    <row r="11299" ht="15.75" customHeight="1">
      <c r="A11299" s="2" t="s">
        <v>11299</v>
      </c>
      <c r="B11299" s="2" t="str">
        <f>IFERROR(__xludf.DUMMYFUNCTION("GOOGLETRANSLATE(A11299, ""en"", ""mt"")"),"imġieba kriminalizzata")</f>
        <v>imġieba kriminalizzata</v>
      </c>
    </row>
    <row r="11300" ht="15.75" customHeight="1">
      <c r="A11300" s="2" t="s">
        <v>11300</v>
      </c>
      <c r="B11300" s="2" t="str">
        <f>IFERROR(__xludf.DUMMYFUNCTION("GOOGLETRANSLATE(A11300, ""en"", ""mt"")"),"ARPA IPTO Direttur Larry Roberts")</f>
        <v>ARPA IPTO Direttur Larry Roberts</v>
      </c>
    </row>
    <row r="11301" ht="15.75" customHeight="1">
      <c r="A11301" s="2" t="s">
        <v>11301</v>
      </c>
      <c r="B11301" s="2" t="str">
        <f>IFERROR(__xludf.DUMMYFUNCTION("GOOGLETRANSLATE(A11301, ""en"", ""mt"")"),"Ir-Renu joħroġ mill-Lag Constance, il-flussi ġeneralment lejn il-punent, bħala l-Hochrhein, jgħaddi r-Rhine Falls, u huwa magħqud mit-tributarju ewlieni tiegħu, ix-Xmara Aare. L-AARE aktar milli tirdoppja l-iskarikar tal-ilma tar-Rhine, għal medja ta 'kwa"&amp;"żi 1,000 m3 / s (35,000 cu ft / s), u tipprovdi aktar minn ħamsa tal-kwittanza fil-fruntiera Olandiża. L-AARE fih ukoll l-ilmijiet mis-summit ta '4,274 m (14,022 ft) ta' Finsteraarhorn, l-ogħla punt tal-baċin tar-Renu. Ir-Rhine bejn wieħed u ieħor jifform"&amp;"a l-fruntiera Ġermaniża-Żvizzera mill-Lag Constance bl-eċċezzjonijiet tal-canton ta 'Schaffhausen u partijiet tal-kantuni ta' Zürich u Basel-Stadt, sakemm idur lejn it-tramuntana fl-hekk imsejjaħ irkoppa tar-Renu f'Basel, li jħalli l-Isvizzera.")</f>
        <v>Ir-Renu joħroġ mill-Lag Constance, il-flussi ġeneralment lejn il-punent, bħala l-Hochrhein, jgħaddi r-Rhine Falls, u huwa magħqud mit-tributarju ewlieni tiegħu, ix-Xmara Aare. L-AARE aktar milli tirdoppja l-iskarikar tal-ilma tar-Rhine, għal medja ta 'kważi 1,000 m3 / s (35,000 cu ft / s), u tipprovdi aktar minn ħamsa tal-kwittanza fil-fruntiera Olandiża. L-AARE fih ukoll l-ilmijiet mis-summit ta '4,274 m (14,022 ft) ta' Finsteraarhorn, l-ogħla punt tal-baċin tar-Renu. Ir-Rhine bejn wieħed u ieħor jifforma l-fruntiera Ġermaniża-Żvizzera mill-Lag Constance bl-eċċezzjonijiet tal-canton ta 'Schaffhausen u partijiet tal-kantuni ta' Zürich u Basel-Stadt, sakemm idur lejn it-tramuntana fl-hekk imsejjaħ irkoppa tar-Renu f'Basel, li jħalli l-Isvizzera.</v>
      </c>
    </row>
    <row r="11302" ht="15.75" customHeight="1">
      <c r="A11302" s="2" t="s">
        <v>11302</v>
      </c>
      <c r="B11302" s="2" t="str">
        <f>IFERROR(__xludf.DUMMYFUNCTION("GOOGLETRANSLATE(A11302, ""en"", ""mt"")"),"It-tbassir tat-terremot mudelli liema karatteristiċi ta 'terremoti f'Kalifornja?")</f>
        <v>It-tbassir tat-terremot mudelli liema karatteristiċi ta 'terremoti f'Kalifornja?</v>
      </c>
    </row>
    <row r="11303" ht="15.75" customHeight="1">
      <c r="A11303" s="2" t="s">
        <v>11303</v>
      </c>
      <c r="B11303" s="2" t="str">
        <f>IFERROR(__xludf.DUMMYFUNCTION("GOOGLETRANSLATE(A11303, ""en"", ""mt"")"),"Iż-żewġ klabbs tal-AAA qasmu l-istat f'Kalifornja tat-Tramuntana u tan-Nofsinhar għall-kuntrarju ta 'liema punt ta' vista?")</f>
        <v>Iż-żewġ klabbs tal-AAA qasmu l-istat f'Kalifornja tat-Tramuntana u tan-Nofsinhar għall-kuntrarju ta 'liema punt ta' vista?</v>
      </c>
    </row>
    <row r="11304" ht="15.75" customHeight="1">
      <c r="A11304" s="2" t="s">
        <v>11304</v>
      </c>
      <c r="B11304" s="2" t="str">
        <f>IFERROR(__xludf.DUMMYFUNCTION("GOOGLETRANSLATE(A11304, ""en"", ""mt"")"),"x-xita mnaqqsa u żieda fit-temperaturi")</f>
        <v>x-xita mnaqqsa u żieda fit-temperaturi</v>
      </c>
    </row>
    <row r="11305" ht="15.75" customHeight="1">
      <c r="A11305" s="2" t="s">
        <v>11305</v>
      </c>
      <c r="B11305" s="2" t="str">
        <f>IFERROR(__xludf.DUMMYFUNCTION("GOOGLETRANSLATE(A11305, ""en"", ""mt"")"),"Kemm hemm formazzjonijiet ġeomorfoloġiċi fuq Varsavja?")</f>
        <v>Kemm hemm formazzjonijiet ġeomorfoloġiċi fuq Varsavja?</v>
      </c>
    </row>
    <row r="11306" ht="15.75" customHeight="1">
      <c r="A11306" s="2" t="s">
        <v>11306</v>
      </c>
      <c r="B11306" s="2" t="str">
        <f>IFERROR(__xludf.DUMMYFUNCTION("GOOGLETRANSLATE(A11306, ""en"", ""mt"")"),"Grieg")</f>
        <v>Grieg</v>
      </c>
    </row>
    <row r="11307" ht="15.75" customHeight="1">
      <c r="A11307" s="2" t="s">
        <v>11307</v>
      </c>
      <c r="B11307" s="2" t="str">
        <f>IFERROR(__xludf.DUMMYFUNCTION("GOOGLETRANSLATE(A11307, ""en"", ""mt"")"),"X'kien it-titlu tal-programm tal-films tax-xandir tal-ABC li ddebutta l-Ħdud fl-1962?")</f>
        <v>X'kien it-titlu tal-programm tal-films tax-xandir tal-ABC li ddebutta l-Ħdud fl-1962?</v>
      </c>
    </row>
    <row r="11308" ht="15.75" customHeight="1">
      <c r="A11308" s="2" t="s">
        <v>11308</v>
      </c>
      <c r="B11308" s="2" t="str">
        <f>IFERROR(__xludf.DUMMYFUNCTION("GOOGLETRANSLATE(A11308, ""en"", ""mt"")"),"Il-belt żviluppat madwar il-Pons Aelius tar-Rumani u ġiet imsemmija wara l-kastell mibni fl-1080 minn Robert Curthose, l-iben il-kbir ta 'William the Conqueror. Il-belt kibret bħala ċentru importanti għall-kummerċ tas-suf fis-seklu 14, u aktar tard saret "&amp;"żona ewlenija tal-minjieri tal-faħam. Il-port żviluppat fis-seklu 16 u, flimkien mat-tarznari ta 'isfel fix-xmara Tyne, kien fost l-ikbar ċentri tal-bini tal-vapuri u l-vapuri tad-dinja. L-ekonomija ta 'Newcastle tinkludi kwartieri ġenerali korporattivi, "&amp;"tagħlim, teknoloġija diġitali, bejgħ bl-imnut, turiżmu u ċentri kulturali, li minnu l-belt tikkontribwixxi £ 13-il biljun lejn il-GVA tar-Renju Unit. Fost l-ikoni tagħha hemm Newcastle Brown Ale; Newcastle United Football Club; u l-pont Tyne. Huwa ospita "&amp;"l-aktar nofs maratona popolari fid-dinja, il-Great North Run, minn meta beda fl-1981.")</f>
        <v>Il-belt żviluppat madwar il-Pons Aelius tar-Rumani u ġiet imsemmija wara l-kastell mibni fl-1080 minn Robert Curthose, l-iben il-kbir ta 'William the Conqueror. Il-belt kibret bħala ċentru importanti għall-kummerċ tas-suf fis-seklu 14, u aktar tard saret żona ewlenija tal-minjieri tal-faħam. Il-port żviluppat fis-seklu 16 u, flimkien mat-tarznari ta 'isfel fix-xmara Tyne, kien fost l-ikbar ċentri tal-bini tal-vapuri u l-vapuri tad-dinja. L-ekonomija ta 'Newcastle tinkludi kwartieri ġenerali korporattivi, tagħlim, teknoloġija diġitali, bejgħ bl-imnut, turiżmu u ċentri kulturali, li minnu l-belt tikkontribwixxi £ 13-il biljun lejn il-GVA tar-Renju Unit. Fost l-ikoni tagħha hemm Newcastle Brown Ale; Newcastle United Football Club; u l-pont Tyne. Huwa ospita l-aktar nofs maratona popolari fid-dinja, il-Great North Run, minn meta beda fl-1981.</v>
      </c>
    </row>
    <row r="11309" ht="15.75" customHeight="1">
      <c r="A11309" s="2" t="s">
        <v>11309</v>
      </c>
      <c r="B11309" s="2" t="str">
        <f>IFERROR(__xludf.DUMMYFUNCTION("GOOGLETRANSLATE(A11309, ""en"", ""mt"")"),"X'inhu l-isem tat-tielet, il-Knisja Permanenti Huguenot fi New Rochelle?")</f>
        <v>X'inhu l-isem tat-tielet, il-Knisja Permanenti Huguenot fi New Rochelle?</v>
      </c>
    </row>
    <row r="11310" ht="15.75" customHeight="1">
      <c r="A11310" s="2" t="s">
        <v>11310</v>
      </c>
      <c r="B11310" s="2" t="str">
        <f>IFERROR(__xludf.DUMMYFUNCTION("GOOGLETRANSLATE(A11310, ""en"", ""mt"")"),"Liema għajnuna hija disponibbli għal studenti defavoriti li jfittxu li jattendu università privata?")</f>
        <v>Liema għajnuna hija disponibbli għal studenti defavoriti li jfittxu li jattendu università privata?</v>
      </c>
    </row>
    <row r="11311" ht="15.75" customHeight="1">
      <c r="A11311" s="2" t="s">
        <v>11311</v>
      </c>
      <c r="B11311" s="2" t="str">
        <f>IFERROR(__xludf.DUMMYFUNCTION("GOOGLETRANSLATE(A11311, ""en"", ""mt"")"),"Il-problema tal-isomorfiżmu graff")</f>
        <v>Il-problema tal-isomorfiżmu graff</v>
      </c>
    </row>
    <row r="11312" ht="15.75" customHeight="1">
      <c r="A11312" s="2" t="s">
        <v>11312</v>
      </c>
      <c r="B11312" s="2" t="str">
        <f>IFERROR(__xludf.DUMMYFUNCTION("GOOGLETRANSLATE(A11312, ""en"", ""mt"")"),"X'tip ta 'memorja kienet maħsuba li għandha Tesla?")</f>
        <v>X'tip ta 'memorja kienet maħsuba li għandha Tesla?</v>
      </c>
    </row>
    <row r="11313" ht="15.75" customHeight="1">
      <c r="A11313" s="2" t="s">
        <v>11313</v>
      </c>
      <c r="B11313" s="2" t="str">
        <f>IFERROR(__xludf.DUMMYFUNCTION("GOOGLETRANSLATE(A11313, ""en"", ""mt"")"),"X'pożizzjoni kisbet il-kollettur tat-taxxa li arresta Thoreau?")</f>
        <v>X'pożizzjoni kisbet il-kollettur tat-taxxa li arresta Thoreau?</v>
      </c>
    </row>
    <row r="11314" ht="15.75" customHeight="1">
      <c r="A11314" s="2" t="s">
        <v>11314</v>
      </c>
      <c r="B11314" s="2" t="str">
        <f>IFERROR(__xludf.DUMMYFUNCTION("GOOGLETRANSLATE(A11314, ""en"", ""mt"")"),"biex toqgħod, sakemm kien hemm mill-inqas ""indirett quid pro quo"" għax-xogħol li għamel")</f>
        <v>biex toqgħod, sakemm kien hemm mill-inqas "indirett quid pro quo" għax-xogħol li għamel</v>
      </c>
    </row>
    <row r="11315" ht="15.75" customHeight="1">
      <c r="A11315" s="2" t="s">
        <v>11315</v>
      </c>
      <c r="B11315" s="2" t="str">
        <f>IFERROR(__xludf.DUMMYFUNCTION("GOOGLETRANSLATE(A11315, ""en"", ""mt"")"),"L-Alpi Vittorjani fil-Grigal huma l-iktar parti kiesħa tar-Rabat. L-Alpi huma parti mis-sistema kbira tal-Muntanji tal-Muntanji Diviżorji li jestendu l-Lvant-Punent miċ-ċentru tar-Rabat. It-temperaturi medji huma inqas minn 9 ° C (48 ° F) fix-xitwa u taħt"&amp;" 0 ° C (32 ° F) fl-ogħla partijiet tal-meded. L-inqas temperatura minima ta 'l-istat ta' -11.7 ° C (10.9 ° F) ġiet irreġistrata f'OMEO fit-13 ta 'Ġunju 1965, u għal darb'oħra fi Falls Creek fit-3 ta' Lulju 1970. It-temperatura estremi għall-istat huma ele"&amp;"nkati fit-tabella hawn taħt:")</f>
        <v>L-Alpi Vittorjani fil-Grigal huma l-iktar parti kiesħa tar-Rabat. L-Alpi huma parti mis-sistema kbira tal-Muntanji tal-Muntanji Diviżorji li jestendu l-Lvant-Punent miċ-ċentru tar-Rabat. It-temperaturi medji huma inqas minn 9 ° C (48 ° F) fix-xitwa u taħt 0 ° C (32 ° F) fl-ogħla partijiet tal-meded. L-inqas temperatura minima ta 'l-istat ta' -11.7 ° C (10.9 ° F) ġiet irreġistrata f'OMEO fit-13 ta 'Ġunju 1965, u għal darb'oħra fi Falls Creek fit-3 ta' Lulju 1970. It-temperatura estremi għall-istat huma elenkati fit-tabella hawn taħt:</v>
      </c>
    </row>
    <row r="11316" ht="15.75" customHeight="1">
      <c r="A11316" s="2" t="s">
        <v>11316</v>
      </c>
      <c r="B11316" s="2" t="str">
        <f>IFERROR(__xludf.DUMMYFUNCTION("GOOGLETRANSLATE(A11316, ""en"", ""mt"")"),"X'tip ta 'sistema rappreżentattiva għandha l-Kunsill Leġiżlattiv Vittorjan?")</f>
        <v>X'tip ta 'sistema rappreżentattiva għandha l-Kunsill Leġiżlattiv Vittorjan?</v>
      </c>
    </row>
    <row r="11317" ht="15.75" customHeight="1">
      <c r="A11317" s="2" t="s">
        <v>11317</v>
      </c>
      <c r="B11317" s="2" t="str">
        <f>IFERROR(__xludf.DUMMYFUNCTION("GOOGLETRANSLATE(A11317, ""en"", ""mt"")"),"Ir-rati ta 'mortalità f'żoni rurali matul il-pandemija tas-seklu 14 kienu inkonsistenti mal-pesta bubonika moderna")</f>
        <v>Ir-rati ta 'mortalità f'żoni rurali matul il-pandemija tas-seklu 14 kienu inkonsistenti mal-pesta bubonika moderna</v>
      </c>
    </row>
    <row r="11318" ht="15.75" customHeight="1">
      <c r="A11318" s="2" t="s">
        <v>11318</v>
      </c>
      <c r="B11318" s="2" t="str">
        <f>IFERROR(__xludf.DUMMYFUNCTION("GOOGLETRANSLATE(A11318, ""en"", ""mt"")"),"L-alka cyanophora, glaukofit, hija maħsuba li hija waħda mill-ewwel organiżmi li kien fihom kloroplast. Il-grupp tal-kloroplast tal-glaukofit huwa l-iżgħar mit-tliet nisel tal-kloroplast primarju, li jinstab fi 13-il speċi biss, u huwa maħsub li huwa dak "&amp;"li ferraħ mill-ewwel. Il-glakofiti għandhom kloroplasti li jżommu ħajt peptidoglycan bejn il-membrani doppji tagħhom, bħall-ġenitur ċjanobatteriku tagħhom. Għal din ir-raġuni, il-kloroplasti tal-glaukofit huma magħrufa wkoll bħala muroplasti. Il-kloroplas"&amp;"ti tal-glakofite fihom ukoll thylakoids mhux stacked konċentriċi, li jdawru karbossiżoma - struttura icosahedral li l-kloroplasti tal-glaukofite u ċ-ċjanobatterji jżommu l-iffissar tal-karbonju tagħhom fl-iffissar tal-enzima rubisco. Il-lamtu li huma sint"&amp;"etizzati jiġbru barra l-kloroplast. Bħal cyanobacteria, it-tilakoids tal-kloroplast tal-glaukofit huma studded bi strutturi ta 'ġbir tad-dawl imsejħa phycobilisomes. Għal dawn ir-raġunijiet, il-kloroplasti tal-glaukofit huma kkunsidrati intermedju primitt"&amp;"iv bejn iċ-ċjanobatterji u l-kloroplasti aktar evolvuti fl-alka u l-pjanti ħomor.")</f>
        <v>L-alka cyanophora, glaukofit, hija maħsuba li hija waħda mill-ewwel organiżmi li kien fihom kloroplast. Il-grupp tal-kloroplast tal-glaukofit huwa l-iżgħar mit-tliet nisel tal-kloroplast primarju, li jinstab fi 13-il speċi biss, u huwa maħsub li huwa dak li ferraħ mill-ewwel. Il-glakofiti għandhom kloroplasti li jżommu ħajt peptidoglycan bejn il-membrani doppji tagħhom, bħall-ġenitur ċjanobatteriku tagħhom. Għal din ir-raġuni, il-kloroplasti tal-glaukofit huma magħrufa wkoll bħala muroplasti. Il-kloroplasti tal-glakofite fihom ukoll thylakoids mhux stacked konċentriċi, li jdawru karbossiżoma - struttura icosahedral li l-kloroplasti tal-glaukofite u ċ-ċjanobatterji jżommu l-iffissar tal-karbonju tagħhom fl-iffissar tal-enzima rubisco. Il-lamtu li huma sintetizzati jiġbru barra l-kloroplast. Bħal cyanobacteria, it-tilakoids tal-kloroplast tal-glaukofit huma studded bi strutturi ta 'ġbir tad-dawl imsejħa phycobilisomes. Għal dawn ir-raġunijiet, il-kloroplasti tal-glaukofit huma kkunsidrati intermedju primittiv bejn iċ-ċjanobatterji u l-kloroplasti aktar evolvuti fl-alka u l-pjanti ħomor.</v>
      </c>
    </row>
    <row r="11319" ht="15.75" customHeight="1">
      <c r="A11319" s="2" t="s">
        <v>11319</v>
      </c>
      <c r="B11319" s="2" t="str">
        <f>IFERROR(__xludf.DUMMYFUNCTION("GOOGLETRANSLATE(A11319, ""en"", ""mt"")"),"bijennali")</f>
        <v>bijennali</v>
      </c>
    </row>
    <row r="11320" ht="15.75" customHeight="1">
      <c r="A11320" s="2" t="s">
        <v>11320</v>
      </c>
      <c r="B11320" s="2" t="str">
        <f>IFERROR(__xludf.DUMMYFUNCTION("GOOGLETRANSLATE(A11320, ""en"", ""mt"")"),"il-kamin li jsakkar il-metall fuq il-lenti tal-kamera")</f>
        <v>il-kamin li jsakkar il-metall fuq il-lenti tal-kamera</v>
      </c>
    </row>
    <row r="11321" ht="15.75" customHeight="1">
      <c r="A11321" s="2" t="s">
        <v>11321</v>
      </c>
      <c r="B11321" s="2" t="str">
        <f>IFERROR(__xludf.DUMMYFUNCTION("GOOGLETRANSLATE(A11321, ""en"", ""mt"")"),"Meta l-Fratellanza rrinunzjat il-vjolenza bħala mezz biex tilħaq l-għanijiet tagħha?")</f>
        <v>Meta l-Fratellanza rrinunzjat il-vjolenza bħala mezz biex tilħaq l-għanijiet tagħha?</v>
      </c>
    </row>
    <row r="11322" ht="15.75" customHeight="1">
      <c r="A11322" s="2" t="s">
        <v>11322</v>
      </c>
      <c r="B11322" s="2" t="str">
        <f>IFERROR(__xludf.DUMMYFUNCTION("GOOGLETRANSLATE(A11322, ""en"", ""mt"")"),"X'inhi l-ogħla temperatura ta 'kull xahar tar-Rabat?")</f>
        <v>X'inhi l-ogħla temperatura ta 'kull xahar tar-Rabat?</v>
      </c>
    </row>
    <row r="11323" ht="15.75" customHeight="1">
      <c r="A11323" s="2" t="s">
        <v>11323</v>
      </c>
      <c r="B11323" s="2" t="str">
        <f>IFERROR(__xludf.DUMMYFUNCTION("GOOGLETRANSLATE(A11323, ""en"", ""mt"")"),"Dak li fih kważi verbatim ta 'dibattiti parlamentari?")</f>
        <v>Dak li fih kważi verbatim ta 'dibattiti parlamentari?</v>
      </c>
    </row>
    <row r="11324" ht="15.75" customHeight="1">
      <c r="A11324" s="2" t="s">
        <v>11324</v>
      </c>
      <c r="B11324" s="2" t="str">
        <f>IFERROR(__xludf.DUMMYFUNCTION("GOOGLETRANSLATE(A11324, ""en"", ""mt"")"),"Djar mill-bidu tas-seklu 20 jillinjaw dan il-boulevard fil-qalba tal-passaġġ storiku Alta Vista. Is-sezzjoni ta ’Huntington Boulevard bejn l-Ewwel Triq fuq il-Punent sa Vjal Cedar fuq il-lvant hija d-dar għal ħafna djar kbar u mwarrba. L-iżvilupp oriġinal"&amp;"i ta 'din iż-żona beda madwar l-1910, fuq 190 acres ta' dak li kien qasam tal-alfalfa. Il-passaġġ Alta Vista, hekk kif l-art kienet issir magħrufa, kienet immappjata minn William Stranahan għall-Korporazzjoni ta 'Titjib tal-Paċifiku, u kienet uffiċjalment"&amp;" imqabbda fl-1911. ta 'Platt Avenue (fil-lvant tas-Sitt Triq) u Avenue Platt (fil-punent ta' Triq is-Sitt) fit-tramuntana, u l-Ewwel Triq fil-punent. Is-suddiviżjoni ġiet annessa mal-belt f'Jannar 1912, f'elezzjoni li kienet l-ewwel waħda li fiha n-nisa v"&amp;"vutaw fil-komunità. Fil-ħin tal-ammissjoni tagħha fil-belt, il-passaġġ Alta Vista kien abitat iżda msawwar, għalkemm is-siġar kellhom jiġu mdgħajfa mill-vagun tat-tank. Fl-1914 l-iżviluppaturi Billings &amp; Meyering akkwistaw il-passaġġ, komplew l-iżvilupp t"&amp;"at-triq, ipprovdew l-aħħar mit-titjib muniċipali meħtieġ inkluż is-servizz tal-ilma, u bdew jikkummerċjalizzaw il-propjetà bil-ħrara. Sempliċi nofs għaxar snin wara l-passaġġ kellu 267 djar. Dan l-iżvilupp rapidu kien bla dubju mgħaġġel mill-Kumpanija Fre"&amp;"sno Traction Land-of-way tul Huntington Boulevard, li pprovda konnessjonijiet tat-triq bejn iċ-ċentru u l-isptar tal-kontea.")</f>
        <v>Djar mill-bidu tas-seklu 20 jillinjaw dan il-boulevard fil-qalba tal-passaġġ storiku Alta Vista. Is-sezzjoni ta ’Huntington Boulevard bejn l-Ewwel Triq fuq il-Punent sa Vjal Cedar fuq il-lvant hija d-dar għal ħafna djar kbar u mwarrba. L-iżvilupp oriġinali ta 'din iż-żona beda madwar l-1910, fuq 190 acres ta' dak li kien qasam tal-alfalfa. Il-passaġġ Alta Vista, hekk kif l-art kienet issir magħrufa, kienet immappjata minn William Stranahan għall-Korporazzjoni ta 'Titjib tal-Paċifiku, u kienet uffiċjalment imqabbda fl-1911. ta 'Platt Avenue (fil-lvant tas-Sitt Triq) u Avenue Platt (fil-punent ta' Triq is-Sitt) fit-tramuntana, u l-Ewwel Triq fil-punent. Is-suddiviżjoni ġiet annessa mal-belt f'Jannar 1912, f'elezzjoni li kienet l-ewwel waħda li fiha n-nisa vvutaw fil-komunità. Fil-ħin tal-ammissjoni tagħha fil-belt, il-passaġġ Alta Vista kien abitat iżda msawwar, għalkemm is-siġar kellhom jiġu mdgħajfa mill-vagun tat-tank. Fl-1914 l-iżviluppaturi Billings &amp; Meyering akkwistaw il-passaġġ, komplew l-iżvilupp tat-triq, ipprovdew l-aħħar mit-titjib muniċipali meħtieġ inkluż is-servizz tal-ilma, u bdew jikkummerċjalizzaw il-propjetà bil-ħrara. Sempliċi nofs għaxar snin wara l-passaġġ kellu 267 djar. Dan l-iżvilupp rapidu kien bla dubju mgħaġġel mill-Kumpanija Fresno Traction Land-of-way tul Huntington Boulevard, li pprovda konnessjonijiet tat-triq bejn iċ-ċentru u l-isptar tal-kontea.</v>
      </c>
    </row>
    <row r="11325" ht="15.75" customHeight="1">
      <c r="A11325" s="2" t="s">
        <v>11325</v>
      </c>
      <c r="B11325" s="2" t="str">
        <f>IFERROR(__xludf.DUMMYFUNCTION("GOOGLETRANSLATE(A11325, ""en"", ""mt"")"),"Phowa u Siddhi")</f>
        <v>Phowa u Siddhi</v>
      </c>
    </row>
    <row r="11326" ht="15.75" customHeight="1">
      <c r="A11326" s="2" t="s">
        <v>11326</v>
      </c>
      <c r="B11326" s="2" t="str">
        <f>IFERROR(__xludf.DUMMYFUNCTION("GOOGLETRANSLATE(A11326, ""en"", ""mt"")"),"Watt x'għamel mal-magna tal-fwar fl-1788?")</f>
        <v>Watt x'għamel mal-magna tal-fwar fl-1788?</v>
      </c>
    </row>
    <row r="11327" ht="15.75" customHeight="1">
      <c r="A11327" s="2" t="s">
        <v>11327</v>
      </c>
      <c r="B11327" s="2" t="str">
        <f>IFERROR(__xludf.DUMMYFUNCTION("GOOGLETRANSLATE(A11327, ""en"", ""mt"")"),"Min se jaljena l-okkupazzjoni?")</f>
        <v>Min se jaljena l-okkupazzjoni?</v>
      </c>
    </row>
    <row r="11328" ht="15.75" customHeight="1">
      <c r="A11328" s="2" t="s">
        <v>11328</v>
      </c>
      <c r="B11328" s="2" t="str">
        <f>IFERROR(__xludf.DUMMYFUNCTION("GOOGLETRANSLATE(A11328, ""en"", ""mt"")"),"Distretti tan-Negozju Ċentrali")</f>
        <v>Distretti tan-Negozju Ċentrali</v>
      </c>
    </row>
    <row r="11329" ht="15.75" customHeight="1">
      <c r="A11329" s="2" t="s">
        <v>11329</v>
      </c>
      <c r="B11329" s="2" t="str">
        <f>IFERROR(__xludf.DUMMYFUNCTION("GOOGLETRANSLATE(A11329, ""en"", ""mt"")"),"Fejn jinsabu l-gonadi?")</f>
        <v>Fejn jinsabu l-gonadi?</v>
      </c>
    </row>
    <row r="11330" ht="15.75" customHeight="1">
      <c r="A11330" s="2" t="s">
        <v>11330</v>
      </c>
      <c r="B11330" s="2" t="str">
        <f>IFERROR(__xludf.DUMMYFUNCTION("GOOGLETRANSLATE(A11330, ""en"", ""mt"")"),"Interkonnessjoni tan-Netwerks Nazzjonali X.25")</f>
        <v>Interkonnessjoni tan-Netwerks Nazzjonali X.25</v>
      </c>
    </row>
    <row r="11331" ht="15.75" customHeight="1">
      <c r="A11331" s="2" t="s">
        <v>11331</v>
      </c>
      <c r="B11331" s="2" t="str">
        <f>IFERROR(__xludf.DUMMYFUNCTION("GOOGLETRANSLATE(A11331, ""en"", ""mt"")"),"Aristokrazija tradizzjonali Mongoljana")</f>
        <v>Aristokrazija tradizzjonali Mongoljana</v>
      </c>
    </row>
    <row r="11332" ht="15.75" customHeight="1">
      <c r="A11332" s="2" t="s">
        <v>11332</v>
      </c>
      <c r="B11332" s="2" t="str">
        <f>IFERROR(__xludf.DUMMYFUNCTION("GOOGLETRANSLATE(A11332, ""en"", ""mt"")"),"Madankollu, din il-qalba ta 'spiss ikkwotata ta' Tetzel ma kienet bl-ebda mod rappreżentattiva tat-tagħlim Kattoliku kontemporanju fuq indulġenzi, iżda pjuttost riflessjoni tal-kapaċità tiegħu li jesaġera. Madankollu jekk Tetzel qabeż il-kwistjoni fir-rig"&amp;"ward tal-indulġenzi għall-mejtin, it-tagħlim tiegħu fuq indulġenzi għall-għajxien kien konformi mad-dogma Kattolika ta 'dak iż-żmien.")</f>
        <v>Madankollu, din il-qalba ta 'spiss ikkwotata ta' Tetzel ma kienet bl-ebda mod rappreżentattiva tat-tagħlim Kattoliku kontemporanju fuq indulġenzi, iżda pjuttost riflessjoni tal-kapaċità tiegħu li jesaġera. Madankollu jekk Tetzel qabeż il-kwistjoni fir-rigward tal-indulġenzi għall-mejtin, it-tagħlim tiegħu fuq indulġenzi għall-għajxien kien konformi mad-dogma Kattolika ta 'dak iż-żmien.</v>
      </c>
    </row>
    <row r="11333" ht="15.75" customHeight="1">
      <c r="A11333" s="2" t="s">
        <v>11333</v>
      </c>
      <c r="B11333" s="2" t="str">
        <f>IFERROR(__xludf.DUMMYFUNCTION("GOOGLETRANSLATE(A11333, ""en"", ""mt"")"),"In-negozji li jikkompetu kif jattiraw ħaddiema?")</f>
        <v>In-negozji li jikkompetu kif jattiraw ħaddiema?</v>
      </c>
    </row>
    <row r="11334" ht="15.75" customHeight="1">
      <c r="A11334" s="2" t="s">
        <v>11334</v>
      </c>
      <c r="B11334" s="2" t="str">
        <f>IFERROR(__xludf.DUMMYFUNCTION("GOOGLETRANSLATE(A11334, ""en"", ""mt"")"),"Min kellu Toghtogha pprova jegħleb?")</f>
        <v>Min kellu Toghtogha pprova jegħleb?</v>
      </c>
    </row>
    <row r="11335" ht="15.75" customHeight="1">
      <c r="A11335" s="2" t="s">
        <v>11335</v>
      </c>
      <c r="B11335" s="2" t="str">
        <f>IFERROR(__xludf.DUMMYFUNCTION("GOOGLETRANSLATE(A11335, ""en"", ""mt"")"),"X'inhi l-forma tas-soltu tar-ridistribuzzjoni tal-ġid tal-gvern?")</f>
        <v>X'inhi l-forma tas-soltu tar-ridistribuzzjoni tal-ġid tal-gvern?</v>
      </c>
    </row>
    <row r="11336" ht="15.75" customHeight="1">
      <c r="A11336" s="2" t="s">
        <v>11336</v>
      </c>
      <c r="B11336" s="2" t="str">
        <f>IFERROR(__xludf.DUMMYFUNCTION("GOOGLETRANSLATE(A11336, ""en"", ""mt"")"),"Kemm kien għoli l-ħajt tal-ġebel mibni madwar Newcastle fis-seklu 13?")</f>
        <v>Kemm kien għoli l-ħajt tal-ġebel mibni madwar Newcastle fis-seklu 13?</v>
      </c>
    </row>
    <row r="11337" ht="15.75" customHeight="1">
      <c r="A11337" s="2" t="s">
        <v>11337</v>
      </c>
      <c r="B11337" s="2" t="str">
        <f>IFERROR(__xludf.DUMMYFUNCTION("GOOGLETRANSLATE(A11337, ""en"", ""mt"")"),"il-biċċa l-kbira tas-siġġijiet")</f>
        <v>il-biċċa l-kbira tas-siġġijiet</v>
      </c>
    </row>
    <row r="11338" ht="15.75" customHeight="1">
      <c r="A11338" s="2" t="s">
        <v>11338</v>
      </c>
      <c r="B11338" s="2" t="str">
        <f>IFERROR(__xludf.DUMMYFUNCTION("GOOGLETRANSLATE(A11338, ""en"", ""mt"")"),"20 minuta")</f>
        <v>20 minuta</v>
      </c>
    </row>
    <row r="11339" ht="15.75" customHeight="1">
      <c r="A11339" s="2" t="s">
        <v>11339</v>
      </c>
      <c r="B11339" s="2" t="str">
        <f>IFERROR(__xludf.DUMMYFUNCTION("GOOGLETRANSLATE(A11339, ""en"", ""mt"")"),"F’Sett 1760 min innegozja kapitolazzjoni minn Montreal?")</f>
        <v>F’Sett 1760 min innegozja kapitolazzjoni minn Montreal?</v>
      </c>
    </row>
    <row r="11340" ht="15.75" customHeight="1">
      <c r="A11340" s="2" t="s">
        <v>11340</v>
      </c>
      <c r="B11340" s="2" t="str">
        <f>IFERROR(__xludf.DUMMYFUNCTION("GOOGLETRANSLATE(A11340, ""en"", ""mt"")"),"kloroplast tal-alka ħamra")</f>
        <v>kloroplast tal-alka ħamra</v>
      </c>
    </row>
    <row r="11341" ht="15.75" customHeight="1">
      <c r="A11341" s="2" t="s">
        <v>11341</v>
      </c>
      <c r="B11341" s="2" t="str">
        <f>IFERROR(__xludf.DUMMYFUNCTION("GOOGLETRANSLATE(A11341, ""en"", ""mt"")"),"Skultura Ewropea post-klassika")</f>
        <v>Skultura Ewropea post-klassika</v>
      </c>
    </row>
    <row r="11342" ht="15.75" customHeight="1">
      <c r="A11342" s="2" t="s">
        <v>11342</v>
      </c>
      <c r="B11342" s="2" t="str">
        <f>IFERROR(__xludf.DUMMYFUNCTION("GOOGLETRANSLATE(A11342, ""en"", ""mt"")"),"Fl-Istati tal-Istati Uniti, x'jiġri mill-istennija tal-ħajja f'dawk inqas ekonomikament ugwali?")</f>
        <v>Fl-Istati tal-Istati Uniti, x'jiġri mill-istennija tal-ħajja f'dawk inqas ekonomikament ugwali?</v>
      </c>
    </row>
    <row r="11343" ht="15.75" customHeight="1">
      <c r="A11343" s="2" t="s">
        <v>11343</v>
      </c>
      <c r="B11343" s="2" t="str">
        <f>IFERROR(__xludf.DUMMYFUNCTION("GOOGLETRANSLATE(A11343, ""en"", ""mt"")"),"Protestantiżmu")</f>
        <v>Protestantiżmu</v>
      </c>
    </row>
    <row r="11344" ht="15.75" customHeight="1">
      <c r="A11344" s="2" t="s">
        <v>11344</v>
      </c>
      <c r="B11344" s="2" t="str">
        <f>IFERROR(__xludf.DUMMYFUNCTION("GOOGLETRANSLATE(A11344, ""en"", ""mt"")"),"L-operatur tal-ferrovija Virgin Trains East Coast jipprovdi frekwenza nofs siegħa ta 'ferroviji lil London King's Cross, b'ħin ta' vjaġġ ta 'madwar tliet sigħat, dawn is-servizzi jsejħu f'Durham, Darlington, York, Doncaster, Newark North Gate u Peterborou"&amp;"gh u North sa l-Iskozja Il-ferroviji kollha li jsejħu f'Edinburgu u numru żgħir ta 'ferroviji estiżi għal Glasgow, Aberdeen u Inverness. Ferroviji tal-crosscountry iservu destinazzjonijiet fil-Yorkshire, il-Midlands u l-Lbiċ. L-ewwel Transpennine Express "&amp;"topera servizzi għal Manchester u Liverpool. Il-ferrovija tat-Tramuntana tipprovdi servizzi lokali u reġjonali.")</f>
        <v>L-operatur tal-ferrovija Virgin Trains East Coast jipprovdi frekwenza nofs siegħa ta 'ferroviji lil London King's Cross, b'ħin ta' vjaġġ ta 'madwar tliet sigħat, dawn is-servizzi jsejħu f'Durham, Darlington, York, Doncaster, Newark North Gate u Peterborough u North sa l-Iskozja Il-ferroviji kollha li jsejħu f'Edinburgu u numru żgħir ta 'ferroviji estiżi għal Glasgow, Aberdeen u Inverness. Ferroviji tal-crosscountry iservu destinazzjonijiet fil-Yorkshire, il-Midlands u l-Lbiċ. L-ewwel Transpennine Express topera servizzi għal Manchester u Liverpool. Il-ferrovija tat-Tramuntana tipprovdi servizzi lokali u reġjonali.</v>
      </c>
    </row>
    <row r="11345" ht="15.75" customHeight="1">
      <c r="A11345" s="2" t="s">
        <v>11345</v>
      </c>
      <c r="B11345" s="2" t="str">
        <f>IFERROR(__xludf.DUMMYFUNCTION("GOOGLETRANSLATE(A11345, ""en"", ""mt"")"),"Żieda fil-karozzi importati fl-Amerika ta 'Fuq")</f>
        <v>Żieda fil-karozzi importati fl-Amerika ta 'Fuq</v>
      </c>
    </row>
    <row r="11346" ht="15.75" customHeight="1">
      <c r="A11346" s="2" t="s">
        <v>11346</v>
      </c>
      <c r="B11346" s="2" t="str">
        <f>IFERROR(__xludf.DUMMYFUNCTION("GOOGLETRANSLATE(A11346, ""en"", ""mt"")"),"uffiċċji u kamra tal-bord")</f>
        <v>uffiċċji u kamra tal-bord</v>
      </c>
    </row>
    <row r="11347" ht="15.75" customHeight="1">
      <c r="A11347" s="2" t="s">
        <v>11347</v>
      </c>
      <c r="B11347" s="2" t="str">
        <f>IFERROR(__xludf.DUMMYFUNCTION("GOOGLETRANSLATE(A11347, ""en"", ""mt"")"),"Inugwaljanzi ekonomiċi sistematiċi")</f>
        <v>Inugwaljanzi ekonomiċi sistematiċi</v>
      </c>
    </row>
    <row r="11348" ht="15.75" customHeight="1">
      <c r="A11348" s="2" t="s">
        <v>11348</v>
      </c>
      <c r="B11348" s="2" t="str">
        <f>IFERROR(__xludf.DUMMYFUNCTION("GOOGLETRANSLATE(A11348, ""en"", ""mt"")"),"Il-Parlament Brittaniku")</f>
        <v>Il-Parlament Brittaniku</v>
      </c>
    </row>
    <row r="11349" ht="15.75" customHeight="1">
      <c r="A11349" s="2" t="s">
        <v>11349</v>
      </c>
      <c r="B11349" s="2" t="str">
        <f>IFERROR(__xludf.DUMMYFUNCTION("GOOGLETRANSLATE(A11349, ""en"", ""mt"")"),"Ir-Revoka tal-Editt ta 'Nantes")</f>
        <v>Ir-Revoka tal-Editt ta 'Nantes</v>
      </c>
    </row>
    <row r="11350" ht="15.75" customHeight="1">
      <c r="A11350" s="2" t="s">
        <v>11350</v>
      </c>
      <c r="B11350" s="2" t="str">
        <f>IFERROR(__xludf.DUMMYFUNCTION("GOOGLETRANSLATE(A11350, ""en"", ""mt"")"),"Kemm il-flus inħallu Francovich jitlob mill-gvern Taljan fid-danni?")</f>
        <v>Kemm il-flus inħallu Francovich jitlob mill-gvern Taljan fid-danni?</v>
      </c>
    </row>
    <row r="11351" ht="15.75" customHeight="1">
      <c r="A11351" s="2" t="s">
        <v>11351</v>
      </c>
      <c r="B11351" s="2" t="str">
        <f>IFERROR(__xludf.DUMMYFUNCTION("GOOGLETRANSLATE(A11351, ""en"", ""mt"")"),"Żigarelli ħomor fil-logo intużaw biex jirrappreżentaw liema diviżjoni ta 'ABC?")</f>
        <v>Żigarelli ħomor fil-logo intużaw biex jirrappreżentaw liema diviżjoni ta 'ABC?</v>
      </c>
    </row>
    <row r="11352" ht="15.75" customHeight="1">
      <c r="A11352" s="2" t="s">
        <v>11352</v>
      </c>
      <c r="B11352" s="2" t="str">
        <f>IFERROR(__xludf.DUMMYFUNCTION("GOOGLETRANSLATE(A11352, ""en"", ""mt"")"),"Liema Teorema tiddikjara li l-interi kollha fard kbar jistgħu jiġu espressi bħala somma ta 'tliet primes?")</f>
        <v>Liema Teorema tiddikjara li l-interi kollha fard kbar jistgħu jiġu espressi bħala somma ta 'tliet primes?</v>
      </c>
    </row>
    <row r="11353" ht="15.75" customHeight="1">
      <c r="A11353" s="2" t="s">
        <v>11353</v>
      </c>
      <c r="B11353" s="2" t="str">
        <f>IFERROR(__xludf.DUMMYFUNCTION("GOOGLETRANSLATE(A11353, ""en"", ""mt"")"),"X'inhi l-konfużjoni tal-Gwerra Franċiża u Indjana?")</f>
        <v>X'inhi l-konfużjoni tal-Gwerra Franċiża u Indjana?</v>
      </c>
    </row>
    <row r="11354" ht="15.75" customHeight="1">
      <c r="A11354" s="2" t="s">
        <v>11354</v>
      </c>
      <c r="B11354" s="2" t="str">
        <f>IFERROR(__xludf.DUMMYFUNCTION("GOOGLETRANSLATE(A11354, ""en"", ""mt"")"),"Irlandiż")</f>
        <v>Irlandiż</v>
      </c>
    </row>
    <row r="11355" ht="15.75" customHeight="1">
      <c r="A11355" s="2" t="s">
        <v>11355</v>
      </c>
      <c r="B11355" s="2" t="str">
        <f>IFERROR(__xludf.DUMMYFUNCTION("GOOGLETRANSLATE(A11355, ""en"", ""mt"")"),"F'liema forma huwa ttrasportat l-ossiġnu f'kontenituri iżgħar?")</f>
        <v>F'liema forma huwa ttrasportat l-ossiġnu f'kontenituri iżgħar?</v>
      </c>
    </row>
    <row r="11356" ht="15.75" customHeight="1">
      <c r="A11356" s="2" t="s">
        <v>11356</v>
      </c>
      <c r="B11356" s="2" t="str">
        <f>IFERROR(__xludf.DUMMYFUNCTION("GOOGLETRANSLATE(A11356, ""en"", ""mt"")"),"Fl-organizzazzjoni ta 'knisja ġdida, dak li Luther sab li ma jaħdimx għall-kongregazzjonijiet?")</f>
        <v>Fl-organizzazzjoni ta 'knisja ġdida, dak li Luther sab li ma jaħdimx għall-kongregazzjonijiet?</v>
      </c>
    </row>
    <row r="11357" ht="15.75" customHeight="1">
      <c r="A11357" s="2" t="s">
        <v>11357</v>
      </c>
      <c r="B11357" s="2" t="str">
        <f>IFERROR(__xludf.DUMMYFUNCTION("GOOGLETRANSLATE(A11357, ""en"", ""mt"")"),"Jegħleb sekulari")</f>
        <v>Jegħleb sekulari</v>
      </c>
    </row>
    <row r="11358" ht="15.75" customHeight="1">
      <c r="A11358" s="2" t="s">
        <v>11358</v>
      </c>
      <c r="B11358" s="2" t="str">
        <f>IFERROR(__xludf.DUMMYFUNCTION("GOOGLETRANSLATE(A11358, ""en"", ""mt"")"),"Kemm timijiet sa Super Bowl 50 ġew fil-logħba tal-kampjonat tmien darbiet?")</f>
        <v>Kemm timijiet sa Super Bowl 50 ġew fil-logħba tal-kampjonat tmien darbiet?</v>
      </c>
    </row>
    <row r="11359" ht="15.75" customHeight="1">
      <c r="A11359" s="2" t="s">
        <v>11359</v>
      </c>
      <c r="B11359" s="2" t="str">
        <f>IFERROR(__xludf.DUMMYFUNCTION("GOOGLETRANSLATE(A11359, ""en"", ""mt"")"),"Festival tal-Avvenimenti tad-Disinn")</f>
        <v>Festival tal-Avvenimenti tad-Disinn</v>
      </c>
    </row>
    <row r="11360" ht="15.75" customHeight="1">
      <c r="A11360" s="2" t="s">
        <v>11360</v>
      </c>
      <c r="B11360" s="2" t="str">
        <f>IFERROR(__xludf.DUMMYFUNCTION("GOOGLETRANSLATE(A11360, ""en"", ""mt"")"),"Id-dipartiment tal-kelma u l-immaġni tal-Mużew Victoria u Albert kien taħt l-istess pressjoni li qed jinħass fl-arkivji madwar id-dinja, biex jiddiġitizza l-kollezzjoni tagħhom. Proġett ta 'diġitizzazzjoni fuq skala kbira beda fl-2007 f'dak id-dipartiment"&amp;". Dak il-proġett kien intitolat il-proġett tal-fabbrika biex jirreferi lil Andy Warhol u biex joħloq fabbrika biex tiddiġitizza kompletament il-kollezzjoni. L-ewwel pass tal-proġett tal-fabbrika kien li jieħdu ritratti li jużaw kameras diġitali. Id-dipart"&amp;"iment tal-kelma u l-immaġini kellu ġabra ta 'ritratti qodma iżda kienu bl-iswed u bl-abjad u f'kundizzjonijiet varjanti, u għalhekk ġew sparati ritratti ġodda. Dawk ir-ritratti l-ġodda se jkunu aċċessibbli għar-riċerkaturi għas-sit web tal-Victoria u Albe"&amp;"rt Museum. 15,000 immaġini ttieħdu matul l-ewwel sena tal-proġett tal-fabbrika, inklużi tpinġijiet, akwarelli, arti ġġenerata mill-kompjuter, ritratti, posters u injam. It-tieni pass tal-proġett tal-fabbrika huwa li tikkataloga kollox. It-tielet pass tal-"&amp;"proġett tal-fabbrika huwa li jivverifika l-kollezzjoni. Dawk l-oġġetti kollha li ġew fotografati u katalogati, għandhom jiġu vverifikati biex ikun żgur li dak kollu elenkat bħala li qiegħed fil-kollezzjoni nstab fiżikament waqt il-ħolqien tal-proġett tal-"&amp;"fabbrika. Ir-raba 'għan tal-proġett tal-fabbrika huwa l-konservazzjoni, li jfisser li twettaq xi proċeduri bażiċi li jistgħu jiġu evitati għal dawk l-oġġetti fid-dipartiment. Hemm karatteristika ta '""tfittxija fil-kollezzjonijiet"" fuq is-sit web Victori"&amp;"a u Albert. L-impetu ewlieni wara l-proġett ta 'diġitizzazzjoni fuq skala kbira msejjaħ il-proġett tal-fabbrika kien li jelenka aktar oġġetti fil-kollezzjonijiet f'dawk il-bażijiet tad-dejta tal-kompjuter.")</f>
        <v>Id-dipartiment tal-kelma u l-immaġni tal-Mużew Victoria u Albert kien taħt l-istess pressjoni li qed jinħass fl-arkivji madwar id-dinja, biex jiddiġitizza l-kollezzjoni tagħhom. Proġett ta 'diġitizzazzjoni fuq skala kbira beda fl-2007 f'dak id-dipartiment. Dak il-proġett kien intitolat il-proġett tal-fabbrika biex jirreferi lil Andy Warhol u biex joħloq fabbrika biex tiddiġitizza kompletament il-kollezzjoni. L-ewwel pass tal-proġett tal-fabbrika kien li jieħdu ritratti li jużaw kameras diġitali. Id-dipartiment tal-kelma u l-immaġini kellu ġabra ta 'ritratti qodma iżda kienu bl-iswed u bl-abjad u f'kundizzjonijiet varjanti, u għalhekk ġew sparati ritratti ġodda. Dawk ir-ritratti l-ġodda se jkunu aċċessibbli għar-riċerkaturi għas-sit web tal-Victoria u Albert Museum. 15,000 immaġini ttieħdu matul l-ewwel sena tal-proġett tal-fabbrika, inklużi tpinġijiet, akwarelli, arti ġġenerata mill-kompjuter, ritratti, posters u injam. It-tieni pass tal-proġett tal-fabbrika huwa li tikkataloga kollox. It-tielet pass tal-proġett tal-fabbrika huwa li jivverifika l-kollezzjoni. Dawk l-oġġetti kollha li ġew fotografati u katalogati, għandhom jiġu vverifikati biex ikun żgur li dak kollu elenkat bħala li qiegħed fil-kollezzjoni nstab fiżikament waqt il-ħolqien tal-proġett tal-fabbrika. Ir-raba 'għan tal-proġett tal-fabbrika huwa l-konservazzjoni, li jfisser li twettaq xi proċeduri bażiċi li jistgħu jiġu evitati għal dawk l-oġġetti fid-dipartiment. Hemm karatteristika ta '"tfittxija fil-kollezzjonijiet" fuq is-sit web Victoria u Albert. L-impetu ewlieni wara l-proġett ta 'diġitizzazzjoni fuq skala kbira msejjaħ il-proġett tal-fabbrika kien li jelenka aktar oġġetti fil-kollezzjonijiet f'dawk il-bażijiet tad-dejta tal-kompjuter.</v>
      </c>
    </row>
    <row r="11361" ht="15.75" customHeight="1">
      <c r="A11361" s="2" t="s">
        <v>11361</v>
      </c>
      <c r="B11361" s="2" t="str">
        <f>IFERROR(__xludf.DUMMYFUNCTION("GOOGLETRANSLATE(A11361, ""en"", ""mt"")"),"Kemm-il sena ġie nnominat premjijiet li ġie nnominat, matul is-snin?")</f>
        <v>Kemm-il sena ġie nnominat premjijiet li ġie nnominat, matul is-snin?</v>
      </c>
    </row>
    <row r="11362" ht="15.75" customHeight="1">
      <c r="A11362" s="2" t="s">
        <v>11362</v>
      </c>
      <c r="B11362" s="2" t="str">
        <f>IFERROR(__xludf.DUMMYFUNCTION("GOOGLETRANSLATE(A11362, ""en"", ""mt"")"),"Organizzazzjoni terroristika")</f>
        <v>Organizzazzjoni terroristika</v>
      </c>
    </row>
    <row r="11363" ht="15.75" customHeight="1">
      <c r="A11363" s="2" t="s">
        <v>11363</v>
      </c>
      <c r="B11363" s="2" t="str">
        <f>IFERROR(__xludf.DUMMYFUNCTION("GOOGLETRANSLATE(A11363, ""en"", ""mt"")"),"f’moħħu.")</f>
        <v>f’moħħu.</v>
      </c>
    </row>
    <row r="11364" ht="15.75" customHeight="1">
      <c r="A11364" s="2" t="s">
        <v>11364</v>
      </c>
      <c r="B11364" s="2" t="str">
        <f>IFERROR(__xludf.DUMMYFUNCTION("GOOGLETRANSLATE(A11364, ""en"", ""mt"")"),"Proplastidi mhux differenzjati misjuba fiż-żygote")</f>
        <v>Proplastidi mhux differenzjati misjuba fiż-żygote</v>
      </c>
    </row>
    <row r="11365" ht="15.75" customHeight="1">
      <c r="A11365" s="2" t="s">
        <v>11365</v>
      </c>
      <c r="B11365" s="2" t="str">
        <f>IFERROR(__xludf.DUMMYFUNCTION("GOOGLETRANSLATE(A11365, ""en"", ""mt"")"),"Bob Gallion")</f>
        <v>Bob Gallion</v>
      </c>
    </row>
    <row r="11366" ht="15.75" customHeight="1">
      <c r="A11366" s="2" t="s">
        <v>11366</v>
      </c>
      <c r="B11366" s="2" t="str">
        <f>IFERROR(__xludf.DUMMYFUNCTION("GOOGLETRANSLATE(A11366, ""en"", ""mt"")"),"Każ tal-Qorti Suprema")</f>
        <v>Każ tal-Qorti Suprema</v>
      </c>
    </row>
    <row r="11367" ht="15.75" customHeight="1">
      <c r="A11367" s="2" t="s">
        <v>11367</v>
      </c>
      <c r="B11367" s="2" t="str">
        <f>IFERROR(__xludf.DUMMYFUNCTION("GOOGLETRANSLATE(A11367, ""en"", ""mt"")"),"F'liema università tinsab Bellomy Field?")</f>
        <v>F'liema università tinsab Bellomy Field?</v>
      </c>
    </row>
    <row r="11368" ht="15.75" customHeight="1">
      <c r="A11368" s="2" t="s">
        <v>11368</v>
      </c>
      <c r="B11368" s="2" t="str">
        <f>IFERROR(__xludf.DUMMYFUNCTION("GOOGLETRANSLATE(A11368, ""en"", ""mt"")"),"Parks lussużi u ġonna rjali")</f>
        <v>Parks lussużi u ġonna rjali</v>
      </c>
    </row>
    <row r="11369" ht="15.75" customHeight="1">
      <c r="A11369" s="2" t="s">
        <v>11369</v>
      </c>
      <c r="B11369" s="2" t="str">
        <f>IFERROR(__xludf.DUMMYFUNCTION("GOOGLETRANSLATE(A11369, ""en"", ""mt"")"),"Ir-Renju Unit u Franza kellhom interruzzjonijiet mhux fil-provvista taż-żejt tagħhom peress li ma ħallewx liema pajjiż jużaw il-mitjar tagħhom?")</f>
        <v>Ir-Renju Unit u Franza kellhom interruzzjonijiet mhux fil-provvista taż-żejt tagħhom peress li ma ħallewx liema pajjiż jużaw il-mitjar tagħhom?</v>
      </c>
    </row>
    <row r="11370" ht="15.75" customHeight="1">
      <c r="A11370" s="2" t="s">
        <v>11370</v>
      </c>
      <c r="B11370" s="2" t="str">
        <f>IFERROR(__xludf.DUMMYFUNCTION("GOOGLETRANSLATE(A11370, ""en"", ""mt"")"),"X'inhu l-kloroplasti li jdawru?")</f>
        <v>X'inhu l-kloroplasti li jdawru?</v>
      </c>
    </row>
    <row r="11371" ht="15.75" customHeight="1">
      <c r="A11371" s="2" t="s">
        <v>11371</v>
      </c>
      <c r="B11371" s="2" t="str">
        <f>IFERROR(__xludf.DUMMYFUNCTION("GOOGLETRANSLATE(A11371, ""en"", ""mt"")"),"Xi jipprotestaw xi nies?")</f>
        <v>Xi jipprotestaw xi nies?</v>
      </c>
    </row>
    <row r="11372" ht="15.75" customHeight="1">
      <c r="A11372" s="2" t="s">
        <v>11372</v>
      </c>
      <c r="B11372" s="2" t="str">
        <f>IFERROR(__xludf.DUMMYFUNCTION("GOOGLETRANSLATE(A11372, ""en"", ""mt"")"),"Il-kitbiet ta ’Luther ċċirkolaw b’mod wiesa’, u laħqu Franza, l-Ingilterra, u l-Italja kmieni mill-1519. Studenti mxarrba lejn Wittenberg biex jisimgħu lil Luther jitkellem. Ippubblika kummentarju qasir dwar Galatin u x-xogħol tiegħu fuq is-Salmi. Din il-"&amp;"parti bikrija tal-karriera ta 'Luther kienet waħda mill-iktar kreattivi u produttivi tiegħu. Tlieta mix-xogħlijiet l-iktar magħrufa tiegħu ġew ippubblikati fl-1520: għan-nobbli Nisranija tan-nazzjon Ġermaniż, fuq il-magħluq Babilonjan tal-knisja, u fuq il"&amp;"-libertà ta 'Nisrani.")</f>
        <v>Il-kitbiet ta ’Luther ċċirkolaw b’mod wiesa’, u laħqu Franza, l-Ingilterra, u l-Italja kmieni mill-1519. Studenti mxarrba lejn Wittenberg biex jisimgħu lil Luther jitkellem. Ippubblika kummentarju qasir dwar Galatin u x-xogħol tiegħu fuq is-Salmi. Din il-parti bikrija tal-karriera ta 'Luther kienet waħda mill-iktar kreattivi u produttivi tiegħu. Tlieta mix-xogħlijiet l-iktar magħrufa tiegħu ġew ippubblikati fl-1520: għan-nobbli Nisranija tan-nazzjon Ġermaniż, fuq il-magħluq Babilonjan tal-knisja, u fuq il-libertà ta 'Nisrani.</v>
      </c>
    </row>
    <row r="11373" ht="15.75" customHeight="1">
      <c r="A11373" s="2" t="s">
        <v>11373</v>
      </c>
      <c r="B11373" s="2" t="str">
        <f>IFERROR(__xludf.DUMMYFUNCTION("GOOGLETRANSLATE(A11373, ""en"", ""mt"")"),"Yuan_dynasty")</f>
        <v>Yuan_dynasty</v>
      </c>
    </row>
    <row r="11374" ht="15.75" customHeight="1">
      <c r="A11374" s="2" t="s">
        <v>11374</v>
      </c>
      <c r="B11374" s="2" t="str">
        <f>IFERROR(__xludf.DUMMYFUNCTION("GOOGLETRANSLATE(A11374, ""en"", ""mt"")"),"mekkaniżmu li bih Y. pestis ġeneralment kien trasmess")</f>
        <v>mekkaniżmu li bih Y. pestis ġeneralment kien trasmess</v>
      </c>
    </row>
    <row r="11375" ht="15.75" customHeight="1">
      <c r="A11375" s="2" t="s">
        <v>11375</v>
      </c>
      <c r="B11375" s="2" t="str">
        <f>IFERROR(__xludf.DUMMYFUNCTION("GOOGLETRANSLATE(A11375, ""en"", ""mt"")"),"Qorti Suprema ta 'l-Istati Uniti")</f>
        <v>Qorti Suprema ta 'l-Istati Uniti</v>
      </c>
    </row>
    <row r="11376" ht="15.75" customHeight="1">
      <c r="A11376" s="2" t="s">
        <v>11376</v>
      </c>
      <c r="B11376" s="2" t="str">
        <f>IFERROR(__xludf.DUMMYFUNCTION("GOOGLETRANSLATE(A11376, ""en"", ""mt"")"),"Is-Seminarju Teoloġiku ta ’Chicago")</f>
        <v>Is-Seminarju Teoloġiku ta ’Chicago</v>
      </c>
    </row>
    <row r="11377" ht="15.75" customHeight="1">
      <c r="A11377" s="2" t="s">
        <v>11377</v>
      </c>
      <c r="B11377" s="2" t="str">
        <f>IFERROR(__xludf.DUMMYFUNCTION("GOOGLETRANSLATE(A11377, ""en"", ""mt"")"),"maħluqa")</f>
        <v>maħluqa</v>
      </c>
    </row>
    <row r="11378" ht="15.75" customHeight="1">
      <c r="A11378" s="2" t="s">
        <v>11378</v>
      </c>
      <c r="B11378" s="2" t="str">
        <f>IFERROR(__xludf.DUMMYFUNCTION("GOOGLETRANSLATE(A11378, ""en"", ""mt"")"),"Kemm hemm nies li għexu fir-reġjun tal-Amażonja matul il-1500 AD?")</f>
        <v>Kemm hemm nies li għexu fir-reġjun tal-Amażonja matul il-1500 AD?</v>
      </c>
    </row>
    <row r="11379" ht="15.75" customHeight="1">
      <c r="A11379" s="2" t="s">
        <v>11379</v>
      </c>
      <c r="B11379" s="2" t="str">
        <f>IFERROR(__xludf.DUMMYFUNCTION("GOOGLETRANSLATE(A11379, ""en"", ""mt"")"),"Musulman u Ċiniż")</f>
        <v>Musulman u Ċiniż</v>
      </c>
    </row>
    <row r="11380" ht="15.75" customHeight="1">
      <c r="A11380" s="2" t="s">
        <v>11380</v>
      </c>
      <c r="B11380" s="2" t="str">
        <f>IFERROR(__xludf.DUMMYFUNCTION("GOOGLETRANSLATE(A11380, ""en"", ""mt"")"),"Hemm ħafna kunċetti ta 'għalliema fl-Islam, li jvarjaw minn mullahs (l-għalliema fil-madrassas) għal Ulemas, li jgħallmu l-liġijiet tal-Iżlam għall-mod xieraq ta' għajxien Iżlamiku skond is-Sunnah u Ahadith, u jistgħu jirrendu verdetti legali fuq kwistjon"&amp;"ijiet ta ' Liġi Iżlamika skont it-tagħlim ta 'waħda mill-erba' skejjel ta 'ġurisprudenza. Fit-tradizzjoni Iżlamika aktar spiritwali jew mistika tas-Sufiżmu, il-pożizzjoni ta 'għalliem spiritwali u esoteriku (għall-kuntrarju ta' eżoteriċi, jew orjentati le"&amp;"jn l-azzjonijiet, e.g. il-ħames pilastri tal-Iżlam) l-ispiritwalità u l-għarfien spiritwali jieħdu dimensjoni aktar importanti, b'enfasi Meta jitgħallmu mill-qaddisin ħajjin - l-ogħla wieħed minnhom huwa QUTB - u ta 'tradizzjonijiet mgħoddija mill-bidu għ"&amp;"all-bidu, u traċċabbli lura lill-fundatur tal-ordni.")</f>
        <v>Hemm ħafna kunċetti ta 'għalliema fl-Islam, li jvarjaw minn mullahs (l-għalliema fil-madrassas) għal Ulemas, li jgħallmu l-liġijiet tal-Iżlam għall-mod xieraq ta' għajxien Iżlamiku skond is-Sunnah u Ahadith, u jistgħu jirrendu verdetti legali fuq kwistjonijiet ta ' Liġi Iżlamika skont it-tagħlim ta 'waħda mill-erba' skejjel ta 'ġurisprudenza. Fit-tradizzjoni Iżlamika aktar spiritwali jew mistika tas-Sufiżmu, il-pożizzjoni ta 'għalliem spiritwali u esoteriku (għall-kuntrarju ta' eżoteriċi, jew orjentati lejn l-azzjonijiet, e.g. il-ħames pilastri tal-Iżlam) l-ispiritwalità u l-għarfien spiritwali jieħdu dimensjoni aktar importanti, b'enfasi Meta jitgħallmu mill-qaddisin ħajjin - l-ogħla wieħed minnhom huwa QUTB - u ta 'tradizzjonijiet mgħoddija mill-bidu għall-bidu, u traċċabbli lura lill-fundatur tal-ordni.</v>
      </c>
    </row>
    <row r="11381" ht="15.75" customHeight="1">
      <c r="A11381" s="2" t="s">
        <v>11381</v>
      </c>
      <c r="B11381" s="2" t="str">
        <f>IFERROR(__xludf.DUMMYFUNCTION("GOOGLETRANSLATE(A11381, ""en"", ""mt"")"),"Wrecking")</f>
        <v>Wrecking</v>
      </c>
    </row>
    <row r="11382" ht="15.75" customHeight="1">
      <c r="A11382" s="2" t="s">
        <v>11382</v>
      </c>
      <c r="B11382" s="2" t="str">
        <f>IFERROR(__xludf.DUMMYFUNCTION("GOOGLETRANSLATE(A11382, ""en"", ""mt"")"),"X’użat Luther biex jiċċelebra l-qima?")</f>
        <v>X’użat Luther biex jiċċelebra l-qima?</v>
      </c>
    </row>
    <row r="11383" ht="15.75" customHeight="1">
      <c r="A11383" s="2" t="s">
        <v>11383</v>
      </c>
      <c r="B11383" s="2" t="str">
        <f>IFERROR(__xludf.DUMMYFUNCTION("GOOGLETRANSLATE(A11383, ""en"", ""mt"")"),"Liema tip ta 'qasam ġeneralment jintgħażel għal-logħob tas-Super Bowl?")</f>
        <v>Liema tip ta 'qasam ġeneralment jintgħażel għal-logħob tas-Super Bowl?</v>
      </c>
    </row>
    <row r="11384" ht="15.75" customHeight="1">
      <c r="A11384" s="2" t="s">
        <v>11384</v>
      </c>
      <c r="B11384" s="2" t="str">
        <f>IFERROR(__xludf.DUMMYFUNCTION("GOOGLETRANSLATE(A11384, ""en"", ""mt"")"),"Xi jfisser kastig korporali li jikkawża student?")</f>
        <v>Xi jfisser kastig korporali li jikkawża student?</v>
      </c>
    </row>
    <row r="11385" ht="15.75" customHeight="1">
      <c r="A11385" s="2" t="s">
        <v>11385</v>
      </c>
      <c r="B11385" s="2" t="str">
        <f>IFERROR(__xludf.DUMMYFUNCTION("GOOGLETRANSLATE(A11385, ""en"", ""mt"")"),"Inugwaljanza bejn is-sessi fl-edukazzjoni")</f>
        <v>Inugwaljanza bejn is-sessi fl-edukazzjoni</v>
      </c>
    </row>
    <row r="11386" ht="15.75" customHeight="1">
      <c r="A11386" s="2" t="s">
        <v>11386</v>
      </c>
      <c r="B11386" s="2" t="str">
        <f>IFERROR(__xludf.DUMMYFUNCTION("GOOGLETRANSLATE(A11386, ""en"", ""mt"")"),"X'tip ta 'impjant tal-manifattura dalwaqt qed titlef?")</f>
        <v>X'tip ta 'impjant tal-manifattura dalwaqt qed titlef?</v>
      </c>
    </row>
    <row r="11387" ht="15.75" customHeight="1">
      <c r="A11387" s="2" t="s">
        <v>11387</v>
      </c>
      <c r="B11387" s="2" t="str">
        <f>IFERROR(__xludf.DUMMYFUNCTION("GOOGLETRANSLATE(A11387, ""en"", ""mt"")"),"Talb tal-mewt")</f>
        <v>Talb tal-mewt</v>
      </c>
    </row>
    <row r="11388" ht="15.75" customHeight="1">
      <c r="A11388" s="2" t="s">
        <v>11388</v>
      </c>
      <c r="B11388" s="2" t="str">
        <f>IFERROR(__xludf.DUMMYFUNCTION("GOOGLETRANSLATE(A11388, ""en"", ""mt"")"),"larva tal-ħut u organiżmi")</f>
        <v>larva tal-ħut u organiżmi</v>
      </c>
    </row>
    <row r="11389" ht="15.75" customHeight="1">
      <c r="A11389" s="2" t="s">
        <v>11389</v>
      </c>
      <c r="B11389" s="2" t="str">
        <f>IFERROR(__xludf.DUMMYFUNCTION("GOOGLETRANSLATE(A11389, ""en"", ""mt"")"),"zip ""il-ħalq jingħalaq meta l-annimal ma jkunx qed jitma ',")</f>
        <v>zip "il-ħalq jingħalaq meta l-annimal ma jkunx qed jitma ',</v>
      </c>
    </row>
    <row r="11390" ht="15.75" customHeight="1">
      <c r="A11390" s="2" t="s">
        <v>11390</v>
      </c>
      <c r="B11390" s="2" t="str">
        <f>IFERROR(__xludf.DUMMYFUNCTION("GOOGLETRANSLATE(A11390, ""en"", ""mt"")"),"X'inhu wieħed mis-sorsi supplimentari tal-liġi tal-Unjoni Ewropea?")</f>
        <v>X'inhu wieħed mis-sorsi supplimentari tal-liġi tal-Unjoni Ewropea?</v>
      </c>
    </row>
    <row r="11391" ht="15.75" customHeight="1">
      <c r="A11391" s="2" t="s">
        <v>11391</v>
      </c>
      <c r="B11391" s="2" t="str">
        <f>IFERROR(__xludf.DUMMYFUNCTION("GOOGLETRANSLATE(A11391, ""en"", ""mt"")"),"Xi jfisser it-titlu Gür Khan?")</f>
        <v>Xi jfisser it-titlu Gür Khan?</v>
      </c>
    </row>
    <row r="11392" ht="15.75" customHeight="1">
      <c r="A11392" s="2" t="s">
        <v>11392</v>
      </c>
      <c r="B11392" s="2" t="str">
        <f>IFERROR(__xludf.DUMMYFUNCTION("GOOGLETRANSLATE(A11392, ""en"", ""mt"")"),"Allat tal-Eġittu,")</f>
        <v>Allat tal-Eġittu,</v>
      </c>
    </row>
    <row r="11393" ht="15.75" customHeight="1">
      <c r="A11393" s="2" t="s">
        <v>11393</v>
      </c>
      <c r="B11393" s="2" t="str">
        <f>IFERROR(__xludf.DUMMYFUNCTION("GOOGLETRANSLATE(A11393, ""en"", ""mt"")"),"Evidenza oħra tal-wallons u Huguenots f'Canterbury tinkludi blokka ta 'djar f'Turnagain Lane, fejn it-twieqi ta' Weavers jibqgħu ħajjin fis-sular ta 'fuq, peress li ħafna Huguenots ħadmu bħala nisġa. In-Weavers, dar nofs bl-iskeda mix-xmara, kienet is-sit"&amp;" ta 'skola ta' l-insiġ mill-aħħar tas-seklu 16 sal-1830. (Ġie adattat bħala restorant - ara illustrazzjoni hawn fuq. Id-dar toħroġ isimha minn skola ta 'l-insiġ li kien imċaqlaq hemm fl-aħħar snin tas-seklu 19, li reġa ’beda użu preċedenti.) Oħrajn refuġj"&amp;"ati pprattikaw il-varjetà ta’ okkupazzjonijiet meħtieġa biex isostnu l-komunità bħala distinta mill-popolazzjoni indiġena. Din is-separazzjoni ekonomika kienet il-kundizzjoni tal-aċċettazzjoni inizjali tar-refuġjati fil-belt. Huma stabbilixxew ukoll x'imk"&amp;"ien ieħor f'Kent, partikolarment Sandwich, Faversham u Maidstone - it-trobbija li fihom kien hemm knejjes refuġjati.")</f>
        <v>Evidenza oħra tal-wallons u Huguenots f'Canterbury tinkludi blokka ta 'djar f'Turnagain Lane, fejn it-twieqi ta' Weavers jibqgħu ħajjin fis-sular ta 'fuq, peress li ħafna Huguenots ħadmu bħala nisġa. In-Weavers, dar nofs bl-iskeda mix-xmara, kienet is-sit ta 'skola ta' l-insiġ mill-aħħar tas-seklu 16 sal-1830. (Ġie adattat bħala restorant - ara illustrazzjoni hawn fuq. Id-dar toħroġ isimha minn skola ta 'l-insiġ li kien imċaqlaq hemm fl-aħħar snin tas-seklu 19, li reġa ’beda użu preċedenti.) Oħrajn refuġjati pprattikaw il-varjetà ta’ okkupazzjonijiet meħtieġa biex isostnu l-komunità bħala distinta mill-popolazzjoni indiġena. Din is-separazzjoni ekonomika kienet il-kundizzjoni tal-aċċettazzjoni inizjali tar-refuġjati fil-belt. Huma stabbilixxew ukoll x'imkien ieħor f'Kent, partikolarment Sandwich, Faversham u Maidstone - it-trobbija li fihom kien hemm knejjes refuġjati.</v>
      </c>
    </row>
    <row r="11394" ht="15.75" customHeight="1">
      <c r="A11394" s="2" t="s">
        <v>11394</v>
      </c>
      <c r="B11394" s="2" t="str">
        <f>IFERROR(__xludf.DUMMYFUNCTION("GOOGLETRANSLATE(A11394, ""en"", ""mt"")"),"L-ostakli kimiċi jipproteġu wkoll kontra l-infezzjoni. Il-ġilda u l-passaġġ respiratorju jnixxu peptidi antimikrobiċi bħal β-defensins. Enżimi bħal-lisożima u l-fosfolipase A2 fil-bżieq, id-dmugħ u l-ħalib tas-sider huma wkoll antibatteriċi. It-tnixxija v"&amp;"aġinali sservi bħala barriera kimika wara l-menarche, meta jsiru kemmxejn aċidużi, filwaqt li l-isperma fiha difensini u żingu biex joqtlu patoġeni. Fl-istonku, l-aċidu gastriku u l-proteasi jservu bħala difiżi kimiċi qawwija kontra patoġeni inġeriti.")</f>
        <v>L-ostakli kimiċi jipproteġu wkoll kontra l-infezzjoni. Il-ġilda u l-passaġġ respiratorju jnixxu peptidi antimikrobiċi bħal β-defensins. Enżimi bħal-lisożima u l-fosfolipase A2 fil-bżieq, id-dmugħ u l-ħalib tas-sider huma wkoll antibatteriċi. It-tnixxija vaġinali sservi bħala barriera kimika wara l-menarche, meta jsiru kemmxejn aċidużi, filwaqt li l-isperma fiha difensini u żingu biex joqtlu patoġeni. Fl-istonku, l-aċidu gastriku u l-proteasi jservu bħala difiżi kimiċi qawwija kontra patoġeni inġeriti.</v>
      </c>
    </row>
    <row r="11395" ht="15.75" customHeight="1">
      <c r="A11395" s="2" t="s">
        <v>11395</v>
      </c>
      <c r="B11395" s="2" t="str">
        <f>IFERROR(__xludf.DUMMYFUNCTION("GOOGLETRANSLATE(A11395, ""en"", ""mt"")"),"Azzjoni Soċjali u Politika")</f>
        <v>Azzjoni Soċjali u Politika</v>
      </c>
    </row>
    <row r="11396" ht="15.75" customHeight="1">
      <c r="A11396" s="2" t="s">
        <v>11396</v>
      </c>
      <c r="B11396" s="2" t="str">
        <f>IFERROR(__xludf.DUMMYFUNCTION("GOOGLETRANSLATE(A11396, ""en"", ""mt"")"),"Kemm kien twil it-teatru tas-sajf fl-operazzjoni?")</f>
        <v>Kemm kien twil it-teatru tas-sajf fl-operazzjoni?</v>
      </c>
    </row>
    <row r="11397" ht="15.75" customHeight="1">
      <c r="A11397" s="2" t="s">
        <v>11397</v>
      </c>
      <c r="B11397" s="2" t="str">
        <f>IFERROR(__xludf.DUMMYFUNCTION("GOOGLETRANSLATE(A11397, ""en"", ""mt"")"),"X'inhu, meta kkombinat ma 'ammont kbir ta' xogħol, jista 'jikkontribwixxi għall-istress fuq ix-xogħol?")</f>
        <v>X'inhu, meta kkombinat ma 'ammont kbir ta' xogħol, jista 'jikkontribwixxi għall-istress fuq ix-xogħol?</v>
      </c>
    </row>
    <row r="11398" ht="15.75" customHeight="1">
      <c r="A11398" s="2" t="s">
        <v>11398</v>
      </c>
      <c r="B11398" s="2" t="str">
        <f>IFERROR(__xludf.DUMMYFUNCTION("GOOGLETRANSLATE(A11398, ""en"", ""mt"")"),"X'għandhom il-kloroplasti tal-kloroplastidan?")</f>
        <v>X'għandhom il-kloroplasti tal-kloroplastidan?</v>
      </c>
    </row>
    <row r="11399" ht="15.75" customHeight="1">
      <c r="A11399" s="2" t="s">
        <v>11399</v>
      </c>
      <c r="B11399" s="2" t="str">
        <f>IFERROR(__xludf.DUMMYFUNCTION("GOOGLETRANSLATE(A11399, ""en"", ""mt"")"),"L-ispettaklu l-qadim tal-pajjiż tal-punent fil-Fresno Barn")</f>
        <v>L-ispettaklu l-qadim tal-pajjiż tal-punent fil-Fresno Barn</v>
      </c>
    </row>
    <row r="11400" ht="15.75" customHeight="1">
      <c r="A11400" s="2" t="s">
        <v>11400</v>
      </c>
      <c r="B11400" s="2" t="str">
        <f>IFERROR(__xludf.DUMMYFUNCTION("GOOGLETRANSLATE(A11400, ""en"", ""mt"")"),"motiv għomja")</f>
        <v>motiv għomja</v>
      </c>
    </row>
    <row r="11401" ht="15.75" customHeight="1">
      <c r="A11401" s="2" t="s">
        <v>11401</v>
      </c>
      <c r="B11401" s="2" t="str">
        <f>IFERROR(__xludf.DUMMYFUNCTION("GOOGLETRANSLATE(A11401, ""en"", ""mt"")"),"Proġetti ta 'żvilupp fuq skala kbira")</f>
        <v>Proġetti ta 'żvilupp fuq skala kbira</v>
      </c>
    </row>
    <row r="11402" ht="15.75" customHeight="1">
      <c r="A11402" s="2" t="s">
        <v>11402</v>
      </c>
      <c r="B11402" s="2" t="str">
        <f>IFERROR(__xludf.DUMMYFUNCTION("GOOGLETRANSLATE(A11402, ""en"", ""mt"")"),"lokali-globali")</f>
        <v>lokali-globali</v>
      </c>
    </row>
    <row r="11403" ht="15.75" customHeight="1">
      <c r="A11403" s="2" t="s">
        <v>11403</v>
      </c>
      <c r="B11403" s="2" t="str">
        <f>IFERROR(__xludf.DUMMYFUNCTION("GOOGLETRANSLATE(A11403, ""en"", ""mt"")"),"Prattika tal-Ispiżerija Konsulent tiffoka aktar fuq ir-reviżjoni tal-iskema ta 'medikazzjoni (i.e. ""servizzi konjittivi"") milli fuq it-tqassim attwali tad-drogi. L-ispiżjara konsulenti l-aktar jaħdmu tipikament fid-djar tal-anzjani, iżda qegħdin dejjem "&amp;"aktar fergħat f'istituzzjonijiet oħra u f'ambjenti mhux istituzzjonali. Tradizzjonalment l-ispiżjara konsulenti ġeneralment kienu sidien ta 'negozji indipendenti, għalkemm fl-Istati Uniti ħafna issa jaħdmu għal bosta kumpaniji kbar ta' ġestjoni tal-ispiże"&amp;"rija (primarjament Omnicare, Kindred Healthcare u Pharmerica). Din ix-xejra tista 'tinqaleb gradwalment hekk kif l-ispiżjara konsulenti jibdew jaħdmu direttament mal-pazjenti, primarjament minħabba li ħafna nies anzjani issa qed jieħdu bosta mediċini iżda"&amp;" jkomplu jgħixu barra mill-ambjenti istituzzjonali. Xi spiżeriji tal-komunità jimpjegaw spiżjara konsulenti u / jew jipprovdu servizzi ta 'konsultazzjoni.")</f>
        <v>Prattika tal-Ispiżerija Konsulent tiffoka aktar fuq ir-reviżjoni tal-iskema ta 'medikazzjoni (i.e. "servizzi konjittivi") milli fuq it-tqassim attwali tad-drogi. L-ispiżjara konsulenti l-aktar jaħdmu tipikament fid-djar tal-anzjani, iżda qegħdin dejjem aktar fergħat f'istituzzjonijiet oħra u f'ambjenti mhux istituzzjonali. Tradizzjonalment l-ispiżjara konsulenti ġeneralment kienu sidien ta 'negozji indipendenti, għalkemm fl-Istati Uniti ħafna issa jaħdmu għal bosta kumpaniji kbar ta' ġestjoni tal-ispiżerija (primarjament Omnicare, Kindred Healthcare u Pharmerica). Din ix-xejra tista 'tinqaleb gradwalment hekk kif l-ispiżjara konsulenti jibdew jaħdmu direttament mal-pazjenti, primarjament minħabba li ħafna nies anzjani issa qed jieħdu bosta mediċini iżda jkomplu jgħixu barra mill-ambjenti istituzzjonali. Xi spiżeriji tal-komunità jimpjegaw spiżjara konsulenti u / jew jipprovdu servizzi ta 'konsultazzjoni.</v>
      </c>
    </row>
    <row r="11404" ht="15.75" customHeight="1">
      <c r="A11404" s="2" t="s">
        <v>11404</v>
      </c>
      <c r="B11404" s="2" t="str">
        <f>IFERROR(__xludf.DUMMYFUNCTION("GOOGLETRANSLATE(A11404, ""en"", ""mt"")"),"F'liema settur qed jibdew jonqsu l-impjiegi?")</f>
        <v>F'liema settur qed jibdew jonqsu l-impjiegi?</v>
      </c>
    </row>
    <row r="11405" ht="15.75" customHeight="1">
      <c r="A11405" s="2" t="s">
        <v>11405</v>
      </c>
      <c r="B11405" s="2" t="str">
        <f>IFERROR(__xludf.DUMMYFUNCTION("GOOGLETRANSLATE(A11405, ""en"", ""mt"")"),"Id-Dinja kellha frekwenza reżonanti")</f>
        <v>Id-Dinja kellha frekwenza reżonanti</v>
      </c>
    </row>
    <row r="11406" ht="15.75" customHeight="1">
      <c r="A11406" s="2" t="s">
        <v>11406</v>
      </c>
      <c r="B11406" s="2" t="str">
        <f>IFERROR(__xludf.DUMMYFUNCTION("GOOGLETRANSLATE(A11406, ""en"", ""mt"")"),"Dixxiplini varji tal-ispiżerija")</f>
        <v>Dixxiplini varji tal-ispiżerija</v>
      </c>
    </row>
    <row r="11407" ht="15.75" customHeight="1">
      <c r="A11407" s="2" t="s">
        <v>11407</v>
      </c>
      <c r="B11407" s="2" t="str">
        <f>IFERROR(__xludf.DUMMYFUNCTION("GOOGLETRANSLATE(A11407, ""en"", ""mt"")"),"bħala awditur")</f>
        <v>bħala awditur</v>
      </c>
    </row>
    <row r="11408" ht="15.75" customHeight="1">
      <c r="A11408" s="2" t="s">
        <v>11408</v>
      </c>
      <c r="B11408" s="2" t="str">
        <f>IFERROR(__xludf.DUMMYFUNCTION("GOOGLETRANSLATE(A11408, ""en"", ""mt"")"),"Omnicare, Kindred Healthcare u Pharmerica")</f>
        <v>Omnicare, Kindred Healthcare u Pharmerica</v>
      </c>
    </row>
    <row r="11409" ht="15.75" customHeight="1">
      <c r="A11409" s="2" t="s">
        <v>11409</v>
      </c>
      <c r="B11409" s="2" t="str">
        <f>IFERROR(__xludf.DUMMYFUNCTION("GOOGLETRANSLATE(A11409, ""en"", ""mt"")"),"żviluppat")</f>
        <v>żviluppat</v>
      </c>
    </row>
    <row r="11410" ht="15.75" customHeight="1">
      <c r="A11410" s="2" t="s">
        <v>11410</v>
      </c>
      <c r="B11410" s="2" t="str">
        <f>IFERROR(__xludf.DUMMYFUNCTION("GOOGLETRANSLATE(A11410, ""en"", ""mt"")"),"joffru paga ogħla l-aħjar ta 'xogħolhom")</f>
        <v>joffru paga ogħla l-aħjar ta 'xogħolhom</v>
      </c>
    </row>
    <row r="11411" ht="15.75" customHeight="1">
      <c r="A11411" s="2" t="s">
        <v>11411</v>
      </c>
      <c r="B11411" s="2" t="str">
        <f>IFERROR(__xludf.DUMMYFUNCTION("GOOGLETRANSLATE(A11411, ""en"", ""mt"")"),"Liema reġjun ivvinta l-mitralla?")</f>
        <v>Liema reġjun ivvinta l-mitralla?</v>
      </c>
    </row>
    <row r="11412" ht="15.75" customHeight="1">
      <c r="A11412" s="2" t="s">
        <v>11412</v>
      </c>
      <c r="B11412" s="2" t="str">
        <f>IFERROR(__xludf.DUMMYFUNCTION("GOOGLETRANSLATE(A11412, ""en"", ""mt"")"),"Tossini alkalojdi lipofiliċi")</f>
        <v>Tossini alkalojdi lipofiliċi</v>
      </c>
    </row>
    <row r="11413" ht="15.75" customHeight="1">
      <c r="A11413" s="2" t="s">
        <v>11413</v>
      </c>
      <c r="B11413" s="2" t="str">
        <f>IFERROR(__xludf.DUMMYFUNCTION("GOOGLETRANSLATE(A11413, ""en"", ""mt"")"),"Iċ-ċelloli jirrilaxxaw sinjali")</f>
        <v>Iċ-ċelloli jirrilaxxaw sinjali</v>
      </c>
    </row>
    <row r="11414" ht="15.75" customHeight="1">
      <c r="A11414" s="2" t="s">
        <v>11414</v>
      </c>
      <c r="B11414" s="2" t="str">
        <f>IFERROR(__xludf.DUMMYFUNCTION("GOOGLETRANSLATE(A11414, ""en"", ""mt"")"),"Qgħad")</f>
        <v>Qgħad</v>
      </c>
    </row>
    <row r="11415" ht="15.75" customHeight="1">
      <c r="A11415" s="2" t="s">
        <v>11415</v>
      </c>
      <c r="B11415" s="2" t="str">
        <f>IFERROR(__xludf.DUMMYFUNCTION("GOOGLETRANSLATE(A11415, ""en"", ""mt"")"),"Teorija waħda tissuġġerixxi li l-isem joħroġ minn verżjoni palatalizzata tal-kelma Mongoljana u Turkika Tenggis, li tfisser ""oċean"", ""oċeaniku"" jew ""mifrux wiesa '"". (Il-Lag Baikal u l-Oċean kienu jissejħu Tenggis mill-Mongoli. Madankollu, jidher li"&amp;" kieku kienu jfissru li jsejħu lil Genghis Tenggis huma setgħu qalu, u kitbu, ""Tenggis Khan"", li ma kinux.) Zhèng (Ċiniż: 正) Fis-sens ""dritt"", ""biss"", jew ""veru"", kien irċieva l-modifikatur tal-aġġettiv Mongoljan, li joħloq ""jenggis"", li fir-rum"&amp;"anizzazzjoni medjevali kienet tkun miktuba ""Genghis"". X'aktarx li l-pronunzja Mongoljana tas-seklu 13 tkun tqabbel mill-qrib ""Chinggis"".")</f>
        <v>Teorija waħda tissuġġerixxi li l-isem joħroġ minn verżjoni palatalizzata tal-kelma Mongoljana u Turkika Tenggis, li tfisser "oċean", "oċeaniku" jew "mifrux wiesa '". (Il-Lag Baikal u l-Oċean kienu jissejħu Tenggis mill-Mongoli. Madankollu, jidher li kieku kienu jfissru li jsejħu lil Genghis Tenggis huma setgħu qalu, u kitbu, "Tenggis Khan", li ma kinux.) Zhèng (Ċiniż: 正) Fis-sens "dritt", "biss", jew "veru", kien irċieva l-modifikatur tal-aġġettiv Mongoljan, li joħloq "jenggis", li fir-rumanizzazzjoni medjevali kienet tkun miktuba "Genghis". X'aktarx li l-pronunzja Mongoljana tas-seklu 13 tkun tqabbel mill-qrib "Chinggis".</v>
      </c>
    </row>
    <row r="11416" ht="15.75" customHeight="1">
      <c r="A11416" s="2" t="s">
        <v>11416</v>
      </c>
      <c r="B11416" s="2" t="str">
        <f>IFERROR(__xludf.DUMMYFUNCTION("GOOGLETRANSLATE(A11416, ""en"", ""mt"")"),"It-tagħlim fil-Kanada jeħtieġ grad ta 'baċellerat post-sekondarju. Fil-biċċa l-kbira tal-provinċji, it-tieni grad ta 'baċellerat bħal Baċellerat fl-Edukazzjoni huwa meħtieġ biex isir għalliem kwalifikat. Is-salarju jvarja minn $ 40,000 / sena għal $ 90,00"&amp;"0 / yr. L-għalliema għandhom l-għażla li jgħallmu għal skola pubblika li hija ffinanzjata mill-gvern provinċjali jew li tgħallem fi skola privata li hija ffinanzjata mis-settur privat, negozji u sponsors.")</f>
        <v>It-tagħlim fil-Kanada jeħtieġ grad ta 'baċellerat post-sekondarju. Fil-biċċa l-kbira tal-provinċji, it-tieni grad ta 'baċellerat bħal Baċellerat fl-Edukazzjoni huwa meħtieġ biex isir għalliem kwalifikat. Is-salarju jvarja minn $ 40,000 / sena għal $ 90,000 / yr. L-għalliema għandhom l-għażla li jgħallmu għal skola pubblika li hija ffinanzjata mill-gvern provinċjali jew li tgħallem fi skola privata li hija ffinanzjata mis-settur privat, negozji u sponsors.</v>
      </c>
    </row>
    <row r="11417" ht="15.75" customHeight="1">
      <c r="A11417" s="2" t="s">
        <v>11417</v>
      </c>
      <c r="B11417" s="2" t="str">
        <f>IFERROR(__xludf.DUMMYFUNCTION("GOOGLETRANSLATE(A11417, ""en"", ""mt"")"),"X'tip ta 'teknoloġija qed tissepara l-gassijiet mhux organiċi?")</f>
        <v>X'tip ta 'teknoloġija qed tissepara l-gassijiet mhux organiċi?</v>
      </c>
    </row>
    <row r="11418" ht="15.75" customHeight="1">
      <c r="A11418" s="2" t="s">
        <v>11418</v>
      </c>
      <c r="B11418" s="2" t="str">
        <f>IFERROR(__xludf.DUMMYFUNCTION("GOOGLETRANSLATE(A11418, ""en"", ""mt"")"),"Liema skola privata notevoli għandha dotazzjoni ta 'bosta mijiet ta' miljun dollaru?")</f>
        <v>Liema skola privata notevoli għandha dotazzjoni ta 'bosta mijiet ta' miljun dollaru?</v>
      </c>
    </row>
    <row r="11419" ht="15.75" customHeight="1">
      <c r="A11419" s="2" t="s">
        <v>11419</v>
      </c>
      <c r="B11419" s="2" t="str">
        <f>IFERROR(__xludf.DUMMYFUNCTION("GOOGLETRANSLATE(A11419, ""en"", ""mt"")"),"Xi tipprotesta kontra d-diżubbidjenza ċivili?")</f>
        <v>Xi tipprotesta kontra d-diżubbidjenza ċivili?</v>
      </c>
    </row>
    <row r="11420" ht="15.75" customHeight="1">
      <c r="A11420" s="2" t="s">
        <v>11420</v>
      </c>
      <c r="B11420" s="2" t="str">
        <f>IFERROR(__xludf.DUMMYFUNCTION("GOOGLETRANSLATE(A11420, ""en"", ""mt"")"),"fagoċiti")</f>
        <v>fagoċiti</v>
      </c>
    </row>
    <row r="11421" ht="15.75" customHeight="1">
      <c r="A11421" s="2" t="s">
        <v>11421</v>
      </c>
      <c r="B11421" s="2" t="str">
        <f>IFERROR(__xludf.DUMMYFUNCTION("GOOGLETRANSLATE(A11421, ""en"", ""mt"")"),"Irkoppa tar-Renu")</f>
        <v>Irkoppa tar-Renu</v>
      </c>
    </row>
    <row r="11422" ht="15.75" customHeight="1">
      <c r="A11422" s="2" t="s">
        <v>11422</v>
      </c>
      <c r="B11422" s="2" t="str">
        <f>IFERROR(__xludf.DUMMYFUNCTION("GOOGLETRANSLATE(A11422, ""en"", ""mt"")"),"Rieduċibilità fost problemi kombinatorji")</f>
        <v>Rieduċibilità fost problemi kombinatorji</v>
      </c>
    </row>
    <row r="11423" ht="15.75" customHeight="1">
      <c r="A11423" s="2" t="s">
        <v>11423</v>
      </c>
      <c r="B11423" s="2" t="str">
        <f>IFERROR(__xludf.DUMMYFUNCTION("GOOGLETRANSLATE(A11423, ""en"", ""mt"")"),"Charles u Ray Eames")</f>
        <v>Charles u Ray Eames</v>
      </c>
    </row>
    <row r="11424" ht="15.75" customHeight="1">
      <c r="A11424" s="2" t="s">
        <v>11424</v>
      </c>
      <c r="B11424" s="2" t="str">
        <f>IFERROR(__xludf.DUMMYFUNCTION("GOOGLETRANSLATE(A11424, ""en"", ""mt"")"),"Kemm presidenti Amerikani huma ex-studenti tal-iskola?")</f>
        <v>Kemm presidenti Amerikani huma ex-studenti tal-iskola?</v>
      </c>
    </row>
    <row r="11425" ht="15.75" customHeight="1">
      <c r="A11425" s="2" t="s">
        <v>11425</v>
      </c>
      <c r="B11425" s="2" t="str">
        <f>IFERROR(__xludf.DUMMYFUNCTION("GOOGLETRANSLATE(A11425, ""en"", ""mt"")"),"ossidu")</f>
        <v>ossidu</v>
      </c>
    </row>
    <row r="11426" ht="15.75" customHeight="1">
      <c r="A11426" s="2" t="s">
        <v>11426</v>
      </c>
      <c r="B11426" s="2" t="str">
        <f>IFERROR(__xludf.DUMMYFUNCTION("GOOGLETRANSLATE(A11426, ""en"", ""mt"")"),"Għarbi")</f>
        <v>Għarbi</v>
      </c>
    </row>
    <row r="11427" ht="15.75" customHeight="1">
      <c r="A11427" s="2" t="s">
        <v>11427</v>
      </c>
      <c r="B11427" s="2" t="str">
        <f>IFERROR(__xludf.DUMMYFUNCTION("GOOGLETRANSLATE(A11427, ""en"", ""mt"")"),"Għal xiex tikkontribwixxi l-popolarità tat-traduzzjoni ta 'Luther?")</f>
        <v>Għal xiex tikkontribwixxi l-popolarità tat-traduzzjoni ta 'Luther?</v>
      </c>
    </row>
    <row r="11428" ht="15.75" customHeight="1">
      <c r="A11428" s="2" t="s">
        <v>11428</v>
      </c>
      <c r="B11428" s="2" t="str">
        <f>IFERROR(__xludf.DUMMYFUNCTION("GOOGLETRANSLATE(A11428, ""en"", ""mt"")"),"Gvernatur Vaudreuil")</f>
        <v>Gvernatur Vaudreuil</v>
      </c>
    </row>
    <row r="11429" ht="15.75" customHeight="1">
      <c r="A11429" s="2" t="s">
        <v>11429</v>
      </c>
      <c r="B11429" s="2" t="str">
        <f>IFERROR(__xludf.DUMMYFUNCTION("GOOGLETRANSLATE(A11429, ""en"", ""mt"")"),"Il-mexxejja ta 'Bolshevik kienu stabbilixxew b'mod effettiv il-politika bejn wieħed u ieħor bl-istess punt bħal dak l-imperu sal-1921, madankollu b'ideoloġija internazzjonalista: Lenin b'mod partikolari afferma d-dritt għal awtodeterminazzjoni limitata għ"&amp;"al minoranzi nazzjonali fit-territorju l-ġdid. Mill-1923, il-politika ta '""indiġenizzazzjoni"" [Korenizatsiia] kienet maħsuba biex tappoġġja dawk li mhumiex Russi jiżviluppaw il-kulturi nazzjonali tagħhom fi ħdan qafas soċjalista. Qatt ma ġie revokat for"&amp;"malment, huwa waqaf jiġi implimentat wara l-1932. Wara t-Tieni Gwerra Dinjija, l-Unjoni Sovjetika installat reġimi soċjalisti mfassla fuq dawk li kienet installat fl-1919-20 fl-imperu tsarist il-qadim f'żoni l-forzi tagħha okkupati fl-Ewropa tal-Lvant. L-"&amp;"Unjoni Sovjetika u r-Repubblika tal-Poplu taċ-Ċina appoġġjaw il-movimenti komunisti ta 'wara t-Tieni Gwerra Dinjija f'pajjiżi barranin u kolonji biex javvanzaw l-interessi tagħhom stess, iżda mhux dejjem kellhom suċċess.")</f>
        <v>Il-mexxejja ta 'Bolshevik kienu stabbilixxew b'mod effettiv il-politika bejn wieħed u ieħor bl-istess punt bħal dak l-imperu sal-1921, madankollu b'ideoloġija internazzjonalista: Lenin b'mod partikolari afferma d-dritt għal awtodeterminazzjoni limitata għal minoranzi nazzjonali fit-territorju l-ġdid. Mill-1923, il-politika ta '"indiġenizzazzjoni" [Korenizatsiia] kienet maħsuba biex tappoġġja dawk li mhumiex Russi jiżviluppaw il-kulturi nazzjonali tagħhom fi ħdan qafas soċjalista. Qatt ma ġie revokat formalment, huwa waqaf jiġi implimentat wara l-1932. Wara t-Tieni Gwerra Dinjija, l-Unjoni Sovjetika installat reġimi soċjalisti mfassla fuq dawk li kienet installat fl-1919-20 fl-imperu tsarist il-qadim f'żoni l-forzi tagħha okkupati fl-Ewropa tal-Lvant. L-Unjoni Sovjetika u r-Repubblika tal-Poplu taċ-Ċina appoġġjaw il-movimenti komunisti ta 'wara t-Tieni Gwerra Dinjija f'pajjiżi barranin u kolonji biex javvanzaw l-interessi tagħhom stess, iżda mhux dejjem kellhom suċċess.</v>
      </c>
    </row>
    <row r="11430" ht="15.75" customHeight="1">
      <c r="A11430" s="2" t="s">
        <v>11430</v>
      </c>
      <c r="B11430" s="2" t="str">
        <f>IFERROR(__xludf.DUMMYFUNCTION("GOOGLETRANSLATE(A11430, ""en"", ""mt"")"),"Liema żewġ affarijiet l-informatika tal-ispiżerija tiġbor flimkien?")</f>
        <v>Liema żewġ affarijiet l-informatika tal-ispiżerija tiġbor flimkien?</v>
      </c>
    </row>
    <row r="11431" ht="15.75" customHeight="1">
      <c r="A11431" s="2" t="s">
        <v>11431</v>
      </c>
      <c r="B11431" s="2" t="str">
        <f>IFERROR(__xludf.DUMMYFUNCTION("GOOGLETRANSLATE(A11431, ""en"", ""mt"")"),"X'inhuma l-peptidi antimikrobiċi li huma l-forma ewlenija ta 'immunità sistemika invertebrati?")</f>
        <v>X'inhuma l-peptidi antimikrobiċi li huma l-forma ewlenija ta 'immunità sistemika invertebrati?</v>
      </c>
    </row>
    <row r="11432" ht="15.75" customHeight="1">
      <c r="A11432" s="2" t="s">
        <v>11432</v>
      </c>
      <c r="B11432" s="2" t="str">
        <f>IFERROR(__xludf.DUMMYFUNCTION("GOOGLETRANSLATE(A11432, ""en"", ""mt"")"),"In-naħa tax-Xlokk 'il bogħod")</f>
        <v>In-naħa tax-Xlokk 'il bogħod</v>
      </c>
    </row>
    <row r="11433" ht="15.75" customHeight="1">
      <c r="A11433" s="2" t="s">
        <v>11433</v>
      </c>
      <c r="B11433" s="2" t="str">
        <f>IFERROR(__xludf.DUMMYFUNCTION("GOOGLETRANSLATE(A11433, ""en"", ""mt"")"),"Fondazzjoni Nazzjonali tax-Xjenza")</f>
        <v>Fondazzjoni Nazzjonali tax-Xjenza</v>
      </c>
    </row>
    <row r="11434" ht="15.75" customHeight="1">
      <c r="A11434" s="2" t="s">
        <v>11434</v>
      </c>
      <c r="B11434" s="2" t="str">
        <f>IFERROR(__xludf.DUMMYFUNCTION("GOOGLETRANSLATE(A11434, ""en"", ""mt"")"),"Liema entitajiet għandhom setgħat ta 'emenda u veto matul il-proċess leġiżlattiv?")</f>
        <v>Liema entitajiet għandhom setgħat ta 'emenda u veto matul il-proċess leġiżlattiv?</v>
      </c>
    </row>
    <row r="11435" ht="15.75" customHeight="1">
      <c r="A11435" s="2" t="s">
        <v>11435</v>
      </c>
      <c r="B11435" s="2" t="str">
        <f>IFERROR(__xludf.DUMMYFUNCTION("GOOGLETRANSLATE(A11435, ""en"", ""mt"")"),"X'inhuma xi ikel normali tal-kolazzjon?")</f>
        <v>X'inhuma xi ikel normali tal-kolazzjon?</v>
      </c>
    </row>
    <row r="11436" ht="15.75" customHeight="1">
      <c r="A11436" s="2" t="s">
        <v>11436</v>
      </c>
      <c r="B11436" s="2" t="str">
        <f>IFERROR(__xludf.DUMMYFUNCTION("GOOGLETRANSLATE(A11436, ""en"", ""mt"")"),"X’ħadem fuq ir-raffinar sa tmiem ħajtu?")</f>
        <v>X’ħadem fuq ir-raffinar sa tmiem ħajtu?</v>
      </c>
    </row>
    <row r="11437" ht="15.75" customHeight="1">
      <c r="A11437" s="2" t="s">
        <v>11437</v>
      </c>
      <c r="B11437" s="2" t="str">
        <f>IFERROR(__xludf.DUMMYFUNCTION("GOOGLETRANSLATE(A11437, ""en"", ""mt"")"),"Kif tissejjaħ il-forza riżultanti meta żewġ forzi jaġixxu fuq partikula?")</f>
        <v>Kif tissejjaħ il-forza riżultanti meta żewġ forzi jaġixxu fuq partikula?</v>
      </c>
    </row>
    <row r="11438" ht="15.75" customHeight="1">
      <c r="A11438" s="2" t="s">
        <v>11438</v>
      </c>
      <c r="B11438" s="2" t="str">
        <f>IFERROR(__xludf.DUMMYFUNCTION("GOOGLETRANSLATE(A11438, ""en"", ""mt"")"),"Kilogramma-forza")</f>
        <v>Kilogramma-forza</v>
      </c>
    </row>
    <row r="11439" ht="15.75" customHeight="1">
      <c r="A11439" s="2" t="s">
        <v>11439</v>
      </c>
      <c r="B11439" s="2" t="str">
        <f>IFERROR(__xludf.DUMMYFUNCTION("GOOGLETRANSLATE(A11439, ""en"", ""mt"")"),"Twieqi tal-enerġija")</f>
        <v>Twieqi tal-enerġija</v>
      </c>
    </row>
    <row r="11440" ht="15.75" customHeight="1">
      <c r="A11440" s="2" t="s">
        <v>11440</v>
      </c>
      <c r="B11440" s="2" t="str">
        <f>IFERROR(__xludf.DUMMYFUNCTION("GOOGLETRANSLATE(A11440, ""en"", ""mt"")"),"Il-liġi tal-UE għandha l-primat")</f>
        <v>Il-liġi tal-UE għandha l-primat</v>
      </c>
    </row>
    <row r="11441" ht="15.75" customHeight="1">
      <c r="A11441" s="2" t="s">
        <v>11441</v>
      </c>
      <c r="B11441" s="2" t="str">
        <f>IFERROR(__xludf.DUMMYFUNCTION("GOOGLETRANSLATE(A11441, ""en"", ""mt"")"),"F'liema data seħħ l-ewwel vjaġġ bil-ferrovija fid-dinja?")</f>
        <v>F'liema data seħħ l-ewwel vjaġġ bil-ferrovija fid-dinja?</v>
      </c>
    </row>
    <row r="11442" ht="15.75" customHeight="1">
      <c r="A11442" s="2" t="s">
        <v>11442</v>
      </c>
      <c r="B11442" s="2" t="str">
        <f>IFERROR(__xludf.DUMMYFUNCTION("GOOGLETRANSLATE(A11442, ""en"", ""mt"")"),"In-nisa baqgħu segregati f'Radcliffe, għalkemm aktar u aktar ħadu klassijiet ta 'Harvard. Madankollu, il-popolazzjoni li għadhom ma ggradwawx ta 'Harvard baqgħet prinċipalment maskili, b'madwar erba' rġiel jattendu l-Kulleġġ ta 'Harvard għal kull mara li "&amp;"tistudja f'Radcliffe. Wara l-għaqda tal-ammissjonijiet ta 'Harvard u Radcliffe fl-1977, il-proporzjon ta' dawk li għadhom ma ggradwawx nisa żdied b'mod kostanti, u jirrifletti xejra matul l-edukazzjoni għolja fl-Istati Uniti. L-iskejjel gradwati ta 'Harva"&amp;"rd, li kienu aċċettaw nisa u gruppi oħra f'numri akbar anki qabel il-kulleġġ, saru wkoll aktar diversi fil-perjodu ta' wara t-Tieni Gwerra Dinjija.")</f>
        <v>In-nisa baqgħu segregati f'Radcliffe, għalkemm aktar u aktar ħadu klassijiet ta 'Harvard. Madankollu, il-popolazzjoni li għadhom ma ggradwawx ta 'Harvard baqgħet prinċipalment maskili, b'madwar erba' rġiel jattendu l-Kulleġġ ta 'Harvard għal kull mara li tistudja f'Radcliffe. Wara l-għaqda tal-ammissjonijiet ta 'Harvard u Radcliffe fl-1977, il-proporzjon ta' dawk li għadhom ma ggradwawx nisa żdied b'mod kostanti, u jirrifletti xejra matul l-edukazzjoni għolja fl-Istati Uniti. L-iskejjel gradwati ta 'Harvard, li kienu aċċettaw nisa u gruppi oħra f'numri akbar anki qabel il-kulleġġ, saru wkoll aktar diversi fil-perjodu ta' wara t-Tieni Gwerra Dinjija.</v>
      </c>
    </row>
    <row r="11443" ht="15.75" customHeight="1">
      <c r="A11443" s="2" t="s">
        <v>11443</v>
      </c>
      <c r="B11443" s="2" t="str">
        <f>IFERROR(__xludf.DUMMYFUNCTION("GOOGLETRANSLATE(A11443, ""en"", ""mt"")"),"L-Amerika Ingliża u Franza l-ġdida")</f>
        <v>L-Amerika Ingliża u Franza l-ġdida</v>
      </c>
    </row>
    <row r="11444" ht="15.75" customHeight="1">
      <c r="A11444" s="2" t="s">
        <v>11444</v>
      </c>
      <c r="B11444" s="2" t="str">
        <f>IFERROR(__xludf.DUMMYFUNCTION("GOOGLETRANSLATE(A11444, ""en"", ""mt"")"),"X'tip ta 'programmi ttestja l-NBC Red?")</f>
        <v>X'tip ta 'programmi ttestja l-NBC Red?</v>
      </c>
    </row>
    <row r="11445" ht="15.75" customHeight="1">
      <c r="A11445" s="2" t="s">
        <v>11445</v>
      </c>
      <c r="B11445" s="2" t="str">
        <f>IFERROR(__xludf.DUMMYFUNCTION("GOOGLETRANSLATE(A11445, ""en"", ""mt"")"),"Tliet mija")</f>
        <v>Tliet mija</v>
      </c>
    </row>
    <row r="11446" ht="15.75" customHeight="1">
      <c r="A11446" s="2" t="s">
        <v>11446</v>
      </c>
      <c r="B11446" s="2" t="str">
        <f>IFERROR(__xludf.DUMMYFUNCTION("GOOGLETRANSLATE(A11446, ""en"", ""mt"")"),"Kważi l-bijomolekuli kollha li huma importanti għal (jew iġġenerati minn) il-ħajja")</f>
        <v>Kważi l-bijomolekuli kollha li huma importanti għal (jew iġġenerati minn) il-ħajja</v>
      </c>
    </row>
    <row r="11447" ht="15.75" customHeight="1">
      <c r="A11447" s="2" t="s">
        <v>11447</v>
      </c>
      <c r="B11447" s="2" t="str">
        <f>IFERROR(__xludf.DUMMYFUNCTION("GOOGLETRANSLATE(A11447, ""en"", ""mt"")"),"Il-Ktieb tat-Talb Komuni")</f>
        <v>Il-Ktieb tat-Talb Komuni</v>
      </c>
    </row>
    <row r="11448" ht="15.75" customHeight="1">
      <c r="A11448" s="2" t="s">
        <v>11448</v>
      </c>
      <c r="B11448" s="2" t="str">
        <f>IFERROR(__xludf.DUMMYFUNCTION("GOOGLETRANSLATE(A11448, ""en"", ""mt"")"),"Strateġija ta 'evażjoni użata minn diversi patoġeni biex tevita s-sistema immuni innata hija li tinħeba fiċ-ċelloli tal-ospitanti tagħhom (imsejħa wkoll patoġenesi intraċellulari). Hawnhekk, patoġen iqatta 'l-biċċa l-kbira taċ-ċiklu tal-ħajja tiegħu ġewwa"&amp;" ċ-ċelloli ospitanti, fejn huwa protett minn kuntatt dirett ma' ċelloli immuni, antikorpi u kumpliment. Xi eżempji ta 'patoġeni intraċellulari jinkludu viruses, batterju ta' avvelenament mill-ikel Salmonella u l-parassiti ewkarjotiċi li jikkawżaw malarja "&amp;"(Plasmodium falciparum) u leishmaniasis (Leishmania spp.). Batterji oħra, bħal Mycobacterium tuberculosis, jgħixu ġewwa kapsula protettiva li tipprevjeni lisi bil-kumpliment. Ħafna patoġeni inixxu l-komposti li jnaqqsu jew jidderieġu ħażin ir-rispons immu"&amp;"ni tal-ospitanti. Xi batterji jiffurmaw bijofilms biex jipproteġu lilhom infushom miċ-ċelloli u l-proteini tas-sistema immunitarja. Tali bijofilmi huma preżenti f'ħafna infezzjonijiet ta 'suċċess, per eżempju, l-infezzjonijiet kroniċi ta' Pseudomonas aeru"&amp;"ginosa u Burkholderia cenocepacia karatteristiċi tal-fibrożi ċistika. Batterji oħra jiġġeneraw proteini tal-wiċċ li jorbtu ma 'antikorpi, u jagħmluhom ineffettivi; Eżempji jinkludu streptococcus (proteina G), staphylococcus aureus (proteina A), u peptostr"&amp;"eptococcus magnus (proteina L).")</f>
        <v>Strateġija ta 'evażjoni użata minn diversi patoġeni biex tevita s-sistema immuni innata hija li tinħeba fiċ-ċelloli tal-ospitanti tagħhom (imsejħa wkoll patoġenesi intraċellulari). Hawnhekk, patoġen iqatta 'l-biċċa l-kbira taċ-ċiklu tal-ħajja tiegħu ġewwa ċ-ċelloli ospitanti, fejn huwa protett minn kuntatt dirett ma' ċelloli immuni, antikorpi u kumpliment. Xi eżempji ta 'patoġeni intraċellulari jinkludu viruses, batterju ta' avvelenament mill-ikel Salmonella u l-parassiti ewkarjotiċi li jikkawżaw malarja (Plasmodium falciparum) u leishmaniasis (Leishmania spp.). Batterji oħra, bħal Mycobacterium tuberculosis, jgħixu ġewwa kapsula protettiva li tipprevjeni lisi bil-kumpliment. Ħafna patoġeni inixxu l-komposti li jnaqqsu jew jidderieġu ħażin ir-rispons immuni tal-ospitanti. Xi batterji jiffurmaw bijofilms biex jipproteġu lilhom infushom miċ-ċelloli u l-proteini tas-sistema immunitarja. Tali bijofilmi huma preżenti f'ħafna infezzjonijiet ta 'suċċess, per eżempju, l-infezzjonijiet kroniċi ta' Pseudomonas aeruginosa u Burkholderia cenocepacia karatteristiċi tal-fibrożi ċistika. Batterji oħra jiġġeneraw proteini tal-wiċċ li jorbtu ma 'antikorpi, u jagħmluhom ineffettivi; Eżempji jinkludu streptococcus (proteina G), staphylococcus aureus (proteina A), u peptostreptococcus magnus (proteina L).</v>
      </c>
    </row>
    <row r="11449" ht="15.75" customHeight="1">
      <c r="A11449" s="2" t="s">
        <v>11449</v>
      </c>
      <c r="B11449" s="2" t="str">
        <f>IFERROR(__xludf.DUMMYFUNCTION("GOOGLETRANSLATE(A11449, ""en"", ""mt"")"),"qabar mhux immarkat x'imkien fil-Mongolja")</f>
        <v>qabar mhux immarkat x'imkien fil-Mongolja</v>
      </c>
    </row>
    <row r="11450" ht="15.75" customHeight="1">
      <c r="A11450" s="2" t="s">
        <v>11450</v>
      </c>
      <c r="B11450" s="2" t="str">
        <f>IFERROR(__xludf.DUMMYFUNCTION("GOOGLETRANSLATE(A11450, ""en"", ""mt"")"),"Evils bħala ġenoċidju, soppressjoni brutali tad-drittijiet tal-bniedem, u aggressjoni internazzjonali mhux provokata")</f>
        <v>Evils bħala ġenoċidju, soppressjoni brutali tad-drittijiet tal-bniedem, u aggressjoni internazzjonali mhux provokata</v>
      </c>
    </row>
    <row r="11451" ht="15.75" customHeight="1">
      <c r="A11451" s="2" t="s">
        <v>11451</v>
      </c>
      <c r="B11451" s="2" t="str">
        <f>IFERROR(__xludf.DUMMYFUNCTION("GOOGLETRANSLATE(A11451, ""en"", ""mt"")"),"erba 'snin fl-iskola għolja")</f>
        <v>erba 'snin fl-iskola għolja</v>
      </c>
    </row>
    <row r="11452" ht="15.75" customHeight="1">
      <c r="A11452" s="2" t="s">
        <v>11452</v>
      </c>
      <c r="B11452" s="2" t="str">
        <f>IFERROR(__xludf.DUMMYFUNCTION("GOOGLETRANSLATE(A11452, ""en"", ""mt"")"),"Liema battalji navali tilfet Franza fl-1759?")</f>
        <v>Liema battalji navali tilfet Franza fl-1759?</v>
      </c>
    </row>
    <row r="11453" ht="15.75" customHeight="1">
      <c r="A11453" s="2" t="s">
        <v>11453</v>
      </c>
      <c r="B11453" s="2" t="str">
        <f>IFERROR(__xludf.DUMMYFUNCTION("GOOGLETRANSLATE(A11453, ""en"", ""mt"")"),"appoġġja n-neo-konfuċjaniżmu ta 'Zhu XI u ddedika ruħu wkoll fil-Buddiżmu")</f>
        <v>appoġġja n-neo-konfuċjaniżmu ta 'Zhu XI u ddedika ruħu wkoll fil-Buddiżmu</v>
      </c>
    </row>
    <row r="11454" ht="15.75" customHeight="1">
      <c r="A11454" s="2" t="s">
        <v>11454</v>
      </c>
      <c r="B11454" s="2" t="str">
        <f>IFERROR(__xludf.DUMMYFUNCTION("GOOGLETRANSLATE(A11454, ""en"", ""mt"")"),"diversi operaturi tal-ferrovija privati ​​u pubbliċi")</f>
        <v>diversi operaturi tal-ferrovija privati ​​u pubbliċi</v>
      </c>
    </row>
    <row r="11455" ht="15.75" customHeight="1">
      <c r="A11455" s="2" t="s">
        <v>11455</v>
      </c>
      <c r="B11455" s="2" t="str">
        <f>IFERROR(__xludf.DUMMYFUNCTION("GOOGLETRANSLATE(A11455, ""en"", ""mt"")"),"Liema taqsimiet tad-dogma tal-knisja waslet biex tarah b'mod ieħor?")</f>
        <v>Liema taqsimiet tad-dogma tal-knisja waslet biex tarah b'mod ieħor?</v>
      </c>
    </row>
    <row r="11456" ht="15.75" customHeight="1">
      <c r="A11456" s="2" t="s">
        <v>11456</v>
      </c>
      <c r="B11456" s="2" t="str">
        <f>IFERROR(__xludf.DUMMYFUNCTION("GOOGLETRANSLATE(A11456, ""en"", ""mt"")"),"Liema daqsijiet tal-klassi jistgħu jagħmlu ż-żamma tal-ordni diffiċli?")</f>
        <v>Liema daqsijiet tal-klassi jistgħu jagħmlu ż-żamma tal-ordni diffiċli?</v>
      </c>
    </row>
    <row r="11457" ht="15.75" customHeight="1">
      <c r="A11457" s="2" t="s">
        <v>11457</v>
      </c>
      <c r="B11457" s="2" t="str">
        <f>IFERROR(__xludf.DUMMYFUNCTION("GOOGLETRANSLATE(A11457, ""en"", ""mt"")"),"Diffikultà inerenti")</f>
        <v>Diffikultà inerenti</v>
      </c>
    </row>
    <row r="11458" ht="15.75" customHeight="1">
      <c r="A11458" s="2" t="s">
        <v>11458</v>
      </c>
      <c r="B11458" s="2" t="str">
        <f>IFERROR(__xludf.DUMMYFUNCTION("GOOGLETRANSLATE(A11458, ""en"", ""mt"")"),"miżata għal kull unità ta 'ħin ta' konnessjoni")</f>
        <v>miżata għal kull unità ta 'ħin ta' konnessjoni</v>
      </c>
    </row>
    <row r="11459" ht="15.75" customHeight="1">
      <c r="A11459" s="2" t="s">
        <v>11459</v>
      </c>
      <c r="B11459" s="2" t="str">
        <f>IFERROR(__xludf.DUMMYFUNCTION("GOOGLETRANSLATE(A11459, ""en"", ""mt"")"),"interċettaw l-esperimenti Ewropej ta 'Marconi")</f>
        <v>interċettaw l-esperimenti Ewropej ta 'Marconi</v>
      </c>
    </row>
    <row r="11460" ht="15.75" customHeight="1">
      <c r="A11460" s="2" t="s">
        <v>11460</v>
      </c>
      <c r="B11460" s="2" t="str">
        <f>IFERROR(__xludf.DUMMYFUNCTION("GOOGLETRANSLATE(A11460, ""en"", ""mt"")"),"eħfef")</f>
        <v>eħfef</v>
      </c>
    </row>
    <row r="11461" ht="15.75" customHeight="1">
      <c r="A11461" s="2" t="s">
        <v>11461</v>
      </c>
      <c r="B11461" s="2" t="str">
        <f>IFERROR(__xludf.DUMMYFUNCTION("GOOGLETRANSLATE(A11461, ""en"", ""mt"")"),"jiddetermina dawk li jipproċedu għall-universitajiet")</f>
        <v>jiddetermina dawk li jipproċedu għall-universitajiet</v>
      </c>
    </row>
    <row r="11462" ht="15.75" customHeight="1">
      <c r="A11462" s="2" t="s">
        <v>11462</v>
      </c>
      <c r="B11462" s="2" t="str">
        <f>IFERROR(__xludf.DUMMYFUNCTION("GOOGLETRANSLATE(A11462, ""en"", ""mt"")"),"Problemi ambjentali u soċjali")</f>
        <v>Problemi ambjentali u soċjali</v>
      </c>
    </row>
    <row r="11463" ht="15.75" customHeight="1">
      <c r="A11463" s="2" t="s">
        <v>11463</v>
      </c>
      <c r="B11463" s="2" t="str">
        <f>IFERROR(__xludf.DUMMYFUNCTION("GOOGLETRANSLATE(A11463, ""en"", ""mt"")"),"Id-difiża tal-Broncos ikklassifikat l-ewwel fil-btieħi tal-NFL permessa (4,530) għall-ewwel darba fl-istorja tal-franchise, u r-raba 'fil-punti permessi (296). Tmiem difensivi Derek Wolfe u Malik Jackson kull wieħed kellhom 5½ xkejjer. Il-linebacker tal-P"&amp;"ro Bowl Von Miller mexxa lit-tim bi 11-il xkejjer, ġiegħel erba ’fumbles, u rkupra tlieta. Il-linebacker DeMarcus Ware intgħażel biex jilgħab fil-Pro Bowl għad-disa 'darba fil-karriera tiegħu, ikklassifika t-tieni fit-tim b'7½ xkejjer. Il-linebacker Brand"&amp;"on Marshall mexxa lit-tim b’kollox b’109, filwaqt li Danny Trevathan ikklassifika t-tieni b’102. Cornerbacks AQIB Talib (tliet interċezzjonijiet) u Chris Harris, Jr. (żewġ interċezzjonijiet) kienu ż-żewġ selezzjonijiet l-oħra tal-Pro Bowl mid-difiża.")</f>
        <v>Id-difiża tal-Broncos ikklassifikat l-ewwel fil-btieħi tal-NFL permessa (4,530) għall-ewwel darba fl-istorja tal-franchise, u r-raba 'fil-punti permessi (296). Tmiem difensivi Derek Wolfe u Malik Jackson kull wieħed kellhom 5½ xkejjer. Il-linebacker tal-Pro Bowl Von Miller mexxa lit-tim bi 11-il xkejjer, ġiegħel erba ’fumbles, u rkupra tlieta. Il-linebacker DeMarcus Ware intgħażel biex jilgħab fil-Pro Bowl għad-disa 'darba fil-karriera tiegħu, ikklassifika t-tieni fit-tim b'7½ xkejjer. Il-linebacker Brandon Marshall mexxa lit-tim b’kollox b’109, filwaqt li Danny Trevathan ikklassifika t-tieni b’102. Cornerbacks AQIB Talib (tliet interċezzjonijiet) u Chris Harris, Jr. (żewġ interċezzjonijiet) kienu ż-żewġ selezzjonijiet l-oħra tal-Pro Bowl mid-difiża.</v>
      </c>
    </row>
    <row r="11464" ht="15.75" customHeight="1">
      <c r="A11464" s="2" t="s">
        <v>11464</v>
      </c>
      <c r="B11464" s="2" t="str">
        <f>IFERROR(__xludf.DUMMYFUNCTION("GOOGLETRANSLATE(A11464, ""en"", ""mt"")"),"Mit-12 sas-16")</f>
        <v>Mit-12 sas-16</v>
      </c>
    </row>
    <row r="11465" ht="15.75" customHeight="1">
      <c r="A11465" s="2" t="s">
        <v>11465</v>
      </c>
      <c r="B11465" s="2" t="str">
        <f>IFERROR(__xludf.DUMMYFUNCTION("GOOGLETRANSLATE(A11465, ""en"", ""mt"")"),"żieda fil-qgħad")</f>
        <v>żieda fil-qgħad</v>
      </c>
    </row>
    <row r="11466" ht="15.75" customHeight="1">
      <c r="A11466" s="2" t="s">
        <v>11466</v>
      </c>
      <c r="B11466" s="2" t="str">
        <f>IFERROR(__xludf.DUMMYFUNCTION("GOOGLETRANSLATE(A11466, ""en"", ""mt"")"),"$ 12-il biljun")</f>
        <v>$ 12-il biljun</v>
      </c>
    </row>
    <row r="11467" ht="15.75" customHeight="1">
      <c r="A11467" s="2" t="s">
        <v>11467</v>
      </c>
      <c r="B11467" s="2" t="str">
        <f>IFERROR(__xludf.DUMMYFUNCTION("GOOGLETRANSLATE(A11467, ""en"", ""mt"")"),"kwantitajiet ta 'vettur")</f>
        <v>kwantitajiet ta 'vettur</v>
      </c>
    </row>
    <row r="11468" ht="15.75" customHeight="1">
      <c r="A11468" s="2" t="s">
        <v>11468</v>
      </c>
      <c r="B11468" s="2" t="str">
        <f>IFERROR(__xludf.DUMMYFUNCTION("GOOGLETRANSLATE(A11468, ""en"", ""mt"")"),"Kemm hemm skejjel professjonali l-Università ta 'Chicago?")</f>
        <v>Kemm hemm skejjel professjonali l-Università ta 'Chicago?</v>
      </c>
    </row>
    <row r="11469" ht="15.75" customHeight="1">
      <c r="A11469" s="2" t="s">
        <v>11469</v>
      </c>
      <c r="B11469" s="2" t="str">
        <f>IFERROR(__xludf.DUMMYFUNCTION("GOOGLETRANSLATE(A11469, ""en"", ""mt"")"),"Ross")</f>
        <v>Ross</v>
      </c>
    </row>
    <row r="11470" ht="15.75" customHeight="1">
      <c r="A11470" s="2" t="s">
        <v>11470</v>
      </c>
      <c r="B11470" s="2" t="str">
        <f>IFERROR(__xludf.DUMMYFUNCTION("GOOGLETRANSLATE(A11470, ""en"", ""mt"")"),"X'tip ta 'distribuzzjoni ewlenija tipproponi l-ipoteżi ta' Riemann hija vera wkoll għal intervalli qosra qrib X?")</f>
        <v>X'tip ta 'distribuzzjoni ewlenija tipproponi l-ipoteżi ta' Riemann hija vera wkoll għal intervalli qosra qrib X?</v>
      </c>
    </row>
    <row r="11471" ht="15.75" customHeight="1">
      <c r="A11471" s="2" t="s">
        <v>11471</v>
      </c>
      <c r="B11471" s="2" t="str">
        <f>IFERROR(__xludf.DUMMYFUNCTION("GOOGLETRANSLATE(A11471, ""en"", ""mt"")"),"ir-raġel")</f>
        <v>ir-raġel</v>
      </c>
    </row>
    <row r="11472" ht="15.75" customHeight="1">
      <c r="A11472" s="2" t="s">
        <v>11472</v>
      </c>
      <c r="B11472" s="2" t="str">
        <f>IFERROR(__xludf.DUMMYFUNCTION("GOOGLETRANSLATE(A11472, ""en"", ""mt"")"),"F'liema qasam huwa komuni li l-mentoring spiritwali jkun għoli ħafna?")</f>
        <v>F'liema qasam huwa komuni li l-mentoring spiritwali jkun għoli ħafna?</v>
      </c>
    </row>
    <row r="11473" ht="15.75" customHeight="1">
      <c r="A11473" s="2" t="s">
        <v>11473</v>
      </c>
      <c r="B11473" s="2" t="str">
        <f>IFERROR(__xludf.DUMMYFUNCTION("GOOGLETRANSLATE(A11473, ""en"", ""mt"")"),"X'għandha sistema ta 'klassifikazzjoni għall-kumpaniji tal-kostruzzjoni?")</f>
        <v>X'għandha sistema ta 'klassifikazzjoni għall-kumpaniji tal-kostruzzjoni?</v>
      </c>
    </row>
    <row r="11474" ht="15.75" customHeight="1">
      <c r="A11474" s="2" t="s">
        <v>11474</v>
      </c>
      <c r="B11474" s="2" t="str">
        <f>IFERROR(__xludf.DUMMYFUNCTION("GOOGLETRANSLATE(A11474, ""en"", ""mt"")"),"Fiż-żona ta 'Los Angeles hemm id-distretti kummerċjali ewlenin ta' Downtown Burbank, Downtown Santa Monica, Downtown Glendale u Downtown Long Beach. Los Angeles innifsu għandu bosta distretti tan-negozju fosthom id-Distrett tan-Negozju Ċentrali ta ’Los An"&amp;"geles kif ukoll dawk li kisbu l-Wilshire Boulevard Miracle Mile inkluż Century City, Westwood u Warner Centre fil-Wied ta’ San Fernando.")</f>
        <v>Fiż-żona ta 'Los Angeles hemm id-distretti kummerċjali ewlenin ta' Downtown Burbank, Downtown Santa Monica, Downtown Glendale u Downtown Long Beach. Los Angeles innifsu għandu bosta distretti tan-negozju fosthom id-Distrett tan-Negozju Ċentrali ta ’Los Angeles kif ukoll dawk li kisbu l-Wilshire Boulevard Miracle Mile inkluż Century City, Westwood u Warner Centre fil-Wied ta’ San Fernando.</v>
      </c>
    </row>
    <row r="11475" ht="15.75" customHeight="1">
      <c r="A11475" s="2" t="s">
        <v>11475</v>
      </c>
      <c r="B11475" s="2" t="str">
        <f>IFERROR(__xludf.DUMMYFUNCTION("GOOGLETRANSLATE(A11475, ""en"", ""mt"")"),"L-Amerika")</f>
        <v>L-Amerika</v>
      </c>
    </row>
    <row r="11476" ht="15.75" customHeight="1">
      <c r="A11476" s="2" t="s">
        <v>11476</v>
      </c>
      <c r="B11476" s="2" t="str">
        <f>IFERROR(__xludf.DUMMYFUNCTION("GOOGLETRANSLATE(A11476, ""en"", ""mt"")"),"kura tas-saħħa")</f>
        <v>kura tas-saħħa</v>
      </c>
    </row>
    <row r="11477" ht="15.75" customHeight="1">
      <c r="A11477" s="2" t="s">
        <v>11477</v>
      </c>
      <c r="B11477" s="2" t="str">
        <f>IFERROR(__xludf.DUMMYFUNCTION("GOOGLETRANSLATE(A11477, ""en"", ""mt"")"),"Minbarra li jħossu l-lokalità tiegħu, għal xiex hi popolari l-Palm Springs?")</f>
        <v>Minbarra li jħossu l-lokalità tiegħu, għal xiex hi popolari l-Palm Springs?</v>
      </c>
    </row>
    <row r="11478" ht="15.75" customHeight="1">
      <c r="A11478" s="2" t="s">
        <v>11478</v>
      </c>
      <c r="B11478" s="2" t="str">
        <f>IFERROR(__xludf.DUMMYFUNCTION("GOOGLETRANSLATE(A11478, ""en"", ""mt"")"),"Is-sieq tal-arblu")</f>
        <v>Is-sieq tal-arblu</v>
      </c>
    </row>
    <row r="11479" ht="15.75" customHeight="1">
      <c r="A11479" s="2" t="s">
        <v>11479</v>
      </c>
      <c r="B11479" s="2" t="str">
        <f>IFERROR(__xludf.DUMMYFUNCTION("GOOGLETRANSLATE(A11479, ""en"", ""mt"")"),"Għal xiex tuża l-membrana tat-tilkoid li tuża l-elettroni enerġizzati?")</f>
        <v>Għal xiex tuża l-membrana tat-tilkoid li tuża l-elettroni enerġizzati?</v>
      </c>
    </row>
    <row r="11480" ht="15.75" customHeight="1">
      <c r="A11480" s="2" t="s">
        <v>11480</v>
      </c>
      <c r="B11480" s="2" t="str">
        <f>IFERROR(__xludf.DUMMYFUNCTION("GOOGLETRANSLATE(A11480, ""en"", ""mt"")"),"Kemm ġew rikonoxxuti skejjel tal-mediċina fiċ-Ċina?")</f>
        <v>Kemm ġew rikonoxxuti skejjel tal-mediċina fiċ-Ċina?</v>
      </c>
    </row>
    <row r="11481" ht="15.75" customHeight="1">
      <c r="A11481" s="2" t="s">
        <v>11481</v>
      </c>
      <c r="B11481" s="2" t="str">
        <f>IFERROR(__xludf.DUMMYFUNCTION("GOOGLETRANSLATE(A11481, ""en"", ""mt"")"),"Kemm inqatlu mill-pesta fl-Italja fis-seklu 17?")</f>
        <v>Kemm inqatlu mill-pesta fl-Italja fis-seklu 17?</v>
      </c>
    </row>
    <row r="11482" ht="15.75" customHeight="1">
      <c r="A11482" s="2" t="s">
        <v>11482</v>
      </c>
      <c r="B11482" s="2" t="str">
        <f>IFERROR(__xludf.DUMMYFUNCTION("GOOGLETRANSLATE(A11482, ""en"", ""mt"")"),"kemm l-armata kif ukoll il-popolazzjoni")</f>
        <v>kemm l-armata kif ukoll il-popolazzjoni</v>
      </c>
    </row>
    <row r="11483" ht="15.75" customHeight="1">
      <c r="A11483" s="2" t="s">
        <v>11483</v>
      </c>
      <c r="B11483" s="2" t="str">
        <f>IFERROR(__xludf.DUMMYFUNCTION("GOOGLETRANSLATE(A11483, ""en"", ""mt"")"),"Le")</f>
        <v>Le</v>
      </c>
    </row>
    <row r="11484" ht="15.75" customHeight="1">
      <c r="A11484" s="2" t="s">
        <v>11484</v>
      </c>
      <c r="B11484" s="2" t="str">
        <f>IFERROR(__xludf.DUMMYFUNCTION("GOOGLETRANSLATE(A11484, ""en"", ""mt"")"),"fil-lvant tal-Mississippi")</f>
        <v>fil-lvant tal-Mississippi</v>
      </c>
    </row>
    <row r="11485" ht="15.75" customHeight="1">
      <c r="A11485" s="2" t="s">
        <v>11485</v>
      </c>
      <c r="B11485" s="2" t="str">
        <f>IFERROR(__xludf.DUMMYFUNCTION("GOOGLETRANSLATE(A11485, ""en"", ""mt"")"),"tħeġġeġ it-tkabbir")</f>
        <v>tħeġġeġ it-tkabbir</v>
      </c>
    </row>
    <row r="11486" ht="15.75" customHeight="1">
      <c r="A11486" s="2" t="s">
        <v>11486</v>
      </c>
      <c r="B11486" s="2" t="str">
        <f>IFERROR(__xludf.DUMMYFUNCTION("GOOGLETRANSLATE(A11486, ""en"", ""mt"")"),"Jekk hemm kunflitt bejn il-liġi tal-UE u l-liġi nazzjonali, liema liġi tieħu preċedenza?")</f>
        <v>Jekk hemm kunflitt bejn il-liġi tal-UE u l-liġi nazzjonali, liema liġi tieħu preċedenza?</v>
      </c>
    </row>
    <row r="11487" ht="15.75" customHeight="1">
      <c r="A11487" s="2" t="s">
        <v>11487</v>
      </c>
      <c r="B11487" s="2" t="str">
        <f>IFERROR(__xludf.DUMMYFUNCTION("GOOGLETRANSLATE(A11487, ""en"", ""mt"")"),"B'kuntrast mal-fehmiet ta 'John Calvin u Philipp Melanchthon, matul ħajtu Luther sostna li ma kinitx duttrina falza li temmen li r-ruħ ta' Nisrani torqod wara li tkun separata mill-ġisem fil-mewt; u, għalhekk, huwa kkontesta l-interpretazzjonijiet tradizz"&amp;"jonali ta 'xi siltiet tal-Bibbja, bħall-parabbola tal-bniedem għani u ta' Lazzru. Dan wassal ukoll lil Luther biex jirrifjuta l-idea ta 'turmenti għall-qaddis paċi. "" Huwa ċaħad ukoll l-eżistenza tal-purgatorju, li kienu jinvolvu erwieħ Kristjani li għad"&amp;"dejjin minn tbatija penitenzjali wara l-mewt. Huwa afferma l-kontinwità tal-identità personali tiegħu lil hinn mill-mewt. Fl-artikoli ta 'Smalcald tiegħu, huwa ddeskriva lill-qaddisin bħala li bħalissa joqogħdu ""fl-oqbra tagħhom u fil-Ġenna.""")</f>
        <v>B'kuntrast mal-fehmiet ta 'John Calvin u Philipp Melanchthon, matul ħajtu Luther sostna li ma kinitx duttrina falza li temmen li r-ruħ ta' Nisrani torqod wara li tkun separata mill-ġisem fil-mewt; u, għalhekk, huwa kkontesta l-interpretazzjonijiet tradizzjonali ta 'xi siltiet tal-Bibbja, bħall-parabbola tal-bniedem għani u ta' Lazzru. Dan wassal ukoll lil Luther biex jirrifjuta l-idea ta 'turmenti għall-qaddis paċi. " Huwa ċaħad ukoll l-eżistenza tal-purgatorju, li kienu jinvolvu erwieħ Kristjani li għaddejjin minn tbatija penitenzjali wara l-mewt. Huwa afferma l-kontinwità tal-identità personali tiegħu lil hinn mill-mewt. Fl-artikoli ta 'Smalcald tiegħu, huwa ddeskriva lill-qaddisin bħala li bħalissa joqogħdu "fl-oqbra tagħhom u fil-Ġenna."</v>
      </c>
    </row>
    <row r="11488" ht="15.75" customHeight="1">
      <c r="A11488" s="2" t="s">
        <v>11488</v>
      </c>
      <c r="B11488" s="2" t="str">
        <f>IFERROR(__xludf.DUMMYFUNCTION("GOOGLETRANSLATE(A11488, ""en"", ""mt"")"),"Ir-rugby huwa wkoll sport li qed jikber fin-Nofsinhar tal-Kalifornja, partikolarment fil-livell tal-iskola għolja, b'numru dejjem jiżdied ta 'skejjel li jżidu r-rugby bħala sport uffiċjali tal-iskola.")</f>
        <v>Ir-rugby huwa wkoll sport li qed jikber fin-Nofsinhar tal-Kalifornja, partikolarment fil-livell tal-iskola għolja, b'numru dejjem jiżdied ta 'skejjel li jżidu r-rugby bħala sport uffiċjali tal-iskola.</v>
      </c>
    </row>
    <row r="11489" ht="15.75" customHeight="1">
      <c r="A11489" s="2" t="s">
        <v>11489</v>
      </c>
      <c r="B11489" s="2" t="str">
        <f>IFERROR(__xludf.DUMMYFUNCTION("GOOGLETRANSLATE(A11489, ""en"", ""mt"")"),"fossa tal-moħħ")</f>
        <v>fossa tal-moħħ</v>
      </c>
    </row>
    <row r="11490" ht="15.75" customHeight="1">
      <c r="A11490" s="2" t="s">
        <v>11490</v>
      </c>
      <c r="B11490" s="2" t="str">
        <f>IFERROR(__xludf.DUMMYFUNCTION("GOOGLETRANSLATE(A11490, ""en"", ""mt"")"),"Il-kloroplasti għandhom ir-ribosomi tagħhom stess, li huma jużaw biex jissintetizzaw frazzjoni żgħira tal-proteini tagħhom. Ribosomi tal-kloroplast huma madwar żewġ terzi tad-daqs ta 'ribosomi ċitoplasmiċi (madwar 17 nm vs 25 nm). Huma jieħdu mRNAs traskr"&amp;"itti mid-DNA tal-kloroplast u jittraduċuhom fi proteina. Filwaqt li huma simili għal ribosomi batteriċi, it-traduzzjoni tal-kloroplast hija iktar kumplessa milli fil-batterja, għalhekk ir-ribosomi tal-kloroplast jinkludu xi karatteristiċi uniċi tal-klorop"&amp;"last. RNAs ribosomali subunit żgħar f'diversi klorofita u kloroplasti euglenid m'għandhomx motivi għar-rikonoxximent tas-sekwenza Shine-Dalgarno, li huwa meqjus essenzjali għall-bidu tat-traduzzjoni fil-biċċa l-kbira tal-kloroplasti u l-prokarioti. Telf b"&amp;"ħal dan rarament jiġi osservat fi plastidi u prokarioti oħra.")</f>
        <v>Il-kloroplasti għandhom ir-ribosomi tagħhom stess, li huma jużaw biex jissintetizzaw frazzjoni żgħira tal-proteini tagħhom. Ribosomi tal-kloroplast huma madwar żewġ terzi tad-daqs ta 'ribosomi ċitoplasmiċi (madwar 17 nm vs 25 nm). Huma jieħdu mRNAs traskritti mid-DNA tal-kloroplast u jittraduċuhom fi proteina. Filwaqt li huma simili għal ribosomi batteriċi, it-traduzzjoni tal-kloroplast hija iktar kumplessa milli fil-batterja, għalhekk ir-ribosomi tal-kloroplast jinkludu xi karatteristiċi uniċi tal-kloroplast. RNAs ribosomali subunit żgħar f'diversi klorofita u kloroplasti euglenid m'għandhomx motivi għar-rikonoxximent tas-sekwenza Shine-Dalgarno, li huwa meqjus essenzjali għall-bidu tat-traduzzjoni fil-biċċa l-kbira tal-kloroplasti u l-prokarioti. Telf bħal dan rarament jiġi osservat fi plastidi u prokarioti oħra.</v>
      </c>
    </row>
    <row r="11491" ht="15.75" customHeight="1">
      <c r="A11491" s="2" t="s">
        <v>11491</v>
      </c>
      <c r="B11491" s="2" t="str">
        <f>IFERROR(__xludf.DUMMYFUNCTION("GOOGLETRANSLATE(A11491, ""en"", ""mt"")"),"Qabel ma l-fondazzjoni tkun tista 'titħaffer, il-kuntratturi huma tipikament meħtieġa biex jivverifikaw u jkollhom linji ta' utilità eżistenti mmarkati, jew mill-utilitajiet infushom jew permezz ta 'kumpanija li tispeċjalizza f'dawn is-servizzi. Dan inaqq"&amp;"as il-probabbiltà ta 'ħsara lill-faċilitajiet elettriċi, tad-drenaġġ, tat-telefon u tal-kejbil eżistenti, li jistgħu jikkawżaw qtugħ u sitwazzjonijiet potenzjalment perikolużi. Matul il-kostruzzjoni ta 'bini, l-ispettur tal-bini muniċipali jispezzjona l-b"&amp;"ini perjodikament biex jiżgura li l-kostruzzjoni taderixxi mal-pjanijiet approvati u l-kodiċi tal-bini lokali. Ladarba l-kostruzzjoni tkun kompluta u ġiet mgħoddija spezzjoni finali, jista 'jinħareġ permess ta' okkupazzjoni.")</f>
        <v>Qabel ma l-fondazzjoni tkun tista 'titħaffer, il-kuntratturi huma tipikament meħtieġa biex jivverifikaw u jkollhom linji ta' utilità eżistenti mmarkati, jew mill-utilitajiet infushom jew permezz ta 'kumpanija li tispeċjalizza f'dawn is-servizzi. Dan inaqqas il-probabbiltà ta 'ħsara lill-faċilitajiet elettriċi, tad-drenaġġ, tat-telefon u tal-kejbil eżistenti, li jistgħu jikkawżaw qtugħ u sitwazzjonijiet potenzjalment perikolużi. Matul il-kostruzzjoni ta 'bini, l-ispettur tal-bini muniċipali jispezzjona l-bini perjodikament biex jiżgura li l-kostruzzjoni taderixxi mal-pjanijiet approvati u l-kodiċi tal-bini lokali. Ladarba l-kostruzzjoni tkun kompluta u ġiet mgħoddija spezzjoni finali, jista 'jinħareġ permess ta' okkupazzjoni.</v>
      </c>
    </row>
    <row r="11492" ht="15.75" customHeight="1">
      <c r="A11492" s="2" t="s">
        <v>11492</v>
      </c>
      <c r="B11492" s="2" t="str">
        <f>IFERROR(__xludf.DUMMYFUNCTION("GOOGLETRANSLATE(A11492, ""en"", ""mt"")"),"Stazzjonar fuq il-bieb")</f>
        <v>Stazzjonar fuq il-bieb</v>
      </c>
    </row>
    <row r="11493" ht="15.75" customHeight="1">
      <c r="A11493" s="2" t="s">
        <v>11493</v>
      </c>
      <c r="B11493" s="2" t="str">
        <f>IFERROR(__xludf.DUMMYFUNCTION("GOOGLETRANSLATE(A11493, ""en"", ""mt"")"),"Li jkunu madwar l-istudenti tagħhom")</f>
        <v>Li jkunu madwar l-istudenti tagħhom</v>
      </c>
    </row>
    <row r="11494" ht="15.75" customHeight="1">
      <c r="A11494" s="2" t="s">
        <v>11494</v>
      </c>
      <c r="B11494" s="2" t="str">
        <f>IFERROR(__xludf.DUMMYFUNCTION("GOOGLETRANSLATE(A11494, ""en"", ""mt"")"),"Ikomplu l-istil tal-binjiet preċedenti, diversi disinjaturi kienu responsabbli għad-dekorazzjoni, it-tiżjin tat-terracotta reġa 'kien ix-xogħol ta' Godfrey Sykes, għalkemm Sgraffito kien użat biex iżejnu n-naħa tal-lvant tal-bini ddisinjat minn F. W. Mood"&amp;"y, it-tneħħija finali kienet il-maħruġa Il-kanċelli tal-ħadid magħmula sa mill-1885 iddisinjati minn Starkie Gardner, dawn iwasslu għal passaġġ mill-bini. Scott iddisinja wkoll iż-żewġ qrati mitfugħa 1870-73 lejn ix-Xlokk tal-Ġnien (is-sit tal- ""Boilers "&amp;"Brompton""), dawn l-ispazji vasti għandhom soqfa 70 pied (21 m) fl-għoli biex jakkomodaw il-kasti tal-ġibs ta 'partijiet ta' bini famuż , inkluża l-kolonna ta 'Trajan (f'żewġ biċċiet separati). L-aħħar parti tal-mużew iddisinjat minn Scott kienet il-libre"&amp;"rija tal-arti u dak li issa hija l-gallerija tal-iskultura fuq in-naħa tan-nofsinhar tal-ġnien, mibnija 1877–83, il-pannelli tal-mużajk ta ’barra fil-parapett kienu ddisinjati minn Reuben Townroe li wkoll iddisinja l-ġibs Xogħol fil-librerija, Sir John Ta"&amp;"ylor iddisinja l-ixkafef tal-kotba u l-każijiet, ukoll din kienet l-ewwel parti tal-mużew li jkollu dawl elettriku. Dan temm in-nofs tat-tramuntana tas-sit, u ħoloq kwadrangle mal-ġnien fiċ-ċentru tiegħu, iżda ħalla l-mużew mingħajr faċċata xierqa. Fl-189"&amp;"0 il-gvern nieda kompetizzjoni biex tiddisinja bini ġdid għall-mużew, bil-perit Alfred Waterhouse bħala wieħed mill-imħallfin; Dan jagħti lill-mużew entratura ġdida imponenti ta 'quddiem.")</f>
        <v>Ikomplu l-istil tal-binjiet preċedenti, diversi disinjaturi kienu responsabbli għad-dekorazzjoni, it-tiżjin tat-terracotta reġa 'kien ix-xogħol ta' Godfrey Sykes, għalkemm Sgraffito kien użat biex iżejnu n-naħa tal-lvant tal-bini ddisinjat minn F. W. Moody, it-tneħħija finali kienet il-maħruġa Il-kanċelli tal-ħadid magħmula sa mill-1885 iddisinjati minn Starkie Gardner, dawn iwasslu għal passaġġ mill-bini. Scott iddisinja wkoll iż-żewġ qrati mitfugħa 1870-73 lejn ix-Xlokk tal-Ġnien (is-sit tal- "Boilers Brompton"), dawn l-ispazji vasti għandhom soqfa 70 pied (21 m) fl-għoli biex jakkomodaw il-kasti tal-ġibs ta 'partijiet ta' bini famuż , inkluża l-kolonna ta 'Trajan (f'żewġ biċċiet separati). L-aħħar parti tal-mużew iddisinjat minn Scott kienet il-librerija tal-arti u dak li issa hija l-gallerija tal-iskultura fuq in-naħa tan-nofsinhar tal-ġnien, mibnija 1877–83, il-pannelli tal-mużajk ta ’barra fil-parapett kienu ddisinjati minn Reuben Townroe li wkoll iddisinja l-ġibs Xogħol fil-librerija, Sir John Taylor iddisinja l-ixkafef tal-kotba u l-każijiet, ukoll din kienet l-ewwel parti tal-mużew li jkollu dawl elettriku. Dan temm in-nofs tat-tramuntana tas-sit, u ħoloq kwadrangle mal-ġnien fiċ-ċentru tiegħu, iżda ħalla l-mużew mingħajr faċċata xierqa. Fl-1890 il-gvern nieda kompetizzjoni biex tiddisinja bini ġdid għall-mużew, bil-perit Alfred Waterhouse bħala wieħed mill-imħallfin; Dan jagħti lill-mużew entratura ġdida imponenti ta 'quddiem.</v>
      </c>
    </row>
    <row r="11495" ht="15.75" customHeight="1">
      <c r="A11495" s="2" t="s">
        <v>11495</v>
      </c>
      <c r="B11495" s="2" t="str">
        <f>IFERROR(__xludf.DUMMYFUNCTION("GOOGLETRANSLATE(A11495, ""en"", ""mt"")"),"kważi nofs")</f>
        <v>kważi nofs</v>
      </c>
    </row>
    <row r="11496" ht="15.75" customHeight="1">
      <c r="A11496" s="2" t="s">
        <v>11496</v>
      </c>
      <c r="B11496" s="2" t="str">
        <f>IFERROR(__xludf.DUMMYFUNCTION("GOOGLETRANSLATE(A11496, ""en"", ""mt"")"),"Liema avveniment neħħa l-abilità tad-diskors tiegħu?")</f>
        <v>Liema avveniment neħħa l-abilità tad-diskors tiegħu?</v>
      </c>
    </row>
    <row r="11497" ht="15.75" customHeight="1">
      <c r="A11497" s="2" t="s">
        <v>11497</v>
      </c>
      <c r="B11497" s="2" t="str">
        <f>IFERROR(__xludf.DUMMYFUNCTION("GOOGLETRANSLATE(A11497, ""en"", ""mt"")"),"is-sovran")</f>
        <v>is-sovran</v>
      </c>
    </row>
    <row r="11498" ht="15.75" customHeight="1">
      <c r="A11498" s="2" t="s">
        <v>11498</v>
      </c>
      <c r="B11498" s="2" t="str">
        <f>IFERROR(__xludf.DUMMYFUNCTION("GOOGLETRANSLATE(A11498, ""en"", ""mt"")"),"Żvantaġġ ta 'dħul baxx u applikanti minoritarji mhux rappreżentati")</f>
        <v>Żvantaġġ ta 'dħul baxx u applikanti minoritarji mhux rappreżentati</v>
      </c>
    </row>
    <row r="11499" ht="15.75" customHeight="1">
      <c r="A11499" s="2" t="s">
        <v>11499</v>
      </c>
      <c r="B11499" s="2" t="str">
        <f>IFERROR(__xludf.DUMMYFUNCTION("GOOGLETRANSLATE(A11499, ""en"", ""mt"")"),"Meta r-Rhine waqfet tkun il-konfini Rumana?")</f>
        <v>Meta r-Rhine waqfet tkun il-konfini Rumana?</v>
      </c>
    </row>
    <row r="11500" ht="15.75" customHeight="1">
      <c r="A11500" s="2" t="s">
        <v>11500</v>
      </c>
      <c r="B11500" s="2" t="str">
        <f>IFERROR(__xludf.DUMMYFUNCTION("GOOGLETRANSLATE(A11500, ""en"", ""mt"")"),"Kemm kienu nies fit-titjira tat-test tal-AS-206?")</f>
        <v>Kemm kienu nies fit-titjira tat-test tal-AS-206?</v>
      </c>
    </row>
    <row r="11501" ht="15.75" customHeight="1">
      <c r="A11501" s="2" t="s">
        <v>11501</v>
      </c>
      <c r="B11501" s="2" t="str">
        <f>IFERROR(__xludf.DUMMYFUNCTION("GOOGLETRANSLATE(A11501, ""en"", ""mt"")"),"Ewropew tal-Punent")</f>
        <v>Ewropew tal-Punent</v>
      </c>
    </row>
    <row r="11502" ht="15.75" customHeight="1">
      <c r="A11502" s="2" t="s">
        <v>11502</v>
      </c>
      <c r="B11502" s="2" t="str">
        <f>IFERROR(__xludf.DUMMYFUNCTION("GOOGLETRANSLATE(A11502, ""en"", ""mt"")"),"Destinazzjonijiet oħra tax-xiri fi Newcastle jinkludu Triq Grainger u ż-żona madwar il-monument ta 'Grey, il-kumplessi relattivament moderni tal-Ġnien Eldon u l-Monument Mall, iċ-Ċentru ta' Newgate, l-Arcade Ċentrali u s-Suq Tradizzjonali Grainger. Barra "&amp;"ċ-ċentru tal-belt, l-akbar żoni tax-xiri suburbani huma Gosforth u Byker. L-akbar maħżen Tesco fir-Renju Unit jinsab fil-Park Kingston fit-tarf ta 'Newcastle. Qrib Newcastle, l-akbar ċentru tax-xiri ta 'ġewwa fl-Ewropa, il-Metrocentre, jinsab f'Gateshead.")</f>
        <v>Destinazzjonijiet oħra tax-xiri fi Newcastle jinkludu Triq Grainger u ż-żona madwar il-monument ta 'Grey, il-kumplessi relattivament moderni tal-Ġnien Eldon u l-Monument Mall, iċ-Ċentru ta' Newgate, l-Arcade Ċentrali u s-Suq Tradizzjonali Grainger. Barra ċ-ċentru tal-belt, l-akbar żoni tax-xiri suburbani huma Gosforth u Byker. L-akbar maħżen Tesco fir-Renju Unit jinsab fil-Park Kingston fit-tarf ta 'Newcastle. Qrib Newcastle, l-akbar ċentru tax-xiri ta 'ġewwa fl-Ewropa, il-Metrocentre, jinsab f'Gateshead.</v>
      </c>
    </row>
    <row r="11503" ht="15.75" customHeight="1">
      <c r="A11503" s="2" t="s">
        <v>11503</v>
      </c>
      <c r="B11503" s="2" t="str">
        <f>IFERROR(__xludf.DUMMYFUNCTION("GOOGLETRANSLATE(A11503, ""en"", ""mt"")"),"Minn fejn ġej l-akbar parti tal-poter tal-Kenja?")</f>
        <v>Minn fejn ġej l-akbar parti tal-poter tal-Kenja?</v>
      </c>
    </row>
    <row r="11504" ht="15.75" customHeight="1">
      <c r="A11504" s="2" t="s">
        <v>11504</v>
      </c>
      <c r="B11504" s="2" t="str">
        <f>IFERROR(__xludf.DUMMYFUNCTION("GOOGLETRANSLATE(A11504, ""en"", ""mt"")"),"Trasferiment mgħaġġel ta 'kontenut aċċessat")</f>
        <v>Trasferiment mgħaġġel ta 'kontenut aċċessat</v>
      </c>
    </row>
    <row r="11505" ht="15.75" customHeight="1">
      <c r="A11505" s="2" t="s">
        <v>11505</v>
      </c>
      <c r="B11505" s="2" t="str">
        <f>IFERROR(__xludf.DUMMYFUNCTION("GOOGLETRANSLATE(A11505, ""en"", ""mt"")"),"Pigmenti fotosintetiċi jew thylakoids veri")</f>
        <v>Pigmenti fotosintetiċi jew thylakoids veri</v>
      </c>
    </row>
    <row r="11506" ht="15.75" customHeight="1">
      <c r="A11506" s="2" t="s">
        <v>11506</v>
      </c>
      <c r="B11506" s="2" t="str">
        <f>IFERROR(__xludf.DUMMYFUNCTION("GOOGLETRANSLATE(A11506, ""en"", ""mt"")"),"Il-funzjoni tootjenti ta 'Euler")</f>
        <v>Il-funzjoni tootjenti ta 'Euler</v>
      </c>
    </row>
    <row r="11507" ht="15.75" customHeight="1">
      <c r="A11507" s="2" t="s">
        <v>11507</v>
      </c>
      <c r="B11507" s="2" t="str">
        <f>IFERROR(__xludf.DUMMYFUNCTION("GOOGLETRANSLATE(A11507, ""en"", ""mt"")"),"X'tip ta 'proċess huwa ċ-ċiklu tal-ossiġnu?")</f>
        <v>X'tip ta 'proċess huwa ċ-ċiklu tal-ossiġnu?</v>
      </c>
    </row>
    <row r="11508" ht="15.75" customHeight="1">
      <c r="A11508" s="2" t="s">
        <v>11508</v>
      </c>
      <c r="B11508" s="2" t="str">
        <f>IFERROR(__xludf.DUMMYFUNCTION("GOOGLETRANSLATE(A11508, ""en"", ""mt"")"),"consoles elettroniċi fuq l-iskrivaniji tagħhom")</f>
        <v>consoles elettroniċi fuq l-iskrivaniji tagħhom</v>
      </c>
    </row>
    <row r="11509" ht="15.75" customHeight="1">
      <c r="A11509" s="2" t="s">
        <v>11509</v>
      </c>
      <c r="B11509" s="2" t="str">
        <f>IFERROR(__xludf.DUMMYFUNCTION("GOOGLETRANSLATE(A11509, ""en"", ""mt"")"),"Qorti tal-Ġustizzja tal-Unjoni Ewropea (CJEU)")</f>
        <v>Qorti tal-Ġustizzja tal-Unjoni Ewropea (CJEU)</v>
      </c>
    </row>
    <row r="11510" ht="15.75" customHeight="1">
      <c r="A11510" s="2" t="s">
        <v>11510</v>
      </c>
      <c r="B11510" s="2" t="str">
        <f>IFERROR(__xludf.DUMMYFUNCTION("GOOGLETRANSLATE(A11510, ""en"", ""mt"")"),"it-twemmin tagħhom fil-validità tal-kuntratt soċjali")</f>
        <v>it-twemmin tagħhom fil-validità tal-kuntratt soċjali</v>
      </c>
    </row>
    <row r="11511" ht="15.75" customHeight="1">
      <c r="A11511" s="2" t="s">
        <v>11511</v>
      </c>
      <c r="B11511" s="2" t="str">
        <f>IFERROR(__xludf.DUMMYFUNCTION("GOOGLETRANSLATE(A11511, ""en"", ""mt"")"),"xadina")</f>
        <v>xadina</v>
      </c>
    </row>
    <row r="11512" ht="15.75" customHeight="1">
      <c r="A11512" s="2" t="s">
        <v>11512</v>
      </c>
      <c r="B11512" s="2" t="str">
        <f>IFERROR(__xludf.DUMMYFUNCTION("GOOGLETRANSLATE(A11512, ""en"", ""mt"")"),"Magħmudija")</f>
        <v>Magħmudija</v>
      </c>
    </row>
    <row r="11513" ht="15.75" customHeight="1">
      <c r="A11513" s="2" t="s">
        <v>11513</v>
      </c>
      <c r="B11513" s="2" t="str">
        <f>IFERROR(__xludf.DUMMYFUNCTION("GOOGLETRANSLATE(A11513, ""en"", ""mt"")"),"Irħam")</f>
        <v>Irħam</v>
      </c>
    </row>
    <row r="11514" ht="15.75" customHeight="1">
      <c r="A11514" s="2" t="s">
        <v>11514</v>
      </c>
      <c r="B11514" s="2" t="str">
        <f>IFERROR(__xludf.DUMMYFUNCTION("GOOGLETRANSLATE(A11514, ""en"", ""mt"")"),"il-Papa")</f>
        <v>il-Papa</v>
      </c>
    </row>
    <row r="11515" ht="15.75" customHeight="1">
      <c r="A11515" s="2" t="s">
        <v>11515</v>
      </c>
      <c r="B11515" s="2" t="str">
        <f>IFERROR(__xludf.DUMMYFUNCTION("GOOGLETRANSLATE(A11515, ""en"", ""mt"")"),"Phagolysosome")</f>
        <v>Phagolysosome</v>
      </c>
    </row>
    <row r="11516" ht="15.75" customHeight="1">
      <c r="A11516" s="2" t="s">
        <v>11516</v>
      </c>
      <c r="B11516" s="2" t="str">
        <f>IFERROR(__xludf.DUMMYFUNCTION("GOOGLETRANSLATE(A11516, ""en"", ""mt"")"),"trobbija l-art")</f>
        <v>trobbija l-art</v>
      </c>
    </row>
    <row r="11517" ht="15.75" customHeight="1">
      <c r="A11517" s="2" t="s">
        <v>11517</v>
      </c>
      <c r="B11517" s="2" t="str">
        <f>IFERROR(__xludf.DUMMYFUNCTION("GOOGLETRANSLATE(A11517, ""en"", ""mt"")"),"It-tieni użu tal-liġi")</f>
        <v>It-tieni użu tal-liġi</v>
      </c>
    </row>
    <row r="11518" ht="15.75" customHeight="1">
      <c r="A11518" s="2" t="s">
        <v>11518</v>
      </c>
      <c r="B11518" s="2" t="str">
        <f>IFERROR(__xludf.DUMMYFUNCTION("GOOGLETRANSLATE(A11518, ""en"", ""mt"")"),"Porzjon żgħir tal-popolazzjoni jgħix dħul mill-proprjetà mhux mistħoqq")</f>
        <v>Porzjon żgħir tal-popolazzjoni jgħix dħul mill-proprjetà mhux mistħoqq</v>
      </c>
    </row>
    <row r="11519" ht="15.75" customHeight="1">
      <c r="A11519" s="2" t="s">
        <v>11519</v>
      </c>
      <c r="B11519" s="2" t="str">
        <f>IFERROR(__xludf.DUMMYFUNCTION("GOOGLETRANSLATE(A11519, ""en"", ""mt"")"),"allegatament makkinarji korrotti ta 'François bigot")</f>
        <v>allegatament makkinarji korrotti ta 'François bigot</v>
      </c>
    </row>
    <row r="11520" ht="15.75" customHeight="1">
      <c r="A11520" s="2" t="s">
        <v>11520</v>
      </c>
      <c r="B11520" s="2" t="str">
        <f>IFERROR(__xludf.DUMMYFUNCTION("GOOGLETRANSLATE(A11520, ""en"", ""mt"")"),"Jelme u Bo'orchu")</f>
        <v>Jelme u Bo'orchu</v>
      </c>
    </row>
    <row r="11521" ht="15.75" customHeight="1">
      <c r="A11521" s="2" t="s">
        <v>11521</v>
      </c>
      <c r="B11521" s="2" t="str">
        <f>IFERROR(__xludf.DUMMYFUNCTION("GOOGLETRANSLATE(A11521, ""en"", ""mt"")"),"X'inhuma d-differenzjali tad-dħul jekk il-kontribuzzjonijiet individwali kienu rilevanti għall-prodott soċjali?")</f>
        <v>X'inhuma d-differenzjali tad-dħul jekk il-kontribuzzjonijiet individwali kienu rilevanti għall-prodott soċjali?</v>
      </c>
    </row>
    <row r="11522" ht="15.75" customHeight="1">
      <c r="A11522" s="2" t="s">
        <v>11522</v>
      </c>
      <c r="B11522" s="2" t="str">
        <f>IFERROR(__xludf.DUMMYFUNCTION("GOOGLETRANSLATE(A11522, ""en"", ""mt"")"),"settur privat, negozji u sponsors")</f>
        <v>settur privat, negozji u sponsors</v>
      </c>
    </row>
    <row r="11523" ht="15.75" customHeight="1">
      <c r="A11523" s="2" t="s">
        <v>11523</v>
      </c>
      <c r="B11523" s="2" t="str">
        <f>IFERROR(__xludf.DUMMYFUNCTION("GOOGLETRANSLATE(A11523, ""en"", ""mt"")"),"13-il sena u 48 jum")</f>
        <v>13-il sena u 48 jum</v>
      </c>
    </row>
    <row r="11524" ht="15.75" customHeight="1">
      <c r="A11524" s="2" t="s">
        <v>11524</v>
      </c>
      <c r="B11524" s="2" t="str">
        <f>IFERROR(__xludf.DUMMYFUNCTION("GOOGLETRANSLATE(A11524, ""en"", ""mt"")"),"X'tip ta 'interpretazzjoni tal-Iżlam jippromwovi s-Salafiżmu?")</f>
        <v>X'tip ta 'interpretazzjoni tal-Iżlam jippromwovi s-Salafiżmu?</v>
      </c>
    </row>
    <row r="11525" ht="15.75" customHeight="1">
      <c r="A11525" s="2" t="s">
        <v>11525</v>
      </c>
      <c r="B11525" s="2" t="str">
        <f>IFERROR(__xludf.DUMMYFUNCTION("GOOGLETRANSLATE(A11525, ""en"", ""mt"")"),"Transizzjonijiet tal-Istat")</f>
        <v>Transizzjonijiet tal-Istat</v>
      </c>
    </row>
    <row r="11526" ht="15.75" customHeight="1">
      <c r="A11526" s="2" t="s">
        <v>11526</v>
      </c>
      <c r="B11526" s="2" t="str">
        <f>IFERROR(__xludf.DUMMYFUNCTION("GOOGLETRANSLATE(A11526, ""en"", ""mt"")"),"nofs milf")</f>
        <v>nofs milf</v>
      </c>
    </row>
    <row r="11527" ht="15.75" customHeight="1">
      <c r="A11527" s="2" t="s">
        <v>11527</v>
      </c>
      <c r="B11527" s="2" t="str">
        <f>IFERROR(__xludf.DUMMYFUNCTION("GOOGLETRANSLATE(A11527, ""en"", ""mt"")"),"Problema oħra")</f>
        <v>Problema oħra</v>
      </c>
    </row>
    <row r="11528" ht="15.75" customHeight="1">
      <c r="A11528" s="2" t="s">
        <v>11528</v>
      </c>
      <c r="B11528" s="2" t="str">
        <f>IFERROR(__xludf.DUMMYFUNCTION("GOOGLETRANSLATE(A11528, ""en"", ""mt"")"),"Effiċjenza distributiva")</f>
        <v>Effiċjenza distributiva</v>
      </c>
    </row>
    <row r="11529" ht="15.75" customHeight="1">
      <c r="A11529" s="2" t="s">
        <v>11529</v>
      </c>
      <c r="B11529" s="2" t="str">
        <f>IFERROR(__xludf.DUMMYFUNCTION("GOOGLETRANSLATE(A11529, ""en"", ""mt"")"),"Avjazzjoni tal-Amerika ta ’Fuq")</f>
        <v>Avjazzjoni tal-Amerika ta ’Fuq</v>
      </c>
    </row>
    <row r="11530" ht="15.75" customHeight="1">
      <c r="A11530" s="2" t="s">
        <v>11530</v>
      </c>
      <c r="B11530" s="2" t="str">
        <f>IFERROR(__xludf.DUMMYFUNCTION("GOOGLETRANSLATE(A11530, ""en"", ""mt"")"),"""Żgura li fl-interpretazzjoni u l-applikazzjoni tat-trattati tkun osservata l-liġi""")</f>
        <v>"Żgura li fl-interpretazzjoni u l-applikazzjoni tat-trattati tkun osservata l-liġi"</v>
      </c>
    </row>
    <row r="11531" ht="15.75" customHeight="1">
      <c r="A11531" s="2" t="s">
        <v>11531</v>
      </c>
      <c r="B11531" s="2" t="str">
        <f>IFERROR(__xludf.DUMMYFUNCTION("GOOGLETRANSLATE(A11531, ""en"", ""mt"")"),"tikser il-liġi għal awto-gratifikazzjoni")</f>
        <v>tikser il-liġi għal awto-gratifikazzjoni</v>
      </c>
    </row>
    <row r="11532" ht="15.75" customHeight="1">
      <c r="A11532" s="2" t="s">
        <v>11532</v>
      </c>
      <c r="B11532" s="2" t="str">
        <f>IFERROR(__xludf.DUMMYFUNCTION("GOOGLETRANSLATE(A11532, ""en"", ""mt"")"),"Liema kunċett ġie żviluppat minn Baran waqt ir-riċerka fuq Rand")</f>
        <v>Liema kunċett ġie żviluppat minn Baran waqt ir-riċerka fuq Rand</v>
      </c>
    </row>
    <row r="11533" ht="15.75" customHeight="1">
      <c r="A11533" s="2" t="s">
        <v>11533</v>
      </c>
      <c r="B11533" s="2" t="str">
        <f>IFERROR(__xludf.DUMMYFUNCTION("GOOGLETRANSLATE(A11533, ""en"", ""mt"")"),"Otilling")</f>
        <v>Otilling</v>
      </c>
    </row>
    <row r="11534" ht="15.75" customHeight="1">
      <c r="A11534" s="2" t="s">
        <v>11534</v>
      </c>
      <c r="B11534" s="2" t="str">
        <f>IFERROR(__xludf.DUMMYFUNCTION("GOOGLETRANSLATE(A11534, ""en"", ""mt"")"),"teknika")</f>
        <v>teknika</v>
      </c>
    </row>
    <row r="11535" ht="15.75" customHeight="1">
      <c r="A11535" s="2" t="s">
        <v>11535</v>
      </c>
      <c r="B11535" s="2" t="str">
        <f>IFERROR(__xludf.DUMMYFUNCTION("GOOGLETRANSLATE(A11535, ""en"", ""mt"")"),"1978 Każ tal-Qorti Suprema tal-Fondazzjoni FCC v. Pacifica")</f>
        <v>1978 Każ tal-Qorti Suprema tal-Fondazzjoni FCC v. Pacifica</v>
      </c>
    </row>
    <row r="11536" ht="15.75" customHeight="1">
      <c r="A11536" s="2" t="s">
        <v>11536</v>
      </c>
      <c r="B11536" s="2" t="str">
        <f>IFERROR(__xludf.DUMMYFUNCTION("GOOGLETRANSLATE(A11536, ""en"", ""mt"")"),"Il-biċċa l-kbira ta 'Huguenot émigrés irrilokaw għal nazzjonijiet Ewropej Protestanti bħall-Ingilterra, Wales, l-Iskozja, id-Danimarka, l-Isvezja, l-Isvizzera, ir-Repubblika Olandiża, l-elettorat ta' Brandenburg u l-elettorat tal-Palatinat fl-Imperu Ruman"&amp;" qaddis, id-Duchy ta 'Prussia, il-kanal Gżejjer, u l-Irlanda. Huma nfirxu wkoll lil hinn mill-Ewropa għall-Kolonja tal-Kap Olandiża fl-Afrika t'Isfel, l-Indji tal-Lvant Olandiżi, il-Karibew, u bosta mill-kolonji Ingliżi ta 'l-Amerika ta' Fuq, u Quebec, fe"&amp;"jn ġew aċċettati u tħallew jaduraw liberament.")</f>
        <v>Il-biċċa l-kbira ta 'Huguenot émigrés irrilokaw għal nazzjonijiet Ewropej Protestanti bħall-Ingilterra, Wales, l-Iskozja, id-Danimarka, l-Isvezja, l-Isvizzera, ir-Repubblika Olandiża, l-elettorat ta' Brandenburg u l-elettorat tal-Palatinat fl-Imperu Ruman qaddis, id-Duchy ta 'Prussia, il-kanal Gżejjer, u l-Irlanda. Huma nfirxu wkoll lil hinn mill-Ewropa għall-Kolonja tal-Kap Olandiża fl-Afrika t'Isfel, l-Indji tal-Lvant Olandiżi, il-Karibew, u bosta mill-kolonji Ingliżi ta 'l-Amerika ta' Fuq, u Quebec, fejn ġew aċċettati u tħallew jaduraw liberament.</v>
      </c>
    </row>
    <row r="11537" ht="15.75" customHeight="1">
      <c r="A11537" s="2" t="s">
        <v>11537</v>
      </c>
      <c r="B11537" s="2" t="str">
        <f>IFERROR(__xludf.DUMMYFUNCTION("GOOGLETRANSLATE(A11537, ""en"", ""mt"")"),"Ir-Reġina Eliżabetta")</f>
        <v>Ir-Reġina Eliżabetta</v>
      </c>
    </row>
    <row r="11538" ht="15.75" customHeight="1">
      <c r="A11538" s="2" t="s">
        <v>11538</v>
      </c>
      <c r="B11538" s="2" t="str">
        <f>IFERROR(__xludf.DUMMYFUNCTION("GOOGLETRANSLATE(A11538, ""en"", ""mt"")"),"30% telf")</f>
        <v>30% telf</v>
      </c>
    </row>
    <row r="11539" ht="15.75" customHeight="1">
      <c r="A11539" s="2" t="s">
        <v>11539</v>
      </c>
      <c r="B11539" s="2" t="str">
        <f>IFERROR(__xludf.DUMMYFUNCTION("GOOGLETRANSLATE(A11539, ""en"", ""mt"")"),"Suspettat qed jitkellem ma 'investigaturi kriminali")</f>
        <v>Suspettat qed jitkellem ma 'investigaturi kriminali</v>
      </c>
    </row>
    <row r="11540" ht="15.75" customHeight="1">
      <c r="A11540" s="2" t="s">
        <v>11540</v>
      </c>
      <c r="B11540" s="2" t="str">
        <f>IFERROR(__xludf.DUMMYFUNCTION("GOOGLETRANSLATE(A11540, ""en"", ""mt"")"),"Minflok il-fjuwil, x'inhu ossiġnu għal nar?")</f>
        <v>Minflok il-fjuwil, x'inhu ossiġnu għal nar?</v>
      </c>
    </row>
    <row r="11541" ht="15.75" customHeight="1">
      <c r="A11541" s="2" t="s">
        <v>11541</v>
      </c>
      <c r="B11541" s="2" t="str">
        <f>IFERROR(__xludf.DUMMYFUNCTION("GOOGLETRANSLATE(A11541, ""en"", ""mt"")"),"Kemm Tesla biegħet il-privattivi tal-AC tiegħu lil Westinghouse Electric?")</f>
        <v>Kemm Tesla biegħet il-privattivi tal-AC tiegħu lil Westinghouse Electric?</v>
      </c>
    </row>
    <row r="11542" ht="15.75" customHeight="1">
      <c r="A11542" s="2" t="s">
        <v>11542</v>
      </c>
      <c r="B11542" s="2" t="str">
        <f>IFERROR(__xludf.DUMMYFUNCTION("GOOGLETRANSLATE(A11542, ""en"", ""mt"")"),"Kif kienu jissejħu l-gwerer ċivili kkawżati mill-Huguenots?")</f>
        <v>Kif kienu jissejħu l-gwerer ċivili kkawżati mill-Huguenots?</v>
      </c>
    </row>
    <row r="11543" ht="15.75" customHeight="1">
      <c r="A11543" s="2" t="s">
        <v>11543</v>
      </c>
      <c r="B11543" s="2" t="str">
        <f>IFERROR(__xludf.DUMMYFUNCTION("GOOGLETRANSLATE(A11543, ""en"", ""mt"")"),"Fejn baqgħu truppi Amerikani stazzjonati wara t-telfa ta 'Saddam?")</f>
        <v>Fejn baqgħu truppi Amerikani stazzjonati wara t-telfa ta 'Saddam?</v>
      </c>
    </row>
    <row r="11544" ht="15.75" customHeight="1">
      <c r="A11544" s="2" t="s">
        <v>11544</v>
      </c>
      <c r="B11544" s="2" t="str">
        <f>IFERROR(__xludf.DUMMYFUNCTION("GOOGLETRANSLATE(A11544, ""en"", ""mt"")"),"27 ta 'Ġunju")</f>
        <v>27 ta 'Ġunju</v>
      </c>
    </row>
    <row r="11545" ht="15.75" customHeight="1">
      <c r="A11545" s="2" t="s">
        <v>11545</v>
      </c>
      <c r="B11545" s="2" t="str">
        <f>IFERROR(__xludf.DUMMYFUNCTION("GOOGLETRANSLATE(A11545, ""en"", ""mt"")"),"X'tip ta 'kejl jirriżulta taħt ekwazzjonijiet ta' Schrodinger meta jużaw operaturi minflok varjabbli Newtonjani?")</f>
        <v>X'tip ta 'kejl jirriżulta taħt ekwazzjonijiet ta' Schrodinger meta jużaw operaturi minflok varjabbli Newtonjani?</v>
      </c>
    </row>
    <row r="11546" ht="15.75" customHeight="1">
      <c r="A11546" s="2" t="s">
        <v>11546</v>
      </c>
      <c r="B11546" s="2" t="str">
        <f>IFERROR(__xludf.DUMMYFUNCTION("GOOGLETRANSLATE(A11546, ""en"", ""mt"")"),"Ħafna mit-tribujiet nomadi tal-Asja tal-Grigal")</f>
        <v>Ħafna mit-tribujiet nomadi tal-Asja tal-Grigal</v>
      </c>
    </row>
    <row r="11547" ht="15.75" customHeight="1">
      <c r="A11547" s="2" t="s">
        <v>11547</v>
      </c>
      <c r="B11547" s="2" t="str">
        <f>IFERROR(__xludf.DUMMYFUNCTION("GOOGLETRANSLATE(A11547, ""en"", ""mt"")"),"marġinalment aktar biss")</f>
        <v>marġinalment aktar biss</v>
      </c>
    </row>
    <row r="11548" ht="15.75" customHeight="1">
      <c r="A11548" s="2" t="s">
        <v>11548</v>
      </c>
      <c r="B11548" s="2" t="str">
        <f>IFERROR(__xludf.DUMMYFUNCTION("GOOGLETRANSLATE(A11548, ""en"", ""mt"")"),"metalli")</f>
        <v>metalli</v>
      </c>
    </row>
    <row r="11549" ht="15.75" customHeight="1">
      <c r="A11549" s="2" t="s">
        <v>11549</v>
      </c>
      <c r="B11549" s="2" t="str">
        <f>IFERROR(__xludf.DUMMYFUNCTION("GOOGLETRANSLATE(A11549, ""en"", ""mt"")"),"X'tip ta 'diżubbidjenza ċivili hija aċċettata b'mod komuni?")</f>
        <v>X'tip ta 'diżubbidjenza ċivili hija aċċettata b'mod komuni?</v>
      </c>
    </row>
    <row r="11550" ht="15.75" customHeight="1">
      <c r="A11550" s="2" t="s">
        <v>11550</v>
      </c>
      <c r="B11550" s="2" t="str">
        <f>IFERROR(__xludf.DUMMYFUNCTION("GOOGLETRANSLATE(A11550, ""en"", ""mt"")"),"radju")</f>
        <v>radju</v>
      </c>
    </row>
    <row r="11551" ht="15.75" customHeight="1">
      <c r="A11551" s="2" t="s">
        <v>11551</v>
      </c>
      <c r="B11551" s="2" t="str">
        <f>IFERROR(__xludf.DUMMYFUNCTION("GOOGLETRANSLATE(A11551, ""en"", ""mt"")"),"Xi jfisser l-isem Fresno bl-Ispanjol?")</f>
        <v>Xi jfisser l-isem Fresno bl-Ispanjol?</v>
      </c>
    </row>
    <row r="11552" ht="15.75" customHeight="1">
      <c r="A11552" s="2" t="s">
        <v>11552</v>
      </c>
      <c r="B11552" s="2" t="str">
        <f>IFERROR(__xludf.DUMMYFUNCTION("GOOGLETRANSLATE(A11552, ""en"", ""mt"")"),"X'inhi tip ta 'rispons ta' difiża li jagħmel l-impjant kollu reżistenti għal aġent partikolari?")</f>
        <v>X'inhi tip ta 'rispons ta' difiża li jagħmel l-impjant kollu reżistenti għal aġent partikolari?</v>
      </c>
    </row>
    <row r="11553" ht="15.75" customHeight="1">
      <c r="A11553" s="2" t="s">
        <v>11553</v>
      </c>
      <c r="B11553" s="2" t="str">
        <f>IFERROR(__xludf.DUMMYFUNCTION("GOOGLETRANSLATE(A11553, ""en"", ""mt"")"),"Liema srevice addizzjonali offra BSKYB minbarra l-kanali HD li huma ddikjaraw offruti ""sostanzjalment aktar valur""?")</f>
        <v>Liema srevice addizzjonali offra BSKYB minbarra l-kanali HD li huma ddikjaraw offruti "sostanzjalment aktar valur"?</v>
      </c>
    </row>
    <row r="11554" ht="15.75" customHeight="1">
      <c r="A11554" s="2" t="s">
        <v>11554</v>
      </c>
      <c r="B11554" s="2" t="str">
        <f>IFERROR(__xludf.DUMMYFUNCTION("GOOGLETRANSLATE(A11554, ""en"", ""mt"")"),"Kemm it-trab jiġi minfuħ mis-Saħara kull sena?")</f>
        <v>Kemm it-trab jiġi minfuħ mis-Saħara kull sena?</v>
      </c>
    </row>
    <row r="11555" ht="15.75" customHeight="1">
      <c r="A11555" s="2" t="s">
        <v>11555</v>
      </c>
      <c r="B11555" s="2" t="str">
        <f>IFERROR(__xludf.DUMMYFUNCTION("GOOGLETRANSLATE(A11555, ""en"", ""mt"")"),"Kemm idum biex tasal fin-nofs ta 'Newcastle mill-periferija tagħha meta riekeb il-binarji?")</f>
        <v>Kemm idum biex tasal fin-nofs ta 'Newcastle mill-periferija tagħha meta riekeb il-binarji?</v>
      </c>
    </row>
    <row r="11556" ht="15.75" customHeight="1">
      <c r="A11556" s="2" t="s">
        <v>11556</v>
      </c>
      <c r="B11556" s="2" t="str">
        <f>IFERROR(__xludf.DUMMYFUNCTION("GOOGLETRANSLATE(A11556, ""en"", ""mt"")"),"Qlib ta 'blokka ta' messaġġi adattivi distribwiti")</f>
        <v>Qlib ta 'blokka ta' messaġġi adattivi distribwiti</v>
      </c>
    </row>
    <row r="11557" ht="15.75" customHeight="1">
      <c r="A11557" s="2" t="s">
        <v>11557</v>
      </c>
      <c r="B11557" s="2" t="str">
        <f>IFERROR(__xludf.DUMMYFUNCTION("GOOGLETRANSLATE(A11557, ""en"", ""mt"")"),"X'inhi kelma oħra għal diatom?")</f>
        <v>X'inhi kelma oħra għal diatom?</v>
      </c>
    </row>
    <row r="11558" ht="15.75" customHeight="1">
      <c r="A11558" s="2" t="s">
        <v>11558</v>
      </c>
      <c r="B11558" s="2" t="str">
        <f>IFERROR(__xludf.DUMMYFUNCTION("GOOGLETRANSLATE(A11558, ""en"", ""mt"")"),"Ma 'liema grupp jistgħu jirreġistraw l-għalliema f'Wales?")</f>
        <v>Ma 'liema grupp jistgħu jirreġistraw l-għalliema f'Wales?</v>
      </c>
    </row>
    <row r="11559" ht="15.75" customHeight="1">
      <c r="A11559" s="2" t="s">
        <v>11559</v>
      </c>
      <c r="B11559" s="2" t="str">
        <f>IFERROR(__xludf.DUMMYFUNCTION("GOOGLETRANSLATE(A11559, ""en"", ""mt"")"),"Biex tqassam il-kloroplasti sabiex ikunu jistgħu jieħdu kenn wara xulxin jew jinfirxu")</f>
        <v>Biex tqassam il-kloroplasti sabiex ikunu jistgħu jieħdu kenn wara xulxin jew jinfirxu</v>
      </c>
    </row>
    <row r="11560" ht="15.75" customHeight="1">
      <c r="A11560" s="2" t="s">
        <v>11560</v>
      </c>
      <c r="B11560" s="2" t="str">
        <f>IFERROR(__xludf.DUMMYFUNCTION("GOOGLETRANSLATE(A11560, ""en"", ""mt"")"),"X'inhu deċiż ukoll mill-uffiċjal li jippresiedi?")</f>
        <v>X'inhu deċiż ukoll mill-uffiċjal li jippresiedi?</v>
      </c>
    </row>
    <row r="11561" ht="15.75" customHeight="1">
      <c r="A11561" s="2" t="s">
        <v>11561</v>
      </c>
      <c r="B11561" s="2" t="str">
        <f>IFERROR(__xludf.DUMMYFUNCTION("GOOGLETRANSLATE(A11561, ""en"", ""mt"")"),"F'soluzzjoni fil-korpi tal-ilma tad-dinja")</f>
        <v>F'soluzzjoni fil-korpi tal-ilma tad-dinja</v>
      </c>
    </row>
    <row r="11562" ht="15.75" customHeight="1">
      <c r="A11562" s="2" t="s">
        <v>11562</v>
      </c>
      <c r="B11562" s="2" t="str">
        <f>IFERROR(__xludf.DUMMYFUNCTION("GOOGLETRANSLATE(A11562, ""en"", ""mt"")"),"X'qed jikkunsidra Luther il-ħajja ta 'Kristu?")</f>
        <v>X'qed jikkunsidra Luther il-ħajja ta 'Kristu?</v>
      </c>
    </row>
    <row r="11563" ht="15.75" customHeight="1">
      <c r="A11563" s="2" t="s">
        <v>11563</v>
      </c>
      <c r="B11563" s="2" t="str">
        <f>IFERROR(__xludf.DUMMYFUNCTION("GOOGLETRANSLATE(A11563, ""en"", ""mt"")"),"40,000 lira")</f>
        <v>40,000 lira</v>
      </c>
    </row>
    <row r="11564" ht="15.75" customHeight="1">
      <c r="A11564" s="2" t="s">
        <v>11564</v>
      </c>
      <c r="B11564" s="2" t="str">
        <f>IFERROR(__xludf.DUMMYFUNCTION("GOOGLETRANSLATE(A11564, ""en"", ""mt"")"),"Kummissjoni v Edith Cresson")</f>
        <v>Kummissjoni v Edith Cresson</v>
      </c>
    </row>
    <row r="11565" ht="15.75" customHeight="1">
      <c r="A11565" s="2" t="s">
        <v>11565</v>
      </c>
      <c r="B11565" s="2" t="str">
        <f>IFERROR(__xludf.DUMMYFUNCTION("GOOGLETRANSLATE(A11565, ""en"", ""mt"")"),"Liema reġjun muntanjuż huwa Lake Constance minn?")</f>
        <v>Liema reġjun muntanjuż huwa Lake Constance minn?</v>
      </c>
    </row>
    <row r="11566" ht="15.75" customHeight="1">
      <c r="A11566" s="2" t="s">
        <v>11566</v>
      </c>
      <c r="B11566" s="2" t="str">
        <f>IFERROR(__xludf.DUMMYFUNCTION("GOOGLETRANSLATE(A11566, ""en"", ""mt"")"),"Liema staġun kien meta Genghis Khan ħa lil Xiliang-Fu mit-Tanguts?")</f>
        <v>Liema staġun kien meta Genghis Khan ħa lil Xiliang-Fu mit-Tanguts?</v>
      </c>
    </row>
    <row r="11567" ht="15.75" customHeight="1">
      <c r="A11567" s="2" t="s">
        <v>11567</v>
      </c>
      <c r="B11567" s="2" t="str">
        <f>IFERROR(__xludf.DUMMYFUNCTION("GOOGLETRANSLATE(A11567, ""en"", ""mt"")"),"Kolonizzanti, Influwenza, u Twaħħal partijiet oħra tad-dinja sabiex tikseb poter politiku")</f>
        <v>Kolonizzanti, Influwenza, u Twaħħal partijiet oħra tad-dinja sabiex tikseb poter politiku</v>
      </c>
    </row>
    <row r="11568" ht="15.75" customHeight="1">
      <c r="A11568" s="2" t="s">
        <v>11568</v>
      </c>
      <c r="B11568" s="2" t="str">
        <f>IFERROR(__xludf.DUMMYFUNCTION("GOOGLETRANSLATE(A11568, ""en"", ""mt"")"),"iżgħar")</f>
        <v>iżgħar</v>
      </c>
    </row>
    <row r="11569" ht="15.75" customHeight="1">
      <c r="A11569" s="2" t="s">
        <v>11569</v>
      </c>
      <c r="B11569" s="2" t="str">
        <f>IFERROR(__xludf.DUMMYFUNCTION("GOOGLETRANSLATE(A11569, ""en"", ""mt"")"),"Servizzi diretti għall-kura tal-pazjenti li jottimizzaw l-użu tal-medikazzjoni u jippromwovu s-saħħa, il-benessri, u l-prevenzjoni tal-mard")</f>
        <v>Servizzi diretti għall-kura tal-pazjenti li jottimizzaw l-użu tal-medikazzjoni u jippromwovu s-saħħa, il-benessri, u l-prevenzjoni tal-mard</v>
      </c>
    </row>
    <row r="11570" ht="15.75" customHeight="1">
      <c r="A11570" s="2" t="s">
        <v>11570</v>
      </c>
      <c r="B11570" s="2" t="str">
        <f>IFERROR(__xludf.DUMMYFUNCTION("GOOGLETRANSLATE(A11570, ""en"", ""mt"")"),"Djakni")</f>
        <v>Djakni</v>
      </c>
    </row>
    <row r="11571" ht="15.75" customHeight="1">
      <c r="A11571" s="2" t="s">
        <v>11571</v>
      </c>
      <c r="B11571" s="2" t="str">
        <f>IFERROR(__xludf.DUMMYFUNCTION("GOOGLETRANSLATE(A11571, ""en"", ""mt"")"),"Komunikazzjonijiet tal-Livell 3")</f>
        <v>Komunikazzjonijiet tal-Livell 3</v>
      </c>
    </row>
    <row r="11572" ht="15.75" customHeight="1">
      <c r="A11572" s="2" t="s">
        <v>11572</v>
      </c>
      <c r="B11572" s="2" t="str">
        <f>IFERROR(__xludf.DUMMYFUNCTION("GOOGLETRANSLATE(A11572, ""en"", ""mt"")"),"l-effett tal-polfich")</f>
        <v>l-effett tal-polfich</v>
      </c>
    </row>
    <row r="11573" ht="15.75" customHeight="1">
      <c r="A11573" s="2" t="s">
        <v>11573</v>
      </c>
      <c r="B11573" s="2" t="str">
        <f>IFERROR(__xludf.DUMMYFUNCTION("GOOGLETRANSLATE(A11573, ""en"", ""mt"")"),"X'inhi r-raġuni ewlenija li l-ispiżjara li jikkonsultaw qed jaħdmu dejjem aktar direttament mal-pazjenti?")</f>
        <v>X'inhi r-raġuni ewlenija li l-ispiżjara li jikkonsultaw qed jaħdmu dejjem aktar direttament mal-pazjenti?</v>
      </c>
    </row>
    <row r="11574" ht="15.75" customHeight="1">
      <c r="A11574" s="2" t="s">
        <v>11574</v>
      </c>
      <c r="B11574" s="2" t="str">
        <f>IFERROR(__xludf.DUMMYFUNCTION("GOOGLETRANSLATE(A11574, ""en"", ""mt"")"),"Ir-rwol ta 'Yersinia pestis fil-mewt l-Iswed")</f>
        <v>Ir-rwol ta 'Yersinia pestis fil-mewt l-Iswed</v>
      </c>
    </row>
    <row r="11575" ht="15.75" customHeight="1">
      <c r="A11575" s="2" t="s">
        <v>11575</v>
      </c>
      <c r="B11575" s="2" t="str">
        <f>IFERROR(__xludf.DUMMYFUNCTION("GOOGLETRANSLATE(A11575, ""en"", ""mt"")"),"Kumpless tat-Triq")</f>
        <v>Kumpless tat-Triq</v>
      </c>
    </row>
    <row r="11576" ht="15.75" customHeight="1">
      <c r="A11576" s="2" t="s">
        <v>11576</v>
      </c>
      <c r="B11576" s="2" t="str">
        <f>IFERROR(__xludf.DUMMYFUNCTION("GOOGLETRANSLATE(A11576, ""en"", ""mt"")"),"x'imkien bejn")</f>
        <v>x'imkien bejn</v>
      </c>
    </row>
    <row r="11577" ht="15.75" customHeight="1">
      <c r="A11577" s="2" t="s">
        <v>11577</v>
      </c>
      <c r="B11577" s="2" t="str">
        <f>IFERROR(__xludf.DUMMYFUNCTION("GOOGLETRANSLATE(A11577, ""en"", ""mt"")"),"diffiċli biex timla")</f>
        <v>diffiċli biex timla</v>
      </c>
    </row>
    <row r="11578" ht="15.75" customHeight="1">
      <c r="A11578" s="2" t="s">
        <v>11578</v>
      </c>
      <c r="B11578" s="2" t="str">
        <f>IFERROR(__xludf.DUMMYFUNCTION("GOOGLETRANSLATE(A11578, ""en"", ""mt"")"),"24–10")</f>
        <v>24–10</v>
      </c>
    </row>
    <row r="11579" ht="15.75" customHeight="1">
      <c r="A11579" s="2" t="s">
        <v>11579</v>
      </c>
      <c r="B11579" s="2" t="str">
        <f>IFERROR(__xludf.DUMMYFUNCTION("GOOGLETRANSLATE(A11579, ""en"", ""mt"")"),"L-intervalli tan-numru ewlieni bejn il-emerġenzi jagħmluha diffiċli ħafna għall-predaturi biex jevolvu")</f>
        <v>L-intervalli tan-numru ewlieni bejn il-emerġenzi jagħmluha diffiċli ħafna għall-predaturi biex jevolvu</v>
      </c>
    </row>
    <row r="11580" ht="15.75" customHeight="1">
      <c r="A11580" s="2" t="s">
        <v>11580</v>
      </c>
      <c r="B11580" s="2" t="str">
        <f>IFERROR(__xludf.DUMMYFUNCTION("GOOGLETRANSLATE(A11580, ""en"", ""mt"")"),"F’San Evroul, tradizzjoni tal-kant kienet żviluppat u l-kor kiseb fama fin-Normandija. Taħt l-abbati Norman Robert de Grantmesnil, diversi patrijiet ta 'Saint-Evroul ħarbu lejn in-Nofsinhar tal-Italja, fejn kienu patronizzati minn Robert Guiscard u stabbi"&amp;"lixxew monasteru Latin f'Sant'eufemia. Hemm komplew it-tradizzjoni tal-kant.")</f>
        <v>F’San Evroul, tradizzjoni tal-kant kienet żviluppat u l-kor kiseb fama fin-Normandija. Taħt l-abbati Norman Robert de Grantmesnil, diversi patrijiet ta 'Saint-Evroul ħarbu lejn in-Nofsinhar tal-Italja, fejn kienu patronizzati minn Robert Guiscard u stabbilixxew monasteru Latin f'Sant'eufemia. Hemm komplew it-tradizzjoni tal-kant.</v>
      </c>
    </row>
    <row r="11581" ht="15.75" customHeight="1">
      <c r="A11581" s="2" t="s">
        <v>11581</v>
      </c>
      <c r="B11581" s="2" t="str">
        <f>IFERROR(__xludf.DUMMYFUNCTION("GOOGLETRANSLATE(A11581, ""en"", ""mt"")"),"materjal dwar il-prestazzjoni diretta")</f>
        <v>materjal dwar il-prestazzjoni diretta</v>
      </c>
    </row>
    <row r="11582" ht="15.75" customHeight="1">
      <c r="A11582" s="2" t="s">
        <v>11582</v>
      </c>
      <c r="B11582" s="2" t="str">
        <f>IFERROR(__xludf.DUMMYFUNCTION("GOOGLETRANSLATE(A11582, ""en"", ""mt"")"),"X'post ta 'Doctor Who għandu fl-akbar 100 programm tat-TV Ingliż tas-seklu 20?")</f>
        <v>X'post ta 'Doctor Who għandu fl-akbar 100 programm tat-TV Ingliż tas-seklu 20?</v>
      </c>
    </row>
    <row r="11583" ht="15.75" customHeight="1">
      <c r="A11583" s="2" t="s">
        <v>11583</v>
      </c>
      <c r="B11583" s="2" t="str">
        <f>IFERROR(__xludf.DUMMYFUNCTION("GOOGLETRANSLATE(A11583, ""en"", ""mt"")"),"Flimkien mal-Musulmani, il-Lhud u l-Insara Protestanti, liema grupp reliġjuż jopera l-aktar skejjel privati?")</f>
        <v>Flimkien mal-Musulmani, il-Lhud u l-Insara Protestanti, liema grupp reliġjuż jopera l-aktar skejjel privati?</v>
      </c>
    </row>
    <row r="11584" ht="15.75" customHeight="1">
      <c r="A11584" s="2" t="s">
        <v>11584</v>
      </c>
      <c r="B11584" s="2" t="str">
        <f>IFERROR(__xludf.DUMMYFUNCTION("GOOGLETRANSLATE(A11584, ""en"", ""mt"")"),"il-kuntrattur ewlieni")</f>
        <v>il-kuntrattur ewlieni</v>
      </c>
    </row>
    <row r="11585" ht="15.75" customHeight="1">
      <c r="A11585" s="2" t="s">
        <v>11585</v>
      </c>
      <c r="B11585" s="2" t="str">
        <f>IFERROR(__xludf.DUMMYFUNCTION("GOOGLETRANSLATE(A11585, ""en"", ""mt"")"),"biex tikkataloga kollox")</f>
        <v>biex tikkataloga kollox</v>
      </c>
    </row>
    <row r="11586" ht="15.75" customHeight="1">
      <c r="A11586" s="2" t="s">
        <v>11586</v>
      </c>
      <c r="B11586" s="2" t="str">
        <f>IFERROR(__xludf.DUMMYFUNCTION("GOOGLETRANSLATE(A11586, ""en"", ""mt"")"),"Doctor Who Isegwi l-Avventuri tal-Karattru Primarju, A Lord Time Rogue mill-Pjaneta Gallifrey, li sempliċement imur bl-isem ""It-Tabib"". Huwa ħarab minn Gallifrey f'marka misruqa I tat-Tip 40 Tardis - ""Ħin u Dimensjoni Relattiva fl-Ispazju"" - magna tal"&amp;"-ħin li tippermettilu jivvjaġġa matul il-ħin u l-ispazju. It-tardi għandu ""ċirkwit tal-kamaleont"" li normalment jippermetti lill-magna tieħu d-dehra ta 'oġġetti lokali bħala travestiment. Madankollu, it-Tardis tat-Tabib jibqa 'ffissat bħala kaxxa tal-pu"&amp;"lizija Ingliża blu minħabba malfunzjoni fiċ-ċirkwit tal-kamaleont.")</f>
        <v>Doctor Who Isegwi l-Avventuri tal-Karattru Primarju, A Lord Time Rogue mill-Pjaneta Gallifrey, li sempliċement imur bl-isem "It-Tabib". Huwa ħarab minn Gallifrey f'marka misruqa I tat-Tip 40 Tardis - "Ħin u Dimensjoni Relattiva fl-Ispazju" - magna tal-ħin li tippermettilu jivvjaġġa matul il-ħin u l-ispazju. It-tardi għandu "ċirkwit tal-kamaleont" li normalment jippermetti lill-magna tieħu d-dehra ta 'oġġetti lokali bħala travestiment. Madankollu, it-Tardis tat-Tabib jibqa 'ffissat bħala kaxxa tal-pulizija Ingliża blu minħabba malfunzjoni fiċ-ċirkwit tal-kamaleont.</v>
      </c>
    </row>
    <row r="11587" ht="15.75" customHeight="1">
      <c r="A11587" s="2" t="s">
        <v>11587</v>
      </c>
      <c r="B11587" s="2" t="str">
        <f>IFERROR(__xludf.DUMMYFUNCTION("GOOGLETRANSLATE(A11587, ""en"", ""mt"")"),"fil-palazz tal-kultura u x-xjenza")</f>
        <v>fil-palazz tal-kultura u x-xjenza</v>
      </c>
    </row>
    <row r="11588" ht="15.75" customHeight="1">
      <c r="A11588" s="2" t="s">
        <v>11588</v>
      </c>
      <c r="B11588" s="2" t="str">
        <f>IFERROR(__xludf.DUMMYFUNCTION("GOOGLETRANSLATE(A11588, ""en"", ""mt"")"),"X'kien l-isem tal-miżura approvata li għen biex tkopri l-ispiża tal-proġetti ewlenin tal-belt?")</f>
        <v>X'kien l-isem tal-miżura approvata li għen biex tkopri l-ispiża tal-proġetti ewlenin tal-belt?</v>
      </c>
    </row>
    <row r="11589" ht="15.75" customHeight="1">
      <c r="A11589" s="2" t="s">
        <v>11589</v>
      </c>
      <c r="B11589" s="2" t="str">
        <f>IFERROR(__xludf.DUMMYFUNCTION("GOOGLETRANSLATE(A11589, ""en"", ""mt"")"),"L-Ewwel AD tal-Millennju")</f>
        <v>L-Ewwel AD tal-Millennju</v>
      </c>
    </row>
    <row r="11590" ht="15.75" customHeight="1">
      <c r="A11590" s="2" t="s">
        <v>11590</v>
      </c>
      <c r="B11590" s="2" t="str">
        <f>IFERROR(__xludf.DUMMYFUNCTION("GOOGLETRANSLATE(A11590, ""en"", ""mt"")"),"X'kien l-għan finali eventwali tal-proġetti Apollo?")</f>
        <v>X'kien l-għan finali eventwali tal-proġetti Apollo?</v>
      </c>
    </row>
    <row r="11591" ht="15.75" customHeight="1">
      <c r="A11591" s="2" t="s">
        <v>11591</v>
      </c>
      <c r="B11591" s="2" t="str">
        <f>IFERROR(__xludf.DUMMYFUNCTION("GOOGLETRANSLATE(A11591, ""en"", ""mt"")"),"Istituzzjonalment, in-Normanni kkombinaw il-makkinarju amministrattiv tal-Biżantini, l-Għarab, u l-Lombardi mal-kunċetti tagħhom stess tal-liġi feudali u jordnaw biex jiffurmaw gvern uniku. Taħt dan l-istat, kien hemm libertà reliġjuża kbira, u flimkien m"&amp;"al-nobbli Norman kienu jeżistu burokrazija meritokratika tal-Lhud, il-Musulmani u l-Insara, kemm Kattoliċi kif ukoll Ortodossi tal-Lvant. Ir-Renju ta 'Sqallija għalhekk sar ikkaratterizzat minn Norman, Biżantini Griegi, Għarab, Lombard u Popolazzjonijiet "&amp;"Sqalli ""Nattivi"" li jgħixu f'armonija, u l-mexxejja Norman tagħha kattru pjanijiet ta' stabbiliment ta 'imperu li kien ikollu l-Eġittu Fatimid kif ukoll l-istati ta' Kruċjat fil-post Levant. Wieħed mit-trattati ġeografiċi l-kbar tal-Medju Evu, it- ""Tab"&amp;"ula Rogeriana"", kien miktub mill-al-idrisi Andalusija għar-Re Roger II ta 'Sqallija, u intitolat ""Kitab Rudjdjar"" (""il-Ktieb ta' Roger"").")</f>
        <v>Istituzzjonalment, in-Normanni kkombinaw il-makkinarju amministrattiv tal-Biżantini, l-Għarab, u l-Lombardi mal-kunċetti tagħhom stess tal-liġi feudali u jordnaw biex jiffurmaw gvern uniku. Taħt dan l-istat, kien hemm libertà reliġjuża kbira, u flimkien mal-nobbli Norman kienu jeżistu burokrazija meritokratika tal-Lhud, il-Musulmani u l-Insara, kemm Kattoliċi kif ukoll Ortodossi tal-Lvant. Ir-Renju ta 'Sqallija għalhekk sar ikkaratterizzat minn Norman, Biżantini Griegi, Għarab, Lombard u Popolazzjonijiet Sqalli "Nattivi" li jgħixu f'armonija, u l-mexxejja Norman tagħha kattru pjanijiet ta' stabbiliment ta 'imperu li kien ikollu l-Eġittu Fatimid kif ukoll l-istati ta' Kruċjat fil-post Levant. Wieħed mit-trattati ġeografiċi l-kbar tal-Medju Evu, it- "Tabula Rogeriana", kien miktub mill-al-idrisi Andalusija għar-Re Roger II ta 'Sqallija, u intitolat "Kitab Rudjdjar" ("il-Ktieb ta' Roger").</v>
      </c>
    </row>
    <row r="11592" ht="15.75" customHeight="1">
      <c r="A11592" s="2" t="s">
        <v>11592</v>
      </c>
      <c r="B11592" s="2" t="str">
        <f>IFERROR(__xludf.DUMMYFUNCTION("GOOGLETRANSLATE(A11592, ""en"", ""mt"")"),"Kif Huguenots evolvew it-twemmin reliġjuż tagħhom fid-dinja l-ġdida?")</f>
        <v>Kif Huguenots evolvew it-twemmin reliġjuż tagħhom fid-dinja l-ġdida?</v>
      </c>
    </row>
    <row r="11593" ht="15.75" customHeight="1">
      <c r="A11593" s="2" t="s">
        <v>11593</v>
      </c>
      <c r="B11593" s="2" t="str">
        <f>IFERROR(__xludf.DUMMYFUNCTION("GOOGLETRANSLATE(A11593, ""en"", ""mt"")"),"Min jattendi Loreto Normanhurst?")</f>
        <v>Min jattendi Loreto Normanhurst?</v>
      </c>
    </row>
    <row r="11594" ht="15.75" customHeight="1">
      <c r="A11594" s="2" t="s">
        <v>11594</v>
      </c>
      <c r="B11594" s="2" t="str">
        <f>IFERROR(__xludf.DUMMYFUNCTION("GOOGLETRANSLATE(A11594, ""en"", ""mt"")"),"il-kostruzzjoni ta 'toroq militari għaż-żona")</f>
        <v>il-kostruzzjoni ta 'toroq militari għaż-żona</v>
      </c>
    </row>
    <row r="11595" ht="15.75" customHeight="1">
      <c r="A11595" s="2" t="s">
        <v>11595</v>
      </c>
      <c r="B11595" s="2" t="str">
        <f>IFERROR(__xludf.DUMMYFUNCTION("GOOGLETRANSLATE(A11595, ""en"", ""mt"")"),"""Bricks għal Varsavja""")</f>
        <v>"Bricks għal Varsavja"</v>
      </c>
    </row>
    <row r="11596" ht="15.75" customHeight="1">
      <c r="A11596" s="2" t="s">
        <v>11596</v>
      </c>
      <c r="B11596" s="2" t="str">
        <f>IFERROR(__xludf.DUMMYFUNCTION("GOOGLETRANSLATE(A11596, ""en"", ""mt"")"),"Kemm idum biex tkun taf ir-riżultat ta 'diviżjoni?")</f>
        <v>Kemm idum biex tkun taf ir-riżultat ta 'diviżjoni?</v>
      </c>
    </row>
    <row r="11597" ht="15.75" customHeight="1">
      <c r="A11597" s="2" t="s">
        <v>11597</v>
      </c>
      <c r="B11597" s="2" t="str">
        <f>IFERROR(__xludf.DUMMYFUNCTION("GOOGLETRANSLATE(A11597, ""en"", ""mt"")"),"Nuqqas ta 'tejp manjetiku")</f>
        <v>Nuqqas ta 'tejp manjetiku</v>
      </c>
    </row>
    <row r="11598" ht="15.75" customHeight="1">
      <c r="A11598" s="2" t="s">
        <v>11598</v>
      </c>
      <c r="B11598" s="2" t="str">
        <f>IFERROR(__xludf.DUMMYFUNCTION("GOOGLETRANSLATE(A11598, ""en"", ""mt"")"),"timpjega spiżjara konsulenti u / jew tipprovdi servizzi ta 'konsultazzjoni")</f>
        <v>timpjega spiżjara konsulenti u / jew tipprovdi servizzi ta 'konsultazzjoni</v>
      </c>
    </row>
    <row r="11599" ht="15.75" customHeight="1">
      <c r="A11599" s="2" t="s">
        <v>11599</v>
      </c>
      <c r="B11599" s="2" t="str">
        <f>IFERROR(__xludf.DUMMYFUNCTION("GOOGLETRANSLATE(A11599, ""en"", ""mt"")"),"Sena kull darba,")</f>
        <v>Sena kull darba,</v>
      </c>
    </row>
    <row r="11600" ht="15.75" customHeight="1">
      <c r="A11600" s="2" t="s">
        <v>11600</v>
      </c>
      <c r="B11600" s="2" t="str">
        <f>IFERROR(__xludf.DUMMYFUNCTION("GOOGLETRANSLATE(A11600, ""en"", ""mt"")"),"X'kien is-sors tar-Renu fl-aħħar era tas-silġ?")</f>
        <v>X'kien is-sors tar-Renu fl-aħħar era tas-silġ?</v>
      </c>
    </row>
    <row r="11601" ht="15.75" customHeight="1">
      <c r="A11601" s="2" t="s">
        <v>11601</v>
      </c>
      <c r="B11601" s="2" t="str">
        <f>IFERROR(__xludf.DUMMYFUNCTION("GOOGLETRANSLATE(A11601, ""en"", ""mt"")"),"X'iċida Luther dwar il-Knisja Kattolika?")</f>
        <v>X'iċida Luther dwar il-Knisja Kattolika?</v>
      </c>
    </row>
    <row r="11602" ht="15.75" customHeight="1">
      <c r="A11602" s="2" t="s">
        <v>11602</v>
      </c>
      <c r="B11602" s="2" t="str">
        <f>IFERROR(__xludf.DUMMYFUNCTION("GOOGLETRANSLATE(A11602, ""en"", ""mt"")"),"beda f'nofs is-seklu 18 fi ħdan il-Knisja tal-Ingilterra.")</f>
        <v>beda f'nofs is-seklu 18 fi ħdan il-Knisja tal-Ingilterra.</v>
      </c>
    </row>
    <row r="11603" ht="15.75" customHeight="1">
      <c r="A11603" s="2" t="s">
        <v>11603</v>
      </c>
      <c r="B11603" s="2" t="str">
        <f>IFERROR(__xludf.DUMMYFUNCTION("GOOGLETRANSLATE(A11603, ""en"", ""mt"")"),"L-intraprendituri Josiah Wedgwood, Matthew Boulton u Eleanor Coade kienu influwenzati minn liema proċess ta 'manifattura żviluppa matul ir-Rivoluzzjoni Industrijali?")</f>
        <v>L-intraprendituri Josiah Wedgwood, Matthew Boulton u Eleanor Coade kienu influwenzati minn liema proċess ta 'manifattura żviluppa matul ir-Rivoluzzjoni Industrijali?</v>
      </c>
    </row>
    <row r="11604" ht="15.75" customHeight="1">
      <c r="A11604" s="2" t="s">
        <v>11604</v>
      </c>
      <c r="B11604" s="2" t="str">
        <f>IFERROR(__xludf.DUMMYFUNCTION("GOOGLETRANSLATE(A11604, ""en"", ""mt"")"),"Ilmijiet tal-baħar madwar id-dinja.")</f>
        <v>Ilmijiet tal-baħar madwar id-dinja.</v>
      </c>
    </row>
    <row r="11605" ht="15.75" customHeight="1">
      <c r="A11605" s="2" t="s">
        <v>11605</v>
      </c>
      <c r="B11605" s="2" t="str">
        <f>IFERROR(__xludf.DUMMYFUNCTION("GOOGLETRANSLATE(A11605, ""en"", ""mt"")"),"Truf kuntenti")</f>
        <v>Truf kuntenti</v>
      </c>
    </row>
    <row r="11606" ht="15.75" customHeight="1">
      <c r="A11606" s="2" t="s">
        <v>11606</v>
      </c>
      <c r="B11606" s="2" t="str">
        <f>IFERROR(__xludf.DUMMYFUNCTION("GOOGLETRANSLATE(A11606, ""en"", ""mt"")"),"Istitut Milton Friedman")</f>
        <v>Istitut Milton Friedman</v>
      </c>
    </row>
    <row r="11607" ht="15.75" customHeight="1">
      <c r="A11607" s="2" t="s">
        <v>11607</v>
      </c>
      <c r="B11607" s="2" t="str">
        <f>IFERROR(__xludf.DUMMYFUNCTION("GOOGLETRANSLATE(A11607, ""en"", ""mt"")"),"Il-gvernijiet riedu wkoll iżidu l-indipendenza tagħhom u jsaħħu l-leġiżlazzjoni")</f>
        <v>Il-gvernijiet riedu wkoll iżidu l-indipendenza tagħhom u jsaħħu l-leġiżlazzjoni</v>
      </c>
    </row>
    <row r="11608" ht="15.75" customHeight="1">
      <c r="A11608" s="2" t="s">
        <v>11608</v>
      </c>
      <c r="B11608" s="2" t="str">
        <f>IFERROR(__xludf.DUMMYFUNCTION("GOOGLETRANSLATE(A11608, ""en"", ""mt"")"),"oċeani tad-dinja")</f>
        <v>oċeani tad-dinja</v>
      </c>
    </row>
    <row r="11609" ht="15.75" customHeight="1">
      <c r="A11609" s="2" t="s">
        <v>11609</v>
      </c>
      <c r="B11609" s="2" t="str">
        <f>IFERROR(__xludf.DUMMYFUNCTION("GOOGLETRANSLATE(A11609, ""en"", ""mt"")"),"Minbarra s-Sala tal-Assemblea Ġenerali, il-Parlament uża wkoll bini mikri mill-Kunsill tal-Belt ta 'Edinburgu. L-ex bini amministrattiv tal-Kunsill Reġjonali Lothian fuq George IV Bridge intuża għall-uffiċċji tal-MSP. Wara l-mixja lejn Holyrood fl-2004 da"&amp;"n il-bini ġie mwaqqa '. L-ex bini tal-Kontea Midlothian li qed jiffaċċja l-Pjazza tal-Parlament, Triq il-Kbira u George IV Bridge f'Edinburgu (oriġinarjament mibni bħala l-kwartieri ġenerali tal-Kunsill tal-Kontea Midlothian ta 'qabel l-1975) alloġġja ċ-Ċ"&amp;"entru u l-Ħanut tal-Viżitaturi tal-Parlament, filwaqt li s-sala ewlenija kienet użata bħala l-Parlament Kamra tal-Kumitat Prinċipali.")</f>
        <v>Minbarra s-Sala tal-Assemblea Ġenerali, il-Parlament uża wkoll bini mikri mill-Kunsill tal-Belt ta 'Edinburgu. L-ex bini amministrattiv tal-Kunsill Reġjonali Lothian fuq George IV Bridge intuża għall-uffiċċji tal-MSP. Wara l-mixja lejn Holyrood fl-2004 dan il-bini ġie mwaqqa '. L-ex bini tal-Kontea Midlothian li qed jiffaċċja l-Pjazza tal-Parlament, Triq il-Kbira u George IV Bridge f'Edinburgu (oriġinarjament mibni bħala l-kwartieri ġenerali tal-Kunsill tal-Kontea Midlothian ta 'qabel l-1975) alloġġja ċ-Ċentru u l-Ħanut tal-Viżitaturi tal-Parlament, filwaqt li s-sala ewlenija kienet użata bħala l-Parlament Kamra tal-Kumitat Prinċipali.</v>
      </c>
    </row>
    <row r="11610" ht="15.75" customHeight="1">
      <c r="A11610" s="2" t="s">
        <v>11610</v>
      </c>
      <c r="B11610" s="2" t="str">
        <f>IFERROR(__xludf.DUMMYFUNCTION("GOOGLETRANSLATE(A11610, ""en"", ""mt"")"),"X'tip ta 'numri huma dejjem multipli ta' 2?")</f>
        <v>X'tip ta 'numri huma dejjem multipli ta' 2?</v>
      </c>
    </row>
    <row r="11611" ht="15.75" customHeight="1">
      <c r="A11611" s="2" t="s">
        <v>11611</v>
      </c>
      <c r="B11611" s="2" t="str">
        <f>IFERROR(__xludf.DUMMYFUNCTION("GOOGLETRANSLATE(A11611, ""en"", ""mt"")"),"fażi likwida")</f>
        <v>fażi likwida</v>
      </c>
    </row>
    <row r="11612" ht="15.75" customHeight="1">
      <c r="A11612" s="2" t="s">
        <v>11612</v>
      </c>
      <c r="B11612" s="2" t="str">
        <f>IFERROR(__xludf.DUMMYFUNCTION("GOOGLETRANSLATE(A11612, ""en"", ""mt"")"),"Tnaqqis tas-Sajjar, Tnaqqis tal-Karp")</f>
        <v>Tnaqqis tas-Sajjar, Tnaqqis tal-Karp</v>
      </c>
    </row>
    <row r="11613" ht="15.75" customHeight="1">
      <c r="A11613" s="2" t="s">
        <v>11613</v>
      </c>
      <c r="B11613" s="2" t="str">
        <f>IFERROR(__xludf.DUMMYFUNCTION("GOOGLETRANSLATE(A11613, ""en"", ""mt"")"),"Min hu d-disinjatur tal- ""50?""")</f>
        <v>Min hu d-disinjatur tal- "50?"</v>
      </c>
    </row>
    <row r="11614" ht="15.75" customHeight="1">
      <c r="A11614" s="2" t="s">
        <v>11614</v>
      </c>
      <c r="B11614" s="2" t="str">
        <f>IFERROR(__xludf.DUMMYFUNCTION("GOOGLETRANSLATE(A11614, ""en"", ""mt"")"),"Il-Qorti tal-Ġustizzja tal-Unjoni Ewropea")</f>
        <v>Il-Qorti tal-Ġustizzja tal-Unjoni Ewropea</v>
      </c>
    </row>
    <row r="11615" ht="15.75" customHeight="1">
      <c r="A11615" s="2" t="s">
        <v>11615</v>
      </c>
      <c r="B11615" s="2" t="str">
        <f>IFERROR(__xludf.DUMMYFUNCTION("GOOGLETRANSLATE(A11615, ""en"", ""mt"")"),"għibien")</f>
        <v>għibien</v>
      </c>
    </row>
    <row r="11616" ht="15.75" customHeight="1">
      <c r="A11616" s="2" t="s">
        <v>11616</v>
      </c>
      <c r="B11616" s="2" t="str">
        <f>IFERROR(__xludf.DUMMYFUNCTION("GOOGLETRANSLATE(A11616, ""en"", ""mt"")"),"Il-fwar jaħrab")</f>
        <v>Il-fwar jaħrab</v>
      </c>
    </row>
    <row r="11617" ht="15.75" customHeight="1">
      <c r="A11617" s="2" t="s">
        <v>11617</v>
      </c>
      <c r="B11617" s="2" t="str">
        <f>IFERROR(__xludf.DUMMYFUNCTION("GOOGLETRANSLATE(A11617, ""en"", ""mt"")"),"Għaliex il-pulizija ġabu lil Tesla lura għand Gospic?")</f>
        <v>Għaliex il-pulizija ġabu lil Tesla lura għand Gospic?</v>
      </c>
    </row>
    <row r="11618" ht="15.75" customHeight="1">
      <c r="A11618" s="2" t="s">
        <v>11618</v>
      </c>
      <c r="B11618" s="2" t="str">
        <f>IFERROR(__xludf.DUMMYFUNCTION("GOOGLETRANSLATE(A11618, ""en"", ""mt"")"),"Meta Tesla bdiet tirriċerka l-immaġini tar-raġġi X?")</f>
        <v>Meta Tesla bdiet tirriċerka l-immaġini tar-raġġi X?</v>
      </c>
    </row>
    <row r="11619" ht="15.75" customHeight="1">
      <c r="A11619" s="2" t="s">
        <v>11619</v>
      </c>
      <c r="B11619" s="2" t="str">
        <f>IFERROR(__xludf.DUMMYFUNCTION("GOOGLETRANSLATE(A11619, ""en"", ""mt"")"),"Dak li, min-naħa ta 'għalliem, jista' jirriżulta fi tnaqqis fil-prestazzjoni tal-istudenti")</f>
        <v>Dak li, min-naħa ta 'għalliem, jista' jirriżulta fi tnaqqis fil-prestazzjoni tal-istudenti</v>
      </c>
    </row>
    <row r="11620" ht="15.75" customHeight="1">
      <c r="A11620" s="2" t="s">
        <v>11620</v>
      </c>
      <c r="B11620" s="2" t="str">
        <f>IFERROR(__xludf.DUMMYFUNCTION("GOOGLETRANSLATE(A11620, ""en"", ""mt"")"),"Kif kien imħaddem l-oxxillatur mekkaniku ta 'Tesla?")</f>
        <v>Kif kien imħaddem l-oxxillatur mekkaniku ta 'Tesla?</v>
      </c>
    </row>
    <row r="11621" ht="15.75" customHeight="1">
      <c r="A11621" s="2" t="s">
        <v>11621</v>
      </c>
      <c r="B11621" s="2" t="str">
        <f>IFERROR(__xludf.DUMMYFUNCTION("GOOGLETRANSLATE(A11621, ""en"", ""mt"")"),"Liema fruntiera tirriżulta r-Renu min-nofsinhar?")</f>
        <v>Liema fruntiera tirriżulta r-Renu min-nofsinhar?</v>
      </c>
    </row>
    <row r="11622" ht="15.75" customHeight="1">
      <c r="A11622" s="2" t="s">
        <v>11622</v>
      </c>
      <c r="B11622" s="2" t="str">
        <f>IFERROR(__xludf.DUMMYFUNCTION("GOOGLETRANSLATE(A11622, ""en"", ""mt"")"),"Pont Ludendorff")</f>
        <v>Pont Ludendorff</v>
      </c>
    </row>
    <row r="11623" ht="15.75" customHeight="1">
      <c r="A11623" s="2" t="s">
        <v>11623</v>
      </c>
      <c r="B11623" s="2" t="str">
        <f>IFERROR(__xludf.DUMMYFUNCTION("GOOGLETRANSLATE(A11623, ""en"", ""mt"")"),"Fl-2012, kemm grawnds ġew imsemmija bħala finalisti għall-akkoljenza ta 'Super Bowl 50 qabel ma ntgħażel l-istadium finali?")</f>
        <v>Fl-2012, kemm grawnds ġew imsemmija bħala finalisti għall-akkoljenza ta 'Super Bowl 50 qabel ma ntgħażel l-istadium finali?</v>
      </c>
    </row>
    <row r="11624" ht="15.75" customHeight="1">
      <c r="A11624" s="2" t="s">
        <v>11624</v>
      </c>
      <c r="B11624" s="2" t="str">
        <f>IFERROR(__xludf.DUMMYFUNCTION("GOOGLETRANSLATE(A11624, ""en"", ""mt"")"),"Min jiddeċiedi kif l-art jew il-propjetà titħalla tintuża?")</f>
        <v>Min jiddeċiedi kif l-art jew il-propjetà titħalla tintuża?</v>
      </c>
    </row>
    <row r="11625" ht="15.75" customHeight="1">
      <c r="A11625" s="2" t="s">
        <v>11625</v>
      </c>
      <c r="B11625" s="2" t="str">
        <f>IFERROR(__xludf.DUMMYFUNCTION("GOOGLETRANSLATE(A11625, ""en"", ""mt"")"),"intilef")</f>
        <v>intilef</v>
      </c>
    </row>
    <row r="11626" ht="15.75" customHeight="1">
      <c r="A11626" s="2" t="s">
        <v>11626</v>
      </c>
      <c r="B11626" s="2" t="str">
        <f>IFERROR(__xludf.DUMMYFUNCTION("GOOGLETRANSLATE(A11626, ""en"", ""mt"")"),"moxt ġelatina")</f>
        <v>moxt ġelatina</v>
      </c>
    </row>
    <row r="11627" ht="15.75" customHeight="1">
      <c r="A11627" s="2" t="s">
        <v>11627</v>
      </c>
      <c r="B11627" s="2" t="str">
        <f>IFERROR(__xludf.DUMMYFUNCTION("GOOGLETRANSLATE(A11627, ""en"", ""mt"")"),"differenza fil-qligħ")</f>
        <v>differenza fil-qligħ</v>
      </c>
    </row>
    <row r="11628" ht="15.75" customHeight="1">
      <c r="A11628" s="2" t="s">
        <v>11628</v>
      </c>
      <c r="B11628" s="2" t="str">
        <f>IFERROR(__xludf.DUMMYFUNCTION("GOOGLETRANSLATE(A11628, ""en"", ""mt"")"),"Uża l-proċeduri bħala forum biex tinforma lill-ġurija u lill-pubbliku dwar iċ-ċirkostanzi politiċi")</f>
        <v>Uża l-proċeduri bħala forum biex tinforma lill-ġurija u lill-pubbliku dwar iċ-ċirkostanzi politiċi</v>
      </c>
    </row>
    <row r="11629" ht="15.75" customHeight="1">
      <c r="A11629" s="2" t="s">
        <v>11629</v>
      </c>
      <c r="B11629" s="2" t="str">
        <f>IFERROR(__xludf.DUMMYFUNCTION("GOOGLETRANSLATE(A11629, ""en"", ""mt"")"),"L-istudju tal-pożizzjonijiet tal-unitajiet tal-blat u d-deformazzjoni tagħhom")</f>
        <v>L-istudju tal-pożizzjonijiet tal-unitajiet tal-blat u d-deformazzjoni tagħhom</v>
      </c>
    </row>
    <row r="11630" ht="15.75" customHeight="1">
      <c r="A11630" s="2" t="s">
        <v>11630</v>
      </c>
      <c r="B11630" s="2" t="str">
        <f>IFERROR(__xludf.DUMMYFUNCTION("GOOGLETRANSLATE(A11630, ""en"", ""mt"")"),"Prattiki ta 'kostruzzjoni residenzjali, teknoloġiji, u riżorsi għandhom jikkonformaw mar-regolamenti lokali tal-awtorità tal-bini u kodiċi ta' prattika. Materjali disponibbli faċilment fiż-żona ġeneralment jiddettaw il-materjali tal-kostruzzjoni użati (eż"&amp;". Briks kontra ġebla, kontra injam). L-ispiża tal-kostruzzjoni fuq bażi ta 'kull metru kwadru (jew għal kull pied kwadru) għad-djar tista' tvarja b'mod drammatiku fuq il-kundizzjonijiet tas-sit, regolamenti lokali, ekonomiji ta 'skala (id-djar iddisinjati"&amp;" apposta huma spiss aktar għoljin biex jinbnew) u d-disponibbiltà ta' negozjanti tas-sengħa. Peress li l-kostruzzjoni residenzjali (kif ukoll it-tipi l-oħra kollha ta 'kostruzzjoni) tista' tiġġenera ħafna skart, hemm bżonn ta 'ppjanar bir-reqqa hawn.")</f>
        <v>Prattiki ta 'kostruzzjoni residenzjali, teknoloġiji, u riżorsi għandhom jikkonformaw mar-regolamenti lokali tal-awtorità tal-bini u kodiċi ta' prattika. Materjali disponibbli faċilment fiż-żona ġeneralment jiddettaw il-materjali tal-kostruzzjoni użati (eż. Briks kontra ġebla, kontra injam). L-ispiża tal-kostruzzjoni fuq bażi ta 'kull metru kwadru (jew għal kull pied kwadru) għad-djar tista' tvarja b'mod drammatiku fuq il-kundizzjonijiet tas-sit, regolamenti lokali, ekonomiji ta 'skala (id-djar iddisinjati apposta huma spiss aktar għoljin biex jinbnew) u d-disponibbiltà ta' negozjanti tas-sengħa. Peress li l-kostruzzjoni residenzjali (kif ukoll it-tipi l-oħra kollha ta 'kostruzzjoni) tista' tiġġenera ħafna skart, hemm bżonn ta 'ppjanar bir-reqqa hawn.</v>
      </c>
    </row>
    <row r="11631" ht="15.75" customHeight="1">
      <c r="A11631" s="2" t="s">
        <v>11631</v>
      </c>
      <c r="B11631" s="2" t="str">
        <f>IFERROR(__xludf.DUMMYFUNCTION("GOOGLETRANSLATE(A11631, ""en"", ""mt"")"),"taf kemm il-kobor kif ukoll id-direzzjoni taż-żewġ forzi biex tikkalkula r-riżultat")</f>
        <v>taf kemm il-kobor kif ukoll id-direzzjoni taż-żewġ forzi biex tikkalkula r-riżultat</v>
      </c>
    </row>
    <row r="11632" ht="15.75" customHeight="1">
      <c r="A11632" s="2" t="s">
        <v>11632</v>
      </c>
      <c r="B11632" s="2" t="str">
        <f>IFERROR(__xludf.DUMMYFUNCTION("GOOGLETRANSLATE(A11632, ""en"", ""mt"")"),"X'jiġri l-beriods bħala snien?")</f>
        <v>X'jiġri l-beriods bħala snien?</v>
      </c>
    </row>
    <row r="11633" ht="15.75" customHeight="1">
      <c r="A11633" s="2" t="s">
        <v>11633</v>
      </c>
      <c r="B11633" s="2" t="str">
        <f>IFERROR(__xludf.DUMMYFUNCTION("GOOGLETRANSLATE(A11633, ""en"", ""mt"")"),"L-innijiet ta 'Luther kienu spiss evokati minn ġrajjiet partikolari f'ħajtu u r-Riforma li qed tiżvolġi. Din l-imġieba bdiet bit-tagħlim tiegħu dwar l-eżekuzzjoni ta 'Johann Esch u Heinrich Voes, l-ewwel individwi li ġew martirjati mill-Knisja Kattolika R"&amp;"umana għall-fehmiet Luterani, li wasslu lil Luther biex jikteb l-innu ""Ein Neues gideb Wir Heben an"" (""Kanzunetta ġdida Aħna ngħollu ""), li ġeneralment hija magħrufa bl-Ingliż mit-traduzzjoni ta 'John C. Messenger bit-titlu u l-ewwel linja"" mitfugħa "&amp;"għall-irjieħ bla heed ""u kantata għall-melodija Ibstone komposta fl-1875 minn Maria C. Tiddeman.")</f>
        <v>L-innijiet ta 'Luther kienu spiss evokati minn ġrajjiet partikolari f'ħajtu u r-Riforma li qed tiżvolġi. Din l-imġieba bdiet bit-tagħlim tiegħu dwar l-eżekuzzjoni ta 'Johann Esch u Heinrich Voes, l-ewwel individwi li ġew martirjati mill-Knisja Kattolika Rumana għall-fehmiet Luterani, li wasslu lil Luther biex jikteb l-innu "Ein Neues gideb Wir Heben an" ("Kanzunetta ġdida Aħna ngħollu "), li ġeneralment hija magħrufa bl-Ingliż mit-traduzzjoni ta 'John C. Messenger bit-titlu u l-ewwel linja" mitfugħa għall-irjieħ bla heed "u kantata għall-melodija Ibstone komposta fl-1875 minn Maria C. Tiddeman.</v>
      </c>
    </row>
    <row r="11634" ht="15.75" customHeight="1">
      <c r="A11634" s="2" t="s">
        <v>11634</v>
      </c>
      <c r="B11634" s="2" t="str">
        <f>IFERROR(__xludf.DUMMYFUNCTION("GOOGLETRANSLATE(A11634, ""en"", ""mt"")"),"X'għandu jiġri f'kull missjoni qabel ma jkomplu għall-missjoni li jmiss?")</f>
        <v>X'għandu jiġri f'kull missjoni qabel ma jkomplu għall-missjoni li jmiss?</v>
      </c>
    </row>
    <row r="11635" ht="15.75" customHeight="1">
      <c r="A11635" s="2" t="s">
        <v>11635</v>
      </c>
      <c r="B11635" s="2" t="str">
        <f>IFERROR(__xludf.DUMMYFUNCTION("GOOGLETRANSLATE(A11635, ""en"", ""mt"")"),"xogħol u kontroll tal-kwalità")</f>
        <v>xogħol u kontroll tal-kwalità</v>
      </c>
    </row>
    <row r="11636" ht="15.75" customHeight="1">
      <c r="A11636" s="2" t="s">
        <v>11636</v>
      </c>
      <c r="B11636" s="2" t="str">
        <f>IFERROR(__xludf.DUMMYFUNCTION("GOOGLETRANSLATE(A11636, ""en"", ""mt"")"),"l-aktar wieħed")</f>
        <v>l-aktar wieħed</v>
      </c>
    </row>
    <row r="11637" ht="15.75" customHeight="1">
      <c r="A11637" s="2" t="s">
        <v>11637</v>
      </c>
      <c r="B11637" s="2" t="str">
        <f>IFERROR(__xludf.DUMMYFUNCTION("GOOGLETRANSLATE(A11637, ""en"", ""mt"")"),"mgħobbi bir-rebbiegħa aġġustabbli")</f>
        <v>mgħobbi bir-rebbiegħa aġġustabbli</v>
      </c>
    </row>
    <row r="11638" ht="15.75" customHeight="1">
      <c r="A11638" s="2" t="s">
        <v>11638</v>
      </c>
      <c r="B11638" s="2" t="str">
        <f>IFERROR(__xludf.DUMMYFUNCTION("GOOGLETRANSLATE(A11638, ""en"", ""mt"")"),"L-iskejjel privati ​​ġeneralment jippreferu jissejħu skejjel indipendenti, minħabba l-libertà tagħhom li joperaw barra mill-kontroll tal-gvern u tal-gvern lokali. Uħud minn dawn huma magħrufa wkoll bħala skejjel pubbliċi. Skejjel preparatorji fir-Renju Un"&amp;"it iħejju studenti ta ’sa 13-il sena biex jidħlu fl-iskejjel pubbliċi. L-isem ""skola pubblika"" huwa bbażat fuq il-fatt li l-iskejjel kienu miftuħa għall-istudenti minn kullimkien, u mhux biss għal dawk minn ċerta lokalità, u ta 'kwalunkwe reliġjon jew o"&amp;"kkupazzjoni. Skond il-gwida tal-iskejjel tajbin madwar 9 fil-mija tat-tfal li qed jiġu edukati fir-Renju Unit qed jagħmlu dan fi skejjel li jħallsu l-ħlas fil-livell tal-GSCE u 13 fil-mija fil-livell A. [Ċitazzjoni meħtieġa] Ħafna skejjel indipendenti hum"&amp;"a sess wieħed (għalkemm Dan qed isir inqas komuni). It-tariffi jvarjaw minn inqas minn £ 3,000 sa £ 21,000 u aktar fis-sena għall-istudenti ta 'kuljum, li jiżdiedu għal £ 27,000 + fis-sena għall-boarders. Għal dettalji fl-Iskozja, ara ""Tiltaqa 'mal-Ispiż"&amp;"a"".")</f>
        <v>L-iskejjel privati ​​ġeneralment jippreferu jissejħu skejjel indipendenti, minħabba l-libertà tagħhom li joperaw barra mill-kontroll tal-gvern u tal-gvern lokali. Uħud minn dawn huma magħrufa wkoll bħala skejjel pubbliċi. Skejjel preparatorji fir-Renju Unit iħejju studenti ta ’sa 13-il sena biex jidħlu fl-iskejjel pubbliċi. L-isem "skola pubblika" huwa bbażat fuq il-fatt li l-iskejjel kienu miftuħa għall-istudenti minn kullimkien, u mhux biss għal dawk minn ċerta lokalità, u ta 'kwalunkwe reliġjon jew okkupazzjoni. Skond il-gwida tal-iskejjel tajbin madwar 9 fil-mija tat-tfal li qed jiġu edukati fir-Renju Unit qed jagħmlu dan fi skejjel li jħallsu l-ħlas fil-livell tal-GSCE u 13 fil-mija fil-livell A. [Ċitazzjoni meħtieġa] Ħafna skejjel indipendenti huma sess wieħed (għalkemm Dan qed isir inqas komuni). It-tariffi jvarjaw minn inqas minn £ 3,000 sa £ 21,000 u aktar fis-sena għall-istudenti ta 'kuljum, li jiżdiedu għal £ 27,000 + fis-sena għall-boarders. Għal dettalji fl-Iskozja, ara "Tiltaqa 'mal-Ispiża".</v>
      </c>
    </row>
    <row r="11639" ht="15.75" customHeight="1">
      <c r="A11639" s="2" t="s">
        <v>11639</v>
      </c>
      <c r="B11639" s="2" t="str">
        <f>IFERROR(__xludf.DUMMYFUNCTION("GOOGLETRANSLATE(A11639, ""en"", ""mt"")"),"Min ma jħobbx il-programm ta 'affiljat?")</f>
        <v>Min ma jħobbx il-programm ta 'affiljat?</v>
      </c>
    </row>
    <row r="11640" ht="15.75" customHeight="1">
      <c r="A11640" s="2" t="s">
        <v>11640</v>
      </c>
      <c r="B11640" s="2" t="str">
        <f>IFERROR(__xludf.DUMMYFUNCTION("GOOGLETRANSLATE(A11640, ""en"", ""mt"")"),"Kemm żdiedet il-popolazzjoni ta 'Victoria f'għaxar snin wara l-iskoperta tad-deheb?")</f>
        <v>Kemm żdiedet il-popolazzjoni ta 'Victoria f'għaxar snin wara l-iskoperta tad-deheb?</v>
      </c>
    </row>
    <row r="11641" ht="15.75" customHeight="1">
      <c r="A11641" s="2" t="s">
        <v>11641</v>
      </c>
      <c r="B11641" s="2" t="str">
        <f>IFERROR(__xludf.DUMMYFUNCTION("GOOGLETRANSLATE(A11641, ""en"", ""mt"")"),"10 biljun")</f>
        <v>10 biljun</v>
      </c>
    </row>
    <row r="11642" ht="15.75" customHeight="1">
      <c r="A11642" s="2" t="s">
        <v>11642</v>
      </c>
      <c r="B11642" s="2" t="str">
        <f>IFERROR(__xludf.DUMMYFUNCTION("GOOGLETRANSLATE(A11642, ""en"", ""mt"")"),"X'kien l-ewwel punt tar-riforma?")</f>
        <v>X'kien l-ewwel punt tar-riforma?</v>
      </c>
    </row>
    <row r="11643" ht="15.75" customHeight="1">
      <c r="A11643" s="2" t="s">
        <v>11643</v>
      </c>
      <c r="B11643" s="2" t="str">
        <f>IFERROR(__xludf.DUMMYFUNCTION("GOOGLETRANSLATE(A11643, ""en"", ""mt"")"),"Meta jeżistu l-problemi tal-fluss tal-flus?")</f>
        <v>Meta jeżistu l-problemi tal-fluss tal-flus?</v>
      </c>
    </row>
    <row r="11644" ht="15.75" customHeight="1">
      <c r="A11644" s="2" t="s">
        <v>11644</v>
      </c>
      <c r="B11644" s="2" t="str">
        <f>IFERROR(__xludf.DUMMYFUNCTION("GOOGLETRANSLATE(A11644, ""en"", ""mt"")"),"waqa 'b'mod sinifikanti")</f>
        <v>waqa 'b'mod sinifikanti</v>
      </c>
    </row>
    <row r="11645" ht="15.75" customHeight="1">
      <c r="A11645" s="2" t="s">
        <v>11645</v>
      </c>
      <c r="B11645" s="2" t="str">
        <f>IFERROR(__xludf.DUMMYFUNCTION("GOOGLETRANSLATE(A11645, ""en"", ""mt"")"),"Fid-determinazzjoni ta 'klassijiet ta' kumplessità, x'inhuma żewġ eżempji ta 'tipi ta' magni tat-Turing?")</f>
        <v>Fid-determinazzjoni ta 'klassijiet ta' kumplessità, x'inhuma żewġ eżempji ta 'tipi ta' magni tat-Turing?</v>
      </c>
    </row>
    <row r="11646" ht="15.75" customHeight="1">
      <c r="A11646" s="2" t="s">
        <v>11646</v>
      </c>
      <c r="B11646" s="2" t="str">
        <f>IFERROR(__xludf.DUMMYFUNCTION("GOOGLETRANSLATE(A11646, ""en"", ""mt"")"),"Kontinwazzjoni tal-Imperu Mongoljan")</f>
        <v>Kontinwazzjoni tal-Imperu Mongoljan</v>
      </c>
    </row>
    <row r="11647" ht="15.75" customHeight="1">
      <c r="A11647" s="2" t="s">
        <v>11647</v>
      </c>
      <c r="B11647" s="2" t="str">
        <f>IFERROR(__xludf.DUMMYFUNCTION("GOOGLETRANSLATE(A11647, ""en"", ""mt"")"),"Il-leġiżlazzjoni tista 'tiġi mblukkata b'maġġoranza fil-Parlament, minoranza fil-kunsill, u maġġoranza fil-kummissjoni")</f>
        <v>Il-leġiżlazzjoni tista 'tiġi mblukkata b'maġġoranza fil-Parlament, minoranza fil-kunsill, u maġġoranza fil-kummissjoni</v>
      </c>
    </row>
    <row r="11648" ht="15.75" customHeight="1">
      <c r="A11648" s="2" t="s">
        <v>11648</v>
      </c>
      <c r="B11648" s="2" t="str">
        <f>IFERROR(__xludf.DUMMYFUNCTION("GOOGLETRANSLATE(A11648, ""en"", ""mt"")"),"Moviment Iżlamista influwenzat mis-Salafiżmu u l-jihad fl-Afganistan, kif ukoll il-Fratellanza Musulmana, kien il-FIS jew il-Front Islamique de Salut (il-Front tas-Salvazzjoni Iżlamika) fl-Alġerija. Imwaqqfa bħala koalizzjoni wiesgħa Iżlamista fl-1989 kie"&amp;"net immexxija minn Abbassi Madani, u predikatur żagħżugħ Iżlamista kariżmatiku, Ali Belhadj. Meta ħa vantaġġ minn insuffiċjenza ekonomika u l-liberalizzazzjoni soċjali mhux popolari u s-sekularizzazzjoni mill-gvern tal-FLN tax-xellug-nazzjonalista, huwa u"&amp;"ża l-predikazzjoni tiegħu biex jippromwovi l-istabbiliment ta 'sistema legali wara l-liġi tax-sharia, il-programm ta' liberalizzazzjoni ekonomika u żvilupp, edukazzjoni, edukazzjoni bl-Għarbi aktar milli bil-Franċiż, u Segregazzjoni bejn is-sessi, bin-nis"&amp;"a joqogħdu d-dar biex itaffu r-rata għolja ta 'qgħad fost irġiel żgħażagħ Alġerini. L-FIS rebaħ rebħiet ta 'knis fl-elezzjonijiet lokali u kienet se tirbaħ l-elezzjonijiet nazzjonali fl-1991 meta l-votazzjoni ġiet ikkanċellata minn kolp ta' stat militari.")</f>
        <v>Moviment Iżlamista influwenzat mis-Salafiżmu u l-jihad fl-Afganistan, kif ukoll il-Fratellanza Musulmana, kien il-FIS jew il-Front Islamique de Salut (il-Front tas-Salvazzjoni Iżlamika) fl-Alġerija. Imwaqqfa bħala koalizzjoni wiesgħa Iżlamista fl-1989 kienet immexxija minn Abbassi Madani, u predikatur żagħżugħ Iżlamista kariżmatiku, Ali Belhadj. Meta ħa vantaġġ minn insuffiċjenza ekonomika u l-liberalizzazzjoni soċjali mhux popolari u s-sekularizzazzjoni mill-gvern tal-FLN tax-xellug-nazzjonalista, huwa uża l-predikazzjoni tiegħu biex jippromwovi l-istabbiliment ta 'sistema legali wara l-liġi tax-sharia, il-programm ta' liberalizzazzjoni ekonomika u żvilupp, edukazzjoni, edukazzjoni bl-Għarbi aktar milli bil-Franċiż, u Segregazzjoni bejn is-sessi, bin-nisa joqogħdu d-dar biex itaffu r-rata għolja ta 'qgħad fost irġiel żgħażagħ Alġerini. L-FIS rebaħ rebħiet ta 'knis fl-elezzjonijiet lokali u kienet se tirbaħ l-elezzjonijiet nazzjonali fl-1991 meta l-votazzjoni ġiet ikkanċellata minn kolp ta' stat militari.</v>
      </c>
    </row>
    <row r="11649" ht="15.75" customHeight="1">
      <c r="A11649" s="2" t="s">
        <v>11649</v>
      </c>
      <c r="B11649" s="2" t="str">
        <f>IFERROR(__xludf.DUMMYFUNCTION("GOOGLETRANSLATE(A11649, ""en"", ""mt"")"),"birefringenza, pleokroiżmu, ġemellaġġ, u interferenza")</f>
        <v>birefringenza, pleokroiżmu, ġemellaġġ, u interferenza</v>
      </c>
    </row>
    <row r="11650" ht="15.75" customHeight="1">
      <c r="A11650" s="2" t="s">
        <v>11650</v>
      </c>
      <c r="B11650" s="2" t="str">
        <f>IFERROR(__xludf.DUMMYFUNCTION("GOOGLETRANSLATE(A11650, ""en"", ""mt"")"),"materjali mdewweb ħdejn crater tal-impatt")</f>
        <v>materjali mdewweb ħdejn crater tal-impatt</v>
      </c>
    </row>
    <row r="11651" ht="15.75" customHeight="1">
      <c r="A11651" s="2" t="s">
        <v>11651</v>
      </c>
      <c r="B11651" s="2" t="str">
        <f>IFERROR(__xludf.DUMMYFUNCTION("GOOGLETRANSLATE(A11651, ""en"", ""mt"")"),"Projezzjonijiet ġelatinużi mmarkati biċ-ċili")</f>
        <v>Projezzjonijiet ġelatinużi mmarkati biċ-ċili</v>
      </c>
    </row>
    <row r="11652" ht="15.75" customHeight="1">
      <c r="A11652" s="2" t="s">
        <v>11652</v>
      </c>
      <c r="B11652" s="2" t="str">
        <f>IFERROR(__xludf.DUMMYFUNCTION("GOOGLETRANSLATE(A11652, ""en"", ""mt"")"),"l-Unjoni Sovjetika")</f>
        <v>l-Unjoni Sovjetika</v>
      </c>
    </row>
    <row r="11653" ht="15.75" customHeight="1">
      <c r="A11653" s="2" t="s">
        <v>11653</v>
      </c>
      <c r="B11653" s="2" t="str">
        <f>IFERROR(__xludf.DUMMYFUNCTION("GOOGLETRANSLATE(A11653, ""en"", ""mt"")"),"b’mod aggressiv")</f>
        <v>b’mod aggressiv</v>
      </c>
    </row>
    <row r="11654" ht="15.75" customHeight="1">
      <c r="A11654" s="2" t="s">
        <v>11654</v>
      </c>
      <c r="B11654" s="2" t="str">
        <f>IFERROR(__xludf.DUMMYFUNCTION("GOOGLETRANSLATE(A11654, ""en"", ""mt"")"),"Liema għodda tintuża fil-kastig korporali?")</f>
        <v>Liema għodda tintuża fil-kastig korporali?</v>
      </c>
    </row>
    <row r="11655" ht="15.75" customHeight="1">
      <c r="A11655" s="2" t="s">
        <v>11655</v>
      </c>
      <c r="B11655" s="2" t="str">
        <f>IFERROR(__xludf.DUMMYFUNCTION("GOOGLETRANSLATE(A11655, ""en"", ""mt"")"),"Ma jistax jinkiteb bħala s-somma tal-għoqda ta 'żewġ għoqod mhux privati")</f>
        <v>Ma jistax jinkiteb bħala s-somma tal-għoqda ta 'żewġ għoqod mhux privati</v>
      </c>
    </row>
    <row r="11656" ht="15.75" customHeight="1">
      <c r="A11656" s="2" t="s">
        <v>11656</v>
      </c>
      <c r="B11656" s="2" t="str">
        <f>IFERROR(__xludf.DUMMYFUNCTION("GOOGLETRANSLATE(A11656, ""en"", ""mt"")"),"Is-salvazzjoni jew il-fidwa hija rigal tal-grazzja ta ’Alla, li tista’ tinkiseb biss permezz tal-fidi f’Ġesù bħala l-Messija")</f>
        <v>Is-salvazzjoni jew il-fidwa hija rigal tal-grazzja ta ’Alla, li tista’ tinkiseb biss permezz tal-fidi f’Ġesù bħala l-Messija</v>
      </c>
    </row>
    <row r="11657" ht="15.75" customHeight="1">
      <c r="A11657" s="2" t="s">
        <v>11657</v>
      </c>
      <c r="B11657" s="2" t="str">
        <f>IFERROR(__xludf.DUMMYFUNCTION("GOOGLETRANSLATE(A11657, ""en"", ""mt"")"),"wara s-sieq tal-arblu")</f>
        <v>wara s-sieq tal-arblu</v>
      </c>
    </row>
    <row r="11658" ht="15.75" customHeight="1">
      <c r="A11658" s="2" t="s">
        <v>11658</v>
      </c>
      <c r="B11658" s="2" t="str">
        <f>IFERROR(__xludf.DUMMYFUNCTION("GOOGLETRANSLATE(A11658, ""en"", ""mt"")"),"il-ħalq tax-xmara Monongahela")</f>
        <v>il-ħalq tax-xmara Monongahela</v>
      </c>
    </row>
    <row r="11659" ht="15.75" customHeight="1">
      <c r="A11659" s="2" t="s">
        <v>11659</v>
      </c>
      <c r="B11659" s="2" t="str">
        <f>IFERROR(__xludf.DUMMYFUNCTION("GOOGLETRANSLATE(A11659, ""en"", ""mt"")"),"X’għamel dan il-ftehim?")</f>
        <v>X’għamel dan il-ftehim?</v>
      </c>
    </row>
    <row r="11660" ht="15.75" customHeight="1">
      <c r="A11660" s="2" t="s">
        <v>11660</v>
      </c>
      <c r="B11660" s="2" t="str">
        <f>IFERROR(__xludf.DUMMYFUNCTION("GOOGLETRANSLATE(A11660, ""en"", ""mt"")"),"Liema żewġ skulturi Ingliżi issa huma rrappreżentati bil-ftuħ tal-galleriji l-ġodda?")</f>
        <v>Liema żewġ skulturi Ingliżi issa huma rrappreżentati bil-ftuħ tal-galleriji l-ġodda?</v>
      </c>
    </row>
    <row r="11661" ht="15.75" customHeight="1">
      <c r="A11661" s="2" t="s">
        <v>11661</v>
      </c>
      <c r="B11661" s="2" t="str">
        <f>IFERROR(__xludf.DUMMYFUNCTION("GOOGLETRANSLATE(A11661, ""en"", ""mt"")"),"in-New England Patriots")</f>
        <v>in-New England Patriots</v>
      </c>
    </row>
    <row r="11662" ht="15.75" customHeight="1">
      <c r="A11662" s="2" t="s">
        <v>11662</v>
      </c>
      <c r="B11662" s="2" t="str">
        <f>IFERROR(__xludf.DUMMYFUNCTION("GOOGLETRANSLATE(A11662, ""en"", ""mt"")"),"Ir-Russja")</f>
        <v>Ir-Russja</v>
      </c>
    </row>
    <row r="11663" ht="15.75" customHeight="1">
      <c r="A11663" s="2" t="s">
        <v>11663</v>
      </c>
      <c r="B11663" s="2" t="str">
        <f>IFERROR(__xludf.DUMMYFUNCTION("GOOGLETRANSLATE(A11663, ""en"", ""mt"")"),"Duħ biż-żejt")</f>
        <v>Duħ biż-żejt</v>
      </c>
    </row>
    <row r="11664" ht="15.75" customHeight="1">
      <c r="A11664" s="2" t="s">
        <v>11664</v>
      </c>
      <c r="B11664" s="2" t="str">
        <f>IFERROR(__xludf.DUMMYFUNCTION("GOOGLETRANSLATE(A11664, ""en"", ""mt"")"),"Fejn kien Montcalm li jiffoka d-difiża għal Franza l-ġdida?")</f>
        <v>Fejn kien Montcalm li jiffoka d-difiża għal Franza l-ġdida?</v>
      </c>
    </row>
    <row r="11665" ht="15.75" customHeight="1">
      <c r="A11665" s="2" t="s">
        <v>11665</v>
      </c>
      <c r="B11665" s="2" t="str">
        <f>IFERROR(__xludf.DUMMYFUNCTION("GOOGLETRANSLATE(A11665, ""en"", ""mt"")"),"Verżjonijiet tax-xogħol tat-teknoloġija tal-bini tal-istampar 3D diġà qed jistampaw kemm materjal tal-bini fis-siegħa?")</f>
        <v>Verżjonijiet tax-xogħol tat-teknoloġija tal-bini tal-istampar 3D diġà qed jistampaw kemm materjal tal-bini fis-siegħa?</v>
      </c>
    </row>
    <row r="11666" ht="15.75" customHeight="1">
      <c r="A11666" s="2" t="s">
        <v>11666</v>
      </c>
      <c r="B11666" s="2" t="str">
        <f>IFERROR(__xludf.DUMMYFUNCTION("GOOGLETRANSLATE(A11666, ""en"", ""mt"")"),"X'kien l-isem oriġinali ta 'California State University fi Fresno?")</f>
        <v>X'kien l-isem oriġinali ta 'California State University fi Fresno?</v>
      </c>
    </row>
    <row r="11667" ht="15.75" customHeight="1">
      <c r="A11667" s="2" t="s">
        <v>11667</v>
      </c>
      <c r="B11667" s="2" t="str">
        <f>IFERROR(__xludf.DUMMYFUNCTION("GOOGLETRANSLATE(A11667, ""en"", ""mt"")"),"Liema indiġeni ġew spostati mill-akkwist Ingliż fi Florida?")</f>
        <v>Liema indiġeni ġew spostati mill-akkwist Ingliż fi Florida?</v>
      </c>
    </row>
    <row r="11668" ht="15.75" customHeight="1">
      <c r="A11668" s="2" t="s">
        <v>11668</v>
      </c>
      <c r="B11668" s="2" t="str">
        <f>IFERROR(__xludf.DUMMYFUNCTION("GOOGLETRANSLATE(A11668, ""en"", ""mt"")"),"Fl-2010, Newcastle kien pożizzjonat id-disa 'fil-Lega tan-Nefqa taċ-Ċentru tal-Bejgħ bl-Imnut tar-Renju Unit. Hemm bosta żoni ewlenin tax-xiri fiċ-Ċentru tal-Belt ta 'Newcastle. L-akbar wieħed minn dawn huwa ċ-Ċentru tax-Xiri tal-Pjazza Eldon, wieħed mill"&amp;"-ikbar kumplessi tax-xiri taċ-ċentru tal-belt fir-Renju Unit. Jinkorpora ħanut ewlieni ta 'Debenhams kif ukoll wieħed mill-ikbar ħwienet ta' John Lewis fir-Renju Unit. John Lewis għadu magħruf għal ħafna fi Newcastle bħala Bainbridges. Il-maħżen ta 'Newca"&amp;"stle Bainbridge's, li nfetaħ fl-1838, huwa spiss ikkwotat bħala l-ewwel ħanut tad-dinja. Emerson Bainbridge (1817-1892), pijunier u l-fundatur ta 'Bainbridges, biegħ oġġetti permezz ta' dipartiment, ġdid għad-drawwa merkantili għal dak iż-żmien. Il-ledger"&amp;"s uffiċjali ta 'Bainbridge irrappurtaw dħul mid-dipartiment, li welldu l-isem tad-dipartiment tal-isem. Pjazza Eldon bħalissa għaddej minn żvilupp mill-ġdid sħiħ. Stazzjon tax-xarabank ġdid, li ħa post l-istazzjon tax-xarabank taħt l-art, infetaħ uffiċjal"&amp;"ment f'Marzu 2007. Il-ġwienaħ taċ-ċentru, inkluż is-suq aħdar moħbi, qrib Triq Grainger ġie mwaqqa 'fl-2007 sabiex iż-żona tkun tista' tiġi żviluppata mill-ġdid. Dan tlesta fi Frar 2010 bil-ftuħ ta 'ħanut ewlieni ta' Debenhams kif ukoll ħwienet ewlenin oħ"&amp;"ra inklużi Apple, Hollister u Guess.")</f>
        <v>Fl-2010, Newcastle kien pożizzjonat id-disa 'fil-Lega tan-Nefqa taċ-Ċentru tal-Bejgħ bl-Imnut tar-Renju Unit. Hemm bosta żoni ewlenin tax-xiri fiċ-Ċentru tal-Belt ta 'Newcastle. L-akbar wieħed minn dawn huwa ċ-Ċentru tax-Xiri tal-Pjazza Eldon, wieħed mill-ikbar kumplessi tax-xiri taċ-ċentru tal-belt fir-Renju Unit. Jinkorpora ħanut ewlieni ta 'Debenhams kif ukoll wieħed mill-ikbar ħwienet ta' John Lewis fir-Renju Unit. John Lewis għadu magħruf għal ħafna fi Newcastle bħala Bainbridges. Il-maħżen ta 'Newcastle Bainbridge's, li nfetaħ fl-1838, huwa spiss ikkwotat bħala l-ewwel ħanut tad-dinja. Emerson Bainbridge (1817-1892), pijunier u l-fundatur ta 'Bainbridges, biegħ oġġetti permezz ta' dipartiment, ġdid għad-drawwa merkantili għal dak iż-żmien. Il-ledgers uffiċjali ta 'Bainbridge irrappurtaw dħul mid-dipartiment, li welldu l-isem tad-dipartiment tal-isem. Pjazza Eldon bħalissa għaddej minn żvilupp mill-ġdid sħiħ. Stazzjon tax-xarabank ġdid, li ħa post l-istazzjon tax-xarabank taħt l-art, infetaħ uffiċjalment f'Marzu 2007. Il-ġwienaħ taċ-ċentru, inkluż is-suq aħdar moħbi, qrib Triq Grainger ġie mwaqqa 'fl-2007 sabiex iż-żona tkun tista' tiġi żviluppata mill-ġdid. Dan tlesta fi Frar 2010 bil-ftuħ ta 'ħanut ewlieni ta' Debenhams kif ukoll ħwienet ewlenin oħra inklużi Apple, Hollister u Guess.</v>
      </c>
    </row>
    <row r="11669" ht="15.75" customHeight="1">
      <c r="A11669" s="2" t="s">
        <v>11669</v>
      </c>
      <c r="B11669" s="2" t="str">
        <f>IFERROR(__xludf.DUMMYFUNCTION("GOOGLETRANSLATE(A11669, ""en"", ""mt"")"),"Ħallas dispensa papali għall-mandat tiegħu")</f>
        <v>Ħallas dispensa papali għall-mandat tiegħu</v>
      </c>
    </row>
    <row r="11670" ht="15.75" customHeight="1">
      <c r="A11670" s="2" t="s">
        <v>11670</v>
      </c>
      <c r="B11670" s="2" t="str">
        <f>IFERROR(__xludf.DUMMYFUNCTION("GOOGLETRANSLATE(A11670, ""en"", ""mt"")"),"L-ekwazzjoni ta 'Schrödinger")</f>
        <v>L-ekwazzjoni ta 'Schrödinger</v>
      </c>
    </row>
    <row r="11671" ht="15.75" customHeight="1">
      <c r="A11671" s="2" t="s">
        <v>11671</v>
      </c>
      <c r="B11671" s="2" t="str">
        <f>IFERROR(__xludf.DUMMYFUNCTION("GOOGLETRANSLATE(A11671, ""en"", ""mt"")"),"X'tip ta 'għalliem huwa meħtieġ fil-mudell tad-dixxiplina tal-Ewropa tal-Punent?")</f>
        <v>X'tip ta 'għalliem huwa meħtieġ fil-mudell tad-dixxiplina tal-Ewropa tal-Punent?</v>
      </c>
    </row>
    <row r="11672" ht="15.75" customHeight="1">
      <c r="A11672" s="2" t="s">
        <v>11672</v>
      </c>
      <c r="B11672" s="2" t="str">
        <f>IFERROR(__xludf.DUMMYFUNCTION("GOOGLETRANSLATE(A11672, ""en"", ""mt"")"),"Kampanja effettiva tal-gwerra tal-gwerillieri, tgħix barra mill-art, taqbad provvisti Ingliżi, u tibqa 'mingħajr telfa")</f>
        <v>Kampanja effettiva tal-gwerra tal-gwerillieri, tgħix barra mill-art, taqbad provvisti Ingliżi, u tibqa 'mingħajr telfa</v>
      </c>
    </row>
    <row r="11673" ht="15.75" customHeight="1">
      <c r="A11673" s="2" t="s">
        <v>11673</v>
      </c>
      <c r="B11673" s="2" t="str">
        <f>IFERROR(__xludf.DUMMYFUNCTION("GOOGLETRANSLATE(A11673, ""en"", ""mt"")"),"extra-kurrikulari")</f>
        <v>extra-kurrikulari</v>
      </c>
    </row>
    <row r="11674" ht="15.75" customHeight="1">
      <c r="A11674" s="2" t="s">
        <v>11674</v>
      </c>
      <c r="B11674" s="2" t="str">
        <f>IFERROR(__xludf.DUMMYFUNCTION("GOOGLETRANSLATE(A11674, ""en"", ""mt"")"),"il-perjodu kwaternarju")</f>
        <v>il-perjodu kwaternarju</v>
      </c>
    </row>
    <row r="11675" ht="15.75" customHeight="1">
      <c r="A11675" s="2" t="s">
        <v>11675</v>
      </c>
      <c r="B11675" s="2" t="str">
        <f>IFERROR(__xludf.DUMMYFUNCTION("GOOGLETRANSLATE(A11675, ""en"", ""mt"")"),"Liema ferita tilfu l-Panthers ta 'Carolina Kelvin Benjamin matul il-preseason tagħhom?")</f>
        <v>Liema ferita tilfu l-Panthers ta 'Carolina Kelvin Benjamin matul il-preseason tagħhom?</v>
      </c>
    </row>
    <row r="11676" ht="15.75" customHeight="1">
      <c r="A11676" s="2" t="s">
        <v>11676</v>
      </c>
      <c r="B11676" s="2" t="str">
        <f>IFERROR(__xludf.DUMMYFUNCTION("GOOGLETRANSLATE(A11676, ""en"", ""mt"")"),"Mit-twaqqif tagħha, l-UE ħadmet fost pluralità dejjem tiżdied ta 'sistemi legali nazzjonali u globalizzanti. Dan fisser kemm il-Qorti Ewropea tal-Ġustizzja kif ukoll l-ogħla qrati nazzjonali kellhom jiżviluppaw prinċipji biex isolvu kunflitti ta 'liġijiet"&amp;" bejn sistemi differenti. Fi ħdan l-UE nnifisha, il-fehma tal-Qorti tal-Ġustizzja hija li jekk il-liġi tal-UE tkun f’kunflitti ma ’dispożizzjoni tal-liġi nazzjonali, allura l-liġi tal-UE għandha l-primat. Fl-ewwel każ ewlieni fl-1964, Costa v Enel, avukat"&amp;" Milanese, u ex-azzjonist ta 'kumpanija tal-enerġija, bl-isem is-Sur Costa rrifjutaw li jħallsu l-kont tal-elettriku tiegħu biex jeħlu, bħala protesta kontra n-nazzjonalizzazzjoni tal-korporazzjonijiet tal-enerġija Taljani. Huwa ddikjara li l-liġi tan-naz"&amp;"zjonalizzazzjoni Taljana kienet f’kunflitt mat-Trattat ta ’Ruma, u talab referenza kemm lill-Qorti Kostituzzjonali Taljana kif ukoll lill-Qorti tal-Ġustizzja taħt l-Artikolu 267. Il-Qorti Kostituzzjonali Taljana tat opinjoni li minħabba l-liġi tan-nazzjon"&amp;"alizzazzjoni kienet mill-1962 , u t-trattat kien fis-seħħ mill-1958, Costa ma kellha l-ebda talba. B'kuntrast, il-Qorti tal-Ġustizzja ddeċidiet li fl-aħħar it-Trattat ta 'Ruma bl-ebda mod ma evita n-nazzjonalizzazzjoni tal-enerġija, u fi kwalunkwe każ taħ"&amp;"t id-dispożizzjonijiet tat-trattati biss il-Kummissjoni setgħet ġabet talba, mhux is-Sur Costa. Madankollu, fil-prinċipju, is-Sur Costa kien intitolat li jinvoka li t-trattat kien f’kunflitt mal-liġi nazzjonali, u l-qorti jkollha d-dmir li tikkunsidra t-t"&amp;"alba tiegħu li tagħmel referenza jekk ma jkun hemm l-ebda appell kontra d-deċiżjoni tiegħu. Il-Qorti tal-Ġustizzja, li rrepetiet il-fehma tagħha f'Van Gend en Loos, qalet li l-istati membri ""għalkemm fi sferi limitati, illimitaw id-drittijiet sovrani tag"&amp;"ħhom u ħolqu korp ta 'liġi applikabbli kemm għaċ-ċittadini tagħhom kif ukoll lilhom infushom"" fuq il- ""bażi ta' reċiproċità"" - Il-liġi tal-UE ma tkunx ""twarrab minn dispożizzjonijiet legali domestiċi, madankollu inkwadrata ... mingħajr il-bażi legali "&amp;"tal-komunità nnifisha ma tkunx ikkontestata."" Dan kien ifisser kull ""att unilaterali sussegwenti"" ta 'l-Istat Membru inapplikabbli. Bl-istess mod, f'Amministrazione Delle Finanze vs Simmenthal Spa, kumpanija, Simmenthal Spa, sostniet li ħlas ta 'spezzj"&amp;"oni tas-saħħa pubblika taħt il-liġi Taljana tal-1970 għall-importazzjoni taċ-ċanga minn Franza lejn l-Italja għall-Italja kien kuntrarju għal żewġ regolamenti mill-1964 u l-1968. Il-prinċipju tal-preċedenza tal-liġi tal-komunità, ""qalet il-Qorti tal-Ġust"&amp;"izzja,"" il-miżuri applikabbli direttament tal-istituzzjonijiet ""(bħar-regolamenti fil-każ)"" tirrendi awtomatikament inapplikabbli kwalunkwe dispożizzjoni konfliġġenti tal-liġi nazzjonali attwali "". Dan kien meħtieġ biex jiġi evitat ""ċaħda korrisponde"&amp;"nti"" ta 'obbligi ta' trattat ""imwettqa mingħajr kundizzjonijiet u irrevokabbilment mill-istati membri"", li jistgħu ""jimperixxu l-pedamenti stess ta 'l-UE. Iżda minkejja l-opinjonijiet tal-Qorti tal-Ġustizzja, il-Qrati Nazzjonali tal-Istati Membri ma a"&amp;"ċċettawx l-istess analiżi.")</f>
        <v>Mit-twaqqif tagħha, l-UE ħadmet fost pluralità dejjem tiżdied ta 'sistemi legali nazzjonali u globalizzanti. Dan fisser kemm il-Qorti Ewropea tal-Ġustizzja kif ukoll l-ogħla qrati nazzjonali kellhom jiżviluppaw prinċipji biex isolvu kunflitti ta 'liġijiet bejn sistemi differenti. Fi ħdan l-UE nnifisha, il-fehma tal-Qorti tal-Ġustizzja hija li jekk il-liġi tal-UE tkun f’kunflitti ma ’dispożizzjoni tal-liġi nazzjonali, allura l-liġi tal-UE għandha l-primat. Fl-ewwel każ ewlieni fl-1964, Costa v Enel, avukat Milanese, u ex-azzjonist ta 'kumpanija tal-enerġija, bl-isem is-Sur Costa rrifjutaw li jħallsu l-kont tal-elettriku tiegħu biex jeħlu, bħala protesta kontra n-nazzjonalizzazzjoni tal-korporazzjonijiet tal-enerġija Taljani. Huwa ddikjara li l-liġi tan-nazzjonalizzazzjoni Taljana kienet f’kunflitt mat-Trattat ta ’Ruma, u talab referenza kemm lill-Qorti Kostituzzjonali Taljana kif ukoll lill-Qorti tal-Ġustizzja taħt l-Artikolu 267. Il-Qorti Kostituzzjonali Taljana tat opinjoni li minħabba l-liġi tan-nazzjonalizzazzjoni kienet mill-1962 , u t-trattat kien fis-seħħ mill-1958, Costa ma kellha l-ebda talba. B'kuntrast, il-Qorti tal-Ġustizzja ddeċidiet li fl-aħħar it-Trattat ta 'Ruma bl-ebda mod ma evita n-nazzjonalizzazzjoni tal-enerġija, u fi kwalunkwe każ taħt id-dispożizzjonijiet tat-trattati biss il-Kummissjoni setgħet ġabet talba, mhux is-Sur Costa. Madankollu, fil-prinċipju, is-Sur Costa kien intitolat li jinvoka li t-trattat kien f’kunflitt mal-liġi nazzjonali, u l-qorti jkollha d-dmir li tikkunsidra t-talba tiegħu li tagħmel referenza jekk ma jkun hemm l-ebda appell kontra d-deċiżjoni tiegħu. Il-Qorti tal-Ġustizzja, li rrepetiet il-fehma tagħha f'Van Gend en Loos, qalet li l-istati membri "għalkemm fi sferi limitati, illimitaw id-drittijiet sovrani tagħhom u ħolqu korp ta 'liġi applikabbli kemm għaċ-ċittadini tagħhom kif ukoll lilhom infushom" fuq il- "bażi ta' reċiproċità" - Il-liġi tal-UE ma tkunx "twarrab minn dispożizzjonijiet legali domestiċi, madankollu inkwadrata ... mingħajr il-bażi legali tal-komunità nnifisha ma tkunx ikkontestata." Dan kien ifisser kull "att unilaterali sussegwenti" ta 'l-Istat Membru inapplikabbli. Bl-istess mod, f'Amministrazione Delle Finanze vs Simmenthal Spa, kumpanija, Simmenthal Spa, sostniet li ħlas ta 'spezzjoni tas-saħħa pubblika taħt il-liġi Taljana tal-1970 għall-importazzjoni taċ-ċanga minn Franza lejn l-Italja għall-Italja kien kuntrarju għal żewġ regolamenti mill-1964 u l-1968. Il-prinċipju tal-preċedenza tal-liġi tal-komunità, "qalet il-Qorti tal-Ġustizzja," il-miżuri applikabbli direttament tal-istituzzjonijiet "(bħar-regolamenti fil-każ)" tirrendi awtomatikament inapplikabbli kwalunkwe dispożizzjoni konfliġġenti tal-liġi nazzjonali attwali ". Dan kien meħtieġ biex jiġi evitat "ċaħda korrispondenti" ta 'obbligi ta' trattat "imwettqa mingħajr kundizzjonijiet u irrevokabbilment mill-istati membri", li jistgħu "jimperixxu l-pedamenti stess ta 'l-UE. Iżda minkejja l-opinjonijiet tal-Qorti tal-Ġustizzja, il-Qrati Nazzjonali tal-Istati Membri ma aċċettawx l-istess analiżi.</v>
      </c>
    </row>
    <row r="11677" ht="15.75" customHeight="1">
      <c r="A11677" s="2" t="s">
        <v>11677</v>
      </c>
      <c r="B11677" s="2" t="str">
        <f>IFERROR(__xludf.DUMMYFUNCTION("GOOGLETRANSLATE(A11677, ""en"", ""mt"")"),"Trioxygen (o
3) ġeneralment huwa magħruf bħala ożonu u huwa allotrope reattiv ħafna ta 'ossiġnu li jagħmel ħsara lit-tessut tal-pulmun. L-ożonu huwa prodott fl-atmosfera ta 'fuq meta o
2 tgħaqqad ma 'ossiġnu atomiku magħmul mill-qsim ta' o
2 minn radjazzj"&amp;"oni ultravjola (UV). Peress li l-ożonu jassorbi b'mod qawwi fir-reġjun UV ta 'l-ispettru, is-saff ta' l-ożonu ta 'l-atmosfera ta' fuq jaħdem bħala tarka ta 'radjazzjoni protettiva għall-pjaneta. Ħdejn il-wiċċ tad-Dinja, huwa tniġġis iffurmat bħala prodott"&amp;" sekondarju tal-egżost tal-karozzi. Il-molekula metastabbli tetraoxygen (o
4) ġie skopert fl-2001, u ġie preżunt li jeżisti f'waħda mis-sitt fażijiet ta 'ossiġnu solidu. Ġie ppruvat fl-2006 li din il-fażi, maħluqa billi tippressa l-O
2 sa 20 GPa, fil-fatt"&amp;" huwa rhombohedral o
8 cluster. Dan il-cluster għandu l-potenzjal li jkun ossidizzatur ferm aktar qawwi minn jew o
2 jew o
3 u għalhekk jista 'jintuża fil-fjuwil tar-rokit. Ġiet skoperta fażi metallika fl-1990 meta ossiġnu solidu huwa soġġett għal pressjo"&amp;"ni ta '' l fuq minn 96 GPa u ntwera fl-1998 li f'temperaturi baxxi ħafna, din il-fażi ssir superkonduttiva.")</f>
        <v>Trioxygen (o
3) ġeneralment huwa magħruf bħala ożonu u huwa allotrope reattiv ħafna ta 'ossiġnu li jagħmel ħsara lit-tessut tal-pulmun. L-ożonu huwa prodott fl-atmosfera ta 'fuq meta o
2 tgħaqqad ma 'ossiġnu atomiku magħmul mill-qsim ta' o
2 minn radjazzjoni ultravjola (UV). Peress li l-ożonu jassorbi b'mod qawwi fir-reġjun UV ta 'l-ispettru, is-saff ta' l-ożonu ta 'l-atmosfera ta' fuq jaħdem bħala tarka ta 'radjazzjoni protettiva għall-pjaneta. Ħdejn il-wiċċ tad-Dinja, huwa tniġġis iffurmat bħala prodott sekondarju tal-egżost tal-karozzi. Il-molekula metastabbli tetraoxygen (o
4) ġie skopert fl-2001, u ġie preżunt li jeżisti f'waħda mis-sitt fażijiet ta 'ossiġnu solidu. Ġie ppruvat fl-2006 li din il-fażi, maħluqa billi tippressa l-O
2 sa 20 GPa, fil-fatt huwa rhombohedral o
8 cluster. Dan il-cluster għandu l-potenzjal li jkun ossidizzatur ferm aktar qawwi minn jew o
2 jew o
3 u għalhekk jista 'jintuża fil-fjuwil tar-rokit. Ġiet skoperta fażi metallika fl-1990 meta ossiġnu solidu huwa soġġett għal pressjoni ta '' l fuq minn 96 GPa u ntwera fl-1998 li f'temperaturi baxxi ħafna, din il-fażi ssir superkonduttiva.</v>
      </c>
    </row>
    <row r="11678" ht="15.75" customHeight="1">
      <c r="A11678" s="2" t="s">
        <v>11678</v>
      </c>
      <c r="B11678" s="2" t="str">
        <f>IFERROR(__xludf.DUMMYFUNCTION("GOOGLETRANSLATE(A11678, ""en"", ""mt"")"),"X’kisponi dwar Luther fis-Sassonja?")</f>
        <v>X’kisponi dwar Luther fis-Sassonja?</v>
      </c>
    </row>
    <row r="11679" ht="15.75" customHeight="1">
      <c r="A11679" s="2" t="s">
        <v>11679</v>
      </c>
      <c r="B11679" s="2" t="str">
        <f>IFERROR(__xludf.DUMMYFUNCTION("GOOGLETRANSLATE(A11679, ""en"", ""mt"")"),"Min ipprovda diskussjoni filosofika tal-forza?")</f>
        <v>Min ipprovda diskussjoni filosofika tal-forza?</v>
      </c>
    </row>
    <row r="11680" ht="15.75" customHeight="1">
      <c r="A11680" s="2" t="s">
        <v>11680</v>
      </c>
      <c r="B11680" s="2" t="str">
        <f>IFERROR(__xludf.DUMMYFUNCTION("GOOGLETRANSLATE(A11680, ""en"", ""mt"")"),"klijent magħruf")</f>
        <v>klijent magħruf</v>
      </c>
    </row>
    <row r="11681" ht="15.75" customHeight="1">
      <c r="A11681" s="2" t="s">
        <v>11681</v>
      </c>
      <c r="B11681" s="2" t="str">
        <f>IFERROR(__xludf.DUMMYFUNCTION("GOOGLETRANSLATE(A11681, ""en"", ""mt"")"),"fond tal-oċeani u l-ibħra")</f>
        <v>fond tal-oċeani u l-ibħra</v>
      </c>
    </row>
    <row r="11682" ht="15.75" customHeight="1">
      <c r="A11682" s="2" t="s">
        <v>11682</v>
      </c>
      <c r="B11682" s="2" t="str">
        <f>IFERROR(__xludf.DUMMYFUNCTION("GOOGLETRANSLATE(A11682, ""en"", ""mt"")"),"Għaliex Tesla sever rabtiet mal-familja tiegħu?")</f>
        <v>Għaliex Tesla sever rabtiet mal-familja tiegħu?</v>
      </c>
    </row>
    <row r="11683" ht="15.75" customHeight="1">
      <c r="A11683" s="2" t="s">
        <v>11683</v>
      </c>
      <c r="B11683" s="2" t="str">
        <f>IFERROR(__xludf.DUMMYFUNCTION("GOOGLETRANSLATE(A11683, ""en"", ""mt"")"),"Dixxiplina stretta")</f>
        <v>Dixxiplina stretta</v>
      </c>
    </row>
    <row r="11684" ht="15.75" customHeight="1">
      <c r="A11684" s="2" t="s">
        <v>11684</v>
      </c>
      <c r="B11684" s="2" t="str">
        <f>IFERROR(__xludf.DUMMYFUNCTION("GOOGLETRANSLATE(A11684, ""en"", ""mt"")"),"Knisja lokali u ċċertifikati huma żewġ tipi ta ’xiex?")</f>
        <v>Knisja lokali u ċċertifikati huma żewġ tipi ta ’xiex?</v>
      </c>
    </row>
    <row r="11685" ht="15.75" customHeight="1">
      <c r="A11685" s="2" t="s">
        <v>11685</v>
      </c>
      <c r="B11685" s="2" t="str">
        <f>IFERROR(__xludf.DUMMYFUNCTION("GOOGLETRANSLATE(A11685, ""en"", ""mt"")"),"Waħda mill-eqdem rappreżentazzjonijiet ta 'diżubbidjenza ċivili hija fil-logħob ta' Sophocles Antigone, li fih Antigone, waħda mill-bniet ta 'l-ex King of Tebes, Edipus, tikkontesta lil Creon, ir-re attwali ta' Thebes, li qed tipprova twaqqafha milli tagħ"&amp;"ti lil ħuha Polynices dfin xieraq. Hija tagħti diskors li jħawwad li fih tgħidlu li hi trid tobdi l-kuxjenza tagħha aktar milli l-liġi umana. Hija ma tibżax xejn mill-mewt li huwa jheddedha (u eventwalment imexxi), imma tibża 'minn kif il-kuxjenza tagħha "&amp;"se titħassarha jekk ma tagħmilx dan.")</f>
        <v>Waħda mill-eqdem rappreżentazzjonijiet ta 'diżubbidjenza ċivili hija fil-logħob ta' Sophocles Antigone, li fih Antigone, waħda mill-bniet ta 'l-ex King of Tebes, Edipus, tikkontesta lil Creon, ir-re attwali ta' Thebes, li qed tipprova twaqqafha milli tagħti lil ħuha Polynices dfin xieraq. Hija tagħti diskors li jħawwad li fih tgħidlu li hi trid tobdi l-kuxjenza tagħha aktar milli l-liġi umana. Hija ma tibżax xejn mill-mewt li huwa jheddedha (u eventwalment imexxi), imma tibża 'minn kif il-kuxjenza tagħha se titħassarha jekk ma tagħmilx dan.</v>
      </c>
    </row>
    <row r="11686" ht="15.75" customHeight="1">
      <c r="A11686" s="2" t="s">
        <v>11686</v>
      </c>
      <c r="B11686" s="2" t="str">
        <f>IFERROR(__xludf.DUMMYFUNCTION("GOOGLETRANSLATE(A11686, ""en"", ""mt"")"),"retorika")</f>
        <v>retorika</v>
      </c>
    </row>
    <row r="11687" ht="15.75" customHeight="1">
      <c r="A11687" s="2" t="s">
        <v>11687</v>
      </c>
      <c r="B11687" s="2" t="str">
        <f>IFERROR(__xludf.DUMMYFUNCTION("GOOGLETRANSLATE(A11687, ""en"", ""mt"")"),"Ministru tal-Intern")</f>
        <v>Ministru tal-Intern</v>
      </c>
    </row>
    <row r="11688" ht="15.75" customHeight="1">
      <c r="A11688" s="2" t="s">
        <v>11688</v>
      </c>
      <c r="B11688" s="2" t="str">
        <f>IFERROR(__xludf.DUMMYFUNCTION("GOOGLETRANSLATE(A11688, ""en"", ""mt"")"),"biex jagħmlu ċerti liġijiet ineffettivi, li jikkawżaw ir-revoka tagħhom, jew li jagħmlu pressjoni biex jiksbu x-xewqat politiċi ta 'wieħed fuq xi kwistjoni oħra")</f>
        <v>biex jagħmlu ċerti liġijiet ineffettivi, li jikkawżaw ir-revoka tagħhom, jew li jagħmlu pressjoni biex jiksbu x-xewqat politiċi ta 'wieħed fuq xi kwistjoni oħra</v>
      </c>
    </row>
    <row r="11689" ht="15.75" customHeight="1">
      <c r="A11689" s="2" t="s">
        <v>11689</v>
      </c>
      <c r="B11689" s="2" t="str">
        <f>IFERROR(__xludf.DUMMYFUNCTION("GOOGLETRANSLATE(A11689, ""en"", ""mt"")"),"""Logħba kbira tan-Negozji ż-Żgħar""")</f>
        <v>"Logħba kbira tan-Negozji ż-Żgħar"</v>
      </c>
    </row>
    <row r="11690" ht="15.75" customHeight="1">
      <c r="A11690" s="2" t="s">
        <v>11690</v>
      </c>
      <c r="B11690" s="2" t="str">
        <f>IFERROR(__xludf.DUMMYFUNCTION("GOOGLETRANSLATE(A11690, ""en"", ""mt"")"),"id-duttrina tat-trans-startjazzjoni")</f>
        <v>id-duttrina tat-trans-startjazzjoni</v>
      </c>
    </row>
    <row r="11691" ht="15.75" customHeight="1">
      <c r="A11691" s="2" t="s">
        <v>11691</v>
      </c>
      <c r="B11691" s="2" t="str">
        <f>IFERROR(__xludf.DUMMYFUNCTION("GOOGLETRANSLATE(A11691, ""en"", ""mt"")"),"Il-liġi tal-Unjoni Ewropea hija korp ta 'trattati u leġiżlazzjoni, bħal regolamenti u direttivi, li għandhom effett dirett jew effett indirett fuq il-liġijiet tal-Istati Membri tal-Unjoni Ewropea. It-tliet sorsi tal-liġi tal-Unjoni Ewropea huma l-liġi pri"&amp;"marja, il-liġi sekondarja u l-liġi supplimentari. Is-sorsi ewlenin tal-liġi primarja huma t-trattati li jistabbilixxu l-Unjoni Ewropea. Sorsi sekondarji jinkludu regolamenti u direttivi li huma bbażati fuq it-trattati. Il-leġiżlatur tal-Unjoni Ewropea huw"&amp;"a prinċipalment magħmul mill-Parlament Ewropew u l-Kunsill tal-Unjoni Ewropea, li taħt it-trattati jista 'jistabbilixxi liġi sekondarja biex issegwi l-għan stabbilit fit-trattati.")</f>
        <v>Il-liġi tal-Unjoni Ewropea hija korp ta 'trattati u leġiżlazzjoni, bħal regolamenti u direttivi, li għandhom effett dirett jew effett indirett fuq il-liġijiet tal-Istati Membri tal-Unjoni Ewropea. It-tliet sorsi tal-liġi tal-Unjoni Ewropea huma l-liġi primarja, il-liġi sekondarja u l-liġi supplimentari. Is-sorsi ewlenin tal-liġi primarja huma t-trattati li jistabbilixxu l-Unjoni Ewropea. Sorsi sekondarji jinkludu regolamenti u direttivi li huma bbażati fuq it-trattati. Il-leġiżlatur tal-Unjoni Ewropea huwa prinċipalment magħmul mill-Parlament Ewropew u l-Kunsill tal-Unjoni Ewropea, li taħt it-trattati jista 'jistabbilixxi liġi sekondarja biex issegwi l-għan stabbilit fit-trattati.</v>
      </c>
    </row>
    <row r="11692" ht="15.75" customHeight="1">
      <c r="A11692" s="2" t="s">
        <v>11692</v>
      </c>
      <c r="B11692" s="2" t="str">
        <f>IFERROR(__xludf.DUMMYFUNCTION("GOOGLETRANSLATE(A11692, ""en"", ""mt"")"),"42")</f>
        <v>42</v>
      </c>
    </row>
    <row r="11693" ht="15.75" customHeight="1">
      <c r="A11693" s="2" t="s">
        <v>11693</v>
      </c>
      <c r="B11693" s="2" t="str">
        <f>IFERROR(__xludf.DUMMYFUNCTION("GOOGLETRANSLATE(A11693, ""en"", ""mt"")"),"Allokati minn qabel")</f>
        <v>Allokati minn qabel</v>
      </c>
    </row>
    <row r="11694" ht="15.75" customHeight="1">
      <c r="A11694" s="2" t="s">
        <v>11694</v>
      </c>
      <c r="B11694" s="2" t="str">
        <f>IFERROR(__xludf.DUMMYFUNCTION("GOOGLETRANSLATE(A11694, ""en"", ""mt"")"),"Vinogradov's")</f>
        <v>Vinogradov's</v>
      </c>
    </row>
    <row r="11695" ht="15.75" customHeight="1">
      <c r="A11695" s="2" t="s">
        <v>11695</v>
      </c>
      <c r="B11695" s="2" t="str">
        <f>IFERROR(__xludf.DUMMYFUNCTION("GOOGLETRANSLATE(A11695, ""en"", ""mt"")"),"Xi jfisser il-Mużew tal-Art Fogg?")</f>
        <v>Xi jfisser il-Mużew tal-Art Fogg?</v>
      </c>
    </row>
    <row r="11696" ht="15.75" customHeight="1">
      <c r="A11696" s="2" t="s">
        <v>11696</v>
      </c>
      <c r="B11696" s="2" t="str">
        <f>IFERROR(__xludf.DUMMYFUNCTION("GOOGLETRANSLATE(A11696, ""en"", ""mt"")"),"Kemm għandu rappreżentanti kull elettorat?")</f>
        <v>Kemm għandu rappreżentanti kull elettorat?</v>
      </c>
    </row>
    <row r="11697" ht="15.75" customHeight="1">
      <c r="A11697" s="2" t="s">
        <v>11697</v>
      </c>
      <c r="B11697" s="2" t="str">
        <f>IFERROR(__xludf.DUMMYFUNCTION("GOOGLETRANSLATE(A11697, ""en"", ""mt"")"),"Fl-10 ġimgħa tal-istaġun 2015, ma 'liema korriment kien qed jittratta Peyton Manning?")</f>
        <v>Fl-10 ġimgħa tal-istaġun 2015, ma 'liema korriment kien qed jittratta Peyton Manning?</v>
      </c>
    </row>
    <row r="11698" ht="15.75" customHeight="1">
      <c r="A11698" s="2" t="s">
        <v>11698</v>
      </c>
      <c r="B11698" s="2" t="str">
        <f>IFERROR(__xludf.DUMMYFUNCTION("GOOGLETRANSLATE(A11698, ""en"", ""mt"")"),"ex re ta 'Tebes")</f>
        <v>ex re ta 'Tebes</v>
      </c>
    </row>
    <row r="11699" ht="15.75" customHeight="1">
      <c r="A11699" s="2" t="s">
        <v>11699</v>
      </c>
      <c r="B11699" s="2" t="str">
        <f>IFERROR(__xludf.DUMMYFUNCTION("GOOGLETRANSLATE(A11699, ""en"", ""mt"")"),"kolera")</f>
        <v>kolera</v>
      </c>
    </row>
    <row r="11700" ht="15.75" customHeight="1">
      <c r="A11700" s="2" t="s">
        <v>11700</v>
      </c>
      <c r="B11700" s="2" t="str">
        <f>IFERROR(__xludf.DUMMYFUNCTION("GOOGLETRANSLATE(A11700, ""en"", ""mt"")"),"Liema diviżjoni amministrattiva Kublai ħalliet mhux modifikata?")</f>
        <v>Liema diviżjoni amministrattiva Kublai ħalliet mhux modifikata?</v>
      </c>
    </row>
    <row r="11701" ht="15.75" customHeight="1">
      <c r="A11701" s="2" t="s">
        <v>11701</v>
      </c>
      <c r="B11701" s="2" t="str">
        <f>IFERROR(__xludf.DUMMYFUNCTION("GOOGLETRANSLATE(A11701, ""en"", ""mt"")"),"Il-Ktieb tad-Dixxiplina tal-Knisja Metodista Magħquda")</f>
        <v>Il-Ktieb tad-Dixxiplina tal-Knisja Metodista Magħquda</v>
      </c>
    </row>
    <row r="11702" ht="15.75" customHeight="1">
      <c r="A11702" s="2" t="s">
        <v>11702</v>
      </c>
      <c r="B11702" s="2" t="str">
        <f>IFERROR(__xludf.DUMMYFUNCTION("GOOGLETRANSLATE(A11702, ""en"", ""mt"")"),"imwettaq b'suċċess")</f>
        <v>imwettaq b'suċċess</v>
      </c>
    </row>
    <row r="11703" ht="15.75" customHeight="1">
      <c r="A11703" s="2" t="s">
        <v>11703</v>
      </c>
      <c r="B11703" s="2" t="str">
        <f>IFERROR(__xludf.DUMMYFUNCTION("GOOGLETRANSLATE(A11703, ""en"", ""mt"")"),"Pathway ta 'interferenza RNA")</f>
        <v>Pathway ta 'interferenza RNA</v>
      </c>
    </row>
    <row r="11704" ht="15.75" customHeight="1">
      <c r="A11704" s="2" t="s">
        <v>11704</v>
      </c>
      <c r="B11704" s="2" t="str">
        <f>IFERROR(__xludf.DUMMYFUNCTION("GOOGLETRANSLATE(A11704, ""en"", ""mt"")"),"Liema baċin ġie ffurmat meta żdied il-Muntanji Andes?")</f>
        <v>Liema baċin ġie ffurmat meta żdied il-Muntanji Andes?</v>
      </c>
    </row>
    <row r="11705" ht="15.75" customHeight="1">
      <c r="A11705" s="2" t="s">
        <v>11705</v>
      </c>
      <c r="B11705" s="2" t="str">
        <f>IFERROR(__xludf.DUMMYFUNCTION("GOOGLETRANSLATE(A11705, ""en"", ""mt"")"),"Wesel-Datteln Canal")</f>
        <v>Wesel-Datteln Canal</v>
      </c>
    </row>
    <row r="11706" ht="15.75" customHeight="1">
      <c r="A11706" s="2" t="s">
        <v>11706</v>
      </c>
      <c r="B11706" s="2" t="str">
        <f>IFERROR(__xludf.DUMMYFUNCTION("GOOGLETRANSLATE(A11706, ""en"", ""mt"")"),"il-Welsh")</f>
        <v>il-Welsh</v>
      </c>
    </row>
    <row r="11707" ht="15.75" customHeight="1">
      <c r="A11707" s="2" t="s">
        <v>11707</v>
      </c>
      <c r="B11707" s="2" t="str">
        <f>IFERROR(__xludf.DUMMYFUNCTION("GOOGLETRANSLATE(A11707, ""en"", ""mt"")"),"X'inhu l-mace murija?")</f>
        <v>X'inhu l-mace murija?</v>
      </c>
    </row>
    <row r="11708" ht="15.75" customHeight="1">
      <c r="A11708" s="2" t="s">
        <v>11708</v>
      </c>
      <c r="B11708" s="2" t="str">
        <f>IFERROR(__xludf.DUMMYFUNCTION("GOOGLETRANSLATE(A11708, ""en"", ""mt"")"),"abjad, blu, roża, neon tal-qawsalla u glittering")</f>
        <v>abjad, blu, roża, neon tal-qawsalla u glittering</v>
      </c>
    </row>
    <row r="11709" ht="15.75" customHeight="1">
      <c r="A11709" s="2" t="s">
        <v>11709</v>
      </c>
      <c r="B11709" s="2" t="str">
        <f>IFERROR(__xludf.DUMMYFUNCTION("GOOGLETRANSLATE(A11709, ""en"", ""mt"")"),"Fuq xiex inżamm ir-riżultat tal-maġġoranza tal-SNP?")</f>
        <v>Fuq xiex inżamm ir-riżultat tal-maġġoranza tal-SNP?</v>
      </c>
    </row>
    <row r="11710" ht="15.75" customHeight="1">
      <c r="A11710" s="2" t="s">
        <v>11710</v>
      </c>
      <c r="B11710" s="2" t="str">
        <f>IFERROR(__xludf.DUMMYFUNCTION("GOOGLETRANSLATE(A11710, ""en"", ""mt"")"),"Meta ġie stabbilit is-soluzzjoni li kienet se ssir Varsavja?")</f>
        <v>Meta ġie stabbilit is-soluzzjoni li kienet se ssir Varsavja?</v>
      </c>
    </row>
    <row r="11711" ht="15.75" customHeight="1">
      <c r="A11711" s="2" t="s">
        <v>11711</v>
      </c>
      <c r="B11711" s="2" t="str">
        <f>IFERROR(__xludf.DUMMYFUNCTION("GOOGLETRANSLATE(A11711, ""en"", ""mt"")"),"Mhux Kattoliċi")</f>
        <v>Mhux Kattoliċi</v>
      </c>
    </row>
    <row r="11712" ht="15.75" customHeight="1">
      <c r="A11712" s="2" t="s">
        <v>11712</v>
      </c>
      <c r="B11712" s="2" t="str">
        <f>IFERROR(__xludf.DUMMYFUNCTION("GOOGLETRANSLATE(A11712, ""en"", ""mt"")"),"Il-moviment liberu tal-merkanzija fl-Unjoni Ewropea jinkiseb minn unjoni doganali, u l-prinċipju tan-nondiskriminazzjoni. L-UE timmaniġġja importazzjonijiet minn stati mhux membri, id-dmirijiet bejn l-istati membri huma pprojbiti, u l-importazzjonijiet ji"&amp;"ċċirkolaw liberament. Barra minn hekk taħt it-trattat dwar il-funzjonament tal-Artikolu 34 tal-Unjoni Ewropea, ""restrizzjonijiet kwantitattivi fuq l-importazzjonijiet u l-miżuri kollha li għandhom effett ekwivalenti għandhom ikunu pprojbiti bejn l-Istati"&amp;" Membri"". Fl-Actureur du Roi vsonville, il-Qorti tal-Ġustizzja ddeċidiet li din ir-regola kienet tfisser ir- ""regoli tal-kummerċ"" kollha li huma ""promulgati mill-istati membri"" li jistgħu jxekklu l-kummerċ ""direttament jew indirettament, fil-fatt je"&amp;"w potenzjalment"" jinqabdu mill-Artikolu 34. Li liġi Belġjana li tirrikjedi l-importazzjonijiet tal-whisky Skoċċiż li jkollu ċertifikat ta 'oriġini x'aktarx ma jkunx legali. Huwa diskriminat kontra importaturi paralleli bħas-Sur Dassonville, li ma setgħux"&amp;" jiksbu ċertifikati mill-awtoritajiet fi Franza, fejn xtraw l-Iskoċċi. Dan it- ""test wiesa '"", biex jiddetermina dak li potenzjalment jista' jkun restrizzjoni illegali fuq il-kummerċ, japplika bl-istess mod għal azzjonijiet minn korpi kważi-governattivi"&amp;", bħall-eks kumpanija ""Buy Irish"" li kellha maħtura tal-gvern. Dan ifisser ukoll li l-istati jistgħu jkunu responsabbli għall-atturi privati. Pereżempju, fil-kummissjoni v Franza l-viġilanti tal-bidwi Franċiż kienu kontinwament sabotaging vjeġġi ta 'fra"&amp;"wli Spanjoli, u anke importazzjonijiet tat-tadam Belġjani. Franza kienet responsabbli għal dawn il-bidu li jinnegozjaw minħabba li l-awtoritajiet ""manifestament u persistenti astjenew"" milli jipprevjenu s-sabotaġġ. B'mod ġenerali, jekk Stat Membru jkoll"&amp;"u liġijiet jew prattiki li jiddiskriminaw direttament kontra l-importazzjonijiet (jew l-esportazzjonijiet taħt l-Artikolu 35 tat-TFEU) allura għandu jkun iġġustifikat skont l-Artikolu 36. Il-ġustifikazzjonijiet jinkludu moralità pubblika, politika jew sig"&amp;"urtà, ""protezzjoni tas-saħħa u l-ħajja ta ' bnedmin, annimali jew pjanti "","" teżori nazzjonali ""ta '"" valur artistiku, storiku jew arkeoloġiku ""u"" proprjetà industrijali u kummerċjali. "" Barra minn hekk, għalkemm mhux elenkata b'mod ċar, il-protez"&amp;"zjoni ambjentali tista 'tiġġustifika restrizzjonijiet fuq il-kummerċ bħala rekwiżit importanti derivat mill-Artikolu 11 tat-TFEU 11. B'mod aktar ġenerali, ġie rikonoxxut dejjem aktar li d-drittijiet fundamentali tal-bniedem għandhom jieħdu prijorità fuq i"&amp;"r-regoli kummerċjali kollha. Allura, fi Schmidberger vs l-Awstrija, il-Qorti tal-Ġustizzja ddeċidiet li l-Awstrija ma kinitx kisret l-Artikolu 34 billi naqset milli tipprojbixxi protesta li imblukkat traffiku qawwi li jgħaddi minn fuq l-A13, Brenner Autob"&amp;"ahn, fi triqthom lejn l-Italja. Għalkemm ħafna kumpaniji, inkluża l-impriża Ġermaniża tas-Sur Schmidberger, ġew evitati milli jinnegozjaw, il-Qorti tal-Ġustizzja rraġunaw li l-libertà ta 'assoċjazzjoni hija waħda mill- ""pilastri fundamentali ta' soċjetà "&amp;"demokratika"", li kontriha l-moviment liberu tal-merkanzija kellu jkun ibbilanċjat, u probabbilment kien subordinat. Jekk Stat Membru jappella għall-ġustifikazzjoni tal-Artikolu 36, il-miżuri li tieħu għandhom jiġu applikati proporzjonalment. Dan ifisser "&amp;"li r-regola għandha tkun segwita għan leġittimu u (1) tkun adattata biex jinkiseb l-għan, (2) ikun meħtieġ, sabiex miżura inqas restrittiva ma tistax tikseb l-istess riżultat, u (3) tkun raġonevoli fl-ibbilanċjar tal-interessi ta 'kummerċ ħieles b'interes"&amp;"si fl-Artikolu 36.")</f>
        <v>Il-moviment liberu tal-merkanzija fl-Unjoni Ewropea jinkiseb minn unjoni doganali, u l-prinċipju tan-nondiskriminazzjoni. L-UE timmaniġġja importazzjonijiet minn stati mhux membri, id-dmirijiet bejn l-istati membri huma pprojbiti, u l-importazzjonijiet jiċċirkolaw liberament. Barra minn hekk taħt it-trattat dwar il-funzjonament tal-Artikolu 34 tal-Unjoni Ewropea, "restrizzjonijiet kwantitattivi fuq l-importazzjonijiet u l-miżuri kollha li għandhom effett ekwivalenti għandhom ikunu pprojbiti bejn l-Istati Membri". Fl-Actureur du Roi vsonville, il-Qorti tal-Ġustizzja ddeċidiet li din ir-regola kienet tfisser ir- "regoli tal-kummerċ" kollha li huma "promulgati mill-istati membri" li jistgħu jxekklu l-kummerċ "direttament jew indirettament, fil-fatt jew potenzjalment" jinqabdu mill-Artikolu 34. Li liġi Belġjana li tirrikjedi l-importazzjonijiet tal-whisky Skoċċiż li jkollu ċertifikat ta 'oriġini x'aktarx ma jkunx legali. Huwa diskriminat kontra importaturi paralleli bħas-Sur Dassonville, li ma setgħux jiksbu ċertifikati mill-awtoritajiet fi Franza, fejn xtraw l-Iskoċċi. Dan it- "test wiesa '", biex jiddetermina dak li potenzjalment jista' jkun restrizzjoni illegali fuq il-kummerċ, japplika bl-istess mod għal azzjonijiet minn korpi kważi-governattivi, bħall-eks kumpanija "Buy Irish" li kellha maħtura tal-gvern. Dan ifisser ukoll li l-istati jistgħu jkunu responsabbli għall-atturi privati. Pereżempju, fil-kummissjoni v Franza l-viġilanti tal-bidwi Franċiż kienu kontinwament sabotaging vjeġġi ta 'frawli Spanjoli, u anke importazzjonijiet tat-tadam Belġjani. Franza kienet responsabbli għal dawn il-bidu li jinnegozjaw minħabba li l-awtoritajiet "manifestament u persistenti astjenew" milli jipprevjenu s-sabotaġġ. B'mod ġenerali, jekk Stat Membru jkollu liġijiet jew prattiki li jiddiskriminaw direttament kontra l-importazzjonijiet (jew l-esportazzjonijiet taħt l-Artikolu 35 tat-TFEU) allura għandu jkun iġġustifikat skont l-Artikolu 36. Il-ġustifikazzjonijiet jinkludu moralità pubblika, politika jew sigurtà, "protezzjoni tas-saħħa u l-ħajja ta ' bnedmin, annimali jew pjanti "," teżori nazzjonali "ta '" valur artistiku, storiku jew arkeoloġiku "u" proprjetà industrijali u kummerċjali. " Barra minn hekk, għalkemm mhux elenkata b'mod ċar, il-protezzjoni ambjentali tista 'tiġġustifika restrizzjonijiet fuq il-kummerċ bħala rekwiżit importanti derivat mill-Artikolu 11 tat-TFEU 11. B'mod aktar ġenerali, ġie rikonoxxut dejjem aktar li d-drittijiet fundamentali tal-bniedem għandhom jieħdu prijorità fuq ir-regoli kummerċjali kollha. Allura, fi Schmidberger vs l-Awstrija, il-Qorti tal-Ġustizzja ddeċidiet li l-Awstrija ma kinitx kisret l-Artikolu 34 billi naqset milli tipprojbixxi protesta li imblukkat traffiku qawwi li jgħaddi minn fuq l-A13, Brenner Autobahn, fi triqthom lejn l-Italja. Għalkemm ħafna kumpaniji, inkluża l-impriża Ġermaniża tas-Sur Schmidberger, ġew evitati milli jinnegozjaw, il-Qorti tal-Ġustizzja rraġunaw li l-libertà ta 'assoċjazzjoni hija waħda mill- "pilastri fundamentali ta' soċjetà demokratika", li kontriha l-moviment liberu tal-merkanzija kellu jkun ibbilanċjat, u probabbilment kien subordinat. Jekk Stat Membru jappella għall-ġustifikazzjoni tal-Artikolu 36, il-miżuri li tieħu għandhom jiġu applikati proporzjonalment. Dan ifisser li r-regola għandha tkun segwita għan leġittimu u (1) tkun adattata biex jinkiseb l-għan, (2) ikun meħtieġ, sabiex miżura inqas restrittiva ma tistax tikseb l-istess riżultat, u (3) tkun raġonevoli fl-ibbilanċjar tal-interessi ta 'kummerċ ħieles b'interessi fl-Artikolu 36.</v>
      </c>
    </row>
    <row r="11713" ht="15.75" customHeight="1">
      <c r="A11713" s="2" t="s">
        <v>11713</v>
      </c>
      <c r="B11713" s="2" t="str">
        <f>IFERROR(__xludf.DUMMYFUNCTION("GOOGLETRANSLATE(A11713, ""en"", ""mt"")"),"il-flail ta 'Alla,")</f>
        <v>il-flail ta 'Alla,</v>
      </c>
    </row>
    <row r="11714" ht="15.75" customHeight="1">
      <c r="A11714" s="2" t="s">
        <v>11714</v>
      </c>
      <c r="B11714" s="2" t="str">
        <f>IFERROR(__xludf.DUMMYFUNCTION("GOOGLETRANSLATE(A11714, ""en"", ""mt"")"),"Għodda tax-Xitan")</f>
        <v>Għodda tax-Xitan</v>
      </c>
    </row>
    <row r="11715" ht="15.75" customHeight="1">
      <c r="A11715" s="2" t="s">
        <v>11715</v>
      </c>
      <c r="B11715" s="2" t="str">
        <f>IFERROR(__xludf.DUMMYFUNCTION("GOOGLETRANSLATE(A11715, ""en"", ""mt"")"),"Ikkastiga lin-nies ta 'Miami ta' Pickawillany talli ma segwewx l-ordnijiet ta 'Céloron biex jieqfu jinnegozjaw mal-Ingliżi")</f>
        <v>Ikkastiga lin-nies ta 'Miami ta' Pickawillany talli ma segwewx l-ordnijiet ta 'Céloron biex jieqfu jinnegozjaw mal-Ingliżi</v>
      </c>
    </row>
    <row r="11716" ht="15.75" customHeight="1">
      <c r="A11716" s="2" t="s">
        <v>11716</v>
      </c>
      <c r="B11716" s="2" t="str">
        <f>IFERROR(__xludf.DUMMYFUNCTION("GOOGLETRANSLATE(A11716, ""en"", ""mt"")"),"ġeomorfoloġiku")</f>
        <v>ġeomorfoloġiku</v>
      </c>
    </row>
    <row r="11717" ht="15.75" customHeight="1">
      <c r="A11717" s="2" t="s">
        <v>11717</v>
      </c>
      <c r="B11717" s="2" t="str">
        <f>IFERROR(__xludf.DUMMYFUNCTION("GOOGLETRANSLATE(A11717, ""en"", ""mt"")"),"Kungress ta 'Albany")</f>
        <v>Kungress ta 'Albany</v>
      </c>
    </row>
    <row r="11718" ht="15.75" customHeight="1">
      <c r="A11718" s="2" t="s">
        <v>11718</v>
      </c>
      <c r="B11718" s="2" t="str">
        <f>IFERROR(__xludf.DUMMYFUNCTION("GOOGLETRANSLATE(A11718, ""en"", ""mt"")"),"Għal liema pajjiż tieħu l-Moselle?")</f>
        <v>Għal liema pajjiż tieħu l-Moselle?</v>
      </c>
    </row>
    <row r="11719" ht="15.75" customHeight="1">
      <c r="A11719" s="2" t="s">
        <v>11719</v>
      </c>
      <c r="B11719" s="2" t="str">
        <f>IFERROR(__xludf.DUMMYFUNCTION("GOOGLETRANSLATE(A11719, ""en"", ""mt"")"),"mhux ugwali")</f>
        <v>mhux ugwali</v>
      </c>
    </row>
    <row r="11720" ht="15.75" customHeight="1">
      <c r="A11720" s="2" t="s">
        <v>11720</v>
      </c>
      <c r="B11720" s="2" t="str">
        <f>IFERROR(__xludf.DUMMYFUNCTION("GOOGLETRANSLATE(A11720, ""en"", ""mt"")"),"Membru Onorarju tal-Konfederazzjoni Iroquois")</f>
        <v>Membru Onorarju tal-Konfederazzjoni Iroquois</v>
      </c>
    </row>
    <row r="11721" ht="15.75" customHeight="1">
      <c r="A11721" s="2" t="s">
        <v>11721</v>
      </c>
      <c r="B11721" s="2" t="str">
        <f>IFERROR(__xludf.DUMMYFUNCTION("GOOGLETRANSLATE(A11721, ""en"", ""mt"")"),"mibegħda moderna lejn il-Lhud")</f>
        <v>mibegħda moderna lejn il-Lhud</v>
      </c>
    </row>
    <row r="11722" ht="15.75" customHeight="1">
      <c r="A11722" s="2" t="s">
        <v>11722</v>
      </c>
      <c r="B11722" s="2" t="str">
        <f>IFERROR(__xludf.DUMMYFUNCTION("GOOGLETRANSLATE(A11722, ""en"", ""mt"")"),"Il-logo għat-Tnax-il Tabib")</f>
        <v>Il-logo għat-Tnax-il Tabib</v>
      </c>
    </row>
    <row r="11723" ht="15.75" customHeight="1">
      <c r="A11723" s="2" t="s">
        <v>11723</v>
      </c>
      <c r="B11723" s="2" t="str">
        <f>IFERROR(__xludf.DUMMYFUNCTION("GOOGLETRANSLATE(A11723, ""en"", ""mt"")"),"In-Normanni kienu f'kuntatt mal-Ingilterra minn data bikrija. Mhux biss ħutna oriġinali tagħhom tal-Viking għadhom ħarbu mill-kosti Ingliżi, iżda okkupaw ħafna mill-portijiet importanti faċċata tal-Ingilterra madwar il-Kanal Ingliż. Din ir-relazzjoni even"&amp;"twalment ipproduċiet rabtiet aktar mill-qrib ta 'demm permezz taż-żwieġ ta' Emma, ​​oħt id-Duka Richard II tan-Normandija, u r-Re Ethelred II tal-Ingilterra. Minħabba dan, Ethelred ħarab lejn in-Normandija fl-1013, meta kien sfurzat mir-renju tiegħu minn "&amp;"Sweyn Forkbeard. Il-waqfa tiegħu fin-Normandija (sal-1016) influwenzat lilu u lil uliedu minn Emma, ​​li baqgħu fin-Normandija wara Cnut the Great's Conquest of the Isle.")</f>
        <v>In-Normanni kienu f'kuntatt mal-Ingilterra minn data bikrija. Mhux biss ħutna oriġinali tagħhom tal-Viking għadhom ħarbu mill-kosti Ingliżi, iżda okkupaw ħafna mill-portijiet importanti faċċata tal-Ingilterra madwar il-Kanal Ingliż. Din ir-relazzjoni eventwalment ipproduċiet rabtiet aktar mill-qrib ta 'demm permezz taż-żwieġ ta' Emma, ​​oħt id-Duka Richard II tan-Normandija, u r-Re Ethelred II tal-Ingilterra. Minħabba dan, Ethelred ħarab lejn in-Normandija fl-1013, meta kien sfurzat mir-renju tiegħu minn Sweyn Forkbeard. Il-waqfa tiegħu fin-Normandija (sal-1016) influwenzat lilu u lil uliedu minn Emma, ​​li baqgħu fin-Normandija wara Cnut the Great's Conquest of the Isle.</v>
      </c>
    </row>
    <row r="11724" ht="15.75" customHeight="1">
      <c r="A11724" s="2" t="s">
        <v>11724</v>
      </c>
      <c r="B11724" s="2" t="str">
        <f>IFERROR(__xludf.DUMMYFUNCTION("GOOGLETRANSLATE(A11724, ""en"", ""mt"")"),"Good Morning America u Nightline")</f>
        <v>Good Morning America u Nightline</v>
      </c>
    </row>
    <row r="11725" ht="15.75" customHeight="1">
      <c r="A11725" s="2" t="s">
        <v>11725</v>
      </c>
      <c r="B11725" s="2" t="str">
        <f>IFERROR(__xludf.DUMMYFUNCTION("GOOGLETRANSLATE(A11725, ""en"", ""mt"")"),"Numru dejjem jikber ta 'forom ġodda ta' akkwist jinvolvi x'inhu?")</f>
        <v>Numru dejjem jikber ta 'forom ġodda ta' akkwist jinvolvi x'inhu?</v>
      </c>
    </row>
    <row r="11726" ht="15.75" customHeight="1">
      <c r="A11726" s="2" t="s">
        <v>11726</v>
      </c>
      <c r="B11726" s="2" t="str">
        <f>IFERROR(__xludf.DUMMYFUNCTION("GOOGLETRANSLATE(A11726, ""en"", ""mt"")"),"F'liema jispeċjalizzaw l-ispiżjara kliniċi?")</f>
        <v>F'liema jispeċjalizzaw l-ispiżjara kliniċi?</v>
      </c>
    </row>
    <row r="11727" ht="15.75" customHeight="1">
      <c r="A11727" s="2" t="s">
        <v>11727</v>
      </c>
      <c r="B11727" s="2" t="str">
        <f>IFERROR(__xludf.DUMMYFUNCTION("GOOGLETRANSLATE(A11727, ""en"", ""mt"")"),"Iċ-ċelloli T delta gamma (ċelloli T γδ) għandhom riċettur alternattiv taċ-ċelluli T (TCR) għall-kuntrarju taċ-ċelloli T CD4 + u CD8 + (αβ) u jaqsmu l-karatteristiċi taċ-ċelloli T helper, ċelloli T ċitotossiċi u ċelloli NK. Il-kundizzjonijiet li jipproduċu"&amp;" risponsi miċ-ċelloli T γδ mhumiex mifhuma għal kollox. Bħal sottogruppi oħra taċ-ċelloli T 'mhux konvenzjonali' li għandhom TCRs invarianti, bħal ċelloli T killer naturali ristretti CD1D, ċelloli T γδ T li jwaqqfu l-fruntiera bejn l-immunità innata u ada"&amp;"ttattiva. Min-naħa l-waħda, iċ-ċelloli T γδ huma komponent ta 'immunità adattiva hekk kif jirranġaw il-ġeni TCR biex jipproduċu diversità tar-riċetturi u jistgħu jiżviluppaw ukoll fenotip tal-memorja. Min-naħa l-oħra, is-sottogruppi varji huma wkoll parti"&amp;" mis-sistema immuni innata, minħabba li r-riċetturi TCR jew NK ristretti jistgħu jintużaw bħala riċetturi ta 'rikonoxximent tal-mudelli. Pereżempju, numru kbir ta 'ċelloli T Vγ9 / Vδ2 umani jirrispondu fi ftit sigħat għal molekuli komuni prodotti minn mik"&amp;"robi, u ċelloli T Vδ1 + ristretti ħafna fl-epitelja jirrispondu għal ċelloli epiteljali stressati.")</f>
        <v>Iċ-ċelloli T delta gamma (ċelloli T γδ) għandhom riċettur alternattiv taċ-ċelluli T (TCR) għall-kuntrarju taċ-ċelloli T CD4 + u CD8 + (αβ) u jaqsmu l-karatteristiċi taċ-ċelloli T helper, ċelloli T ċitotossiċi u ċelloli NK. Il-kundizzjonijiet li jipproduċu risponsi miċ-ċelloli T γδ mhumiex mifhuma għal kollox. Bħal sottogruppi oħra taċ-ċelloli T 'mhux konvenzjonali' li għandhom TCRs invarianti, bħal ċelloli T killer naturali ristretti CD1D, ċelloli T γδ T li jwaqqfu l-fruntiera bejn l-immunità innata u adattattiva. Min-naħa l-waħda, iċ-ċelloli T γδ huma komponent ta 'immunità adattiva hekk kif jirranġaw il-ġeni TCR biex jipproduċu diversità tar-riċetturi u jistgħu jiżviluppaw ukoll fenotip tal-memorja. Min-naħa l-oħra, is-sottogruppi varji huma wkoll parti mis-sistema immuni innata, minħabba li r-riċetturi TCR jew NK ristretti jistgħu jintużaw bħala riċetturi ta 'rikonoxximent tal-mudelli. Pereżempju, numru kbir ta 'ċelloli T Vγ9 / Vδ2 umani jirrispondu fi ftit sigħat għal molekuli komuni prodotti minn mikrobi, u ċelloli T Vδ1 + ristretti ħafna fl-epitelja jirrispondu għal ċelloli epiteljali stressati.</v>
      </c>
    </row>
    <row r="11728" ht="15.75" customHeight="1">
      <c r="A11728" s="2" t="s">
        <v>11728</v>
      </c>
      <c r="B11728" s="2" t="str">
        <f>IFERROR(__xludf.DUMMYFUNCTION("GOOGLETRANSLATE(A11728, ""en"", ""mt"")"),"2 millimetri")</f>
        <v>2 millimetri</v>
      </c>
    </row>
    <row r="11729" ht="15.75" customHeight="1">
      <c r="A11729" s="2" t="s">
        <v>11729</v>
      </c>
      <c r="B11729" s="2" t="str">
        <f>IFERROR(__xludf.DUMMYFUNCTION("GOOGLETRANSLATE(A11729, ""en"", ""mt"")"),"Cyclades")</f>
        <v>Cyclades</v>
      </c>
    </row>
    <row r="11730" ht="15.75" customHeight="1">
      <c r="A11730" s="2" t="s">
        <v>11730</v>
      </c>
      <c r="B11730" s="2" t="str">
        <f>IFERROR(__xludf.DUMMYFUNCTION("GOOGLETRANSLATE(A11730, ""en"", ""mt"")"),"Serje tal-Punent u Ditektif")</f>
        <v>Serje tal-Punent u Ditektif</v>
      </c>
    </row>
    <row r="11731" ht="15.75" customHeight="1">
      <c r="A11731" s="2" t="s">
        <v>11731</v>
      </c>
      <c r="B11731" s="2" t="str">
        <f>IFERROR(__xludf.DUMMYFUNCTION("GOOGLETRANSLATE(A11731, ""en"", ""mt"")"),"in-netwerk")</f>
        <v>in-netwerk</v>
      </c>
    </row>
    <row r="11732" ht="15.75" customHeight="1">
      <c r="A11732" s="2" t="s">
        <v>11732</v>
      </c>
      <c r="B11732" s="2" t="str">
        <f>IFERROR(__xludf.DUMMYFUNCTION("GOOGLETRANSLATE(A11732, ""en"", ""mt"")"),"tippromwovi l-esplorazzjoni taż-żejt")</f>
        <v>tippromwovi l-esplorazzjoni taż-żejt</v>
      </c>
    </row>
    <row r="11733" ht="15.75" customHeight="1">
      <c r="A11733" s="2" t="s">
        <v>11733</v>
      </c>
      <c r="B11733" s="2" t="str">
        <f>IFERROR(__xludf.DUMMYFUNCTION("GOOGLETRANSLATE(A11733, ""en"", ""mt"")"),"Mutur ta 'induzzjoni li dam fuq kurrent alternattiv")</f>
        <v>Mutur ta 'induzzjoni li dam fuq kurrent alternattiv</v>
      </c>
    </row>
    <row r="11734" ht="15.75" customHeight="1">
      <c r="A11734" s="2" t="s">
        <v>11734</v>
      </c>
      <c r="B11734" s="2" t="str">
        <f>IFERROR(__xludf.DUMMYFUNCTION("GOOGLETRANSLATE(A11734, ""en"", ""mt"")"),"Min kien iservi lil Varsavja bħala s-sedil fl-1529?")</f>
        <v>Min kien iservi lil Varsavja bħala s-sedil fl-1529?</v>
      </c>
    </row>
    <row r="11735" ht="15.75" customHeight="1">
      <c r="A11735" s="2" t="s">
        <v>11735</v>
      </c>
      <c r="B11735" s="2" t="str">
        <f>IFERROR(__xludf.DUMMYFUNCTION("GOOGLETRANSLATE(A11735, ""en"", ""mt"")"),"Il-V &amp; A tinsab f'diskussjoni mal-Università ta 'Dundee, l-Università ta' Abertay, il-Kunsill tal-Belt ta 'Dundee u l-Gvern Skoċċiż bil-għan li tiftaħ gallerija ġdida ta' £ 43 miljun f'Dundee li tuża l-marka V &amp; A għalkemm tkun iffinanzjata minnha u titħa"&amp;"ddem b'mod indipendenti - Mill-2015, bi spejjeż stmati għal £ 76 miljun, huwa l-aktar proġett tal-gallerija għali li qatt sar fl-Iskozja. Il-V &amp; A Dundee se jkun fuq il-waterfront tal-belt u huwa maħsub biex jiffoka fuq il-moda, l-arkitettura, id-disinn t"&amp;"al-prodott, l-arti grafika u l-fotografija. Huwa ppjanat li jista 'jiftaħ fi żmien ħames snin. Il-Kunsill tal-Belt ta 'Dundee huwa mistenni li jħallas parti kbira mill-ispejjeż tal-ġiri. Il-V &amp; A mhix qed tikkontribwixxi finanzjarjament, iżda se tipprovdi"&amp;" għarfien espert, self u esibizzjonijiet.")</f>
        <v>Il-V &amp; A tinsab f'diskussjoni mal-Università ta 'Dundee, l-Università ta' Abertay, il-Kunsill tal-Belt ta 'Dundee u l-Gvern Skoċċiż bil-għan li tiftaħ gallerija ġdida ta' £ 43 miljun f'Dundee li tuża l-marka V &amp; A għalkemm tkun iffinanzjata minnha u titħaddem b'mod indipendenti - Mill-2015, bi spejjeż stmati għal £ 76 miljun, huwa l-aktar proġett tal-gallerija għali li qatt sar fl-Iskozja. Il-V &amp; A Dundee se jkun fuq il-waterfront tal-belt u huwa maħsub biex jiffoka fuq il-moda, l-arkitettura, id-disinn tal-prodott, l-arti grafika u l-fotografija. Huwa ppjanat li jista 'jiftaħ fi żmien ħames snin. Il-Kunsill tal-Belt ta 'Dundee huwa mistenni li jħallas parti kbira mill-ispejjeż tal-ġiri. Il-V &amp; A mhix qed tikkontribwixxi finanzjarjament, iżda se tipprovdi għarfien espert, self u esibizzjonijiet.</v>
      </c>
    </row>
    <row r="11736" ht="15.75" customHeight="1">
      <c r="A11736" s="2" t="s">
        <v>11736</v>
      </c>
      <c r="B11736" s="2" t="str">
        <f>IFERROR(__xludf.DUMMYFUNCTION("GOOGLETRANSLATE(A11736, ""en"", ""mt"")"),"Wara linji gwida stabbiliti fl-istrateġija nazzjonali taċ-ċikliżmu, Newcastle żviluppa l-ewwel strateġija taċ-ċikliżmu tagħha fl-1998. Mill-2012, l-għanijiet soċjali u l-għanijiet soċjali għall-kunsill lokali għaċ-ċikliżmu jinkludu: l-enfasi fuq l-użu taċ"&amp;"-ċikliżmu biex tnaqqas il-konġestjoni tal-belt; L-edukazzjoni li ċ-ċikliżmu jippromwovi ħajja b'saħħitha ... L-awtorità għandha wkoll għanijiet u għanijiet infrastrutturali li jinkludu: l-iżvilupp fuq netwerks taċ-ċiklu tat-toroq fi toroq aktar kwieti; ta"&amp;"għmel rotot aktar sikuri fi toroq aktar bieżel; jinnovaw u jimplimentaw il-kontraflows fi triq waħda; l-iżvilupp tan-netwerks eżistenti tar-rotta taċ-ċiklu tat-triq u jtejjeb is-sinjali; tgħaqqad rotot li huma parzjalment jew kompletament iżolati; Iżżid i"&amp;"n-numru ta 'faċilitajiet ta' parkeġġ taċ-ċiklu; taħdem ma 'min iħaddem biex tintegra ċ-ċikliżmu fil-pjanijiet tal-ivvjaġġar fuq il-post tax-xogħol; Rabta n-netwerks lokali ma 'netwerks nazzjonali.")</f>
        <v>Wara linji gwida stabbiliti fl-istrateġija nazzjonali taċ-ċikliżmu, Newcastle żviluppa l-ewwel strateġija taċ-ċikliżmu tagħha fl-1998. Mill-2012, l-għanijiet soċjali u l-għanijiet soċjali għall-kunsill lokali għaċ-ċikliżmu jinkludu: l-enfasi fuq l-użu taċ-ċikliżmu biex tnaqqas il-konġestjoni tal-belt; L-edukazzjoni li ċ-ċikliżmu jippromwovi ħajja b'saħħitha ... L-awtorità għandha wkoll għanijiet u għanijiet infrastrutturali li jinkludu: l-iżvilupp fuq netwerks taċ-ċiklu tat-toroq fi toroq aktar kwieti; tagħmel rotot aktar sikuri fi toroq aktar bieżel; jinnovaw u jimplimentaw il-kontraflows fi triq waħda; l-iżvilupp tan-netwerks eżistenti tar-rotta taċ-ċiklu tat-triq u jtejjeb is-sinjali; tgħaqqad rotot li huma parzjalment jew kompletament iżolati; Iżżid in-numru ta 'faċilitajiet ta' parkeġġ taċ-ċiklu; taħdem ma 'min iħaddem biex tintegra ċ-ċikliżmu fil-pjanijiet tal-ivvjaġġar fuq il-post tax-xogħol; Rabta n-netwerks lokali ma 'netwerks nazzjonali.</v>
      </c>
    </row>
    <row r="11737" ht="15.75" customHeight="1">
      <c r="A11737" s="2" t="s">
        <v>11737</v>
      </c>
      <c r="B11737" s="2" t="str">
        <f>IFERROR(__xludf.DUMMYFUNCTION("GOOGLETRANSLATE(A11737, ""en"", ""mt"")"),"tilef il-finanzjament")</f>
        <v>tilef il-finanzjament</v>
      </c>
    </row>
    <row r="11738" ht="15.75" customHeight="1">
      <c r="A11738" s="2" t="s">
        <v>11738</v>
      </c>
      <c r="B11738" s="2" t="str">
        <f>IFERROR(__xludf.DUMMYFUNCTION("GOOGLETRANSLATE(A11738, ""en"", ""mt"")"),"B'liema proċess tista 'tiġi ġġenerata l-immunità attiva b'mod artifiċjali?")</f>
        <v>B'liema proċess tista 'tiġi ġġenerata l-immunità attiva b'mod artifiċjali?</v>
      </c>
    </row>
    <row r="11739" ht="15.75" customHeight="1">
      <c r="A11739" s="2" t="s">
        <v>11739</v>
      </c>
      <c r="B11739" s="2" t="str">
        <f>IFERROR(__xludf.DUMMYFUNCTION("GOOGLETRANSLATE(A11739, ""en"", ""mt"")"),"kullimkien minn tnejn sa mitt")</f>
        <v>kullimkien minn tnejn sa mitt</v>
      </c>
    </row>
    <row r="11740" ht="15.75" customHeight="1">
      <c r="A11740" s="2" t="s">
        <v>11740</v>
      </c>
      <c r="B11740" s="2" t="str">
        <f>IFERROR(__xludf.DUMMYFUNCTION("GOOGLETRANSLATE(A11740, ""en"", ""mt"")"),"US $ 10 fil-ġimgħa jgħollu fuq is-salarju ta 'US $ 18 fil-ġimgħa ta' Tesla")</f>
        <v>US $ 10 fil-ġimgħa jgħollu fuq is-salarju ta 'US $ 18 fil-ġimgħa ta' Tesla</v>
      </c>
    </row>
    <row r="11741" ht="15.75" customHeight="1">
      <c r="A11741" s="2" t="s">
        <v>11741</v>
      </c>
      <c r="B11741" s="2" t="str">
        <f>IFERROR(__xludf.DUMMYFUNCTION("GOOGLETRANSLATE(A11741, ""en"", ""mt"")"),"Il-Punent ra l-Lvant bħala xiex?")</f>
        <v>Il-Punent ra l-Lvant bħala xiex?</v>
      </c>
    </row>
    <row r="11742" ht="15.75" customHeight="1">
      <c r="A11742" s="2" t="s">
        <v>11742</v>
      </c>
      <c r="B11742" s="2" t="str">
        <f>IFERROR(__xludf.DUMMYFUNCTION("GOOGLETRANSLATE(A11742, ""en"", ""mt"")"),"Fejn għadu veru x-xejra ta 'ħajja ta' dħul ogħla?")</f>
        <v>Fejn għadu veru x-xejra ta 'ħajja ta' dħul ogħla?</v>
      </c>
    </row>
    <row r="11743" ht="15.75" customHeight="1">
      <c r="A11743" s="2" t="s">
        <v>11743</v>
      </c>
      <c r="B11743" s="2" t="str">
        <f>IFERROR(__xludf.DUMMYFUNCTION("GOOGLETRANSLATE(A11743, ""en"", ""mt"")"),"każijiet")</f>
        <v>każijiet</v>
      </c>
    </row>
    <row r="11744" ht="15.75" customHeight="1">
      <c r="A11744" s="2" t="s">
        <v>11744</v>
      </c>
      <c r="B11744" s="2" t="str">
        <f>IFERROR(__xludf.DUMMYFUNCTION("GOOGLETRANSLATE(A11744, ""en"", ""mt"")"),"Fit-18 ta 'Lulju, 2006")</f>
        <v>Fit-18 ta 'Lulju, 2006</v>
      </c>
    </row>
    <row r="11745" ht="15.75" customHeight="1">
      <c r="A11745" s="2" t="s">
        <v>11745</v>
      </c>
      <c r="B11745" s="2" t="str">
        <f>IFERROR(__xludf.DUMMYFUNCTION("GOOGLETRANSLATE(A11745, ""en"", ""mt"")"),"Waħda mill-ewwel produzzjoni ta 'links IP OC-48C (2.5 GBIT / S)")</f>
        <v>Waħda mill-ewwel produzzjoni ta 'links IP OC-48C (2.5 GBIT / S)</v>
      </c>
    </row>
    <row r="11746" ht="15.75" customHeight="1">
      <c r="A11746" s="2" t="s">
        <v>11746</v>
      </c>
      <c r="B11746" s="2" t="str">
        <f>IFERROR(__xludf.DUMMYFUNCTION("GOOGLETRANSLATE(A11746, ""en"", ""mt"")"),"żona moderata")</f>
        <v>żona moderata</v>
      </c>
    </row>
    <row r="11747" ht="15.75" customHeight="1">
      <c r="A11747" s="2" t="s">
        <v>11747</v>
      </c>
      <c r="B11747" s="2" t="str">
        <f>IFERROR(__xludf.DUMMYFUNCTION("GOOGLETRANSLATE(A11747, ""en"", ""mt"")"),"Konnessjoni tal-istess sekwenza diversi drabi mal-istess oġġett permezz tal-użu ta 'set-up li juża taljoli mobbli")</f>
        <v>Konnessjoni tal-istess sekwenza diversi drabi mal-istess oġġett permezz tal-użu ta 'set-up li juża taljoli mobbli</v>
      </c>
    </row>
    <row r="11748" ht="15.75" customHeight="1">
      <c r="A11748" s="2" t="s">
        <v>11748</v>
      </c>
      <c r="B11748" s="2" t="str">
        <f>IFERROR(__xludf.DUMMYFUNCTION("GOOGLETRANSLATE(A11748, ""en"", ""mt"")"),"Għaliex illum l-eżempji tal-arkitettura Bouregois mhumiex viżibbli?")</f>
        <v>Għaliex illum l-eżempji tal-arkitettura Bouregois mhumiex viżibbli?</v>
      </c>
    </row>
    <row r="11749" ht="15.75" customHeight="1">
      <c r="A11749" s="2" t="s">
        <v>11749</v>
      </c>
      <c r="B11749" s="2" t="str">
        <f>IFERROR(__xludf.DUMMYFUNCTION("GOOGLETRANSLATE(A11749, ""en"", ""mt"")"),"Il-kulleġġi tal-għalliema jiċċertifikaw, jirregolaw u jinfurzaw dak għall-għalliema?")</f>
        <v>Il-kulleġġi tal-għalliema jiċċertifikaw, jirregolaw u jinfurzaw dak għall-għalliema?</v>
      </c>
    </row>
    <row r="11750" ht="15.75" customHeight="1">
      <c r="A11750" s="2" t="s">
        <v>11750</v>
      </c>
      <c r="B11750" s="2" t="str">
        <f>IFERROR(__xludf.DUMMYFUNCTION("GOOGLETRANSLATE(A11750, ""en"", ""mt"")"),"Front Nazzjonali Iżlamiku")</f>
        <v>Front Nazzjonali Iżlamiku</v>
      </c>
    </row>
    <row r="11751" ht="15.75" customHeight="1">
      <c r="A11751" s="2" t="s">
        <v>11751</v>
      </c>
      <c r="B11751" s="2" t="str">
        <f>IFERROR(__xludf.DUMMYFUNCTION("GOOGLETRANSLATE(A11751, ""en"", ""mt"")"),"pagi għoljin")</f>
        <v>pagi għoljin</v>
      </c>
    </row>
    <row r="11752" ht="15.75" customHeight="1">
      <c r="A11752" s="2" t="s">
        <v>11752</v>
      </c>
      <c r="B11752" s="2" t="str">
        <f>IFERROR(__xludf.DUMMYFUNCTION("GOOGLETRANSLATE(A11752, ""en"", ""mt"")"),"bigamy tal-Filippu ta 'Hesse")</f>
        <v>bigamy tal-Filippu ta 'Hesse</v>
      </c>
    </row>
    <row r="11753" ht="15.75" customHeight="1">
      <c r="A11753" s="2" t="s">
        <v>11753</v>
      </c>
      <c r="B11753" s="2" t="str">
        <f>IFERROR(__xludf.DUMMYFUNCTION("GOOGLETRANSLATE(A11753, ""en"", ""mt"")"),"Universitajiet")</f>
        <v>Universitajiet</v>
      </c>
    </row>
    <row r="11754" ht="15.75" customHeight="1">
      <c r="A11754" s="2" t="s">
        <v>11754</v>
      </c>
      <c r="B11754" s="2" t="str">
        <f>IFERROR(__xludf.DUMMYFUNCTION("GOOGLETRANSLATE(A11754, ""en"", ""mt"")"),"Min minbarra l-Afrika Kolonizzata Ingliża?")</f>
        <v>Min minbarra l-Afrika Kolonizzata Ingliża?</v>
      </c>
    </row>
    <row r="11755" ht="15.75" customHeight="1">
      <c r="A11755" s="2" t="s">
        <v>11755</v>
      </c>
      <c r="B11755" s="2" t="str">
        <f>IFERROR(__xludf.DUMMYFUNCTION("GOOGLETRANSLATE(A11755, ""en"", ""mt"")"),"Ix-Xmara Trout")</f>
        <v>Ix-Xmara Trout</v>
      </c>
    </row>
    <row r="11756" ht="15.75" customHeight="1">
      <c r="A11756" s="2" t="s">
        <v>11756</v>
      </c>
      <c r="B11756" s="2" t="str">
        <f>IFERROR(__xludf.DUMMYFUNCTION("GOOGLETRANSLATE(A11756, ""en"", ""mt"")"),"Ir-raġunijiet għall-MAS Two Counties li għandhom jiżdiedu huma bbażati fuq xiex?")</f>
        <v>Ir-raġunijiet għall-MAS Two Counties li għandhom jiżdiedu huma bbażati fuq xiex?</v>
      </c>
    </row>
    <row r="11757" ht="15.75" customHeight="1">
      <c r="A11757" s="2" t="s">
        <v>11757</v>
      </c>
      <c r="B11757" s="2" t="str">
        <f>IFERROR(__xludf.DUMMYFUNCTION("GOOGLETRANSLATE(A11757, ""en"", ""mt"")"),"Liġi tax-Sharia")</f>
        <v>Liġi tax-Sharia</v>
      </c>
    </row>
    <row r="11758" ht="15.75" customHeight="1">
      <c r="A11758" s="2" t="s">
        <v>11758</v>
      </c>
      <c r="B11758" s="2" t="str">
        <f>IFERROR(__xludf.DUMMYFUNCTION("GOOGLETRANSLATE(A11758, ""en"", ""mt"")"),"muturi elettriċi u kombustjoni interna")</f>
        <v>muturi elettriċi u kombustjoni interna</v>
      </c>
    </row>
    <row r="11759" ht="15.75" customHeight="1">
      <c r="A11759" s="2" t="s">
        <v>11759</v>
      </c>
      <c r="B11759" s="2" t="str">
        <f>IFERROR(__xludf.DUMMYFUNCTION("GOOGLETRANSLATE(A11759, ""en"", ""mt"")"),"Itfi d-difiżi ospitanti.")</f>
        <v>Itfi d-difiżi ospitanti.</v>
      </c>
    </row>
    <row r="11760" ht="15.75" customHeight="1">
      <c r="A11760" s="2" t="s">
        <v>11760</v>
      </c>
      <c r="B11760" s="2" t="str">
        <f>IFERROR(__xludf.DUMMYFUNCTION("GOOGLETRANSLATE(A11760, ""en"", ""mt"")"),"Nixxigħat diġitali tal-logħba")</f>
        <v>Nixxigħat diġitali tal-logħba</v>
      </c>
    </row>
    <row r="11761" ht="15.75" customHeight="1">
      <c r="A11761" s="2" t="s">
        <v>11761</v>
      </c>
      <c r="B11761" s="2" t="str">
        <f>IFERROR(__xludf.DUMMYFUNCTION("GOOGLETRANSLATE(A11761, ""en"", ""mt"")"),"Piena immedjata u ġusta għal imġieba ħażina u soda, konfini ċari")</f>
        <v>Piena immedjata u ġusta għal imġieba ħażina u soda, konfini ċari</v>
      </c>
    </row>
    <row r="11762" ht="15.75" customHeight="1">
      <c r="A11762" s="2" t="s">
        <v>11762</v>
      </c>
      <c r="B11762" s="2" t="str">
        <f>IFERROR(__xludf.DUMMYFUNCTION("GOOGLETRANSLATE(A11762, ""en"", ""mt"")"),"Lejn l-Atlantiku")</f>
        <v>Lejn l-Atlantiku</v>
      </c>
    </row>
    <row r="11763" ht="15.75" customHeight="1">
      <c r="A11763" s="2" t="s">
        <v>11763</v>
      </c>
      <c r="B11763" s="2" t="str">
        <f>IFERROR(__xludf.DUMMYFUNCTION("GOOGLETRANSLATE(A11763, ""en"", ""mt"")"),"sawm, sigħat twal fit-talb, pellegrinaġġ, u konfessjoni frekwenti")</f>
        <v>sawm, sigħat twal fit-talb, pellegrinaġġ, u konfessjoni frekwenti</v>
      </c>
    </row>
    <row r="11764" ht="15.75" customHeight="1">
      <c r="A11764" s="2" t="s">
        <v>11764</v>
      </c>
      <c r="B11764" s="2" t="str">
        <f>IFERROR(__xludf.DUMMYFUNCTION("GOOGLETRANSLATE(A11764, ""en"", ""mt"")"),"Eisleben, Sassonja")</f>
        <v>Eisleben, Sassonja</v>
      </c>
    </row>
    <row r="11765" ht="15.75" customHeight="1">
      <c r="A11765" s="2" t="s">
        <v>11765</v>
      </c>
      <c r="B11765" s="2" t="str">
        <f>IFERROR(__xludf.DUMMYFUNCTION("GOOGLETRANSLATE(A11765, ""en"", ""mt"")"),"Dejjem fit-tfittxija ta 'programmi ġodda li jistgħu jgħinuh jikkompeti ma' NBC u CBS, il-ġestjoni ta 'ABC ħaseb li l-isport jista' jkun katalist ewlieni fit-titjib tas-sehem tas-suq tan-netwerk. Fid-29 ta 'April, 1961, ABC iddebutta Wide World of Sports, "&amp;"serje ta' antoloġija maħluqa minn Edgar Scherick permezz tal-kumpanija tiegħu Sports Programmi, Inc. u prodotta minn żagħżugħ Roone Arledge li deher avveniment sportiv differenti kull xandira. ABC xtrat Sports Programmi, Inc. bi skambju għal ishma fil-kum"&amp;"panija, u wasslitha biex issir il-qalba futura ta 'ABC Sports, b'Arledge bħala l-produttur eżekuttiv tal-wirjiet ta' dik id-diviżjoni. Dinja wiesgħa ta 'l-isports, b'mod partikolari, ma kinitx sempliċement iddedikata għal sport wieħed, iżda ġeneralment għ"&amp;"al avvenimenti sportivi kollha.")</f>
        <v>Dejjem fit-tfittxija ta 'programmi ġodda li jistgħu jgħinuh jikkompeti ma' NBC u CBS, il-ġestjoni ta 'ABC ħaseb li l-isport jista' jkun katalist ewlieni fit-titjib tas-sehem tas-suq tan-netwerk. Fid-29 ta 'April, 1961, ABC iddebutta Wide World of Sports, serje ta' antoloġija maħluqa minn Edgar Scherick permezz tal-kumpanija tiegħu Sports Programmi, Inc. u prodotta minn żagħżugħ Roone Arledge li deher avveniment sportiv differenti kull xandira. ABC xtrat Sports Programmi, Inc. bi skambju għal ishma fil-kumpanija, u wasslitha biex issir il-qalba futura ta 'ABC Sports, b'Arledge bħala l-produttur eżekuttiv tal-wirjiet ta' dik id-diviżjoni. Dinja wiesgħa ta 'l-isports, b'mod partikolari, ma kinitx sempliċement iddedikata għal sport wieħed, iżda ġeneralment għal avvenimenti sportivi kollha.</v>
      </c>
    </row>
    <row r="11766" ht="15.75" customHeight="1">
      <c r="A11766" s="2" t="s">
        <v>11766</v>
      </c>
      <c r="B11766" s="2" t="str">
        <f>IFERROR(__xludf.DUMMYFUNCTION("GOOGLETRANSLATE(A11766, ""en"", ""mt"")"),"F'liema kienu aktar tard l-imperaturi tal-wan diżinteressati?")</f>
        <v>F'liema kienu aktar tard l-imperaturi tal-wan diżinteressati?</v>
      </c>
    </row>
    <row r="11767" ht="15.75" customHeight="1">
      <c r="A11767" s="2" t="s">
        <v>11767</v>
      </c>
      <c r="B11767" s="2" t="str">
        <f>IFERROR(__xludf.DUMMYFUNCTION("GOOGLETRANSLATE(A11767, ""en"", ""mt"")"),"Kif jissejħu wkoll l-ispiżeriji tal-internet?")</f>
        <v>Kif jissejħu wkoll l-ispiżeriji tal-internet?</v>
      </c>
    </row>
    <row r="11768" ht="15.75" customHeight="1">
      <c r="A11768" s="2" t="s">
        <v>11768</v>
      </c>
      <c r="B11768" s="2" t="str">
        <f>IFERROR(__xludf.DUMMYFUNCTION("GOOGLETRANSLATE(A11768, ""en"", ""mt"")"),"Żgura li fl-interpretazzjoni u l-applikazzjoni tat-trattati tkun osservata l-liġi")</f>
        <v>Żgura li fl-interpretazzjoni u l-applikazzjoni tat-trattati tkun osservata l-liġi</v>
      </c>
    </row>
    <row r="11769" ht="15.75" customHeight="1">
      <c r="A11769" s="2" t="s">
        <v>11769</v>
      </c>
      <c r="B11769" s="2" t="str">
        <f>IFERROR(__xludf.DUMMYFUNCTION("GOOGLETRANSLATE(A11769, ""en"", ""mt"")"),"forza innata ta 'impetu")</f>
        <v>forza innata ta 'impetu</v>
      </c>
    </row>
    <row r="11770" ht="15.75" customHeight="1">
      <c r="A11770" s="2" t="s">
        <v>11770</v>
      </c>
      <c r="B11770" s="2" t="str">
        <f>IFERROR(__xludf.DUMMYFUNCTION("GOOGLETRANSLATE(A11770, ""en"", ""mt"")"),"Il-maġġoranza l-kbira tal-Kenjani huma Kristjani (83%), b'47.7% rigward lilhom infushom bħala Protestanti u 23.5% bħala Kattolika Rumana tar-Rit Latin. Il-Knisja Presbiterjana tal-Afrika tal-Lvant għandha 3 miljun segwaċi fil-Kenja u l-pajjiżi tal-madwar."&amp;" Hemm knejjes riformati konservattivi iżgħar, il-Knisja Presbiterjana Evanġelika tal-Afrika, il-Knisja Presbiterjana Indipendenti fil-Kenja, u l-Knisja Riformata tal-Afrika tal-Lvant. 621,200 tal-Kenjani huma Kristjani Ortodossi. Notevolment, il-Kenja għa"&amp;"ndha l-ogħla numru ta 'Quakers fid-dinja, b'madwar 133,000 membru. L-unika sinagoga Lhudija fil-pajjiż tinsab fil-kapitali, Nairobi.")</f>
        <v>Il-maġġoranza l-kbira tal-Kenjani huma Kristjani (83%), b'47.7% rigward lilhom infushom bħala Protestanti u 23.5% bħala Kattolika Rumana tar-Rit Latin. Il-Knisja Presbiterjana tal-Afrika tal-Lvant għandha 3 miljun segwaċi fil-Kenja u l-pajjiżi tal-madwar. Hemm knejjes riformati konservattivi iżgħar, il-Knisja Presbiterjana Evanġelika tal-Afrika, il-Knisja Presbiterjana Indipendenti fil-Kenja, u l-Knisja Riformata tal-Afrika tal-Lvant. 621,200 tal-Kenjani huma Kristjani Ortodossi. Notevolment, il-Kenja għandha l-ogħla numru ta 'Quakers fid-dinja, b'madwar 133,000 membru. L-unika sinagoga Lhudija fil-pajjiż tinsab fil-kapitali, Nairobi.</v>
      </c>
    </row>
    <row r="11771" ht="15.75" customHeight="1">
      <c r="A11771" s="2" t="s">
        <v>11771</v>
      </c>
      <c r="B11771" s="2" t="str">
        <f>IFERROR(__xludf.DUMMYFUNCTION("GOOGLETRANSLATE(A11771, ""en"", ""mt"")"),"X'jimbotta n-negozji biex iżidu l-pressjonijiet fuq il-ħaddiema?")</f>
        <v>X'jimbotta n-negozji biex iżidu l-pressjonijiet fuq il-ħaddiema?</v>
      </c>
    </row>
    <row r="11772" ht="15.75" customHeight="1">
      <c r="A11772" s="2" t="s">
        <v>11772</v>
      </c>
      <c r="B11772" s="2" t="str">
        <f>IFERROR(__xludf.DUMMYFUNCTION("GOOGLETRANSLATE(A11772, ""en"", ""mt"")"),"Kemm-il darba tiltaqa 'l-Konferenza Ġenerali?")</f>
        <v>Kemm-il darba tiltaqa 'l-Konferenza Ġenerali?</v>
      </c>
    </row>
    <row r="11773" ht="15.75" customHeight="1">
      <c r="A11773" s="2" t="s">
        <v>11773</v>
      </c>
      <c r="B11773" s="2" t="str">
        <f>IFERROR(__xludf.DUMMYFUNCTION("GOOGLETRANSLATE(A11773, ""en"", ""mt"")"),"11–13 seklu WK")</f>
        <v>11–13 seklu WK</v>
      </c>
    </row>
    <row r="11774" ht="15.75" customHeight="1">
      <c r="A11774" s="2" t="s">
        <v>11774</v>
      </c>
      <c r="B11774" s="2" t="str">
        <f>IFERROR(__xludf.DUMMYFUNCTION("GOOGLETRANSLATE(A11774, ""en"", ""mt"")"),"X'inhi l-iktar temperatura rreġistrata ta 'Jacksonville?")</f>
        <v>X'inhi l-iktar temperatura rreġistrata ta 'Jacksonville?</v>
      </c>
    </row>
    <row r="11775" ht="15.75" customHeight="1">
      <c r="A11775" s="2" t="s">
        <v>11775</v>
      </c>
      <c r="B11775" s="2" t="str">
        <f>IFERROR(__xludf.DUMMYFUNCTION("GOOGLETRANSLATE(A11775, ""en"", ""mt"")"),"Infezzjonijiet li jirrepetu ruħhom u li jheddu l-ħajja")</f>
        <v>Infezzjonijiet li jirrepetu ruħhom u li jheddu l-ħajja</v>
      </c>
    </row>
    <row r="11776" ht="15.75" customHeight="1">
      <c r="A11776" s="2" t="s">
        <v>11776</v>
      </c>
      <c r="B11776" s="2" t="str">
        <f>IFERROR(__xludf.DUMMYFUNCTION("GOOGLETRANSLATE(A11776, ""en"", ""mt"")"),"Xogħol tax-xitan,")</f>
        <v>Xogħol tax-xitan,</v>
      </c>
    </row>
    <row r="11777" ht="15.75" customHeight="1">
      <c r="A11777" s="2" t="s">
        <v>11777</v>
      </c>
      <c r="B11777" s="2" t="str">
        <f>IFERROR(__xludf.DUMMYFUNCTION("GOOGLETRANSLATE(A11777, ""en"", ""mt"")"),"X'inhu etioplast?")</f>
        <v>X'inhu etioplast?</v>
      </c>
    </row>
    <row r="11778" ht="15.75" customHeight="1">
      <c r="A11778" s="2" t="s">
        <v>11778</v>
      </c>
      <c r="B11778" s="2" t="str">
        <f>IFERROR(__xludf.DUMMYFUNCTION("GOOGLETRANSLATE(A11778, ""en"", ""mt"")"),"Liema ċelloli huma t-tieni fergħa tas-sistema immuni innata?")</f>
        <v>Liema ċelloli huma t-tieni fergħa tas-sistema immuni innata?</v>
      </c>
    </row>
    <row r="11779" ht="15.75" customHeight="1">
      <c r="A11779" s="2" t="s">
        <v>11779</v>
      </c>
      <c r="B11779" s="2" t="str">
        <f>IFERROR(__xludf.DUMMYFUNCTION("GOOGLETRANSLATE(A11779, ""en"", ""mt"")"),"Konvenzjoni Qafas tan-Nazzjonijiet Uniti dwar it-Tibdil fil-Klima")</f>
        <v>Konvenzjoni Qafas tan-Nazzjonijiet Uniti dwar it-Tibdil fil-Klima</v>
      </c>
    </row>
    <row r="11780" ht="15.75" customHeight="1">
      <c r="A11780" s="2" t="s">
        <v>11780</v>
      </c>
      <c r="B11780" s="2" t="str">
        <f>IFERROR(__xludf.DUMMYFUNCTION("GOOGLETRANSLATE(A11780, ""en"", ""mt"")"),"Kikuyu, Embu u Kamba")</f>
        <v>Kikuyu, Embu u Kamba</v>
      </c>
    </row>
    <row r="11781" ht="15.75" customHeight="1">
      <c r="A11781" s="2" t="s">
        <v>11781</v>
      </c>
      <c r="B11781" s="2" t="str">
        <f>IFERROR(__xludf.DUMMYFUNCTION("GOOGLETRANSLATE(A11781, ""en"", ""mt"")"),"Il-Lag Constance jikkonsisti fi tliet korpi ta 'l-ilma: l-Obersee (""Upper Lake""), The Untersee (""Lower Lake""), u medda ta' konnessjoni tar-Renu, imsejħa Seerhein (""Lag Rhine""). Il-lag jinsab fil-Ġermanja, l-Isvizzera u l-Awstrija ħdejn l-Alpi. Speċi"&amp;"fikament, ix-xtut tagħha jinsabu fl-istati Ġermaniżi tal-Bavarja u Baden-Württemberg, l-istat Awstrijak ta 'Vorarlberg, u l-kantuni Żvizzeri ta' Thurgau u San Gallen. Ir-Rhine jiċċirkola fiha min-nofsinhar wara l-fruntiera Żvizzera-Awstrijana. Jinsab madw"&amp;"ar 47 ° 39′N 9 ° 19′E / 47.650 ° N 9.317 ° E / 47.650; 9.317.")</f>
        <v>Il-Lag Constance jikkonsisti fi tliet korpi ta 'l-ilma: l-Obersee ("Upper Lake"), The Untersee ("Lower Lake"), u medda ta' konnessjoni tar-Renu, imsejħa Seerhein ("Lag Rhine"). Il-lag jinsab fil-Ġermanja, l-Isvizzera u l-Awstrija ħdejn l-Alpi. Speċifikament, ix-xtut tagħha jinsabu fl-istati Ġermaniżi tal-Bavarja u Baden-Württemberg, l-istat Awstrijak ta 'Vorarlberg, u l-kantuni Żvizzeri ta' Thurgau u San Gallen. Ir-Rhine jiċċirkola fiha min-nofsinhar wara l-fruntiera Żvizzera-Awstrijana. Jinsab madwar 47 ° 39′N 9 ° 19′E / 47.650 ° N 9.317 ° E / 47.650; 9.317.</v>
      </c>
    </row>
    <row r="11782" ht="15.75" customHeight="1">
      <c r="A11782" s="2" t="s">
        <v>11782</v>
      </c>
      <c r="B11782" s="2" t="str">
        <f>IFERROR(__xludf.DUMMYFUNCTION("GOOGLETRANSLATE(A11782, ""en"", ""mt"")"),"Peabody Museum of Arkeology and Ethnology")</f>
        <v>Peabody Museum of Arkeology and Ethnology</v>
      </c>
    </row>
    <row r="11783" ht="15.75" customHeight="1">
      <c r="A11783" s="2" t="s">
        <v>11783</v>
      </c>
      <c r="B11783" s="2" t="str">
        <f>IFERROR(__xludf.DUMMYFUNCTION("GOOGLETRANSLATE(A11783, ""en"", ""mt"")"),"Liema struttura tal-kloroplast hija simili għall-membrana tal-mitokondrija ta 'ġewwa?")</f>
        <v>Liema struttura tal-kloroplast hija simili għall-membrana tal-mitokondrija ta 'ġewwa?</v>
      </c>
    </row>
    <row r="11784" ht="15.75" customHeight="1">
      <c r="A11784" s="2" t="s">
        <v>11784</v>
      </c>
      <c r="B11784" s="2" t="str">
        <f>IFERROR(__xludf.DUMMYFUNCTION("GOOGLETRANSLATE(A11784, ""en"", ""mt"")"),"ħames siġġijiet")</f>
        <v>ħames siġġijiet</v>
      </c>
    </row>
    <row r="11785" ht="15.75" customHeight="1">
      <c r="A11785" s="2" t="s">
        <v>11785</v>
      </c>
      <c r="B11785" s="2" t="str">
        <f>IFERROR(__xludf.DUMMYFUNCTION("GOOGLETRANSLATE(A11785, ""en"", ""mt"")"),"T. T. Tsui Gallerija tal-Art Ċiniża")</f>
        <v>T. T. Tsui Gallerija tal-Art Ċiniża</v>
      </c>
    </row>
    <row r="11786" ht="15.75" customHeight="1">
      <c r="A11786" s="2" t="s">
        <v>11786</v>
      </c>
      <c r="B11786" s="2" t="str">
        <f>IFERROR(__xludf.DUMMYFUNCTION("GOOGLETRANSLATE(A11786, ""en"", ""mt"")"),"25 ta 'Mejju 1521")</f>
        <v>25 ta 'Mejju 1521</v>
      </c>
    </row>
    <row r="11787" ht="15.75" customHeight="1">
      <c r="A11787" s="2" t="s">
        <v>11787</v>
      </c>
      <c r="B11787" s="2" t="str">
        <f>IFERROR(__xludf.DUMMYFUNCTION("GOOGLETRANSLATE(A11787, ""en"", ""mt"")"),"Il-kapitolu soċjali huwa kapitolu ta 'liema trattat?")</f>
        <v>Il-kapitolu soċjali huwa kapitolu ta 'liema trattat?</v>
      </c>
    </row>
    <row r="11788" ht="15.75" customHeight="1">
      <c r="A11788" s="2" t="s">
        <v>11788</v>
      </c>
      <c r="B11788" s="2" t="str">
        <f>IFERROR(__xludf.DUMMYFUNCTION("GOOGLETRANSLATE(A11788, ""en"", ""mt"")"),"1754-1763")</f>
        <v>1754-1763</v>
      </c>
    </row>
    <row r="11789" ht="15.75" customHeight="1">
      <c r="A11789" s="2" t="s">
        <v>11789</v>
      </c>
      <c r="B11789" s="2" t="str">
        <f>IFERROR(__xludf.DUMMYFUNCTION("GOOGLETRANSLATE(A11789, ""en"", ""mt"")"),"Is-Sindku ta ’Varsavja jissejjaħ President. Ġeneralment, fil-Polonja, is-sindki ta 'bliet ikbar huma msejħa presidenti - i.e. bliet bħal dawn, li għandhom aktar minn 100,000 persuna jew dawn, fejn diġà kien president qabel l-1990. L-ewwel president ta' Va"&amp;"rsavja kien Jan Andrzej Menich (1695-1696). Bejn l-1975 u l-1990 il-presidenti ta 'Varsavja kienu fl-istess ħin il-Voivode ta' Varsavja. Mill-1990 il-President ta ’Varsavja kien ġie elett mill-Kunsill tal-Belt. Fis-snin tal-1994–1999 is-sindku tad-distret"&amp;"t taċ-ċentru awtomatikament ġie nominat bħala l-President ta 'Varsavja: is-Sindku ta' Centrum ġie elett mill-Kunsill Distrettwali taċ-Ċentru u l-Kunsill ġie elett biss mir-residenti taċ-Ċentru. Mill-2002 il-President ta ’Varsavja huwa elett miċ-ċittadini "&amp;"kollha ta’ Varsavja.")</f>
        <v>Is-Sindku ta ’Varsavja jissejjaħ President. Ġeneralment, fil-Polonja, is-sindki ta 'bliet ikbar huma msejħa presidenti - i.e. bliet bħal dawn, li għandhom aktar minn 100,000 persuna jew dawn, fejn diġà kien president qabel l-1990. L-ewwel president ta' Varsavja kien Jan Andrzej Menich (1695-1696). Bejn l-1975 u l-1990 il-presidenti ta 'Varsavja kienu fl-istess ħin il-Voivode ta' Varsavja. Mill-1990 il-President ta ’Varsavja kien ġie elett mill-Kunsill tal-Belt. Fis-snin tal-1994–1999 is-sindku tad-distrett taċ-ċentru awtomatikament ġie nominat bħala l-President ta 'Varsavja: is-Sindku ta' Centrum ġie elett mill-Kunsill Distrettwali taċ-Ċentru u l-Kunsill ġie elett biss mir-residenti taċ-Ċentru. Mill-2002 il-President ta ’Varsavja huwa elett miċ-ċittadini kollha ta’ Varsavja.</v>
      </c>
    </row>
    <row r="11790" ht="15.75" customHeight="1">
      <c r="A11790" s="2" t="s">
        <v>11790</v>
      </c>
      <c r="B11790" s="2" t="str">
        <f>IFERROR(__xludf.DUMMYFUNCTION("GOOGLETRANSLATE(A11790, ""en"", ""mt"")"),"nies Ċiniżi mhux nattivi")</f>
        <v>nies Ċiniżi mhux nattivi</v>
      </c>
    </row>
    <row r="11791" ht="15.75" customHeight="1">
      <c r="A11791" s="2" t="s">
        <v>11791</v>
      </c>
      <c r="B11791" s="2" t="str">
        <f>IFERROR(__xludf.DUMMYFUNCTION("GOOGLETRANSLATE(A11791, ""en"", ""mt"")"),"Liema korp ta 'ilma poġġa fil-punent tal-imperu Mongoljan meta miet Genghis Khan?")</f>
        <v>Liema korp ta 'ilma poġġa fil-punent tal-imperu Mongoljan meta miet Genghis Khan?</v>
      </c>
    </row>
    <row r="11792" ht="15.75" customHeight="1">
      <c r="A11792" s="2" t="s">
        <v>11792</v>
      </c>
      <c r="B11792" s="2" t="str">
        <f>IFERROR(__xludf.DUMMYFUNCTION("GOOGLETRANSLATE(A11792, ""en"", ""mt"")"),"teħid tal-ħġieġ")</f>
        <v>teħid tal-ħġieġ</v>
      </c>
    </row>
    <row r="11793" ht="15.75" customHeight="1">
      <c r="A11793" s="2" t="s">
        <v>11793</v>
      </c>
      <c r="B11793" s="2" t="str">
        <f>IFERROR(__xludf.DUMMYFUNCTION("GOOGLETRANSLATE(A11793, ""en"", ""mt"")"),"Hi tagħti diskors li jħawwad")</f>
        <v>Hi tagħti diskors li jħawwad</v>
      </c>
    </row>
    <row r="11794" ht="15.75" customHeight="1">
      <c r="A11794" s="2" t="s">
        <v>11794</v>
      </c>
      <c r="B11794" s="2" t="str">
        <f>IFERROR(__xludf.DUMMYFUNCTION("GOOGLETRANSLATE(A11794, ""en"", ""mt"")"),"Il-minorenni se jdawwru aktar jgħajjat")</f>
        <v>Il-minorenni se jdawwru aktar jgħajjat</v>
      </c>
    </row>
    <row r="11795" ht="15.75" customHeight="1">
      <c r="A11795" s="2" t="s">
        <v>11795</v>
      </c>
      <c r="B11795" s="2" t="str">
        <f>IFERROR(__xludf.DUMMYFUNCTION("GOOGLETRANSLATE(A11795, ""en"", ""mt"")"),"Fil-Knisja tal-Kastell")</f>
        <v>Fil-Knisja tal-Kastell</v>
      </c>
    </row>
    <row r="11796" ht="15.75" customHeight="1">
      <c r="A11796" s="2" t="s">
        <v>11796</v>
      </c>
      <c r="B11796" s="2" t="str">
        <f>IFERROR(__xludf.DUMMYFUNCTION("GOOGLETRANSLATE(A11796, ""en"", ""mt"")"),"naqqset il-popolazzjoni ta 'Sivilja bin-nofs")</f>
        <v>naqqset il-popolazzjoni ta 'Sivilja bin-nofs</v>
      </c>
    </row>
    <row r="11797" ht="15.75" customHeight="1">
      <c r="A11797" s="2" t="s">
        <v>11797</v>
      </c>
      <c r="B11797" s="2" t="str">
        <f>IFERROR(__xludf.DUMMYFUNCTION("GOOGLETRANSLATE(A11797, ""en"", ""mt"")"),"il-loġġa ewlenija")</f>
        <v>il-loġġa ewlenija</v>
      </c>
    </row>
    <row r="11798" ht="15.75" customHeight="1">
      <c r="A11798" s="2" t="s">
        <v>11798</v>
      </c>
      <c r="B11798" s="2" t="str">
        <f>IFERROR(__xludf.DUMMYFUNCTION("GOOGLETRANSLATE(A11798, ""en"", ""mt"")"),"Il-kloroplasti waħedhom jagħmlu kważi l-aċidi amminiċi taċ-ċellula tal-pjanti fl-istoma tagħhom ħlief dawk li fihom il-kubrit bħal ċisteina u metjonina. Cysteine ​​huwa magħmul fil-kloroplast (il-proplastid ukoll) iżda huwa sintetizzat ukoll fiċ-ċitosol u"&amp;" l-mitokondrija, probabbilment minħabba li għandu problemi biex jaqsam il-membrani biex jasal fejn hemm bżonn. Il-kloroplast huwa magħruf li jagħmel il-prekursuri għall-metjonina iżda mhux ċar jekk l-organella twettaqx l-aħħar sieq tal-passaġġ jew jekk ji"&amp;"ġri fiċ-ċitosol.")</f>
        <v>Il-kloroplasti waħedhom jagħmlu kważi l-aċidi amminiċi taċ-ċellula tal-pjanti fl-istoma tagħhom ħlief dawk li fihom il-kubrit bħal ċisteina u metjonina. Cysteine ​​huwa magħmul fil-kloroplast (il-proplastid ukoll) iżda huwa sintetizzat ukoll fiċ-ċitosol u l-mitokondrija, probabbilment minħabba li għandu problemi biex jaqsam il-membrani biex jasal fejn hemm bżonn. Il-kloroplast huwa magħruf li jagħmel il-prekursuri għall-metjonina iżda mhux ċar jekk l-organella twettaqx l-aħħar sieq tal-passaġġ jew jekk jiġri fiċ-ċitosol.</v>
      </c>
    </row>
    <row r="11799" ht="15.75" customHeight="1">
      <c r="A11799" s="2" t="s">
        <v>11799</v>
      </c>
      <c r="B11799" s="2" t="str">
        <f>IFERROR(__xludf.DUMMYFUNCTION("GOOGLETRANSLATE(A11799, ""en"", ""mt"")"),"sfurzar")</f>
        <v>sfurzar</v>
      </c>
    </row>
    <row r="11800" ht="15.75" customHeight="1">
      <c r="A11800" s="2" t="s">
        <v>11800</v>
      </c>
      <c r="B11800" s="2" t="str">
        <f>IFERROR(__xludf.DUMMYFUNCTION("GOOGLETRANSLATE(A11800, ""en"", ""mt"")"),"Koppla trasparenti magħmula minn ċili twil u immobbli")</f>
        <v>Koppla trasparenti magħmula minn ċili twil u immobbli</v>
      </c>
    </row>
    <row r="11801" ht="15.75" customHeight="1">
      <c r="A11801" s="2" t="s">
        <v>11801</v>
      </c>
      <c r="B11801" s="2" t="str">
        <f>IFERROR(__xludf.DUMMYFUNCTION("GOOGLETRANSLATE(A11801, ""en"", ""mt"")"),"Kemm irċeviet Tesla mill-bejgħ ta 'Wardenclyffe?")</f>
        <v>Kemm irċeviet Tesla mill-bejgħ ta 'Wardenclyffe?</v>
      </c>
    </row>
    <row r="11802" ht="15.75" customHeight="1">
      <c r="A11802" s="2" t="s">
        <v>11802</v>
      </c>
      <c r="B11802" s="2" t="str">
        <f>IFERROR(__xludf.DUMMYFUNCTION("GOOGLETRANSLATE(A11802, ""en"", ""mt"")"),"Xi jfisser kittieb għall-grupp ta 'kriżi internazzjonali li l-kunċett ta' l-Islam politiku huwa ħolqien ta '?")</f>
        <v>Xi jfisser kittieb għall-grupp ta 'kriżi internazzjonali li l-kunċett ta' l-Islam politiku huwa ħolqien ta '?</v>
      </c>
    </row>
    <row r="11803" ht="15.75" customHeight="1">
      <c r="A11803" s="2" t="s">
        <v>11803</v>
      </c>
      <c r="B11803" s="2" t="str">
        <f>IFERROR(__xludf.DUMMYFUNCTION("GOOGLETRANSLATE(A11803, ""en"", ""mt"")"),"Riżultati tal-mudell")</f>
        <v>Riżultati tal-mudell</v>
      </c>
    </row>
    <row r="11804" ht="15.75" customHeight="1">
      <c r="A11804" s="2" t="s">
        <v>11804</v>
      </c>
      <c r="B11804" s="2" t="str">
        <f>IFERROR(__xludf.DUMMYFUNCTION("GOOGLETRANSLATE(A11804, ""en"", ""mt"")"),"Movimenti Iżlamisti bħall-Fratellanza Musulmana, ""huma magħrufa sew għall-għoti ta 'kenn, assistenza edukattiva, kliniċi mediċi b'xejn jew bi prezz baxx, assistenza ta' akkomodazzjoni lil studenti minn barra mill-belt, gruppi konsultattivi ta 'studenti, "&amp;"faċilitazzjoni ta' ċerimonji rħas taż-żwieġ tal-massa biex tevita dota li tiswa ħafna flus Talbiet, assistenza legali, faċilitajiet sportivi, u gruppi tan-nisa. "" Dan kollu jikkompara b'mod favorevoli ma 'gvernijiet inkompetenti, ineffiċjenti, jew negliċ"&amp;"i li l-impenn tagħhom għall-ġustizzja soċjali huwa limitat għar-retorika.")</f>
        <v>Movimenti Iżlamisti bħall-Fratellanza Musulmana, "huma magħrufa sew għall-għoti ta 'kenn, assistenza edukattiva, kliniċi mediċi b'xejn jew bi prezz baxx, assistenza ta' akkomodazzjoni lil studenti minn barra mill-belt, gruppi konsultattivi ta 'studenti, faċilitazzjoni ta' ċerimonji rħas taż-żwieġ tal-massa biex tevita dota li tiswa ħafna flus Talbiet, assistenza legali, faċilitajiet sportivi, u gruppi tan-nisa. " Dan kollu jikkompara b'mod favorevoli ma 'gvernijiet inkompetenti, ineffiċjenti, jew negliċi li l-impenn tagħhom għall-ġustizzja soċjali huwa limitat għar-retorika.</v>
      </c>
    </row>
    <row r="11805" ht="15.75" customHeight="1">
      <c r="A11805" s="2" t="s">
        <v>11805</v>
      </c>
      <c r="B11805" s="2" t="str">
        <f>IFERROR(__xludf.DUMMYFUNCTION("GOOGLETRANSLATE(A11805, ""en"", ""mt"")"),"Wesleyan Qdusija Konsorzju")</f>
        <v>Wesleyan Qdusija Konsorzju</v>
      </c>
    </row>
    <row r="11806" ht="15.75" customHeight="1">
      <c r="A11806" s="2" t="s">
        <v>11806</v>
      </c>
      <c r="B11806" s="2" t="str">
        <f>IFERROR(__xludf.DUMMYFUNCTION("GOOGLETRANSLATE(A11806, ""en"", ""mt"")"),"Liema qrati għandhom id-dmir li jinterpretaw il-liġi domestika kemm jista 'jkun?")</f>
        <v>Liema qrati għandhom id-dmir li jinterpretaw il-liġi domestika kemm jista 'jkun?</v>
      </c>
    </row>
    <row r="11807" ht="15.75" customHeight="1">
      <c r="A11807" s="2" t="s">
        <v>11807</v>
      </c>
      <c r="B11807" s="2" t="str">
        <f>IFERROR(__xludf.DUMMYFUNCTION("GOOGLETRANSLATE(A11807, ""en"", ""mt"")"),"X'inhu l-arranġament ta 'bilqiegħda tal-kamra tad-dibattitu?")</f>
        <v>X'inhu l-arranġament ta 'bilqiegħda tal-kamra tad-dibattitu?</v>
      </c>
    </row>
    <row r="11808" ht="15.75" customHeight="1">
      <c r="A11808" s="2" t="s">
        <v>11808</v>
      </c>
      <c r="B11808" s="2" t="str">
        <f>IFERROR(__xludf.DUMMYFUNCTION("GOOGLETRANSLATE(A11808, ""en"", ""mt"")"),"Xellug Graz")</f>
        <v>Xellug Graz</v>
      </c>
    </row>
    <row r="11809" ht="15.75" customHeight="1">
      <c r="A11809" s="2" t="s">
        <v>11809</v>
      </c>
      <c r="B11809" s="2" t="str">
        <f>IFERROR(__xludf.DUMMYFUNCTION("GOOGLETRANSLATE(A11809, ""en"", ""mt"")"),"Min ġġieled l-Olandiż fir-rewwixta Olandiża?")</f>
        <v>Min ġġieled l-Olandiż fir-rewwixta Olandiża?</v>
      </c>
    </row>
    <row r="11810" ht="15.75" customHeight="1">
      <c r="A11810" s="2" t="s">
        <v>11810</v>
      </c>
      <c r="B11810" s="2" t="str">
        <f>IFERROR(__xludf.DUMMYFUNCTION("GOOGLETRANSLATE(A11810, ""en"", ""mt"")"),"Céloron hedded ""Brittaniku qadim""")</f>
        <v>Céloron hedded "Brittaniku qadim"</v>
      </c>
    </row>
    <row r="11811" ht="15.75" customHeight="1">
      <c r="A11811" s="2" t="s">
        <v>11811</v>
      </c>
      <c r="B11811" s="2" t="str">
        <f>IFERROR(__xludf.DUMMYFUNCTION("GOOGLETRANSLATE(A11811, ""en"", ""mt"")"),"Jaqbad tliet negozjanti u joqtol 14-il persuna tan-Nazzjon Miami")</f>
        <v>Jaqbad tliet negozjanti u joqtol 14-il persuna tan-Nazzjon Miami</v>
      </c>
    </row>
    <row r="11812" ht="15.75" customHeight="1">
      <c r="A11812" s="2" t="s">
        <v>11812</v>
      </c>
      <c r="B11812" s="2" t="str">
        <f>IFERROR(__xludf.DUMMYFUNCTION("GOOGLETRANSLATE(A11812, ""en"", ""mt"")"),"East End")</f>
        <v>East End</v>
      </c>
    </row>
    <row r="11813" ht="15.75" customHeight="1">
      <c r="A11813" s="2" t="s">
        <v>11813</v>
      </c>
      <c r="B11813" s="2" t="str">
        <f>IFERROR(__xludf.DUMMYFUNCTION("GOOGLETRANSLATE(A11813, ""en"", ""mt"")"),"Kif tawh it-tuturi ta 'Luther biex jittestjaw dak li tgħallem?")</f>
        <v>Kif tawh it-tuturi ta 'Luther biex jittestjaw dak li tgħallem?</v>
      </c>
    </row>
    <row r="11814" ht="15.75" customHeight="1">
      <c r="A11814" s="2" t="s">
        <v>11814</v>
      </c>
      <c r="B11814" s="2" t="str">
        <f>IFERROR(__xludf.DUMMYFUNCTION("GOOGLETRANSLATE(A11814, ""en"", ""mt"")"),"Minbarra l-klorofili, grupp ieħor ta 'pigmenti sofor-oranġjo msejħa karotenojdi jinstabu wkoll fil-fotosistemi. Hemm madwar tletin karotenojdi fotosintetiċi. Huma jgħinu biex jittrasferixxu u jinħela l-enerġija żejda, u l-kuluri brillanti tagħhom kultant "&amp;"jwarrbu l-aħdar tal-klorofilla, bħal matul il-waqgħa, meta l-weraq ta 'xi pjanti tal-art jibdlu l-kulur. β-karotene huwa karotenojd aħmar-oranġjo aħmar jgħajjat ​​fi kważi l-kloroplasti kollha, bħall-klorofilla a. Xanthophylls, speċjalment iż-zeaxanthin o"&amp;"ranġjo-aħmar, huma wkoll komuni. Ħafna forom oħra ta 'karotenojdi jeżistu li jinstabu biss f'ċerti gruppi ta' kloroplasti.")</f>
        <v>Minbarra l-klorofili, grupp ieħor ta 'pigmenti sofor-oranġjo msejħa karotenojdi jinstabu wkoll fil-fotosistemi. Hemm madwar tletin karotenojdi fotosintetiċi. Huma jgħinu biex jittrasferixxu u jinħela l-enerġija żejda, u l-kuluri brillanti tagħhom kultant jwarrbu l-aħdar tal-klorofilla, bħal matul il-waqgħa, meta l-weraq ta 'xi pjanti tal-art jibdlu l-kulur. β-karotene huwa karotenojd aħmar-oranġjo aħmar jgħajjat ​​fi kważi l-kloroplasti kollha, bħall-klorofilla a. Xanthophylls, speċjalment iż-zeaxanthin oranġjo-aħmar, huma wkoll komuni. Ħafna forom oħra ta 'karotenojdi jeżistu li jinstabu biss f'ċerti gruppi ta' kloroplasti.</v>
      </c>
    </row>
    <row r="11815" ht="15.75" customHeight="1">
      <c r="A11815" s="2" t="s">
        <v>11815</v>
      </c>
      <c r="B11815" s="2" t="str">
        <f>IFERROR(__xludf.DUMMYFUNCTION("GOOGLETRANSLATE(A11815, ""en"", ""mt"")"),"X'kien il-gvernijiet tar-Renju Unit jibbenefikaw l-iċċekkjar tal-agenchy fl-2012?")</f>
        <v>X'kien il-gvernijiet tar-Renju Unit jibbenefikaw l-iċċekkjar tal-agenchy fl-2012?</v>
      </c>
    </row>
    <row r="11816" ht="15.75" customHeight="1">
      <c r="A11816" s="2" t="s">
        <v>11816</v>
      </c>
      <c r="B11816" s="2" t="str">
        <f>IFERROR(__xludf.DUMMYFUNCTION("GOOGLETRANSLATE(A11816, ""en"", ""mt"")"),"Ġappuniż")</f>
        <v>Ġappuniż</v>
      </c>
    </row>
    <row r="11817" ht="15.75" customHeight="1">
      <c r="A11817" s="2" t="s">
        <v>11817</v>
      </c>
      <c r="B11817" s="2" t="str">
        <f>IFERROR(__xludf.DUMMYFUNCTION("GOOGLETRANSLATE(A11817, ""en"", ""mt"")"),"abbuż ta 'pożizzjoni dominanti")</f>
        <v>abbuż ta 'pożizzjoni dominanti</v>
      </c>
    </row>
    <row r="11818" ht="15.75" customHeight="1">
      <c r="A11818" s="2" t="s">
        <v>11818</v>
      </c>
      <c r="B11818" s="2" t="str">
        <f>IFERROR(__xludf.DUMMYFUNCTION("GOOGLETRANSLATE(A11818, ""en"", ""mt"")"),"X’sejjaħ Michael Mullet id-diskors ta ’Luther?")</f>
        <v>X’sejjaħ Michael Mullet id-diskors ta ’Luther?</v>
      </c>
    </row>
    <row r="11819" ht="15.75" customHeight="1">
      <c r="A11819" s="2" t="s">
        <v>11819</v>
      </c>
      <c r="B11819" s="2" t="str">
        <f>IFERROR(__xludf.DUMMYFUNCTION("GOOGLETRANSLATE(A11819, ""en"", ""mt"")"),"Aktar Qawwa")</f>
        <v>Aktar Qawwa</v>
      </c>
    </row>
    <row r="11820" ht="15.75" customHeight="1">
      <c r="A11820" s="2" t="s">
        <v>11820</v>
      </c>
      <c r="B11820" s="2" t="str">
        <f>IFERROR(__xludf.DUMMYFUNCTION("GOOGLETRANSLATE(A11820, ""en"", ""mt"")"),"7 ta 'Frar, 2016")</f>
        <v>7 ta 'Frar, 2016</v>
      </c>
    </row>
    <row r="11821" ht="15.75" customHeight="1">
      <c r="A11821" s="2" t="s">
        <v>11821</v>
      </c>
      <c r="B11821" s="2" t="str">
        <f>IFERROR(__xludf.DUMMYFUNCTION("GOOGLETRANSLATE(A11821, ""en"", ""mt"")"),"Eqred l-Antichrist")</f>
        <v>Eqred l-Antichrist</v>
      </c>
    </row>
    <row r="11822" ht="15.75" customHeight="1">
      <c r="A11822" s="2" t="s">
        <v>11822</v>
      </c>
      <c r="B11822" s="2" t="str">
        <f>IFERROR(__xludf.DUMMYFUNCTION("GOOGLETRANSLATE(A11822, ""en"", ""mt"")"),"Żewġ timijiet ta 'riċerka Ġappuniżi")</f>
        <v>Żewġ timijiet ta 'riċerka Ġappuniżi</v>
      </c>
    </row>
    <row r="11823" ht="15.75" customHeight="1">
      <c r="A11823" s="2" t="s">
        <v>11823</v>
      </c>
      <c r="B11823" s="2" t="str">
        <f>IFERROR(__xludf.DUMMYFUNCTION("GOOGLETRANSLATE(A11823, ""en"", ""mt"")"),"Ein neues gideb waj heben an")</f>
        <v>Ein neues gideb waj heben an</v>
      </c>
    </row>
    <row r="11824" ht="15.75" customHeight="1">
      <c r="A11824" s="2" t="s">
        <v>11824</v>
      </c>
      <c r="B11824" s="2" t="str">
        <f>IFERROR(__xludf.DUMMYFUNCTION("GOOGLETRANSLATE(A11824, ""en"", ""mt"")"),"Ħajt ta ’Hadrian")</f>
        <v>Ħajt ta ’Hadrian</v>
      </c>
    </row>
    <row r="11825" ht="15.75" customHeight="1">
      <c r="A11825" s="2" t="s">
        <v>11825</v>
      </c>
      <c r="B11825" s="2" t="str">
        <f>IFERROR(__xludf.DUMMYFUNCTION("GOOGLETRANSLATE(A11825, ""en"", ""mt"")"),"Matul is-sekli 16 u 17")</f>
        <v>Matul is-sekli 16 u 17</v>
      </c>
    </row>
    <row r="11826" ht="15.75" customHeight="1">
      <c r="A11826" s="2" t="s">
        <v>11826</v>
      </c>
      <c r="B11826" s="2" t="str">
        <f>IFERROR(__xludf.DUMMYFUNCTION("GOOGLETRANSLATE(A11826, ""en"", ""mt"")"),".6 miljun sena")</f>
        <v>.6 miljun sena</v>
      </c>
    </row>
    <row r="11827" ht="15.75" customHeight="1">
      <c r="A11827" s="2" t="s">
        <v>11827</v>
      </c>
      <c r="B11827" s="2" t="str">
        <f>IFERROR(__xludf.DUMMYFUNCTION("GOOGLETRANSLATE(A11827, ""en"", ""mt"")"),"Tkeċċija tal-Akkadjani")</f>
        <v>Tkeċċija tal-Akkadjani</v>
      </c>
    </row>
    <row r="11828" ht="15.75" customHeight="1">
      <c r="A11828" s="2" t="s">
        <v>11828</v>
      </c>
      <c r="B11828" s="2" t="str">
        <f>IFERROR(__xludf.DUMMYFUNCTION("GOOGLETRANSLATE(A11828, ""en"", ""mt"")"),"Kemm kellha total ta 'indirizzi ta' Charles Johnson fis-Super Bowl 50?")</f>
        <v>Kemm kellha total ta 'indirizzi ta' Charles Johnson fis-Super Bowl 50?</v>
      </c>
    </row>
    <row r="11829" ht="15.75" customHeight="1">
      <c r="A11829" s="2" t="s">
        <v>11829</v>
      </c>
      <c r="B11829" s="2" t="str">
        <f>IFERROR(__xludf.DUMMYFUNCTION("GOOGLETRANSLATE(A11829, ""en"", ""mt"")"),"Kemm jista 'malajr algoritmu jsolvi problema ta' ħabta kompluta NP?")</f>
        <v>Kemm jista 'malajr algoritmu jsolvi problema ta' ħabta kompluta NP?</v>
      </c>
    </row>
    <row r="11830" ht="15.75" customHeight="1">
      <c r="A11830" s="2" t="s">
        <v>11830</v>
      </c>
      <c r="B11830" s="2" t="str">
        <f>IFERROR(__xludf.DUMMYFUNCTION("GOOGLETRANSLATE(A11830, ""en"", ""mt"")"),"Jackpot tal-Lega tad-Deheb IAAF")</f>
        <v>Jackpot tal-Lega tad-Deheb IAAF</v>
      </c>
    </row>
    <row r="11831" ht="15.75" customHeight="1">
      <c r="A11831" s="2" t="s">
        <v>11831</v>
      </c>
      <c r="B11831" s="2" t="str">
        <f>IFERROR(__xludf.DUMMYFUNCTION("GOOGLETRANSLATE(A11831, ""en"", ""mt"")"),"Kemm kien twil kull episodju ta 'Doctor Who?")</f>
        <v>Kemm kien twil kull episodju ta 'Doctor Who?</v>
      </c>
    </row>
    <row r="11832" ht="15.75" customHeight="1">
      <c r="A11832" s="2" t="s">
        <v>11832</v>
      </c>
      <c r="B11832" s="2" t="str">
        <f>IFERROR(__xludf.DUMMYFUNCTION("GOOGLETRANSLATE(A11832, ""en"", ""mt"")"),"X’qassar ix-Xmara Rhine?")</f>
        <v>X’qassar ix-Xmara Rhine?</v>
      </c>
    </row>
    <row r="11833" ht="15.75" customHeight="1">
      <c r="A11833" s="2" t="s">
        <v>11833</v>
      </c>
      <c r="B11833" s="2" t="str">
        <f>IFERROR(__xludf.DUMMYFUNCTION("GOOGLETRANSLATE(A11833, ""en"", ""mt"")"),"Min jiddomina d-dinja ta 'ġiri fuq distanza twila?")</f>
        <v>Min jiddomina d-dinja ta 'ġiri fuq distanza twila?</v>
      </c>
    </row>
    <row r="11834" ht="15.75" customHeight="1">
      <c r="A11834" s="2" t="s">
        <v>11834</v>
      </c>
      <c r="B11834" s="2" t="str">
        <f>IFERROR(__xludf.DUMMYFUNCTION("GOOGLETRANSLATE(A11834, ""en"", ""mt"")"),"Is-Sindku l-Qadim")</f>
        <v>Is-Sindku l-Qadim</v>
      </c>
    </row>
    <row r="11835" ht="15.75" customHeight="1">
      <c r="A11835" s="2" t="s">
        <v>11835</v>
      </c>
      <c r="B11835" s="2" t="str">
        <f>IFERROR(__xludf.DUMMYFUNCTION("GOOGLETRANSLATE(A11835, ""en"", ""mt"")"),"Kif ħadu l-informazzjoni ta 'Celeron fil-Logstown?")</f>
        <v>Kif ħadu l-informazzjoni ta 'Celeron fil-Logstown?</v>
      </c>
    </row>
    <row r="11836" ht="15.75" customHeight="1">
      <c r="A11836" s="2" t="s">
        <v>11836</v>
      </c>
      <c r="B11836" s="2" t="str">
        <f>IFERROR(__xludf.DUMMYFUNCTION("GOOGLETRANSLATE(A11836, ""en"", ""mt"")"),"Ħaddem pompi tal-protoni u agħmel fosforilazzjoni ossidattiva")</f>
        <v>Ħaddem pompi tal-protoni u agħmel fosforilazzjoni ossidattiva</v>
      </c>
    </row>
    <row r="11837" ht="15.75" customHeight="1">
      <c r="A11837" s="2" t="s">
        <v>11837</v>
      </c>
      <c r="B11837" s="2" t="str">
        <f>IFERROR(__xludf.DUMMYFUNCTION("GOOGLETRANSLATE(A11837, ""en"", ""mt"")"),"Iż-żona tal-belt ta 'Grainger")</f>
        <v>Iż-żona tal-belt ta 'Grainger</v>
      </c>
    </row>
    <row r="11838" ht="15.75" customHeight="1">
      <c r="A11838" s="2" t="s">
        <v>11838</v>
      </c>
      <c r="B11838" s="2" t="str">
        <f>IFERROR(__xludf.DUMMYFUNCTION("GOOGLETRANSLATE(A11838, ""en"", ""mt"")"),"X'inhuma l-ikbar piżijiet?")</f>
        <v>X'inhuma l-ikbar piżijiet?</v>
      </c>
    </row>
    <row r="11839" ht="15.75" customHeight="1">
      <c r="A11839" s="2" t="s">
        <v>11839</v>
      </c>
      <c r="B11839" s="2" t="str">
        <f>IFERROR(__xludf.DUMMYFUNCTION("GOOGLETRANSLATE(A11839, ""en"", ""mt"")"),"Fejn Franza rebħet gwerra fil-ħamsinijiet")</f>
        <v>Fejn Franza rebħet gwerra fil-ħamsinijiet</v>
      </c>
    </row>
    <row r="11840" ht="15.75" customHeight="1">
      <c r="A11840" s="2" t="s">
        <v>11840</v>
      </c>
      <c r="B11840" s="2" t="str">
        <f>IFERROR(__xludf.DUMMYFUNCTION("GOOGLETRANSLATE(A11840, ""en"", ""mt"")"),"Differenzi Nazzjonalisti")</f>
        <v>Differenzi Nazzjonalisti</v>
      </c>
    </row>
    <row r="11841" ht="15.75" customHeight="1">
      <c r="A11841" s="2" t="s">
        <v>11841</v>
      </c>
      <c r="B11841" s="2" t="str">
        <f>IFERROR(__xludf.DUMMYFUNCTION("GOOGLETRANSLATE(A11841, ""en"", ""mt"")"),"L-Oloken")</f>
        <v>L-Oloken</v>
      </c>
    </row>
    <row r="11842" ht="15.75" customHeight="1">
      <c r="A11842" s="2" t="s">
        <v>11842</v>
      </c>
      <c r="B11842" s="2" t="str">
        <f>IFERROR(__xludf.DUMMYFUNCTION("GOOGLETRANSLATE(A11842, ""en"", ""mt"")"),"Xi tinħeba notazzjoni kbira?")</f>
        <v>Xi tinħeba notazzjoni kbira?</v>
      </c>
    </row>
    <row r="11843" ht="15.75" customHeight="1">
      <c r="A11843" s="2" t="s">
        <v>11843</v>
      </c>
      <c r="B11843" s="2" t="str">
        <f>IFERROR(__xludf.DUMMYFUNCTION("GOOGLETRANSLATE(A11843, ""en"", ""mt"")"),"Matul id-Dinastija tal-Kanzunetta tan-Nofsinhar id-dixxendent ta ’Confucius fi Qufu, id-Duka Yansheng Kong Duanyou ħarab lejn in-nofsinhar mal-kanzunetta Imperatur għal Quzhou, filwaqt li d-Dynasty Jin li għadu kif twaqqaf (1115-1234) fit-tramuntana ħatar"&amp;" it-tramuntana ta’ Kong Duanyou, ħu Duanyou Duancao li baqa ’fi Qufu bħala Duke Yansheng. Minn dak iż-żmien sad-dinastija Yuan, kien hemm żewġ Duka Yanshengs, darba fit-tramuntana ta ’Qufu u l-ieħor fin-nofsinhar ta’ Quzhou. Matul id-dinastija Yuan, l-Imp"&amp;"eratur Kublai Khan stieden lid-duka tan-Nofsinhar Yansheng Kong Zhu biex jirritorna lejn Qufu. Kong Zhu rrifjuta, u ċeda t-titlu, u għalhekk il-fergħa tat-tramuntana tal-familja żammet it-titlu ta ’Duke Yansheng. Il-fergħa tan-Nofsinhar xorta baqgħet fi Q"&amp;"uzhou fejn għexu sal-lum. Id-dixxendenti ta ’Confucius fi Quzhou waħdu n-numru 30,000. Matul id-dinastija Yuan, wieħed mid-dixxendenti ta ’Confucius mar miċ-Ċina għall-era ta’ Goryeo u stabbilixxa fergħa tal-familja hemmhekk wara li żżewweġ mara Koreana.")</f>
        <v>Matul id-Dinastija tal-Kanzunetta tan-Nofsinhar id-dixxendent ta ’Confucius fi Qufu, id-Duka Yansheng Kong Duanyou ħarab lejn in-nofsinhar mal-kanzunetta Imperatur għal Quzhou, filwaqt li d-Dynasty Jin li għadu kif twaqqaf (1115-1234) fit-tramuntana ħatar it-tramuntana ta’ Kong Duanyou, ħu Duanyou Duancao li baqa ’fi Qufu bħala Duke Yansheng. Minn dak iż-żmien sad-dinastija Yuan, kien hemm żewġ Duka Yanshengs, darba fit-tramuntana ta ’Qufu u l-ieħor fin-nofsinhar ta’ Quzhou. Matul id-dinastija Yuan, l-Imperatur Kublai Khan stieden lid-duka tan-Nofsinhar Yansheng Kong Zhu biex jirritorna lejn Qufu. Kong Zhu rrifjuta, u ċeda t-titlu, u għalhekk il-fergħa tat-tramuntana tal-familja żammet it-titlu ta ’Duke Yansheng. Il-fergħa tan-Nofsinhar xorta baqgħet fi Quzhou fejn għexu sal-lum. Id-dixxendenti ta ’Confucius fi Quzhou waħdu n-numru 30,000. Matul id-dinastija Yuan, wieħed mid-dixxendenti ta ’Confucius mar miċ-Ċina għall-era ta’ Goryeo u stabbilixxa fergħa tal-familja hemmhekk wara li żżewweġ mara Koreana.</v>
      </c>
    </row>
    <row r="11844" ht="15.75" customHeight="1">
      <c r="A11844" s="2" t="s">
        <v>11844</v>
      </c>
      <c r="B11844" s="2" t="str">
        <f>IFERROR(__xludf.DUMMYFUNCTION("GOOGLETRANSLATE(A11844, ""en"", ""mt"")"),"Proteolisi")</f>
        <v>Proteolisi</v>
      </c>
    </row>
    <row r="11845" ht="15.75" customHeight="1">
      <c r="A11845" s="2" t="s">
        <v>11845</v>
      </c>
      <c r="B11845" s="2" t="str">
        <f>IFERROR(__xludf.DUMMYFUNCTION("GOOGLETRANSLATE(A11845, ""en"", ""mt"")"),"Liema bliet oħra tal-Ewropa tat-Tramuntana kellhom kongregazzjonijiet Huguenot?")</f>
        <v>Liema bliet oħra tal-Ewropa tat-Tramuntana kellhom kongregazzjonijiet Huguenot?</v>
      </c>
    </row>
    <row r="11846" ht="15.75" customHeight="1">
      <c r="A11846" s="2" t="s">
        <v>11846</v>
      </c>
      <c r="B11846" s="2" t="str">
        <f>IFERROR(__xludf.DUMMYFUNCTION("GOOGLETRANSLATE(A11846, ""en"", ""mt"")"),"Ċilindru li joxxilla")</f>
        <v>Ċilindru li joxxilla</v>
      </c>
    </row>
    <row r="11847" ht="15.75" customHeight="1">
      <c r="A11847" s="2" t="s">
        <v>11847</v>
      </c>
      <c r="B11847" s="2" t="str">
        <f>IFERROR(__xludf.DUMMYFUNCTION("GOOGLETRANSLATE(A11847, ""en"", ""mt"")"),"żbaljat")</f>
        <v>żbaljat</v>
      </c>
    </row>
    <row r="11848" ht="15.75" customHeight="1">
      <c r="A11848" s="2" t="s">
        <v>11848</v>
      </c>
      <c r="B11848" s="2" t="str">
        <f>IFERROR(__xludf.DUMMYFUNCTION("GOOGLETRANSLATE(A11848, ""en"", ""mt"")"),"Il-liberalizzazzjoni tal-kummerċ tista 'tbiddel l-inugwaljanza ekonomika minn skala globali għal domestika. Meta pajjiżi sinjuri jinnegozjaw ma 'pajjiżi foqra, il-ħaddiema b'ħiliet baxxi fil-pajjiżi sinjuri jistgħu jaraw pagi mnaqqsa bħala riżultat tal-ko"&amp;"mpetizzjoni, filwaqt li ħaddiema b'ħiliet baxxi fil-pajjiżi foqra jistgħu jaraw żieda fil-pagi. L-ekonomista tal-kummerċ Paul Krugman jistma li l-liberalizzazzjoni tal-kummerċ kellha effett li jista 'jitkejjel fuq l-inugwaljanza dejjem tikber fl-Istati Un"&amp;"iti. Huwa jattribwixxi din ix-xejra għal żieda fil-kummerċ ma 'pajjiżi foqra u l-frammentazzjoni tal-mezzi ta' produzzjoni, li tirriżulta f'impjiegi b'ħiliet baxxi jsiru aktar kummerċjabbli. Madankollu, huwa jammetti li l-effett tal-kummerċ fuq l-inugwalj"&amp;"anza fl-Amerika huwa minuri meta mqabbel ma 'kawżi oħra, bħal innovazzjoni teknoloġika, fehma maqsuma minn esperti oħra. L-ekonomisti empiriċi Max Roser u Jesus Crespo-Cuaresma jsibu appoġġ fid-dejta li l-kummerċ internazzjonali qed iżid l-inugwaljanza fi"&amp;"d-dħul. Huma jikkonfermaw b'mod empiriku l-previżjonijiet tat-teorema ta 'Stolper - Samuelson rigward l-effetti tal-kummerċ internazzjonali fuq id-distribuzzjoni tad-dħul. Lawrence Katz jistma li l-kummerċ kien jirrappreżenta biss 5-15% tal-inugwaljanza t"&amp;"ad-dħul dejjem tiżdied. Robert Lawrence jargumenta li l-innovazzjoni u l-awtomazzjoni teknoloġika fissru li impjiegi b'ħiliet baxxi ġew sostitwiti minn xogħol tal-magni f'pajjiżi sinjuri, u li pajjiżi aktar sinjuri m'għadx għandhom numru sinifikanti ta 'ħ"&amp;"addiema tal-manifattura b'ħiliet baxxi li jistgħu jiġu affettwati mill-kompetizzjoni minn pajjiżi foqra.")</f>
        <v>Il-liberalizzazzjoni tal-kummerċ tista 'tbiddel l-inugwaljanza ekonomika minn skala globali għal domestika. Meta pajjiżi sinjuri jinnegozjaw ma 'pajjiżi foqra, il-ħaddiema b'ħiliet baxxi fil-pajjiżi sinjuri jistgħu jaraw pagi mnaqqsa bħala riżultat tal-kompetizzjoni, filwaqt li ħaddiema b'ħiliet baxxi fil-pajjiżi foqra jistgħu jaraw żieda fil-pagi. L-ekonomista tal-kummerċ Paul Krugman jistma li l-liberalizzazzjoni tal-kummerċ kellha effett li jista 'jitkejjel fuq l-inugwaljanza dejjem tikber fl-Istati Uniti. Huwa jattribwixxi din ix-xejra għal żieda fil-kummerċ ma 'pajjiżi foqra u l-frammentazzjoni tal-mezzi ta' produzzjoni, li tirriżulta f'impjiegi b'ħiliet baxxi jsiru aktar kummerċjabbli. Madankollu, huwa jammetti li l-effett tal-kummerċ fuq l-inugwaljanza fl-Amerika huwa minuri meta mqabbel ma 'kawżi oħra, bħal innovazzjoni teknoloġika, fehma maqsuma minn esperti oħra. L-ekonomisti empiriċi Max Roser u Jesus Crespo-Cuaresma jsibu appoġġ fid-dejta li l-kummerċ internazzjonali qed iżid l-inugwaljanza fid-dħul. Huma jikkonfermaw b'mod empiriku l-previżjonijiet tat-teorema ta 'Stolper - Samuelson rigward l-effetti tal-kummerċ internazzjonali fuq id-distribuzzjoni tad-dħul. Lawrence Katz jistma li l-kummerċ kien jirrappreżenta biss 5-15% tal-inugwaljanza tad-dħul dejjem tiżdied. Robert Lawrence jargumenta li l-innovazzjoni u l-awtomazzjoni teknoloġika fissru li impjiegi b'ħiliet baxxi ġew sostitwiti minn xogħol tal-magni f'pajjiżi sinjuri, u li pajjiżi aktar sinjuri m'għadx għandhom numru sinifikanti ta 'ħaddiema tal-manifattura b'ħiliet baxxi li jistgħu jiġu affettwati mill-kompetizzjoni minn pajjiżi foqra.</v>
      </c>
    </row>
    <row r="11849" ht="15.75" customHeight="1">
      <c r="A11849" s="2" t="s">
        <v>11849</v>
      </c>
      <c r="B11849" s="2" t="str">
        <f>IFERROR(__xludf.DUMMYFUNCTION("GOOGLETRANSLATE(A11849, ""en"", ""mt"")"),"Fl-2014, l-ekonomisti bl-aġenzija ta 'klassifikazzjoni Standard &amp; Poor ikkonkludew li d-disparità li twessa' bejn iċ-ċittadini l-aktar sinjuri ta 'l-Istati Uniti u l-bqija tan-nazzjon naqqsu l-irkupru tagħha mir-riċessjoni 2008-2009 u għamluha aktar suxxe"&amp;"ttibbli għal boom-and-bust ċikli. Biex tirrimedja parzjalment id-distakk tal-ġid u t-tkabbir bil-mod li jirriżulta, S&amp;P irrakkomanda li jiżdied l-aċċess għall-edukazzjoni. Huwa stma li jekk il-ħaddiem medju tal-Istati Uniti jkun temm sena oħra ta 'skola, "&amp;"iżid tkabbir ta' $ 105 biljun addizzjonali għall-ekonomija tal-pajjiż fuq ħames snin.")</f>
        <v>Fl-2014, l-ekonomisti bl-aġenzija ta 'klassifikazzjoni Standard &amp; Poor ikkonkludew li d-disparità li twessa' bejn iċ-ċittadini l-aktar sinjuri ta 'l-Istati Uniti u l-bqija tan-nazzjon naqqsu l-irkupru tagħha mir-riċessjoni 2008-2009 u għamluha aktar suxxettibbli għal boom-and-bust ċikli. Biex tirrimedja parzjalment id-distakk tal-ġid u t-tkabbir bil-mod li jirriżulta, S&amp;P irrakkomanda li jiżdied l-aċċess għall-edukazzjoni. Huwa stma li jekk il-ħaddiem medju tal-Istati Uniti jkun temm sena oħra ta 'skola, iżid tkabbir ta' $ 105 biljun addizzjonali għall-ekonomija tal-pajjiż fuq ħames snin.</v>
      </c>
    </row>
    <row r="11850" ht="15.75" customHeight="1">
      <c r="A11850" s="2" t="s">
        <v>11850</v>
      </c>
      <c r="B11850" s="2" t="str">
        <f>IFERROR(__xludf.DUMMYFUNCTION("GOOGLETRANSLATE(A11850, ""en"", ""mt"")"),"X'jiġib iċ-ring z fil-post it-tajjeb?")</f>
        <v>X'jiġib iċ-ring z fil-post it-tajjeb?</v>
      </c>
    </row>
    <row r="11851" ht="15.75" customHeight="1">
      <c r="A11851" s="2" t="s">
        <v>11851</v>
      </c>
      <c r="B11851" s="2" t="str">
        <f>IFERROR(__xludf.DUMMYFUNCTION("GOOGLETRANSLATE(A11851, ""en"", ""mt"")"),"Il-missjoni G kienet miksuba fuq Apollo 11 f'Lulju 1969 minn ekwipaġġ veteran All-Gemini li jikkonsisti minn Neil Armstrong, Michael Collins u Buzz Aldrin. Armstrong u Aldrin wettqu l-ewwel inżul fil-Baħar ta 'Salvalità fl-20: 17: 40 UTC fl-20 ta' Lulju, "&amp;"1969. Huma qattgħu total ta '21 siegħa, 36 minuta fuq il-wiċċ, u qattgħu sagħtejn, 31 minuta barra l-vettura spazjali, Mixi fuq il-wiċċ, tieħu ritratti, tiġbor kampjuni ta 'materjal, u tuża strumenti xjentifiċi awtomatizzati, filwaqt li tibgħat kontinwame"&amp;"nt it-televiżjoni sewda u bajda lura lejn id-Dinja. L-astronawti rritornaw mingħajr periklu fl-24 ta 'Lulju.")</f>
        <v>Il-missjoni G kienet miksuba fuq Apollo 11 f'Lulju 1969 minn ekwipaġġ veteran All-Gemini li jikkonsisti minn Neil Armstrong, Michael Collins u Buzz Aldrin. Armstrong u Aldrin wettqu l-ewwel inżul fil-Baħar ta 'Salvalità fl-20: 17: 40 UTC fl-20 ta' Lulju, 1969. Huma qattgħu total ta '21 siegħa, 36 minuta fuq il-wiċċ, u qattgħu sagħtejn, 31 minuta barra l-vettura spazjali, Mixi fuq il-wiċċ, tieħu ritratti, tiġbor kampjuni ta 'materjal, u tuża strumenti xjentifiċi awtomatizzati, filwaqt li tibgħat kontinwament it-televiżjoni sewda u bajda lura lejn id-Dinja. L-astronawti rritornaw mingħajr periklu fl-24 ta 'Lulju.</v>
      </c>
    </row>
    <row r="11852" ht="15.75" customHeight="1">
      <c r="A11852" s="2" t="s">
        <v>11852</v>
      </c>
      <c r="B11852" s="2" t="str">
        <f>IFERROR(__xludf.DUMMYFUNCTION("GOOGLETRANSLATE(A11852, ""en"", ""mt"")"),"Mark I Tip 40 TARDIS")</f>
        <v>Mark I Tip 40 TARDIS</v>
      </c>
    </row>
    <row r="11853" ht="15.75" customHeight="1">
      <c r="A11853" s="2" t="s">
        <v>11853</v>
      </c>
      <c r="B11853" s="2" t="str">
        <f>IFERROR(__xludf.DUMMYFUNCTION("GOOGLETRANSLATE(A11853, ""en"", ""mt"")"),"pigmenti aċċessorji")</f>
        <v>pigmenti aċċessorji</v>
      </c>
    </row>
    <row r="11854" ht="15.75" customHeight="1">
      <c r="A11854" s="2" t="s">
        <v>11854</v>
      </c>
      <c r="B11854" s="2" t="str">
        <f>IFERROR(__xludf.DUMMYFUNCTION("GOOGLETRANSLATE(A11854, ""en"", ""mt"")"),"Fl-1 ta 'Mejju, 1953, l-istazzjonijiet ewlenin ta' ABC ta 'New York City - WJZ, WJZ-FM u WJZ-TV - biddlu l-linji rispettivi tagħhom għal WABC, WABC-FM u WABC-TV, u mxew l-operazzjonijiet tagħhom għal faċilitajiet fis-7 West 66th Street, Blokk wieħed 'il b"&amp;"ogħod mill-Park Ċentrali. L-ittri ta 'telefonati tal-WABC kienu użati qabel mill-istazzjon ewlieni tar-radju CBS (issa WCBS (AM)) sal-1946. Is-sejħiet WJZ aktar tard jiġu assenjati lill-affiljat ta' dak iż-żmien ABC f'Baltimore fl-1959, f'nod storiku għal"&amp;"l-fatt li WJZ kien oriġinarjament stabbilit mis-sid tal-Istazzjon ta 'Baltimore dak iż-żmien, Westinghouse.")</f>
        <v>Fl-1 ta 'Mejju, 1953, l-istazzjonijiet ewlenin ta' ABC ta 'New York City - WJZ, WJZ-FM u WJZ-TV - biddlu l-linji rispettivi tagħhom għal WABC, WABC-FM u WABC-TV, u mxew l-operazzjonijiet tagħhom għal faċilitajiet fis-7 West 66th Street, Blokk wieħed 'il bogħod mill-Park Ċentrali. L-ittri ta 'telefonati tal-WABC kienu użati qabel mill-istazzjon ewlieni tar-radju CBS (issa WCBS (AM)) sal-1946. Is-sejħiet WJZ aktar tard jiġu assenjati lill-affiljat ta' dak iż-żmien ABC f'Baltimore fl-1959, f'nod storiku għall-fatt li WJZ kien oriġinarjament stabbilit mis-sid tal-Istazzjon ta 'Baltimore dak iż-żmien, Westinghouse.</v>
      </c>
    </row>
    <row r="11855" ht="15.75" customHeight="1">
      <c r="A11855" s="2" t="s">
        <v>11855</v>
      </c>
      <c r="B11855" s="2" t="str">
        <f>IFERROR(__xludf.DUMMYFUNCTION("GOOGLETRANSLATE(A11855, ""en"", ""mt"")"),"L-għajbien ta 'Luther")</f>
        <v>L-għajbien ta 'Luther</v>
      </c>
    </row>
    <row r="11856" ht="15.75" customHeight="1">
      <c r="A11856" s="2" t="s">
        <v>11856</v>
      </c>
      <c r="B11856" s="2" t="str">
        <f>IFERROR(__xludf.DUMMYFUNCTION("GOOGLETRANSLATE(A11856, ""en"", ""mt"")"),"Imperu Mongol")</f>
        <v>Imperu Mongol</v>
      </c>
    </row>
    <row r="11857" ht="15.75" customHeight="1">
      <c r="A11857" s="2" t="s">
        <v>11857</v>
      </c>
      <c r="B11857" s="2" t="str">
        <f>IFERROR(__xludf.DUMMYFUNCTION("GOOGLETRANSLATE(A11857, ""en"", ""mt"")"),"tul kollu tal-lag")</f>
        <v>tul kollu tal-lag</v>
      </c>
    </row>
    <row r="11858" ht="15.75" customHeight="1">
      <c r="A11858" s="2" t="s">
        <v>11858</v>
      </c>
      <c r="B11858" s="2" t="str">
        <f>IFERROR(__xludf.DUMMYFUNCTION("GOOGLETRANSLATE(A11858, ""en"", ""mt"")"),"Minħabba li l-liġi Olandiża qalet li nies biss stabbiliti fl-Olanda jistgħu jagħtu pariri legali")</f>
        <v>Minħabba li l-liġi Olandiża qalet li nies biss stabbiliti fl-Olanda jistgħu jagħtu pariri legali</v>
      </c>
    </row>
    <row r="11859" ht="15.75" customHeight="1">
      <c r="A11859" s="2" t="s">
        <v>11859</v>
      </c>
      <c r="B11859" s="2" t="str">
        <f>IFERROR(__xludf.DUMMYFUNCTION("GOOGLETRANSLATE(A11859, ""en"", ""mt"")"),"Riċerka mill-ekonomista ta 'Harvard Robert Barro, sabet li hemm ""ftit relazzjoni ġenerali bejn l-inugwaljanza tad-dħul u r-rati ta' tkabbir u investiment"". Skond ix-xogħol minn Barro fl-1999 u l-2000, livelli għoljin ta 'inugwaljanza jnaqqsu t-tkabbir f"&amp;"'pajjiżi relattivament foqra iżda jinkoraġġixxu t-tkabbir f'pajjiżi aktar sinjuri. Studju tal-kontej Żvediżi bejn l-1960 u l-2000 sab impatt pożittiv ta 'inugwaljanza fuq it-tkabbir b'ħinijiet ta' ċomb ta 'ħames snin jew inqas, iżda l-ebda korrelazzjoni w"&amp;"ara għaxar snin. Studji ta 'settijiet ta' dejta akbar ma sabu l-ebda korrelazzjoni għal kwalunkwe ħin ta 'ċomb fiss, u impatt negattiv fuq it-tul tat-tkabbir.")</f>
        <v>Riċerka mill-ekonomista ta 'Harvard Robert Barro, sabet li hemm "ftit relazzjoni ġenerali bejn l-inugwaljanza tad-dħul u r-rati ta' tkabbir u investiment". Skond ix-xogħol minn Barro fl-1999 u l-2000, livelli għoljin ta 'inugwaljanza jnaqqsu t-tkabbir f'pajjiżi relattivament foqra iżda jinkoraġġixxu t-tkabbir f'pajjiżi aktar sinjuri. Studju tal-kontej Żvediżi bejn l-1960 u l-2000 sab impatt pożittiv ta 'inugwaljanza fuq it-tkabbir b'ħinijiet ta' ċomb ta 'ħames snin jew inqas, iżda l-ebda korrelazzjoni wara għaxar snin. Studji ta 'settijiet ta' dejta akbar ma sabu l-ebda korrelazzjoni għal kwalunkwe ħin ta 'ċomb fiss, u impatt negattiv fuq it-tul tat-tkabbir.</v>
      </c>
    </row>
    <row r="11860" ht="15.75" customHeight="1">
      <c r="A11860" s="2" t="s">
        <v>11860</v>
      </c>
      <c r="B11860" s="2" t="str">
        <f>IFERROR(__xludf.DUMMYFUNCTION("GOOGLETRANSLATE(A11860, ""en"", ""mt"")"),"Liema rewwixta bdiet fl-1351?")</f>
        <v>Liema rewwixta bdiet fl-1351?</v>
      </c>
    </row>
    <row r="11861" ht="15.75" customHeight="1">
      <c r="A11861" s="2" t="s">
        <v>11861</v>
      </c>
      <c r="B11861" s="2" t="str">
        <f>IFERROR(__xludf.DUMMYFUNCTION("GOOGLETRANSLATE(A11861, ""en"", ""mt"")"),"X'inhi l-medja tal-pjanti tal-bijosmass?")</f>
        <v>X'inhi l-medja tal-pjanti tal-bijosmass?</v>
      </c>
    </row>
    <row r="11862" ht="15.75" customHeight="1">
      <c r="A11862" s="2" t="s">
        <v>11862</v>
      </c>
      <c r="B11862" s="2" t="str">
        <f>IFERROR(__xludf.DUMMYFUNCTION("GOOGLETRANSLATE(A11862, ""en"", ""mt"")"),"X'tip ta 'studji esploraw il-motivazzjoni tal-istudenti?")</f>
        <v>X'tip ta 'studji esploraw il-motivazzjoni tal-istudenti?</v>
      </c>
    </row>
    <row r="11863" ht="15.75" customHeight="1">
      <c r="A11863" s="2" t="s">
        <v>11863</v>
      </c>
      <c r="B11863" s="2" t="str">
        <f>IFERROR(__xludf.DUMMYFUNCTION("GOOGLETRANSLATE(A11863, ""en"", ""mt"")"),"Landgrave ta 'Hesse")</f>
        <v>Landgrave ta 'Hesse</v>
      </c>
    </row>
    <row r="11864" ht="15.75" customHeight="1">
      <c r="A11864" s="2" t="s">
        <v>11864</v>
      </c>
      <c r="B11864" s="2" t="str">
        <f>IFERROR(__xludf.DUMMYFUNCTION("GOOGLETRANSLATE(A11864, ""en"", ""mt"")"),"Ipproteġi l-art tar-re fil-wied ta 'Ohio mill-Ingliżi")</f>
        <v>Ipproteġi l-art tar-re fil-wied ta 'Ohio mill-Ingliżi</v>
      </c>
    </row>
    <row r="11865" ht="15.75" customHeight="1">
      <c r="A11865" s="2" t="s">
        <v>11865</v>
      </c>
      <c r="B11865" s="2" t="str">
        <f>IFERROR(__xludf.DUMMYFUNCTION("GOOGLETRANSLATE(A11865, ""en"", ""mt"")"),"HT kif tistinka biex tiġbor il-poter?")</f>
        <v>HT kif tistinka biex tiġbor il-poter?</v>
      </c>
    </row>
    <row r="11866" ht="15.75" customHeight="1">
      <c r="A11866" s="2" t="s">
        <v>11866</v>
      </c>
      <c r="B11866" s="2" t="str">
        <f>IFERROR(__xludf.DUMMYFUNCTION("GOOGLETRANSLATE(A11866, ""en"", ""mt"")"),"Klassi I MHC")</f>
        <v>Klassi I MHC</v>
      </c>
    </row>
    <row r="11867" ht="15.75" customHeight="1">
      <c r="A11867" s="2" t="s">
        <v>11867</v>
      </c>
      <c r="B11867" s="2" t="str">
        <f>IFERROR(__xludf.DUMMYFUNCTION("GOOGLETRANSLATE(A11867, ""en"", ""mt"")"),"X'tip ta 'ċelloli T għandhom l-iskop li jimmodulaw ir-rispons immuni?")</f>
        <v>X'tip ta 'ċelloli T għandhom l-iskop li jimmodulaw ir-rispons immuni?</v>
      </c>
    </row>
    <row r="11868" ht="15.75" customHeight="1">
      <c r="A11868" s="2" t="s">
        <v>11868</v>
      </c>
      <c r="B11868" s="2" t="str">
        <f>IFERROR(__xludf.DUMMYFUNCTION("GOOGLETRANSLATE(A11868, ""en"", ""mt"")"),"L-abolizzjoni tal-kalifat Ottoman huwa maħsub li ntemm liema sistema?")</f>
        <v>L-abolizzjoni tal-kalifat Ottoman huwa maħsub li ntemm liema sistema?</v>
      </c>
    </row>
    <row r="11869" ht="15.75" customHeight="1">
      <c r="A11869" s="2" t="s">
        <v>11869</v>
      </c>
      <c r="B11869" s="2" t="str">
        <f>IFERROR(__xludf.DUMMYFUNCTION("GOOGLETRANSLATE(A11869, ""en"", ""mt"")"),"Il-blat miġbura mill-qamar huma estremament qodma meta mqabbla mal-blat misjuba fid-dinja, imkejla minn tekniki ta 'dating radjometriċi. Huma jvarjaw fl-età minn madwar 3.2 biljun sena għall-kampjuni bażaltiċi derivati ​​mill-Lunar Maria, għal madwar 4.6 "&amp;"biljun sena għal kampjuni derivati ​​mill-qoxra tal-Highlands. Bħala tali, huma jirrappreżentaw kampjuni minn perjodu bikri ħafna fl-iżvilupp tas-sistema solari, li huma fil-biċċa l-kbira assenti fid-dinja. Rock importanti misjub waqt il-programm Apollo h"&amp;"uwa msejjaħ il-Genesis Rock, miksub mill-astronawti David Scott u James Irwin waqt il-missjoni Apollo 15. Dan il-blat anorthosite huwa magħmul kważi esklussivament mill-anorthite minerali feldspar b'ħafna kalċju, u huwa maħsub li huwa rappreżentattiv tal-"&amp;"qoxra tal-art għolja. Ġiet skoperta komponent ġeokimiku msejjaħ Kreep, li m'għandu l-ebda kontroparti terrestri magħruf. Kreep u l-kampjuni anortositiċi ntużaw biex jiddeduċu li l-porzjon ta 'barra tal-qamar darba kien imdewweb kompletament (ara Lunar Mag"&amp;"ma Ocean).")</f>
        <v>Il-blat miġbura mill-qamar huma estremament qodma meta mqabbla mal-blat misjuba fid-dinja, imkejla minn tekniki ta 'dating radjometriċi. Huma jvarjaw fl-età minn madwar 3.2 biljun sena għall-kampjuni bażaltiċi derivati ​​mill-Lunar Maria, għal madwar 4.6 biljun sena għal kampjuni derivati ​​mill-qoxra tal-Highlands. Bħala tali, huma jirrappreżentaw kampjuni minn perjodu bikri ħafna fl-iżvilupp tas-sistema solari, li huma fil-biċċa l-kbira assenti fid-dinja. Rock importanti misjub waqt il-programm Apollo huwa msejjaħ il-Genesis Rock, miksub mill-astronawti David Scott u James Irwin waqt il-missjoni Apollo 15. Dan il-blat anorthosite huwa magħmul kważi esklussivament mill-anorthite minerali feldspar b'ħafna kalċju, u huwa maħsub li huwa rappreżentattiv tal-qoxra tal-art għolja. Ġiet skoperta komponent ġeokimiku msejjaħ Kreep, li m'għandu l-ebda kontroparti terrestri magħruf. Kreep u l-kampjuni anortositiċi ntużaw biex jiddeduċu li l-porzjon ta 'barra tal-qamar darba kien imdewweb kompletament (ara Lunar Magma Ocean).</v>
      </c>
    </row>
    <row r="11870" ht="15.75" customHeight="1">
      <c r="A11870" s="2" t="s">
        <v>11870</v>
      </c>
      <c r="B11870" s="2" t="str">
        <f>IFERROR(__xludf.DUMMYFUNCTION("GOOGLETRANSLATE(A11870, ""en"", ""mt"")"),"X'inhuma l-ortografija Ingliża alternattiva ta 'Genghis?")</f>
        <v>X'inhuma l-ortografija Ingliża alternattiva ta 'Genghis?</v>
      </c>
    </row>
    <row r="11871" ht="15.75" customHeight="1">
      <c r="A11871" s="2" t="s">
        <v>11871</v>
      </c>
      <c r="B11871" s="2" t="str">
        <f>IFERROR(__xludf.DUMMYFUNCTION("GOOGLETRANSLATE(A11871, ""en"", ""mt"")"),"Kloroplasti")</f>
        <v>Kloroplasti</v>
      </c>
    </row>
    <row r="11872" ht="15.75" customHeight="1">
      <c r="A11872" s="2" t="s">
        <v>11872</v>
      </c>
      <c r="B11872" s="2" t="str">
        <f>IFERROR(__xludf.DUMMYFUNCTION("GOOGLETRANSLATE(A11872, ""en"", ""mt"")"),"Meta t-Tabib Min jgħaddi għal korp ġdid?")</f>
        <v>Meta t-Tabib Min jgħaddi għal korp ġdid?</v>
      </c>
    </row>
    <row r="11873" ht="15.75" customHeight="1">
      <c r="A11873" s="2" t="s">
        <v>11873</v>
      </c>
      <c r="B11873" s="2" t="str">
        <f>IFERROR(__xludf.DUMMYFUNCTION("GOOGLETRANSLATE(A11873, ""en"", ""mt"")"),"Aqla 'daqs żagħżugħ b'saħħtu")</f>
        <v>Aqla 'daqs żagħżugħ b'saħħtu</v>
      </c>
    </row>
    <row r="11874" ht="15.75" customHeight="1">
      <c r="A11874" s="2" t="s">
        <v>11874</v>
      </c>
      <c r="B11874" s="2" t="str">
        <f>IFERROR(__xludf.DUMMYFUNCTION("GOOGLETRANSLATE(A11874, ""en"", ""mt"")"),"L-Università tat-Teknoloġija ta 'Varsavja")</f>
        <v>L-Università tat-Teknoloġija ta 'Varsavja</v>
      </c>
    </row>
    <row r="11875" ht="15.75" customHeight="1">
      <c r="A11875" s="2" t="s">
        <v>11875</v>
      </c>
      <c r="B11875" s="2" t="str">
        <f>IFERROR(__xludf.DUMMYFUNCTION("GOOGLETRANSLATE(A11875, ""en"", ""mt"")"),"Fil-Pleistocene bikri, liema direzzjoni ħarġet ir-Rhine?")</f>
        <v>Fil-Pleistocene bikri, liema direzzjoni ħarġet ir-Rhine?</v>
      </c>
    </row>
    <row r="11876" ht="15.75" customHeight="1">
      <c r="A11876" s="2" t="s">
        <v>11876</v>
      </c>
      <c r="B11876" s="2" t="str">
        <f>IFERROR(__xludf.DUMMYFUNCTION("GOOGLETRANSLATE(A11876, ""en"", ""mt"")"),"RST")</f>
        <v>RST</v>
      </c>
    </row>
    <row r="11877" ht="15.75" customHeight="1">
      <c r="A11877" s="2" t="s">
        <v>11877</v>
      </c>
      <c r="B11877" s="2" t="str">
        <f>IFERROR(__xludf.DUMMYFUNCTION("GOOGLETRANSLATE(A11877, ""en"", ""mt"")"),"kommutatur")</f>
        <v>kommutatur</v>
      </c>
    </row>
    <row r="11878" ht="15.75" customHeight="1">
      <c r="A11878" s="2" t="s">
        <v>11878</v>
      </c>
      <c r="B11878" s="2" t="str">
        <f>IFERROR(__xludf.DUMMYFUNCTION("GOOGLETRANSLATE(A11878, ""en"", ""mt"")"),"biex ifakkar lit-tabib tad- ""dmir morali"" tiegħu")</f>
        <v>biex ifakkar lit-tabib tad- "dmir morali" tiegħu</v>
      </c>
    </row>
    <row r="11879" ht="15.75" customHeight="1">
      <c r="A11879" s="2" t="s">
        <v>11879</v>
      </c>
      <c r="B11879" s="2" t="str">
        <f>IFERROR(__xludf.DUMMYFUNCTION("GOOGLETRANSLATE(A11879, ""en"", ""mt"")"),"Għin lill-priża mikroskopika diretta lejn il-ħalq")</f>
        <v>Għin lill-priża mikroskopika diretta lejn il-ħalq</v>
      </c>
    </row>
    <row r="11880" ht="15.75" customHeight="1">
      <c r="A11880" s="2" t="s">
        <v>11880</v>
      </c>
      <c r="B11880" s="2" t="str">
        <f>IFERROR(__xludf.DUMMYFUNCTION("GOOGLETRANSLATE(A11880, ""en"", ""mt"")"),"ħuħ maħluq jew ħuh tad-demm")</f>
        <v>ħuħ maħluq jew ħuh tad-demm</v>
      </c>
    </row>
    <row r="11881" ht="15.75" customHeight="1">
      <c r="A11881" s="2" t="s">
        <v>11881</v>
      </c>
      <c r="B11881" s="2" t="str">
        <f>IFERROR(__xludf.DUMMYFUNCTION("GOOGLETRANSLATE(A11881, ""en"", ""mt"")"),"Magna Probabilistika tat-Turing")</f>
        <v>Magna Probabilistika tat-Turing</v>
      </c>
    </row>
    <row r="11882" ht="15.75" customHeight="1">
      <c r="A11882" s="2" t="s">
        <v>11882</v>
      </c>
      <c r="B11882" s="2" t="str">
        <f>IFERROR(__xludf.DUMMYFUNCTION("GOOGLETRANSLATE(A11882, ""en"", ""mt"")"),"X'inhu t-terminu għal skola privata Indjana?")</f>
        <v>X'inhu t-terminu għal skola privata Indjana?</v>
      </c>
    </row>
    <row r="11883" ht="15.75" customHeight="1">
      <c r="A11883" s="2" t="s">
        <v>11883</v>
      </c>
      <c r="B11883" s="2" t="str">
        <f>IFERROR(__xludf.DUMMYFUNCTION("GOOGLETRANSLATE(A11883, ""en"", ""mt"")"),"Marzu 1974.")</f>
        <v>Marzu 1974.</v>
      </c>
    </row>
    <row r="11884" ht="15.75" customHeight="1">
      <c r="A11884" s="2" t="s">
        <v>11884</v>
      </c>
      <c r="B11884" s="2" t="str">
        <f>IFERROR(__xludf.DUMMYFUNCTION("GOOGLETRANSLATE(A11884, ""en"", ""mt"")"),"X'inhu l-artiklu ċentrali tad-duttrina Nisranija?")</f>
        <v>X'inhu l-artiklu ċentrali tad-duttrina Nisranija?</v>
      </c>
    </row>
    <row r="11885" ht="15.75" customHeight="1">
      <c r="A11885" s="2" t="s">
        <v>11885</v>
      </c>
      <c r="B11885" s="2" t="str">
        <f>IFERROR(__xludf.DUMMYFUNCTION("GOOGLETRANSLATE(A11885, ""en"", ""mt"")"),"Oġġetti ta 'densità kostanti huma proporzjonali għall-volum b'liema forza għandhom jiddefinixxu piżijiet standard?.")</f>
        <v>Oġġetti ta 'densità kostanti huma proporzjonali għall-volum b'liema forza għandhom jiddefinixxu piżijiet standard?.</v>
      </c>
    </row>
    <row r="11886" ht="15.75" customHeight="1">
      <c r="A11886" s="2" t="s">
        <v>11886</v>
      </c>
      <c r="B11886" s="2" t="str">
        <f>IFERROR(__xludf.DUMMYFUNCTION("GOOGLETRANSLATE(A11886, ""en"", ""mt"")"),"Mill-2006 il-verifika tal-Garda ġiet introdotta għal parteċipanti ġodda għall-professjoni tat-tagħlim. Dawn il-proċeduri japplikaw għat-tagħlim u wkoll għal karigi mhux ta 'tagħlim u dawk li jirrifjutaw li l-ivverifikar ""ma jistgħux jinħatru jew ingaġġat"&amp;"i mill-iskola fi kwalunkwe kapaċità inkluż fir-rwol volontarju"". L-istaff eżistenti se jkun ivverifikat fuq bażi gradwali.")</f>
        <v>Mill-2006 il-verifika tal-Garda ġiet introdotta għal parteċipanti ġodda għall-professjoni tat-tagħlim. Dawn il-proċeduri japplikaw għat-tagħlim u wkoll għal karigi mhux ta 'tagħlim u dawk li jirrifjutaw li l-ivverifikar "ma jistgħux jinħatru jew ingaġġati mill-iskola fi kwalunkwe kapaċità inkluż fir-rwol volontarju". L-istaff eżistenti se jkun ivverifikat fuq bażi gradwali.</v>
      </c>
    </row>
    <row r="11887" ht="15.75" customHeight="1">
      <c r="A11887" s="2" t="s">
        <v>11887</v>
      </c>
      <c r="B11887" s="2" t="str">
        <f>IFERROR(__xludf.DUMMYFUNCTION("GOOGLETRANSLATE(A11887, ""en"", ""mt"")"),"Il-premier tar-Rabat huwa l-mexxej tal-partit politiku jew tal-koalizzjoni bl-iktar siġġijiet fl-Assemblea Leġiżlattiva. Il-premier huwa l-wiċċ pubbliku tal-gvern u, bil-kabinett, jistabbilixxi l-aġenda leġiżlattiva u politika. Il-Kabinett jikkonsisti min"&amp;"n rappreżentanti eletti għal kull Kamra tal-Parlament. Huwa responsabbli għall-immaniġġjar ta 'oqsma ta' gvern li mhumiex esklussivament il-Commonwealth, mill-Kostituzzjoni Awstraljana, bħall-edukazzjoni, is-saħħa u l-infurzar tal-liġi. Il-premier attwali"&amp;" tar-Rabat huwa Daniel Andrews.")</f>
        <v>Il-premier tar-Rabat huwa l-mexxej tal-partit politiku jew tal-koalizzjoni bl-iktar siġġijiet fl-Assemblea Leġiżlattiva. Il-premier huwa l-wiċċ pubbliku tal-gvern u, bil-kabinett, jistabbilixxi l-aġenda leġiżlattiva u politika. Il-Kabinett jikkonsisti minn rappreżentanti eletti għal kull Kamra tal-Parlament. Huwa responsabbli għall-immaniġġjar ta 'oqsma ta' gvern li mhumiex esklussivament il-Commonwealth, mill-Kostituzzjoni Awstraljana, bħall-edukazzjoni, is-saħħa u l-infurzar tal-liġi. Il-premier attwali tar-Rabat huwa Daniel Andrews.</v>
      </c>
    </row>
    <row r="11888" ht="15.75" customHeight="1">
      <c r="A11888" s="2" t="s">
        <v>11888</v>
      </c>
      <c r="B11888" s="2" t="str">
        <f>IFERROR(__xludf.DUMMYFUNCTION("GOOGLETRANSLATE(A11888, ""en"", ""mt"")"),"It-tirojde ta ’Hashimoto")</f>
        <v>It-tirojde ta ’Hashimoto</v>
      </c>
    </row>
    <row r="11889" ht="15.75" customHeight="1">
      <c r="A11889" s="2" t="s">
        <v>11889</v>
      </c>
      <c r="B11889" s="2" t="str">
        <f>IFERROR(__xludf.DUMMYFUNCTION("GOOGLETRANSLATE(A11889, ""en"", ""mt"")"),"promossi ideat u prattiki tal-Punent / barranin f'soċjetajiet Iżlamiċi")</f>
        <v>promossi ideat u prattiki tal-Punent / barranin f'soċjetajiet Iżlamiċi</v>
      </c>
    </row>
    <row r="11890" ht="15.75" customHeight="1">
      <c r="A11890" s="2" t="s">
        <v>11890</v>
      </c>
      <c r="B11890" s="2" t="str">
        <f>IFERROR(__xludf.DUMMYFUNCTION("GOOGLETRANSLATE(A11890, ""en"", ""mt"")"),"Il-kolonizzaturi kif ipproteġu l-interessi tagħhom?")</f>
        <v>Il-kolonizzaturi kif ipproteġu l-interessi tagħhom?</v>
      </c>
    </row>
    <row r="11891" ht="15.75" customHeight="1">
      <c r="A11891" s="2" t="s">
        <v>11891</v>
      </c>
      <c r="B11891" s="2" t="str">
        <f>IFERROR(__xludf.DUMMYFUNCTION("GOOGLETRANSLATE(A11891, ""en"", ""mt"")"),"Mill-129 MSPs, 73 huma eletti biex jirrappreżentaw l-ewwel kostitwenzi tal-passat u huma magħrufa bħala ""kostitwenza MSPs"". Il-votanti jagħżlu membru wieħed biex jirrappreżenta l-kostitwenza, u l-membru bil-biċċa l-kbira tal-voti jintbagħat bħala MSP ta"&amp;"l-kostitwenza. It-73 kostitwenzi tal-Parlament Skoċċiżi qasmu l-istess konfini bħall-kostitwenzi tal-Parlament tar-Renju Unit fl-Iskozja, qabel it-tnaqqis tal-2005 fl-għadd ta 'membri parlamentari Skoċċiżi, bl-eċċezzjoni ta' Orkney u Shetland li kull wieħ"&amp;"ed jirritorna l-MSP tal-kostitwenza tagħhom stess. Bħalissa, il-kostitwenza medja tal-Parlament Skoċċiża tinkludi 55,000 elettur. Minħabba d-distribuzzjoni ġeografika tal-popolazzjoni fl-Iskozja, dan jirriżulta f'kostitwenzi ta 'żona iżgħar fl-artijiet ba"&amp;"xxi ċentrali, fejn tgħix il-biċċa l-kbira tal-popolazzjoni tal-Iskozja, u żoni ta' kostitwenza ferm akbar fit-tramuntana u fil-punent tal-pajjiż, li għandhom densità baxxa tal-popolazzjoni - L-arċipelagos tal-gżira ta 'Orkney, Shetland u l-Gżejjer tal-Pun"&amp;"ent jinkludu numru ferm iżgħar ta' eletturi, minħabba l-popolazzjoni mxerrda tagħhom u d-distanza mill-Parlament Skoċċiż f'Edinburgu. Jekk MSP ta 'kostitwenza jirriżenja mill-Parlament, dan iqajjem elezzjoni każwali fil-kostitwenza tiegħu jew tagħha, fejn"&amp;" MSP ta' sostituzzjoni jintbagħat lura minn waħda mill-partijiet mis-sistema tal-pluralità.")</f>
        <v>Mill-129 MSPs, 73 huma eletti biex jirrappreżentaw l-ewwel kostitwenzi tal-passat u huma magħrufa bħala "kostitwenza MSPs". Il-votanti jagħżlu membru wieħed biex jirrappreżenta l-kostitwenza, u l-membru bil-biċċa l-kbira tal-voti jintbagħat bħala MSP tal-kostitwenza. It-73 kostitwenzi tal-Parlament Skoċċiżi qasmu l-istess konfini bħall-kostitwenzi tal-Parlament tar-Renju Unit fl-Iskozja, qabel it-tnaqqis tal-2005 fl-għadd ta 'membri parlamentari Skoċċiżi, bl-eċċezzjoni ta' Orkney u Shetland li kull wieħed jirritorna l-MSP tal-kostitwenza tagħhom stess. Bħalissa, il-kostitwenza medja tal-Parlament Skoċċiża tinkludi 55,000 elettur. Minħabba d-distribuzzjoni ġeografika tal-popolazzjoni fl-Iskozja, dan jirriżulta f'kostitwenzi ta 'żona iżgħar fl-artijiet baxxi ċentrali, fejn tgħix il-biċċa l-kbira tal-popolazzjoni tal-Iskozja, u żoni ta' kostitwenza ferm akbar fit-tramuntana u fil-punent tal-pajjiż, li għandhom densità baxxa tal-popolazzjoni - L-arċipelagos tal-gżira ta 'Orkney, Shetland u l-Gżejjer tal-Punent jinkludu numru ferm iżgħar ta' eletturi, minħabba l-popolazzjoni mxerrda tagħhom u d-distanza mill-Parlament Skoċċiż f'Edinburgu. Jekk MSP ta 'kostitwenza jirriżenja mill-Parlament, dan iqajjem elezzjoni każwali fil-kostitwenza tiegħu jew tagħha, fejn MSP ta' sostituzzjoni jintbagħat lura minn waħda mill-partijiet mis-sistema tal-pluralità.</v>
      </c>
    </row>
    <row r="11892" ht="15.75" customHeight="1">
      <c r="A11892" s="2" t="s">
        <v>11892</v>
      </c>
      <c r="B11892" s="2" t="str">
        <f>IFERROR(__xludf.DUMMYFUNCTION("GOOGLETRANSLATE(A11892, ""en"", ""mt"")"),"Minbarra l-identifikazzjoni tal-blat fil-grawnd, il-petroloġisti jidentifikaw kampjuni tal-blat fil-laboratorju. Tnejn mill-metodi primarji għall-identifikazzjoni tal-blat fil-laboratorju huma permezz ta 'mikroskopija ottika u bl-użu ta' microprobe elettr"&amp;"oniku. F'analiżi tal-mineraloġija ottika, sezzjonijiet irqaq ta 'kampjuni tal-blat huma analizzati permezz ta' mikroskopju petrografiku, fejn il-minerali jistgħu jiġu identifikati permezz tal-proprjetajiet differenti tagħhom fid-dawl polarizzat u polarizz"&amp;"at mill-pjan, inkluż il-birefringenza tagħhom, pleokroiżmu, ġemellaġġ, ġemellaġġ, u proprjetajiet ta 'interferenza ma' lenti konoskopika. Fil-mikroprobe elettroniku, postijiet individwali huma analizzati għall-kompożizzjonijiet kimiċi eżatti tagħhom u l-v"&amp;"arjazzjoni fil-kompożizzjoni fi ħdan kristalli individwali. Studji ta 'iżotopi stabbli u radjuattivi jipprovdu ħarsa lejn l-evoluzzjoni ġeokimika ta' unitajiet tal-blat.")</f>
        <v>Minbarra l-identifikazzjoni tal-blat fil-grawnd, il-petroloġisti jidentifikaw kampjuni tal-blat fil-laboratorju. Tnejn mill-metodi primarji għall-identifikazzjoni tal-blat fil-laboratorju huma permezz ta 'mikroskopija ottika u bl-użu ta' microprobe elettroniku. F'analiżi tal-mineraloġija ottika, sezzjonijiet irqaq ta 'kampjuni tal-blat huma analizzati permezz ta' mikroskopju petrografiku, fejn il-minerali jistgħu jiġu identifikati permezz tal-proprjetajiet differenti tagħhom fid-dawl polarizzat u polarizzat mill-pjan, inkluż il-birefringenza tagħhom, pleokroiżmu, ġemellaġġ, ġemellaġġ, u proprjetajiet ta 'interferenza ma' lenti konoskopika. Fil-mikroprobe elettroniku, postijiet individwali huma analizzati għall-kompożizzjonijiet kimiċi eżatti tagħhom u l-varjazzjoni fil-kompożizzjoni fi ħdan kristalli individwali. Studji ta 'iżotopi stabbli u radjuattivi jipprovdu ħarsa lejn l-evoluzzjoni ġeokimika ta' unitajiet tal-blat.</v>
      </c>
    </row>
    <row r="11893" ht="15.75" customHeight="1">
      <c r="A11893" s="2" t="s">
        <v>11893</v>
      </c>
      <c r="B11893" s="2" t="str">
        <f>IFERROR(__xludf.DUMMYFUNCTION("GOOGLETRANSLATE(A11893, ""en"", ""mt"")"),"kemm Ġermaniżi tat-Tramuntana kif ukoll tan-Nofsinhar")</f>
        <v>kemm Ġermaniżi tat-Tramuntana kif ukoll tan-Nofsinhar</v>
      </c>
    </row>
    <row r="11894" ht="15.75" customHeight="1">
      <c r="A11894" s="2" t="s">
        <v>11894</v>
      </c>
      <c r="B11894" s="2" t="str">
        <f>IFERROR(__xludf.DUMMYFUNCTION("GOOGLETRANSLATE(A11894, ""en"", ""mt"")"),"Il-Mużew tar-Rabat u Albert (ħafna drabi mqassar bħala l-V &amp; A), Londra, huwa l-akbar mużew tad-dinja tal-arti u d-disinn dekorattivi, li fih ġabra permanenti ta 'aktar minn 4.5 miljun oġġett. Din twaqqfet fl-1852 u msejħa wara r-Reġina Victoria u l-Prinċ"&amp;"ep Albert. Il-V &amp; A tinsab fid-distrett ta 'Brompton tar-Royal Borough ta' Kensington u Chelsea, f'żona li saret magħrufa bħala ""Albertopolis"" minħabba l-assoċjazzjoni tagħha mal-Prinċep Albert, il-Memorial Albert u l-istituzzjonijiet kulturali ewlenin "&amp;"li magħhom kien assoċjat. Dawn jinkludu l-Mużew tal-Istorja Naturali, il-Mużew tax-Xjenza u r-Royal Albert Hall. Il-mużew huwa korp pubbliku mhux dipartimentali sponsorjat mid-Dipartiment għall-Kultura, il-Midja u l-Isport. Bħal mużewijiet nazzjonali oħra"&amp;" Ingliżi, id-dħul għall-mużew ilu bla ħlas mill-2001.")</f>
        <v>Il-Mużew tar-Rabat u Albert (ħafna drabi mqassar bħala l-V &amp; A), Londra, huwa l-akbar mużew tad-dinja tal-arti u d-disinn dekorattivi, li fih ġabra permanenti ta 'aktar minn 4.5 miljun oġġett. Din twaqqfet fl-1852 u msejħa wara r-Reġina Victoria u l-Prinċep Albert. Il-V &amp; A tinsab fid-distrett ta 'Brompton tar-Royal Borough ta' Kensington u Chelsea, f'żona li saret magħrufa bħala "Albertopolis" minħabba l-assoċjazzjoni tagħha mal-Prinċep Albert, il-Memorial Albert u l-istituzzjonijiet kulturali ewlenin li magħhom kien assoċjat. Dawn jinkludu l-Mużew tal-Istorja Naturali, il-Mużew tax-Xjenza u r-Royal Albert Hall. Il-mużew huwa korp pubbliku mhux dipartimentali sponsorjat mid-Dipartiment għall-Kultura, il-Midja u l-Isport. Bħal mużewijiet nazzjonali oħra Ingliżi, id-dħul għall-mużew ilu bla ħlas mill-2001.</v>
      </c>
    </row>
    <row r="11895" ht="15.75" customHeight="1">
      <c r="A11895" s="2" t="s">
        <v>11895</v>
      </c>
      <c r="B11895" s="2" t="str">
        <f>IFERROR(__xludf.DUMMYFUNCTION("GOOGLETRANSLATE(A11895, ""en"", ""mt"")"),"Parti ewlenija tas-sinsla tal-internet")</f>
        <v>Parti ewlenija tas-sinsla tal-internet</v>
      </c>
    </row>
    <row r="11896" ht="15.75" customHeight="1">
      <c r="A11896" s="2" t="s">
        <v>11896</v>
      </c>
      <c r="B11896" s="2" t="str">
        <f>IFERROR(__xludf.DUMMYFUNCTION("GOOGLETRANSLATE(A11896, ""en"", ""mt"")"),"vokazzjonali")</f>
        <v>vokazzjonali</v>
      </c>
    </row>
    <row r="11897" ht="15.75" customHeight="1">
      <c r="A11897" s="2" t="s">
        <v>11897</v>
      </c>
      <c r="B11897" s="2" t="str">
        <f>IFERROR(__xludf.DUMMYFUNCTION("GOOGLETRANSLATE(A11897, ""en"", ""mt"")"),"aktar minn 37 miljun")</f>
        <v>aktar minn 37 miljun</v>
      </c>
    </row>
    <row r="11898" ht="15.75" customHeight="1">
      <c r="A11898" s="2" t="s">
        <v>11898</v>
      </c>
      <c r="B11898" s="2" t="str">
        <f>IFERROR(__xludf.DUMMYFUNCTION("GOOGLETRANSLATE(A11898, ""en"", ""mt"")"),"Xi jfisser pajjiż hekk kif jiżviluppa?")</f>
        <v>Xi jfisser pajjiż hekk kif jiżviluppa?</v>
      </c>
    </row>
    <row r="11899" ht="15.75" customHeight="1">
      <c r="A11899" s="2" t="s">
        <v>11899</v>
      </c>
      <c r="B11899" s="2" t="str">
        <f>IFERROR(__xludf.DUMMYFUNCTION("GOOGLETRANSLATE(A11899, ""en"", ""mt"")"),"St Thomas Becket,")</f>
        <v>St Thomas Becket,</v>
      </c>
    </row>
    <row r="11900" ht="15.75" customHeight="1">
      <c r="A11900" s="2" t="s">
        <v>11900</v>
      </c>
      <c r="B11900" s="2" t="str">
        <f>IFERROR(__xludf.DUMMYFUNCTION("GOOGLETRANSLATE(A11900, ""en"", ""mt"")"),"X'inhi l-grazzja li tqaddes?")</f>
        <v>X'inhi l-grazzja li tqaddes?</v>
      </c>
    </row>
    <row r="11901" ht="15.75" customHeight="1">
      <c r="A11901" s="2" t="s">
        <v>11901</v>
      </c>
      <c r="B11901" s="2" t="str">
        <f>IFERROR(__xludf.DUMMYFUNCTION("GOOGLETRANSLATE(A11901, ""en"", ""mt"")"),"Għal min iddikjara t-Tramuntana matul il-Gwerra Ċivili Ingliża?")</f>
        <v>Għal min iddikjara t-Tramuntana matul il-Gwerra Ċivili Ingliża?</v>
      </c>
    </row>
    <row r="11902" ht="15.75" customHeight="1">
      <c r="A11902" s="2" t="s">
        <v>11902</v>
      </c>
      <c r="B11902" s="2" t="str">
        <f>IFERROR(__xludf.DUMMYFUNCTION("GOOGLETRANSLATE(A11902, ""en"", ""mt"")"),"Mill-qawmien mill-ġdid tal-2005, it-tabib ġeneralment jivvjaġġa ma 'ħbieb femminili primarju, li jokkupa rwol narrattiv akbar. Steven Moffat iddeskriva lill-ħbieb bħala l-karattru ewlieni tal-ispettaklu, hekk kif l-istorja tibda mill-ġdid ma 'kull ħbieb u"&amp;" hi tgħaddi minn aktar bidla milli t-tabib. Il-kumpanji primarji tad-disa 'u l-għaxar tobba kienu Rose Tyler (Billie Piper), Martha Jones (Freema Agyeman), u Donna Noble (Catherine Tate) ma' Mickey Smith (Noel Clarke) u Jack Harkness (John Barrowman) li j"&amp;"irrepetu ruħhom bħala figuri ta 'ħbieb sekondarji sekondarji - Il-Ħdax-il Tabib sar l-ewwel wieħed li jivvjaġġa ma ’koppja miżżewġa, Amy Pond (Karen Gillan) u Rory Williams (Arthur Darvill), waqt li l-laqgħat barra mis-sink. arki tal-istorja. L-għaxar ser"&amp;"je se tintroduċi Pearl Mackie bħala Bill, l-aktar ħbieb ta 'l-ivvjaġġar tat-Tabib.")</f>
        <v>Mill-qawmien mill-ġdid tal-2005, it-tabib ġeneralment jivvjaġġa ma 'ħbieb femminili primarju, li jokkupa rwol narrattiv akbar. Steven Moffat iddeskriva lill-ħbieb bħala l-karattru ewlieni tal-ispettaklu, hekk kif l-istorja tibda mill-ġdid ma 'kull ħbieb u hi tgħaddi minn aktar bidla milli t-tabib. Il-kumpanji primarji tad-disa 'u l-għaxar tobba kienu Rose Tyler (Billie Piper), Martha Jones (Freema Agyeman), u Donna Noble (Catherine Tate) ma' Mickey Smith (Noel Clarke) u Jack Harkness (John Barrowman) li jirrepetu ruħhom bħala figuri ta 'ħbieb sekondarji sekondarji - Il-Ħdax-il Tabib sar l-ewwel wieħed li jivvjaġġa ma ’koppja miżżewġa, Amy Pond (Karen Gillan) u Rory Williams (Arthur Darvill), waqt li l-laqgħat barra mis-sink. arki tal-istorja. L-għaxar serje se tintroduċi Pearl Mackie bħala Bill, l-aktar ħbieb ta 'l-ivvjaġġar tat-Tabib.</v>
      </c>
    </row>
    <row r="11903" ht="15.75" customHeight="1">
      <c r="A11903" s="2" t="s">
        <v>11903</v>
      </c>
      <c r="B11903" s="2" t="str">
        <f>IFERROR(__xludf.DUMMYFUNCTION("GOOGLETRANSLATE(A11903, ""en"", ""mt"")"),"Liema apparat jintuża biex jirriċikla l-ilma tal-bojler fil-biċċa l-kbira tal-magni tal-fwar?")</f>
        <v>Liema apparat jintuża biex jirriċikla l-ilma tal-bojler fil-biċċa l-kbira tal-magni tal-fwar?</v>
      </c>
    </row>
    <row r="11904" ht="15.75" customHeight="1">
      <c r="A11904" s="2" t="s">
        <v>11904</v>
      </c>
      <c r="B11904" s="2" t="str">
        <f>IFERROR(__xludf.DUMMYFUNCTION("GOOGLETRANSLATE(A11904, ""en"", ""mt"")"),"Alka blu-aħdar")</f>
        <v>Alka blu-aħdar</v>
      </c>
    </row>
    <row r="11905" ht="15.75" customHeight="1">
      <c r="A11905" s="2" t="s">
        <v>11905</v>
      </c>
      <c r="B11905" s="2" t="str">
        <f>IFERROR(__xludf.DUMMYFUNCTION("GOOGLETRANSLATE(A11905, ""en"", ""mt"")"),"Ministeru tal-Gwerra")</f>
        <v>Ministeru tal-Gwerra</v>
      </c>
    </row>
    <row r="11906" ht="15.75" customHeight="1">
      <c r="A11906" s="2" t="s">
        <v>11906</v>
      </c>
      <c r="B11906" s="2" t="str">
        <f>IFERROR(__xludf.DUMMYFUNCTION("GOOGLETRANSLATE(A11906, ""en"", ""mt"")"),"Minbarra l-Baħar tat-Tramuntana u l-Kanal Irlandiż, x'iktar tbaxxiet fl-aħħar fażi kiesħa?")</f>
        <v>Minbarra l-Baħar tat-Tramuntana u l-Kanal Irlandiż, x'iktar tbaxxiet fl-aħħar fażi kiesħa?</v>
      </c>
    </row>
    <row r="11907" ht="15.75" customHeight="1">
      <c r="A11907" s="2" t="s">
        <v>11907</v>
      </c>
      <c r="B11907" s="2" t="str">
        <f>IFERROR(__xludf.DUMMYFUNCTION("GOOGLETRANSLATE(A11907, ""en"", ""mt"")"),"L-Iżlamisti staqsew il-mistoqsija, ""Jekk l-Iżlam huwiex mod ta 'ħajja, kif nistgħu ngħidu li dawk li jixtiequ jgħixu mill-prinċipji tiegħu fl-isferi legali, soċjali, politiċi, ekonomiċi u politiċi tal-ħajja mhumiex Musulmani, iżda l-Iżlamisti u jemmnu Fl"&amp;"-Iżlamiżmu, mhux [biss] l-Islam? "" Bl-istess mod, kittieb għall-grupp ta 'kriżi internazzjonali jsostni li ""l-kunċett ta'"" Islam politiku ""huwa ħolqien ta 'Amerikani li jispjegaw ir-rivoluzzjoni Iżlamika Iranjana u l-Islam apolitiku kien fluke storiku"&amp;" ta' l-era ta 'ħajja qasira In-nazzjonaliżmu Għarbi bejn l-1945 u l-1970 "", u huwa Iżlam kwiet / mhux politiku, mhux l-Iżlamiżmu, li jirrikjedi spjegazzjoni.")</f>
        <v>L-Iżlamisti staqsew il-mistoqsija, "Jekk l-Iżlam huwiex mod ta 'ħajja, kif nistgħu ngħidu li dawk li jixtiequ jgħixu mill-prinċipji tiegħu fl-isferi legali, soċjali, politiċi, ekonomiċi u politiċi tal-ħajja mhumiex Musulmani, iżda l-Iżlamisti u jemmnu Fl-Iżlamiżmu, mhux [biss] l-Islam? " Bl-istess mod, kittieb għall-grupp ta 'kriżi internazzjonali jsostni li "l-kunċett ta'" Islam politiku "huwa ħolqien ta 'Amerikani li jispjegaw ir-rivoluzzjoni Iżlamika Iranjana u l-Islam apolitiku kien fluke storiku ta' l-era ta 'ħajja qasira In-nazzjonaliżmu Għarbi bejn l-1945 u l-1970 ", u huwa Iżlam kwiet / mhux politiku, mhux l-Iżlamiżmu, li jirrikjedi spjegazzjoni.</v>
      </c>
    </row>
    <row r="11908" ht="15.75" customHeight="1">
      <c r="A11908" s="2" t="s">
        <v>11908</v>
      </c>
      <c r="B11908" s="2" t="str">
        <f>IFERROR(__xludf.DUMMYFUNCTION("GOOGLETRANSLATE(A11908, ""en"", ""mt"")"),"L-ewwel mappa ġeoloġika ta 'l-Istati Uniti ġiet prodotta fl-1809 minn William MacLure. Fl-1807, MacLure beda l-kompitu impost minnu nnifsu li jagħmel stħarriġ ġeoloġiku ta 'l-Istati Uniti. Kważi kull stat fl-unjoni kien traversat u mmappjat minnu, il-Munt"&amp;"anji Allegheny qed jinqasmu u rreklamaw xi 50 darba. Ir-riżultati tal-ħaddiema mingħajr għajnuna tiegħu ġew sottomessi lis-Soċjetà Filosofika Amerikana f'Memoir intitolat Osservazzjonijiet dwar il-Ġeoloġija ta 'l-Istati Uniti Spjegazzjoni ta' Mappa Ġeoloġ"&amp;"ika, u ppubblikati fit-Tranżazzjonijiet tas-Soċjetà, flimkien mal-ewwel mappa ġeoloġika tan-nazzjon. Din l-antedates tal-mappa ġeoloġika ta 'William Smith ta' l-Ingilterra b'sitt snin, għalkemm ġiet mibnija bl-użu ta 'klassifikazzjoni differenti ta' blat.")</f>
        <v>L-ewwel mappa ġeoloġika ta 'l-Istati Uniti ġiet prodotta fl-1809 minn William MacLure. Fl-1807, MacLure beda l-kompitu impost minnu nnifsu li jagħmel stħarriġ ġeoloġiku ta 'l-Istati Uniti. Kważi kull stat fl-unjoni kien traversat u mmappjat minnu, il-Muntanji Allegheny qed jinqasmu u rreklamaw xi 50 darba. Ir-riżultati tal-ħaddiema mingħajr għajnuna tiegħu ġew sottomessi lis-Soċjetà Filosofika Amerikana f'Memoir intitolat Osservazzjonijiet dwar il-Ġeoloġija ta 'l-Istati Uniti Spjegazzjoni ta' Mappa Ġeoloġika, u ppubblikati fit-Tranżazzjonijiet tas-Soċjetà, flimkien mal-ewwel mappa ġeoloġika tan-nazzjon. Din l-antedates tal-mappa ġeoloġika ta 'William Smith ta' l-Ingilterra b'sitt snin, għalkemm ġiet mibnija bl-użu ta 'klassifikazzjoni differenti ta' blat.</v>
      </c>
    </row>
    <row r="11909" ht="15.75" customHeight="1">
      <c r="A11909" s="2" t="s">
        <v>11909</v>
      </c>
      <c r="B11909" s="2" t="str">
        <f>IFERROR(__xludf.DUMMYFUNCTION("GOOGLETRANSLATE(A11909, ""en"", ""mt"")"),"il-proċess ta 'pajjiż li jieħu l-kontroll fiżiku ta' ieħor")</f>
        <v>il-proċess ta 'pajjiż li jieħu l-kontroll fiżiku ta' ieħor</v>
      </c>
    </row>
    <row r="11910" ht="15.75" customHeight="1">
      <c r="A11910" s="2" t="s">
        <v>11910</v>
      </c>
      <c r="B11910" s="2" t="str">
        <f>IFERROR(__xludf.DUMMYFUNCTION("GOOGLETRANSLATE(A11910, ""en"", ""mt"")"),"V8 u sitt ċilindru")</f>
        <v>V8 u sitt ċilindru</v>
      </c>
    </row>
    <row r="11911" ht="15.75" customHeight="1">
      <c r="A11911" s="2" t="s">
        <v>11911</v>
      </c>
      <c r="B11911" s="2" t="str">
        <f>IFERROR(__xludf.DUMMYFUNCTION("GOOGLETRANSLATE(A11911, ""en"", ""mt"")"),"Reyners vs il-Belġju")</f>
        <v>Reyners vs il-Belġju</v>
      </c>
    </row>
    <row r="11912" ht="15.75" customHeight="1">
      <c r="A11912" s="2" t="s">
        <v>11912</v>
      </c>
      <c r="B11912" s="2" t="str">
        <f>IFERROR(__xludf.DUMMYFUNCTION("GOOGLETRANSLATE(A11912, ""en"", ""mt"")"),"Luther meta rċieva grad fi studji bibliċi?")</f>
        <v>Luther meta rċieva grad fi studji bibliċi?</v>
      </c>
    </row>
    <row r="11913" ht="15.75" customHeight="1">
      <c r="A11913" s="2" t="s">
        <v>11913</v>
      </c>
      <c r="B11913" s="2" t="str">
        <f>IFERROR(__xludf.DUMMYFUNCTION("GOOGLETRANSLATE(A11913, ""en"", ""mt"")"),"Seklu 16")</f>
        <v>Seklu 16</v>
      </c>
    </row>
    <row r="11914" ht="15.75" customHeight="1">
      <c r="A11914" s="2" t="s">
        <v>11914</v>
      </c>
      <c r="B11914" s="2" t="str">
        <f>IFERROR(__xludf.DUMMYFUNCTION("GOOGLETRANSLATE(A11914, ""en"", ""mt"")"),"Ipproteġi l-Art tar-Re fil-Wied ta 'Ohio")</f>
        <v>Ipproteġi l-Art tar-Re fil-Wied ta 'Ohio</v>
      </c>
    </row>
    <row r="11915" ht="15.75" customHeight="1">
      <c r="A11915" s="2" t="s">
        <v>11915</v>
      </c>
      <c r="B11915" s="2" t="str">
        <f>IFERROR(__xludf.DUMMYFUNCTION("GOOGLETRANSLATE(A11915, ""en"", ""mt"")"),"Tesla gradwat mill-università?")</f>
        <v>Tesla gradwat mill-università?</v>
      </c>
    </row>
    <row r="11916" ht="15.75" customHeight="1">
      <c r="A11916" s="2" t="s">
        <v>11916</v>
      </c>
      <c r="B11916" s="2" t="str">
        <f>IFERROR(__xludf.DUMMYFUNCTION("GOOGLETRANSLATE(A11916, ""en"", ""mt"")"),"United_methodist_church")</f>
        <v>United_methodist_church</v>
      </c>
    </row>
    <row r="11917" ht="15.75" customHeight="1">
      <c r="A11917" s="2" t="s">
        <v>11917</v>
      </c>
      <c r="B11917" s="2" t="str">
        <f>IFERROR(__xludf.DUMMYFUNCTION("GOOGLETRANSLATE(A11917, ""en"", ""mt"")"),"L-Ewropa tal-Punent")</f>
        <v>L-Ewropa tal-Punent</v>
      </c>
    </row>
    <row r="11918" ht="15.75" customHeight="1">
      <c r="A11918" s="2" t="s">
        <v>11918</v>
      </c>
      <c r="B11918" s="2" t="str">
        <f>IFERROR(__xludf.DUMMYFUNCTION("GOOGLETRANSLATE(A11918, ""en"", ""mt"")"),"Agricola x’kien jidher li kien jemmen dwar min għandu jkun fil-liġi tal-kontroll?")</f>
        <v>Agricola x’kien jidher li kien jemmen dwar min għandu jkun fil-liġi tal-kontroll?</v>
      </c>
    </row>
    <row r="11919" ht="15.75" customHeight="1">
      <c r="A11919" s="2" t="s">
        <v>11919</v>
      </c>
      <c r="B11919" s="2" t="str">
        <f>IFERROR(__xludf.DUMMYFUNCTION("GOOGLETRANSLATE(A11919, ""en"", ""mt"")"),"Michael E. Mann, Raymond S. Bradley u Malcolm K. Hughes")</f>
        <v>Michael E. Mann, Raymond S. Bradley u Malcolm K. Hughes</v>
      </c>
    </row>
    <row r="11920" ht="15.75" customHeight="1">
      <c r="A11920" s="2" t="s">
        <v>11920</v>
      </c>
      <c r="B11920" s="2" t="str">
        <f>IFERROR(__xludf.DUMMYFUNCTION("GOOGLETRANSLATE(A11920, ""en"", ""mt"")"),"l-internet")</f>
        <v>l-internet</v>
      </c>
    </row>
    <row r="11921" ht="15.75" customHeight="1">
      <c r="A11921" s="2" t="s">
        <v>11921</v>
      </c>
      <c r="B11921" s="2" t="str">
        <f>IFERROR(__xludf.DUMMYFUNCTION("GOOGLETRANSLATE(A11921, ""en"", ""mt"")"),"Statwi ta 'artisti Ingliżi jżejnu liema parti mit-torri' l fuq mid-daħla ewlenija?")</f>
        <v>Statwi ta 'artisti Ingliżi jżejnu liema parti mit-torri' l fuq mid-daħla ewlenija?</v>
      </c>
    </row>
    <row r="11922" ht="15.75" customHeight="1">
      <c r="A11922" s="2" t="s">
        <v>11922</v>
      </c>
      <c r="B11922" s="2" t="str">
        <f>IFERROR(__xludf.DUMMYFUNCTION("GOOGLETRANSLATE(A11922, ""en"", ""mt"")"),"Fit-23 ta ’April, 1968, il-Knisja Metodista Magħquda nħolqot meta l-Knisja Evanġelika ta’ Ħutna (irrappreżentata mill-Isqof Reuben H. Mueller) u l-Knisja Metodista (irrappreżentata mill-Isqof Lloyd Christ Wicke) ingħaqdu f’idejhom fil-konferenza ġenerali "&amp;"li kostitwixxa f’Dallas, Texas - Bil-kliem, ""Mulej tal-Knisja, aħna magħqudin fik, fil-knisja tiegħek u issa fil-Knisja Metodista Magħquda"" id-denominazzjoni l-ġdida twelled miż-żewġ knejjes li kellhom storiji distinti u ministeri influwenti f'diversi p"&amp;"artijiet tad-dinja -")</f>
        <v>Fit-23 ta ’April, 1968, il-Knisja Metodista Magħquda nħolqot meta l-Knisja Evanġelika ta’ Ħutna (irrappreżentata mill-Isqof Reuben H. Mueller) u l-Knisja Metodista (irrappreżentata mill-Isqof Lloyd Christ Wicke) ingħaqdu f’idejhom fil-konferenza ġenerali li kostitwixxa f’Dallas, Texas - Bil-kliem, "Mulej tal-Knisja, aħna magħqudin fik, fil-knisja tiegħek u issa fil-Knisja Metodista Magħquda" id-denominazzjoni l-ġdida twelled miż-żewġ knejjes li kellhom storiji distinti u ministeri influwenti f'diversi partijiet tad-dinja -</v>
      </c>
    </row>
    <row r="11923" ht="15.75" customHeight="1">
      <c r="A11923" s="2" t="s">
        <v>11923</v>
      </c>
      <c r="B11923" s="2" t="str">
        <f>IFERROR(__xludf.DUMMYFUNCTION("GOOGLETRANSLATE(A11923, ""en"", ""mt"")"),"kontra l-Prussja u l-alleati tagħha")</f>
        <v>kontra l-Prussja u l-alleati tagħha</v>
      </c>
    </row>
    <row r="11924" ht="15.75" customHeight="1">
      <c r="A11924" s="2" t="s">
        <v>11924</v>
      </c>
      <c r="B11924" s="2" t="str">
        <f>IFERROR(__xludf.DUMMYFUNCTION("GOOGLETRANSLATE(A11924, ""en"", ""mt"")"),"sigriet")</f>
        <v>sigriet</v>
      </c>
    </row>
    <row r="11925" ht="15.75" customHeight="1">
      <c r="A11925" s="2" t="s">
        <v>11925</v>
      </c>
      <c r="B11925" s="2" t="str">
        <f>IFERROR(__xludf.DUMMYFUNCTION("GOOGLETRANSLATE(A11925, ""en"", ""mt"")"),"X'inhu jiddelimita d-Delta tar-Renu fil-Lvant?")</f>
        <v>X'inhu jiddelimita d-Delta tar-Renu fil-Lvant?</v>
      </c>
    </row>
    <row r="11926" ht="15.75" customHeight="1">
      <c r="A11926" s="2" t="s">
        <v>11926</v>
      </c>
      <c r="B11926" s="2" t="str">
        <f>IFERROR(__xludf.DUMMYFUNCTION("GOOGLETRANSLATE(A11926, ""en"", ""mt"")"),"Min wettaq kunċert ta 'benefiċċju għat-tfal tal-karità fil-bżonn?")</f>
        <v>Min wettaq kunċert ta 'benefiċċju għat-tfal tal-karità fil-bżonn?</v>
      </c>
    </row>
    <row r="11927" ht="15.75" customHeight="1">
      <c r="A11927" s="2" t="s">
        <v>11927</v>
      </c>
      <c r="B11927" s="2" t="str">
        <f>IFERROR(__xludf.DUMMYFUNCTION("GOOGLETRANSLATE(A11927, ""en"", ""mt"")"),"Tesla esibiet għarfien pre-atomiku tal-fiżika fil-kitbiet tiegħu; Huwa ma qabilx mat-teorija ta 'l-atomi li huma komposti minn partiċelli subatomiċi iżgħar, u ddikjara li ma kien hemm l-ebda ħaġa bħal elettron li joħloq ħlas elettriku (huwa jemmen li jekk"&amp;" l-elettroni jeżistu xejn, huma kienu xi raba' stat ta 'materja jew ""sub-atomu"" Dan jista 'jeżisti biss f'vakwu sperimentali u li ma kellhom xejn x'jaqsmu ma' l-elettriku).: 249 Tesla jemmnu li l-atomi huma immutabbli - ma setgħux ibiddlu l-istat jew ji"&amp;"nqasmu bl-ebda mod. Huwa kien fidi fil-kunċett tas-seklu 19 ta '""eter"" mifrux kollu li trażmess l-enerġija elettrika.")</f>
        <v>Tesla esibiet għarfien pre-atomiku tal-fiżika fil-kitbiet tiegħu; Huwa ma qabilx mat-teorija ta 'l-atomi li huma komposti minn partiċelli subatomiċi iżgħar, u ddikjara li ma kien hemm l-ebda ħaġa bħal elettron li joħloq ħlas elettriku (huwa jemmen li jekk l-elettroni jeżistu xejn, huma kienu xi raba' stat ta 'materja jew "sub-atomu" Dan jista 'jeżisti biss f'vakwu sperimentali u li ma kellhom xejn x'jaqsmu ma' l-elettriku).: 249 Tesla jemmnu li l-atomi huma immutabbli - ma setgħux ibiddlu l-istat jew jinqasmu bl-ebda mod. Huwa kien fidi fil-kunċett tas-seklu 19 ta '"eter" mifrux kollu li trażmess l-enerġija elettrika.</v>
      </c>
    </row>
    <row r="11928" ht="15.75" customHeight="1">
      <c r="A11928" s="2" t="s">
        <v>11928</v>
      </c>
      <c r="B11928" s="2" t="str">
        <f>IFERROR(__xludf.DUMMYFUNCTION("GOOGLETRANSLATE(A11928, ""en"", ""mt"")"),"Demografija u Ekonomika")</f>
        <v>Demografija u Ekonomika</v>
      </c>
    </row>
    <row r="11929" ht="15.75" customHeight="1">
      <c r="A11929" s="2" t="s">
        <v>11929</v>
      </c>
      <c r="B11929" s="2" t="str">
        <f>IFERROR(__xludf.DUMMYFUNCTION("GOOGLETRANSLATE(A11929, ""en"", ""mt"")"),"Kif il-patoġeni jevitaw is-sejbien?")</f>
        <v>Kif il-patoġeni jevitaw is-sejbien?</v>
      </c>
    </row>
    <row r="11930" ht="15.75" customHeight="1">
      <c r="A11930" s="2" t="s">
        <v>11930</v>
      </c>
      <c r="B11930" s="2" t="str">
        <f>IFERROR(__xludf.DUMMYFUNCTION("GOOGLETRANSLATE(A11930, ""en"", ""mt"")"),"Bażi flared distintiva")</f>
        <v>Bażi flared distintiva</v>
      </c>
    </row>
    <row r="11931" ht="15.75" customHeight="1">
      <c r="A11931" s="2" t="s">
        <v>11931</v>
      </c>
      <c r="B11931" s="2" t="str">
        <f>IFERROR(__xludf.DUMMYFUNCTION("GOOGLETRANSLATE(A11931, ""en"", ""mt"")"),"Qabel ir-riċerka attwali ddedikata espliċitament għall-kumplessità tal-problemi algoritmiċi li bdiet, ġew stabbiliti bosta pedamenti minn diversi riċerkaturi. L-iktar influwenti fost dawn kienet id-definizzjoni tal-magni tat-Turing minn Alan Turing fl-193"&amp;"6, li rriżulta li kienet simplifikazzjoni robusta u flessibbli ħafna ta 'kompjuter.")</f>
        <v>Qabel ir-riċerka attwali ddedikata espliċitament għall-kumplessità tal-problemi algoritmiċi li bdiet, ġew stabbiliti bosta pedamenti minn diversi riċerkaturi. L-iktar influwenti fost dawn kienet id-definizzjoni tal-magni tat-Turing minn Alan Turing fl-1936, li rriżulta li kienet simplifikazzjoni robusta u flessibbli ħafna ta 'kompjuter.</v>
      </c>
    </row>
    <row r="11932" ht="15.75" customHeight="1">
      <c r="A11932" s="2" t="s">
        <v>11932</v>
      </c>
      <c r="B11932" s="2" t="str">
        <f>IFERROR(__xludf.DUMMYFUNCTION("GOOGLETRANSLATE(A11932, ""en"", ""mt"")"),"Il-fagoċiti jistgħu jissejħu għal post speċifiku minn xiex?")</f>
        <v>Il-fagoċiti jistgħu jissejħu għal post speċifiku minn xiex?</v>
      </c>
    </row>
    <row r="11933" ht="15.75" customHeight="1">
      <c r="A11933" s="2" t="s">
        <v>11933</v>
      </c>
      <c r="B11933" s="2" t="str">
        <f>IFERROR(__xludf.DUMMYFUNCTION("GOOGLETRANSLATE(A11933, ""en"", ""mt"")"),"Pjanti m'għandhomx x'tip ta 'ċelloli immuni?")</f>
        <v>Pjanti m'għandhomx x'tip ta 'ċelloli immuni?</v>
      </c>
    </row>
    <row r="11934" ht="15.75" customHeight="1">
      <c r="A11934" s="2" t="s">
        <v>11934</v>
      </c>
      <c r="B11934" s="2" t="str">
        <f>IFERROR(__xludf.DUMMYFUNCTION("GOOGLETRANSLATE(A11934, ""en"", ""mt"")"),"Taħlita ta 'ġestjoni fqira, diviżjonijiet interni, u scouts Kanadiżi effettivi")</f>
        <v>Taħlita ta 'ġestjoni fqira, diviżjonijiet interni, u scouts Kanadiżi effettivi</v>
      </c>
    </row>
    <row r="11935" ht="15.75" customHeight="1">
      <c r="A11935" s="2" t="s">
        <v>11935</v>
      </c>
      <c r="B11935" s="2" t="str">
        <f>IFERROR(__xludf.DUMMYFUNCTION("GOOGLETRANSLATE(A11935, ""en"", ""mt"")"),"X'tip ta 'wirt għandu Tyneside?")</f>
        <v>X'tip ta 'wirt għandu Tyneside?</v>
      </c>
    </row>
    <row r="11936" ht="15.75" customHeight="1">
      <c r="A11936" s="2" t="s">
        <v>11936</v>
      </c>
      <c r="B11936" s="2" t="str">
        <f>IFERROR(__xludf.DUMMYFUNCTION("GOOGLETRANSLATE(A11936, ""en"", ""mt"")"),"Unjoni Sovjetika")</f>
        <v>Unjoni Sovjetika</v>
      </c>
    </row>
    <row r="11937" ht="15.75" customHeight="1">
      <c r="A11937" s="2" t="s">
        <v>11937</v>
      </c>
      <c r="B11937" s="2" t="str">
        <f>IFERROR(__xludf.DUMMYFUNCTION("GOOGLETRANSLATE(A11937, ""en"", ""mt"")"),"Minħabba li ċ-Ċina tan-Nofsinhar irreżistiet u ġġieldet għall-aħħar qabel ma ħarġet")</f>
        <v>Minħabba li ċ-Ċina tan-Nofsinhar irreżistiet u ġġieldet għall-aħħar qabel ma ħarġet</v>
      </c>
    </row>
    <row r="11938" ht="15.75" customHeight="1">
      <c r="A11938" s="2" t="s">
        <v>11938</v>
      </c>
      <c r="B11938" s="2" t="str">
        <f>IFERROR(__xludf.DUMMYFUNCTION("GOOGLETRANSLATE(A11938, ""en"", ""mt"")"),"X'inhu l-kobor tal-forza maqsum minn meta tiġi miżjuda forza esterna?")</f>
        <v>X'inhu l-kobor tal-forza maqsum minn meta tiġi miżjuda forza esterna?</v>
      </c>
    </row>
    <row r="11939" ht="15.75" customHeight="1">
      <c r="A11939" s="2" t="s">
        <v>11939</v>
      </c>
      <c r="B11939" s="2" t="str">
        <f>IFERROR(__xludf.DUMMYFUNCTION("GOOGLETRANSLATE(A11939, ""en"", ""mt"")"),"L-aħħar evoluzzjoni ewlenija tad-disinn tal-magna bil-fwar kienet l-użu ta 'turbini tal-fwar li jibdew fil-parti tard tas-seklu 19. It-turbini tal-fwar huma ġeneralment aktar effiċjenti minn magni tal-fwar tat-tip pistun reċiprokanti (għal outputs 'il fuq"&amp;" minn bosta mijiet ta' horsepower), għandhom inqas partijiet li jiċċaqalqu, u jipprovdu enerġija li jdur direttament minflok permezz ta 'sistema ta' virga ta 'konnessjoni jew mezzi simili. It-turbini tal-fwar prattikament issostitwixxew magni reċiprokanti"&amp;" fl-istazzjonijiet li jiġġeneraw l-elettriku kmieni fis-seklu 20, fejn l-effiċjenza tagħhom, veloċità ogħla xierqa għas-servizz tal-ġeneratur, u rotazzjoni bla xkiel kienu vantaġġi. Illum il-biċċa l-kbira tal-enerġija elettrika hija pprovduta minn turbini"&amp;" tal-fwar. Fl-Istati Uniti 90% tal-enerġija elettrika hija prodotta b'dan il-mod bl-użu ta 'varjetà ta' sorsi tas-sħana. It-turbini tal-fwar ġew applikati b'mod estensiv għall-propulsjoni ta 'vapuri kbar matul il-biċċa l-kbira tas-seklu 20.")</f>
        <v>L-aħħar evoluzzjoni ewlenija tad-disinn tal-magna bil-fwar kienet l-użu ta 'turbini tal-fwar li jibdew fil-parti tard tas-seklu 19. It-turbini tal-fwar huma ġeneralment aktar effiċjenti minn magni tal-fwar tat-tip pistun reċiprokanti (għal outputs 'il fuq minn bosta mijiet ta' horsepower), għandhom inqas partijiet li jiċċaqalqu, u jipprovdu enerġija li jdur direttament minflok permezz ta 'sistema ta' virga ta 'konnessjoni jew mezzi simili. It-turbini tal-fwar prattikament issostitwixxew magni reċiprokanti fl-istazzjonijiet li jiġġeneraw l-elettriku kmieni fis-seklu 20, fejn l-effiċjenza tagħhom, veloċità ogħla xierqa għas-servizz tal-ġeneratur, u rotazzjoni bla xkiel kienu vantaġġi. Illum il-biċċa l-kbira tal-enerġija elettrika hija pprovduta minn turbini tal-fwar. Fl-Istati Uniti 90% tal-enerġija elettrika hija prodotta b'dan il-mod bl-użu ta 'varjetà ta' sorsi tas-sħana. It-turbini tal-fwar ġew applikati b'mod estensiv għall-propulsjoni ta 'vapuri kbar matul il-biċċa l-kbira tas-seklu 20.</v>
      </c>
    </row>
    <row r="11940" ht="15.75" customHeight="1">
      <c r="A11940" s="2" t="s">
        <v>11940</v>
      </c>
      <c r="B11940" s="2" t="str">
        <f>IFERROR(__xludf.DUMMYFUNCTION("GOOGLETRANSLATE(A11940, ""en"", ""mt"")"),"nofs")</f>
        <v>nofs</v>
      </c>
    </row>
    <row r="11941" ht="15.75" customHeight="1">
      <c r="A11941" s="2" t="s">
        <v>11941</v>
      </c>
      <c r="B11941" s="2" t="str">
        <f>IFERROR(__xludf.DUMMYFUNCTION("GOOGLETRANSLATE(A11941, ""en"", ""mt"")"),"McGann u Eccleston")</f>
        <v>McGann u Eccleston</v>
      </c>
    </row>
    <row r="11942" ht="15.75" customHeight="1">
      <c r="A11942" s="2" t="s">
        <v>11942</v>
      </c>
      <c r="B11942" s="2" t="str">
        <f>IFERROR(__xludf.DUMMYFUNCTION("GOOGLETRANSLATE(A11942, ""en"", ""mt"")"),"Siġill ta 'Approvazzjoni fuq Żwieġ Klerikali")</f>
        <v>Siġill ta 'Approvazzjoni fuq Żwieġ Klerikali</v>
      </c>
    </row>
    <row r="11943" ht="15.75" customHeight="1">
      <c r="A11943" s="2" t="s">
        <v>11943</v>
      </c>
      <c r="B11943" s="2" t="str">
        <f>IFERROR(__xludf.DUMMYFUNCTION("GOOGLETRANSLATE(A11943, ""en"", ""mt"")"),"Bejn l-1960 u l-2000")</f>
        <v>Bejn l-1960 u l-2000</v>
      </c>
    </row>
    <row r="11944" ht="15.75" customHeight="1">
      <c r="A11944" s="2" t="s">
        <v>11944</v>
      </c>
      <c r="B11944" s="2" t="str">
        <f>IFERROR(__xludf.DUMMYFUNCTION("GOOGLETRANSLATE(A11944, ""en"", ""mt"")"),"X'ġara waqt it-test tal-plugs-out waqt id-dewmien għall-irwejjaħ spazjali?")</f>
        <v>X'ġara waqt it-test tal-plugs-out waqt id-dewmien għall-irwejjaħ spazjali?</v>
      </c>
    </row>
    <row r="11945" ht="15.75" customHeight="1">
      <c r="A11945" s="2" t="s">
        <v>11945</v>
      </c>
      <c r="B11945" s="2" t="str">
        <f>IFERROR(__xludf.DUMMYFUNCTION("GOOGLETRANSLATE(A11945, ""en"", ""mt"")"),"Il-proprjetà li tkun prim (jew le) tissejjaħ primalità. Metodu sempliċi imma bil-mod tal-verifika tal-primalità ta 'numru partikolari n huwa magħruf bħala diviżjoni ta' prova. Tikkonsisti fl-ittestjar jekk N huwiex multiplu minn kwalunkwe numru sħiħ bejn "&amp;"2 u. Algoritmi ferm aktar effiċjenti mid-diviżjoni tal-prova ġew iddisinjati biex jittestjaw il-primalità ta 'numri kbar. Dawn jinkludu t-test tal-primalità Miller-Rabin, li huwa mgħaġġel iżda għandu probabbiltà żgħira ta 'żball, u t-test tal-primalità AK"&amp;"S, li dejjem jipproduċi t-tweġiba t-tajba fi żmien polinomjali iżda huwa bil-mod wisq biex ikun prattiku. Metodi partikolarment veloċi huma disponibbli għal numri ta 'forom speċjali, bħal numri ta' mersenne. Minn Jannar 2016 [aġġornament], l-akbar numru e"&amp;"wlieni magħruf għandu 22,338,618 ċifri deċimali.")</f>
        <v>Il-proprjetà li tkun prim (jew le) tissejjaħ primalità. Metodu sempliċi imma bil-mod tal-verifika tal-primalità ta 'numru partikolari n huwa magħruf bħala diviżjoni ta' prova. Tikkonsisti fl-ittestjar jekk N huwiex multiplu minn kwalunkwe numru sħiħ bejn 2 u. Algoritmi ferm aktar effiċjenti mid-diviżjoni tal-prova ġew iddisinjati biex jittestjaw il-primalità ta 'numri kbar. Dawn jinkludu t-test tal-primalità Miller-Rabin, li huwa mgħaġġel iżda għandu probabbiltà żgħira ta 'żball, u t-test tal-primalità AKS, li dejjem jipproduċi t-tweġiba t-tajba fi żmien polinomjali iżda huwa bil-mod wisq biex ikun prattiku. Metodi partikolarment veloċi huma disponibbli għal numri ta 'forom speċjali, bħal numri ta' mersenne. Minn Jannar 2016 [aġġornament], l-akbar numru ewlieni magħruf għandu 22,338,618 ċifri deċimali.</v>
      </c>
    </row>
    <row r="11946" ht="15.75" customHeight="1">
      <c r="A11946" s="2" t="s">
        <v>11946</v>
      </c>
      <c r="B11946" s="2" t="str">
        <f>IFERROR(__xludf.DUMMYFUNCTION("GOOGLETRANSLATE(A11946, ""en"", ""mt"")"),"1 ta 'Frar 2007")</f>
        <v>1 ta 'Frar 2007</v>
      </c>
    </row>
    <row r="11947" ht="15.75" customHeight="1">
      <c r="A11947" s="2" t="s">
        <v>11947</v>
      </c>
      <c r="B11947" s="2" t="str">
        <f>IFERROR(__xludf.DUMMYFUNCTION("GOOGLETRANSLATE(A11947, ""en"", ""mt"")"),"Baħar Kaspjan")</f>
        <v>Baħar Kaspjan</v>
      </c>
    </row>
    <row r="11948" ht="15.75" customHeight="1">
      <c r="A11948" s="2" t="s">
        <v>11948</v>
      </c>
      <c r="B11948" s="2" t="str">
        <f>IFERROR(__xludf.DUMMYFUNCTION("GOOGLETRANSLATE(A11948, ""en"", ""mt"")"),"""Combs"" - Gruppi ta 'Cilia")</f>
        <v>"Combs" - Gruppi ta 'Cilia</v>
      </c>
    </row>
    <row r="11949" ht="15.75" customHeight="1">
      <c r="A11949" s="2" t="s">
        <v>11949</v>
      </c>
      <c r="B11949" s="2" t="str">
        <f>IFERROR(__xludf.DUMMYFUNCTION("GOOGLETRANSLATE(A11949, ""en"", ""mt"")"),"Elettorat")</f>
        <v>Elettorat</v>
      </c>
    </row>
    <row r="11950" ht="15.75" customHeight="1">
      <c r="A11950" s="2" t="s">
        <v>11950</v>
      </c>
      <c r="B11950" s="2" t="str">
        <f>IFERROR(__xludf.DUMMYFUNCTION("GOOGLETRANSLATE(A11950, ""en"", ""mt"")"),"Kemm mill-popolazzjoni fil-Lvant Nofsani mietet bil-pesta?")</f>
        <v>Kemm mill-popolazzjoni fil-Lvant Nofsani mietet bil-pesta?</v>
      </c>
    </row>
    <row r="11951" ht="15.75" customHeight="1">
      <c r="A11951" s="2" t="s">
        <v>11951</v>
      </c>
      <c r="B11951" s="2" t="str">
        <f>IFERROR(__xludf.DUMMYFUNCTION("GOOGLETRANSLATE(A11951, ""en"", ""mt"")"),"biex isservi u tipproteġi l-interess pubbliku")</f>
        <v>biex isservi u tipproteġi l-interess pubbliku</v>
      </c>
    </row>
    <row r="11952" ht="15.75" customHeight="1">
      <c r="A11952" s="2" t="s">
        <v>11952</v>
      </c>
      <c r="B11952" s="2" t="str">
        <f>IFERROR(__xludf.DUMMYFUNCTION("GOOGLETRANSLATE(A11952, ""en"", ""mt"")"),"Peress li n-NASA ma kinitx taf kemm tentattivi kull test jispiċċa jeħtieġ, dak li użaw minflok numri għall-provi?")</f>
        <v>Peress li n-NASA ma kinitx taf kemm tentattivi kull test jispiċċa jeħtieġ, dak li użaw minflok numri għall-provi?</v>
      </c>
    </row>
    <row r="11953" ht="15.75" customHeight="1">
      <c r="A11953" s="2" t="s">
        <v>11953</v>
      </c>
      <c r="B11953" s="2" t="str">
        <f>IFERROR(__xludf.DUMMYFUNCTION("GOOGLETRANSLATE(A11953, ""en"", ""mt"")"),"Liema kejl kumpless ġew definiti minn ""fuq il-kumplessità tal-komputazzjoni tal-algoritmi""?")</f>
        <v>Liema kejl kumpless ġew definiti minn "fuq il-kumplessità tal-komputazzjoni tal-algoritmi"?</v>
      </c>
    </row>
    <row r="11954" ht="15.75" customHeight="1">
      <c r="A11954" s="2" t="s">
        <v>11954</v>
      </c>
      <c r="B11954" s="2" t="str">
        <f>IFERROR(__xludf.DUMMYFUNCTION("GOOGLETRANSLATE(A11954, ""en"", ""mt"")"),"Knisja Episkopali Manakin")</f>
        <v>Knisja Episkopali Manakin</v>
      </c>
    </row>
    <row r="11955" ht="15.75" customHeight="1">
      <c r="A11955" s="2" t="s">
        <v>11955</v>
      </c>
      <c r="B11955" s="2" t="str">
        <f>IFERROR(__xludf.DUMMYFUNCTION("GOOGLETRANSLATE(A11955, ""en"", ""mt"")"),"l-aħjar, l-agħar u l-medja tal-kumplessità tal-każijiet")</f>
        <v>l-aħjar, l-agħar u l-medja tal-kumplessità tal-każijiet</v>
      </c>
    </row>
    <row r="11956" ht="15.75" customHeight="1">
      <c r="A11956" s="2" t="s">
        <v>11956</v>
      </c>
      <c r="B11956" s="2" t="str">
        <f>IFERROR(__xludf.DUMMYFUNCTION("GOOGLETRANSLATE(A11956, ""en"", ""mt"")"),"oqbra tal-massa fit-tramuntana, ċentrali u fin-nofsinhar tal-Ewropa")</f>
        <v>oqbra tal-massa fit-tramuntana, ċentrali u fin-nofsinhar tal-Ewropa</v>
      </c>
    </row>
    <row r="11957" ht="15.75" customHeight="1">
      <c r="A11957" s="2" t="s">
        <v>11957</v>
      </c>
      <c r="B11957" s="2" t="str">
        <f>IFERROR(__xludf.DUMMYFUNCTION("GOOGLETRANSLATE(A11957, ""en"", ""mt"")"),"università jew kulleġġ.")</f>
        <v>università jew kulleġġ.</v>
      </c>
    </row>
    <row r="11958" ht="15.75" customHeight="1">
      <c r="A11958" s="2" t="s">
        <v>11958</v>
      </c>
      <c r="B11958" s="2" t="str">
        <f>IFERROR(__xludf.DUMMYFUNCTION("GOOGLETRANSLATE(A11958, ""en"", ""mt"")"),"9 ta 'Marzu 1508,")</f>
        <v>9 ta 'Marzu 1508,</v>
      </c>
    </row>
    <row r="11959" ht="15.75" customHeight="1">
      <c r="A11959" s="2" t="s">
        <v>11959</v>
      </c>
      <c r="B11959" s="2" t="str">
        <f>IFERROR(__xludf.DUMMYFUNCTION("GOOGLETRANSLATE(A11959, ""en"", ""mt"")"),"Il-Gżejjer Channel")</f>
        <v>Il-Gżejjer Channel</v>
      </c>
    </row>
    <row r="11960" ht="15.75" customHeight="1">
      <c r="A11960" s="2" t="s">
        <v>11960</v>
      </c>
      <c r="B11960" s="2" t="str">
        <f>IFERROR(__xludf.DUMMYFUNCTION("GOOGLETRANSLATE(A11960, ""en"", ""mt"")"),"Fejn fl-Awstralja tinsab ir-Rabat?")</f>
        <v>Fejn fl-Awstralja tinsab ir-Rabat?</v>
      </c>
    </row>
    <row r="11961" ht="15.75" customHeight="1">
      <c r="A11961" s="2" t="s">
        <v>11961</v>
      </c>
      <c r="B11961" s="2" t="str">
        <f>IFERROR(__xludf.DUMMYFUNCTION("GOOGLETRANSLATE(A11961, ""en"", ""mt"")"),"Anticline Inqaleb")</f>
        <v>Anticline Inqaleb</v>
      </c>
    </row>
    <row r="11962" ht="15.75" customHeight="1">
      <c r="A11962" s="2" t="s">
        <v>11962</v>
      </c>
      <c r="B11962" s="2" t="str">
        <f>IFERROR(__xludf.DUMMYFUNCTION("GOOGLETRANSLATE(A11962, ""en"", ""mt"")"),"Il-Mongoli lil hinn mir-Renju Nofsani rawhom bħala Ċiniżi wisq")</f>
        <v>Il-Mongoli lil hinn mir-Renju Nofsani rawhom bħala Ċiniżi wisq</v>
      </c>
    </row>
    <row r="11963" ht="15.75" customHeight="1">
      <c r="A11963" s="2" t="s">
        <v>11963</v>
      </c>
      <c r="B11963" s="2" t="str">
        <f>IFERROR(__xludf.DUMMYFUNCTION("GOOGLETRANSLATE(A11963, ""en"", ""mt"")"),"Liema residenti ta 'Bukhara ġew meħlusa u mibgħuta lura lejn il-Mongolja?")</f>
        <v>Liema residenti ta 'Bukhara ġew meħlusa u mibgħuta lura lejn il-Mongolja?</v>
      </c>
    </row>
    <row r="11964" ht="15.75" customHeight="1">
      <c r="A11964" s="2" t="s">
        <v>11964</v>
      </c>
      <c r="B11964" s="2" t="str">
        <f>IFERROR(__xludf.DUMMYFUNCTION("GOOGLETRANSLATE(A11964, ""en"", ""mt"")"),"mhux deterministiku")</f>
        <v>mhux deterministiku</v>
      </c>
    </row>
    <row r="11965" ht="15.75" customHeight="1">
      <c r="A11965" s="2" t="s">
        <v>11965</v>
      </c>
      <c r="B11965" s="2" t="str">
        <f>IFERROR(__xludf.DUMMYFUNCTION("GOOGLETRANSLATE(A11965, ""en"", ""mt"")"),"Liema rwol kellu Michael Oppenheimer fir-rapporti tal-IPCC?")</f>
        <v>Liema rwol kellu Michael Oppenheimer fir-rapporti tal-IPCC?</v>
      </c>
    </row>
    <row r="11966" ht="15.75" customHeight="1">
      <c r="A11966" s="2" t="s">
        <v>11966</v>
      </c>
      <c r="B11966" s="2" t="str">
        <f>IFERROR(__xludf.DUMMYFUNCTION("GOOGLETRANSLATE(A11966, ""en"", ""mt"")"),"L-Iżlamisti ġew biex jiddominaw kompletament l-għaqdiet ta ’studenti universitarji")</f>
        <v>L-Iżlamisti ġew biex jiddominaw kompletament l-għaqdiet ta ’studenti universitarji</v>
      </c>
    </row>
    <row r="11967" ht="15.75" customHeight="1">
      <c r="A11967" s="2" t="s">
        <v>11967</v>
      </c>
      <c r="B11967" s="2" t="str">
        <f>IFERROR(__xludf.DUMMYFUNCTION("GOOGLETRANSLATE(A11967, ""en"", ""mt"")"),"ABC iġorr avvenimenti ta 'tmiem il-ġimgħa għal liema kompetizzjoni sportiva estrema?")</f>
        <v>ABC iġorr avvenimenti ta 'tmiem il-ġimgħa għal liema kompetizzjoni sportiva estrema?</v>
      </c>
    </row>
    <row r="11968" ht="15.75" customHeight="1">
      <c r="A11968" s="2" t="s">
        <v>11968</v>
      </c>
      <c r="B11968" s="2" t="str">
        <f>IFERROR(__xludf.DUMMYFUNCTION("GOOGLETRANSLATE(A11968, ""en"", ""mt"")"),"teoloġija u filosofija")</f>
        <v>teoloġija u filosofija</v>
      </c>
    </row>
    <row r="11969" ht="15.75" customHeight="1">
      <c r="A11969" s="2" t="s">
        <v>11969</v>
      </c>
      <c r="B11969" s="2" t="str">
        <f>IFERROR(__xludf.DUMMYFUNCTION("GOOGLETRANSLATE(A11969, ""en"", ""mt"")"),"X'jiteħtieġu X.25 u Frame Relay it-tnejn")</f>
        <v>X'jiteħtieġu X.25 u Frame Relay it-tnejn</v>
      </c>
    </row>
    <row r="11970" ht="15.75" customHeight="1">
      <c r="A11970" s="2" t="s">
        <v>11970</v>
      </c>
      <c r="B11970" s="2" t="str">
        <f>IFERROR(__xludf.DUMMYFUNCTION("GOOGLETRANSLATE(A11970, ""en"", ""mt"")"),"Fost l-aktar klassijiet importanti ta 'komposti organiċi li fihom l-ossiġnu hemm (fejn ""R"" huwa grupp organiku): alkoħol (R-OH); eteri (R-O-R); ketoni (r-co-r); Aldehydes (R-Co-H); Aċidi karbossiliċi (R-COOH); esteri (r-coo-r); aċidu aċidużi (r-co-o-co-"&amp;"r); u amidi (r-c (o) -nr
2). Hemm ħafna solventi organiċi importanti li fihom ossiġnu, inklużi: aċetun, metanol, etanol, isopropanol, furan, THF, dietil ether, dijossan, aċetat tal-etil, DMF, DMS, DMSO, aċidu aċetiku, u aċidu formiku. Aċetun ((ch
3)
2co) "&amp;"u fenol (c
6h
5OH) jintużaw bħala materjali ta 'l-alimentazzjoni fis-sintesi ta' ħafna sustanzi differenti. Komposti organiċi importanti oħra li fihom l-ossiġnu huma: gliċerol, formaldehyde, glutaraldehyde, aċidu ċitriku, anhydride aċetiku, u aċetamide. L"&amp;"-epossidi huma eteri li fihom l-atomu tal-ossiġnu huwa parti minn ċirku ta 'tliet atomi.")</f>
        <v>Fost l-aktar klassijiet importanti ta 'komposti organiċi li fihom l-ossiġnu hemm (fejn "R" huwa grupp organiku): alkoħol (R-OH); eteri (R-O-R); ketoni (r-co-r); Aldehydes (R-Co-H); Aċidi karbossiliċi (R-COOH); esteri (r-coo-r); aċidu aċidużi (r-co-o-co-r); u amidi (r-c (o) -nr
2). Hemm ħafna solventi organiċi importanti li fihom ossiġnu, inklużi: aċetun, metanol, etanol, isopropanol, furan, THF, dietil ether, dijossan, aċetat tal-etil, DMF, DMS, DMSO, aċidu aċetiku, u aċidu formiku. Aċetun ((ch
3)
2co) u fenol (c
6h
5OH) jintużaw bħala materjali ta 'l-alimentazzjoni fis-sintesi ta' ħafna sustanzi differenti. Komposti organiċi importanti oħra li fihom l-ossiġnu huma: gliċerol, formaldehyde, glutaraldehyde, aċidu ċitriku, anhydride aċetiku, u aċetamide. L-epossidi huma eteri li fihom l-atomu tal-ossiġnu huwa parti minn ċirku ta 'tliet atomi.</v>
      </c>
    </row>
    <row r="11971" ht="15.75" customHeight="1">
      <c r="A11971" s="2" t="s">
        <v>11971</v>
      </c>
      <c r="B11971" s="2" t="str">
        <f>IFERROR(__xludf.DUMMYFUNCTION("GOOGLETRANSLATE(A11971, ""en"", ""mt"")"),"Għaliex l-OPEC żied il-prezz taż-żejt għal $ 5.11?")</f>
        <v>Għaliex l-OPEC żied il-prezz taż-żejt għal $ 5.11?</v>
      </c>
    </row>
    <row r="11972" ht="15.75" customHeight="1">
      <c r="A11972" s="2" t="s">
        <v>11972</v>
      </c>
      <c r="B11972" s="2" t="str">
        <f>IFERROR(__xludf.DUMMYFUNCTION("GOOGLETRANSLATE(A11972, ""en"", ""mt"")"),"X’għamel Stephen Kemble li jiggwida t-Teatru Royal?")</f>
        <v>X’għamel Stephen Kemble li jiggwida t-Teatru Royal?</v>
      </c>
    </row>
    <row r="11973" ht="15.75" customHeight="1">
      <c r="A11973" s="2" t="s">
        <v>11973</v>
      </c>
      <c r="B11973" s="2" t="str">
        <f>IFERROR(__xludf.DUMMYFUNCTION("GOOGLETRANSLATE(A11973, ""en"", ""mt"")"),"Liema reġjun huwa rrappreżentat l-iktar fil-kollezzjoni tat-tessuti?")</f>
        <v>Liema reġjun huwa rrappreżentat l-iktar fil-kollezzjoni tat-tessuti?</v>
      </c>
    </row>
    <row r="11974" ht="15.75" customHeight="1">
      <c r="A11974" s="2" t="s">
        <v>11974</v>
      </c>
      <c r="B11974" s="2" t="str">
        <f>IFERROR(__xludf.DUMMYFUNCTION("GOOGLETRANSLATE(A11974, ""en"", ""mt"")"),"It-tilqim jisfrutta liema karatteristika tas-sistema immunitarja tal-bniedem sabiex tkun suċċess?")</f>
        <v>It-tilqim jisfrutta liema karatteristika tas-sistema immunitarja tal-bniedem sabiex tkun suċċess?</v>
      </c>
    </row>
    <row r="11975" ht="15.75" customHeight="1">
      <c r="A11975" s="2" t="s">
        <v>11975</v>
      </c>
      <c r="B11975" s="2" t="str">
        <f>IFERROR(__xludf.DUMMYFUNCTION("GOOGLETRANSLATE(A11975, ""en"", ""mt"")"),"Ir-rally safari famuż fid-dinja")</f>
        <v>Ir-rally safari famuż fid-dinja</v>
      </c>
    </row>
    <row r="11976" ht="15.75" customHeight="1">
      <c r="A11976" s="2" t="s">
        <v>11976</v>
      </c>
      <c r="B11976" s="2" t="str">
        <f>IFERROR(__xludf.DUMMYFUNCTION("GOOGLETRANSLATE(A11976, ""en"", ""mt"")"),"programmi biex tidentifika, tirrekluta u tappoġġja żgħażagħ b'talent")</f>
        <v>programmi biex tidentifika, tirrekluta u tappoġġja żgħażagħ b'talent</v>
      </c>
    </row>
    <row r="11977" ht="15.75" customHeight="1">
      <c r="A11977" s="2" t="s">
        <v>11977</v>
      </c>
      <c r="B11977" s="2" t="str">
        <f>IFERROR(__xludf.DUMMYFUNCTION("GOOGLETRANSLATE(A11977, ""en"", ""mt"")"),"Spettur tal-Bini Muniċipali")</f>
        <v>Spettur tal-Bini Muniċipali</v>
      </c>
    </row>
    <row r="11978" ht="15.75" customHeight="1">
      <c r="A11978" s="2" t="s">
        <v>11978</v>
      </c>
      <c r="B11978" s="2" t="str">
        <f>IFERROR(__xludf.DUMMYFUNCTION("GOOGLETRANSLATE(A11978, ""en"", ""mt"")"),"27.7 miljun tunnellata")</f>
        <v>27.7 miljun tunnellata</v>
      </c>
    </row>
    <row r="11979" ht="15.75" customHeight="1">
      <c r="A11979" s="2" t="s">
        <v>11979</v>
      </c>
      <c r="B11979" s="2" t="str">
        <f>IFERROR(__xludf.DUMMYFUNCTION("GOOGLETRANSLATE(A11979, ""en"", ""mt"")"),"Liema kulturi huma rappreżentati fil-kollezzjonijiet ta 'V&amp;A?")</f>
        <v>Liema kulturi huma rappreżentati fil-kollezzjonijiet ta 'V&amp;A?</v>
      </c>
    </row>
    <row r="11980" ht="15.75" customHeight="1">
      <c r="A11980" s="2" t="s">
        <v>11980</v>
      </c>
      <c r="B11980" s="2" t="str">
        <f>IFERROR(__xludf.DUMMYFUNCTION("GOOGLETRANSLATE(A11980, ""en"", ""mt"")"),"Brick Red u Portland Stone")</f>
        <v>Brick Red u Portland Stone</v>
      </c>
    </row>
    <row r="11981" ht="15.75" customHeight="1">
      <c r="A11981" s="2" t="s">
        <v>11981</v>
      </c>
      <c r="B11981" s="2" t="str">
        <f>IFERROR(__xludf.DUMMYFUNCTION("GOOGLETRANSLATE(A11981, ""en"", ""mt"")"),"Liema rotta jgħaqqad lil Fresno mal-Wied Ċentrali ta 'Kalifornja?")</f>
        <v>Liema rotta jgħaqqad lil Fresno mal-Wied Ċentrali ta 'Kalifornja?</v>
      </c>
    </row>
    <row r="11982" ht="15.75" customHeight="1">
      <c r="A11982" s="2" t="s">
        <v>11982</v>
      </c>
      <c r="B11982" s="2" t="str">
        <f>IFERROR(__xludf.DUMMYFUNCTION("GOOGLETRANSLATE(A11982, ""en"", ""mt"")"),"Nuqqas ta 'akkomodazzjoni bi prezz raġonevoli")</f>
        <v>Nuqqas ta 'akkomodazzjoni bi prezz raġonevoli</v>
      </c>
    </row>
    <row r="11983" ht="15.75" customHeight="1">
      <c r="A11983" s="2" t="s">
        <v>11983</v>
      </c>
      <c r="B11983" s="2" t="str">
        <f>IFERROR(__xludf.DUMMYFUNCTION("GOOGLETRANSLATE(A11983, ""en"", ""mt"")"),"Servizz tal-Ħadd tal-Metodisti fl-Amerika ta ’Fuq")</f>
        <v>Servizz tal-Ħadd tal-Metodisti fl-Amerika ta ’Fuq</v>
      </c>
    </row>
    <row r="11984" ht="15.75" customHeight="1">
      <c r="A11984" s="2" t="s">
        <v>11984</v>
      </c>
      <c r="B11984" s="2" t="str">
        <f>IFERROR(__xludf.DUMMYFUNCTION("GOOGLETRANSLATE(A11984, ""en"", ""mt"")"),"Għaliex Tesla bdiet tinvestiga enerġija inviżibbli?")</f>
        <v>Għaliex Tesla bdiet tinvestiga enerġija inviżibbli?</v>
      </c>
    </row>
    <row r="11985" ht="15.75" customHeight="1">
      <c r="A11985" s="2" t="s">
        <v>11985</v>
      </c>
      <c r="B11985" s="2" t="str">
        <f>IFERROR(__xludf.DUMMYFUNCTION("GOOGLETRANSLATE(A11985, ""en"", ""mt"")"),"Liema teorija tal-qasam xjentifiku rċeviet kontribuzzjonijiet mill-magna tal-fwar?")</f>
        <v>Liema teorija tal-qasam xjentifiku rċeviet kontribuzzjonijiet mill-magna tal-fwar?</v>
      </c>
    </row>
    <row r="11986" ht="15.75" customHeight="1">
      <c r="A11986" s="2" t="s">
        <v>11986</v>
      </c>
      <c r="B11986" s="2" t="str">
        <f>IFERROR(__xludf.DUMMYFUNCTION("GOOGLETRANSLATE(A11986, ""en"", ""mt"")"),"Meuse Estware")</f>
        <v>Meuse Estware</v>
      </c>
    </row>
    <row r="11987" ht="15.75" customHeight="1">
      <c r="A11987" s="2" t="s">
        <v>11987</v>
      </c>
      <c r="B11987" s="2" t="str">
        <f>IFERROR(__xludf.DUMMYFUNCTION("GOOGLETRANSLATE(A11987, ""en"", ""mt"")"),"Meta bdiet ir-rewwixta ta 'Varsavja?")</f>
        <v>Meta bdiet ir-rewwixta ta 'Varsavja?</v>
      </c>
    </row>
    <row r="11988" ht="15.75" customHeight="1">
      <c r="A11988" s="2" t="s">
        <v>11988</v>
      </c>
      <c r="B11988" s="2" t="str">
        <f>IFERROR(__xludf.DUMMYFUNCTION("GOOGLETRANSLATE(A11988, ""en"", ""mt"")"),"X'kien il-prekursur tal-IEEE tal-ġurnata moderna?")</f>
        <v>X'kien il-prekursur tal-IEEE tal-ġurnata moderna?</v>
      </c>
    </row>
    <row r="11989" ht="15.75" customHeight="1">
      <c r="A11989" s="2" t="s">
        <v>11989</v>
      </c>
      <c r="B11989" s="2" t="str">
        <f>IFERROR(__xludf.DUMMYFUNCTION("GOOGLETRANSLATE(A11989, ""en"", ""mt"")"),"2p - 1,")</f>
        <v>2p - 1,</v>
      </c>
    </row>
    <row r="11990" ht="15.75" customHeight="1">
      <c r="A11990" s="2" t="s">
        <v>11990</v>
      </c>
      <c r="B11990" s="2" t="str">
        <f>IFERROR(__xludf.DUMMYFUNCTION("GOOGLETRANSLATE(A11990, ""en"", ""mt"")"),"Kif ġiet murija d-diżubbidjenza ċivili f'Antigone?")</f>
        <v>Kif ġiet murija d-diżubbidjenza ċivili f'Antigone?</v>
      </c>
    </row>
    <row r="11991" ht="15.75" customHeight="1">
      <c r="A11991" s="2" t="s">
        <v>11991</v>
      </c>
      <c r="B11991" s="2" t="str">
        <f>IFERROR(__xludf.DUMMYFUNCTION("GOOGLETRANSLATE(A11991, ""en"", ""mt"")"),"Negozju / Ċentru Finanzjarju tal-Ospitalità")</f>
        <v>Negozju / Ċentru Finanzjarju tal-Ospitalità</v>
      </c>
    </row>
    <row r="11992" ht="15.75" customHeight="1">
      <c r="A11992" s="2" t="s">
        <v>11992</v>
      </c>
      <c r="B11992" s="2" t="str">
        <f>IFERROR(__xludf.DUMMYFUNCTION("GOOGLETRANSLATE(A11992, ""en"", ""mt"")"),"irġiel")</f>
        <v>irġiel</v>
      </c>
    </row>
    <row r="11993" ht="15.75" customHeight="1">
      <c r="A11993" s="2" t="s">
        <v>11993</v>
      </c>
      <c r="B11993" s="2" t="str">
        <f>IFERROR(__xludf.DUMMYFUNCTION("GOOGLETRANSLATE(A11993, ""en"", ""mt"")"),"Italo-Norman jismu Raoul")</f>
        <v>Italo-Norman jismu Raoul</v>
      </c>
    </row>
    <row r="11994" ht="15.75" customHeight="1">
      <c r="A11994" s="2" t="s">
        <v>11994</v>
      </c>
      <c r="B11994" s="2" t="str">
        <f>IFERROR(__xludf.DUMMYFUNCTION("GOOGLETRANSLATE(A11994, ""en"", ""mt"")"),"L-aħħar massimu glaċjali (LGM) u d-deglakjazzjoni sussegwenti")</f>
        <v>L-aħħar massimu glaċjali (LGM) u d-deglakjazzjoni sussegwenti</v>
      </c>
    </row>
    <row r="11995" ht="15.75" customHeight="1">
      <c r="A11995" s="2" t="s">
        <v>11995</v>
      </c>
      <c r="B11995" s="2" t="str">
        <f>IFERROR(__xludf.DUMMYFUNCTION("GOOGLETRANSLATE(A11995, ""en"", ""mt"")"),"Ir-Renu ma kienx magħruf għal Herodotus u l-ewwel jidħol fil-perjodu storiku fis-seklu 1 QK fil-ġeografija tal-era Rumana. Dak iż-żmien, hija ffurmat il-konfini bejn Gaul u Germania. Ir-Renu ta ’Fuq kien ilu parti mill-Areal tal-kultura tal-Hallstatt tard"&amp;" mill-6 seklu QK, u sas-seklu 1 QK, l-areal tal-kultura La Tène kopriet kważi t-tul kollu tagħha, li jifforma żona ta’ kuntatt mal-kultura Jastorf, i.e. Il-lokus ta 'kuntatt kulturali Ċeltiku-Ġermaniku bikri. Fil-ġeografija Rumana, ir-Renu ffurma l-konfin"&amp;"i bejn Gallia u Germania bid-definizzjoni; e.g. Maurus Servius Honoratus, Kummentarju dwar l-Aeneid ta 'Vergil (8.727) (Rhenus) Fluvius Galliae, Qui Germanos A Gallia Dividit ""(Ir-Renu huwa A) Xmara ta' Gaul, li taqsam in-nies Ġermaniċi minn Gaul.""")</f>
        <v>Ir-Renu ma kienx magħruf għal Herodotus u l-ewwel jidħol fil-perjodu storiku fis-seklu 1 QK fil-ġeografija tal-era Rumana. Dak iż-żmien, hija ffurmat il-konfini bejn Gaul u Germania. Ir-Renu ta ’Fuq kien ilu parti mill-Areal tal-kultura tal-Hallstatt tard mill-6 seklu QK, u sas-seklu 1 QK, l-areal tal-kultura La Tène kopriet kważi t-tul kollu tagħha, li jifforma żona ta’ kuntatt mal-kultura Jastorf, i.e. Il-lokus ta 'kuntatt kulturali Ċeltiku-Ġermaniku bikri. Fil-ġeografija Rumana, ir-Renu ffurma l-konfini bejn Gallia u Germania bid-definizzjoni; e.g. Maurus Servius Honoratus, Kummentarju dwar l-Aeneid ta 'Vergil (8.727) (Rhenus) Fluvius Galliae, Qui Germanos A Gallia Dividit "(Ir-Renu huwa A) Xmara ta' Gaul, li taqsam in-nies Ġermaniċi minn Gaul."</v>
      </c>
    </row>
    <row r="11996" ht="15.75" customHeight="1">
      <c r="A11996" s="2" t="s">
        <v>11996</v>
      </c>
      <c r="B11996" s="2" t="str">
        <f>IFERROR(__xludf.DUMMYFUNCTION("GOOGLETRANSLATE(A11996, ""en"", ""mt"")"),"L-Ungeriżi taħt Ferenc Deák")</f>
        <v>L-Ungeriżi taħt Ferenc Deák</v>
      </c>
    </row>
    <row r="11997" ht="15.75" customHeight="1">
      <c r="A11997" s="2" t="s">
        <v>11997</v>
      </c>
      <c r="B11997" s="2" t="str">
        <f>IFERROR(__xludf.DUMMYFUNCTION("GOOGLETRANSLATE(A11997, ""en"", ""mt"")"),"X'inhi l-ġeoloġija strutturali?")</f>
        <v>X'inhi l-ġeoloġija strutturali?</v>
      </c>
    </row>
    <row r="11998" ht="15.75" customHeight="1">
      <c r="A11998" s="2" t="s">
        <v>11998</v>
      </c>
      <c r="B11998" s="2" t="str">
        <f>IFERROR(__xludf.DUMMYFUNCTION("GOOGLETRANSLATE(A11998, ""en"", ""mt"")"),"F’ħafna pajjiżi, hemm differenza fil-pagi bejn is-sessi favur l-irġiel fis-suq tax-xogħol. Diversi fatturi għajr diskriminazzjoni jistgħu jikkontribwixxu għal dan id-distakk. Bħala medja, in-nisa huma aktar probabbli mill-irġiel li jikkunsidraw fatturi oħ"&amp;"ra milli jħallsu meta jkunu qed ifittxu xogħol, u jistgħu jkunu inqas lesti li jivvjaġġaw jew jirrilokaw. Thomas Sowell, fl-għarfien u d-deċiżjonijiet tal-ktieb tiegħu, jiddikjara li din id-differenza hija dovuta għal nisa li ma jieħdu xogħol minħabba żwi"&amp;"eġ jew tqala, iżda studji dwar id-dħul juru li dan ma jispjegax id-differenza kollha. Ir-rapport ta 'ċensiment ta' l-Istati Uniti ddikjara li fl-Istati Uniti ladarba fatturi oħra huma kkontabilizzati għad hemm differenza fil-qligħ bejn in-nisa u l-irġiel."&amp;" Id-differenza fid-dħul f'pajjiżi oħra tvarja minn 53% fil-Botswana għal -40% fil-Baħrejn.")</f>
        <v>F’ħafna pajjiżi, hemm differenza fil-pagi bejn is-sessi favur l-irġiel fis-suq tax-xogħol. Diversi fatturi għajr diskriminazzjoni jistgħu jikkontribwixxu għal dan id-distakk. Bħala medja, in-nisa huma aktar probabbli mill-irġiel li jikkunsidraw fatturi oħra milli jħallsu meta jkunu qed ifittxu xogħol, u jistgħu jkunu inqas lesti li jivvjaġġaw jew jirrilokaw. Thomas Sowell, fl-għarfien u d-deċiżjonijiet tal-ktieb tiegħu, jiddikjara li din id-differenza hija dovuta għal nisa li ma jieħdu xogħol minħabba żwieġ jew tqala, iżda studji dwar id-dħul juru li dan ma jispjegax id-differenza kollha. Ir-rapport ta 'ċensiment ta' l-Istati Uniti ddikjara li fl-Istati Uniti ladarba fatturi oħra huma kkontabilizzati għad hemm differenza fil-qligħ bejn in-nisa u l-irġiel. Id-differenza fid-dħul f'pajjiżi oħra tvarja minn 53% fil-Botswana għal -40% fil-Baħrejn.</v>
      </c>
    </row>
    <row r="11999" ht="15.75" customHeight="1">
      <c r="A11999" s="2" t="s">
        <v>11999</v>
      </c>
      <c r="B11999" s="2" t="str">
        <f>IFERROR(__xludf.DUMMYFUNCTION("GOOGLETRANSLATE(A11999, ""en"", ""mt"")"),"Disturbi tas-sistema immunitarja jistgħu jirriżultaw f'mard awtoimmuni, mard infjammatorju u kanċer. L-immunodefiċjenza sseħħ meta s-sistema immunitarja tkun inqas attiva min-normal, li tirriżulta f'infezzjonijiet rikorrenti u li jheddu l-ħajja. Fil-bnedm"&amp;"in, l-immunodefiċjenza tista 'tkun jew ir-riżultat ta' marda ġenetika bħal immunodefiċjenza severa kkombinata, kundizzjonijiet akkwistati bħal HIV / AIDS, jew l-użu ta 'medikazzjoni immunosoppressiva. B'kuntrast, l-awtoimmunità tirriżulta minn sistema imm"&amp;"uni iperattiva li tattakka tessuti normali daqs li kieku kienu organiżmi barranin. Mard awtoimmuni komuni jinkludi t-tirojde ta 'Hashimoto, l-artrite rewmatojde, id-dijabete mellitus tat-tip 1, u l-lupus eritematosu sistemiku. L-immunoloġija tkopri l-istu"&amp;"dju tal-aspetti kollha tas-sistema immunitarja.")</f>
        <v>Disturbi tas-sistema immunitarja jistgħu jirriżultaw f'mard awtoimmuni, mard infjammatorju u kanċer. L-immunodefiċjenza sseħħ meta s-sistema immunitarja tkun inqas attiva min-normal, li tirriżulta f'infezzjonijiet rikorrenti u li jheddu l-ħajja. Fil-bnedmin, l-immunodefiċjenza tista 'tkun jew ir-riżultat ta' marda ġenetika bħal immunodefiċjenza severa kkombinata, kundizzjonijiet akkwistati bħal HIV / AIDS, jew l-użu ta 'medikazzjoni immunosoppressiva. B'kuntrast, l-awtoimmunità tirriżulta minn sistema immuni iperattiva li tattakka tessuti normali daqs li kieku kienu organiżmi barranin. Mard awtoimmuni komuni jinkludi t-tirojde ta 'Hashimoto, l-artrite rewmatojde, id-dijabete mellitus tat-tip 1, u l-lupus eritematosu sistemiku. L-immunoloġija tkopri l-istudju tal-aspetti kollha tas-sistema immunitarja.</v>
      </c>
    </row>
    <row r="12000" ht="15.75" customHeight="1">
      <c r="A12000" s="2" t="s">
        <v>12000</v>
      </c>
      <c r="B12000" s="2" t="str">
        <f>IFERROR(__xludf.DUMMYFUNCTION("GOOGLETRANSLATE(A12000, ""en"", ""mt"")"),"President u CEO")</f>
        <v>President u CEO</v>
      </c>
    </row>
    <row r="12001" ht="15.75" customHeight="1">
      <c r="A12001" s="2" t="s">
        <v>12001</v>
      </c>
      <c r="B12001" s="2" t="str">
        <f>IFERROR(__xludf.DUMMYFUNCTION("GOOGLETRANSLATE(A12001, ""en"", ""mt"")"),"L-Afrika tal-Lvant Brittanika (kif kien ġeneralment magħruf il-protettorat) u l-Afrika tal-Lvant Ġermaniża")</f>
        <v>L-Afrika tal-Lvant Brittanika (kif kien ġeneralment magħruf il-protettorat) u l-Afrika tal-Lvant Ġermaniża</v>
      </c>
    </row>
    <row r="12002" ht="15.75" customHeight="1">
      <c r="A12002" s="2" t="s">
        <v>12002</v>
      </c>
      <c r="B12002" s="2" t="str">
        <f>IFERROR(__xludf.DUMMYFUNCTION("GOOGLETRANSLATE(A12002, ""en"", ""mt"")"),"Notazzjoni preċiża ħafna ta 'pronunzja Afrikana korretta")</f>
        <v>Notazzjoni preċiża ħafna ta 'pronunzja Afrikana korretta</v>
      </c>
    </row>
    <row r="12003" ht="15.75" customHeight="1">
      <c r="A12003" s="2" t="s">
        <v>12003</v>
      </c>
      <c r="B12003" s="2" t="str">
        <f>IFERROR(__xludf.DUMMYFUNCTION("GOOGLETRANSLATE(A12003, ""en"", ""mt"")"),"X'kienet Varsavja l-iktar diversa fil-Polonja?")</f>
        <v>X'kienet Varsavja l-iktar diversa fil-Polonja?</v>
      </c>
    </row>
    <row r="12004" ht="15.75" customHeight="1">
      <c r="A12004" s="2" t="s">
        <v>12004</v>
      </c>
      <c r="B12004" s="2" t="str">
        <f>IFERROR(__xludf.DUMMYFUNCTION("GOOGLETRANSLATE(A12004, ""en"", ""mt"")"),"il-mantell tal-konvetti")</f>
        <v>il-mantell tal-konvetti</v>
      </c>
    </row>
    <row r="12005" ht="15.75" customHeight="1">
      <c r="A12005" s="2" t="s">
        <v>12005</v>
      </c>
      <c r="B12005" s="2" t="str">
        <f>IFERROR(__xludf.DUMMYFUNCTION("GOOGLETRANSLATE(A12005, ""en"", ""mt"")"),"X’ġiegħel il-kriżi taż-żejt agħar fl-Istati Uniti?")</f>
        <v>X’ġiegħel il-kriżi taż-żejt agħar fl-Istati Uniti?</v>
      </c>
    </row>
    <row r="12006" ht="15.75" customHeight="1">
      <c r="A12006" s="2" t="s">
        <v>12006</v>
      </c>
      <c r="B12006" s="2" t="str">
        <f>IFERROR(__xludf.DUMMYFUNCTION("GOOGLETRANSLATE(A12006, ""en"", ""mt"")"),"Meta ġiet introdotta l-Iskola Primarja Ħieles?")</f>
        <v>Meta ġiet introdotta l-Iskola Primarja Ħieles?</v>
      </c>
    </row>
    <row r="12007" ht="15.75" customHeight="1">
      <c r="A12007" s="2" t="s">
        <v>12007</v>
      </c>
      <c r="B12007" s="2" t="str">
        <f>IFERROR(__xludf.DUMMYFUNCTION("GOOGLETRANSLATE(A12007, ""en"", ""mt"")"),"Shiphrah u Puah irrifjutaw ordni diretta tal-Fargħun iżda rrappreżentaw ħażin kif għamlu dan")</f>
        <v>Shiphrah u Puah irrifjutaw ordni diretta tal-Fargħun iżda rrappreżentaw ħażin kif għamlu dan</v>
      </c>
    </row>
    <row r="12008" ht="15.75" customHeight="1">
      <c r="A12008" s="2" t="s">
        <v>12008</v>
      </c>
      <c r="B12008" s="2" t="str">
        <f>IFERROR(__xludf.DUMMYFUNCTION("GOOGLETRANSLATE(A12008, ""en"", ""mt"")"),"mapep")</f>
        <v>mapep</v>
      </c>
    </row>
    <row r="12009" ht="15.75" customHeight="1">
      <c r="A12009" s="2" t="s">
        <v>12009</v>
      </c>
      <c r="B12009" s="2" t="str">
        <f>IFERROR(__xludf.DUMMYFUNCTION("GOOGLETRANSLATE(A12009, ""en"", ""mt"")"),"X'kien l-isem tal-konkors sponsorjat minn QuickBooks?")</f>
        <v>X'kien l-isem tal-konkors sponsorjat minn QuickBooks?</v>
      </c>
    </row>
    <row r="12010" ht="15.75" customHeight="1">
      <c r="A12010" s="2" t="s">
        <v>12010</v>
      </c>
      <c r="B12010" s="2" t="str">
        <f>IFERROR(__xludf.DUMMYFUNCTION("GOOGLETRANSLATE(A12010, ""en"", ""mt"")"),"Rutherford Grammar School,")</f>
        <v>Rutherford Grammar School,</v>
      </c>
    </row>
    <row r="12011" ht="15.75" customHeight="1">
      <c r="A12011" s="2" t="s">
        <v>12011</v>
      </c>
      <c r="B12011" s="2" t="str">
        <f>IFERROR(__xludf.DUMMYFUNCTION("GOOGLETRANSLATE(A12011, ""en"", ""mt"")"),"X’kienu l-pjanijiet Ingliżi kontra l-Franċiż?")</f>
        <v>X’kienu l-pjanijiet Ingliżi kontra l-Franċiż?</v>
      </c>
    </row>
    <row r="12012" ht="15.75" customHeight="1">
      <c r="A12012" s="2" t="s">
        <v>12012</v>
      </c>
      <c r="B12012" s="2" t="str">
        <f>IFERROR(__xludf.DUMMYFUNCTION("GOOGLETRANSLATE(A12012, ""en"", ""mt"")"),"Fejn saret il-famuż protesta famuża?")</f>
        <v>Fejn saret il-famuż protesta famuża?</v>
      </c>
    </row>
    <row r="12013" ht="15.75" customHeight="1">
      <c r="A12013" s="2" t="s">
        <v>12013</v>
      </c>
      <c r="B12013" s="2" t="str">
        <f>IFERROR(__xludf.DUMMYFUNCTION("GOOGLETRANSLATE(A12013, ""en"", ""mt"")"),"L-armata Mongoljana taħt Genghis Khan, il-Ġenerali u wliedu qasmu l-Muntanji Tien Shan billi daħlu fiż-żona kkontrollata mill-Imperu Khwarezmian. Wara li ġab l-intelliġenza minn bosta sorsi Genghis Khan ħejja bir-reqqa l-armata tiegħu, li kienet maqsuma f"&amp;"i tliet gruppi. Ibnu Jochi mexxa l-ewwel diviżjoni fil-grigal ta 'Khwarezmia. It-tieni diviżjoni taħt Jebe marret b’mod sigriet lejn il-parti tax-Xlokk ta ’Khwarzemia biex tifforma, bl-ewwel diviżjoni, attakk ta’ Pincer fuq Samarkand. It-tielet diviżjoni "&amp;"taħt Genghis Khan u Tolui marru lejn il-majjistral u attakkaw lil Khwarzemia minn dik id-direzzjoni.")</f>
        <v>L-armata Mongoljana taħt Genghis Khan, il-Ġenerali u wliedu qasmu l-Muntanji Tien Shan billi daħlu fiż-żona kkontrollata mill-Imperu Khwarezmian. Wara li ġab l-intelliġenza minn bosta sorsi Genghis Khan ħejja bir-reqqa l-armata tiegħu, li kienet maqsuma fi tliet gruppi. Ibnu Jochi mexxa l-ewwel diviżjoni fil-grigal ta 'Khwarezmia. It-tieni diviżjoni taħt Jebe marret b’mod sigriet lejn il-parti tax-Xlokk ta ’Khwarzemia biex tifforma, bl-ewwel diviżjoni, attakk ta’ Pincer fuq Samarkand. It-tielet diviżjoni taħt Genghis Khan u Tolui marru lejn il-majjistral u attakkaw lil Khwarzemia minn dik id-direzzjoni.</v>
      </c>
    </row>
    <row r="12014" ht="15.75" customHeight="1">
      <c r="A12014" s="2" t="s">
        <v>12014</v>
      </c>
      <c r="B12014" s="2" t="str">
        <f>IFERROR(__xludf.DUMMYFUNCTION("GOOGLETRANSLATE(A12014, ""en"", ""mt"")"),"X'inhu l-polipeptidu tal-kloroplast sintetizzati?")</f>
        <v>X'inhu l-polipeptidu tal-kloroplast sintetizzati?</v>
      </c>
    </row>
    <row r="12015" ht="15.75" customHeight="1">
      <c r="A12015" s="2" t="s">
        <v>12015</v>
      </c>
      <c r="B12015" s="2" t="str">
        <f>IFERROR(__xludf.DUMMYFUNCTION("GOOGLETRANSLATE(A12015, ""en"", ""mt"")"),"Ostakli Fiżiċi")</f>
        <v>Ostakli Fiżiċi</v>
      </c>
    </row>
    <row r="12016" ht="15.75" customHeight="1">
      <c r="A12016" s="2" t="s">
        <v>12016</v>
      </c>
      <c r="B12016" s="2" t="str">
        <f>IFERROR(__xludf.DUMMYFUNCTION("GOOGLETRANSLATE(A12016, ""en"", ""mt"")"),"Reġjun Ċentrali")</f>
        <v>Reġjun Ċentrali</v>
      </c>
    </row>
    <row r="12017" ht="15.75" customHeight="1">
      <c r="A12017" s="2" t="s">
        <v>12017</v>
      </c>
      <c r="B12017" s="2" t="str">
        <f>IFERROR(__xludf.DUMMYFUNCTION("GOOGLETRANSLATE(A12017, ""en"", ""mt"")"),"X'tip ta 'professjonisti huma l-ispiżjara?")</f>
        <v>X'tip ta 'professjonisti huma l-ispiżjara?</v>
      </c>
    </row>
    <row r="12018" ht="15.75" customHeight="1">
      <c r="A12018" s="2" t="s">
        <v>12018</v>
      </c>
      <c r="B12018" s="2" t="str">
        <f>IFERROR(__xludf.DUMMYFUNCTION("GOOGLETRANSLATE(A12018, ""en"", ""mt"")"),"Minn madwar is-sena 2000, numru dejjem jikber ta 'spiżeriji tal-internet ġew stabbiliti mad-dinja kollha. Ħafna minn dawn l-ispiżeriji huma simili għall-ispiżeriji tal-komunità, u fil-fatt, ħafna minnhom huma attwalment imħaddma minn spiżeriji tal-komunit"&amp;"à tal-briks u l-ġir li jservu lill-konsumaturi online u dawk li jimxu fil-bieb tagħhom. Id-differenza primarja hija l-metodu li bih il-mediċini huma mitluba u riċevuti. Xi klijenti jqisu li dan huwa metodu aktar konvenjenti u privat aktar milli jivvjaġġaw"&amp;" lejn mediċina tal-komunità fejn klijent ieħor jista 'jisma' dwar il-mediċini li jieħdu. L-ispiżeriji tal-Internet (magħrufa wkoll bħala spiżeriji onlajn) huma rrakkomandati wkoll lil xi pazjenti mit-tobba tagħhom jekk huma homebound.")</f>
        <v>Minn madwar is-sena 2000, numru dejjem jikber ta 'spiżeriji tal-internet ġew stabbiliti mad-dinja kollha. Ħafna minn dawn l-ispiżeriji huma simili għall-ispiżeriji tal-komunità, u fil-fatt, ħafna minnhom huma attwalment imħaddma minn spiżeriji tal-komunità tal-briks u l-ġir li jservu lill-konsumaturi online u dawk li jimxu fil-bieb tagħhom. Id-differenza primarja hija l-metodu li bih il-mediċini huma mitluba u riċevuti. Xi klijenti jqisu li dan huwa metodu aktar konvenjenti u privat aktar milli jivvjaġġaw lejn mediċina tal-komunità fejn klijent ieħor jista 'jisma' dwar il-mediċini li jieħdu. L-ispiżeriji tal-Internet (magħrufa wkoll bħala spiżeriji onlajn) huma rrakkomandati wkoll lil xi pazjenti mit-tobba tagħhom jekk huma homebound.</v>
      </c>
    </row>
    <row r="12019" ht="15.75" customHeight="1">
      <c r="A12019" s="2" t="s">
        <v>12019</v>
      </c>
      <c r="B12019" s="2" t="str">
        <f>IFERROR(__xludf.DUMMYFUNCTION("GOOGLETRANSLATE(A12019, ""en"", ""mt"")"),"Kif jissejjaħ it-tarf tal-plateau tal-moraine?")</f>
        <v>Kif jissejjaħ it-tarf tal-plateau tal-moraine?</v>
      </c>
    </row>
    <row r="12020" ht="15.75" customHeight="1">
      <c r="A12020" s="2" t="s">
        <v>12020</v>
      </c>
      <c r="B12020" s="2" t="str">
        <f>IFERROR(__xludf.DUMMYFUNCTION("GOOGLETRANSLATE(A12020, ""en"", ""mt"")"),"Matul il-ħin tiegħu fil-laboratorju tiegħu, Tesla osservat sinjali mhux tas-soltu mir-riċevitur tiegħu li huwa kkonkluda jistgħu jkunu komunikazzjonijiet minn pjaneta oħra. Huwa semmahom f'ittra lir-reporter Julian Hawthorne fil-Philadelphia ta 'l-Amerika"&amp;" ta' Fuq fit-8 ta 'Diċembru 1899 u f'ittra ta' Diċembru 1900 dwar skoperti possibbli fis-seklu l-ġdid għas-Soċjetà tas-Salib l-Aħmar fejn irrefera għal messaġġi ""minn dinja oħra"" li qrajt "" 1 ... 2 ... 3 ... "". Ir-rappurtaturi ttrattawha bħala storja "&amp;"sensazzjonali u qabżu għall-konklużjoni li Tesla kienet qed tisma 'sinjali minn Mars. Huwa kiber fuq is-sinjali li sema 'fl-artiklu ta' kull ġimgħa ta 'Collier tad-9 ta' Frar 1901 ""Tkellem mal-Pjaneti"" fejn qal li ma kienx jidher immedjatament għalih li"&amp;" kien qed jisma '""sinjali kkontrollati b'mod intelliġenti"" u li s-sinjali jistgħu jiġu minn Mars, Venus , jew pjaneti oħra. Ġie ipotesi li huwa seta 'interċetta l-esperimenti Ewropej ta' Marconi f'Lulju 1899 - Marconi jista 'jkun trasmess l-ittra S (DOT"&amp;" / DOT / DOT) f'dimostrazzjoni navali, l-istess tliet impulsi li Tesla ħjiel fis-smigħ fil-Colorado - jew sinjali minn Esperimentatur ieħor fit-trasmissjoni bla fili.")</f>
        <v>Matul il-ħin tiegħu fil-laboratorju tiegħu, Tesla osservat sinjali mhux tas-soltu mir-riċevitur tiegħu li huwa kkonkluda jistgħu jkunu komunikazzjonijiet minn pjaneta oħra. Huwa semmahom f'ittra lir-reporter Julian Hawthorne fil-Philadelphia ta 'l-Amerika ta' Fuq fit-8 ta 'Diċembru 1899 u f'ittra ta' Diċembru 1900 dwar skoperti possibbli fis-seklu l-ġdid għas-Soċjetà tas-Salib l-Aħmar fejn irrefera għal messaġġi "minn dinja oħra" li qrajt " 1 ... 2 ... 3 ... ". Ir-rappurtaturi ttrattawha bħala storja sensazzjonali u qabżu għall-konklużjoni li Tesla kienet qed tisma 'sinjali minn Mars. Huwa kiber fuq is-sinjali li sema 'fl-artiklu ta' kull ġimgħa ta 'Collier tad-9 ta' Frar 1901 "Tkellem mal-Pjaneti" fejn qal li ma kienx jidher immedjatament għalih li kien qed jisma '"sinjali kkontrollati b'mod intelliġenti" u li s-sinjali jistgħu jiġu minn Mars, Venus , jew pjaneti oħra. Ġie ipotesi li huwa seta 'interċetta l-esperimenti Ewropej ta' Marconi f'Lulju 1899 - Marconi jista 'jkun trasmess l-ittra S (DOT / DOT / DOT) f'dimostrazzjoni navali, l-istess tliet impulsi li Tesla ħjiel fis-smigħ fil-Colorado - jew sinjali minn Esperimentatur ieħor fit-trasmissjoni bla fili.</v>
      </c>
    </row>
    <row r="12021" ht="15.75" customHeight="1">
      <c r="A12021" s="2" t="s">
        <v>12021</v>
      </c>
      <c r="B12021" s="2" t="str">
        <f>IFERROR(__xludf.DUMMYFUNCTION("GOOGLETRANSLATE(A12021, ""en"", ""mt"")"),"Modulu tas-Servizz")</f>
        <v>Modulu tas-Servizz</v>
      </c>
    </row>
    <row r="12022" ht="15.75" customHeight="1">
      <c r="A12022" s="2" t="s">
        <v>12022</v>
      </c>
      <c r="B12022" s="2" t="str">
        <f>IFERROR(__xludf.DUMMYFUNCTION("GOOGLETRANSLATE(A12022, ""en"", ""mt"")"),"teżaġera s-serjetà tagħhom")</f>
        <v>teżaġera s-serjetà tagħhom</v>
      </c>
    </row>
    <row r="12023" ht="15.75" customHeight="1">
      <c r="A12023" s="2" t="s">
        <v>12023</v>
      </c>
      <c r="B12023" s="2" t="str">
        <f>IFERROR(__xludf.DUMMYFUNCTION("GOOGLETRANSLATE(A12023, ""en"", ""mt"")"),"ħames pulzieri")</f>
        <v>ħames pulzieri</v>
      </c>
    </row>
    <row r="12024" ht="15.75" customHeight="1">
      <c r="A12024" s="2" t="s">
        <v>12024</v>
      </c>
      <c r="B12024" s="2" t="str">
        <f>IFERROR(__xludf.DUMMYFUNCTION("GOOGLETRANSLATE(A12024, ""en"", ""mt"")"),"Età sitt snin")</f>
        <v>Età sitt snin</v>
      </c>
    </row>
    <row r="12025" ht="15.75" customHeight="1">
      <c r="A12025" s="2" t="s">
        <v>12025</v>
      </c>
      <c r="B12025" s="2" t="str">
        <f>IFERROR(__xludf.DUMMYFUNCTION("GOOGLETRANSLATE(A12025, ""en"", ""mt"")"),"F'liema xahar il-kaċċa tal-kennies tal-università?")</f>
        <v>F'liema xahar il-kaċċa tal-kennies tal-università?</v>
      </c>
    </row>
    <row r="12026" ht="15.75" customHeight="1">
      <c r="A12026" s="2" t="s">
        <v>12026</v>
      </c>
      <c r="B12026" s="2" t="str">
        <f>IFERROR(__xludf.DUMMYFUNCTION("GOOGLETRANSLATE(A12026, ""en"", ""mt"")"),"tirrifjuta li tiffirma l-ħelsien mill-arrest")</f>
        <v>tirrifjuta li tiffirma l-ħelsien mill-arrest</v>
      </c>
    </row>
    <row r="12027" ht="15.75" customHeight="1">
      <c r="A12027" s="2" t="s">
        <v>12027</v>
      </c>
      <c r="B12027" s="2" t="str">
        <f>IFERROR(__xludf.DUMMYFUNCTION("GOOGLETRANSLATE(A12027, ""en"", ""mt"")"),"Denominazzjoni Protestanti")</f>
        <v>Denominazzjoni Protestanti</v>
      </c>
    </row>
    <row r="12028" ht="15.75" customHeight="1">
      <c r="A12028" s="2" t="s">
        <v>12028</v>
      </c>
      <c r="B12028" s="2" t="str">
        <f>IFERROR(__xludf.DUMMYFUNCTION("GOOGLETRANSLATE(A12028, ""en"", ""mt"")"),"Fejn ħarbu r-residenti ta 'Antijokja?")</f>
        <v>Fejn ħarbu r-residenti ta 'Antijokja?</v>
      </c>
    </row>
    <row r="12029" ht="15.75" customHeight="1">
      <c r="A12029" s="2" t="s">
        <v>12029</v>
      </c>
      <c r="B12029" s="2" t="str">
        <f>IFERROR(__xludf.DUMMYFUNCTION("GOOGLETRANSLATE(A12029, ""en"", ""mt"")"),"Liema partit jirregola fir-reġjuni ta 'ġewwa ta' Melbourne?")</f>
        <v>Liema partit jirregola fir-reġjuni ta 'ġewwa ta' Melbourne?</v>
      </c>
    </row>
    <row r="12030" ht="15.75" customHeight="1">
      <c r="A12030" s="2" t="s">
        <v>12030</v>
      </c>
      <c r="B12030" s="2" t="str">
        <f>IFERROR(__xludf.DUMMYFUNCTION("GOOGLETRANSLATE(A12030, ""en"", ""mt"")"),"Liġi tal-Unjoni Ewropea")</f>
        <v>Liġi tal-Unjoni Ewropea</v>
      </c>
    </row>
    <row r="12031" ht="15.75" customHeight="1">
      <c r="A12031" s="2" t="s">
        <v>12031</v>
      </c>
      <c r="B12031" s="2" t="str">
        <f>IFERROR(__xludf.DUMMYFUNCTION("GOOGLETRANSLATE(A12031, ""en"", ""mt"")"),"Anġina")</f>
        <v>Anġina</v>
      </c>
    </row>
    <row r="12032" ht="15.75" customHeight="1">
      <c r="A12032" s="2" t="s">
        <v>12032</v>
      </c>
      <c r="B12032" s="2" t="str">
        <f>IFERROR(__xludf.DUMMYFUNCTION("GOOGLETRANSLATE(A12032, ""en"", ""mt"")"),"Liema arma kkawżat il-feriti li qatlu t-Tangut Ġenerali Ma Jianlong?")</f>
        <v>Liema arma kkawżat il-feriti li qatlu t-Tangut Ġenerali Ma Jianlong?</v>
      </c>
    </row>
    <row r="12033" ht="15.75" customHeight="1">
      <c r="A12033" s="2" t="s">
        <v>12033</v>
      </c>
      <c r="B12033" s="2" t="str">
        <f>IFERROR(__xludf.DUMMYFUNCTION("GOOGLETRANSLATE(A12033, ""en"", ""mt"")"),"Leġislazzjoni dwar l-ispiżerija")</f>
        <v>Leġislazzjoni dwar l-ispiżerija</v>
      </c>
    </row>
    <row r="12034" ht="15.75" customHeight="1">
      <c r="A12034" s="2" t="s">
        <v>12034</v>
      </c>
      <c r="B12034" s="2" t="str">
        <f>IFERROR(__xludf.DUMMYFUNCTION("GOOGLETRANSLATE(A12034, ""en"", ""mt"")"),"Rigal b'xejn")</f>
        <v>Rigal b'xejn</v>
      </c>
    </row>
    <row r="12035" ht="15.75" customHeight="1">
      <c r="A12035" s="2" t="s">
        <v>12035</v>
      </c>
      <c r="B12035" s="2" t="str">
        <f>IFERROR(__xludf.DUMMYFUNCTION("GOOGLETRANSLATE(A12035, ""en"", ""mt"")"),"Min ikkompona t-Tabib Min Mużika Inċidentali mill-2005?")</f>
        <v>Min ikkompona t-Tabib Min Mużika Inċidentali mill-2005?</v>
      </c>
    </row>
    <row r="12036" ht="15.75" customHeight="1">
      <c r="A12036" s="2" t="s">
        <v>12036</v>
      </c>
      <c r="B12036" s="2" t="str">
        <f>IFERROR(__xludf.DUMMYFUNCTION("GOOGLETRANSLATE(A12036, ""en"", ""mt"")"),"Matul ir-rikostruzzjoni u l-età indurata, Jacksonville u l-viċin San Wistin saru resorts popolari tax-xitwa għall-għonja u l-famużi. Il-viżitaturi waslu minn Steamboat u aktar tard bil-ferrovija. Il-President Grover Cleveland attenda l-espożizzjoni sub-tr"&amp;"opikali fil-belt fit-22 ta 'Frar, 1888 waqt il-vjaġġ tiegħu lejn Florida. Dan enfasizza l-viżibbiltà tal-istat bħala post denju għat-turiżmu. It-turiżmu tal-belt, madankollu, ġie ttrattat daqqa kbira fl-aħħar tas-seklu 19 minn tifqigħat tad-deni isfar. Ba"&amp;"rra minn hekk, l-estensjoni tal-Ferrovija tal-Kosta tal-Lvant tal-Florida aktar fin-nofsinhar ġibdet viżitaturi għal żoni oħra. Mill-1893 sal-1938 Jacksonville kien is-sit tas-Suldati Konfederati l-Qadim tal-Florida u l-Baħħara d-dar ma 'ċimiterju fil-qri"&amp;"b.")</f>
        <v>Matul ir-rikostruzzjoni u l-età indurata, Jacksonville u l-viċin San Wistin saru resorts popolari tax-xitwa għall-għonja u l-famużi. Il-viżitaturi waslu minn Steamboat u aktar tard bil-ferrovija. Il-President Grover Cleveland attenda l-espożizzjoni sub-tropikali fil-belt fit-22 ta 'Frar, 1888 waqt il-vjaġġ tiegħu lejn Florida. Dan enfasizza l-viżibbiltà tal-istat bħala post denju għat-turiżmu. It-turiżmu tal-belt, madankollu, ġie ttrattat daqqa kbira fl-aħħar tas-seklu 19 minn tifqigħat tad-deni isfar. Barra minn hekk, l-estensjoni tal-Ferrovija tal-Kosta tal-Lvant tal-Florida aktar fin-nofsinhar ġibdet viżitaturi għal żoni oħra. Mill-1893 sal-1938 Jacksonville kien is-sit tas-Suldati Konfederati l-Qadim tal-Florida u l-Baħħara d-dar ma 'ċimiterju fil-qrib.</v>
      </c>
    </row>
    <row r="12037" ht="15.75" customHeight="1">
      <c r="A12037" s="2" t="s">
        <v>12037</v>
      </c>
      <c r="B12037" s="2" t="str">
        <f>IFERROR(__xludf.DUMMYFUNCTION("GOOGLETRANSLATE(A12037, ""en"", ""mt"")"),"Kemm affiljati jxandru s-servizz tal-grupp jew li għandhom?")</f>
        <v>Kemm affiljati jxandru s-servizz tal-grupp jew li għandhom?</v>
      </c>
    </row>
    <row r="12038" ht="15.75" customHeight="1">
      <c r="A12038" s="2" t="s">
        <v>12038</v>
      </c>
      <c r="B12038" s="2" t="str">
        <f>IFERROR(__xludf.DUMMYFUNCTION("GOOGLETRANSLATE(A12038, ""en"", ""mt"")"),"Sal-ftuħ tal-Konferenza Ġenerali tal-2008, x'kienet is-sħubija totali tal-UMC?")</f>
        <v>Sal-ftuħ tal-Konferenza Ġenerali tal-2008, x'kienet is-sħubija totali tal-UMC?</v>
      </c>
    </row>
    <row r="12039" ht="15.75" customHeight="1">
      <c r="A12039" s="2" t="s">
        <v>12039</v>
      </c>
      <c r="B12039" s="2" t="str">
        <f>IFERROR(__xludf.DUMMYFUNCTION("GOOGLETRANSLATE(A12039, ""en"", ""mt"")"),"X'kienet il-protesta f'Antigone?")</f>
        <v>X'kienet il-protesta f'Antigone?</v>
      </c>
    </row>
    <row r="12040" ht="15.75" customHeight="1">
      <c r="A12040" s="2" t="s">
        <v>12040</v>
      </c>
      <c r="B12040" s="2" t="str">
        <f>IFERROR(__xludf.DUMMYFUNCTION("GOOGLETRANSLATE(A12040, ""en"", ""mt"")"),"Tnaqqis fil-prezz tax-xogħol tas-sengħa")</f>
        <v>Tnaqqis fil-prezz tax-xogħol tas-sengħa</v>
      </c>
    </row>
    <row r="12041" ht="15.75" customHeight="1">
      <c r="A12041" s="2" t="s">
        <v>12041</v>
      </c>
      <c r="B12041" s="2" t="str">
        <f>IFERROR(__xludf.DUMMYFUNCTION("GOOGLETRANSLATE(A12041, ""en"", ""mt"")"),"NBC Blue u NBC Red")</f>
        <v>NBC Blue u NBC Red</v>
      </c>
    </row>
    <row r="12042" ht="15.75" customHeight="1">
      <c r="A12042" s="2" t="s">
        <v>12042</v>
      </c>
      <c r="B12042" s="2" t="str">
        <f>IFERROR(__xludf.DUMMYFUNCTION("GOOGLETRANSLATE(A12042, ""en"", ""mt"")"),"Il-Kaptan Francis Fowke")</f>
        <v>Il-Kaptan Francis Fowke</v>
      </c>
    </row>
    <row r="12043" ht="15.75" customHeight="1">
      <c r="A12043" s="2" t="s">
        <v>12043</v>
      </c>
      <c r="B12043" s="2" t="str">
        <f>IFERROR(__xludf.DUMMYFUNCTION("GOOGLETRANSLATE(A12043, ""en"", ""mt"")"),"Liema fatturi kellhom impatt negattiv fuq Jacksonville wara l-gwerra?")</f>
        <v>Liema fatturi kellhom impatt negattiv fuq Jacksonville wara l-gwerra?</v>
      </c>
    </row>
    <row r="12044" ht="15.75" customHeight="1">
      <c r="A12044" s="2" t="s">
        <v>12044</v>
      </c>
      <c r="B12044" s="2" t="str">
        <f>IFERROR(__xludf.DUMMYFUNCTION("GOOGLETRANSLATE(A12044, ""en"", ""mt"")"),"Il-fakultà attwali tinkludi l-antropologu Marshall Sahlins, l-istoriku Dipesh Chakrabarty, il-paleontologi Neil Shubin u Paul Sereno, il-bijologu evoluzzjonarju Jerry Coyne, il-fiżiċista rebbieħ tal-Premju Nobel Yoichiro Nambu, il-fiżiċista rebbieħa tal-P"&amp;"remju Nobel James Cronin, l-ekonomisti tal-prizing Nobel, l-ekonomisti rebbieħa tal-Nobel, Eugene Fama Hansen, Roger Myerson u Robert Lucas, Jr., awtur Freakonomics u l-ekonomista nnotat Steven Levitt, il-gvernatur attwali tal-bank ċentrali tal-Indja Ragh"&amp;"uram Rajan, l-74 Segretarju tal-Istati Uniti tat-Teżor u l-eks President Goldman Sachs u l-Kap Eżekuttiv Hank Paulson, ex-president tal-President Il-Kunsill tal-Konsulenti Ekonomiċi ta 'Barack Obama Austan Goolsbee, l-istudjuż Shakespeare David Bevington,"&amp;" u xjenzati politiċi magħrufa John Mearsheimer u Robert Pape.")</f>
        <v>Il-fakultà attwali tinkludi l-antropologu Marshall Sahlins, l-istoriku Dipesh Chakrabarty, il-paleontologi Neil Shubin u Paul Sereno, il-bijologu evoluzzjonarju Jerry Coyne, il-fiżiċista rebbieħ tal-Premju Nobel Yoichiro Nambu, il-fiżiċista rebbieħa tal-Premju Nobel James Cronin, l-ekonomisti tal-prizing Nobel, l-ekonomisti rebbieħa tal-Nobel, Eugene Fama Hansen, Roger Myerson u Robert Lucas, Jr., awtur Freakonomics u l-ekonomista nnotat Steven Levitt, il-gvernatur attwali tal-bank ċentrali tal-Indja Raghuram Rajan, l-74 Segretarju tal-Istati Uniti tat-Teżor u l-eks President Goldman Sachs u l-Kap Eżekuttiv Hank Paulson, ex-president tal-President Il-Kunsill tal-Konsulenti Ekonomiċi ta 'Barack Obama Austan Goolsbee, l-istudjuż Shakespeare David Bevington, u xjenzati politiċi magħrufa John Mearsheimer u Robert Pape.</v>
      </c>
    </row>
    <row r="12045" ht="15.75" customHeight="1">
      <c r="A12045" s="2" t="s">
        <v>12045</v>
      </c>
      <c r="B12045" s="2" t="str">
        <f>IFERROR(__xludf.DUMMYFUNCTION("GOOGLETRANSLATE(A12045, ""en"", ""mt"")"),"l-ispeċifiċità naturali")</f>
        <v>l-ispeċifiċità naturali</v>
      </c>
    </row>
    <row r="12046" ht="15.75" customHeight="1">
      <c r="A12046" s="2" t="s">
        <v>12046</v>
      </c>
      <c r="B12046" s="2" t="str">
        <f>IFERROR(__xludf.DUMMYFUNCTION("GOOGLETRANSLATE(A12046, ""en"", ""mt"")"),"""Bairn"" u ""Hyem"" għandhom oriġini minn liema kultura?")</f>
        <v>"Bairn" u "Hyem" għandhom oriġini minn liema kultura?</v>
      </c>
    </row>
    <row r="12047" ht="15.75" customHeight="1">
      <c r="A12047" s="2" t="s">
        <v>12047</v>
      </c>
      <c r="B12047" s="2" t="str">
        <f>IFERROR(__xludf.DUMMYFUNCTION("GOOGLETRANSLATE(A12047, ""en"", ""mt"")"),"tkabbir")</f>
        <v>tkabbir</v>
      </c>
    </row>
    <row r="12048" ht="15.75" customHeight="1">
      <c r="A12048" s="2" t="s">
        <v>12048</v>
      </c>
      <c r="B12048" s="2" t="str">
        <f>IFERROR(__xludf.DUMMYFUNCTION("GOOGLETRANSLATE(A12048, ""en"", ""mt"")"),"Metodu Slash and Burn")</f>
        <v>Metodu Slash and Burn</v>
      </c>
    </row>
    <row r="12049" ht="15.75" customHeight="1">
      <c r="A12049" s="2" t="s">
        <v>12049</v>
      </c>
      <c r="B12049" s="2" t="str">
        <f>IFERROR(__xludf.DUMMYFUNCTION("GOOGLETRANSLATE(A12049, ""en"", ""mt"")"),"żewġ atomi")</f>
        <v>żewġ atomi</v>
      </c>
    </row>
    <row r="12050" ht="15.75" customHeight="1">
      <c r="A12050" s="2" t="s">
        <v>12050</v>
      </c>
      <c r="B12050" s="2" t="str">
        <f>IFERROR(__xludf.DUMMYFUNCTION("GOOGLETRANSLATE(A12050, ""en"", ""mt"")"),"varjetà wiesgħa ta 'industriji")</f>
        <v>varjetà wiesgħa ta 'industriji</v>
      </c>
    </row>
    <row r="12051" ht="15.75" customHeight="1">
      <c r="A12051" s="2" t="s">
        <v>12051</v>
      </c>
      <c r="B12051" s="2" t="str">
        <f>IFERROR(__xludf.DUMMYFUNCTION("GOOGLETRANSLATE(A12051, ""en"", ""mt"")"),"Kurt H. Debus inħatar liema pożizzjoni għaċ-Ċentru tal-Operazzjonijiet tat-Tnedija?")</f>
        <v>Kurt H. Debus inħatar liema pożizzjoni għaċ-Ċentru tal-Operazzjonijiet tat-Tnedija?</v>
      </c>
    </row>
    <row r="12052" ht="15.75" customHeight="1">
      <c r="A12052" s="2" t="s">
        <v>12052</v>
      </c>
      <c r="B12052" s="2" t="str">
        <f>IFERROR(__xludf.DUMMYFUNCTION("GOOGLETRANSLATE(A12052, ""en"", ""mt"")"),"ix-Xlokk")</f>
        <v>ix-Xlokk</v>
      </c>
    </row>
    <row r="12053" ht="15.75" customHeight="1">
      <c r="A12053" s="2" t="s">
        <v>12053</v>
      </c>
      <c r="B12053" s="2" t="str">
        <f>IFERROR(__xludf.DUMMYFUNCTION("GOOGLETRANSLATE(A12053, ""en"", ""mt"")"),"aktar faċli u aktar effiċjenti")</f>
        <v>aktar faċli u aktar effiċjenti</v>
      </c>
    </row>
    <row r="12054" ht="15.75" customHeight="1">
      <c r="A12054" s="2" t="s">
        <v>12054</v>
      </c>
      <c r="B12054" s="2" t="str">
        <f>IFERROR(__xludf.DUMMYFUNCTION("GOOGLETRANSLATE(A12054, ""en"", ""mt"")"),"Il-kollezzjoni ta 'skultura Taljana, Medjevali, Rinaxximent, Barokka u Neoklasika (kemm oriġinali kif ukoll f'forma mitfugħa) mhix ugwali barra mill-Italja. Dan jinkludi t-Tliet Grazzji ta 'Canova, li l-mużew għandu b'mod konġunt ma' Galleriji Nazzjonali "&amp;"tal-Iskozja. Skulturi Taljani li x-xogħol tagħhom huwa miżmum mill-mużew jinkludu: Bartolomeo Bon, Bartolomeo Bellano, Luca della Robbia, Giovanni Pisano, Donatello, Agostino di Duccio, Andrea Riccio, Antonio Rossellino, Andrea del Verrocchio, Antonio Lom"&amp;"bardo, Pier Jacopo Robbia, Michelozzo di Bartolomeo, Michelangelo (irrappreżentat minn mudell ta 'xama' freehand u kast tal-aktar skulturi famużi tiegħu), Jacopo Sansovino, Alessandro Algardi, Antonio Calcagni, Benvenuto cellini (il-kap ta 'Medusa datat c"&amp;". 1547), Agostino Busti, Bartolomeo Amannati. Della Porta, Giambologna (Samson Slaying Philistine (Giambologna) c. 1562, ix-xogħol ifjen tiegħu barra l-Italja), Bernini (Neptune u Triton c. 1622–3), Giovanni Battista Foggini, Vincenzo Foggini (Samson u l-"&amp;"Filistin Benzi, Antonio Corradini, Andrea Brustolon, Giovanni Battista Piranesi, Innovazzi Innovazzi, Canova, Carlo Marochetti u Raffaelle Monti. Skultura mhux tas-soltu hija l-istatwa Rumana tal-qedem ta 'Narcissus restawrata minn Valerio Cioli C1564 bil"&amp;"-ġibs. Hemm diversi bronż fuq skala żgħira minn Donatello, Alessandro Vittoria, Tiziano Aspetti u Francesco Fanelli fil-kollezzjoni. L-akbar oġġett mill-Italja huwa l-Kappella tal-Kanċell minn Santa Chiara Firenze datata 1493-1500, iddisinjata minn Giulia"&amp;"no da Sangallo Huwa 11.1 metri fl-għoli minn 5.4 metri kwadru, dan jinkludi tabernaklu grandjuż minn Antonio Rossellino u dekorazzjoni tat-terracotta kkulurita.")</f>
        <v>Il-kollezzjoni ta 'skultura Taljana, Medjevali, Rinaxximent, Barokka u Neoklasika (kemm oriġinali kif ukoll f'forma mitfugħa) mhix ugwali barra mill-Italja. Dan jinkludi t-Tliet Grazzji ta 'Canova, li l-mużew għandu b'mod konġunt ma' Galleriji Nazzjonali tal-Iskozja. Skulturi Taljani li x-xogħol tagħhom huwa miżmum mill-mużew jinkludu: Bartolomeo Bon, Bartolomeo Bellano, Luca della Robbia, Giovanni Pisano, Donatello, Agostino di Duccio, Andrea Riccio, Antonio Rossellino, Andrea del Verrocchio, Antonio Lombardo, Pier Jacopo Robbia, Michelozzo di Bartolomeo, Michelangelo (irrappreżentat minn mudell ta 'xama' freehand u kast tal-aktar skulturi famużi tiegħu), Jacopo Sansovino, Alessandro Algardi, Antonio Calcagni, Benvenuto cellini (il-kap ta 'Medusa datat c. 1547), Agostino Busti, Bartolomeo Amannati. Della Porta, Giambologna (Samson Slaying Philistine (Giambologna) c. 1562, ix-xogħol ifjen tiegħu barra l-Italja), Bernini (Neptune u Triton c. 1622–3), Giovanni Battista Foggini, Vincenzo Foggini (Samson u l-Filistin Benzi, Antonio Corradini, Andrea Brustolon, Giovanni Battista Piranesi, Innovazzi Innovazzi, Canova, Carlo Marochetti u Raffaelle Monti. Skultura mhux tas-soltu hija l-istatwa Rumana tal-qedem ta 'Narcissus restawrata minn Valerio Cioli C1564 bil-ġibs. Hemm diversi bronż fuq skala żgħira minn Donatello, Alessandro Vittoria, Tiziano Aspetti u Francesco Fanelli fil-kollezzjoni. L-akbar oġġett mill-Italja huwa l-Kappella tal-Kanċell minn Santa Chiara Firenze datata 1493-1500, iddisinjata minn Giuliano da Sangallo Huwa 11.1 metri fl-għoli minn 5.4 metri kwadru, dan jinkludi tabernaklu grandjuż minn Antonio Rossellino u dekorazzjoni tat-terracotta kkulurita.</v>
      </c>
    </row>
    <row r="12055" ht="15.75" customHeight="1">
      <c r="A12055" s="2" t="s">
        <v>12055</v>
      </c>
      <c r="B12055" s="2" t="str">
        <f>IFERROR(__xludf.DUMMYFUNCTION("GOOGLETRANSLATE(A12055, ""en"", ""mt"")"),"Kastell ta ’Wartburg")</f>
        <v>Kastell ta ’Wartburg</v>
      </c>
    </row>
    <row r="12056" ht="15.75" customHeight="1">
      <c r="A12056" s="2" t="s">
        <v>12056</v>
      </c>
      <c r="B12056" s="2" t="str">
        <f>IFERROR(__xludf.DUMMYFUNCTION("GOOGLETRANSLATE(A12056, ""en"", ""mt"")"),"Howard Zinn jikteb, ""Jista 'jkun hemm ħafna drabi meta d-dimostranti jagħżlu li jmorru l-ħabs, bħala mod kif ikomplu l-protesta tagħhom, bħala mod kif ifakkru lil pajjiżhom ta' inġustizzja. Iżda dan huwa differenti mill-kunċett li jridu jmorru l-ħabs bħa"&amp;"la Parti minn regola marbuta mad-diżubbidjenza ċivili. Il-punt ewlieni huwa li l-ispirtu ta 'protesta għandu jinżamm it-triq kollha, kemm jekk isir billi jibqa' l-ħabs, jew billi jevadiha. Li taċċetta l-ħabs b'mod penitenti bħala adeżjoni għal 'ir-regoli "&amp;"""Huwa li jaqleb f'daqqa għal spirtu ta 'sussistenza, biex iwaqqa' s-serjetà tal-protesta ... b'mod partikolari, l-insistenza neo-konservattiva fuq motiv ħati għandha tiġi eliminata.""")</f>
        <v>Howard Zinn jikteb, "Jista 'jkun hemm ħafna drabi meta d-dimostranti jagħżlu li jmorru l-ħabs, bħala mod kif ikomplu l-protesta tagħhom, bħala mod kif ifakkru lil pajjiżhom ta' inġustizzja. Iżda dan huwa differenti mill-kunċett li jridu jmorru l-ħabs bħala Parti minn regola marbuta mad-diżubbidjenza ċivili. Il-punt ewlieni huwa li l-ispirtu ta 'protesta għandu jinżamm it-triq kollha, kemm jekk isir billi jibqa' l-ħabs, jew billi jevadiha. Li taċċetta l-ħabs b'mod penitenti bħala adeżjoni għal 'ir-regoli "Huwa li jaqleb f'daqqa għal spirtu ta 'sussistenza, biex iwaqqa' s-serjetà tal-protesta ... b'mod partikolari, l-insistenza neo-konservattiva fuq motiv ħati għandha tiġi eliminata."</v>
      </c>
    </row>
    <row r="12057" ht="15.75" customHeight="1">
      <c r="A12057" s="2" t="s">
        <v>12057</v>
      </c>
      <c r="B12057" s="2" t="str">
        <f>IFERROR(__xludf.DUMMYFUNCTION("GOOGLETRANSLATE(A12057, ""en"", ""mt"")"),"Kunsill Farmaċewtiku Ġenerali (GPHC)")</f>
        <v>Kunsill Farmaċewtiku Ġenerali (GPHC)</v>
      </c>
    </row>
    <row r="12058" ht="15.75" customHeight="1">
      <c r="A12058" s="2" t="s">
        <v>12058</v>
      </c>
      <c r="B12058" s="2" t="str">
        <f>IFERROR(__xludf.DUMMYFUNCTION("GOOGLETRANSLATE(A12058, ""en"", ""mt"")"),"Kors ta 'ħames snin ta' studju fi")</f>
        <v>Kors ta 'ħames snin ta' studju fi</v>
      </c>
    </row>
    <row r="12059" ht="15.75" customHeight="1">
      <c r="A12059" s="2" t="s">
        <v>12059</v>
      </c>
      <c r="B12059" s="2" t="str">
        <f>IFERROR(__xludf.DUMMYFUNCTION("GOOGLETRANSLATE(A12059, ""en"", ""mt"")"),"$ 105 biljun")</f>
        <v>$ 105 biljun</v>
      </c>
    </row>
    <row r="12060" ht="15.75" customHeight="1">
      <c r="A12060" s="2" t="s">
        <v>12060</v>
      </c>
      <c r="B12060" s="2" t="str">
        <f>IFERROR(__xludf.DUMMYFUNCTION("GOOGLETRANSLATE(A12060, ""en"", ""mt"")"),"inbid kif ukoll il-ħobż")</f>
        <v>inbid kif ukoll il-ħobż</v>
      </c>
    </row>
    <row r="12061" ht="15.75" customHeight="1">
      <c r="A12061" s="2" t="s">
        <v>12061</v>
      </c>
      <c r="B12061" s="2" t="str">
        <f>IFERROR(__xludf.DUMMYFUNCTION("GOOGLETRANSLATE(A12061, ""en"", ""mt"")"),"fantaxjenza")</f>
        <v>fantaxjenza</v>
      </c>
    </row>
    <row r="12062" ht="15.75" customHeight="1">
      <c r="A12062" s="2" t="s">
        <v>12062</v>
      </c>
      <c r="B12062" s="2" t="str">
        <f>IFERROR(__xludf.DUMMYFUNCTION("GOOGLETRANSLATE(A12062, ""en"", ""mt"")"),"Għaliex il-Fratellanza Musulmana ffaċilitat ċerimonji rħas taż-żwieġ tal-massa?")</f>
        <v>Għaliex il-Fratellanza Musulmana ffaċilitat ċerimonji rħas taż-żwieġ tal-massa?</v>
      </c>
    </row>
    <row r="12063" ht="15.75" customHeight="1">
      <c r="A12063" s="2" t="s">
        <v>12063</v>
      </c>
      <c r="B12063" s="2" t="str">
        <f>IFERROR(__xludf.DUMMYFUNCTION("GOOGLETRANSLATE(A12063, ""en"", ""mt"")"),"Reġistru ta 'trasgressuri sesswali")</f>
        <v>Reġistru ta 'trasgressuri sesswali</v>
      </c>
    </row>
    <row r="12064" ht="15.75" customHeight="1">
      <c r="A12064" s="2" t="s">
        <v>12064</v>
      </c>
      <c r="B12064" s="2" t="str">
        <f>IFERROR(__xludf.DUMMYFUNCTION("GOOGLETRANSLATE(A12064, ""en"", ""mt"")"),"Liġi ta 'Lorentz")</f>
        <v>Liġi ta 'Lorentz</v>
      </c>
    </row>
    <row r="12065" ht="15.75" customHeight="1">
      <c r="A12065" s="2" t="s">
        <v>12065</v>
      </c>
      <c r="B12065" s="2" t="str">
        <f>IFERROR(__xludf.DUMMYFUNCTION("GOOGLETRANSLATE(A12065, ""en"", ""mt"")"),"Unjoni tal-Knisja Metodista (l-Istati Uniti) u l-Knisja Evanġelika ta ’Ħutna")</f>
        <v>Unjoni tal-Knisja Metodista (l-Istati Uniti) u l-Knisja Evanġelika ta ’Ħutna</v>
      </c>
    </row>
    <row r="12066" ht="15.75" customHeight="1">
      <c r="A12066" s="2" t="s">
        <v>12066</v>
      </c>
      <c r="B12066" s="2" t="str">
        <f>IFERROR(__xludf.DUMMYFUNCTION("GOOGLETRANSLATE(A12066, ""en"", ""mt"")"),"7 ta ’Jannar 1943")</f>
        <v>7 ta ’Jannar 1943</v>
      </c>
    </row>
    <row r="12067" ht="15.75" customHeight="1">
      <c r="A12067" s="2" t="s">
        <v>12067</v>
      </c>
      <c r="B12067" s="2" t="str">
        <f>IFERROR(__xludf.DUMMYFUNCTION("GOOGLETRANSLATE(A12067, ""en"", ""mt"")"),"Il-magni tal-fwar bi pressjoni għolja kienu żgħar biżżejjed li jistgħu jintużaw f'liema applikazzjoni?")</f>
        <v>Il-magni tal-fwar bi pressjoni għolja kienu żgħar biżżejjed li jistgħu jintużaw f'liema applikazzjoni?</v>
      </c>
    </row>
    <row r="12068" ht="15.75" customHeight="1">
      <c r="A12068" s="2" t="s">
        <v>12068</v>
      </c>
      <c r="B12068" s="2" t="str">
        <f>IFERROR(__xludf.DUMMYFUNCTION("GOOGLETRANSLATE(A12068, ""en"", ""mt"")"),"Ħakkiema Khitan,")</f>
        <v>Ħakkiema Khitan,</v>
      </c>
    </row>
    <row r="12069" ht="15.75" customHeight="1">
      <c r="A12069" s="2" t="s">
        <v>12069</v>
      </c>
      <c r="B12069" s="2" t="str">
        <f>IFERROR(__xludf.DUMMYFUNCTION("GOOGLETRANSLATE(A12069, ""en"", ""mt"")"),"Fejn l-ossiġnu jikklassifika bil-massa fil-bijosfera tal-pjaneta?")</f>
        <v>Fejn l-ossiġnu jikklassifika bil-massa fil-bijosfera tal-pjaneta?</v>
      </c>
    </row>
    <row r="12070" ht="15.75" customHeight="1">
      <c r="A12070" s="2" t="s">
        <v>12070</v>
      </c>
      <c r="B12070" s="2" t="str">
        <f>IFERROR(__xludf.DUMMYFUNCTION("GOOGLETRANSLATE(A12070, ""en"", ""mt"")"),"X’għatu Jim Gray?")</f>
        <v>X’għatu Jim Gray?</v>
      </c>
    </row>
    <row r="12071" ht="15.75" customHeight="1">
      <c r="A12071" s="2" t="s">
        <v>12071</v>
      </c>
      <c r="B12071" s="2" t="str">
        <f>IFERROR(__xludf.DUMMYFUNCTION("GOOGLETRANSLATE(A12071, ""en"", ""mt"")"),"Ċiniż tat-Tramuntana")</f>
        <v>Ċiniż tat-Tramuntana</v>
      </c>
    </row>
    <row r="12072" ht="15.75" customHeight="1">
      <c r="A12072" s="2" t="s">
        <v>12072</v>
      </c>
      <c r="B12072" s="2" t="str">
        <f>IFERROR(__xludf.DUMMYFUNCTION("GOOGLETRANSLATE(A12072, ""en"", ""mt"")"),"L-intervalli tan-numru ewlieni bejn il-emerġenzi jagħmluha diffiċli ħafna għall-predaturi li jevolvu li jistgħu jispeċjalizzaw bħala predaturi fuq magicicadas")</f>
        <v>L-intervalli tan-numru ewlieni bejn il-emerġenzi jagħmluha diffiċli ħafna għall-predaturi li jevolvu li jistgħu jispeċjalizzaw bħala predaturi fuq magicicadas</v>
      </c>
    </row>
    <row r="12073" ht="15.75" customHeight="1">
      <c r="A12073" s="2" t="s">
        <v>12073</v>
      </c>
      <c r="B12073" s="2" t="str">
        <f>IFERROR(__xludf.DUMMYFUNCTION("GOOGLETRANSLATE(A12073, ""en"", ""mt"")"),"Fl-14 ta 'April, 2011, ABC ikkanċella s-sapun li ilhom għaddejjin it-tfal kollha tiegħi u Life One Live wara 41 u 43 sena fuq l-ajru, rispettivament (wara xogħol b'lura mill-fannijiet, ABC biegħ id-drittijiet għaż-żewġ wirjiet lil Prospect Park, li Eventw"&amp;"alment reġgħet qajmet is-sapun fuq Hulu għal staġun addizzjonali fl-2013 u maż-żewġ kumpaniji li jħarrku lil xulxin għal allegazzjonijiet ta 'interferenza fil-proċess li terġa' titqajjem il-wirjiet, nuqqas li tħallas miżati u kwistjonijiet ta 'liċenzjar d"&amp;"war l-użu ta' ABC ta 'ċerti karattri minn wieħed minn wieħed live biex tgħix fuqha Sptar ġenerali matul it-tranżizzjoni). It-taħdita / stil ta 'ħajja juru li ssostitwixxa ħajja waħda biex tgħix, ir-rivoluzzjoni, naqset milli tiġġenera klassifikazzjonijiet"&amp;" sodisfaċenti u mbagħad ġiet ikkanċellata wara seba' xhur biss. L-istaġun 2011–12 ra lil ABC jinżel għar-raba 'post fid-demografija 18-49 minkejja li ġedded numru żgħir ta' wirjiet ġodda (inklużi skandlu ta 'studenti ta' l-ewwel studenti, vendetta u darba"&amp;" waħda) għat-tieni staġuni.")</f>
        <v>Fl-14 ta 'April, 2011, ABC ikkanċella s-sapun li ilhom għaddejjin it-tfal kollha tiegħi u Life One Live wara 41 u 43 sena fuq l-ajru, rispettivament (wara xogħol b'lura mill-fannijiet, ABC biegħ id-drittijiet għaż-żewġ wirjiet lil Prospect Park, li Eventwalment reġgħet qajmet is-sapun fuq Hulu għal staġun addizzjonali fl-2013 u maż-żewġ kumpaniji li jħarrku lil xulxin għal allegazzjonijiet ta 'interferenza fil-proċess li terġa' titqajjem il-wirjiet, nuqqas li tħallas miżati u kwistjonijiet ta 'liċenzjar dwar l-użu ta' ABC ta 'ċerti karattri minn wieħed minn wieħed live biex tgħix fuqha Sptar ġenerali matul it-tranżizzjoni). It-taħdita / stil ta 'ħajja juru li ssostitwixxa ħajja waħda biex tgħix, ir-rivoluzzjoni, naqset milli tiġġenera klassifikazzjonijiet sodisfaċenti u mbagħad ġiet ikkanċellata wara seba' xhur biss. L-istaġun 2011–12 ra lil ABC jinżel għar-raba 'post fid-demografija 18-49 minkejja li ġedded numru żgħir ta' wirjiet ġodda (inklużi skandlu ta 'studenti ta' l-ewwel studenti, vendetta u darba waħda) għat-tieni staġuni.</v>
      </c>
    </row>
    <row r="12074" ht="15.75" customHeight="1">
      <c r="A12074" s="2" t="s">
        <v>12074</v>
      </c>
      <c r="B12074" s="2" t="str">
        <f>IFERROR(__xludf.DUMMYFUNCTION("GOOGLETRANSLATE(A12074, ""en"", ""mt"")"),"Regola ta 'Elton")</f>
        <v>Regola ta 'Elton</v>
      </c>
    </row>
    <row r="12075" ht="15.75" customHeight="1">
      <c r="A12075" s="2" t="s">
        <v>12075</v>
      </c>
      <c r="B12075" s="2" t="str">
        <f>IFERROR(__xludf.DUMMYFUNCTION("GOOGLETRANSLATE(A12075, ""en"", ""mt"")"),"id-diffikultà inerenti tagħhom")</f>
        <v>id-diffikultà inerenti tagħhom</v>
      </c>
    </row>
    <row r="12076" ht="15.75" customHeight="1">
      <c r="A12076" s="2" t="s">
        <v>12076</v>
      </c>
      <c r="B12076" s="2" t="str">
        <f>IFERROR(__xludf.DUMMYFUNCTION("GOOGLETRANSLATE(A12076, ""en"", ""mt"")"),"Kif ġie deċiż id-destin ta 'Luther?")</f>
        <v>Kif ġie deċiż id-destin ta 'Luther?</v>
      </c>
    </row>
    <row r="12077" ht="15.75" customHeight="1">
      <c r="A12077" s="2" t="s">
        <v>12077</v>
      </c>
      <c r="B12077" s="2" t="str">
        <f>IFERROR(__xludf.DUMMYFUNCTION("GOOGLETRANSLATE(A12077, ""en"", ""mt"")"),"X'inhu l-bilanċ għal rinforz pożittiv?")</f>
        <v>X'inhu l-bilanċ għal rinforz pożittiv?</v>
      </c>
    </row>
    <row r="12078" ht="15.75" customHeight="1">
      <c r="A12078" s="2" t="s">
        <v>12078</v>
      </c>
      <c r="B12078" s="2" t="str">
        <f>IFERROR(__xludf.DUMMYFUNCTION("GOOGLETRANSLATE(A12078, ""en"", ""mt"")"),"Meta l-episodji reċenti ta 'wirjiet ABC huma tipikament disponibbli fuq is-servizzi VOD?")</f>
        <v>Meta l-episodji reċenti ta 'wirjiet ABC huma tipikament disponibbli fuq is-servizzi VOD?</v>
      </c>
    </row>
    <row r="12079" ht="15.75" customHeight="1">
      <c r="A12079" s="2" t="s">
        <v>12079</v>
      </c>
      <c r="B12079" s="2" t="str">
        <f>IFERROR(__xludf.DUMMYFUNCTION("GOOGLETRANSLATE(A12079, ""en"", ""mt"")"),"Madwar 5 miljun")</f>
        <v>Madwar 5 miljun</v>
      </c>
    </row>
    <row r="12080" ht="15.75" customHeight="1">
      <c r="A12080" s="2" t="s">
        <v>12080</v>
      </c>
      <c r="B12080" s="2" t="str">
        <f>IFERROR(__xludf.DUMMYFUNCTION("GOOGLETRANSLATE(A12080, ""en"", ""mt"")"),"Fl-2008, is-sonda Selene tal-Aġenzija tal-Esplorazzjoni tal-Aerospazjali tal-Ġappun osservat evidenza tal-halo li jdawwar il-modulu Lunar Apollo 15 Lunar Crater waqt li jorbita 'l fuq mill-wiċċ Lunar. Fl-2009, l-orbiter robotiku tan-NASA Lunar, waqt li jo"&amp;"rbita 50 kilometru (31 mi) 'il fuq mill-qamar, beda jirriproduċi l-fdalijiet tal-programm Apollo li ħalla fuq il-wiċċ Lunar, u fotografat kull sit fejn it-titjiriet Apollo ħatt l-art. Il-bnadar kollha tal-U. il-modulu tal-kmand tal-missjoni fl-orbita luna"&amp;"ri; Il-grad sa fejn dawn il-bnadar iżommu l-kuluri oriġinali tagħhom għadu mhux magħruf.")</f>
        <v>Fl-2008, is-sonda Selene tal-Aġenzija tal-Esplorazzjoni tal-Aerospazjali tal-Ġappun osservat evidenza tal-halo li jdawwar il-modulu Lunar Apollo 15 Lunar Crater waqt li jorbita 'l fuq mill-wiċċ Lunar. Fl-2009, l-orbiter robotiku tan-NASA Lunar, waqt li jorbita 50 kilometru (31 mi) 'il fuq mill-qamar, beda jirriproduċi l-fdalijiet tal-programm Apollo li ħalla fuq il-wiċċ Lunar, u fotografat kull sit fejn it-titjiriet Apollo ħatt l-art. Il-bnadar kollha tal-U. il-modulu tal-kmand tal-missjoni fl-orbita lunari; Il-grad sa fejn dawn il-bnadar iżommu l-kuluri oriġinali tagħhom għadu mhux magħruf.</v>
      </c>
    </row>
    <row r="12081" ht="15.75" customHeight="1">
      <c r="A12081" s="2" t="s">
        <v>12081</v>
      </c>
      <c r="B12081" s="2" t="str">
        <f>IFERROR(__xludf.DUMMYFUNCTION("GOOGLETRANSLATE(A12081, ""en"", ""mt"")"),"Il-knisja ssostni li huma marbuta bl-istess mod li jirrispettaw is-sagrifiċċju tal-ħajja u l-benesseri ta 'min?")</f>
        <v>Il-knisja ssostni li huma marbuta bl-istess mod li jirrispettaw is-sagrifiċċju tal-ħajja u l-benesseri ta 'min?</v>
      </c>
    </row>
    <row r="12082" ht="15.75" customHeight="1">
      <c r="A12082" s="2" t="s">
        <v>12082</v>
      </c>
      <c r="B12082" s="2" t="str">
        <f>IFERROR(__xludf.DUMMYFUNCTION("GOOGLETRANSLATE(A12082, ""en"", ""mt"")"),"L-ewwel sistema ta 'edukazzjoni tal-Kenja ġiet introdotta minn kolonisti Ingliżi. Wara l-indipendenza tal-Kenja fit-12 ta 'Diċembru 1963, ġiet iffurmata awtorità msejħa l-Kummissjoni Omine biex tintroduċi bidliet li jirriflettu s-sovranità tan-nazzjon. Il"&amp;"-kummissjoni ffokat fuq l-identità u l-għaqda, li kienu kwistjonijiet kritiċi dak iż-żmien. Saru bidliet fil-kontenut tas-suġġett tal-istorja u l-ġeografija biex jirriflettu l-koeżjoni nazzjonali. Bejn l-1964 u l-1985, ġiet adottata s-sistema 7–4–2-3 - se"&amp;"ba 'snin ta' primarja, erba 'snin ta' sekondarja baxxa, sentejn ta 'sekondarja għolja, u tliet snin ta' università. L-iskejjel kollha kellhom kurrikulu komuni.")</f>
        <v>L-ewwel sistema ta 'edukazzjoni tal-Kenja ġiet introdotta minn kolonisti Ingliżi. Wara l-indipendenza tal-Kenja fit-12 ta 'Diċembru 1963, ġiet iffurmata awtorità msejħa l-Kummissjoni Omine biex tintroduċi bidliet li jirriflettu s-sovranità tan-nazzjon. Il-kummissjoni ffokat fuq l-identità u l-għaqda, li kienu kwistjonijiet kritiċi dak iż-żmien. Saru bidliet fil-kontenut tas-suġġett tal-istorja u l-ġeografija biex jirriflettu l-koeżjoni nazzjonali. Bejn l-1964 u l-1985, ġiet adottata s-sistema 7–4–2-3 - seba 'snin ta' primarja, erba 'snin ta' sekondarja baxxa, sentejn ta 'sekondarja għolja, u tliet snin ta' università. L-iskejjel kollha kellhom kurrikulu komuni.</v>
      </c>
    </row>
    <row r="12083" ht="15.75" customHeight="1">
      <c r="A12083" s="2" t="s">
        <v>12083</v>
      </c>
      <c r="B12083" s="2" t="str">
        <f>IFERROR(__xludf.DUMMYFUNCTION("GOOGLETRANSLATE(A12083, ""en"", ""mt"")"),"ministri jew mexxejja tal-partit")</f>
        <v>ministri jew mexxejja tal-partit</v>
      </c>
    </row>
    <row r="12084" ht="15.75" customHeight="1">
      <c r="A12084" s="2" t="s">
        <v>12084</v>
      </c>
      <c r="B12084" s="2" t="str">
        <f>IFERROR(__xludf.DUMMYFUNCTION("GOOGLETRANSLATE(A12084, ""en"", ""mt"")"),"Kjaru Agostinjan f'Erfurt")</f>
        <v>Kjaru Agostinjan f'Erfurt</v>
      </c>
    </row>
    <row r="12085" ht="15.75" customHeight="1">
      <c r="A12085" s="2" t="s">
        <v>12085</v>
      </c>
      <c r="B12085" s="2" t="str">
        <f>IFERROR(__xludf.DUMMYFUNCTION("GOOGLETRANSLATE(A12085, ""en"", ""mt"")"),"Għal xiex tispikka ""TGIF""?")</f>
        <v>Għal xiex tispikka "TGIF"?</v>
      </c>
    </row>
    <row r="12086" ht="15.75" customHeight="1">
      <c r="A12086" s="2" t="s">
        <v>12086</v>
      </c>
      <c r="B12086" s="2" t="str">
        <f>IFERROR(__xludf.DUMMYFUNCTION("GOOGLETRANSLATE(A12086, ""en"", ""mt"")"),"Il-gvern ta 'Kublai ffaċċja diffikultajiet finanzjarji wara 1279. Il-gwerer u l-proġetti ta' kostruzzjoni kienu xorbu t-Teżor tal-Mongolja. L-isforzi biex jinġabru u jinġabru d-dħul mit-taxxa kienu affetwati mill-korruzzjoni u l-iskandli politiċi. L-isped"&amp;"izzjonijiet militari mmaniġġjati ħażin segwew il-problemi finanzjarji. It-tieni invażjoni ta 'Kublai fil-Ġappun fl-1281 falliet minħabba tifun inauspicious. Kublai botched il-kampanji tiegħu kontra Annam, Champa, u Java, iżda rebaħ rebħa pirrika kontra Bu"&amp;"rma. L-ispedizzjonijiet kienu mxekkla mill-marda, klima inospitabbli, u art tropikali mhux xierqa għall-gwerra mmuntata tal-Mongoli. Id-dinastija Tran li ddeċidiet lil Annam (Dai Viet) mgħaffeġ u għelbet lill-Mongoli fil-battalja ta ’Bạch ằng (1288). Ir-r"&amp;"eġjun Ċiniż ta 'Fujian kien id-dar oriġinali tal-klan Tran (Chen) Ċiniż qabel ma emigraw taħt Trần Kinh (陳京, Chén Jīng) lejn Dai Viet u li d-dixxendenti tagħhom stabbilixxew id-dinastija Trần li ddeċidiet il-Vjetnam ạại Việt, u ċerti membri ta' Il-klann x"&amp;"orta jista 'jitkellem Ċiniż bħal meta mibgħut dinastija Yuan kellu laqgħa mal-Prinċep Trần li jitkellmu Ċiniż Trần Quốc Tuấn (aktar tard ir-Re Trần Hưng ạo) fl-1282. Il-Professur Liam Kelley innota li n-nies mid-Dynasty Song Dynasty bħal Zhao Zhong u Xu Z"&amp;"ongdao ħarab lejn it-Tran Dynasty iddeċidiet il-Vjetnam wara l-invażjoni tal-kanzunetta Mongolja u għenu lill-ġlieda kontra t-Tran kontra l-invażjoni tal-Mongolja. Id-dinastija Tran oriġinat mir-reġjun tal-Fujian taċ-Ċina kif għamlet il-kleru Daoist Xu Zo"&amp;"ngdao li rreġistra l-invażjoni tal-Mongolja u rrefera għalihom bħala ""banditi tat-tramuntana"". Annam, Burma, u Champa għarfu l-eġemonija tal-Mongol u stabbilixxew relazzjonijiet tributarji mad-dinastija Yuan.")</f>
        <v>Il-gvern ta 'Kublai ffaċċja diffikultajiet finanzjarji wara 1279. Il-gwerer u l-proġetti ta' kostruzzjoni kienu xorbu t-Teżor tal-Mongolja. L-isforzi biex jinġabru u jinġabru d-dħul mit-taxxa kienu affetwati mill-korruzzjoni u l-iskandli politiċi. L-ispedizzjonijiet militari mmaniġġjati ħażin segwew il-problemi finanzjarji. It-tieni invażjoni ta 'Kublai fil-Ġappun fl-1281 falliet minħabba tifun inauspicious. Kublai botched il-kampanji tiegħu kontra Annam, Champa, u Java, iżda rebaħ rebħa pirrika kontra Burma. L-ispedizzjonijiet kienu mxekkla mill-marda, klima inospitabbli, u art tropikali mhux xierqa għall-gwerra mmuntata tal-Mongoli. Id-dinastija Tran li ddeċidiet lil Annam (Dai Viet) mgħaffeġ u għelbet lill-Mongoli fil-battalja ta ’Bạch ằng (1288). Ir-reġjun Ċiniż ta 'Fujian kien id-dar oriġinali tal-klan Tran (Chen) Ċiniż qabel ma emigraw taħt Trần Kinh (陳京, Chén Jīng) lejn Dai Viet u li d-dixxendenti tagħhom stabbilixxew id-dinastija Trần li ddeċidiet il-Vjetnam ạại Việt, u ċerti membri ta' Il-klann xorta jista 'jitkellem Ċiniż bħal meta mibgħut dinastija Yuan kellu laqgħa mal-Prinċep Trần li jitkellmu Ċiniż Trần Quốc Tuấn (aktar tard ir-Re Trần Hưng ạo) fl-1282. Il-Professur Liam Kelley innota li n-nies mid-Dynasty Song Dynasty bħal Zhao Zhong u Xu Zongdao ħarab lejn it-Tran Dynasty iddeċidiet il-Vjetnam wara l-invażjoni tal-kanzunetta Mongolja u għenu lill-ġlieda kontra t-Tran kontra l-invażjoni tal-Mongolja. Id-dinastija Tran oriġinat mir-reġjun tal-Fujian taċ-Ċina kif għamlet il-kleru Daoist Xu Zongdao li rreġistra l-invażjoni tal-Mongolja u rrefera għalihom bħala "banditi tat-tramuntana". Annam, Burma, u Champa għarfu l-eġemonija tal-Mongol u stabbilixxew relazzjonijiet tributarji mad-dinastija Yuan.</v>
      </c>
    </row>
    <row r="12087" ht="15.75" customHeight="1">
      <c r="A12087" s="2" t="s">
        <v>12087</v>
      </c>
      <c r="B12087" s="2" t="str">
        <f>IFERROR(__xludf.DUMMYFUNCTION("GOOGLETRANSLATE(A12087, ""en"", ""mt"")"),"Liema Ctenophora kienu l-iktar studji?")</f>
        <v>Liema Ctenophora kienu l-iktar studji?</v>
      </c>
    </row>
    <row r="12088" ht="15.75" customHeight="1">
      <c r="A12088" s="2" t="s">
        <v>12088</v>
      </c>
      <c r="B12088" s="2" t="str">
        <f>IFERROR(__xludf.DUMMYFUNCTION("GOOGLETRANSLATE(A12088, ""en"", ""mt"")"),"Min inkella rrefera Datnet 1")</f>
        <v>Min inkella rrefera Datnet 1</v>
      </c>
    </row>
    <row r="12089" ht="15.75" customHeight="1">
      <c r="A12089" s="2" t="s">
        <v>12089</v>
      </c>
      <c r="B12089" s="2" t="str">
        <f>IFERROR(__xludf.DUMMYFUNCTION("GOOGLETRANSLATE(A12089, ""en"", ""mt"")"),"Liema astronawt tan-NASA huwa wkoll membru tal-alumni tal-università?")</f>
        <v>Liema astronawt tan-NASA huwa wkoll membru tal-alumni tal-università?</v>
      </c>
    </row>
    <row r="12090" ht="15.75" customHeight="1">
      <c r="A12090" s="2" t="s">
        <v>12090</v>
      </c>
      <c r="B12090" s="2" t="str">
        <f>IFERROR(__xludf.DUMMYFUNCTION("GOOGLETRANSLATE(A12090, ""en"", ""mt"")"),"Ħdud")</f>
        <v>Ħdud</v>
      </c>
    </row>
    <row r="12091" ht="15.75" customHeight="1">
      <c r="A12091" s="2" t="s">
        <v>12091</v>
      </c>
      <c r="B12091" s="2" t="str">
        <f>IFERROR(__xludf.DUMMYFUNCTION("GOOGLETRANSLATE(A12091, ""en"", ""mt"")"),"fit-tramuntana u fin-nofsinhar")</f>
        <v>fit-tramuntana u fin-nofsinhar</v>
      </c>
    </row>
    <row r="12092" ht="15.75" customHeight="1">
      <c r="A12092" s="2" t="s">
        <v>12092</v>
      </c>
      <c r="B12092" s="2" t="str">
        <f>IFERROR(__xludf.DUMMYFUNCTION("GOOGLETRANSLATE(A12092, ""en"", ""mt"")"),"Il-predaturi taċ-ctenophores huma, veġetarjani jew parassitiċi?")</f>
        <v>Il-predaturi taċ-ctenophores huma, veġetarjani jew parassitiċi?</v>
      </c>
    </row>
    <row r="12093" ht="15.75" customHeight="1">
      <c r="A12093" s="2" t="s">
        <v>12093</v>
      </c>
      <c r="B12093" s="2" t="str">
        <f>IFERROR(__xludf.DUMMYFUNCTION("GOOGLETRANSLATE(A12093, ""en"", ""mt"")"),"X'inhuma l-istatturi marbuta magħhom?")</f>
        <v>X'inhuma l-istatturi marbuta magħhom?</v>
      </c>
    </row>
    <row r="12094" ht="15.75" customHeight="1">
      <c r="A12094" s="2" t="s">
        <v>12094</v>
      </c>
      <c r="B12094" s="2" t="str">
        <f>IFERROR(__xludf.DUMMYFUNCTION("GOOGLETRANSLATE(A12094, ""en"", ""mt"")"),"Wara li r-Renu joħroġ mill-Lag Constance, liema direzzjoni joħroġ?")</f>
        <v>Wara li r-Renu joħroġ mill-Lag Constance, liema direzzjoni joħroġ?</v>
      </c>
    </row>
    <row r="12095" ht="15.75" customHeight="1">
      <c r="A12095" s="2" t="s">
        <v>12095</v>
      </c>
      <c r="B12095" s="2" t="str">
        <f>IFERROR(__xludf.DUMMYFUNCTION("GOOGLETRANSLATE(A12095, ""en"", ""mt"")"),"Territorju fil-Lvant tal-Mississippi")</f>
        <v>Territorju fil-Lvant tal-Mississippi</v>
      </c>
    </row>
    <row r="12096" ht="15.75" customHeight="1">
      <c r="A12096" s="2" t="s">
        <v>12096</v>
      </c>
      <c r="B12096" s="2" t="str">
        <f>IFERROR(__xludf.DUMMYFUNCTION("GOOGLETRANSLATE(A12096, ""en"", ""mt"")"),"żieda fl-aċċess għall-edukazzjoni")</f>
        <v>żieda fl-aċċess għall-edukazzjoni</v>
      </c>
    </row>
    <row r="12097" ht="15.75" customHeight="1">
      <c r="A12097" s="2" t="s">
        <v>12097</v>
      </c>
      <c r="B12097" s="2" t="str">
        <f>IFERROR(__xludf.DUMMYFUNCTION("GOOGLETRANSLATE(A12097, ""en"", ""mt"")"),"L-ewwel borża ta 'Varsavja ġiet stabbilita fl-1817 u kompliet tinnegozja sat-Tieni Gwerra Dinjija. Ġie stabbilit mill-ġdid f'April 1991, wara t-tmiem tal-kontroll komunista ta 'wara l-gwerra tal-pajjiż u l-introduzzjoni mill-ġdid ta' ekonomija tas-suq ħie"&amp;"les. Illum, il-Borża ta 'Varsavja (WSE) hija, skond ħafna indikaturi, l-akbar suq fir-reġjun, b'374 kumpanija elenkata u kapitalizzazzjoni totali ta' 162 584 mln EUR mill-31 ta 'Awwissu 2009. mill-1991 sal-2000, il-Borża kienet , ironikament, li jinsab fi"&amp;"l-bini użat qabel bħala l-kwartieri ġenerali tal-Partit tal-Ħaddiema Magħquda Pollakka (PZPR).")</f>
        <v>L-ewwel borża ta 'Varsavja ġiet stabbilita fl-1817 u kompliet tinnegozja sat-Tieni Gwerra Dinjija. Ġie stabbilit mill-ġdid f'April 1991, wara t-tmiem tal-kontroll komunista ta 'wara l-gwerra tal-pajjiż u l-introduzzjoni mill-ġdid ta' ekonomija tas-suq ħieles. Illum, il-Borża ta 'Varsavja (WSE) hija, skond ħafna indikaturi, l-akbar suq fir-reġjun, b'374 kumpanija elenkata u kapitalizzazzjoni totali ta' 162 584 mln EUR mill-31 ta 'Awwissu 2009. mill-1991 sal-2000, il-Borża kienet , ironikament, li jinsab fil-bini użat qabel bħala l-kwartieri ġenerali tal-Partit tal-Ħaddiema Magħquda Pollakka (PZPR).</v>
      </c>
    </row>
    <row r="12098" ht="15.75" customHeight="1">
      <c r="A12098" s="2" t="s">
        <v>12098</v>
      </c>
      <c r="B12098" s="2" t="str">
        <f>IFERROR(__xludf.DUMMYFUNCTION("GOOGLETRANSLATE(A12098, ""en"", ""mt"")"),"Qorti Ewropea tal-Ġustizzja")</f>
        <v>Qorti Ewropea tal-Ġustizzja</v>
      </c>
    </row>
    <row r="12099" ht="15.75" customHeight="1">
      <c r="A12099" s="2" t="s">
        <v>12099</v>
      </c>
      <c r="B12099" s="2" t="str">
        <f>IFERROR(__xludf.DUMMYFUNCTION("GOOGLETRANSLATE(A12099, ""en"", ""mt"")"),"Stabbiliment ta 'relazzjonijiet ma' parteċipanti oħra meħtieġa permezz tal-proċess ta 'bini tad-disinn")</f>
        <v>Stabbiliment ta 'relazzjonijiet ma' parteċipanti oħra meħtieġa permezz tal-proċess ta 'bini tad-disinn</v>
      </c>
    </row>
    <row r="12100" ht="15.75" customHeight="1">
      <c r="A12100" s="2" t="s">
        <v>12100</v>
      </c>
      <c r="B12100" s="2" t="str">
        <f>IFERROR(__xludf.DUMMYFUNCTION("GOOGLETRANSLATE(A12100, ""en"", ""mt"")"),"Seklu 19 tard")</f>
        <v>Seklu 19 tard</v>
      </c>
    </row>
    <row r="12101" ht="15.75" customHeight="1">
      <c r="A12101" s="2" t="s">
        <v>12101</v>
      </c>
      <c r="B12101" s="2" t="str">
        <f>IFERROR(__xludf.DUMMYFUNCTION("GOOGLETRANSLATE(A12101, ""en"", ""mt"")"),"Huwa kien innota film bil-ħsara fil-laboratorju tiegħu")</f>
        <v>Huwa kien innota film bil-ħsara fil-laboratorju tiegħu</v>
      </c>
    </row>
    <row r="12102" ht="15.75" customHeight="1">
      <c r="A12102" s="2" t="s">
        <v>12102</v>
      </c>
      <c r="B12102" s="2" t="str">
        <f>IFERROR(__xludf.DUMMYFUNCTION("GOOGLETRANSLATE(A12102, ""en"", ""mt"")"),"L-imperjalizmu huwa responsabbli għat-tixrid rapidu ta 'xiex?")</f>
        <v>L-imperjalizmu huwa responsabbli għat-tixrid rapidu ta 'xiex?</v>
      </c>
    </row>
    <row r="12103" ht="15.75" customHeight="1">
      <c r="A12103" s="2" t="s">
        <v>12103</v>
      </c>
      <c r="B12103" s="2" t="str">
        <f>IFERROR(__xludf.DUMMYFUNCTION("GOOGLETRANSLATE(A12103, ""en"", ""mt"")"),"Fejn il-kloroplasti jippompjaw l-idroġenu?")</f>
        <v>Fejn il-kloroplasti jippompjaw l-idroġenu?</v>
      </c>
    </row>
    <row r="12104" ht="15.75" customHeight="1">
      <c r="A12104" s="2" t="s">
        <v>12104</v>
      </c>
      <c r="B12104" s="2" t="str">
        <f>IFERROR(__xludf.DUMMYFUNCTION("GOOGLETRANSLATE(A12104, ""en"", ""mt"")"),"Liema terminu uża għal dak li kien jemmen li se jkunu l-mexxejja futuri tal-umanità?")</f>
        <v>Liema terminu uża għal dak li kien jemmen li se jkunu l-mexxejja futuri tal-umanità?</v>
      </c>
    </row>
    <row r="12105" ht="15.75" customHeight="1">
      <c r="A12105" s="2" t="s">
        <v>12105</v>
      </c>
      <c r="B12105" s="2" t="str">
        <f>IFERROR(__xludf.DUMMYFUNCTION("GOOGLETRANSLATE(A12105, ""en"", ""mt"")"),"X'kienu l-istatistiċi tal-logħba rebħa / telf għall-istaġun regolari ta 'Denver Bronco fl-2015?")</f>
        <v>X'kienu l-istatistiċi tal-logħba rebħa / telf għall-istaġun regolari ta 'Denver Bronco fl-2015?</v>
      </c>
    </row>
    <row r="12106" ht="15.75" customHeight="1">
      <c r="A12106" s="2" t="s">
        <v>12106</v>
      </c>
      <c r="B12106" s="2" t="str">
        <f>IFERROR(__xludf.DUMMYFUNCTION("GOOGLETRANSLATE(A12106, ""en"", ""mt"")"),"Fil-partijiet tan-netwerk tal-kanali interni taħt ir-ringieli tal-moxt")</f>
        <v>Fil-partijiet tan-netwerk tal-kanali interni taħt ir-ringieli tal-moxt</v>
      </c>
    </row>
    <row r="12107" ht="15.75" customHeight="1">
      <c r="A12107" s="2" t="s">
        <v>12107</v>
      </c>
      <c r="B12107" s="2" t="str">
        <f>IFERROR(__xludf.DUMMYFUNCTION("GOOGLETRANSLATE(A12107, ""en"", ""mt"")"),"Konferenza tal-Knisja")</f>
        <v>Konferenza tal-Knisja</v>
      </c>
    </row>
    <row r="12108" ht="15.75" customHeight="1">
      <c r="A12108" s="2" t="s">
        <v>12108</v>
      </c>
      <c r="B12108" s="2" t="str">
        <f>IFERROR(__xludf.DUMMYFUNCTION("GOOGLETRANSLATE(A12108, ""en"", ""mt"")"),"X'tip ta 'dell jitfa' t-Tramuntana ta 'Pennines?")</f>
        <v>X'tip ta 'dell jitfa' t-Tramuntana ta 'Pennines?</v>
      </c>
    </row>
    <row r="12109" ht="15.75" customHeight="1">
      <c r="A12109" s="2" t="s">
        <v>12109</v>
      </c>
      <c r="B12109" s="2" t="str">
        <f>IFERROR(__xludf.DUMMYFUNCTION("GOOGLETRANSLATE(A12109, ""en"", ""mt"")"),"L-editt ipproteġi l-Kattoliċi billi jiskoraġġixxi xiex?")</f>
        <v>L-editt ipproteġi l-Kattoliċi billi jiskoraġġixxi xiex?</v>
      </c>
    </row>
    <row r="12110" ht="15.75" customHeight="1">
      <c r="A12110" s="2" t="s">
        <v>12110</v>
      </c>
      <c r="B12110" s="2" t="str">
        <f>IFERROR(__xludf.DUMMYFUNCTION("GOOGLETRANSLATE(A12110, ""en"", ""mt"")"),"Min iddisinja ċ-Ċentru tal-Mużika Sage Gateshead?")</f>
        <v>Min iddisinja ċ-Ċentru tal-Mużika Sage Gateshead?</v>
      </c>
    </row>
    <row r="12111" ht="15.75" customHeight="1">
      <c r="A12111" s="2" t="s">
        <v>12111</v>
      </c>
      <c r="B12111" s="2" t="str">
        <f>IFERROR(__xludf.DUMMYFUNCTION("GOOGLETRANSLATE(A12111, ""en"", ""mt"")"),"X'kien l-isem tal-episodju Marco Polo?")</f>
        <v>X'kien l-isem tal-episodju Marco Polo?</v>
      </c>
    </row>
    <row r="12112" ht="15.75" customHeight="1">
      <c r="A12112" s="2" t="s">
        <v>12112</v>
      </c>
      <c r="B12112" s="2" t="str">
        <f>IFERROR(__xludf.DUMMYFUNCTION("GOOGLETRANSLATE(A12112, ""en"", ""mt"")"),"Liema forza taġixxi bejn ħlasijiet elettriċi?")</f>
        <v>Liema forza taġixxi bejn ħlasijiet elettriċi?</v>
      </c>
    </row>
    <row r="12113" ht="15.75" customHeight="1">
      <c r="A12113" s="2" t="s">
        <v>12113</v>
      </c>
      <c r="B12113" s="2" t="str">
        <f>IFERROR(__xludf.DUMMYFUNCTION("GOOGLETRANSLATE(A12113, ""en"", ""mt"")"),"Bill Aken")</f>
        <v>Bill Aken</v>
      </c>
    </row>
    <row r="12114" ht="15.75" customHeight="1">
      <c r="A12114" s="2" t="s">
        <v>12114</v>
      </c>
      <c r="B12114" s="2" t="str">
        <f>IFERROR(__xludf.DUMMYFUNCTION("GOOGLETRANSLATE(A12114, ""en"", ""mt"")"),"Kemm irrapportaw il-Bliet Kapitali / ABC fid-dħul fl-1990?")</f>
        <v>Kemm irrapportaw il-Bliet Kapitali / ABC fid-dħul fl-1990?</v>
      </c>
    </row>
    <row r="12115" ht="15.75" customHeight="1">
      <c r="A12115" s="2" t="s">
        <v>12115</v>
      </c>
      <c r="B12115" s="2" t="str">
        <f>IFERROR(__xludf.DUMMYFUNCTION("GOOGLETRANSLATE(A12115, ""en"", ""mt"")"),"Il-Knisja Metodista Magħquda hija organizzata f'konferenzi. L-ogħla livell jissejjaħ il-Konferenza Ġenerali u hija l-unika organizzazzjoni li tista 'titkellem uffiċjalment għall-knisja. Il-Konferenza Ġenerali tiltaqa 'kull erba' snin (Quadrennium). Bidlie"&amp;"t leġiżlattivi huma rreġistrati fil-Ktieb tad-Dixxiplina li huwa rivedut wara kull Konferenza Ġenerali. Riżoluzzjonijiet mhux leġislattivi huma rreġistrati fil-Ktieb tar-Riżoluzzjonijiet, li huwa ppubblikat wara kull konferenza ġenerali, u jiskadi wara tm"&amp;"ien snin sakemm ma jerġgħux jgħaddu minn sessjoni sussegwenti ta 'konferenza ġenerali. L-aħħar Konferenza Ġenerali saret f'Tampa, Florida, fl-2012. L-avveniment bħalissa huwa mdawwar bejn il-ġurisdizzjonijiet ta 'l-Istati Uniti tal-knisja. Il-Konferenza Ġ"&amp;"enerali tal-2016 se tkun f'Portland, Oregon. L-isqfijiet, il-kunsilli, il-kumitati, il-bordijiet, l-anzjani, eċċ., Mhumiex permessi jitkellmu f'isem il-Knisja Metodista Magħquda peress li din l-awtorità hija riservata biss għall-Konferenza Ġenerali skont "&amp;"il-Ktieb tad-Dixxiplina.")</f>
        <v>Il-Knisja Metodista Magħquda hija organizzata f'konferenzi. L-ogħla livell jissejjaħ il-Konferenza Ġenerali u hija l-unika organizzazzjoni li tista 'titkellem uffiċjalment għall-knisja. Il-Konferenza Ġenerali tiltaqa 'kull erba' snin (Quadrennium). Bidliet leġiżlattivi huma rreġistrati fil-Ktieb tad-Dixxiplina li huwa rivedut wara kull Konferenza Ġenerali. Riżoluzzjonijiet mhux leġislattivi huma rreġistrati fil-Ktieb tar-Riżoluzzjonijiet, li huwa ppubblikat wara kull konferenza ġenerali, u jiskadi wara tmien snin sakemm ma jerġgħux jgħaddu minn sessjoni sussegwenti ta 'konferenza ġenerali. L-aħħar Konferenza Ġenerali saret f'Tampa, Florida, fl-2012. L-avveniment bħalissa huwa mdawwar bejn il-ġurisdizzjonijiet ta 'l-Istati Uniti tal-knisja. Il-Konferenza Ġenerali tal-2016 se tkun f'Portland, Oregon. L-isqfijiet, il-kunsilli, il-kumitati, il-bordijiet, l-anzjani, eċċ., Mhumiex permessi jitkellmu f'isem il-Knisja Metodista Magħquda peress li din l-awtorità hija riservata biss għall-Konferenza Ġenerali skont il-Ktieb tad-Dixxiplina.</v>
      </c>
    </row>
    <row r="12116" ht="15.75" customHeight="1">
      <c r="A12116" s="2" t="s">
        <v>12116</v>
      </c>
      <c r="B12116" s="2" t="str">
        <f>IFERROR(__xludf.DUMMYFUNCTION("GOOGLETRANSLATE(A12116, ""en"", ""mt"")"),"Fl-iktar akkwist komuni ta ’kostruzzjoni, min jaġixxi bħala l-koordinatur tal-proġett?")</f>
        <v>Fl-iktar akkwist komuni ta ’kostruzzjoni, min jaġixxi bħala l-koordinatur tal-proġett?</v>
      </c>
    </row>
    <row r="12117" ht="15.75" customHeight="1">
      <c r="A12117" s="2" t="s">
        <v>12117</v>
      </c>
      <c r="B12117" s="2" t="str">
        <f>IFERROR(__xludf.DUMMYFUNCTION("GOOGLETRANSLATE(A12117, ""en"", ""mt"")"),"Liema età tibda l-edukazzjoni bażika?")</f>
        <v>Liema età tibda l-edukazzjoni bażika?</v>
      </c>
    </row>
    <row r="12118" ht="15.75" customHeight="1">
      <c r="A12118" s="2" t="s">
        <v>12118</v>
      </c>
      <c r="B12118" s="2" t="str">
        <f>IFERROR(__xludf.DUMMYFUNCTION("GOOGLETRANSLATE(A12118, ""en"", ""mt"")"),"John Wesley oriġinarjament sejjaħ din l-esperjenza tat-twelid il-ġdid.")</f>
        <v>John Wesley oriġinarjament sejjaħ din l-esperjenza tat-twelid il-ġdid.</v>
      </c>
    </row>
    <row r="12119" ht="15.75" customHeight="1">
      <c r="A12119" s="2" t="s">
        <v>12119</v>
      </c>
      <c r="B12119" s="2" t="str">
        <f>IFERROR(__xludf.DUMMYFUNCTION("GOOGLETRANSLATE(A12119, ""en"", ""mt"")"),"Għal liema tip ta 'trattament huma importanti l-ispiżjara?")</f>
        <v>Għal liema tip ta 'trattament huma importanti l-ispiżjara?</v>
      </c>
    </row>
    <row r="12120" ht="15.75" customHeight="1">
      <c r="A12120" s="2" t="s">
        <v>12120</v>
      </c>
      <c r="B12120" s="2" t="str">
        <f>IFERROR(__xludf.DUMMYFUNCTION("GOOGLETRANSLATE(A12120, ""en"", ""mt"")"),"Vettura Roving Lunar")</f>
        <v>Vettura Roving Lunar</v>
      </c>
    </row>
    <row r="12121" ht="15.75" customHeight="1">
      <c r="A12121" s="2" t="s">
        <v>12121</v>
      </c>
      <c r="B12121" s="2" t="str">
        <f>IFERROR(__xludf.DUMMYFUNCTION("GOOGLETRANSLATE(A12121, ""en"", ""mt"")"),"Liema reliġjon hija r-reġjun tal-Punent l-aktar?")</f>
        <v>Liema reliġjon hija r-reġjun tal-Punent l-aktar?</v>
      </c>
    </row>
    <row r="12122" ht="15.75" customHeight="1">
      <c r="A12122" s="2" t="s">
        <v>12122</v>
      </c>
      <c r="B12122" s="2" t="str">
        <f>IFERROR(__xludf.DUMMYFUNCTION("GOOGLETRANSLATE(A12122, ""en"", ""mt"")"),"Memorja attiva fit-tul hija akkwistata wara infezzjoni bl-attivazzjoni taċ-ċelloli B u T. L-immunità attiva tista 'wkoll tiġi ġġenerata artifiċjalment, permezz tat-tilqima. Il-prinċipju wara t-tilqima (imsejjaħ ukoll immunizzazzjoni) huwa li jintroduċi an"&amp;"tiġen minn patoġen sabiex jistimula s-sistema immunitarja u jiżviluppa immunità speċifika kontra dak il-patoġen partikolari mingħajr ma jikkawża marda assoċjata ma 'dak l-organiżmu. Din l-induzzjoni deliberata ta 'rispons immuni hija suċċess minħabba li t"&amp;"isfrutta l-ispeċifiċità naturali tas-sistema immunitarja, kif ukoll l-induċibilità tagħha. Bil-marda infettiva li fadal waħda mill-kawżi ewlenin tal-mewt fil-popolazzjoni umana, it-tilqima tirrappreżenta l-iktar manipulazzjoni effettiva tas-sistema immuni"&amp;" li żviluppa l-umanità.")</f>
        <v>Memorja attiva fit-tul hija akkwistata wara infezzjoni bl-attivazzjoni taċ-ċelloli B u T. L-immunità attiva tista 'wkoll tiġi ġġenerata artifiċjalment, permezz tat-tilqima. Il-prinċipju wara t-tilqima (imsejjaħ ukoll immunizzazzjoni) huwa li jintroduċi antiġen minn patoġen sabiex jistimula s-sistema immunitarja u jiżviluppa immunità speċifika kontra dak il-patoġen partikolari mingħajr ma jikkawża marda assoċjata ma 'dak l-organiżmu. Din l-induzzjoni deliberata ta 'rispons immuni hija suċċess minħabba li tisfrutta l-ispeċifiċità naturali tas-sistema immunitarja, kif ukoll l-induċibilità tagħha. Bil-marda infettiva li fadal waħda mill-kawżi ewlenin tal-mewt fil-popolazzjoni umana, it-tilqima tirrappreżenta l-iktar manipulazzjoni effettiva tas-sistema immuni li żviluppa l-umanità.</v>
      </c>
    </row>
    <row r="12123" ht="15.75" customHeight="1">
      <c r="A12123" s="2" t="s">
        <v>12123</v>
      </c>
      <c r="B12123" s="2" t="str">
        <f>IFERROR(__xludf.DUMMYFUNCTION("GOOGLETRANSLATE(A12123, ""en"", ""mt"")"),"sett fiss ta 'regoli biex jiddetermina l-azzjonijiet futuri tiegħu")</f>
        <v>sett fiss ta 'regoli biex jiddetermina l-azzjonijiet futuri tiegħu</v>
      </c>
    </row>
    <row r="12124" ht="15.75" customHeight="1">
      <c r="A12124" s="2" t="s">
        <v>12124</v>
      </c>
      <c r="B12124" s="2" t="str">
        <f>IFERROR(__xludf.DUMMYFUNCTION("GOOGLETRANSLATE(A12124, ""en"", ""mt"")"),"Kemm atturi lagħbu tabib min?")</f>
        <v>Kemm atturi lagħbu tabib min?</v>
      </c>
    </row>
    <row r="12125" ht="15.75" customHeight="1">
      <c r="A12125" s="2" t="s">
        <v>12125</v>
      </c>
      <c r="B12125" s="2" t="str">
        <f>IFERROR(__xludf.DUMMYFUNCTION("GOOGLETRANSLATE(A12125, ""en"", ""mt"")"),"Meta ġiet brevettata l-mutur innovattiv ta 'Tesla?")</f>
        <v>Meta ġiet brevettata l-mutur innovattiv ta 'Tesla?</v>
      </c>
    </row>
    <row r="12126" ht="15.75" customHeight="1">
      <c r="A12126" s="2" t="s">
        <v>12126</v>
      </c>
      <c r="B12126" s="2" t="str">
        <f>IFERROR(__xludf.DUMMYFUNCTION("GOOGLETRANSLATE(A12126, ""en"", ""mt"")"),"It-tieni l-akbar belt")</f>
        <v>It-tieni l-akbar belt</v>
      </c>
    </row>
    <row r="12127" ht="15.75" customHeight="1">
      <c r="A12127" s="2" t="s">
        <v>12127</v>
      </c>
      <c r="B12127" s="2" t="str">
        <f>IFERROR(__xludf.DUMMYFUNCTION("GOOGLETRANSLATE(A12127, ""en"", ""mt"")"),"X'kien l-għan tal-Kungress?")</f>
        <v>X'kien l-għan tal-Kungress?</v>
      </c>
    </row>
    <row r="12128" ht="15.75" customHeight="1">
      <c r="A12128" s="2" t="s">
        <v>12128</v>
      </c>
      <c r="B12128" s="2" t="str">
        <f>IFERROR(__xludf.DUMMYFUNCTION("GOOGLETRANSLATE(A12128, ""en"", ""mt"")"),"komunikazzjoni")</f>
        <v>komunikazzjoni</v>
      </c>
    </row>
    <row r="12129" ht="15.75" customHeight="1">
      <c r="A12129" s="2" t="s">
        <v>12129</v>
      </c>
      <c r="B12129" s="2" t="str">
        <f>IFERROR(__xludf.DUMMYFUNCTION("GOOGLETRANSLATE(A12129, ""en"", ""mt"")"),"Ġwanni 8: 7.")</f>
        <v>Ġwanni 8: 7.</v>
      </c>
    </row>
    <row r="12130" ht="15.75" customHeight="1">
      <c r="A12130" s="2" t="s">
        <v>12130</v>
      </c>
      <c r="B12130" s="2" t="str">
        <f>IFERROR(__xludf.DUMMYFUNCTION("GOOGLETRANSLATE(A12130, ""en"", ""mt"")"),"Membri tal-Assoċjazzjoni Internazzjonali tal-Iskejjel, Kulleġġi u Universitajiet relatati mal-Metodisti. Il-knisja topera tliet mija sittin scho")</f>
        <v>Membri tal-Assoċjazzjoni Internazzjonali tal-Iskejjel, Kulleġġi u Universitajiet relatati mal-Metodisti. Il-knisja topera tliet mija sittin scho</v>
      </c>
    </row>
    <row r="12131" ht="15.75" customHeight="1">
      <c r="A12131" s="2" t="s">
        <v>12131</v>
      </c>
      <c r="B12131" s="2" t="str">
        <f>IFERROR(__xludf.DUMMYFUNCTION("GOOGLETRANSLATE(A12131, ""en"", ""mt"")"),"F'din l-ekwazzjoni, kostanti dimensjonali tintuża biex tiddeskrivi s-saħħa relattiva tal-gravità. Din il-kostanti saret magħrufa bħala l-kostanti tal-gravitazzjoni universali ta 'Newton, għalkemm il-valur tagħha ma kienx magħruf f'ħajja ta' Newton. Mhux s"&amp;"al-1798 kien Henry Cavendish kapaċi jagħmel l-ewwel kejl tal-użu ta 'bilanċ tat-torsjoni; Dan kien irrappurtat b'mod wiesa 'fl-istampa bħala kejl tal-massa tad-dinja peress li jaf jista' jippermetti li wieħed isolvi għall-massa tad-dinja minħabba l-ekwazz"&amp;"joni ta 'hawn fuq. Newton, madankollu, induna li peress li l-korpi ċelesti kollha segwew l-istess liġijiet tal-mozzjoni, il-liġi tal-gravità tiegħu kellha tkun universali. Iddikjarat b'mod konċiż, il-liġi ta 'gravitazzjoni ta' Newton tiddikjara li l-forza"&amp;" fuq oġġett sferiku ta 'massa minħabba l-ġibda gravitazzjonali tal-massa hija")</f>
        <v>F'din l-ekwazzjoni, kostanti dimensjonali tintuża biex tiddeskrivi s-saħħa relattiva tal-gravità. Din il-kostanti saret magħrufa bħala l-kostanti tal-gravitazzjoni universali ta 'Newton, għalkemm il-valur tagħha ma kienx magħruf f'ħajja ta' Newton. Mhux sal-1798 kien Henry Cavendish kapaċi jagħmel l-ewwel kejl tal-użu ta 'bilanċ tat-torsjoni; Dan kien irrappurtat b'mod wiesa 'fl-istampa bħala kejl tal-massa tad-dinja peress li jaf jista' jippermetti li wieħed isolvi għall-massa tad-dinja minħabba l-ekwazzjoni ta 'hawn fuq. Newton, madankollu, induna li peress li l-korpi ċelesti kollha segwew l-istess liġijiet tal-mozzjoni, il-liġi tal-gravità tiegħu kellha tkun universali. Iddikjarat b'mod konċiż, il-liġi ta 'gravitazzjoni ta' Newton tiddikjara li l-forza fuq oġġett sferiku ta 'massa minħabba l-ġibda gravitazzjonali tal-massa hija</v>
      </c>
    </row>
    <row r="12132" ht="15.75" customHeight="1">
      <c r="A12132" s="2" t="s">
        <v>12132</v>
      </c>
      <c r="B12132" s="2" t="str">
        <f>IFERROR(__xludf.DUMMYFUNCTION("GOOGLETRANSLATE(A12132, ""en"", ""mt"")"),"Fejn huma wħud mill-aqwa faċilitajiet mediċi fl-Ewropa tal-Lvant-Ċentrali?")</f>
        <v>Fejn huma wħud mill-aqwa faċilitajiet mediċi fl-Ewropa tal-Lvant-Ċentrali?</v>
      </c>
    </row>
    <row r="12133" ht="15.75" customHeight="1">
      <c r="A12133" s="2" t="s">
        <v>12133</v>
      </c>
      <c r="B12133" s="2" t="str">
        <f>IFERROR(__xludf.DUMMYFUNCTION("GOOGLETRANSLATE(A12133, ""en"", ""mt"")"),"L-Alpi Vittorjani")</f>
        <v>L-Alpi Vittorjani</v>
      </c>
    </row>
    <row r="12134" ht="15.75" customHeight="1">
      <c r="A12134" s="2" t="s">
        <v>12134</v>
      </c>
      <c r="B12134" s="2" t="str">
        <f>IFERROR(__xludf.DUMMYFUNCTION("GOOGLETRANSLATE(A12134, ""en"", ""mt"")"),"Khentii aimag")</f>
        <v>Khentii aimag</v>
      </c>
    </row>
    <row r="12135" ht="15.75" customHeight="1">
      <c r="A12135" s="2" t="s">
        <v>12135</v>
      </c>
      <c r="B12135" s="2" t="str">
        <f>IFERROR(__xludf.DUMMYFUNCTION("GOOGLETRANSLATE(A12135, ""en"", ""mt"")"),"ditti involuti fil-ġestjoni ta 'proġetti ta' kostruzzjoni mingħajr ma jassumu responsabbiltà finanzjarja diretta għat-tlestija tal-proġett ta 'kostruzzjoni")</f>
        <v>ditti involuti fil-ġestjoni ta 'proġetti ta' kostruzzjoni mingħajr ma jassumu responsabbiltà finanzjarja diretta għat-tlestija tal-proġett ta 'kostruzzjoni</v>
      </c>
    </row>
    <row r="12136" ht="15.75" customHeight="1">
      <c r="A12136" s="2" t="s">
        <v>12136</v>
      </c>
      <c r="B12136" s="2" t="str">
        <f>IFERROR(__xludf.DUMMYFUNCTION("GOOGLETRANSLATE(A12136, ""en"", ""mt"")"),"X'inhi l-konfini bejn ir-Renu għoli u ta 'fuq?")</f>
        <v>X'inhi l-konfini bejn ir-Renu għoli u ta 'fuq?</v>
      </c>
    </row>
    <row r="12137" ht="15.75" customHeight="1">
      <c r="A12137" s="2" t="s">
        <v>12137</v>
      </c>
      <c r="B12137" s="2" t="str">
        <f>IFERROR(__xludf.DUMMYFUNCTION("GOOGLETRANSLATE(A12137, ""en"", ""mt"")"),"X'tip ta 'disinn kien dan il-mutur?")</f>
        <v>X'tip ta 'disinn kien dan il-mutur?</v>
      </c>
    </row>
    <row r="12138" ht="15.75" customHeight="1">
      <c r="A12138" s="2" t="s">
        <v>12138</v>
      </c>
      <c r="B12138" s="2" t="str">
        <f>IFERROR(__xludf.DUMMYFUNCTION("GOOGLETRANSLATE(A12138, ""en"", ""mt"")"),"Paramount imħallas FO, 10 Cloverfield Lane u liema karru ieħor tal-films għandhom jixxandru waqt il-logħba?")</f>
        <v>Paramount imħallas FO, 10 Cloverfield Lane u liema karru ieħor tal-films għandhom jixxandru waqt il-logħba?</v>
      </c>
    </row>
    <row r="12139" ht="15.75" customHeight="1">
      <c r="A12139" s="2" t="s">
        <v>12139</v>
      </c>
      <c r="B12139" s="2" t="str">
        <f>IFERROR(__xludf.DUMMYFUNCTION("GOOGLETRANSLATE(A12139, ""en"", ""mt"")"),"Tard 2008")</f>
        <v>Tard 2008</v>
      </c>
    </row>
    <row r="12140" ht="15.75" customHeight="1">
      <c r="A12140" s="2" t="s">
        <v>12140</v>
      </c>
      <c r="B12140" s="2" t="str">
        <f>IFERROR(__xludf.DUMMYFUNCTION("GOOGLETRANSLATE(A12140, ""en"", ""mt"")"),"Għall-ewwel huwa bagħat missjunarji, appoġġjat minn fond biex jippremja finanzjarjament konvertiti għall-Kattoliċiżmu")</f>
        <v>Għall-ewwel huwa bagħat missjunarji, appoġġjat minn fond biex jippremja finanzjarjament konvertiti għall-Kattoliċiżmu</v>
      </c>
    </row>
    <row r="12141" ht="15.75" customHeight="1">
      <c r="A12141" s="2" t="s">
        <v>12141</v>
      </c>
      <c r="B12141" s="2" t="str">
        <f>IFERROR(__xludf.DUMMYFUNCTION("GOOGLETRANSLATE(A12141, ""en"", ""mt"")"),"każ tal-ġurisprudenza mill-qorti tal-ġustizzja")</f>
        <v>każ tal-ġurisprudenza mill-qorti tal-ġustizzja</v>
      </c>
    </row>
    <row r="12142" ht="15.75" customHeight="1">
      <c r="A12142" s="2" t="s">
        <v>12142</v>
      </c>
      <c r="B12142" s="2" t="str">
        <f>IFERROR(__xludf.DUMMYFUNCTION("GOOGLETRANSLATE(A12142, ""en"", ""mt"")"),"X'inhi okkorrenza komuni matul il-jiem tas-sajf?")</f>
        <v>X'inhi okkorrenza komuni matul il-jiem tas-sajf?</v>
      </c>
    </row>
    <row r="12143" ht="15.75" customHeight="1">
      <c r="A12143" s="2" t="s">
        <v>12143</v>
      </c>
      <c r="B12143" s="2" t="str">
        <f>IFERROR(__xludf.DUMMYFUNCTION("GOOGLETRANSLATE(A12143, ""en"", ""mt"")"),"Il-Prinċipju ta ’Esklużjoni ta’ Pauli")</f>
        <v>Il-Prinċipju ta ’Esklużjoni ta’ Pauli</v>
      </c>
    </row>
    <row r="12144" ht="15.75" customHeight="1">
      <c r="A12144" s="2" t="s">
        <v>12144</v>
      </c>
      <c r="B12144" s="2" t="str">
        <f>IFERROR(__xludf.DUMMYFUNCTION("GOOGLETRANSLATE(A12144, ""en"", ""mt"")"),"L-Irlanda")</f>
        <v>L-Irlanda</v>
      </c>
    </row>
    <row r="12145" ht="15.75" customHeight="1">
      <c r="A12145" s="2" t="s">
        <v>12145</v>
      </c>
      <c r="B12145" s="2" t="str">
        <f>IFERROR(__xludf.DUMMYFUNCTION("GOOGLETRANSLATE(A12145, ""en"", ""mt"")"),"Apparati li jipproduċu r-raġġi X.")</f>
        <v>Apparati li jipproduċu r-raġġi X.</v>
      </c>
    </row>
    <row r="12146" ht="15.75" customHeight="1">
      <c r="A12146" s="2" t="s">
        <v>12146</v>
      </c>
      <c r="B12146" s="2" t="str">
        <f>IFERROR(__xludf.DUMMYFUNCTION("GOOGLETRANSLATE(A12146, ""en"", ""mt"")"),"Fejn iseħħu laqgħat plenarji?")</f>
        <v>Fejn iseħħu laqgħat plenarji?</v>
      </c>
    </row>
    <row r="12147" ht="15.75" customHeight="1">
      <c r="A12147" s="2" t="s">
        <v>12147</v>
      </c>
      <c r="B12147" s="2" t="str">
        <f>IFERROR(__xludf.DUMMYFUNCTION("GOOGLETRANSLATE(A12147, ""en"", ""mt"")"),"Meta menich serva bħala president?")</f>
        <v>Meta menich serva bħala president?</v>
      </c>
    </row>
    <row r="12148" ht="15.75" customHeight="1">
      <c r="A12148" s="2" t="s">
        <v>12148</v>
      </c>
      <c r="B12148" s="2" t="str">
        <f>IFERROR(__xludf.DUMMYFUNCTION("GOOGLETRANSLATE(A12148, ""en"", ""mt"")"),"X'kien l-għan tal-proklamazzjoni rjali tal-1763?")</f>
        <v>X'kien l-għan tal-proklamazzjoni rjali tal-1763?</v>
      </c>
    </row>
    <row r="12149" ht="15.75" customHeight="1">
      <c r="A12149" s="2" t="s">
        <v>12149</v>
      </c>
      <c r="B12149" s="2" t="str">
        <f>IFERROR(__xludf.DUMMYFUNCTION("GOOGLETRANSLATE(A12149, ""en"", ""mt"")"),"Min kienu l-astronawti abbord il-missjoni Apollo 11?")</f>
        <v>Min kienu l-astronawti abbord il-missjoni Apollo 11?</v>
      </c>
    </row>
    <row r="12150" ht="15.75" customHeight="1">
      <c r="A12150" s="2" t="s">
        <v>12150</v>
      </c>
      <c r="B12150" s="2" t="str">
        <f>IFERROR(__xludf.DUMMYFUNCTION("GOOGLETRANSLATE(A12150, ""en"", ""mt"")"),"X’ħeġġiġhom iż-żjarat ta ’John Paul II fl-1979 u fl-1983?")</f>
        <v>X’ħeġġiġhom iż-żjarat ta ’John Paul II fl-1979 u fl-1983?</v>
      </c>
    </row>
    <row r="12151" ht="15.75" customHeight="1">
      <c r="A12151" s="2" t="s">
        <v>12151</v>
      </c>
      <c r="B12151" s="2" t="str">
        <f>IFERROR(__xludf.DUMMYFUNCTION("GOOGLETRANSLATE(A12151, ""en"", ""mt"")"),"Meta Disney-ABC Television Group implimenta restrizzjonijiet fuq Hulu u Watch ABC biex jinkoraġġixxi l-wiri ħaj?")</f>
        <v>Meta Disney-ABC Television Group implimenta restrizzjonijiet fuq Hulu u Watch ABC biex jinkoraġġixxi l-wiri ħaj?</v>
      </c>
    </row>
    <row r="12152" ht="15.75" customHeight="1">
      <c r="A12152" s="2" t="s">
        <v>12152</v>
      </c>
      <c r="B12152" s="2" t="str">
        <f>IFERROR(__xludf.DUMMYFUNCTION("GOOGLETRANSLATE(A12152, ""en"", ""mt"")"),"Meta r-Renu joħroġ mill-Lag Constance b'liema triq joħroġ?")</f>
        <v>Meta r-Renu joħroġ mill-Lag Constance b'liema triq joħroġ?</v>
      </c>
    </row>
    <row r="12153" ht="15.75" customHeight="1">
      <c r="A12153" s="2" t="s">
        <v>12153</v>
      </c>
      <c r="B12153" s="2" t="str">
        <f>IFERROR(__xludf.DUMMYFUNCTION("GOOGLETRANSLATE(A12153, ""en"", ""mt"")"),"residwu tal-forza")</f>
        <v>residwu tal-forza</v>
      </c>
    </row>
    <row r="12154" ht="15.75" customHeight="1">
      <c r="A12154" s="2" t="s">
        <v>12154</v>
      </c>
      <c r="B12154" s="2" t="str">
        <f>IFERROR(__xludf.DUMMYFUNCTION("GOOGLETRANSLATE(A12154, ""en"", ""mt"")"),"ragħaj")</f>
        <v>ragħaj</v>
      </c>
    </row>
    <row r="12155" ht="15.75" customHeight="1">
      <c r="A12155" s="2" t="s">
        <v>12155</v>
      </c>
      <c r="B12155" s="2" t="str">
        <f>IFERROR(__xludf.DUMMYFUNCTION("GOOGLETRANSLATE(A12155, ""en"", ""mt"")"),"X'kien imsejjaħ il-perjodu li kien 505 miljun sena ilu?")</f>
        <v>X'kien imsejjaħ il-perjodu li kien 505 miljun sena ilu?</v>
      </c>
    </row>
    <row r="12156" ht="15.75" customHeight="1">
      <c r="A12156" s="2" t="s">
        <v>12156</v>
      </c>
      <c r="B12156" s="2" t="str">
        <f>IFERROR(__xludf.DUMMYFUNCTION("GOOGLETRANSLATE(A12156, ""en"", ""mt"")"),"Liema tagħlim ta 'l-organizzazzjoni Luther irrifjuta?")</f>
        <v>Liema tagħlim ta 'l-organizzazzjoni Luther irrifjuta?</v>
      </c>
    </row>
    <row r="12157" ht="15.75" customHeight="1">
      <c r="A12157" s="2" t="s">
        <v>12157</v>
      </c>
      <c r="B12157" s="2" t="str">
        <f>IFERROR(__xludf.DUMMYFUNCTION("GOOGLETRANSLATE(A12157, ""en"", ""mt"")"),"Xi juri l-manuskritt oriġinali?")</f>
        <v>Xi juri l-manuskritt oriġinali?</v>
      </c>
    </row>
    <row r="12158" ht="15.75" customHeight="1">
      <c r="A12158" s="2" t="s">
        <v>12158</v>
      </c>
      <c r="B12158" s="2" t="str">
        <f>IFERROR(__xludf.DUMMYFUNCTION("GOOGLETRANSLATE(A12158, ""en"", ""mt"")"),"Apollo 8 kien ippjanat li jkun il-missjoni D f'Diċembru 1968, ekwipaġġ minn McDivitt, Scott u Schweickart, imnedija fuq Saturn V minflok żewġ Saturnu IBS. Fis-sajf kien jidher ċar li l-LM ma tkunx lesta fil-ħin. Minflok ma jaħli s-Saturn V fuq missjoni oħ"&amp;"ra sempliċi li jorbita d-Dinja, il-maniġer tal-ASPO George Low issuġġerixxa l-pass kuraġġuż li jibgħat Apollo 8 biex jorbita l-qamar minflok, jiddeferixxi l-missjoni D għall-missjoni li jmiss f'Marzu 1969, u jelimina l-missjoni E. Dan iżomm il-programm fi"&amp;"t-triq it-tajba. L-Unjoni Sovjetika kienet bagħtet annimali madwar il-qamar fil-15 ta 'Settembru, 1968, abbord Zond 5, u kien maħsub li jistgħu jirrepetu malajr il-proeza bil-kosmonawti umani. Id-deċiżjoni ma ġietx imħabbra pubblikament sakemm tlestiet b'"&amp;"suċċess ta 'Apollo 7. Veterani Gemini Frank Borman u James Lovell, u r-rookie William Anders qabdu l-attenzjoni tad-dinja billi għamlu 10 orbiti lunari f'20 siegħa, jittrasmettu ritratti televiżivi tal-wiċċ Lunar fil-Lejliet tal-Milied, u jirritornaw ming"&amp;"ħajr periklu lejn id-Dinja.")</f>
        <v>Apollo 8 kien ippjanat li jkun il-missjoni D f'Diċembru 1968, ekwipaġġ minn McDivitt, Scott u Schweickart, imnedija fuq Saturn V minflok żewġ Saturnu IBS. Fis-sajf kien jidher ċar li l-LM ma tkunx lesta fil-ħin. Minflok ma jaħli s-Saturn V fuq missjoni oħra sempliċi li jorbita d-Dinja, il-maniġer tal-ASPO George Low issuġġerixxa l-pass kuraġġuż li jibgħat Apollo 8 biex jorbita l-qamar minflok, jiddeferixxi l-missjoni D għall-missjoni li jmiss f'Marzu 1969, u jelimina l-missjoni E. Dan iżomm il-programm fit-triq it-tajba. L-Unjoni Sovjetika kienet bagħtet annimali madwar il-qamar fil-15 ta 'Settembru, 1968, abbord Zond 5, u kien maħsub li jistgħu jirrepetu malajr il-proeza bil-kosmonawti umani. Id-deċiżjoni ma ġietx imħabbra pubblikament sakemm tlestiet b'suċċess ta 'Apollo 7. Veterani Gemini Frank Borman u James Lovell, u r-rookie William Anders qabdu l-attenzjoni tad-dinja billi għamlu 10 orbiti lunari f'20 siegħa, jittrasmettu ritratti televiżivi tal-wiċċ Lunar fil-Lejliet tal-Milied, u jirritornaw mingħajr periklu lejn id-Dinja.</v>
      </c>
    </row>
    <row r="12159" ht="15.75" customHeight="1">
      <c r="A12159" s="2" t="s">
        <v>12159</v>
      </c>
      <c r="B12159" s="2" t="str">
        <f>IFERROR(__xludf.DUMMYFUNCTION("GOOGLETRANSLATE(A12159, ""en"", ""mt"")"),"Dorothy u Michael Hintze")</f>
        <v>Dorothy u Michael Hintze</v>
      </c>
    </row>
    <row r="12160" ht="15.75" customHeight="1">
      <c r="A12160" s="2" t="s">
        <v>12160</v>
      </c>
      <c r="B12160" s="2" t="str">
        <f>IFERROR(__xludf.DUMMYFUNCTION("GOOGLETRANSLATE(A12160, ""en"", ""mt"")"),"taljoli ideali")</f>
        <v>taljoli ideali</v>
      </c>
    </row>
    <row r="12161" ht="15.75" customHeight="1">
      <c r="A12161" s="2" t="s">
        <v>12161</v>
      </c>
      <c r="B12161" s="2" t="str">
        <f>IFERROR(__xludf.DUMMYFUNCTION("GOOGLETRANSLATE(A12161, ""en"", ""mt"")"),"Mudell standard")</f>
        <v>Mudell standard</v>
      </c>
    </row>
    <row r="12162" ht="15.75" customHeight="1">
      <c r="A12162" s="2" t="s">
        <v>12162</v>
      </c>
      <c r="B12162" s="2" t="str">
        <f>IFERROR(__xludf.DUMMYFUNCTION("GOOGLETRANSLATE(A12162, ""en"", ""mt"")"),"Żwiġijiet tal-istess sess b'riżoluzzjonijiet")</f>
        <v>Żwiġijiet tal-istess sess b'riżoluzzjonijiet</v>
      </c>
    </row>
    <row r="12163" ht="15.75" customHeight="1">
      <c r="A12163" s="2" t="s">
        <v>12163</v>
      </c>
      <c r="B12163" s="2" t="str">
        <f>IFERROR(__xludf.DUMMYFUNCTION("GOOGLETRANSLATE(A12163, ""en"", ""mt"")"),"X'ġara fil-laboratorju tiegħu?")</f>
        <v>X'ġara fil-laboratorju tiegħu?</v>
      </c>
    </row>
    <row r="12164" ht="15.75" customHeight="1">
      <c r="A12164" s="2" t="s">
        <v>12164</v>
      </c>
      <c r="B12164" s="2" t="str">
        <f>IFERROR(__xludf.DUMMYFUNCTION("GOOGLETRANSLATE(A12164, ""en"", ""mt"")"),"Aqbad aktar dawl tax-xemx fl-ilma fond")</f>
        <v>Aqbad aktar dawl tax-xemx fl-ilma fond</v>
      </c>
    </row>
    <row r="12165" ht="15.75" customHeight="1">
      <c r="A12165" s="2" t="s">
        <v>12165</v>
      </c>
      <c r="B12165" s="2" t="str">
        <f>IFERROR(__xludf.DUMMYFUNCTION("GOOGLETRANSLATE(A12165, ""en"", ""mt"")"),"Fis-17 ta 'Marzu, 1752, il-Gvernatur Ġenerali ta' New France, Marquis de la Jonquière, miet u ġie sostitwit temporanjament minn Charles Le Moyne de Longueuil. Is-sostituzzjoni permanenti tiegħu, il-Markiz Duquesne, ma waslitx fi Franza l-ġdida sal-1752 bi"&amp;"ex tieħu f'idejha l-lasta. L-attività Brittanika kontinwa fit-territorji ta 'Ohio wasslet lil Longueuil biex jibgħat spedizzjoni oħra lejn iż-żona taħt il-kmand ta' Charles Michel de Langlade, uffiċjal fit-Troupes de la Marine. Langlade ingħata 300 irġiel"&amp;", inklużi Franċiżi-Kanadiżi u ġellieda tal-Ottawa. L-għan tiegħu kien li jikkastiga lin-nies ta ’Miami ta’ Pickawillany talli ma segwewx l-ordnijiet ta ’Céloron biex jieqfu jinnegozjaw mal-Ingliżi. Fil-21 ta 'Ġunju, il-partit tal-gwerra Franċiż attakka ċ-"&amp;"ċentru tal-kummerċ fi Pickawillany, qabad tliet negozjanti u qatel 14-il persuna tan-nazzjon ta' Miami, inkluż il-Brittaniku Old. Huwa kien rappurtat li kien ritually cannibalized minn xi membri aboriġini ta 'l-ispedizzjoni.")</f>
        <v>Fis-17 ta 'Marzu, 1752, il-Gvernatur Ġenerali ta' New France, Marquis de la Jonquière, miet u ġie sostitwit temporanjament minn Charles Le Moyne de Longueuil. Is-sostituzzjoni permanenti tiegħu, il-Markiz Duquesne, ma waslitx fi Franza l-ġdida sal-1752 biex tieħu f'idejha l-lasta. L-attività Brittanika kontinwa fit-territorji ta 'Ohio wasslet lil Longueuil biex jibgħat spedizzjoni oħra lejn iż-żona taħt il-kmand ta' Charles Michel de Langlade, uffiċjal fit-Troupes de la Marine. Langlade ingħata 300 irġiel, inklużi Franċiżi-Kanadiżi u ġellieda tal-Ottawa. L-għan tiegħu kien li jikkastiga lin-nies ta ’Miami ta’ Pickawillany talli ma segwewx l-ordnijiet ta ’Céloron biex jieqfu jinnegozjaw mal-Ingliżi. Fil-21 ta 'Ġunju, il-partit tal-gwerra Franċiż attakka ċ-ċentru tal-kummerċ fi Pickawillany, qabad tliet negozjanti u qatel 14-il persuna tan-nazzjon ta' Miami, inkluż il-Brittaniku Old. Huwa kien rappurtat li kien ritually cannibalized minn xi membri aboriġini ta 'l-ispedizzjoni.</v>
      </c>
    </row>
    <row r="12166" ht="15.75" customHeight="1">
      <c r="A12166" s="2" t="s">
        <v>12166</v>
      </c>
      <c r="B12166" s="2" t="str">
        <f>IFERROR(__xludf.DUMMYFUNCTION("GOOGLETRANSLATE(A12166, ""en"", ""mt"")"),"Dik iż-żieda kienet l-istess bħall-piż tal-arja li ġrew lura")</f>
        <v>Dik iż-żieda kienet l-istess bħall-piż tal-arja li ġrew lura</v>
      </c>
    </row>
    <row r="12167" ht="15.75" customHeight="1">
      <c r="A12167" s="2" t="s">
        <v>12167</v>
      </c>
      <c r="B12167" s="2" t="str">
        <f>IFERROR(__xludf.DUMMYFUNCTION("GOOGLETRANSLATE(A12167, ""en"", ""mt"")"),"Analiżi tal-Algoritmi u t-Teorija tal-Kompjuter")</f>
        <v>Analiżi tal-Algoritmi u t-Teorija tal-Kompjuter</v>
      </c>
    </row>
    <row r="12168" ht="15.75" customHeight="1">
      <c r="A12168" s="2" t="s">
        <v>12168</v>
      </c>
      <c r="B12168" s="2" t="str">
        <f>IFERROR(__xludf.DUMMYFUNCTION("GOOGLETRANSLATE(A12168, ""en"", ""mt"")"),"Il-Ġnien Sassonu")</f>
        <v>Il-Ġnien Sassonu</v>
      </c>
    </row>
    <row r="12169" ht="15.75" customHeight="1">
      <c r="A12169" s="2" t="s">
        <v>12169</v>
      </c>
      <c r="B12169" s="2" t="str">
        <f>IFERROR(__xludf.DUMMYFUNCTION("GOOGLETRANSLATE(A12169, ""en"", ""mt"")"),"grazzja")</f>
        <v>grazzja</v>
      </c>
    </row>
    <row r="12170" ht="15.75" customHeight="1">
      <c r="A12170" s="2" t="s">
        <v>12170</v>
      </c>
      <c r="B12170" s="2" t="str">
        <f>IFERROR(__xludf.DUMMYFUNCTION("GOOGLETRANSLATE(A12170, ""en"", ""mt"")"),"X’kawżaw bidliet fil-veġetazzjoni tal-Amazon Rainforest?")</f>
        <v>X’kawżaw bidliet fil-veġetazzjoni tal-Amazon Rainforest?</v>
      </c>
    </row>
    <row r="12171" ht="15.75" customHeight="1">
      <c r="A12171" s="2" t="s">
        <v>12171</v>
      </c>
      <c r="B12171" s="2" t="str">
        <f>IFERROR(__xludf.DUMMYFUNCTION("GOOGLETRANSLATE(A12171, ""en"", ""mt"")"),"X'inhu, lil Luther il-knisja tilfet il-vista?")</f>
        <v>X'inhu, lil Luther il-knisja tilfet il-vista?</v>
      </c>
    </row>
    <row r="12172" ht="15.75" customHeight="1">
      <c r="A12172" s="2" t="s">
        <v>12172</v>
      </c>
      <c r="B12172" s="2" t="str">
        <f>IFERROR(__xludf.DUMMYFUNCTION("GOOGLETRANSLATE(A12172, ""en"", ""mt"")"),"X'kien l-isem tal-wirja Doctor Who tal-1991?")</f>
        <v>X'kien l-isem tal-wirja Doctor Who tal-1991?</v>
      </c>
    </row>
    <row r="12173" ht="15.75" customHeight="1">
      <c r="A12173" s="2" t="s">
        <v>12173</v>
      </c>
      <c r="B12173" s="2" t="str">
        <f>IFERROR(__xludf.DUMMYFUNCTION("GOOGLETRANSLATE(A12173, ""en"", ""mt"")"),"X'tessa 'Temüjin f'Jamukha wara t-telfa ta' dan tal-aħħar?")</f>
        <v>X'tessa 'Temüjin f'Jamukha wara t-telfa ta' dan tal-aħħar?</v>
      </c>
    </row>
    <row r="12174" ht="15.75" customHeight="1">
      <c r="A12174" s="2" t="s">
        <v>12174</v>
      </c>
      <c r="B12174" s="2" t="str">
        <f>IFERROR(__xludf.DUMMYFUNCTION("GOOGLETRANSLATE(A12174, ""en"", ""mt"")"),"L-ebda truppi tal-Armata Regolari Franċiżi ma kienu stazzjonati fl-Amerika ta ’Fuq")</f>
        <v>L-ebda truppi tal-Armata Regolari Franċiżi ma kienu stazzjonati fl-Amerika ta ’Fuq</v>
      </c>
    </row>
    <row r="12175" ht="15.75" customHeight="1">
      <c r="A12175" s="2" t="s">
        <v>12175</v>
      </c>
      <c r="B12175" s="2" t="str">
        <f>IFERROR(__xludf.DUMMYFUNCTION("GOOGLETRANSLATE(A12175, ""en"", ""mt"")"),"Kemm stazzjonijiet tal-mużika ABC kienu proprjetà u mħaddma fl-1968?")</f>
        <v>Kemm stazzjonijiet tal-mużika ABC kienu proprjetà u mħaddma fl-1968?</v>
      </c>
    </row>
    <row r="12176" ht="15.75" customHeight="1">
      <c r="A12176" s="2" t="s">
        <v>12176</v>
      </c>
      <c r="B12176" s="2" t="str">
        <f>IFERROR(__xludf.DUMMYFUNCTION("GOOGLETRANSLATE(A12176, ""en"", ""mt"")"),"Y. pestis kien l-aġent kawżattiv tal-pesta epidemika")</f>
        <v>Y. pestis kien l-aġent kawżattiv tal-pesta epidemika</v>
      </c>
    </row>
    <row r="12177" ht="15.75" customHeight="1">
      <c r="A12177" s="2" t="s">
        <v>12177</v>
      </c>
      <c r="B12177" s="2" t="str">
        <f>IFERROR(__xludf.DUMMYFUNCTION("GOOGLETRANSLATE(A12177, ""en"", ""mt"")"),"L-ispedizzjoni kienet diżastru")</f>
        <v>L-ispedizzjoni kienet diżastru</v>
      </c>
    </row>
    <row r="12178" ht="15.75" customHeight="1">
      <c r="A12178" s="2" t="s">
        <v>12178</v>
      </c>
      <c r="B12178" s="2" t="str">
        <f>IFERROR(__xludf.DUMMYFUNCTION("GOOGLETRANSLATE(A12178, ""en"", ""mt"")"),"Meta huwa kkommemorat Luther fil-Kalendarju tal-Qaddisin Luteran?")</f>
        <v>Meta huwa kkommemorat Luther fil-Kalendarju tal-Qaddisin Luteran?</v>
      </c>
    </row>
    <row r="12179" ht="15.75" customHeight="1">
      <c r="A12179" s="2" t="s">
        <v>12179</v>
      </c>
      <c r="B12179" s="2" t="str">
        <f>IFERROR(__xludf.DUMMYFUNCTION("GOOGLETRANSLATE(A12179, ""en"", ""mt"")"),"Minn min kienu aktar tard l-imperaturi tal-wan iżolati?")</f>
        <v>Minn min kienu aktar tard l-imperaturi tal-wan iżolati?</v>
      </c>
    </row>
    <row r="12180" ht="15.75" customHeight="1">
      <c r="A12180" s="2" t="s">
        <v>12180</v>
      </c>
      <c r="B12180" s="2" t="str">
        <f>IFERROR(__xludf.DUMMYFUNCTION("GOOGLETRANSLATE(A12180, ""en"", ""mt"")"),"It-tobba ta 'McGann u Eccleston")</f>
        <v>It-tobba ta 'McGann u Eccleston</v>
      </c>
    </row>
    <row r="12181" ht="15.75" customHeight="1">
      <c r="A12181" s="2" t="s">
        <v>12181</v>
      </c>
      <c r="B12181" s="2" t="str">
        <f>IFERROR(__xludf.DUMMYFUNCTION("GOOGLETRANSLATE(A12181, ""en"", ""mt"")"),"Liema kunċett jintuża ta 'spiss biex jiddefinixxi klassijiet ta' kumplessità?")</f>
        <v>Liema kunċett jintuża ta 'spiss biex jiddefinixxi klassijiet ta' kumplessità?</v>
      </c>
    </row>
    <row r="12182" ht="15.75" customHeight="1">
      <c r="A12182" s="2" t="s">
        <v>12182</v>
      </c>
      <c r="B12182" s="2" t="str">
        <f>IFERROR(__xludf.DUMMYFUNCTION("GOOGLETRANSLATE(A12182, ""en"", ""mt"")"),"28.5 ° e")</f>
        <v>28.5 ° e</v>
      </c>
    </row>
    <row r="12183" ht="15.75" customHeight="1">
      <c r="A12183" s="2" t="s">
        <v>12183</v>
      </c>
      <c r="B12183" s="2" t="str">
        <f>IFERROR(__xludf.DUMMYFUNCTION("GOOGLETRANSLATE(A12183, ""en"", ""mt"")"),"Liema trattat ħa l-post tat-trattat kostituzzjonali?")</f>
        <v>Liema trattat ħa l-post tat-trattat kostituzzjonali?</v>
      </c>
    </row>
    <row r="12184" ht="15.75" customHeight="1">
      <c r="A12184" s="2" t="s">
        <v>12184</v>
      </c>
      <c r="B12184" s="2" t="str">
        <f>IFERROR(__xludf.DUMMYFUNCTION("GOOGLETRANSLATE(A12184, ""en"", ""mt"")"),"Huwa wasal tard wisq biex jinkiteb fl-Università Charles-Ferdinand; Hu qatt ma studja l-Grieg, suġġett meħtieġ; u kien illitterat fiċ-Ċek")</f>
        <v>Huwa wasal tard wisq biex jinkiteb fl-Università Charles-Ferdinand; Hu qatt ma studja l-Grieg, suġġett meħtieġ; u kien illitterat fiċ-Ċek</v>
      </c>
    </row>
    <row r="12185" ht="15.75" customHeight="1">
      <c r="A12185" s="2" t="s">
        <v>12185</v>
      </c>
      <c r="B12185" s="2" t="str">
        <f>IFERROR(__xludf.DUMMYFUNCTION("GOOGLETRANSLATE(A12185, ""en"", ""mt"")"),"Forma mqassra ta 'l-isem maskili ta' oriġini Slava Warcisław")</f>
        <v>Forma mqassra ta 'l-isem maskili ta' oriġini Slava Warcisław</v>
      </c>
    </row>
    <row r="12186" ht="15.75" customHeight="1">
      <c r="A12186" s="2" t="s">
        <v>12186</v>
      </c>
      <c r="B12186" s="2" t="str">
        <f>IFERROR(__xludf.DUMMYFUNCTION("GOOGLETRANSLATE(A12186, ""en"", ""mt"")"),"antropoloġiku riċenti")</f>
        <v>antropoloġiku riċenti</v>
      </c>
    </row>
    <row r="12187" ht="15.75" customHeight="1">
      <c r="A12187" s="2" t="s">
        <v>12187</v>
      </c>
      <c r="B12187" s="2" t="str">
        <f>IFERROR(__xludf.DUMMYFUNCTION("GOOGLETRANSLATE(A12187, ""en"", ""mt"")"),"Diviżjonijiet politiċi storiċi")</f>
        <v>Diviżjonijiet politiċi storiċi</v>
      </c>
    </row>
    <row r="12188" ht="15.75" customHeight="1">
      <c r="A12188" s="2" t="s">
        <v>12188</v>
      </c>
      <c r="B12188" s="2" t="str">
        <f>IFERROR(__xludf.DUMMYFUNCTION("GOOGLETRANSLATE(A12188, ""en"", ""mt"")"),"Skoċċiż")</f>
        <v>Skoċċiż</v>
      </c>
    </row>
    <row r="12189" ht="15.75" customHeight="1">
      <c r="A12189" s="2" t="s">
        <v>12189</v>
      </c>
      <c r="B12189" s="2" t="str">
        <f>IFERROR(__xludf.DUMMYFUNCTION("GOOGLETRANSLATE(A12189, ""en"", ""mt"")"),"Min jippossjedi aktar ġid mill-qiegħ 90 fil-mija tan-nies fl-Istati Uniti?")</f>
        <v>Min jippossjedi aktar ġid mill-qiegħ 90 fil-mija tan-nies fl-Istati Uniti?</v>
      </c>
    </row>
    <row r="12190" ht="15.75" customHeight="1">
      <c r="A12190" s="2" t="s">
        <v>12190</v>
      </c>
      <c r="B12190" s="2" t="str">
        <f>IFERROR(__xludf.DUMMYFUNCTION("GOOGLETRANSLATE(A12190, ""en"", ""mt"")"),"F’liema direzzjoni qalu Watson li daħal l-iżball?")</f>
        <v>F’liema direzzjoni qalu Watson li daħal l-iżball?</v>
      </c>
    </row>
    <row r="12191" ht="15.75" customHeight="1">
      <c r="A12191" s="2" t="s">
        <v>12191</v>
      </c>
      <c r="B12191" s="2" t="str">
        <f>IFERROR(__xludf.DUMMYFUNCTION("GOOGLETRANSLATE(A12191, ""en"", ""mt"")"),"X'jistgħu jitgħallmu l-istudenti fil-klassijiet ta 'konferma u preparazzjoni tas-sħubija?")</f>
        <v>X'jistgħu jitgħallmu l-istudenti fil-klassijiet ta 'konferma u preparazzjoni tas-sħubija?</v>
      </c>
    </row>
    <row r="12192" ht="15.75" customHeight="1">
      <c r="A12192" s="2" t="s">
        <v>12192</v>
      </c>
      <c r="B12192" s="2" t="str">
        <f>IFERROR(__xludf.DUMMYFUNCTION("GOOGLETRANSLATE(A12192, ""en"", ""mt"")"),"Ma 'xiex jagħmlu l-kontenut tal-plastoglobuli?")</f>
        <v>Ma 'xiex jagħmlu l-kontenut tal-plastoglobuli?</v>
      </c>
    </row>
    <row r="12193" ht="15.75" customHeight="1">
      <c r="A12193" s="2" t="s">
        <v>12193</v>
      </c>
      <c r="B12193" s="2" t="str">
        <f>IFERROR(__xludf.DUMMYFUNCTION("GOOGLETRANSLATE(A12193, ""en"", ""mt"")"),"Lvant")</f>
        <v>Lvant</v>
      </c>
    </row>
    <row r="12194" ht="15.75" customHeight="1">
      <c r="A12194" s="2" t="s">
        <v>12194</v>
      </c>
      <c r="B12194" s="2" t="str">
        <f>IFERROR(__xludf.DUMMYFUNCTION("GOOGLETRANSLATE(A12194, ""en"", ""mt"")"),"X'qed issostitwixxa l-bini ta 'ex-trasport bil-baħar?")</f>
        <v>X'qed issostitwixxa l-bini ta 'ex-trasport bil-baħar?</v>
      </c>
    </row>
    <row r="12195" ht="15.75" customHeight="1">
      <c r="A12195" s="2" t="s">
        <v>12195</v>
      </c>
      <c r="B12195" s="2" t="str">
        <f>IFERROR(__xludf.DUMMYFUNCTION("GOOGLETRANSLATE(A12195, ""en"", ""mt"")"),"kadavri infettati")</f>
        <v>kadavri infettati</v>
      </c>
    </row>
    <row r="12196" ht="15.75" customHeight="1">
      <c r="A12196" s="2" t="s">
        <v>12196</v>
      </c>
      <c r="B12196" s="2" t="str">
        <f>IFERROR(__xludf.DUMMYFUNCTION("GOOGLETRANSLATE(A12196, ""en"", ""mt"")"),"speċjalitajiet separati qabel")</f>
        <v>speċjalitajiet separati qabel</v>
      </c>
    </row>
    <row r="12197" ht="15.75" customHeight="1">
      <c r="A12197" s="2" t="s">
        <v>12197</v>
      </c>
      <c r="B12197" s="2" t="str">
        <f>IFERROR(__xludf.DUMMYFUNCTION("GOOGLETRANSLATE(A12197, ""en"", ""mt"")"),"X'għandu jiġi evitat meta tkellem lill-awtoritajiet?")</f>
        <v>X'għandu jiġi evitat meta tkellem lill-awtoritajiet?</v>
      </c>
    </row>
    <row r="12198" ht="15.75" customHeight="1">
      <c r="A12198" s="2" t="s">
        <v>12198</v>
      </c>
      <c r="B12198" s="2" t="str">
        <f>IFERROR(__xludf.DUMMYFUNCTION("GOOGLETRANSLATE(A12198, ""en"", ""mt"")"),"Impatt negattiv fit-tul fuq is-saħħa")</f>
        <v>Impatt negattiv fit-tul fuq is-saħħa</v>
      </c>
    </row>
    <row r="12199" ht="15.75" customHeight="1">
      <c r="A12199" s="2" t="s">
        <v>12199</v>
      </c>
      <c r="B12199" s="2" t="str">
        <f>IFERROR(__xludf.DUMMYFUNCTION("GOOGLETRANSLATE(A12199, ""en"", ""mt"")"),"Fl-aħħar għexieren ta ’snin")</f>
        <v>Fl-aħħar għexieren ta ’snin</v>
      </c>
    </row>
    <row r="12200" ht="15.75" customHeight="1">
      <c r="A12200" s="2" t="s">
        <v>12200</v>
      </c>
      <c r="B12200" s="2" t="str">
        <f>IFERROR(__xludf.DUMMYFUNCTION("GOOGLETRANSLATE(A12200, ""en"", ""mt"")"),"X'inhi l-karta miktuba minn Richard Karp fl-1972 li waslet f'era ġdida ta 'fehim bejn il-intrattabilità u l-problemi kompluti NP?")</f>
        <v>X'inhi l-karta miktuba minn Richard Karp fl-1972 li waslet f'era ġdida ta 'fehim bejn il-intrattabilità u l-problemi kompluti NP?</v>
      </c>
    </row>
    <row r="12201" ht="15.75" customHeight="1">
      <c r="A12201" s="2" t="s">
        <v>12201</v>
      </c>
      <c r="B12201" s="2" t="str">
        <f>IFERROR(__xludf.DUMMYFUNCTION("GOOGLETRANSLATE(A12201, ""en"", ""mt"")"),"binarju")</f>
        <v>binarju</v>
      </c>
    </row>
    <row r="12202" ht="15.75" customHeight="1">
      <c r="A12202" s="2" t="s">
        <v>12202</v>
      </c>
      <c r="B12202" s="2" t="str">
        <f>IFERROR(__xludf.DUMMYFUNCTION("GOOGLETRANSLATE(A12202, ""en"", ""mt"")"),"22 ta 'Novembru,")</f>
        <v>22 ta 'Novembru,</v>
      </c>
    </row>
    <row r="12203" ht="15.75" customHeight="1">
      <c r="A12203" s="2" t="s">
        <v>12203</v>
      </c>
      <c r="B12203" s="2" t="str">
        <f>IFERROR(__xludf.DUMMYFUNCTION("GOOGLETRANSLATE(A12203, ""en"", ""mt"")"),"Id-dimostrazzjoni ta 'Tesla tal-mutur ta' induzzjoni tiegħu u l-liċenzjar sussegwenti ta 'Westinghouse tal-privattiva, it-tnejn fl-1888, poġġew lil Tesla sew fuq in-naħa ""AC"" tal-hekk imsejħa ""Gwerra tal-Kurrenti,"" battalja ta' distribuzzjoni elettrik"&amp;"a li qed issir bejn Thomas Edison u George Westinghouse Dan kien ilu jtejjeb mill-ewwel sistema AC ta 'Westinghouse fl-1886 u kien wasal fil-punt tal-gwerra kollha sal-1888. Dan beda bħala kompetizzjoni bejn sistemi ta' dawl rivali ma 'Edison li żżomm il-"&amp;"privattivi kollha għal DC u d-dawl inkandexxenti u Westinghouse bl-użu ta' tiegħu Sistema AC brevettata proprja għad-dwal tal-ark kif ukoll lampi inkandexxenti ta 'disinn kemmxejn differenti biex tiskopri l-privattiva Edison. L-akkwist ta 'mutur AC fattib"&amp;"bli ta lil Westinghouse brevett ewlieni fil-bini ta' sistema AC integrata kompletament, iżda r-razza finanzjarja ta 'xiri tal-privattivi u l-kiri ta' l-inġiniera meħtieġa biex jibnuha kienet tfisser l-iżvilupp tal-mutur ta 'Tesla kellha titpoġġa għal ftit"&amp;" żmien - Il-kompetizzjoni rriżultat f'xogħlijiet ta 'Edison Machine li jsegwu l-iżvilupp ta' AC fl-1890 u sal-1892 Thomas Edison ma kienx għadu fil-kontroll tal-kumpanija tiegħu stess, li kienet konsolidata fil-konglomerat General Electric u li kkonvertie"&amp;"t għal sistema ta 'konsenja AC f'dak il-punt.")</f>
        <v>Id-dimostrazzjoni ta 'Tesla tal-mutur ta' induzzjoni tiegħu u l-liċenzjar sussegwenti ta 'Westinghouse tal-privattiva, it-tnejn fl-1888, poġġew lil Tesla sew fuq in-naħa "AC" tal-hekk imsejħa "Gwerra tal-Kurrenti," battalja ta' distribuzzjoni elettrika li qed issir bejn Thomas Edison u George Westinghouse Dan kien ilu jtejjeb mill-ewwel sistema AC ta 'Westinghouse fl-1886 u kien wasal fil-punt tal-gwerra kollha sal-1888. Dan beda bħala kompetizzjoni bejn sistemi ta' dawl rivali ma 'Edison li żżomm il-privattivi kollha għal DC u d-dawl inkandexxenti u Westinghouse bl-użu ta' tiegħu Sistema AC brevettata proprja għad-dwal tal-ark kif ukoll lampi inkandexxenti ta 'disinn kemmxejn differenti biex tiskopri l-privattiva Edison. L-akkwist ta 'mutur AC fattibbli ta lil Westinghouse brevett ewlieni fil-bini ta' sistema AC integrata kompletament, iżda r-razza finanzjarja ta 'xiri tal-privattivi u l-kiri ta' l-inġiniera meħtieġa biex jibnuha kienet tfisser l-iżvilupp tal-mutur ta 'Tesla kellha titpoġġa għal ftit żmien - Il-kompetizzjoni rriżultat f'xogħlijiet ta 'Edison Machine li jsegwu l-iżvilupp ta' AC fl-1890 u sal-1892 Thomas Edison ma kienx għadu fil-kontroll tal-kumpanija tiegħu stess, li kienet konsolidata fil-konglomerat General Electric u li kkonvertiet għal sistema ta 'konsenja AC f'dak il-punt.</v>
      </c>
    </row>
    <row r="12204" ht="15.75" customHeight="1">
      <c r="A12204" s="2" t="s">
        <v>12204</v>
      </c>
      <c r="B12204" s="2" t="str">
        <f>IFERROR(__xludf.DUMMYFUNCTION("GOOGLETRANSLATE(A12204, ""en"", ""mt"")"),"gradi ta 'privileġġ")</f>
        <v>gradi ta 'privileġġ</v>
      </c>
    </row>
    <row r="12205" ht="15.75" customHeight="1">
      <c r="A12205" s="2" t="s">
        <v>12205</v>
      </c>
      <c r="B12205" s="2" t="str">
        <f>IFERROR(__xludf.DUMMYFUNCTION("GOOGLETRANSLATE(A12205, ""en"", ""mt"")"),"Liema twemmin liturġiku tal-Knisja Kattolika Lortie kkritikat bil-miftuħ?")</f>
        <v>Liema twemmin liturġiku tal-Knisja Kattolika Lortie kkritikat bil-miftuħ?</v>
      </c>
    </row>
    <row r="12206" ht="15.75" customHeight="1">
      <c r="A12206" s="2" t="s">
        <v>12206</v>
      </c>
      <c r="B12206" s="2" t="str">
        <f>IFERROR(__xludf.DUMMYFUNCTION("GOOGLETRANSLATE(A12206, ""en"", ""mt"")"),"Triq Collingwood")</f>
        <v>Triq Collingwood</v>
      </c>
    </row>
    <row r="12207" ht="15.75" customHeight="1">
      <c r="A12207" s="2" t="s">
        <v>12207</v>
      </c>
      <c r="B12207" s="2" t="str">
        <f>IFERROR(__xludf.DUMMYFUNCTION("GOOGLETRANSLATE(A12207, ""en"", ""mt"")"),"ambigwu")</f>
        <v>ambigwu</v>
      </c>
    </row>
    <row r="12208" ht="15.75" customHeight="1">
      <c r="A12208" s="2" t="s">
        <v>12208</v>
      </c>
      <c r="B12208" s="2" t="str">
        <f>IFERROR(__xludf.DUMMYFUNCTION("GOOGLETRANSLATE(A12208, ""en"", ""mt"")"),"Min jippossjedi l-linji tal-ferrovija fir-Rabat?")</f>
        <v>Min jippossjedi l-linji tal-ferrovija fir-Rabat?</v>
      </c>
    </row>
    <row r="12209" ht="15.75" customHeight="1">
      <c r="A12209" s="2" t="s">
        <v>12209</v>
      </c>
      <c r="B12209" s="2" t="str">
        <f>IFERROR(__xludf.DUMMYFUNCTION("GOOGLETRANSLATE(A12209, ""en"", ""mt"")"),"Liema mod ta 'kliem jaħseb li Luther jagħżel?")</f>
        <v>Liema mod ta 'kliem jaħseb li Luther jagħżel?</v>
      </c>
    </row>
    <row r="12210" ht="15.75" customHeight="1">
      <c r="A12210" s="2" t="s">
        <v>12210</v>
      </c>
      <c r="B12210" s="2" t="str">
        <f>IFERROR(__xludf.DUMMYFUNCTION("GOOGLETRANSLATE(A12210, ""en"", ""mt"")"),"tagħbija tas-sediment")</f>
        <v>tagħbija tas-sediment</v>
      </c>
    </row>
    <row r="12211" ht="15.75" customHeight="1">
      <c r="A12211" s="2" t="s">
        <v>12211</v>
      </c>
      <c r="B12211" s="2" t="str">
        <f>IFERROR(__xludf.DUMMYFUNCTION("GOOGLETRANSLATE(A12211, ""en"", ""mt"")"),"kien miżjud")</f>
        <v>kien miżjud</v>
      </c>
    </row>
    <row r="12212" ht="15.75" customHeight="1">
      <c r="A12212" s="2" t="s">
        <v>12212</v>
      </c>
      <c r="B12212" s="2" t="str">
        <f>IFERROR(__xludf.DUMMYFUNCTION("GOOGLETRANSLATE(A12212, ""en"", ""mt"")"),"Talbiet territorjali konfliġġenti bejn l-Ingliżi u l-Franċiżi")</f>
        <v>Talbiet territorjali konfliġġenti bejn l-Ingliżi u l-Franċiżi</v>
      </c>
    </row>
    <row r="12213" ht="15.75" customHeight="1">
      <c r="A12213" s="2" t="s">
        <v>12213</v>
      </c>
      <c r="B12213" s="2" t="str">
        <f>IFERROR(__xludf.DUMMYFUNCTION("GOOGLETRANSLATE(A12213, ""en"", ""mt"")"),"X'inhi s-sistema mlolongo?")</f>
        <v>X'inhi s-sistema mlolongo?</v>
      </c>
    </row>
    <row r="12214" ht="15.75" customHeight="1">
      <c r="A12214" s="2" t="s">
        <v>12214</v>
      </c>
      <c r="B12214" s="2" t="str">
        <f>IFERROR(__xludf.DUMMYFUNCTION("GOOGLETRANSLATE(A12214, ""en"", ""mt"")"),"Xi kultant jaffermaw l-istudjużi li Luther emmnu dwar liema fidi u raġuni kienu għal xulxin?")</f>
        <v>Xi kultant jaffermaw l-istudjużi li Luther emmnu dwar liema fidi u raġuni kienu għal xulxin?</v>
      </c>
    </row>
    <row r="12215" ht="15.75" customHeight="1">
      <c r="A12215" s="2" t="s">
        <v>12215</v>
      </c>
      <c r="B12215" s="2" t="str">
        <f>IFERROR(__xludf.DUMMYFUNCTION("GOOGLETRANSLATE(A12215, ""en"", ""mt"")"),"Meta jkun meħtieġ ħin estensiv biex issortja interi, dan jirrappreżenta liema kumplessità tal-każ?")</f>
        <v>Meta jkun meħtieġ ħin estensiv biex issortja interi, dan jirrappreżenta liema kumplessità tal-każ?</v>
      </c>
    </row>
    <row r="12216" ht="15.75" customHeight="1">
      <c r="A12216" s="2" t="s">
        <v>12216</v>
      </c>
      <c r="B12216" s="2" t="str">
        <f>IFERROR(__xludf.DUMMYFUNCTION("GOOGLETRANSLATE(A12216, ""en"", ""mt"")"),"X'kien it-twemmin tiegħu dwar liema natura suppost kellha tkun?")</f>
        <v>X'kien it-twemmin tiegħu dwar liema natura suppost kellha tkun?</v>
      </c>
    </row>
    <row r="12217" ht="15.75" customHeight="1">
      <c r="A12217" s="2" t="s">
        <v>12217</v>
      </c>
      <c r="B12217" s="2" t="str">
        <f>IFERROR(__xludf.DUMMYFUNCTION("GOOGLETRANSLATE(A12217, ""en"", ""mt"")"),"melħ u ħadid")</f>
        <v>melħ u ħadid</v>
      </c>
    </row>
    <row r="12218" ht="15.75" customHeight="1">
      <c r="A12218" s="2" t="s">
        <v>12218</v>
      </c>
      <c r="B12218" s="2" t="str">
        <f>IFERROR(__xludf.DUMMYFUNCTION("GOOGLETRANSLATE(A12218, ""en"", ""mt"")"),"X'inhu flimkien mal-prezzijiet tal-għasafar biex jagħmluha diffiċli jew impossibbli għal nies foqra li jżommu l-pass?")</f>
        <v>X'inhu flimkien mal-prezzijiet tal-għasafar biex jagħmluha diffiċli jew impossibbli għal nies foqra li jżommu l-pass?</v>
      </c>
    </row>
    <row r="12219" ht="15.75" customHeight="1">
      <c r="A12219" s="2" t="s">
        <v>12219</v>
      </c>
      <c r="B12219" s="2" t="str">
        <f>IFERROR(__xludf.DUMMYFUNCTION("GOOGLETRANSLATE(A12219, ""en"", ""mt"")"),"Telepatija")</f>
        <v>Telepatija</v>
      </c>
    </row>
    <row r="12220" ht="15.75" customHeight="1">
      <c r="A12220" s="2" t="s">
        <v>12220</v>
      </c>
      <c r="B12220" s="2" t="str">
        <f>IFERROR(__xludf.DUMMYFUNCTION("GOOGLETRANSLATE(A12220, ""en"", ""mt"")"),"Kumpaniji tad-diski ewlenin")</f>
        <v>Kumpaniji tad-diski ewlenin</v>
      </c>
    </row>
    <row r="12221" ht="15.75" customHeight="1">
      <c r="A12221" s="2" t="s">
        <v>12221</v>
      </c>
      <c r="B12221" s="2" t="str">
        <f>IFERROR(__xludf.DUMMYFUNCTION("GOOGLETRANSLATE(A12221, ""en"", ""mt"")"),"Min tilef kontra l-Broncos fil-Kampjonat AFC?")</f>
        <v>Min tilef kontra l-Broncos fil-Kampjonat AFC?</v>
      </c>
    </row>
    <row r="12222" ht="15.75" customHeight="1">
      <c r="A12222" s="2" t="s">
        <v>12222</v>
      </c>
      <c r="B12222" s="2" t="str">
        <f>IFERROR(__xludf.DUMMYFUNCTION("GOOGLETRANSLATE(A12222, ""en"", ""mt"")"),"Għoli ta '25 pied (7.6 m)")</f>
        <v>Għoli ta '25 pied (7.6 m)</v>
      </c>
    </row>
    <row r="12223" ht="15.75" customHeight="1">
      <c r="A12223" s="2" t="s">
        <v>12223</v>
      </c>
      <c r="B12223" s="2" t="str">
        <f>IFERROR(__xludf.DUMMYFUNCTION("GOOGLETRANSLATE(A12223, ""en"", ""mt"")"),"28 ta ’Frar 2008")</f>
        <v>28 ta ’Frar 2008</v>
      </c>
    </row>
    <row r="12224" ht="15.75" customHeight="1">
      <c r="A12224" s="2" t="s">
        <v>12224</v>
      </c>
      <c r="B12224" s="2" t="str">
        <f>IFERROR(__xludf.DUMMYFUNCTION("GOOGLETRANSLATE(A12224, ""en"", ""mt"")"),"Ktieb ta ’ħames volum fil-Grieg nattiv tiegħu")</f>
        <v>Ktieb ta ’ħames volum fil-Grieg nattiv tiegħu</v>
      </c>
    </row>
    <row r="12225" ht="15.75" customHeight="1">
      <c r="A12225" s="2" t="s">
        <v>12225</v>
      </c>
      <c r="B12225" s="2" t="str">
        <f>IFERROR(__xludf.DUMMYFUNCTION("GOOGLETRANSLATE(A12225, ""en"", ""mt"")"),"Kull naħa hija kapaċi twettaq l-obbligi stabbiliti")</f>
        <v>Kull naħa hija kapaċi twettaq l-obbligi stabbiliti</v>
      </c>
    </row>
    <row r="12226" ht="15.75" customHeight="1">
      <c r="A12226" s="2" t="s">
        <v>12226</v>
      </c>
      <c r="B12226" s="2" t="str">
        <f>IFERROR(__xludf.DUMMYFUNCTION("GOOGLETRANSLATE(A12226, ""en"", ""mt"")"),"Ċelloli T")</f>
        <v>Ċelloli T</v>
      </c>
    </row>
    <row r="12227" ht="15.75" customHeight="1">
      <c r="A12227" s="2" t="s">
        <v>12227</v>
      </c>
      <c r="B12227" s="2" t="str">
        <f>IFERROR(__xludf.DUMMYFUNCTION("GOOGLETRANSLATE(A12227, ""en"", ""mt"")"),"Fatturi ta 'emissjoni ta' inadempjenza")</f>
        <v>Fatturi ta 'emissjoni ta' inadempjenza</v>
      </c>
    </row>
    <row r="12228" ht="15.75" customHeight="1">
      <c r="A12228" s="2" t="s">
        <v>12228</v>
      </c>
      <c r="B12228" s="2" t="str">
        <f>IFERROR(__xludf.DUMMYFUNCTION("GOOGLETRANSLATE(A12228, ""en"", ""mt"")"),"Meta ssieħbu l-Meuse u l-Waal?")</f>
        <v>Meta ssieħbu l-Meuse u l-Waal?</v>
      </c>
    </row>
    <row r="12229" ht="15.75" customHeight="1">
      <c r="A12229" s="2" t="s">
        <v>12229</v>
      </c>
      <c r="B12229" s="2" t="str">
        <f>IFERROR(__xludf.DUMMYFUNCTION("GOOGLETRANSLATE(A12229, ""en"", ""mt"")"),"Fejn ġiet ippubblikata s-sejħa għall-bidla ta 'Frar 2010?")</f>
        <v>Fejn ġiet ippubblikata s-sejħa għall-bidla ta 'Frar 2010?</v>
      </c>
    </row>
    <row r="12230" ht="15.75" customHeight="1">
      <c r="A12230" s="2" t="s">
        <v>12230</v>
      </c>
      <c r="B12230" s="2" t="str">
        <f>IFERROR(__xludf.DUMMYFUNCTION("GOOGLETRANSLATE(A12230, ""en"", ""mt"")"),"meqjusa bħala li ma tkunx diżubbidjenti ċivili")</f>
        <v>meqjusa bħala li ma tkunx diżubbidjenti ċivili</v>
      </c>
    </row>
    <row r="12231" ht="15.75" customHeight="1">
      <c r="A12231" s="2" t="s">
        <v>12231</v>
      </c>
      <c r="B12231" s="2" t="str">
        <f>IFERROR(__xludf.DUMMYFUNCTION("GOOGLETRANSLATE(A12231, ""en"", ""mt"")"),"X'kienet l-unika kummiedja li kisbet it-tieni staġun għall-iskeda 2010-11?")</f>
        <v>X'kienet l-unika kummiedja li kisbet it-tieni staġun għall-iskeda 2010-11?</v>
      </c>
    </row>
    <row r="12232" ht="15.75" customHeight="1">
      <c r="A12232" s="2" t="s">
        <v>12232</v>
      </c>
      <c r="B12232" s="2" t="str">
        <f>IFERROR(__xludf.DUMMYFUNCTION("GOOGLETRANSLATE(A12232, ""en"", ""mt"")"),"Ċentru Ċiviku.")</f>
        <v>Ċentru Ċiviku.</v>
      </c>
    </row>
    <row r="12233" ht="15.75" customHeight="1">
      <c r="A12233" s="2" t="s">
        <v>12233</v>
      </c>
      <c r="B12233" s="2" t="str">
        <f>IFERROR(__xludf.DUMMYFUNCTION("GOOGLETRANSLATE(A12233, ""en"", ""mt"")"),"Kunsill tal-Belt")</f>
        <v>Kunsill tal-Belt</v>
      </c>
    </row>
    <row r="12234" ht="15.75" customHeight="1">
      <c r="A12234" s="2" t="s">
        <v>12234</v>
      </c>
      <c r="B12234" s="2" t="str">
        <f>IFERROR(__xludf.DUMMYFUNCTION("GOOGLETRANSLATE(A12234, ""en"", ""mt"")"),"Tliet epiċentri")</f>
        <v>Tliet epiċentri</v>
      </c>
    </row>
    <row r="12235" ht="15.75" customHeight="1">
      <c r="A12235" s="2" t="s">
        <v>12235</v>
      </c>
      <c r="B12235" s="2" t="str">
        <f>IFERROR(__xludf.DUMMYFUNCTION("GOOGLETRANSLATE(A12235, ""en"", ""mt"")"),"Xi Ċiniżi qiesu l-wan bħala dinastija leġittima, imma x’kienu jaħsbuha Ċiniżi oħra?")</f>
        <v>Xi Ċiniżi qiesu l-wan bħala dinastija leġittima, imma x’kienu jaħsbuha Ċiniżi oħra?</v>
      </c>
    </row>
    <row r="12236" ht="15.75" customHeight="1">
      <c r="A12236" s="2" t="s">
        <v>12236</v>
      </c>
      <c r="B12236" s="2" t="str">
        <f>IFERROR(__xludf.DUMMYFUNCTION("GOOGLETRANSLATE(A12236, ""en"", ""mt"")"),"Min jaġixxi bħala ħaddiem, paymaster, u tim tad-disinn għal proġett ta 'rinnovament?")</f>
        <v>Min jaġixxi bħala ħaddiem, paymaster, u tim tad-disinn għal proġett ta 'rinnovament?</v>
      </c>
    </row>
    <row r="12237" ht="15.75" customHeight="1">
      <c r="A12237" s="2" t="s">
        <v>12237</v>
      </c>
      <c r="B12237" s="2" t="str">
        <f>IFERROR(__xludf.DUMMYFUNCTION("GOOGLETRANSLATE(A12237, ""en"", ""mt"")"),"Sekulari u sagru li jkopru kemm Kristjani (Kattoliċi Rumani, Ortodossi Anglikani u Griegi) u bastimenti liturġiċi Lhudija")</f>
        <v>Sekulari u sagru li jkopru kemm Kristjani (Kattoliċi Rumani, Ortodossi Anglikani u Griegi) u bastimenti liturġiċi Lhudija</v>
      </c>
    </row>
    <row r="12238" ht="15.75" customHeight="1">
      <c r="A12238" s="2" t="s">
        <v>12238</v>
      </c>
      <c r="B12238" s="2" t="str">
        <f>IFERROR(__xludf.DUMMYFUNCTION("GOOGLETRANSLATE(A12238, ""en"", ""mt"")"),"Bidliet teknoloġiċi u globalizzazzjoni")</f>
        <v>Bidliet teknoloġiċi u globalizzazzjoni</v>
      </c>
    </row>
    <row r="12239" ht="15.75" customHeight="1">
      <c r="A12239" s="2" t="s">
        <v>12239</v>
      </c>
      <c r="B12239" s="2" t="str">
        <f>IFERROR(__xludf.DUMMYFUNCTION("GOOGLETRANSLATE(A12239, ""en"", ""mt"")"),"Meta sabet il-Qorti Għolja Ingliża li l-użu ta 'Microsoft tat-terminu ""SkyDrive"" kiser id-dritt ta' Sky?")</f>
        <v>Meta sabet il-Qorti Għolja Ingliża li l-użu ta 'Microsoft tat-terminu "SkyDrive" kiser id-dritt ta' Sky?</v>
      </c>
    </row>
    <row r="12240" ht="15.75" customHeight="1">
      <c r="A12240" s="2" t="s">
        <v>12240</v>
      </c>
      <c r="B12240" s="2" t="str">
        <f>IFERROR(__xludf.DUMMYFUNCTION("GOOGLETRANSLATE(A12240, ""en"", ""mt"")"),"Kif is-soċjalisti jaħsbu li l-mezzi ta 'produzzjoni għandhom ikunu proprjetà?")</f>
        <v>Kif is-soċjalisti jaħsbu li l-mezzi ta 'produzzjoni għandhom ikunu proprjetà?</v>
      </c>
    </row>
    <row r="12241" ht="15.75" customHeight="1">
      <c r="A12241" s="2" t="s">
        <v>12241</v>
      </c>
      <c r="B12241" s="2" t="str">
        <f>IFERROR(__xludf.DUMMYFUNCTION("GOOGLETRANSLATE(A12241, ""en"", ""mt"")"),"Liema konġettura ssostni li hemm ammont infinit ta 'primes twin?")</f>
        <v>Liema konġettura ssostni li hemm ammont infinit ta 'primes twin?</v>
      </c>
    </row>
    <row r="12242" ht="15.75" customHeight="1">
      <c r="A12242" s="2" t="s">
        <v>12242</v>
      </c>
      <c r="B12242" s="2" t="str">
        <f>IFERROR(__xludf.DUMMYFUNCTION("GOOGLETRANSLATE(A12242, ""en"", ""mt"")"),"aċċessjonijiet")</f>
        <v>aċċessjonijiet</v>
      </c>
    </row>
    <row r="12243" ht="15.75" customHeight="1">
      <c r="A12243" s="2" t="s">
        <v>12243</v>
      </c>
      <c r="B12243" s="2" t="str">
        <f>IFERROR(__xludf.DUMMYFUNCTION("GOOGLETRANSLATE(A12243, ""en"", ""mt"")"),"iswed u isfar")</f>
        <v>iswed u isfar</v>
      </c>
    </row>
    <row r="12244" ht="15.75" customHeight="1">
      <c r="A12244" s="2" t="s">
        <v>12244</v>
      </c>
      <c r="B12244" s="2" t="str">
        <f>IFERROR(__xludf.DUMMYFUNCTION("GOOGLETRANSLATE(A12244, ""en"", ""mt"")"),"X'inhi raġuni għall-moviment biex tillegalizza l-importazzjoni ta 'mediċini minn pajjiżi oħra?")</f>
        <v>X'inhi raġuni għall-moviment biex tillegalizza l-importazzjoni ta 'mediċini minn pajjiżi oħra?</v>
      </c>
    </row>
    <row r="12245" ht="15.75" customHeight="1">
      <c r="A12245" s="2" t="s">
        <v>12245</v>
      </c>
      <c r="B12245" s="2" t="str">
        <f>IFERROR(__xludf.DUMMYFUNCTION("GOOGLETRANSLATE(A12245, ""en"", ""mt"")"),"X'inhu ġġenerat bejn wiċċ u oġġett li qed jiġi mbuttat?")</f>
        <v>X'inhu ġġenerat bejn wiċċ u oġġett li qed jiġi mbuttat?</v>
      </c>
    </row>
    <row r="12246" ht="15.75" customHeight="1">
      <c r="A12246" s="2" t="s">
        <v>12246</v>
      </c>
      <c r="B12246" s="2" t="str">
        <f>IFERROR(__xludf.DUMMYFUNCTION("GOOGLETRANSLATE(A12246, ""en"", ""mt"")"),"Bir-reazzjoni tal-katina tal-polimerażi (PCR)")</f>
        <v>Bir-reazzjoni tal-katina tal-polimerażi (PCR)</v>
      </c>
    </row>
    <row r="12247" ht="15.75" customHeight="1">
      <c r="A12247" s="2" t="s">
        <v>12247</v>
      </c>
      <c r="B12247" s="2" t="str">
        <f>IFERROR(__xludf.DUMMYFUNCTION("GOOGLETRANSLATE(A12247, ""en"", ""mt"")"),"Dmugħ")</f>
        <v>Dmugħ</v>
      </c>
    </row>
    <row r="12248" ht="15.75" customHeight="1">
      <c r="A12248" s="2" t="s">
        <v>12248</v>
      </c>
      <c r="B12248" s="2" t="str">
        <f>IFERROR(__xludf.DUMMYFUNCTION("GOOGLETRANSLATE(A12248, ""en"", ""mt"")"),"membrani addizzjonali barra mit-tnejn oriġinali")</f>
        <v>membrani addizzjonali barra mit-tnejn oriġinali</v>
      </c>
    </row>
    <row r="12249" ht="15.75" customHeight="1">
      <c r="A12249" s="2" t="s">
        <v>12249</v>
      </c>
      <c r="B12249" s="2" t="str">
        <f>IFERROR(__xludf.DUMMYFUNCTION("GOOGLETRANSLATE(A12249, ""en"", ""mt"")"),"Fir-Renju Unit u diversi pajjiżi oħra tal-Commonwealth inkluż l-Awstralja u l-Kanada, l-użu tat-terminu huwa ġeneralment ristrett għal-livelli edukattivi primarji u sekondarji; Huwa kważi qatt ma jintuża minn universitajiet u istituzzjonijiet terzjarji oħ"&amp;"ra. L-edukazzjoni privata fl-Amerika ta ’Fuq tkopri l-firxa sħiħa ta’ attività edukattiva, li tvarja minn istituzzjonijiet ta ’qabel l-iskola għal istituzzjonijiet ta’ livell terzjarju. It-tariffi annwali tat-tagħlim fl-iskejjel K-12 ivarjaw minn xejn fl-"&amp;"iskejjel 'mingħajr tagħlim' għal aktar minn $ 45,000 f'diversi skejjel preparatorji ta 'New England.")</f>
        <v>Fir-Renju Unit u diversi pajjiżi oħra tal-Commonwealth inkluż l-Awstralja u l-Kanada, l-użu tat-terminu huwa ġeneralment ristrett għal-livelli edukattivi primarji u sekondarji; Huwa kważi qatt ma jintuża minn universitajiet u istituzzjonijiet terzjarji oħra. L-edukazzjoni privata fl-Amerika ta ’Fuq tkopri l-firxa sħiħa ta’ attività edukattiva, li tvarja minn istituzzjonijiet ta ’qabel l-iskola għal istituzzjonijiet ta’ livell terzjarju. It-tariffi annwali tat-tagħlim fl-iskejjel K-12 ivarjaw minn xejn fl-iskejjel 'mingħajr tagħlim' għal aktar minn $ 45,000 f'diversi skejjel preparatorji ta 'New England.</v>
      </c>
    </row>
    <row r="12250" ht="15.75" customHeight="1">
      <c r="A12250" s="2" t="s">
        <v>12250</v>
      </c>
      <c r="B12250" s="2" t="str">
        <f>IFERROR(__xludf.DUMMYFUNCTION("GOOGLETRANSLATE(A12250, ""en"", ""mt"")"),"Sojja")</f>
        <v>Sojja</v>
      </c>
    </row>
    <row r="12251" ht="15.75" customHeight="1">
      <c r="A12251" s="2" t="s">
        <v>12251</v>
      </c>
      <c r="B12251" s="2" t="str">
        <f>IFERROR(__xludf.DUMMYFUNCTION("GOOGLETRANSLATE(A12251, ""en"", ""mt"")"),"Id-definizzjonijiet ta '8 u 10-kontea ma jintużawx għall-akbar Megaregion tan-Nofsinhar ta' California, waħda mill-11-il megaregion ta 'l-Istati Uniti. Iż-żona tal-Megaregion hija aktar espansiva, li testendi l-lvant f'Las Vegas, Nevada, u fin-nofsinhar m"&amp;"adwar il-fruntiera Messikana f'Tijuana.")</f>
        <v>Id-definizzjonijiet ta '8 u 10-kontea ma jintużawx għall-akbar Megaregion tan-Nofsinhar ta' California, waħda mill-11-il megaregion ta 'l-Istati Uniti. Iż-żona tal-Megaregion hija aktar espansiva, li testendi l-lvant f'Las Vegas, Nevada, u fin-nofsinhar madwar il-fruntiera Messikana f'Tijuana.</v>
      </c>
    </row>
    <row r="12252" ht="15.75" customHeight="1">
      <c r="A12252" s="2" t="s">
        <v>12252</v>
      </c>
      <c r="B12252" s="2" t="str">
        <f>IFERROR(__xludf.DUMMYFUNCTION("GOOGLETRANSLATE(A12252, ""en"", ""mt"")"),"Vjolazzjoni tal-liġi kriminali li ma tikserx id-drittijiet ta 'ħaddieħor.")</f>
        <v>Vjolazzjoni tal-liġi kriminali li ma tikserx id-drittijiet ta 'ħaddieħor.</v>
      </c>
    </row>
    <row r="12253" ht="15.75" customHeight="1">
      <c r="A12253" s="2" t="s">
        <v>12253</v>
      </c>
      <c r="B12253" s="2" t="str">
        <f>IFERROR(__xludf.DUMMYFUNCTION("GOOGLETRANSLATE(A12253, ""en"", ""mt"")"),"X’għamel pajjiż Ohio vulnerabbli?")</f>
        <v>X’għamel pajjiż Ohio vulnerabbli?</v>
      </c>
    </row>
    <row r="12254" ht="15.75" customHeight="1">
      <c r="A12254" s="2" t="s">
        <v>12254</v>
      </c>
      <c r="B12254" s="2" t="str">
        <f>IFERROR(__xludf.DUMMYFUNCTION("GOOGLETRANSLATE(A12254, ""en"", ""mt"")"),"Evalwazzjoni tal-adegwatezza tat-terapija tal-mediċina")</f>
        <v>Evalwazzjoni tal-adegwatezza tat-terapija tal-mediċina</v>
      </c>
    </row>
    <row r="12255" ht="15.75" customHeight="1">
      <c r="A12255" s="2" t="s">
        <v>12255</v>
      </c>
      <c r="B12255" s="2" t="str">
        <f>IFERROR(__xludf.DUMMYFUNCTION("GOOGLETRANSLATE(A12255, ""en"", ""mt"")"),"Dak li t-teoloġija tiddikjara li l-fidi waħedha mhix biżżejjed biex tiġġustifika l-bniedem?")</f>
        <v>Dak li t-teoloġija tiddikjara li l-fidi waħedha mhix biżżejjed biex tiġġustifika l-bniedem?</v>
      </c>
    </row>
    <row r="12256" ht="15.75" customHeight="1">
      <c r="A12256" s="2" t="s">
        <v>12256</v>
      </c>
      <c r="B12256" s="2" t="str">
        <f>IFERROR(__xludf.DUMMYFUNCTION("GOOGLETRANSLATE(A12256, ""en"", ""mt"")"),"lezzjonijiet")</f>
        <v>lezzjonijiet</v>
      </c>
    </row>
    <row r="12257" ht="15.75" customHeight="1">
      <c r="A12257" s="2" t="s">
        <v>12257</v>
      </c>
      <c r="B12257" s="2" t="str">
        <f>IFERROR(__xludf.DUMMYFUNCTION("GOOGLETRANSLATE(A12257, ""en"", ""mt"")"),"50% sa 60%")</f>
        <v>50% sa 60%</v>
      </c>
    </row>
    <row r="12258" ht="15.75" customHeight="1">
      <c r="A12258" s="2" t="s">
        <v>12258</v>
      </c>
      <c r="B12258" s="2" t="str">
        <f>IFERROR(__xludf.DUMMYFUNCTION("GOOGLETRANSLATE(A12258, ""en"", ""mt"")"),"Id-duttrina Monroe")</f>
        <v>Id-duttrina Monroe</v>
      </c>
    </row>
    <row r="12259" ht="15.75" customHeight="1">
      <c r="A12259" s="2" t="s">
        <v>12259</v>
      </c>
      <c r="B12259" s="2" t="str">
        <f>IFERROR(__xludf.DUMMYFUNCTION("GOOGLETRANSLATE(A12259, ""en"", ""mt"")"),"Teorija tal-Kompjuter")</f>
        <v>Teorija tal-Kompjuter</v>
      </c>
    </row>
    <row r="12260" ht="15.75" customHeight="1">
      <c r="A12260" s="2" t="s">
        <v>12260</v>
      </c>
      <c r="B12260" s="2" t="str">
        <f>IFERROR(__xludf.DUMMYFUNCTION("GOOGLETRANSLATE(A12260, ""en"", ""mt"")"),"Riħa stramba fl-ispazji tagħhom")</f>
        <v>Riħa stramba fl-ispazji tagħhom</v>
      </c>
    </row>
    <row r="12261" ht="15.75" customHeight="1">
      <c r="A12261" s="2" t="s">
        <v>12261</v>
      </c>
      <c r="B12261" s="2" t="str">
        <f>IFERROR(__xludf.DUMMYFUNCTION("GOOGLETRANSLATE(A12261, ""en"", ""mt"")"),"Kif wieħed jiddeskrivi s-sjuf fi Fresno?")</f>
        <v>Kif wieħed jiddeskrivi s-sjuf fi Fresno?</v>
      </c>
    </row>
    <row r="12262" ht="15.75" customHeight="1">
      <c r="A12262" s="2" t="s">
        <v>12262</v>
      </c>
      <c r="B12262" s="2" t="str">
        <f>IFERROR(__xludf.DUMMYFUNCTION("GOOGLETRANSLATE(A12262, ""en"", ""mt"")"),"2.45 A.M.")</f>
        <v>2.45 A.M.</v>
      </c>
    </row>
    <row r="12263" ht="15.75" customHeight="1">
      <c r="A12263" s="2" t="s">
        <v>12263</v>
      </c>
      <c r="B12263" s="2" t="str">
        <f>IFERROR(__xludf.DUMMYFUNCTION("GOOGLETRANSLATE(A12263, ""en"", ""mt"")"),"is-servizz tal-kuxxinett pubbliku telepad")</f>
        <v>is-servizz tal-kuxxinett pubbliku telepad</v>
      </c>
    </row>
    <row r="12264" ht="15.75" customHeight="1">
      <c r="A12264" s="2" t="s">
        <v>12264</v>
      </c>
      <c r="B12264" s="2" t="str">
        <f>IFERROR(__xludf.DUMMYFUNCTION("GOOGLETRANSLATE(A12264, ""en"", ""mt"")"),"X'kien l-isem tal-programm tal-kunċett tad-data għomja debutt minn ABC fl-1966?")</f>
        <v>X'kien l-isem tal-programm tal-kunċett tad-data għomja debutt minn ABC fl-1966?</v>
      </c>
    </row>
    <row r="12265" ht="15.75" customHeight="1">
      <c r="A12265" s="2" t="s">
        <v>12265</v>
      </c>
      <c r="B12265" s="2" t="str">
        <f>IFERROR(__xludf.DUMMYFUNCTION("GOOGLETRANSLATE(A12265, ""en"", ""mt"")"),"Min għandu l-awtorità ta 'ragħaj biss fil-kuntest u matul il-ħin tal-ħatra?")</f>
        <v>Min għandu l-awtorità ta 'ragħaj biss fil-kuntest u matul il-ħin tal-ħatra?</v>
      </c>
    </row>
    <row r="12266" ht="15.75" customHeight="1">
      <c r="A12266" s="2" t="s">
        <v>12266</v>
      </c>
      <c r="B12266" s="2" t="str">
        <f>IFERROR(__xludf.DUMMYFUNCTION("GOOGLETRANSLATE(A12266, ""en"", ""mt"")"),"Liema tattika użaw ir-riċerkaturi biex jikkumpensaw id-defiċit ta 'xogħol preċedenti li jdawwar il-kumplessità ta' problemi algoritmiċi?")</f>
        <v>Liema tattika użaw ir-riċerkaturi biex jikkumpensaw id-defiċit ta 'xogħol preċedenti li jdawwar il-kumplessità ta' problemi algoritmiċi?</v>
      </c>
    </row>
    <row r="12267" ht="15.75" customHeight="1">
      <c r="A12267" s="2" t="s">
        <v>12267</v>
      </c>
      <c r="B12267" s="2" t="str">
        <f>IFERROR(__xludf.DUMMYFUNCTION("GOOGLETRANSLATE(A12267, ""en"", ""mt"")"),"felċi")</f>
        <v>felċi</v>
      </c>
    </row>
    <row r="12268" ht="15.75" customHeight="1">
      <c r="A12268" s="2" t="s">
        <v>12268</v>
      </c>
      <c r="B12268" s="2" t="str">
        <f>IFERROR(__xludf.DUMMYFUNCTION("GOOGLETRANSLATE(A12268, ""en"", ""mt"")"),"inċertezza")</f>
        <v>inċertezza</v>
      </c>
    </row>
    <row r="12269" ht="15.75" customHeight="1">
      <c r="A12269" s="2" t="s">
        <v>12269</v>
      </c>
      <c r="B12269" s="2" t="str">
        <f>IFERROR(__xludf.DUMMYFUNCTION("GOOGLETRANSLATE(A12269, ""en"", ""mt"")"),"biex tikkastiga lill-Kristjani")</f>
        <v>biex tikkastiga lill-Kristjani</v>
      </c>
    </row>
    <row r="12270" ht="15.75" customHeight="1">
      <c r="A12270" s="2" t="s">
        <v>12270</v>
      </c>
      <c r="B12270" s="2" t="str">
        <f>IFERROR(__xludf.DUMMYFUNCTION("GOOGLETRANSLATE(A12270, ""en"", ""mt"")"),"Kolonji barranin")</f>
        <v>Kolonji barranin</v>
      </c>
    </row>
    <row r="12271" ht="15.75" customHeight="1">
      <c r="A12271" s="2" t="s">
        <v>12271</v>
      </c>
      <c r="B12271" s="2" t="str">
        <f>IFERROR(__xludf.DUMMYFUNCTION("GOOGLETRANSLATE(A12271, ""en"", ""mt"")"),"Kapaċi tivvota fuq leġislazzjoni domestika li tapplika biss għall-Ingilterra, Wales u l-Irlanda ta 'Fuq")</f>
        <v>Kapaċi tivvota fuq leġislazzjoni domestika li tapplika biss għall-Ingilterra, Wales u l-Irlanda ta 'Fuq</v>
      </c>
    </row>
    <row r="12272" ht="15.75" customHeight="1">
      <c r="A12272" s="2" t="s">
        <v>12272</v>
      </c>
      <c r="B12272" s="2" t="str">
        <f>IFERROR(__xludf.DUMMYFUNCTION("GOOGLETRANSLATE(A12272, ""en"", ""mt"")"),"circa 1964–1965")</f>
        <v>circa 1964–1965</v>
      </c>
    </row>
    <row r="12273" ht="15.75" customHeight="1">
      <c r="A12273" s="2" t="s">
        <v>12273</v>
      </c>
      <c r="B12273" s="2" t="str">
        <f>IFERROR(__xludf.DUMMYFUNCTION("GOOGLETRANSLATE(A12273, ""en"", ""mt"")"),"Ix-xejra tal-gwerra, segwita minn perjodi qosra ta ’paċi, kompliet għal kważi kwart ieħor ta’ seklu. Il-gwerra ġiet definittivament imqabbda fl-1598, meta Henry ta 'Navarra, wara li rnexxielu t-tron Franċiż bħala Henry IV, u wara li reġa' ħa l-Protestanti"&amp;"żmu favur il-Kattoliċiżmu Ruman, ħareġ l-editt ta 'Nantes. L-editt afferma mill-ġdid il-Kattoliċiżmu bħala r-reliġjon tal-istat ta ’Franza, iżda ta lill-Protestanti ugwaljanza mal-Kattoliċi taħt it-tron u grad ta’ libertà reliġjuża u politika fl-oqsma tag"&amp;"ħhom. L-editt protett fl-istess ħin l-interessi Kattoliċi billi jiskoraġġixxi l-fondazzjoni ta 'knejjes Protestanti ġodda f'reġjuni kkontrollati mill-Kattoliċi. [Ċitazzjoni meħtieġa]")</f>
        <v>Ix-xejra tal-gwerra, segwita minn perjodi qosra ta ’paċi, kompliet għal kważi kwart ieħor ta’ seklu. Il-gwerra ġiet definittivament imqabbda fl-1598, meta Henry ta 'Navarra, wara li rnexxielu t-tron Franċiż bħala Henry IV, u wara li reġa' ħa l-Protestantiżmu favur il-Kattoliċiżmu Ruman, ħareġ l-editt ta 'Nantes. L-editt afferma mill-ġdid il-Kattoliċiżmu bħala r-reliġjon tal-istat ta ’Franza, iżda ta lill-Protestanti ugwaljanza mal-Kattoliċi taħt it-tron u grad ta’ libertà reliġjuża u politika fl-oqsma tagħhom. L-editt protett fl-istess ħin l-interessi Kattoliċi billi jiskoraġġixxi l-fondazzjoni ta 'knejjes Protestanti ġodda f'reġjuni kkontrollati mill-Kattoliċi. [Ċitazzjoni meħtieġa]</v>
      </c>
    </row>
    <row r="12274" ht="15.75" customHeight="1">
      <c r="A12274" s="2" t="s">
        <v>12274</v>
      </c>
      <c r="B12274" s="2" t="str">
        <f>IFERROR(__xludf.DUMMYFUNCTION("GOOGLETRANSLATE(A12274, ""en"", ""mt"")"),"Il-Knisja tal-Ingilterra.")</f>
        <v>Il-Knisja tal-Ingilterra.</v>
      </c>
    </row>
    <row r="12275" ht="15.75" customHeight="1">
      <c r="A12275" s="2" t="s">
        <v>12275</v>
      </c>
      <c r="B12275" s="2" t="str">
        <f>IFERROR(__xludf.DUMMYFUNCTION("GOOGLETRANSLATE(A12275, ""en"", ""mt"")"),"Min introduċa l-pesta lejn l-Ewropa?")</f>
        <v>Min introduċa l-pesta lejn l-Ewropa?</v>
      </c>
    </row>
    <row r="12276" ht="15.75" customHeight="1">
      <c r="A12276" s="2" t="s">
        <v>12276</v>
      </c>
      <c r="B12276" s="2" t="str">
        <f>IFERROR(__xludf.DUMMYFUNCTION("GOOGLETRANSLATE(A12276, ""en"", ""mt"")"),"sitta")</f>
        <v>sitta</v>
      </c>
    </row>
    <row r="12277" ht="15.75" customHeight="1">
      <c r="A12277" s="2" t="s">
        <v>12277</v>
      </c>
      <c r="B12277" s="2" t="str">
        <f>IFERROR(__xludf.DUMMYFUNCTION("GOOGLETRANSLATE(A12277, ""en"", ""mt"")"),"Min kien it-tielet rivali maġġuri ta 'ABC fl-1949?")</f>
        <v>Min kien it-tielet rivali maġġuri ta 'ABC fl-1949?</v>
      </c>
    </row>
    <row r="12278" ht="15.75" customHeight="1">
      <c r="A12278" s="2" t="s">
        <v>12278</v>
      </c>
      <c r="B12278" s="2" t="str">
        <f>IFERROR(__xludf.DUMMYFUNCTION("GOOGLETRANSLATE(A12278, ""en"", ""mt"")"),"Stati Uniti")</f>
        <v>Stati Uniti</v>
      </c>
    </row>
    <row r="12279" ht="15.75" customHeight="1">
      <c r="A12279" s="2" t="s">
        <v>12279</v>
      </c>
      <c r="B12279" s="2" t="str">
        <f>IFERROR(__xludf.DUMMYFUNCTION("GOOGLETRANSLATE(A12279, ""en"", ""mt"")"),"Fruntiera Żvizzera-Awstrija")</f>
        <v>Fruntiera Żvizzera-Awstrija</v>
      </c>
    </row>
    <row r="12280" ht="15.75" customHeight="1">
      <c r="A12280" s="2" t="s">
        <v>12280</v>
      </c>
      <c r="B12280" s="2" t="str">
        <f>IFERROR(__xludf.DUMMYFUNCTION("GOOGLETRANSLATE(A12280, ""en"", ""mt"")"),"Barra mill-bhejjem, x'iktar kienet ikkunsidrata bħala industrija ewlenija fir-reġjuni tal-agrikoltura?")</f>
        <v>Barra mill-bhejjem, x'iktar kienet ikkunsidrata bħala industrija ewlenija fir-reġjuni tal-agrikoltura?</v>
      </c>
    </row>
    <row r="12281" ht="15.75" customHeight="1">
      <c r="A12281" s="2" t="s">
        <v>12281</v>
      </c>
      <c r="B12281" s="2" t="str">
        <f>IFERROR(__xludf.DUMMYFUNCTION("GOOGLETRANSLATE(A12281, ""en"", ""mt"")"),"mediċini")</f>
        <v>mediċini</v>
      </c>
    </row>
    <row r="12282" ht="15.75" customHeight="1">
      <c r="A12282" s="2" t="s">
        <v>12282</v>
      </c>
      <c r="B12282" s="2" t="str">
        <f>IFERROR(__xludf.DUMMYFUNCTION("GOOGLETRANSLATE(A12282, ""en"", ""mt"")"),"X'inhu l-istatus tal-biċċa l-kbira tal-ġeni tal-kloroplast fil-mitokondrion?")</f>
        <v>X'inhu l-istatus tal-biċċa l-kbira tal-ġeni tal-kloroplast fil-mitokondrion?</v>
      </c>
    </row>
    <row r="12283" ht="15.75" customHeight="1">
      <c r="A12283" s="2" t="s">
        <v>12283</v>
      </c>
      <c r="B12283" s="2" t="str">
        <f>IFERROR(__xludf.DUMMYFUNCTION("GOOGLETRANSLATE(A12283, ""en"", ""mt"")"),"Battalja ta 'Olustee")</f>
        <v>Battalja ta 'Olustee</v>
      </c>
    </row>
    <row r="12284" ht="15.75" customHeight="1">
      <c r="A12284" s="2" t="s">
        <v>12284</v>
      </c>
      <c r="B12284" s="2" t="str">
        <f>IFERROR(__xludf.DUMMYFUNCTION("GOOGLETRANSLATE(A12284, ""en"", ""mt"")"),"Għaxar darbiet aktar")</f>
        <v>Għaxar darbiet aktar</v>
      </c>
    </row>
    <row r="12285" ht="15.75" customHeight="1">
      <c r="A12285" s="2" t="s">
        <v>12285</v>
      </c>
      <c r="B12285" s="2" t="str">
        <f>IFERROR(__xludf.DUMMYFUNCTION("GOOGLETRANSLATE(A12285, ""en"", ""mt"")"),"ir-repulsjoni ta 'piżijiet simili taħt l-influwenza tal-forza elettromanjetika")</f>
        <v>ir-repulsjoni ta 'piżijiet simili taħt l-influwenza tal-forza elettromanjetika</v>
      </c>
    </row>
    <row r="12286" ht="15.75" customHeight="1">
      <c r="A12286" s="2" t="s">
        <v>12286</v>
      </c>
      <c r="B12286" s="2" t="str">
        <f>IFERROR(__xludf.DUMMYFUNCTION("GOOGLETRANSLATE(A12286, ""en"", ""mt"")"),"biex tiċċivilja l-inferjuri")</f>
        <v>biex tiċċivilja l-inferjuri</v>
      </c>
    </row>
    <row r="12287" ht="15.75" customHeight="1">
      <c r="A12287" s="2" t="s">
        <v>12287</v>
      </c>
      <c r="B12287" s="2" t="str">
        <f>IFERROR(__xludf.DUMMYFUNCTION("GOOGLETRANSLATE(A12287, ""en"", ""mt"")"),"Peress li Luther emmen li t-Torok kienu mibgħuta minn Alla, x’kien l-iskop tagħhom?")</f>
        <v>Peress li Luther emmen li t-Torok kienu mibgħuta minn Alla, x’kien l-iskop tagħhom?</v>
      </c>
    </row>
    <row r="12288" ht="15.75" customHeight="1">
      <c r="A12288" s="2" t="s">
        <v>12288</v>
      </c>
      <c r="B12288" s="2" t="str">
        <f>IFERROR(__xludf.DUMMYFUNCTION("GOOGLETRANSLATE(A12288, ""en"", ""mt"")"),"187 pied")</f>
        <v>187 pied</v>
      </c>
    </row>
    <row r="12289" ht="15.75" customHeight="1">
      <c r="A12289" s="2" t="s">
        <v>12289</v>
      </c>
      <c r="B12289" s="2" t="str">
        <f>IFERROR(__xludf.DUMMYFUNCTION("GOOGLETRANSLATE(A12289, ""en"", ""mt"")"),"Esplora netwerking tal-kompjuter")</f>
        <v>Esplora netwerking tal-kompjuter</v>
      </c>
    </row>
    <row r="12290" ht="15.75" customHeight="1">
      <c r="A12290" s="2" t="s">
        <v>12290</v>
      </c>
      <c r="B12290" s="2" t="str">
        <f>IFERROR(__xludf.DUMMYFUNCTION("GOOGLETRANSLATE(A12290, ""en"", ""mt"")"),"X’jagħtu li l-Lhud irrifjutaw li jaċċettaw li kkawża lil Luther isejħilhom blasfemers u giddieba?")</f>
        <v>X’jagħtu li l-Lhud irrifjutaw li jaċċettaw li kkawża lil Luther isejħilhom blasfemers u giddieba?</v>
      </c>
    </row>
    <row r="12291" ht="15.75" customHeight="1">
      <c r="A12291" s="2" t="s">
        <v>12291</v>
      </c>
      <c r="B12291" s="2" t="str">
        <f>IFERROR(__xludf.DUMMYFUNCTION("GOOGLETRANSLATE(A12291, ""en"", ""mt"")"),"27 ta ’Lulju 2008")</f>
        <v>27 ta ’Lulju 2008</v>
      </c>
    </row>
    <row r="12292" ht="15.75" customHeight="1">
      <c r="A12292" s="2" t="s">
        <v>12292</v>
      </c>
      <c r="B12292" s="2" t="str">
        <f>IFERROR(__xludf.DUMMYFUNCTION("GOOGLETRANSLATE(A12292, ""en"", ""mt"")"),"Kemm huma meħtieġa l-istudenti biex jitgħallmu l-Welsh?")</f>
        <v>Kemm huma meħtieġa l-istudenti biex jitgħallmu l-Welsh?</v>
      </c>
    </row>
    <row r="12293" ht="15.75" customHeight="1">
      <c r="A12293" s="2" t="s">
        <v>12293</v>
      </c>
      <c r="B12293" s="2" t="str">
        <f>IFERROR(__xludf.DUMMYFUNCTION("GOOGLETRANSLATE(A12293, ""en"", ""mt"")"),"ċelloli T tal-għajnuna, ċelloli T ċitotossiċi u ċelloli NK")</f>
        <v>ċelloli T tal-għajnuna, ċelloli T ċitotossiċi u ċelloli NK</v>
      </c>
    </row>
    <row r="12294" ht="15.75" customHeight="1">
      <c r="A12294" s="2" t="s">
        <v>12294</v>
      </c>
      <c r="B12294" s="2" t="str">
        <f>IFERROR(__xludf.DUMMYFUNCTION("GOOGLETRANSLATE(A12294, ""en"", ""mt"")"),"L-għan tal-liġi tal-kompetizzjoni Franċiża kien li tagħmel xiex?")</f>
        <v>L-għan tal-liġi tal-kompetizzjoni Franċiża kien li tagħmel xiex?</v>
      </c>
    </row>
    <row r="12295" ht="15.75" customHeight="1">
      <c r="A12295" s="2" t="s">
        <v>12295</v>
      </c>
      <c r="B12295" s="2" t="str">
        <f>IFERROR(__xludf.DUMMYFUNCTION("GOOGLETRANSLATE(A12295, ""en"", ""mt"")"),"Bħal larva vera")</f>
        <v>Bħal larva vera</v>
      </c>
    </row>
    <row r="12296" ht="15.75" customHeight="1">
      <c r="A12296" s="2" t="s">
        <v>12296</v>
      </c>
      <c r="B12296" s="2" t="str">
        <f>IFERROR(__xludf.DUMMYFUNCTION("GOOGLETRANSLATE(A12296, ""en"", ""mt"")"),"X'kien it-tul aċċettat tar-Renu qabel l-1932?")</f>
        <v>X'kien it-tul aċċettat tar-Renu qabel l-1932?</v>
      </c>
    </row>
    <row r="12297" ht="15.75" customHeight="1">
      <c r="A12297" s="2" t="s">
        <v>12297</v>
      </c>
      <c r="B12297" s="2" t="str">
        <f>IFERROR(__xludf.DUMMYFUNCTION("GOOGLETRANSLATE(A12297, ""en"", ""mt"")"),"restorant")</f>
        <v>restorant</v>
      </c>
    </row>
    <row r="12298" ht="15.75" customHeight="1">
      <c r="A12298" s="2" t="s">
        <v>12298</v>
      </c>
      <c r="B12298" s="2" t="str">
        <f>IFERROR(__xludf.DUMMYFUNCTION("GOOGLETRANSLATE(A12298, ""en"", ""mt"")"),"Fl-Artikolu 5")</f>
        <v>Fl-Artikolu 5</v>
      </c>
    </row>
    <row r="12299" ht="15.75" customHeight="1">
      <c r="A12299" s="2" t="s">
        <v>12299</v>
      </c>
      <c r="B12299" s="2" t="str">
        <f>IFERROR(__xludf.DUMMYFUNCTION("GOOGLETRANSLATE(A12299, ""en"", ""mt"")"),"ġbir ta 'fondi professjonali")</f>
        <v>ġbir ta 'fondi professjonali</v>
      </c>
    </row>
    <row r="12300" ht="15.75" customHeight="1">
      <c r="A12300" s="2" t="s">
        <v>12300</v>
      </c>
      <c r="B12300" s="2" t="str">
        <f>IFERROR(__xludf.DUMMYFUNCTION("GOOGLETRANSLATE(A12300, ""en"", ""mt"")"),"mhux speċifiku")</f>
        <v>mhux speċifiku</v>
      </c>
    </row>
    <row r="12301" ht="15.75" customHeight="1">
      <c r="A12301" s="2" t="s">
        <v>12301</v>
      </c>
      <c r="B12301" s="2" t="str">
        <f>IFERROR(__xludf.DUMMYFUNCTION("GOOGLETRANSLATE(A12301, ""en"", ""mt"")"),"Il-Kap tat-Tama t-Tajba")</f>
        <v>Il-Kap tat-Tama t-Tajba</v>
      </c>
    </row>
    <row r="12302" ht="15.75" customHeight="1">
      <c r="A12302" s="2" t="s">
        <v>12302</v>
      </c>
      <c r="B12302" s="2" t="str">
        <f>IFERROR(__xludf.DUMMYFUNCTION("GOOGLETRANSLATE(A12302, ""en"", ""mt"")"),"Nuqqas ta 'forza netta")</f>
        <v>Nuqqas ta 'forza netta</v>
      </c>
    </row>
    <row r="12303" ht="15.75" customHeight="1">
      <c r="A12303" s="2" t="s">
        <v>12303</v>
      </c>
      <c r="B12303" s="2" t="str">
        <f>IFERROR(__xludf.DUMMYFUNCTION("GOOGLETRANSLATE(A12303, ""en"", ""mt"")"),"Bell Northern Research")</f>
        <v>Bell Northern Research</v>
      </c>
    </row>
    <row r="12304" ht="15.75" customHeight="1">
      <c r="A12304" s="2" t="s">
        <v>12304</v>
      </c>
      <c r="B12304" s="2" t="str">
        <f>IFERROR(__xludf.DUMMYFUNCTION("GOOGLETRANSLATE(A12304, ""en"", ""mt"")"),"Tnaqqis wieqaf u kostanti")</f>
        <v>Tnaqqis wieqaf u kostanti</v>
      </c>
    </row>
    <row r="12305" ht="15.75" customHeight="1">
      <c r="A12305" s="2" t="s">
        <v>12305</v>
      </c>
      <c r="B12305" s="2" t="str">
        <f>IFERROR(__xludf.DUMMYFUNCTION("GOOGLETRANSLATE(A12305, ""en"", ""mt"")"),"Li tillimita l-konkrit tal-ħin tal-komputazzjoni ta 'spiss tipproduċi klassijiet ta' kumplessità li jiddependu fuq xiex?")</f>
        <v>Li tillimita l-konkrit tal-ħin tal-komputazzjoni ta 'spiss tipproduċi klassijiet ta' kumplessità li jiddependu fuq xiex?</v>
      </c>
    </row>
    <row r="12306" ht="15.75" customHeight="1">
      <c r="A12306" s="2" t="s">
        <v>12306</v>
      </c>
      <c r="B12306" s="2" t="str">
        <f>IFERROR(__xludf.DUMMYFUNCTION("GOOGLETRANSLATE(A12306, ""en"", ""mt"")"),"Liema proċess huwa responsabbli għall-kontenut ta 'ossiġnu tal-pjaneta?")</f>
        <v>Liema proċess huwa responsabbli għall-kontenut ta 'ossiġnu tal-pjaneta?</v>
      </c>
    </row>
    <row r="12307" ht="15.75" customHeight="1">
      <c r="A12307" s="2" t="s">
        <v>12307</v>
      </c>
      <c r="B12307" s="2" t="str">
        <f>IFERROR(__xludf.DUMMYFUNCTION("GOOGLETRANSLATE(A12307, ""en"", ""mt"")"),"Charlotte Muzar")</f>
        <v>Charlotte Muzar</v>
      </c>
    </row>
    <row r="12308" ht="15.75" customHeight="1">
      <c r="A12308" s="2" t="s">
        <v>12308</v>
      </c>
      <c r="B12308" s="2" t="str">
        <f>IFERROR(__xludf.DUMMYFUNCTION("GOOGLETRANSLATE(A12308, ""en"", ""mt"")"),"Fl-1516, Johann Tetzel, patri Dumnikana u kummissarju papali għall-indulġenzi, intbagħtet lill-Ġermanja mill-Knisja Kattolika Rumana biex tbiegħ indulġenzi biex tiġbor flus biex terġa 'tinbena l-Bażilika ta' San Pietru f'Ruma. Teoloġija Kattolika Rumana d"&amp;"dikjarat li l-fidi waħedha, kemm jekk fiduċjarja jew dogmatika, ma tistax tiġġustifika lill-bniedem; Il-ġustifikazzjoni pjuttost tiddependi biss fuq fidi li hija attiva fil-karità u xogħlijiet tajbin (Fides Caritate Formata). Il-benefiċċji ta 'xogħlijiet "&amp;"tajbin jistgħu jinkisbu billi d-donazzjoni ta' flus lill-knisja.")</f>
        <v>Fl-1516, Johann Tetzel, patri Dumnikana u kummissarju papali għall-indulġenzi, intbagħtet lill-Ġermanja mill-Knisja Kattolika Rumana biex tbiegħ indulġenzi biex tiġbor flus biex terġa 'tinbena l-Bażilika ta' San Pietru f'Ruma. Teoloġija Kattolika Rumana ddikjarat li l-fidi waħedha, kemm jekk fiduċjarja jew dogmatika, ma tistax tiġġustifika lill-bniedem; Il-ġustifikazzjoni pjuttost tiddependi biss fuq fidi li hija attiva fil-karità u xogħlijiet tajbin (Fides Caritate Formata). Il-benefiċċji ta 'xogħlijiet tajbin jistgħu jinkisbu billi d-donazzjoni ta' flus lill-knisja.</v>
      </c>
    </row>
    <row r="12309" ht="15.75" customHeight="1">
      <c r="A12309" s="2" t="s">
        <v>12309</v>
      </c>
      <c r="B12309" s="2" t="str">
        <f>IFERROR(__xludf.DUMMYFUNCTION("GOOGLETRANSLATE(A12309, ""en"", ""mt"")"),"Metodu biex jitnaqqas il-kobor ta 'dan it-tisħin u t-tkessiħ ġie vvintat fl-1804 mill-inġinier Ingliż Arthur Woolf, li brevetta l-magna kompost tiegħu bi pressjoni għolja tas-suf fl-1805. Fil-magna kompost, fwar bi pressjoni għolja mill-bojler jespandi f'"&amp;"livell għoli Ċilindru tal-pressjoni (HP) u mbagħad jidħol f'ċilindri sussegwenti jew aktar ta 'pressjoni baxxa (LP). L-espansjoni sħiħa tal-fwar issa sseħħ f'ċilindri multipli u hekk kif inqas espansjoni sseħħ f'kull ċilindru inqas sħana tintilef mill-fwa"&amp;"r f'kull wieħed. Dan inaqqas il-kobor tat-tisħin u t-tkessiħ taċ-ċilindru, u jżid l-effiċjenza tal-magna. Billi twaqqaf l-espansjoni f'ċilindri multipli, il-varjabbiltà tat-torque tista 'titnaqqas. Biex toħroġ xogħol ugwali minn fwar bi pressjoni baxxa te"&amp;"ħtieġ volum ta 'ċilindru akbar peress li dan il-fwar jokkupa volum akbar. Għalhekk, l-imtaqqab, u ħafna drabi l-puplesija, huma miżjuda f'ċilindri ta 'pressjoni baxxa li jirriżultaw f'ċilindri akbar.")</f>
        <v>Metodu biex jitnaqqas il-kobor ta 'dan it-tisħin u t-tkessiħ ġie vvintat fl-1804 mill-inġinier Ingliż Arthur Woolf, li brevetta l-magna kompost tiegħu bi pressjoni għolja tas-suf fl-1805. Fil-magna kompost, fwar bi pressjoni għolja mill-bojler jespandi f'livell għoli Ċilindru tal-pressjoni (HP) u mbagħad jidħol f'ċilindri sussegwenti jew aktar ta 'pressjoni baxxa (LP). L-espansjoni sħiħa tal-fwar issa sseħħ f'ċilindri multipli u hekk kif inqas espansjoni sseħħ f'kull ċilindru inqas sħana tintilef mill-fwar f'kull wieħed. Dan inaqqas il-kobor tat-tisħin u t-tkessiħ taċ-ċilindru, u jżid l-effiċjenza tal-magna. Billi twaqqaf l-espansjoni f'ċilindri multipli, il-varjabbiltà tat-torque tista 'titnaqqas. Biex toħroġ xogħol ugwali minn fwar bi pressjoni baxxa teħtieġ volum ta 'ċilindru akbar peress li dan il-fwar jokkupa volum akbar. Għalhekk, l-imtaqqab, u ħafna drabi l-puplesija, huma miżjuda f'ċilindri ta 'pressjoni baxxa li jirriżultaw f'ċilindri akbar.</v>
      </c>
    </row>
    <row r="12310" ht="15.75" customHeight="1">
      <c r="A12310" s="2" t="s">
        <v>12310</v>
      </c>
      <c r="B12310" s="2" t="str">
        <f>IFERROR(__xludf.DUMMYFUNCTION("GOOGLETRANSLATE(A12310, ""en"", ""mt"")"),"F'liema jistgħu jinbidlu l-kloroplasti?")</f>
        <v>F'liema jistgħu jinbidlu l-kloroplasti?</v>
      </c>
    </row>
    <row r="12311" ht="15.75" customHeight="1">
      <c r="A12311" s="2" t="s">
        <v>12311</v>
      </c>
      <c r="B12311" s="2" t="str">
        <f>IFERROR(__xludf.DUMMYFUNCTION("GOOGLETRANSLATE(A12311, ""en"", ""mt"")"),"Il-ħakkiema Mongoljani patronizzaw l-industrija tal-istampar tal-wan. It-teknoloġija tal-istampar Ċiniża ġiet trasferita lill-Mongoli permezz tar-Renju tal-Qocho u l-intermedjarji Tibetani. Xi dokumenti tal-wan bħal Wang Zhen's Nong Shu ġew stampati bit-t"&amp;"ip mobbli tal-fuħħar, teknoloġija ivvintata fis-seklu 12. Madankollu, ħafna xogħlijiet ippubblikati kienu għadhom prodotti permezz ta 'tekniki tradizzjonali ta' stampar ta 'blokki. Il-pubblikazzjoni ta 'test Taoist miktub bl-isem ta' Töregene Khatun, il-m"&amp;"ara ta 'Ögedei, hija waħda mill-ewwel xogħlijiet stampati sponsorjati mill-Mongoli. Fl-1273, il-Mongoli ħolqu d-Direttorat tal-Librerija Imperjali, uffiċċju tal-istampar sponsorjat mill-gvern. Il-gvern tal-Yuan stabbilixxa ċentri għall-istampar matul iċ-Ċ"&amp;"ina. L-iskejjel lokali u l-aġenziji tal-gvern ġew iffinanzjati biex jappoġġjaw il-pubblikazzjoni tal-kotba.")</f>
        <v>Il-ħakkiema Mongoljani patronizzaw l-industrija tal-istampar tal-wan. It-teknoloġija tal-istampar Ċiniża ġiet trasferita lill-Mongoli permezz tar-Renju tal-Qocho u l-intermedjarji Tibetani. Xi dokumenti tal-wan bħal Wang Zhen's Nong Shu ġew stampati bit-tip mobbli tal-fuħħar, teknoloġija ivvintata fis-seklu 12. Madankollu, ħafna xogħlijiet ippubblikati kienu għadhom prodotti permezz ta 'tekniki tradizzjonali ta' stampar ta 'blokki. Il-pubblikazzjoni ta 'test Taoist miktub bl-isem ta' Töregene Khatun, il-mara ta 'Ögedei, hija waħda mill-ewwel xogħlijiet stampati sponsorjati mill-Mongoli. Fl-1273, il-Mongoli ħolqu d-Direttorat tal-Librerija Imperjali, uffiċċju tal-istampar sponsorjat mill-gvern. Il-gvern tal-Yuan stabbilixxa ċentri għall-istampar matul iċ-Ċina. L-iskejjel lokali u l-aġenziji tal-gvern ġew iffinanzjati biex jappoġġjaw il-pubblikazzjoni tal-kotba.</v>
      </c>
    </row>
    <row r="12312" ht="15.75" customHeight="1">
      <c r="A12312" s="2" t="s">
        <v>12312</v>
      </c>
      <c r="B12312" s="2" t="str">
        <f>IFERROR(__xludf.DUMMYFUNCTION("GOOGLETRANSLATE(A12312, ""en"", ""mt"")"),"Fejn marret Luther fis-17 ta 'Lulju 1505?")</f>
        <v>Fejn marret Luther fis-17 ta 'Lulju 1505?</v>
      </c>
    </row>
    <row r="12313" ht="15.75" customHeight="1">
      <c r="A12313" s="2" t="s">
        <v>12313</v>
      </c>
      <c r="B12313" s="2" t="str">
        <f>IFERROR(__xludf.DUMMYFUNCTION("GOOGLETRANSLATE(A12313, ""en"", ""mt"")"),"Min jaħdem biex il-ħaddiema jiksbu kumpens ogħla?")</f>
        <v>Min jaħdem biex il-ħaddiema jiksbu kumpens ogħla?</v>
      </c>
    </row>
    <row r="12314" ht="15.75" customHeight="1">
      <c r="A12314" s="2" t="s">
        <v>12314</v>
      </c>
      <c r="B12314" s="2" t="str">
        <f>IFERROR(__xludf.DUMMYFUNCTION("GOOGLETRANSLATE(A12314, ""en"", ""mt"")"),"In-netwerks privati ​​spiss kienu konnessi permezz ta ’gateways man-netwerk pubbliku biex jilħqu postijiet mhux fuq in-netwerk privat")</f>
        <v>In-netwerks privati ​​spiss kienu konnessi permezz ta ’gateways man-netwerk pubbliku biex jilħqu postijiet mhux fuq in-netwerk privat</v>
      </c>
    </row>
    <row r="12315" ht="15.75" customHeight="1">
      <c r="A12315" s="2" t="s">
        <v>12315</v>
      </c>
      <c r="B12315" s="2" t="str">
        <f>IFERROR(__xludf.DUMMYFUNCTION("GOOGLETRANSLATE(A12315, ""en"", ""mt"")"),"11,000 sena")</f>
        <v>11,000 sena</v>
      </c>
    </row>
    <row r="12316" ht="15.75" customHeight="1">
      <c r="A12316" s="2" t="s">
        <v>12316</v>
      </c>
      <c r="B12316" s="2" t="str">
        <f>IFERROR(__xludf.DUMMYFUNCTION("GOOGLETRANSLATE(A12316, ""en"", ""mt"")"),"26.7%")</f>
        <v>26.7%</v>
      </c>
    </row>
    <row r="12317" ht="15.75" customHeight="1">
      <c r="A12317" s="2" t="s">
        <v>12317</v>
      </c>
      <c r="B12317" s="2" t="str">
        <f>IFERROR(__xludf.DUMMYFUNCTION("GOOGLETRANSLATE(A12317, ""en"", ""mt"")"),"Il-Ġappun ħa parti mill-Gżira Sakhalin")</f>
        <v>Il-Ġappun ħa parti mill-Gżira Sakhalin</v>
      </c>
    </row>
    <row r="12318" ht="15.75" customHeight="1">
      <c r="A12318" s="2" t="s">
        <v>12318</v>
      </c>
      <c r="B12318" s="2" t="str">
        <f>IFERROR(__xludf.DUMMYFUNCTION("GOOGLETRANSLATE(A12318, ""en"", ""mt"")"),"X'inhi l-akbar skola indipendenti ko-ed fi Newcastle?")</f>
        <v>X'inhi l-akbar skola indipendenti ko-ed fi Newcastle?</v>
      </c>
    </row>
    <row r="12319" ht="15.75" customHeight="1">
      <c r="A12319" s="2" t="s">
        <v>12319</v>
      </c>
      <c r="B12319" s="2" t="str">
        <f>IFERROR(__xludf.DUMMYFUNCTION("GOOGLETRANSLATE(A12319, ""en"", ""mt"")"),"Biex ""float"" (titla 'u taqa' skont id-domanda tas-suq)")</f>
        <v>Biex "float" (titla 'u taqa' skont id-domanda tas-suq)</v>
      </c>
    </row>
    <row r="12320" ht="15.75" customHeight="1">
      <c r="A12320" s="2" t="s">
        <v>12320</v>
      </c>
      <c r="B12320" s="2" t="str">
        <f>IFERROR(__xludf.DUMMYFUNCTION("GOOGLETRANSLATE(A12320, ""en"", ""mt"")"),"Tilwim dwar il-Kontroll tal-Konfluwenza tax-Xmajjar ta 'Allegheny u Monongahela, imsejħa l-Forks of the Ohio")</f>
        <v>Tilwim dwar il-Kontroll tal-Konfluwenza tax-Xmajjar ta 'Allegheny u Monongahela, imsejħa l-Forks of the Ohio</v>
      </c>
    </row>
    <row r="12321" ht="15.75" customHeight="1">
      <c r="A12321" s="2" t="s">
        <v>12321</v>
      </c>
      <c r="B12321" s="2" t="str">
        <f>IFERROR(__xludf.DUMMYFUNCTION("GOOGLETRANSLATE(A12321, ""en"", ""mt"")"),"X'inhu t-terminu għall-qbid tal-motivazzjoni espressa mill-għalliem?")</f>
        <v>X'inhu t-terminu għall-qbid tal-motivazzjoni espressa mill-għalliem?</v>
      </c>
    </row>
    <row r="12322" ht="15.75" customHeight="1">
      <c r="A12322" s="2" t="s">
        <v>12322</v>
      </c>
      <c r="B12322" s="2" t="str">
        <f>IFERROR(__xludf.DUMMYFUNCTION("GOOGLETRANSLATE(A12322, ""en"", ""mt"")"),"Akkademja Imperjali tal-Mediċina")</f>
        <v>Akkademja Imperjali tal-Mediċina</v>
      </c>
    </row>
    <row r="12323" ht="15.75" customHeight="1">
      <c r="A12323" s="2" t="s">
        <v>12323</v>
      </c>
      <c r="B12323" s="2" t="str">
        <f>IFERROR(__xludf.DUMMYFUNCTION("GOOGLETRANSLATE(A12323, ""en"", ""mt"")"),"North Carolina u New Mexico")</f>
        <v>North Carolina u New Mexico</v>
      </c>
    </row>
    <row r="12324" ht="15.75" customHeight="1">
      <c r="A12324" s="2" t="s">
        <v>12324</v>
      </c>
      <c r="B12324" s="2" t="str">
        <f>IFERROR(__xludf.DUMMYFUNCTION("GOOGLETRANSLATE(A12324, ""en"", ""mt"")"),"Meta ġiet żviluppata l-biċċa l-kbira ta 'Sunnside?")</f>
        <v>Meta ġiet żviluppata l-biċċa l-kbira ta 'Sunnside?</v>
      </c>
    </row>
    <row r="12325" ht="15.75" customHeight="1">
      <c r="A12325" s="2" t="s">
        <v>12325</v>
      </c>
      <c r="B12325" s="2" t="str">
        <f>IFERROR(__xludf.DUMMYFUNCTION("GOOGLETRANSLATE(A12325, ""en"", ""mt"")"),"Liema serje tal-komiks iddebutta ABC fl-2013-14?")</f>
        <v>Liema serje tal-komiks iddebutta ABC fl-2013-14?</v>
      </c>
    </row>
    <row r="12326" ht="15.75" customHeight="1">
      <c r="A12326" s="2" t="s">
        <v>12326</v>
      </c>
      <c r="B12326" s="2" t="str">
        <f>IFERROR(__xludf.DUMMYFUNCTION("GOOGLETRANSLATE(A12326, ""en"", ""mt"")"),"ħafna klassijiet ta 'kumplessità")</f>
        <v>ħafna klassijiet ta 'kumplessità</v>
      </c>
    </row>
    <row r="12327" ht="15.75" customHeight="1">
      <c r="A12327" s="2" t="s">
        <v>12327</v>
      </c>
      <c r="B12327" s="2" t="str">
        <f>IFERROR(__xludf.DUMMYFUNCTION("GOOGLETRANSLATE(A12327, ""en"", ""mt"")"),"X'kien l-isem tal-istadium li fihom it-timijiet lagħbu?")</f>
        <v>X'kien l-isem tal-istadium li fihom it-timijiet lagħbu?</v>
      </c>
    </row>
    <row r="12328" ht="15.75" customHeight="1">
      <c r="A12328" s="2" t="s">
        <v>12328</v>
      </c>
      <c r="B12328" s="2" t="str">
        <f>IFERROR(__xludf.DUMMYFUNCTION("GOOGLETRANSLATE(A12328, ""en"", ""mt"")"),"X'ġara mill-affarijiet ta 'Tesla?")</f>
        <v>X'ġara mill-affarijiet ta 'Tesla?</v>
      </c>
    </row>
    <row r="12329" ht="15.75" customHeight="1">
      <c r="A12329" s="2" t="s">
        <v>12329</v>
      </c>
      <c r="B12329" s="2" t="str">
        <f>IFERROR(__xludf.DUMMYFUNCTION("GOOGLETRANSLATE(A12329, ""en"", ""mt"")"),"imnissel bħala kandidati tal-partit uffiċjali waqt elezzjonijiet futuri")</f>
        <v>imnissel bħala kandidati tal-partit uffiċjali waqt elezzjonijiet futuri</v>
      </c>
    </row>
    <row r="12330" ht="15.75" customHeight="1">
      <c r="A12330" s="2" t="s">
        <v>12330</v>
      </c>
      <c r="B12330" s="2" t="str">
        <f>IFERROR(__xludf.DUMMYFUNCTION("GOOGLETRANSLATE(A12330, ""en"", ""mt"")"),"aktar minn 400")</f>
        <v>aktar minn 400</v>
      </c>
    </row>
    <row r="12331" ht="15.75" customHeight="1">
      <c r="A12331" s="2" t="s">
        <v>12331</v>
      </c>
      <c r="B12331" s="2" t="str">
        <f>IFERROR(__xludf.DUMMYFUNCTION("GOOGLETRANSLATE(A12331, ""en"", ""mt"")"),"X’għamel Sasse li xxandar lil Luther?")</f>
        <v>X’għamel Sasse li xxandar lil Luther?</v>
      </c>
    </row>
    <row r="12332" ht="15.75" customHeight="1">
      <c r="A12332" s="2" t="s">
        <v>12332</v>
      </c>
      <c r="B12332" s="2" t="str">
        <f>IFERROR(__xludf.DUMMYFUNCTION("GOOGLETRANSLATE(A12332, ""en"", ""mt"")"),"X'inhu l-Protokoll UserDatagram Gaurentee")</f>
        <v>X'inhu l-Protokoll UserDatagram Gaurentee</v>
      </c>
    </row>
    <row r="12333" ht="15.75" customHeight="1">
      <c r="A12333" s="2" t="s">
        <v>12333</v>
      </c>
      <c r="B12333" s="2" t="str">
        <f>IFERROR(__xludf.DUMMYFUNCTION("GOOGLETRANSLATE(A12333, ""en"", ""mt"")"),"X'kien is-salarju ta 'konsulent ta' kull xahar ta 'Tesla?")</f>
        <v>X'kien is-salarju ta 'konsulent ta' kull xahar ta 'Tesla?</v>
      </c>
    </row>
    <row r="12334" ht="15.75" customHeight="1">
      <c r="A12334" s="2" t="s">
        <v>12334</v>
      </c>
      <c r="B12334" s="2" t="str">
        <f>IFERROR(__xludf.DUMMYFUNCTION("GOOGLETRANSLATE(A12334, ""en"", ""mt"")"),"l-ID tal-konnessjoni f'tabella")</f>
        <v>l-ID tal-konnessjoni f'tabella</v>
      </c>
    </row>
    <row r="12335" ht="15.75" customHeight="1">
      <c r="A12335" s="2" t="s">
        <v>12335</v>
      </c>
      <c r="B12335" s="2" t="str">
        <f>IFERROR(__xludf.DUMMYFUNCTION("GOOGLETRANSLATE(A12335, ""en"", ""mt"")"),"il-prinċipji taċ-ċertezza legali u l-fidi tajba")</f>
        <v>il-prinċipji taċ-ċertezza legali u l-fidi tajba</v>
      </c>
    </row>
    <row r="12336" ht="15.75" customHeight="1">
      <c r="A12336" s="2" t="s">
        <v>12336</v>
      </c>
      <c r="B12336" s="2" t="str">
        <f>IFERROR(__xludf.DUMMYFUNCTION("GOOGLETRANSLATE(A12336, ""en"", ""mt"")"),"Nodi Intermedji tan-Netwerk bl-Asinkronikament bl-Użu ta 'First-In, First-Out Buffering")</f>
        <v>Nodi Intermedji tan-Netwerk bl-Asinkronikament bl-Użu ta 'First-In, First-Out Buffering</v>
      </c>
    </row>
    <row r="12337" ht="15.75" customHeight="1">
      <c r="A12337" s="2" t="s">
        <v>12337</v>
      </c>
      <c r="B12337" s="2" t="str">
        <f>IFERROR(__xludf.DUMMYFUNCTION("GOOGLETRANSLATE(A12337, ""en"", ""mt"")"),"""Ċittadinanza""")</f>
        <v>"Ċittadinanza"</v>
      </c>
    </row>
    <row r="12338" ht="15.75" customHeight="1">
      <c r="A12338" s="2" t="s">
        <v>12338</v>
      </c>
      <c r="B12338" s="2" t="str">
        <f>IFERROR(__xludf.DUMMYFUNCTION("GOOGLETRANSLATE(A12338, ""en"", ""mt"")"),"Id-Dipartiment għall-Kultura, il-Midja u l-Isport")</f>
        <v>Id-Dipartiment għall-Kultura, il-Midja u l-Isport</v>
      </c>
    </row>
    <row r="12339" ht="15.75" customHeight="1">
      <c r="A12339" s="2" t="s">
        <v>12339</v>
      </c>
      <c r="B12339" s="2" t="str">
        <f>IFERROR(__xludf.DUMMYFUNCTION("GOOGLETRANSLATE(A12339, ""en"", ""mt"")"),"Xi jfisser il-mudell ekonomiku u soċjali tal-Istati Uniti?")</f>
        <v>Xi jfisser il-mudell ekonomiku u soċjali tal-Istati Uniti?</v>
      </c>
    </row>
    <row r="12340" ht="15.75" customHeight="1">
      <c r="A12340" s="2" t="s">
        <v>12340</v>
      </c>
      <c r="B12340" s="2" t="str">
        <f>IFERROR(__xludf.DUMMYFUNCTION("GOOGLETRANSLATE(A12340, ""en"", ""mt"")"),"L-Istat Mughal")</f>
        <v>L-Istat Mughal</v>
      </c>
    </row>
    <row r="12341" ht="15.75" customHeight="1">
      <c r="A12341" s="2" t="s">
        <v>12341</v>
      </c>
      <c r="B12341" s="2" t="str">
        <f>IFERROR(__xludf.DUMMYFUNCTION("GOOGLETRANSLATE(A12341, ""en"", ""mt"")"),"unjoni doganali")</f>
        <v>unjoni doganali</v>
      </c>
    </row>
    <row r="12342" ht="15.75" customHeight="1">
      <c r="A12342" s="2" t="s">
        <v>12342</v>
      </c>
      <c r="B12342" s="2" t="str">
        <f>IFERROR(__xludf.DUMMYFUNCTION("GOOGLETRANSLATE(A12342, ""en"", ""mt"")"),"Il-kloroplasti huma wieħed minn ħafna tipi ta 'organelli fiċ-ċellula tal-pjanti. Huma meqjusa li oriġinaw minn ċjanobatterji permezz ta 'endosimbjożi - meta ċellola ewkarjotika ħakmet cyanobacterium fotosintetizzata li saret residenti permanenti fiċ-ċellu"&amp;"la. Il-mitokondrija huma maħsuba li kienu ġejjin minn avveniment simili, fejn inbela prokaryote aerobika. Din l-oriġini tal-kloroplasti ġiet issuġġerita l-ewwel darba mill-bijologu Russu Konstantin Mereschkowski fl-1905 wara li Andreas Schimper osserva fl"&amp;"-1883 li l-kloroplasti jixbħu mill-qrib iċ-ċjanobatterji. Il-kloroplasti jinstabu biss fil-pjanti u l-alka.")</f>
        <v>Il-kloroplasti huma wieħed minn ħafna tipi ta 'organelli fiċ-ċellula tal-pjanti. Huma meqjusa li oriġinaw minn ċjanobatterji permezz ta 'endosimbjożi - meta ċellola ewkarjotika ħakmet cyanobacterium fotosintetizzata li saret residenti permanenti fiċ-ċellula. Il-mitokondrija huma maħsuba li kienu ġejjin minn avveniment simili, fejn inbela prokaryote aerobika. Din l-oriġini tal-kloroplasti ġiet issuġġerita l-ewwel darba mill-bijologu Russu Konstantin Mereschkowski fl-1905 wara li Andreas Schimper osserva fl-1883 li l-kloroplasti jixbħu mill-qrib iċ-ċjanobatterji. Il-kloroplasti jinstabu biss fil-pjanti u l-alka.</v>
      </c>
    </row>
    <row r="12343" ht="15.75" customHeight="1">
      <c r="A12343" s="2" t="s">
        <v>12343</v>
      </c>
      <c r="B12343" s="2" t="str">
        <f>IFERROR(__xludf.DUMMYFUNCTION("GOOGLETRANSLATE(A12343, ""en"", ""mt"")"),"75 anniversarju")</f>
        <v>75 anniversarju</v>
      </c>
    </row>
    <row r="12344" ht="15.75" customHeight="1">
      <c r="A12344" s="2" t="s">
        <v>12344</v>
      </c>
      <c r="B12344" s="2" t="str">
        <f>IFERROR(__xludf.DUMMYFUNCTION("GOOGLETRANSLATE(A12344, ""en"", ""mt"")"),"In-nuqqas tagħha li tikkonsulta u ""intransigenza notorja""")</f>
        <v>In-nuqqas tagħha li tikkonsulta u "intransigenza notorja"</v>
      </c>
    </row>
    <row r="12345" ht="15.75" customHeight="1">
      <c r="A12345" s="2" t="s">
        <v>12345</v>
      </c>
      <c r="B12345" s="2" t="str">
        <f>IFERROR(__xludf.DUMMYFUNCTION("GOOGLETRANSLATE(A12345, ""en"", ""mt"")"),"Fl-1758 x'kien il-pjan ta 'Duc de Choiseul għal sforzi militari ffokati?")</f>
        <v>Fl-1758 x'kien il-pjan ta 'Duc de Choiseul għal sforzi militari ffokati?</v>
      </c>
    </row>
    <row r="12346" ht="15.75" customHeight="1">
      <c r="A12346" s="2" t="s">
        <v>12346</v>
      </c>
      <c r="B12346" s="2" t="str">
        <f>IFERROR(__xludf.DUMMYFUNCTION("GOOGLETRANSLATE(A12346, ""en"", ""mt"")"),"fraġli")</f>
        <v>fraġli</v>
      </c>
    </row>
    <row r="12347" ht="15.75" customHeight="1">
      <c r="A12347" s="2" t="s">
        <v>12347</v>
      </c>
      <c r="B12347" s="2" t="str">
        <f>IFERROR(__xludf.DUMMYFUNCTION("GOOGLETRANSLATE(A12347, ""en"", ""mt"")"),"Ekwazzjoni ta 'Schrödinger")</f>
        <v>Ekwazzjoni ta 'Schrödinger</v>
      </c>
    </row>
    <row r="12348" ht="15.75" customHeight="1">
      <c r="A12348" s="2" t="s">
        <v>12348</v>
      </c>
      <c r="B12348" s="2" t="str">
        <f>IFERROR(__xludf.DUMMYFUNCTION("GOOGLETRANSLATE(A12348, ""en"", ""mt"")"),"Avveniment ewlieni")</f>
        <v>Avveniment ewlieni</v>
      </c>
    </row>
    <row r="12349" ht="15.75" customHeight="1">
      <c r="A12349" s="2" t="s">
        <v>12349</v>
      </c>
      <c r="B12349" s="2" t="str">
        <f>IFERROR(__xludf.DUMMYFUNCTION("GOOGLETRANSLATE(A12349, ""en"", ""mt"")"),"ma jistax jinkiseb")</f>
        <v>ma jistax jinkiseb</v>
      </c>
    </row>
    <row r="12350" ht="15.75" customHeight="1">
      <c r="A12350" s="2" t="s">
        <v>12350</v>
      </c>
      <c r="B12350" s="2" t="str">
        <f>IFERROR(__xludf.DUMMYFUNCTION("GOOGLETRANSLATE(A12350, ""en"", ""mt"")"),"ċertifikazzjoni")</f>
        <v>ċertifikazzjoni</v>
      </c>
    </row>
    <row r="12351" ht="15.75" customHeight="1">
      <c r="A12351" s="2" t="s">
        <v>12351</v>
      </c>
      <c r="B12351" s="2" t="str">
        <f>IFERROR(__xludf.DUMMYFUNCTION("GOOGLETRANSLATE(A12351, ""en"", ""mt"")"),"X'tip ta 'magni kellu d-disinn tal-biplan?")</f>
        <v>X'tip ta 'magni kellu d-disinn tal-biplan?</v>
      </c>
    </row>
    <row r="12352" ht="15.75" customHeight="1">
      <c r="A12352" s="2" t="s">
        <v>12352</v>
      </c>
      <c r="B12352" s="2" t="str">
        <f>IFERROR(__xludf.DUMMYFUNCTION("GOOGLETRANSLATE(A12352, ""en"", ""mt"")"),"Minflok it-tassazzjoni, x'inhuma l-iskejjel privati ​​fil-biċċa l-kbira ffinanzjati?")</f>
        <v>Minflok it-tassazzjoni, x'inhuma l-iskejjel privati ​​fil-biċċa l-kbira ffinanzjati?</v>
      </c>
    </row>
    <row r="12353" ht="15.75" customHeight="1">
      <c r="A12353" s="2" t="s">
        <v>12353</v>
      </c>
      <c r="B12353" s="2" t="str">
        <f>IFERROR(__xludf.DUMMYFUNCTION("GOOGLETRANSLATE(A12353, ""en"", ""mt"")"),"Mekkaniżmi ta 'silenzjar ta' l-RNA")</f>
        <v>Mekkaniżmi ta 'silenzjar ta' l-RNA</v>
      </c>
    </row>
    <row r="12354" ht="15.75" customHeight="1">
      <c r="A12354" s="2" t="s">
        <v>12354</v>
      </c>
      <c r="B12354" s="2" t="str">
        <f>IFERROR(__xludf.DUMMYFUNCTION("GOOGLETRANSLATE(A12354, ""en"", ""mt"")"),"tliet ikliet kuljum")</f>
        <v>tliet ikliet kuljum</v>
      </c>
    </row>
    <row r="12355" ht="15.75" customHeight="1">
      <c r="A12355" s="2" t="s">
        <v>12355</v>
      </c>
      <c r="B12355" s="2" t="str">
        <f>IFERROR(__xludf.DUMMYFUNCTION("GOOGLETRANSLATE(A12355, ""en"", ""mt"")"),"It-telfa rapida u deċiżiva tat-truppi Għarab matul il-gwerra ta 'sitt ijiem mit-truppi Iżraeljani kienet tikkostitwixxi avveniment ċentrali fid-dinja Musulmana Għarbija. It-telfa flimkien ma 'staġnar ekonomiku fil-pajjiżi megħluba, ġiet akkużata fuq in-na"&amp;"zzjonaliżmu Għarbi sekulari tar-reġimi ta' tmexxija. Tnaqqis wieqaf u kostanti fil-popolarità u l-kredibilità tal-politika sekulari, soċjalista u nazzjonalista. Il-Ba'athism, is-soċjaliżmu Għarbi, u n-nazzjonaliżmu Għarbi sofrew, u movimenti Iżlamisti Dem"&amp;"okratiċi u anti-demokratiċi differenti ispirati minn Maududi u Sayyid Qutb kisbu art.")</f>
        <v>It-telfa rapida u deċiżiva tat-truppi Għarab matul il-gwerra ta 'sitt ijiem mit-truppi Iżraeljani kienet tikkostitwixxi avveniment ċentrali fid-dinja Musulmana Għarbija. It-telfa flimkien ma 'staġnar ekonomiku fil-pajjiżi megħluba, ġiet akkużata fuq in-nazzjonaliżmu Għarbi sekulari tar-reġimi ta' tmexxija. Tnaqqis wieqaf u kostanti fil-popolarità u l-kredibilità tal-politika sekulari, soċjalista u nazzjonalista. Il-Ba'athism, is-soċjaliżmu Għarbi, u n-nazzjonaliżmu Għarbi sofrew, u movimenti Iżlamisti Demokratiċi u anti-demokratiċi differenti ispirati minn Maududi u Sayyid Qutb kisbu art.</v>
      </c>
    </row>
    <row r="12356" ht="15.75" customHeight="1">
      <c r="A12356" s="2" t="s">
        <v>12356</v>
      </c>
      <c r="B12356" s="2" t="str">
        <f>IFERROR(__xludf.DUMMYFUNCTION("GOOGLETRANSLATE(A12356, ""en"", ""mt"")"),"Ibqa '")</f>
        <v>Ibqa '</v>
      </c>
    </row>
    <row r="12357" ht="15.75" customHeight="1">
      <c r="A12357" s="2" t="s">
        <v>12357</v>
      </c>
      <c r="B12357" s="2" t="str">
        <f>IFERROR(__xludf.DUMMYFUNCTION("GOOGLETRANSLATE(A12357, ""en"", ""mt"")"),"Limitazzjonijiet prattiċi ta 'ħidma fil-foresta tropikali jfissru li l-kampjunar tad-dejta huwa preġudikat' il bogħod miċ-ċentru tal-baċin tal-Amażonja")</f>
        <v>Limitazzjonijiet prattiċi ta 'ħidma fil-foresta tropikali jfissru li l-kampjunar tad-dejta huwa preġudikat' il bogħod miċ-ċentru tal-baċin tal-Amażonja</v>
      </c>
    </row>
    <row r="12358" ht="15.75" customHeight="1">
      <c r="A12358" s="2" t="s">
        <v>12358</v>
      </c>
      <c r="B12358" s="2" t="str">
        <f>IFERROR(__xludf.DUMMYFUNCTION("GOOGLETRANSLATE(A12358, ""en"", ""mt"")"),"Titjib fid-Dar")</f>
        <v>Titjib fid-Dar</v>
      </c>
    </row>
    <row r="12359" ht="15.75" customHeight="1">
      <c r="A12359" s="2" t="s">
        <v>12359</v>
      </c>
      <c r="B12359" s="2" t="str">
        <f>IFERROR(__xludf.DUMMYFUNCTION("GOOGLETRANSLATE(A12359, ""en"", ""mt"")"),"Napuljun")</f>
        <v>Napuljun</v>
      </c>
    </row>
    <row r="12360" ht="15.75" customHeight="1">
      <c r="A12360" s="2" t="s">
        <v>12360</v>
      </c>
      <c r="B12360" s="2" t="str">
        <f>IFERROR(__xludf.DUMMYFUNCTION("GOOGLETRANSLATE(A12360, ""en"", ""mt"")"),"żoni dominanti")</f>
        <v>żoni dominanti</v>
      </c>
    </row>
    <row r="12361" ht="15.75" customHeight="1">
      <c r="A12361" s="2" t="s">
        <v>12361</v>
      </c>
      <c r="B12361" s="2" t="str">
        <f>IFERROR(__xludf.DUMMYFUNCTION("GOOGLETRANSLATE(A12361, ""en"", ""mt"")"),"Amazon")</f>
        <v>Amazon</v>
      </c>
    </row>
    <row r="12362" ht="15.75" customHeight="1">
      <c r="A12362" s="2" t="s">
        <v>12362</v>
      </c>
      <c r="B12362" s="2" t="str">
        <f>IFERROR(__xludf.DUMMYFUNCTION("GOOGLETRANSLATE(A12362, ""en"", ""mt"")"),"Xi jfisser il-mudell għall-kontijiet mgħoddija mill-Parlament Skoċċiż?")</f>
        <v>Xi jfisser il-mudell għall-kontijiet mgħoddija mill-Parlament Skoċċiż?</v>
      </c>
    </row>
    <row r="12363" ht="15.75" customHeight="1">
      <c r="A12363" s="2" t="s">
        <v>12363</v>
      </c>
      <c r="B12363" s="2" t="str">
        <f>IFERROR(__xludf.DUMMYFUNCTION("GOOGLETRANSLATE(A12363, ""en"", ""mt"")"),"Edukazzjoni Nisranija")</f>
        <v>Edukazzjoni Nisranija</v>
      </c>
    </row>
    <row r="12364" ht="15.75" customHeight="1">
      <c r="A12364" s="2" t="s">
        <v>12364</v>
      </c>
      <c r="B12364" s="2" t="str">
        <f>IFERROR(__xludf.DUMMYFUNCTION("GOOGLETRANSLATE(A12364, ""en"", ""mt"")"),"Il-bijodiversità tal-ispeċi tal-pjanti hija l-ogħla fid-dinja bi studju wieħed tal-2001 li jsib kwart ta ’kilometru kwadru (62 acres) tal-foresta tropikali Ekwadorjana jappoġġja aktar minn 1,100 speċi ta’ siġra. Studju fl-1999 sab kilometru kwadru wieħed "&amp;"(247 acres) ta 'Amazon Rainforest jista' jkun fih madwar 90,790 tunnellata ta 'pjanti ħajjin. Il-bijomassa medja tal-pjanti hija stmata għal 356 ± 47 tunnellata għal kull ettaru. Sal-lum, stmat li 438,000 speċi ta 'pjanti ta' interess ekonomiku u soċjali "&amp;"ġew irreġistrati fir-reġjun b'ħafna iktar li jibqgħu jiġu skoperti jew katalogati. In-numru totali ta 'speċi ta' siġar fir-reġjun huwa stmat għal 16,000.")</f>
        <v>Il-bijodiversità tal-ispeċi tal-pjanti hija l-ogħla fid-dinja bi studju wieħed tal-2001 li jsib kwart ta ’kilometru kwadru (62 acres) tal-foresta tropikali Ekwadorjana jappoġġja aktar minn 1,100 speċi ta’ siġra. Studju fl-1999 sab kilometru kwadru wieħed (247 acres) ta 'Amazon Rainforest jista' jkun fih madwar 90,790 tunnellata ta 'pjanti ħajjin. Il-bijomassa medja tal-pjanti hija stmata għal 356 ± 47 tunnellata għal kull ettaru. Sal-lum, stmat li 438,000 speċi ta 'pjanti ta' interess ekonomiku u soċjali ġew irreġistrati fir-reġjun b'ħafna iktar li jibqgħu jiġu skoperti jew katalogati. In-numru totali ta 'speċi ta' siġar fir-reġjun huwa stmat għal 16,000.</v>
      </c>
    </row>
    <row r="12365" ht="15.75" customHeight="1">
      <c r="A12365" s="2" t="s">
        <v>12365</v>
      </c>
      <c r="B12365" s="2" t="str">
        <f>IFERROR(__xludf.DUMMYFUNCTION("GOOGLETRANSLATE(A12365, ""en"", ""mt"")"),"Partit Liberali tal-Awstralja")</f>
        <v>Partit Liberali tal-Awstralja</v>
      </c>
    </row>
    <row r="12366" ht="15.75" customHeight="1">
      <c r="A12366" s="2" t="s">
        <v>12366</v>
      </c>
      <c r="B12366" s="2" t="str">
        <f>IFERROR(__xludf.DUMMYFUNCTION("GOOGLETRANSLATE(A12366, ""en"", ""mt"")"),"Kemm għandhom ħafna aurikoli?")</f>
        <v>Kemm għandhom ħafna aurikoli?</v>
      </c>
    </row>
    <row r="12367" ht="15.75" customHeight="1">
      <c r="A12367" s="2" t="s">
        <v>12367</v>
      </c>
      <c r="B12367" s="2" t="str">
        <f>IFERROR(__xludf.DUMMYFUNCTION("GOOGLETRANSLATE(A12367, ""en"", ""mt"")"),"Fejn id-daqsijiet tal-klassi tal-iskejjel huma tipikament 40 sa 50 student, iż-żamma tal-ordni fil-klassi tista 'tiddevja lill-għalliem mill-istruzzjoni, u tħalli ftit opportunità għal konċentrazzjoni u tiffoka fuq dak li qed jiġi mgħallem. Bi tweġiba, l-"&amp;"għalliema jistgħu jikkonċentraw l-attenzjoni tagħhom fuq studenti motivati, jinjoraw studenti li jfittxu l-attenzjoni u li jfixklu. Ir-riżultat ta 'dan huwa li studenti motivati, li jiffaċċjaw eżamijiet ta' dħul universitarji eżiġenti, jirċievu riżorsi sp"&amp;"roporzjonati. Minħabba l-enfasi fuq il-kisba ta 'postijiet universitarji, l-amministraturi u l-gvernaturi jistgħu jqisu din il-politika kif xieraq.")</f>
        <v>Fejn id-daqsijiet tal-klassi tal-iskejjel huma tipikament 40 sa 50 student, iż-żamma tal-ordni fil-klassi tista 'tiddevja lill-għalliem mill-istruzzjoni, u tħalli ftit opportunità għal konċentrazzjoni u tiffoka fuq dak li qed jiġi mgħallem. Bi tweġiba, l-għalliema jistgħu jikkonċentraw l-attenzjoni tagħhom fuq studenti motivati, jinjoraw studenti li jfittxu l-attenzjoni u li jfixklu. Ir-riżultat ta 'dan huwa li studenti motivati, li jiffaċċjaw eżamijiet ta' dħul universitarji eżiġenti, jirċievu riżorsi sproporzjonati. Minħabba l-enfasi fuq il-kisba ta 'postijiet universitarji, l-amministraturi u l-gvernaturi jistgħu jqisu din il-politika kif xieraq.</v>
      </c>
    </row>
    <row r="12368" ht="15.75" customHeight="1">
      <c r="A12368" s="2" t="s">
        <v>12368</v>
      </c>
      <c r="B12368" s="2" t="str">
        <f>IFERROR(__xludf.DUMMYFUNCTION("GOOGLETRANSLATE(A12368, ""en"", ""mt"")"),"X'inhi l-Knisja Metodista Magħquda?")</f>
        <v>X'inhi l-Knisja Metodista Magħquda?</v>
      </c>
    </row>
    <row r="12369" ht="15.75" customHeight="1">
      <c r="A12369" s="2" t="s">
        <v>12369</v>
      </c>
      <c r="B12369" s="2" t="str">
        <f>IFERROR(__xludf.DUMMYFUNCTION("GOOGLETRANSLATE(A12369, ""en"", ""mt"")"),"Fl-1882, Tesla bdiet taħdem għall-Kontinentali Edison Company fi Franza, tfassal u tagħmel titjib għal tagħmir elettriku. F'Ġunju tal-1884, huwa mar jgħix fi New York City: 57–60 fejn kien mikri minn Thomas Edison biex jaħdem fil-magna Edison tiegħu jaħde"&amp;"m fuq in-naħa tax-Xlokk ta 'Manhattan. Il-ħidma ta 'Tesla għal Edison bdiet b'inġinerija elettrika sempliċi u mxiet malajr biex issolvi problemi aktar diffiċli.")</f>
        <v>Fl-1882, Tesla bdiet taħdem għall-Kontinentali Edison Company fi Franza, tfassal u tagħmel titjib għal tagħmir elettriku. F'Ġunju tal-1884, huwa mar jgħix fi New York City: 57–60 fejn kien mikri minn Thomas Edison biex jaħdem fil-magna Edison tiegħu jaħdem fuq in-naħa tax-Xlokk ta 'Manhattan. Il-ħidma ta 'Tesla għal Edison bdiet b'inġinerija elettrika sempliċi u mxiet malajr biex issolvi problemi aktar diffiċli.</v>
      </c>
    </row>
    <row r="12370" ht="15.75" customHeight="1">
      <c r="A12370" s="2" t="s">
        <v>12370</v>
      </c>
      <c r="B12370" s="2" t="str">
        <f>IFERROR(__xludf.DUMMYFUNCTION("GOOGLETRANSLATE(A12370, ""en"", ""mt"")"),"X'tip ta 'edukazzjoni ġie vvalutat matul dan iż-żmien?")</f>
        <v>X'tip ta 'edukazzjoni ġie vvalutat matul dan iż-żmien?</v>
      </c>
    </row>
    <row r="12371" ht="15.75" customHeight="1">
      <c r="A12371" s="2" t="s">
        <v>12371</v>
      </c>
      <c r="B12371" s="2" t="str">
        <f>IFERROR(__xludf.DUMMYFUNCTION("GOOGLETRANSLATE(A12371, ""en"", ""mt"")"),"Microplates li jagħsru u jduru ħolqu l-karatteristiċi ta 'xiex?")</f>
        <v>Microplates li jagħsru u jduru ħolqu l-karatteristiċi ta 'xiex?</v>
      </c>
    </row>
    <row r="12372" ht="15.75" customHeight="1">
      <c r="A12372" s="2" t="s">
        <v>12372</v>
      </c>
      <c r="B12372" s="2" t="str">
        <f>IFERROR(__xludf.DUMMYFUNCTION("GOOGLETRANSLATE(A12372, ""en"", ""mt"")"),"Att dwar in-Naturalizzazzjoni ta 'Protestanti Barranin,")</f>
        <v>Att dwar in-Naturalizzazzjoni ta 'Protestanti Barranin,</v>
      </c>
    </row>
    <row r="12373" ht="15.75" customHeight="1">
      <c r="A12373" s="2" t="s">
        <v>12373</v>
      </c>
      <c r="B12373" s="2" t="str">
        <f>IFERROR(__xludf.DUMMYFUNCTION("GOOGLETRANSLATE(A12373, ""en"", ""mt"")"),"Fl-1937, waqt ikla fl-unur tiegħu rigward il-mewt Ray, Tesla ddikjarat, ""Iżda mhuwiex esperiment ... bnejt, wrejt u użajtha. Ftit ħin se jgħaddi biss qabel ma nista 'nagħtiha lid-dinja . "" Ir-rekords tiegħu jindikaw li l-apparat huwa bbażat fuq nixxiegħ"&amp;"a dejqa ta 'pritkuni żgħar tat-tungstenu li huma aċċellerati permezz ta' vultaġġ għoli (permezz ta 'l-istess mod għat-transformer tiegħu).")</f>
        <v>Fl-1937, waqt ikla fl-unur tiegħu rigward il-mewt Ray, Tesla ddikjarat, "Iżda mhuwiex esperiment ... bnejt, wrejt u użajtha. Ftit ħin se jgħaddi biss qabel ma nista 'nagħtiha lid-dinja . " Ir-rekords tiegħu jindikaw li l-apparat huwa bbażat fuq nixxiegħa dejqa ta 'pritkuni żgħar tat-tungstenu li huma aċċellerati permezz ta' vultaġġ għoli (permezz ta 'l-istess mod għat-transformer tiegħu).</v>
      </c>
    </row>
    <row r="12374" ht="15.75" customHeight="1">
      <c r="A12374" s="2" t="s">
        <v>12374</v>
      </c>
      <c r="B12374" s="2" t="str">
        <f>IFERROR(__xludf.DUMMYFUNCTION("GOOGLETRANSLATE(A12374, ""en"", ""mt"")"),"Levi's Stadium ta 'Levi ta' San Francisco Bay Area")</f>
        <v>Levi's Stadium ta 'Levi ta' San Francisco Bay Area</v>
      </c>
    </row>
    <row r="12375" ht="15.75" customHeight="1">
      <c r="A12375" s="2" t="s">
        <v>12375</v>
      </c>
      <c r="B12375" s="2" t="str">
        <f>IFERROR(__xludf.DUMMYFUNCTION("GOOGLETRANSLATE(A12375, ""en"", ""mt"")"),"preventiv")</f>
        <v>preventiv</v>
      </c>
    </row>
    <row r="12376" ht="15.75" customHeight="1">
      <c r="A12376" s="2" t="s">
        <v>12376</v>
      </c>
      <c r="B12376" s="2" t="str">
        <f>IFERROR(__xludf.DUMMYFUNCTION("GOOGLETRANSLATE(A12376, ""en"", ""mt"")"),"""Argument iblah"" u ""nuqqas ta 'ħruġ ... devjazzjoni.""")</f>
        <v>"Argument iblah" u "nuqqas ta 'ħruġ ... devjazzjoni."</v>
      </c>
    </row>
    <row r="12377" ht="15.75" customHeight="1">
      <c r="A12377" s="2" t="s">
        <v>12377</v>
      </c>
      <c r="B12377" s="2" t="str">
        <f>IFERROR(__xludf.DUMMYFUNCTION("GOOGLETRANSLATE(A12377, ""en"", ""mt"")"),"Politiku")</f>
        <v>Politiku</v>
      </c>
    </row>
    <row r="12378" ht="15.75" customHeight="1">
      <c r="A12378" s="2" t="s">
        <v>12378</v>
      </c>
      <c r="B12378" s="2" t="str">
        <f>IFERROR(__xludf.DUMMYFUNCTION("GOOGLETRANSLATE(A12378, ""en"", ""mt"")"),"Fiċ-ċiklu ta 'Rankine, f'liema l-ilma jinbidel meta jissaħħan?")</f>
        <v>Fiċ-ċiklu ta 'Rankine, f'liema l-ilma jinbidel meta jissaħħan?</v>
      </c>
    </row>
    <row r="12379" ht="15.75" customHeight="1">
      <c r="A12379" s="2" t="s">
        <v>12379</v>
      </c>
      <c r="B12379" s="2" t="str">
        <f>IFERROR(__xludf.DUMMYFUNCTION("GOOGLETRANSLATE(A12379, ""en"", ""mt"")"),"ċitotossiku jew immunosoppressiv")</f>
        <v>ċitotossiku jew immunosoppressiv</v>
      </c>
    </row>
    <row r="12380" ht="15.75" customHeight="1">
      <c r="A12380" s="2" t="s">
        <v>12380</v>
      </c>
      <c r="B12380" s="2" t="str">
        <f>IFERROR(__xludf.DUMMYFUNCTION("GOOGLETRANSLATE(A12380, ""en"", ""mt"")"),"is-servizzi kliniċi li l-ispiżjara jistgħu jipprovdu għall-pazjenti tagħhom")</f>
        <v>is-servizzi kliniċi li l-ispiżjara jistgħu jipprovdu għall-pazjenti tagħhom</v>
      </c>
    </row>
    <row r="12381" ht="15.75" customHeight="1">
      <c r="A12381" s="2" t="s">
        <v>12381</v>
      </c>
      <c r="B12381" s="2" t="str">
        <f>IFERROR(__xludf.DUMMYFUNCTION("GOOGLETRANSLATE(A12381, ""en"", ""mt"")"),"Għal min kien imħasseb Luther dwar Mansfeld?")</f>
        <v>Għal min kien imħasseb Luther dwar Mansfeld?</v>
      </c>
    </row>
    <row r="12382" ht="15.75" customHeight="1">
      <c r="A12382" s="2" t="s">
        <v>12382</v>
      </c>
      <c r="B12382" s="2" t="str">
        <f>IFERROR(__xludf.DUMMYFUNCTION("GOOGLETRANSLATE(A12382, ""en"", ""mt"")"),"Qabel l-Ewwel Gwerra Dinjija")</f>
        <v>Qabel l-Ewwel Gwerra Dinjija</v>
      </c>
    </row>
    <row r="12383" ht="15.75" customHeight="1">
      <c r="A12383" s="2" t="s">
        <v>12383</v>
      </c>
      <c r="B12383" s="2" t="str">
        <f>IFERROR(__xludf.DUMMYFUNCTION("GOOGLETRANSLATE(A12383, ""en"", ""mt"")"),"manniista")</f>
        <v>manniista</v>
      </c>
    </row>
    <row r="12384" ht="15.75" customHeight="1">
      <c r="A12384" s="2" t="s">
        <v>12384</v>
      </c>
      <c r="B12384" s="2" t="str">
        <f>IFERROR(__xludf.DUMMYFUNCTION("GOOGLETRANSLATE(A12384, ""en"", ""mt"")"),"X'kien l-isem tal-ewwel soluzzjoni Ġermaniża?")</f>
        <v>X'kien l-isem tal-ewwel soluzzjoni Ġermaniża?</v>
      </c>
    </row>
    <row r="12385" ht="15.75" customHeight="1">
      <c r="A12385" s="2" t="s">
        <v>12385</v>
      </c>
      <c r="B12385" s="2" t="str">
        <f>IFERROR(__xludf.DUMMYFUNCTION("GOOGLETRANSLATE(A12385, ""en"", ""mt"")"),"Xogħlijiet pubbliċi kbar, digi, pontijiet, awtostradi, ilma / ilma tad-drenaġġ u utilità huma taħt liema settur tal-kostruzzjoni?")</f>
        <v>Xogħlijiet pubbliċi kbar, digi, pontijiet, awtostradi, ilma / ilma tad-drenaġġ u utilità huma taħt liema settur tal-kostruzzjoni?</v>
      </c>
    </row>
    <row r="12386" ht="15.75" customHeight="1">
      <c r="A12386" s="2" t="s">
        <v>12386</v>
      </c>
      <c r="B12386" s="2" t="str">
        <f>IFERROR(__xludf.DUMMYFUNCTION("GOOGLETRANSLATE(A12386, ""en"", ""mt"")"),"it-tabib tal-gwerra")</f>
        <v>it-tabib tal-gwerra</v>
      </c>
    </row>
    <row r="12387" ht="15.75" customHeight="1">
      <c r="A12387" s="2" t="s">
        <v>12387</v>
      </c>
      <c r="B12387" s="2" t="str">
        <f>IFERROR(__xludf.DUMMYFUNCTION("GOOGLETRANSLATE(A12387, ""en"", ""mt"")"),"Il-faċċata ewlenija, mibnija minn Red Brick u Portland Stone, tinfirex 720 pied (220 m) tul il-Ġonna ta ’Cromwell u kienet iddisinjata minn Aston Webb wara li rebħet kompetizzjoni fl-1891 biex testendi l-mużew. Il-kostruzzjoni saret bejn l-1899 u l-1909. "&amp;"Stilistikament huwa ibridu stramb, għalkemm ħafna mid-dettall jappartjeni għar-Rinaxximent hemm influwenzi medjevali fuq ix-xogħol. Id-daħla ewlenija li tikkonsisti f'serje ta 'arkati baxxi sostnuti minn kolonni u niċeċ irqaq b'bibien ġemellati separati m"&amp;"inn Pier hija fil-forma Rumanika iżda klassika fid-dettall. Bl-istess mod it-torri 'l fuq mid-daħla ewlenija għandu kuruna ta' xogħol miftuħa megħlub minn statwa ta 'fama, karatteristika ta' arkitettura Gotika tard u karatteristika komuni fl-Iskozja, iżda"&amp;" d-dettall huwa klassiku. It-twieqi ewlenin għall-galleriji huma wkoll imxerrda u trażomi, għal darb'oħra karatteristika Gotika, l-aqwa ringiela tat-twieqi huma mxerrda ma 'statwi ta' ħafna mill-artisti Ingliżi li x-xogħol tagħhom huwa muri fil-mużew.")</f>
        <v>Il-faċċata ewlenija, mibnija minn Red Brick u Portland Stone, tinfirex 720 pied (220 m) tul il-Ġonna ta ’Cromwell u kienet iddisinjata minn Aston Webb wara li rebħet kompetizzjoni fl-1891 biex testendi l-mużew. Il-kostruzzjoni saret bejn l-1899 u l-1909. Stilistikament huwa ibridu stramb, għalkemm ħafna mid-dettall jappartjeni għar-Rinaxximent hemm influwenzi medjevali fuq ix-xogħol. Id-daħla ewlenija li tikkonsisti f'serje ta 'arkati baxxi sostnuti minn kolonni u niċeċ irqaq b'bibien ġemellati separati minn Pier hija fil-forma Rumanika iżda klassika fid-dettall. Bl-istess mod it-torri 'l fuq mid-daħla ewlenija għandu kuruna ta' xogħol miftuħa megħlub minn statwa ta 'fama, karatteristika ta' arkitettura Gotika tard u karatteristika komuni fl-Iskozja, iżda d-dettall huwa klassiku. It-twieqi ewlenin għall-galleriji huma wkoll imxerrda u trażomi, għal darb'oħra karatteristika Gotika, l-aqwa ringiela tat-twieqi huma mxerrda ma 'statwi ta' ħafna mill-artisti Ingliżi li x-xogħol tagħhom huwa muri fil-mużew.</v>
      </c>
    </row>
    <row r="12388" ht="15.75" customHeight="1">
      <c r="A12388" s="2" t="s">
        <v>12388</v>
      </c>
      <c r="B12388" s="2" t="str">
        <f>IFERROR(__xludf.DUMMYFUNCTION("GOOGLETRANSLATE(A12388, ""en"", ""mt"")"),"soċjalment")</f>
        <v>soċjalment</v>
      </c>
    </row>
    <row r="12389" ht="15.75" customHeight="1">
      <c r="A12389" s="2" t="s">
        <v>12389</v>
      </c>
      <c r="B12389" s="2" t="str">
        <f>IFERROR(__xludf.DUMMYFUNCTION("GOOGLETRANSLATE(A12389, ""en"", ""mt"")"),"Il-liġi tat-trasport tippermetti lill-inġenji tal-ajru personali jaqsmu t-toroq ma 'xiex?")</f>
        <v>Il-liġi tat-trasport tippermetti lill-inġenji tal-ajru personali jaqsmu t-toroq ma 'xiex?</v>
      </c>
    </row>
    <row r="12390" ht="15.75" customHeight="1">
      <c r="A12390" s="2" t="s">
        <v>12390</v>
      </c>
      <c r="B12390" s="2" t="str">
        <f>IFERROR(__xludf.DUMMYFUNCTION("GOOGLETRANSLATE(A12390, ""en"", ""mt"")"),"Puente Hills")</f>
        <v>Puente Hills</v>
      </c>
    </row>
    <row r="12391" ht="15.75" customHeight="1">
      <c r="A12391" s="2" t="s">
        <v>12391</v>
      </c>
      <c r="B12391" s="2" t="str">
        <f>IFERROR(__xludf.DUMMYFUNCTION("GOOGLETRANSLATE(A12391, ""en"", ""mt"")"),"il-għajn tagħhom")</f>
        <v>il-għajn tagħhom</v>
      </c>
    </row>
    <row r="12392" ht="15.75" customHeight="1">
      <c r="A12392" s="2" t="s">
        <v>12392</v>
      </c>
      <c r="B12392" s="2" t="str">
        <f>IFERROR(__xludf.DUMMYFUNCTION("GOOGLETRANSLATE(A12392, ""en"", ""mt"")"),"Festival tal-Gran Brittanja (1951)")</f>
        <v>Festival tal-Gran Brittanja (1951)</v>
      </c>
    </row>
    <row r="12393" ht="15.75" customHeight="1">
      <c r="A12393" s="2" t="s">
        <v>12393</v>
      </c>
      <c r="B12393" s="2" t="str">
        <f>IFERROR(__xludf.DUMMYFUNCTION("GOOGLETRANSLATE(A12393, ""en"", ""mt"")"),"Stati ta 'mard kroniku u kumpless bħal kanċer, epatite, u artrite rewmatojde")</f>
        <v>Stati ta 'mard kroniku u kumpless bħal kanċer, epatite, u artrite rewmatojde</v>
      </c>
    </row>
    <row r="12394" ht="15.75" customHeight="1">
      <c r="A12394" s="2" t="s">
        <v>12394</v>
      </c>
      <c r="B12394" s="2" t="str">
        <f>IFERROR(__xludf.DUMMYFUNCTION("GOOGLETRANSLATE(A12394, ""en"", ""mt"")"),"ossiġnu u idroġenu")</f>
        <v>ossiġnu u idroġenu</v>
      </c>
    </row>
    <row r="12395" ht="15.75" customHeight="1">
      <c r="A12395" s="2" t="s">
        <v>12395</v>
      </c>
      <c r="B12395" s="2" t="str">
        <f>IFERROR(__xludf.DUMMYFUNCTION("GOOGLETRANSLATE(A12395, ""en"", ""mt"")"),"Iċ-ċelloli dendritiċi jippreżentaw antiġeni għal liema ċelloli tas-sistema nervuża adattiva?")</f>
        <v>Iċ-ċelloli dendritiċi jippreżentaw antiġeni għal liema ċelloli tas-sistema nervuża adattiva?</v>
      </c>
    </row>
    <row r="12396" ht="15.75" customHeight="1">
      <c r="A12396" s="2" t="s">
        <v>12396</v>
      </c>
      <c r="B12396" s="2" t="str">
        <f>IFERROR(__xludf.DUMMYFUNCTION("GOOGLETRANSLATE(A12396, ""en"", ""mt"")"),"maltempata")</f>
        <v>maltempata</v>
      </c>
    </row>
    <row r="12397" ht="15.75" customHeight="1">
      <c r="A12397" s="2" t="s">
        <v>12397</v>
      </c>
      <c r="B12397" s="2" t="str">
        <f>IFERROR(__xludf.DUMMYFUNCTION("GOOGLETRANSLATE(A12397, ""en"", ""mt"")"),"Algoritmi Randomizzati")</f>
        <v>Algoritmi Randomizzati</v>
      </c>
    </row>
    <row r="12398" ht="15.75" customHeight="1">
      <c r="A12398" s="2" t="s">
        <v>12398</v>
      </c>
      <c r="B12398" s="2" t="str">
        <f>IFERROR(__xludf.DUMMYFUNCTION("GOOGLETRANSLATE(A12398, ""en"", ""mt"")"),"klassijiet ta 'konferma u preparazzjoni tas-sħubija")</f>
        <v>klassijiet ta 'konferma u preparazzjoni tas-sħubija</v>
      </c>
    </row>
    <row r="12399" ht="15.75" customHeight="1">
      <c r="A12399" s="2" t="s">
        <v>12399</v>
      </c>
      <c r="B12399" s="2" t="str">
        <f>IFERROR(__xludf.DUMMYFUNCTION("GOOGLETRANSLATE(A12399, ""en"", ""mt"")"),"Membri tribali li jgħixu fil-foresti tropikali ta 'liema reġjun qed jużaw Google Earth?")</f>
        <v>Membri tribali li jgħixu fil-foresti tropikali ta 'liema reġjun qed jużaw Google Earth?</v>
      </c>
    </row>
    <row r="12400" ht="15.75" customHeight="1">
      <c r="A12400" s="2" t="s">
        <v>12400</v>
      </c>
      <c r="B12400" s="2" t="str">
        <f>IFERROR(__xludf.DUMMYFUNCTION("GOOGLETRANSLATE(A12400, ""en"", ""mt"")"),"Sal-199 kemm kienu konnessi universitajiet")</f>
        <v>Sal-199 kemm kienu konnessi universitajiet</v>
      </c>
    </row>
    <row r="12401" ht="15.75" customHeight="1">
      <c r="A12401" s="2" t="s">
        <v>12401</v>
      </c>
      <c r="B12401" s="2" t="str">
        <f>IFERROR(__xludf.DUMMYFUNCTION("GOOGLETRANSLATE(A12401, ""en"", ""mt"")"),"Ħdejn Chur, liema direzzjoni jdur ir-Rhine?")</f>
        <v>Ħdejn Chur, liema direzzjoni jdur ir-Rhine?</v>
      </c>
    </row>
    <row r="12402" ht="15.75" customHeight="1">
      <c r="A12402" s="2" t="s">
        <v>12402</v>
      </c>
      <c r="B12402" s="2" t="str">
        <f>IFERROR(__xludf.DUMMYFUNCTION("GOOGLETRANSLATE(A12402, ""en"", ""mt"")"),"X'għamel Filippu li nixtieq nagħmel madwar l-1539?")</f>
        <v>X'għamel Filippu li nixtieq nagħmel madwar l-1539?</v>
      </c>
    </row>
    <row r="12403" ht="15.75" customHeight="1">
      <c r="A12403" s="2" t="s">
        <v>12403</v>
      </c>
      <c r="B12403" s="2" t="str">
        <f>IFERROR(__xludf.DUMMYFUNCTION("GOOGLETRANSLATE(A12403, ""en"", ""mt"")"),"Kemm kien komuni ta 'tip ta' kastig korporali fl-iskejjel?")</f>
        <v>Kemm kien komuni ta 'tip ta' kastig korporali fl-iskejjel?</v>
      </c>
    </row>
    <row r="12404" ht="15.75" customHeight="1">
      <c r="A12404" s="2" t="s">
        <v>12404</v>
      </c>
      <c r="B12404" s="2" t="str">
        <f>IFERROR(__xludf.DUMMYFUNCTION("GOOGLETRANSLATE(A12404, ""en"", ""mt"")"),"Kummerċ, skola u gvern")</f>
        <v>Kummerċ, skola u gvern</v>
      </c>
    </row>
    <row r="12405" ht="15.75" customHeight="1">
      <c r="A12405" s="2" t="s">
        <v>12405</v>
      </c>
      <c r="B12405" s="2" t="str">
        <f>IFERROR(__xludf.DUMMYFUNCTION("GOOGLETRANSLATE(A12405, ""en"", ""mt"")"),"L-ormoni jistgħu jaġixxu bħala immunomodulaturi, u jbiddlu s-sensittività tas-sistema immunitarja. Pereżempju, l-ormoni tas-sess femminili huma immunostimulaturi magħrufa kemm ta 'risponsi immuni adattivi kif ukoll innati. Xi mard awtoimmuni bħal lupus er"&amp;"itematos jolqot lin-nisa b'mod preferenzjali, u l-bidu tagħhom spiss jikkoinċidi mal-pubertà. B'kuntrast, ormoni tas-sess maskili bħal testosterone jidhru li huma immunosoppressivi. Ormoni oħra jidhru li jirregolaw is-sistema immuni wkoll, l-aktar prolact"&amp;"in, ormon tat-tkabbir u vitamina D.")</f>
        <v>L-ormoni jistgħu jaġixxu bħala immunomodulaturi, u jbiddlu s-sensittività tas-sistema immunitarja. Pereżempju, l-ormoni tas-sess femminili huma immunostimulaturi magħrufa kemm ta 'risponsi immuni adattivi kif ukoll innati. Xi mard awtoimmuni bħal lupus eritematos jolqot lin-nisa b'mod preferenzjali, u l-bidu tagħhom spiss jikkoinċidi mal-pubertà. B'kuntrast, ormoni tas-sess maskili bħal testosterone jidhru li huma immunosoppressivi. Ormoni oħra jidhru li jirregolaw is-sistema immuni wkoll, l-aktar prolactin, ormon tat-tkabbir u vitamina D.</v>
      </c>
    </row>
    <row r="12406" ht="15.75" customHeight="1">
      <c r="A12406" s="2" t="s">
        <v>12406</v>
      </c>
      <c r="B12406" s="2" t="str">
        <f>IFERROR(__xludf.DUMMYFUNCTION("GOOGLETRANSLATE(A12406, ""en"", ""mt"")"),"Dettalji speċifiċi tal-mudell komputazzjonali użat")</f>
        <v>Dettalji speċifiċi tal-mudell komputazzjonali użat</v>
      </c>
    </row>
    <row r="12407" ht="15.75" customHeight="1">
      <c r="A12407" s="2" t="s">
        <v>12407</v>
      </c>
      <c r="B12407" s="2" t="str">
        <f>IFERROR(__xludf.DUMMYFUNCTION("GOOGLETRANSLATE(A12407, ""en"", ""mt"")"),"Kostruzzjoni ta 'toroq militari lejn iż-żona minn Braddock u Forbes")</f>
        <v>Kostruzzjoni ta 'toroq militari lejn iż-żona minn Braddock u Forbes</v>
      </c>
    </row>
    <row r="12408" ht="15.75" customHeight="1">
      <c r="A12408" s="2" t="s">
        <v>12408</v>
      </c>
      <c r="B12408" s="2" t="str">
        <f>IFERROR(__xludf.DUMMYFUNCTION("GOOGLETRANSLATE(A12408, ""en"", ""mt"")"),"X'tip ta 'dixxiplina jridu jaraw il-kritiċi?")</f>
        <v>X'tip ta 'dixxiplina jridu jaraw il-kritiċi?</v>
      </c>
    </row>
    <row r="12409" ht="15.75" customHeight="1">
      <c r="A12409" s="2" t="s">
        <v>12409</v>
      </c>
      <c r="B12409" s="2" t="str">
        <f>IFERROR(__xludf.DUMMYFUNCTION("GOOGLETRANSLATE(A12409, ""en"", ""mt"")"),"nomadi u b'hekk ma kellhom l-ebda esperjenza li tirregola l-ibliet")</f>
        <v>nomadi u b'hekk ma kellhom l-ebda esperjenza li tirregola l-ibliet</v>
      </c>
    </row>
    <row r="12410" ht="15.75" customHeight="1">
      <c r="A12410" s="2" t="s">
        <v>12410</v>
      </c>
      <c r="B12410" s="2" t="str">
        <f>IFERROR(__xludf.DUMMYFUNCTION("GOOGLETRANSLATE(A12410, ""en"", ""mt"")"),"Interi Gaussjani Z [i],")</f>
        <v>Interi Gaussjani Z [i],</v>
      </c>
    </row>
    <row r="12411" ht="15.75" customHeight="1">
      <c r="A12411" s="2" t="s">
        <v>12411</v>
      </c>
      <c r="B12411" s="2" t="str">
        <f>IFERROR(__xludf.DUMMYFUNCTION("GOOGLETRANSLATE(A12411, ""en"", ""mt"")"),"jonqos")</f>
        <v>jonqos</v>
      </c>
    </row>
    <row r="12412" ht="15.75" customHeight="1">
      <c r="A12412" s="2" t="s">
        <v>12412</v>
      </c>
      <c r="B12412" s="2" t="str">
        <f>IFERROR(__xludf.DUMMYFUNCTION("GOOGLETRANSLATE(A12412, ""en"", ""mt"")"),"il-kolja Tesla")</f>
        <v>il-kolja Tesla</v>
      </c>
    </row>
    <row r="12413" ht="15.75" customHeight="1">
      <c r="A12413" s="2" t="s">
        <v>12413</v>
      </c>
      <c r="B12413" s="2" t="str">
        <f>IFERROR(__xludf.DUMMYFUNCTION("GOOGLETRANSLATE(A12413, ""en"", ""mt"")"),"medja ta ’182 miljun")</f>
        <v>medja ta ’182 miljun</v>
      </c>
    </row>
    <row r="12414" ht="15.75" customHeight="1">
      <c r="A12414" s="2" t="s">
        <v>12414</v>
      </c>
      <c r="B12414" s="2" t="str">
        <f>IFERROR(__xludf.DUMMYFUNCTION("GOOGLETRANSLATE(A12414, ""en"", ""mt"")"),"Minn liema lingwa toriġina ""hoy""?")</f>
        <v>Minn liema lingwa toriġina "hoy"?</v>
      </c>
    </row>
    <row r="12415" ht="15.75" customHeight="1">
      <c r="A12415" s="2" t="s">
        <v>12415</v>
      </c>
      <c r="B12415" s="2" t="str">
        <f>IFERROR(__xludf.DUMMYFUNCTION("GOOGLETRANSLATE(A12415, ""en"", ""mt"")"),"Kemm hemm tipi ta 'thylakoids?")</f>
        <v>Kemm hemm tipi ta 'thylakoids?</v>
      </c>
    </row>
    <row r="12416" ht="15.75" customHeight="1">
      <c r="A12416" s="2" t="s">
        <v>12416</v>
      </c>
      <c r="B12416" s="2" t="str">
        <f>IFERROR(__xludf.DUMMYFUNCTION("GOOGLETRANSLATE(A12416, ""en"", ""mt"")"),"Valur marġinali miżjud ta 'kull attur ekonomiku")</f>
        <v>Valur marġinali miżjud ta 'kull attur ekonomiku</v>
      </c>
    </row>
    <row r="12417" ht="15.75" customHeight="1">
      <c r="A12417" s="2" t="s">
        <v>12417</v>
      </c>
      <c r="B12417" s="2" t="str">
        <f>IFERROR(__xludf.DUMMYFUNCTION("GOOGLETRANSLATE(A12417, ""en"", ""mt"")"),"protezzjoni u integra l-membri tagħha fit-tribù tiegħu stess.")</f>
        <v>protezzjoni u integra l-membri tagħha fit-tribù tiegħu stess.</v>
      </c>
    </row>
    <row r="12418" ht="15.75" customHeight="1">
      <c r="A12418" s="2" t="s">
        <v>12418</v>
      </c>
      <c r="B12418" s="2" t="str">
        <f>IFERROR(__xludf.DUMMYFUNCTION("GOOGLETRANSLATE(A12418, ""en"", ""mt"")"),"għolla driegħu")</f>
        <v>għolla driegħu</v>
      </c>
    </row>
    <row r="12419" ht="15.75" customHeight="1">
      <c r="A12419" s="2" t="s">
        <v>12419</v>
      </c>
      <c r="B12419" s="2" t="str">
        <f>IFERROR(__xludf.DUMMYFUNCTION("GOOGLETRANSLATE(A12419, ""en"", ""mt"")"),"6 ta 'Diċembru 1989")</f>
        <v>6 ta 'Diċembru 1989</v>
      </c>
    </row>
    <row r="12420" ht="15.75" customHeight="1">
      <c r="A12420" s="2" t="s">
        <v>12420</v>
      </c>
      <c r="B12420" s="2" t="str">
        <f>IFERROR(__xludf.DUMMYFUNCTION("GOOGLETRANSLATE(A12420, ""en"", ""mt"")"),"WZZM u WOTV")</f>
        <v>WZZM u WOTV</v>
      </c>
    </row>
    <row r="12421" ht="15.75" customHeight="1">
      <c r="A12421" s="2" t="s">
        <v>12421</v>
      </c>
      <c r="B12421" s="2" t="str">
        <f>IFERROR(__xludf.DUMMYFUNCTION("GOOGLETRANSLATE(A12421, ""en"", ""mt"")"),"nofs is-snin 2000")</f>
        <v>nofs is-snin 2000</v>
      </c>
    </row>
    <row r="12422" ht="15.75" customHeight="1">
      <c r="A12422" s="2" t="s">
        <v>12422</v>
      </c>
      <c r="B12422" s="2" t="str">
        <f>IFERROR(__xludf.DUMMYFUNCTION("GOOGLETRANSLATE(A12422, ""en"", ""mt"")"),"l-isfruttament tal-assi u l-provvisti siewja tan-nazzjon li ġie maħkum")</f>
        <v>l-isfruttament tal-assi u l-provvisti siewja tan-nazzjon li ġie maħkum</v>
      </c>
    </row>
    <row r="12423" ht="15.75" customHeight="1">
      <c r="A12423" s="2" t="s">
        <v>12423</v>
      </c>
      <c r="B12423" s="2" t="str">
        <f>IFERROR(__xludf.DUMMYFUNCTION("GOOGLETRANSLATE(A12423, ""en"", ""mt"")"),"Abbonament ta 'kull xahar")</f>
        <v>Abbonament ta 'kull xahar</v>
      </c>
    </row>
    <row r="12424" ht="15.75" customHeight="1">
      <c r="A12424" s="2" t="s">
        <v>12424</v>
      </c>
      <c r="B12424" s="2" t="str">
        <f>IFERROR(__xludf.DUMMYFUNCTION("GOOGLETRANSLATE(A12424, ""en"", ""mt"")"),"bażi tat-taxxa tinħela")</f>
        <v>bażi tat-taxxa tinħela</v>
      </c>
    </row>
    <row r="12425" ht="15.75" customHeight="1">
      <c r="A12425" s="2" t="s">
        <v>12425</v>
      </c>
      <c r="B12425" s="2" t="str">
        <f>IFERROR(__xludf.DUMMYFUNCTION("GOOGLETRANSLATE(A12425, ""en"", ""mt"")"),"Prodott sekondarju matematiku tal-iskambju tal-momentum")</f>
        <v>Prodott sekondarju matematiku tal-iskambju tal-momentum</v>
      </c>
    </row>
    <row r="12426" ht="15.75" customHeight="1">
      <c r="A12426" s="2" t="s">
        <v>12426</v>
      </c>
      <c r="B12426" s="2" t="str">
        <f>IFERROR(__xludf.DUMMYFUNCTION("GOOGLETRANSLATE(A12426, ""en"", ""mt"")"),"Struttura Amministrattiva Lokali ta 'Dynasties Ċiniżi tal-passat")</f>
        <v>Struttura Amministrattiva Lokali ta 'Dynasties Ċiniżi tal-passat</v>
      </c>
    </row>
    <row r="12427" ht="15.75" customHeight="1">
      <c r="A12427" s="2" t="s">
        <v>12427</v>
      </c>
      <c r="B12427" s="2" t="str">
        <f>IFERROR(__xludf.DUMMYFUNCTION("GOOGLETRANSLATE(A12427, ""en"", ""mt"")"),"riċetturi ta 'immunoglobulina taċ-ċelloli qattiela (KIR")</f>
        <v>riċetturi ta 'immunoglobulina taċ-ċelloli qattiela (KIR</v>
      </c>
    </row>
    <row r="12428" ht="15.75" customHeight="1">
      <c r="A12428" s="2" t="s">
        <v>12428</v>
      </c>
      <c r="B12428" s="2" t="str">
        <f>IFERROR(__xludf.DUMMYFUNCTION("GOOGLETRANSLATE(A12428, ""en"", ""mt"")"),"Renu Romantiku")</f>
        <v>Renu Romantiku</v>
      </c>
    </row>
    <row r="12429" ht="15.75" customHeight="1">
      <c r="A12429" s="2" t="s">
        <v>12429</v>
      </c>
      <c r="B12429" s="2" t="str">
        <f>IFERROR(__xludf.DUMMYFUNCTION("GOOGLETRANSLATE(A12429, ""en"", ""mt"")"),"biex tissintetizza frazzjoni żgħira tal-proteini tagħhom")</f>
        <v>biex tissintetizza frazzjoni żgħira tal-proteini tagħhom</v>
      </c>
    </row>
    <row r="12430" ht="15.75" customHeight="1">
      <c r="A12430" s="2" t="s">
        <v>12430</v>
      </c>
      <c r="B12430" s="2" t="str">
        <f>IFERROR(__xludf.DUMMYFUNCTION("GOOGLETRANSLATE(A12430, ""en"", ""mt"")"),"Ħwawar oħra mhux elenkati")</f>
        <v>Ħwawar oħra mhux elenkati</v>
      </c>
    </row>
    <row r="12431" ht="15.75" customHeight="1">
      <c r="A12431" s="2" t="s">
        <v>12431</v>
      </c>
      <c r="B12431" s="2" t="str">
        <f>IFERROR(__xludf.DUMMYFUNCTION("GOOGLETRANSLATE(A12431, ""en"", ""mt"")"),"X'waqfet kwistjoni importanti fl-identità nazzjonali Skoċċiża għal ħafna snin?")</f>
        <v>X'waqfet kwistjoni importanti fl-identità nazzjonali Skoċċiża għal ħafna snin?</v>
      </c>
    </row>
    <row r="12432" ht="15.75" customHeight="1">
      <c r="A12432" s="2" t="s">
        <v>12432</v>
      </c>
      <c r="B12432" s="2" t="str">
        <f>IFERROR(__xludf.DUMMYFUNCTION("GOOGLETRANSLATE(A12432, ""en"", ""mt"")"),"Min jista 'jkun responsabbli għad-dixxiplina tal-istudenti?")</f>
        <v>Min jista 'jkun responsabbli għad-dixxiplina tal-istudenti?</v>
      </c>
    </row>
    <row r="12433" ht="15.75" customHeight="1">
      <c r="A12433" s="2" t="s">
        <v>12433</v>
      </c>
      <c r="B12433" s="2" t="str">
        <f>IFERROR(__xludf.DUMMYFUNCTION("GOOGLETRANSLATE(A12433, ""en"", ""mt"")"),"X'inhuma t-tmien priedki msejħa li l-Luther ippriedka f'Marzu 1522?")</f>
        <v>X'inhuma t-tmien priedki msejħa li l-Luther ippriedka f'Marzu 1522?</v>
      </c>
    </row>
    <row r="12434" ht="15.75" customHeight="1">
      <c r="A12434" s="2" t="s">
        <v>12434</v>
      </c>
      <c r="B12434" s="2" t="str">
        <f>IFERROR(__xludf.DUMMYFUNCTION("GOOGLETRANSLATE(A12434, ""en"", ""mt"")"),"Ajruport Internazzjonali ta 'San Diego")</f>
        <v>Ajruport Internazzjonali ta 'San Diego</v>
      </c>
    </row>
    <row r="12435" ht="15.75" customHeight="1">
      <c r="A12435" s="2" t="s">
        <v>12435</v>
      </c>
      <c r="B12435" s="2" t="str">
        <f>IFERROR(__xludf.DUMMYFUNCTION("GOOGLETRANSLATE(A12435, ""en"", ""mt"")"),"Dewweb")</f>
        <v>Dewweb</v>
      </c>
    </row>
    <row r="12436" ht="15.75" customHeight="1">
      <c r="A12436" s="2" t="s">
        <v>12436</v>
      </c>
      <c r="B12436" s="2" t="str">
        <f>IFERROR(__xludf.DUMMYFUNCTION("GOOGLETRANSLATE(A12436, ""en"", ""mt"")"),"Buddiżmu u Kristjaneżmu")</f>
        <v>Buddiżmu u Kristjaneżmu</v>
      </c>
    </row>
    <row r="12437" ht="15.75" customHeight="1">
      <c r="A12437" s="2" t="s">
        <v>12437</v>
      </c>
      <c r="B12437" s="2" t="str">
        <f>IFERROR(__xludf.DUMMYFUNCTION("GOOGLETRANSLATE(A12437, ""en"", ""mt"")"),"Luther għallem li s-salvazzjoni u sussegwentement il-ħajja ta ’dejjem ma tinqala’ mill-għemejjel tajbin imma hija riċevuta biss bħala rigal ħieles tal-grazzja ta ’Alla permezz tal-fidi f’Ġesù Kristu bħala li jifred mid-dnub. It-teoloġija tiegħu kkontestat"&amp;" l-awtorità u l-kariga tal-Papa billi tgħallem li l-Bibbja hija l-uniku sors ta ’għarfien divinament żvelat minn Alla u oppona s-sakerdotaliżmu billi kkunsidrat lill-insara mgħammdin kollha bħala saċerdozju qaddis. Dawk li jidentifikaw ma 'dawn, u t-tagħl"&amp;"im usa' ta 'Luther, huma msejħa Luterani minkejja li Luther insista fuq Kristjan jew Evanġeliku bħala l-uniċi ismijiet aċċettabbli għal individwi li jistqarru lil Kristu.")</f>
        <v>Luther għallem li s-salvazzjoni u sussegwentement il-ħajja ta ’dejjem ma tinqala’ mill-għemejjel tajbin imma hija riċevuta biss bħala rigal ħieles tal-grazzja ta ’Alla permezz tal-fidi f’Ġesù Kristu bħala li jifred mid-dnub. It-teoloġija tiegħu kkontestat l-awtorità u l-kariga tal-Papa billi tgħallem li l-Bibbja hija l-uniku sors ta ’għarfien divinament żvelat minn Alla u oppona s-sakerdotaliżmu billi kkunsidrat lill-insara mgħammdin kollha bħala saċerdozju qaddis. Dawk li jidentifikaw ma 'dawn, u t-tagħlim usa' ta 'Luther, huma msejħa Luterani minkejja li Luther insista fuq Kristjan jew Evanġeliku bħala l-uniċi ismijiet aċċettabbli għal individwi li jistqarru lil Kristu.</v>
      </c>
    </row>
    <row r="12438" ht="15.75" customHeight="1">
      <c r="A12438" s="2" t="s">
        <v>12438</v>
      </c>
      <c r="B12438" s="2" t="str">
        <f>IFERROR(__xludf.DUMMYFUNCTION("GOOGLETRANSLATE(A12438, ""en"", ""mt"")"),"Kulleġġ")</f>
        <v>Kulleġġ</v>
      </c>
    </row>
    <row r="12439" ht="15.75" customHeight="1">
      <c r="A12439" s="2" t="s">
        <v>12439</v>
      </c>
      <c r="B12439" s="2" t="str">
        <f>IFERROR(__xludf.DUMMYFUNCTION("GOOGLETRANSLATE(A12439, ""en"", ""mt"")"),"Ċittadella ta ’Varsavja")</f>
        <v>Ċittadella ta ’Varsavja</v>
      </c>
    </row>
    <row r="12440" ht="15.75" customHeight="1">
      <c r="A12440" s="2" t="s">
        <v>12440</v>
      </c>
      <c r="B12440" s="2" t="str">
        <f>IFERROR(__xludf.DUMMYFUNCTION("GOOGLETRANSLATE(A12440, ""en"", ""mt"")"),"L-Iskola Ortogenika ta 'Sonia Shankman")</f>
        <v>L-Iskola Ortogenika ta 'Sonia Shankman</v>
      </c>
    </row>
    <row r="12441" ht="15.75" customHeight="1">
      <c r="A12441" s="2" t="s">
        <v>12441</v>
      </c>
      <c r="B12441" s="2" t="str">
        <f>IFERROR(__xludf.DUMMYFUNCTION("GOOGLETRANSLATE(A12441, ""en"", ""mt"")"),"It-Tieni Repubblika")</f>
        <v>It-Tieni Repubblika</v>
      </c>
    </row>
    <row r="12442" ht="15.75" customHeight="1">
      <c r="A12442" s="2" t="s">
        <v>12442</v>
      </c>
      <c r="B12442" s="2" t="str">
        <f>IFERROR(__xludf.DUMMYFUNCTION("GOOGLETRANSLATE(A12442, ""en"", ""mt"")"),"Ix-xogħlijiet ewlenin l-oħra ta 'Luther fuq il-Lhud kienu t-trattat ta' 60,000 kelma tiegħu von den Juden und Ihren Lügen (fuq il-Lhud u l-gideb tagħhom), u Vom Schem Hamphoras und Vom Geschlecht Christi (fuq l-Isem Imqaddes u n-nisel ta 'Kristu), it-tnej"&amp;"n ippubblikati Fl-1543, tliet snin qabel mewtu. Luther argumenta li l-Lhud ma kinux aktar il-poplu magħżul iżda ""l-poplu tax-xitan"", u rrefera għalihom b'lingwa vjolenti u vili. Filwaqt li kkwota d-Dewteronomju 13, fejn Mosè jikkmanda l-qtil ta 'l-idola"&amp;"tri u l-ħruq tal-bliet u l-propjetà tagħhom bħala offerta lil Alla, Luther talab għal ""Scharfe Barmherzigkeit"" (""ħniena qawwija"") kontra l-Lhud ""biex tara jekk nistgħu niffrankaw l-inqas ftit mill-fjammi glowing. "" Luther favur l-iffissar ta 'sinago"&amp;"gi fuq in-nar, jeqred il-kotba tat-talb Lhudija, li jipprojbixxi lill-fniek milli jippriedka, jaħtfu l-propjetà u l-flus tal-Lhud, u jaqsmu djarhom, sabiex dawn id-dud ""imdaħħlin"" ikunu sfurzati jaħdmu jew jitkeċċew ""għall-ħin kollu"". Fil-fehma ta 'Ro"&amp;"bert Michael, il-kliem ta' Luther ""aħna t-tort li ma joqtlux"" ammontaw għal sanzjoni għall-qtil. ""Ir-rabja ta 'Alla magħhom hija tant intensa,"" ikkonkluda Luther, ""dik il-ħniena ġentili għandha tendenza li tagħmilhom agħar, filwaqt li l-ħniena qawwij"&amp;"a tirriformahom imma ftit. Għalhekk, fi kwalunkwe każ,' il bogħod magħhom!""")</f>
        <v>Ix-xogħlijiet ewlenin l-oħra ta 'Luther fuq il-Lhud kienu t-trattat ta' 60,000 kelma tiegħu von den Juden und Ihren Lügen (fuq il-Lhud u l-gideb tagħhom), u Vom Schem Hamphoras und Vom Geschlecht Christi (fuq l-Isem Imqaddes u n-nisel ta 'Kristu), it-tnejn ippubblikati Fl-1543, tliet snin qabel mewtu. Luther argumenta li l-Lhud ma kinux aktar il-poplu magħżul iżda "l-poplu tax-xitan", u rrefera għalihom b'lingwa vjolenti u vili. Filwaqt li kkwota d-Dewteronomju 13, fejn Mosè jikkmanda l-qtil ta 'l-idolatri u l-ħruq tal-bliet u l-propjetà tagħhom bħala offerta lil Alla, Luther talab għal "Scharfe Barmherzigkeit" ("ħniena qawwija") kontra l-Lhud "biex tara jekk nistgħu niffrankaw l-inqas ftit mill-fjammi glowing. " Luther favur l-iffissar ta 'sinagogi fuq in-nar, jeqred il-kotba tat-talb Lhudija, li jipprojbixxi lill-fniek milli jippriedka, jaħtfu l-propjetà u l-flus tal-Lhud, u jaqsmu djarhom, sabiex dawn id-dud "imdaħħlin" ikunu sfurzati jaħdmu jew jitkeċċew "għall-ħin kollu". Fil-fehma ta 'Robert Michael, il-kliem ta' Luther "aħna t-tort li ma joqtlux" ammontaw għal sanzjoni għall-qtil. "Ir-rabja ta 'Alla magħhom hija tant intensa," ikkonkluda Luther, "dik il-ħniena ġentili għandha tendenza li tagħmilhom agħar, filwaqt li l-ħniena qawwija tirriformahom imma ftit. Għalhekk, fi kwalunkwe każ,' il bogħod magħhom!"</v>
      </c>
    </row>
    <row r="12443" ht="15.75" customHeight="1">
      <c r="A12443" s="2" t="s">
        <v>12443</v>
      </c>
      <c r="B12443" s="2" t="str">
        <f>IFERROR(__xludf.DUMMYFUNCTION("GOOGLETRANSLATE(A12443, ""en"", ""mt"")"),"ħamrija fqira.")</f>
        <v>ħamrija fqira.</v>
      </c>
    </row>
    <row r="12444" ht="15.75" customHeight="1">
      <c r="A12444" s="2" t="s">
        <v>12444</v>
      </c>
      <c r="B12444" s="2" t="str">
        <f>IFERROR(__xludf.DUMMYFUNCTION("GOOGLETRANSLATE(A12444, ""en"", ""mt"")"),"Għandhom aktar assi finanzjarji mill-inqas 48 nazzjon flimkien.")</f>
        <v>Għandhom aktar assi finanzjarji mill-inqas 48 nazzjon flimkien.</v>
      </c>
    </row>
    <row r="12445" ht="15.75" customHeight="1">
      <c r="A12445" s="2" t="s">
        <v>12445</v>
      </c>
      <c r="B12445" s="2" t="str">
        <f>IFERROR(__xludf.DUMMYFUNCTION("GOOGLETRANSLATE(A12445, ""en"", ""mt"")"),"enerġija mekkanika")</f>
        <v>enerġija mekkanika</v>
      </c>
    </row>
    <row r="12446" ht="15.75" customHeight="1">
      <c r="A12446" s="2" t="s">
        <v>12446</v>
      </c>
      <c r="B12446" s="2" t="str">
        <f>IFERROR(__xludf.DUMMYFUNCTION("GOOGLETRANSLATE(A12446, ""en"", ""mt"")"),"Huguenot")</f>
        <v>Huguenot</v>
      </c>
    </row>
    <row r="12447" ht="15.75" customHeight="1">
      <c r="A12447" s="2" t="s">
        <v>12447</v>
      </c>
      <c r="B12447" s="2" t="str">
        <f>IFERROR(__xludf.DUMMYFUNCTION("GOOGLETRANSLATE(A12447, ""en"", ""mt"")"),"Id-drittijiet fundamentali, bħal fid-drittijiet tal-bniedem, ġew rikonoxxuti l-ewwel mill-Qorti Ewropea tal-Ġustizzja fl-aħħar tas-snin 60 u d-drittijiet fundamentali issa huma meqjusa bħala parti integrali tal-prinċipji ġenerali tal-liġi tal-Unjoni Ewrop"&amp;"ea. Bħala tali il-Qorti Ewropea tal-Ġustizzja hija marbuta li tiġbed l-ispirazzjoni mit-tradizzjonijiet kostituzzjonali komuni għall-Istati Membri. Għalhekk, il-Qorti Ewropea tal-Ġustizzja ma tistax iżżomm miżuri li huma inkompatibbli mad-drittijiet funda"&amp;"mentali rikonoxxuti u protetti fil-Kostituzzjonijiet ta 'l-Istati Membri. Il-Qorti Ewropea tal-Ġustizzja sabet ukoll li ""trattati internazzjonali għall-protezzjoni tad-drittijiet tal-bniedem li fuqhom ikkollaboraw l-Istati Membri jew li huma firmatarji, "&amp;"jistgħu jipprovdu linji gwida li għandhom jiġu segwiti fil-qafas tal-liġi tal-komunità.""")</f>
        <v>Id-drittijiet fundamentali, bħal fid-drittijiet tal-bniedem, ġew rikonoxxuti l-ewwel mill-Qorti Ewropea tal-Ġustizzja fl-aħħar tas-snin 60 u d-drittijiet fundamentali issa huma meqjusa bħala parti integrali tal-prinċipji ġenerali tal-liġi tal-Unjoni Ewropea. Bħala tali il-Qorti Ewropea tal-Ġustizzja hija marbuta li tiġbed l-ispirazzjoni mit-tradizzjonijiet kostituzzjonali komuni għall-Istati Membri. Għalhekk, il-Qorti Ewropea tal-Ġustizzja ma tistax iżżomm miżuri li huma inkompatibbli mad-drittijiet fundamentali rikonoxxuti u protetti fil-Kostituzzjonijiet ta 'l-Istati Membri. Il-Qorti Ewropea tal-Ġustizzja sabet ukoll li "trattati internazzjonali għall-protezzjoni tad-drittijiet tal-bniedem li fuqhom ikkollaboraw l-Istati Membri jew li huma firmatarji, jistgħu jipprovdu linji gwida li għandhom jiġu segwiti fil-qafas tal-liġi tal-komunità."</v>
      </c>
    </row>
    <row r="12448" ht="15.75" customHeight="1">
      <c r="A12448" s="2" t="s">
        <v>12448</v>
      </c>
      <c r="B12448" s="2" t="str">
        <f>IFERROR(__xludf.DUMMYFUNCTION("GOOGLETRANSLATE(A12448, ""en"", ""mt"")"),"Fergħat ġenetiċi")</f>
        <v>Fergħat ġenetiċi</v>
      </c>
    </row>
    <row r="12449" ht="15.75" customHeight="1">
      <c r="A12449" s="2" t="s">
        <v>12449</v>
      </c>
      <c r="B12449" s="2" t="str">
        <f>IFERROR(__xludf.DUMMYFUNCTION("GOOGLETRANSLATE(A12449, ""en"", ""mt"")"),"diski li jduru")</f>
        <v>diski li jduru</v>
      </c>
    </row>
    <row r="12450" ht="15.75" customHeight="1">
      <c r="A12450" s="2" t="s">
        <v>12450</v>
      </c>
      <c r="B12450" s="2" t="str">
        <f>IFERROR(__xludf.DUMMYFUNCTION("GOOGLETRANSLATE(A12450, ""en"", ""mt"")"),"Ħajja fuq Tyneside")</f>
        <v>Ħajja fuq Tyneside</v>
      </c>
    </row>
    <row r="12451" ht="15.75" customHeight="1">
      <c r="A12451" s="2" t="s">
        <v>12451</v>
      </c>
      <c r="B12451" s="2" t="str">
        <f>IFERROR(__xludf.DUMMYFUNCTION("GOOGLETRANSLATE(A12451, ""en"", ""mt"")"),"Netwerk tad-dejta")</f>
        <v>Netwerk tad-dejta</v>
      </c>
    </row>
    <row r="12452" ht="15.75" customHeight="1">
      <c r="A12452" s="2" t="s">
        <v>12452</v>
      </c>
      <c r="B12452" s="2" t="str">
        <f>IFERROR(__xludf.DUMMYFUNCTION("GOOGLETRANSLATE(A12452, ""en"", ""mt"")"),"Għal liema tipi ta 'riżultati tas-saħħa jimmiraw mal-pazjenti tagħhom?")</f>
        <v>Għal liema tipi ta 'riżultati tas-saħħa jimmiraw mal-pazjenti tagħhom?</v>
      </c>
    </row>
    <row r="12453" ht="15.75" customHeight="1">
      <c r="A12453" s="2" t="s">
        <v>12453</v>
      </c>
      <c r="B12453" s="2" t="str">
        <f>IFERROR(__xludf.DUMMYFUNCTION("GOOGLETRANSLATE(A12453, ""en"", ""mt"")"),"99.4")</f>
        <v>99.4</v>
      </c>
    </row>
    <row r="12454" ht="15.75" customHeight="1">
      <c r="A12454" s="2" t="s">
        <v>12454</v>
      </c>
      <c r="B12454" s="2" t="str">
        <f>IFERROR(__xludf.DUMMYFUNCTION("GOOGLETRANSLATE(A12454, ""en"", ""mt"")"),"L-approċċ ta 'Agassiz għax-xjenza kkombina l-osservazzjoni u x'inhu?")</f>
        <v>L-approċċ ta 'Agassiz għax-xjenza kkombina l-osservazzjoni u x'inhu?</v>
      </c>
    </row>
    <row r="12455" ht="15.75" customHeight="1">
      <c r="A12455" s="2" t="s">
        <v>12455</v>
      </c>
      <c r="B12455" s="2" t="str">
        <f>IFERROR(__xludf.DUMMYFUNCTION("GOOGLETRANSLATE(A12455, ""en"", ""mt"")"),"memorja fotografika")</f>
        <v>memorja fotografika</v>
      </c>
    </row>
    <row r="12456" ht="15.75" customHeight="1">
      <c r="A12456" s="2" t="s">
        <v>12456</v>
      </c>
      <c r="B12456" s="2" t="str">
        <f>IFERROR(__xludf.DUMMYFUNCTION("GOOGLETRANSLATE(A12456, ""en"", ""mt"")"),"X'ġara biex iqajjem in-NASA biex tirreġistra fuq tejps manjetiċi arkivjati?")</f>
        <v>X'ġara biex iqajjem in-NASA biex tirreġistra fuq tejps manjetiċi arkivjati?</v>
      </c>
    </row>
    <row r="12457" ht="15.75" customHeight="1">
      <c r="A12457" s="2" t="s">
        <v>12457</v>
      </c>
      <c r="B12457" s="2" t="str">
        <f>IFERROR(__xludf.DUMMYFUNCTION("GOOGLETRANSLATE(A12457, ""en"", ""mt"")"),"Il-wasla tat-televiżjoni bis-satellita")</f>
        <v>Il-wasla tat-televiżjoni bis-satellita</v>
      </c>
    </row>
    <row r="12458" ht="15.75" customHeight="1">
      <c r="A12458" s="2" t="s">
        <v>12458</v>
      </c>
      <c r="B12458" s="2" t="str">
        <f>IFERROR(__xludf.DUMMYFUNCTION("GOOGLETRANSLATE(A12458, ""en"", ""mt"")"),"Bajja ta 'Sullivan")</f>
        <v>Bajja ta 'Sullivan</v>
      </c>
    </row>
    <row r="12459" ht="15.75" customHeight="1">
      <c r="A12459" s="2" t="s">
        <v>12459</v>
      </c>
      <c r="B12459" s="2" t="str">
        <f>IFERROR(__xludf.DUMMYFUNCTION("GOOGLETRANSLATE(A12459, ""en"", ""mt"")"),"Hemm fruntiera approssimattiva bejn l-Isvizzera u liema pajjiż ieħor iffurmat mir-Renu?")</f>
        <v>Hemm fruntiera approssimattiva bejn l-Isvizzera u liema pajjiż ieħor iffurmat mir-Renu?</v>
      </c>
    </row>
    <row r="12460" ht="15.75" customHeight="1">
      <c r="A12460" s="2" t="s">
        <v>12460</v>
      </c>
      <c r="B12460" s="2" t="str">
        <f>IFERROR(__xludf.DUMMYFUNCTION("GOOGLETRANSLATE(A12460, ""en"", ""mt"")"),"$ 60,000 fi flus u stokk u royalties")</f>
        <v>$ 60,000 fi flus u stokk u royalties</v>
      </c>
    </row>
    <row r="12461" ht="15.75" customHeight="1">
      <c r="A12461" s="2" t="s">
        <v>12461</v>
      </c>
      <c r="B12461" s="2" t="str">
        <f>IFERROR(__xludf.DUMMYFUNCTION("GOOGLETRANSLATE(A12461, ""en"", ""mt"")"),"Partijiet oħra")</f>
        <v>Partijiet oħra</v>
      </c>
    </row>
    <row r="12462" ht="15.75" customHeight="1">
      <c r="A12462" s="2" t="s">
        <v>12462</v>
      </c>
      <c r="B12462" s="2" t="str">
        <f>IFERROR(__xludf.DUMMYFUNCTION("GOOGLETRANSLATE(A12462, ""en"", ""mt"")"),"X'jiġri jekk membru ma jivvotax il-linja tal-partit?")</f>
        <v>X'jiġri jekk membru ma jivvotax il-linja tal-partit?</v>
      </c>
    </row>
    <row r="12463" ht="15.75" customHeight="1">
      <c r="A12463" s="2" t="s">
        <v>12463</v>
      </c>
      <c r="B12463" s="2" t="str">
        <f>IFERROR(__xludf.DUMMYFUNCTION("GOOGLETRANSLATE(A12463, ""en"", ""mt"")"),"sustanzi ċari b'kulur ċar blu-sema")</f>
        <v>sustanzi ċari b'kulur ċar blu-sema</v>
      </c>
    </row>
    <row r="12464" ht="15.75" customHeight="1">
      <c r="A12464" s="2" t="s">
        <v>12464</v>
      </c>
      <c r="B12464" s="2" t="str">
        <f>IFERROR(__xludf.DUMMYFUNCTION("GOOGLETRANSLATE(A12464, ""en"", ""mt"")"),"Il-konċentrazzjoni mhux tas-soltu għolja ta 'gass ta' ossiġnu fid-dinja hija r-riżultat taċ-ċiklu ta 'ossiġnu. Dan iċ-ċiklu bijokimiku jiddeskrivi l-moviment ta 'ossiġenu fi ħdan u bejn it-tliet ġibjuni ewlenin tiegħu fid-dinja: l-atmosfera, il-bijosfera,"&amp;" u l-litosfera. Il-fattur ewlieni tas-sewqan taċ-ċiklu tal-ossiġnu huwa l-fotosintesi, li hija responsabbli għall-atmosfera moderna tad-Dinja. Il-fotosintesi tirrilaxxa l-ossiġnu fl-atmosfera, filwaqt li r-respirazzjoni u t-tħassir ineħħuha mill-atmosfera"&amp;". Fl-ekwilibriju preżenti, il-produzzjoni u l-konsum iseħħu bl-istess rata ta 'bejn wieħed u ieħor 1/2000 ta' l-ossiġenu atmosferiku kollu fis-sena.")</f>
        <v>Il-konċentrazzjoni mhux tas-soltu għolja ta 'gass ta' ossiġnu fid-dinja hija r-riżultat taċ-ċiklu ta 'ossiġnu. Dan iċ-ċiklu bijokimiku jiddeskrivi l-moviment ta 'ossiġenu fi ħdan u bejn it-tliet ġibjuni ewlenin tiegħu fid-dinja: l-atmosfera, il-bijosfera, u l-litosfera. Il-fattur ewlieni tas-sewqan taċ-ċiklu tal-ossiġnu huwa l-fotosintesi, li hija responsabbli għall-atmosfera moderna tad-Dinja. Il-fotosintesi tirrilaxxa l-ossiġnu fl-atmosfera, filwaqt li r-respirazzjoni u t-tħassir ineħħuha mill-atmosfera. Fl-ekwilibriju preżenti, il-produzzjoni u l-konsum iseħħu bl-istess rata ta 'bejn wieħed u ieħor 1/2000 ta' l-ossiġenu atmosferiku kollu fis-sena.</v>
      </c>
    </row>
    <row r="12465" ht="15.75" customHeight="1">
      <c r="A12465" s="2" t="s">
        <v>12465</v>
      </c>
      <c r="B12465" s="2" t="str">
        <f>IFERROR(__xludf.DUMMYFUNCTION("GOOGLETRANSLATE(A12465, ""en"", ""mt"")"),"Norman Foster")</f>
        <v>Norman Foster</v>
      </c>
    </row>
    <row r="12466" ht="15.75" customHeight="1">
      <c r="A12466" s="2" t="s">
        <v>12466</v>
      </c>
      <c r="B12466" s="2" t="str">
        <f>IFERROR(__xludf.DUMMYFUNCTION("GOOGLETRANSLATE(A12466, ""en"", ""mt"")"),"X’rekord fuq in-NASA fuq it-tejps arkivjati anzjani?")</f>
        <v>X’rekord fuq in-NASA fuq it-tejps arkivjati anzjani?</v>
      </c>
    </row>
    <row r="12467" ht="15.75" customHeight="1">
      <c r="A12467" s="2" t="s">
        <v>12467</v>
      </c>
      <c r="B12467" s="2" t="str">
        <f>IFERROR(__xludf.DUMMYFUNCTION("GOOGLETRANSLATE(A12467, ""en"", ""mt"")"),"Fl-Indja, skejjel privati ​​jissejħu skejjel indipendenti, iżda peress li xi skejjel privati ​​jirċievu għajnuna finanzjarja mill-gvern, din tista 'tkun megħjuna jew skola mingħajr għajnuna. Allura, f'sens strett, skola privata hija skola indipendenti min"&amp;"għajr għajnuna. Għall-iskop ta 'din id-definizzjoni, irċevuta biss ta' għajnuna finanzjarja hija kkunsidrata, mhux art mixtrija mill-gvern b'rata sussidjata. Huwa fil-poter kemm tal-gvern tal-Unjoni kif ukoll tal-gvernijiet tal-istat biex jirregolaw l-isk"&amp;"ejjel peress li l-edukazzjoni tidher fil-lista fl-istess ħin ta 'suġġetti leġiżlattivi fil-Kostituzzjoni. Il-prattika kienet għall-gvern tal-Unjoni biex jipprovdi direzzjonijiet ta 'politika wesgħin waqt li l-istati joħolqu r-regoli u r-regolamenti tagħho"&amp;"m stess għall-amministrazzjoni tas-settur. Fost affarijiet oħra, dan irriżulta wkoll fi 30 bordijiet ta 'eżami differenti jew awtoritajiet akkademiċi li jwettqu eżamijiet għal ċertifikati li jħallu l-iskola. Bordijiet prominenti ta 'eżami li huma preżenti"&amp;" fi stati multipli huma s-CBSE u s-CISCE, NENBSE")</f>
        <v>Fl-Indja, skejjel privati ​​jissejħu skejjel indipendenti, iżda peress li xi skejjel privati ​​jirċievu għajnuna finanzjarja mill-gvern, din tista 'tkun megħjuna jew skola mingħajr għajnuna. Allura, f'sens strett, skola privata hija skola indipendenti mingħajr għajnuna. Għall-iskop ta 'din id-definizzjoni, irċevuta biss ta' għajnuna finanzjarja hija kkunsidrata, mhux art mixtrija mill-gvern b'rata sussidjata. Huwa fil-poter kemm tal-gvern tal-Unjoni kif ukoll tal-gvernijiet tal-istat biex jirregolaw l-iskejjel peress li l-edukazzjoni tidher fil-lista fl-istess ħin ta 'suġġetti leġiżlattivi fil-Kostituzzjoni. Il-prattika kienet għall-gvern tal-Unjoni biex jipprovdi direzzjonijiet ta 'politika wesgħin waqt li l-istati joħolqu r-regoli u r-regolamenti tagħhom stess għall-amministrazzjoni tas-settur. Fost affarijiet oħra, dan irriżulta wkoll fi 30 bordijiet ta 'eżami differenti jew awtoritajiet akkademiċi li jwettqu eżamijiet għal ċertifikati li jħallu l-iskola. Bordijiet prominenti ta 'eżami li huma preżenti fi stati multipli huma s-CBSE u s-CISCE, NENBSE</v>
      </c>
    </row>
    <row r="12468" ht="15.75" customHeight="1">
      <c r="A12468" s="2" t="s">
        <v>12468</v>
      </c>
      <c r="B12468" s="2" t="str">
        <f>IFERROR(__xludf.DUMMYFUNCTION("GOOGLETRANSLATE(A12468, ""en"", ""mt"")"),"kittien")</f>
        <v>kittien</v>
      </c>
    </row>
    <row r="12469" ht="15.75" customHeight="1">
      <c r="A12469" s="2" t="s">
        <v>12469</v>
      </c>
      <c r="B12469" s="2" t="str">
        <f>IFERROR(__xludf.DUMMYFUNCTION("GOOGLETRANSLATE(A12469, ""en"", ""mt"")"),"Magħmudija")</f>
        <v>Magħmudija</v>
      </c>
    </row>
    <row r="12470" ht="15.75" customHeight="1">
      <c r="A12470" s="2" t="s">
        <v>12470</v>
      </c>
      <c r="B12470" s="2" t="str">
        <f>IFERROR(__xludf.DUMMYFUNCTION("GOOGLETRANSLATE(A12470, ""en"", ""mt"")"),"par ta 'tentakli twal u rqaq")</f>
        <v>par ta 'tentakli twal u rqaq</v>
      </c>
    </row>
    <row r="12471" ht="15.75" customHeight="1">
      <c r="A12471" s="2" t="s">
        <v>12471</v>
      </c>
      <c r="B12471" s="2" t="str">
        <f>IFERROR(__xludf.DUMMYFUNCTION("GOOGLETRANSLATE(A12471, ""en"", ""mt"")"),"2,000 bini")</f>
        <v>2,000 bini</v>
      </c>
    </row>
    <row r="12472" ht="15.75" customHeight="1">
      <c r="A12472" s="2" t="s">
        <v>12472</v>
      </c>
      <c r="B12472" s="2" t="str">
        <f>IFERROR(__xludf.DUMMYFUNCTION("GOOGLETRANSLATE(A12472, ""en"", ""mt"")"),"triq parabolika mgħawġa")</f>
        <v>triq parabolika mgħawġa</v>
      </c>
    </row>
    <row r="12473" ht="15.75" customHeight="1">
      <c r="A12473" s="2" t="s">
        <v>12473</v>
      </c>
      <c r="B12473" s="2" t="str">
        <f>IFERROR(__xludf.DUMMYFUNCTION("GOOGLETRANSLATE(A12473, ""en"", ""mt"")"),"Problemi ta 'komunikazzjoni")</f>
        <v>Problemi ta 'komunikazzjoni</v>
      </c>
    </row>
    <row r="12474" ht="15.75" customHeight="1">
      <c r="A12474" s="2" t="s">
        <v>12474</v>
      </c>
      <c r="B12474" s="2" t="str">
        <f>IFERROR(__xludf.DUMMYFUNCTION("GOOGLETRANSLATE(A12474, ""en"", ""mt"")"),"X'effett kellu l-gass skopert ta 'Priestley fuq il-ġurdien tal-esperiment?")</f>
        <v>X'effett kellu l-gass skopert ta 'Priestley fuq il-ġurdien tal-esperiment?</v>
      </c>
    </row>
    <row r="12475" ht="15.75" customHeight="1">
      <c r="A12475" s="2" t="s">
        <v>12475</v>
      </c>
      <c r="B12475" s="2" t="str">
        <f>IFERROR(__xludf.DUMMYFUNCTION("GOOGLETRANSLATE(A12475, ""en"", ""mt"")"),"Forza")</f>
        <v>Forza</v>
      </c>
    </row>
    <row r="12476" ht="15.75" customHeight="1">
      <c r="A12476" s="2" t="s">
        <v>12476</v>
      </c>
      <c r="B12476" s="2" t="str">
        <f>IFERROR(__xludf.DUMMYFUNCTION("GOOGLETRANSLATE(A12476, ""en"", ""mt"")"),"18 ta 'Jannar, 1974")</f>
        <v>18 ta 'Jannar, 1974</v>
      </c>
    </row>
    <row r="12477" ht="15.75" customHeight="1">
      <c r="A12477" s="2" t="s">
        <v>12477</v>
      </c>
      <c r="B12477" s="2" t="str">
        <f>IFERROR(__xludf.DUMMYFUNCTION("GOOGLETRANSLATE(A12477, ""en"", ""mt"")"),"X'evidenza bejn u fost klassijiet ta 'kumplessità tfisser il-baqra teoretika għat-teorija tal-kumplessità?")</f>
        <v>X'evidenza bejn u fost klassijiet ta 'kumplessità tfisser il-baqra teoretika għat-teorija tal-kumplessità?</v>
      </c>
    </row>
    <row r="12478" ht="15.75" customHeight="1">
      <c r="A12478" s="2" t="s">
        <v>12478</v>
      </c>
      <c r="B12478" s="2" t="str">
        <f>IFERROR(__xludf.DUMMYFUNCTION("GOOGLETRANSLATE(A12478, ""en"", ""mt"")"),"L-ogħla bini fiċ-ċentru ta ’Jacksonville")</f>
        <v>L-ogħla bini fiċ-ċentru ta ’Jacksonville</v>
      </c>
    </row>
    <row r="12479" ht="15.75" customHeight="1">
      <c r="A12479" s="2" t="s">
        <v>12479</v>
      </c>
      <c r="B12479" s="2" t="str">
        <f>IFERROR(__xludf.DUMMYFUNCTION("GOOGLETRANSLATE(A12479, ""en"", ""mt"")"),"X’tendenza li jwassal għal aktar flus?")</f>
        <v>X’tendenza li jwassal għal aktar flus?</v>
      </c>
    </row>
    <row r="12480" ht="15.75" customHeight="1">
      <c r="A12480" s="2" t="s">
        <v>12480</v>
      </c>
      <c r="B12480" s="2" t="str">
        <f>IFERROR(__xludf.DUMMYFUNCTION("GOOGLETRANSLATE(A12480, ""en"", ""mt"")"),"Iż-żona ta 'San Bernardino-Riverside żżomm id-distretti tan-negozju ta' Downtown San Bernardino, Business / Ċentru Finanzjarju tal-Ospitalità, belt universitarja li jinsabu f'San Bernardino u fil-belt ta 'Riverside.")</f>
        <v>Iż-żona ta 'San Bernardino-Riverside żżomm id-distretti tan-negozju ta' Downtown San Bernardino, Business / Ċentru Finanzjarju tal-Ospitalità, belt universitarja li jinsabu f'San Bernardino u fil-belt ta 'Riverside.</v>
      </c>
    </row>
    <row r="12481" ht="15.75" customHeight="1">
      <c r="A12481" s="2" t="s">
        <v>12481</v>
      </c>
      <c r="B12481" s="2" t="str">
        <f>IFERROR(__xludf.DUMMYFUNCTION("GOOGLETRANSLATE(A12481, ""en"", ""mt"")"),"Liġijiet tal-Fiżika")</f>
        <v>Liġijiet tal-Fiżika</v>
      </c>
    </row>
    <row r="12482" ht="15.75" customHeight="1">
      <c r="A12482" s="2" t="s">
        <v>12482</v>
      </c>
      <c r="B12482" s="2" t="str">
        <f>IFERROR(__xludf.DUMMYFUNCTION("GOOGLETRANSLATE(A12482, ""en"", ""mt"")"),"spettakolari")</f>
        <v>spettakolari</v>
      </c>
    </row>
    <row r="12483" ht="15.75" customHeight="1">
      <c r="A12483" s="2" t="s">
        <v>12483</v>
      </c>
      <c r="B12483" s="2" t="str">
        <f>IFERROR(__xludf.DUMMYFUNCTION("GOOGLETRANSLATE(A12483, ""en"", ""mt"")"),"L-isferi kollha tal-ħajja")</f>
        <v>L-isferi kollha tal-ħajja</v>
      </c>
    </row>
    <row r="12484" ht="15.75" customHeight="1">
      <c r="A12484" s="2" t="s">
        <v>12484</v>
      </c>
      <c r="B12484" s="2" t="str">
        <f>IFERROR(__xludf.DUMMYFUNCTION("GOOGLETRANSLATE(A12484, ""en"", ""mt"")"),"darbtejn l-ispinta meħtieġa")</f>
        <v>darbtejn l-ispinta meħtieġa</v>
      </c>
    </row>
    <row r="12485" ht="15.75" customHeight="1">
      <c r="A12485" s="2" t="s">
        <v>12485</v>
      </c>
      <c r="B12485" s="2" t="str">
        <f>IFERROR(__xludf.DUMMYFUNCTION("GOOGLETRANSLATE(A12485, ""en"", ""mt"")"),"dawl abjad jgħajjat")</f>
        <v>dawl abjad jgħajjat</v>
      </c>
    </row>
    <row r="12486" ht="15.75" customHeight="1">
      <c r="A12486" s="2" t="s">
        <v>12486</v>
      </c>
      <c r="B12486" s="2" t="str">
        <f>IFERROR(__xludf.DUMMYFUNCTION("GOOGLETRANSLATE(A12486, ""en"", ""mt"")"),"huwa l-prodott tal-membrana taċ-ċellula tal-ospitanti li tinftiehem biex tifforma vesicle biex tdawwar iċ-cyanobacterium antenat")</f>
        <v>huwa l-prodott tal-membrana taċ-ċellula tal-ospitanti li tinftiehem biex tifforma vesicle biex tdawwar iċ-cyanobacterium antenat</v>
      </c>
    </row>
    <row r="12487" ht="15.75" customHeight="1">
      <c r="A12487" s="2" t="s">
        <v>12487</v>
      </c>
      <c r="B12487" s="2" t="str">
        <f>IFERROR(__xludf.DUMMYFUNCTION("GOOGLETRANSLATE(A12487, ""en"", ""mt"")"),"Iċ-ċelloli T helper jesprimu riċetturi taċ-ċelluli T (TCR) li jirrikonoxxu l-antiġen marbut ma 'molekuli MHC tal-klassi II. Il-kumpless MHC: antiġen huwa wkoll rikonoxxut mill-ko-riċettur CD4 taċ-ċellula Helper, li jirrekluta molekuli ġewwa ċ-ċellula T (p"&amp;"er eżempju, LCK) li huma responsabbli għall-attivazzjoni taċ-ċellula T. Iċ-ċelloli T helper għandhom assoċjazzjoni aktar dgħajfa mal-MHC: kumpless antiġen milli osservat għal ċelloli T qattiel, li jfisser li ħafna riċetturi (madwar 200-300) fuq iċ-ċellula"&amp;" T helper għandhom ikunu marbuta minn MHC: antiġen sabiex tiġi attivata ċ-ċellula helper, Filwaqt li ċ-ċelloli T qattiel jistgħu jiġu attivati ​​bl-ingaġġ ta 'MHC wieħed: molekula ta' antiġen. L-attivazzjoni taċ-ċelloli T tal-għajnuna teħtieġ ukoll tul ta"&amp;" ’żmien itwal ta’ impenn ma ’ċellula li tippreżenta l-antiġen. L-attivazzjoni ta 'ċellula T ta' l-għajnuna ta 'mistrieħ tikkawża li tirrilaxxa ċitokini li jinfluwenzaw l-attività ta' ħafna tipi ta 'ċelloli. Is-sinjali taċ-ċitokina prodotti minn ċelloli T "&amp;"helper isaħħu l-funzjoni mikrobiċida tal-makrofaġi u l-attività taċ-ċelloli T qattiel. Barra minn hekk, l-attivazzjoni taċ-ċelluli T helper tikkawża regolazzjoni mill-ġdid ta 'molekuli espressi fuq il-wiċċ taċ-ċellula T, bħal ligand CD40 (imsejjaħ ukoll C"&amp;"D154), li jipprovdu sinjali stimulatorji żejda tipikament meħtieġa biex jattivaw ċelloli B li jipproduċu l-antikorpi.")</f>
        <v>Iċ-ċelloli T helper jesprimu riċetturi taċ-ċelluli T (TCR) li jirrikonoxxu l-antiġen marbut ma 'molekuli MHC tal-klassi II. Il-kumpless MHC: antiġen huwa wkoll rikonoxxut mill-ko-riċettur CD4 taċ-ċellula Helper, li jirrekluta molekuli ġewwa ċ-ċellula T (per eżempju, LCK) li huma responsabbli għall-attivazzjoni taċ-ċellula T. Iċ-ċelloli T helper għandhom assoċjazzjoni aktar dgħajfa mal-MHC: kumpless antiġen milli osservat għal ċelloli T qattiel, li jfisser li ħafna riċetturi (madwar 200-300) fuq iċ-ċellula T helper għandhom ikunu marbuta minn MHC: antiġen sabiex tiġi attivata ċ-ċellula helper, Filwaqt li ċ-ċelloli T qattiel jistgħu jiġu attivati ​​bl-ingaġġ ta 'MHC wieħed: molekula ta' antiġen. L-attivazzjoni taċ-ċelloli T tal-għajnuna teħtieġ ukoll tul ta ’żmien itwal ta’ impenn ma ’ċellula li tippreżenta l-antiġen. L-attivazzjoni ta 'ċellula T ta' l-għajnuna ta 'mistrieħ tikkawża li tirrilaxxa ċitokini li jinfluwenzaw l-attività ta' ħafna tipi ta 'ċelloli. Is-sinjali taċ-ċitokina prodotti minn ċelloli T helper isaħħu l-funzjoni mikrobiċida tal-makrofaġi u l-attività taċ-ċelloli T qattiel. Barra minn hekk, l-attivazzjoni taċ-ċelluli T helper tikkawża regolazzjoni mill-ġdid ta 'molekuli espressi fuq il-wiċċ taċ-ċellula T, bħal ligand CD40 (imsejjaħ ukoll CD154), li jipprovdu sinjali stimulatorji żejda tipikament meħtieġa biex jattivaw ċelloli B li jipproduċu l-antikorpi.</v>
      </c>
    </row>
    <row r="12488" ht="15.75" customHeight="1">
      <c r="A12488" s="2" t="s">
        <v>12488</v>
      </c>
      <c r="B12488" s="2" t="str">
        <f>IFERROR(__xludf.DUMMYFUNCTION("GOOGLETRANSLATE(A12488, ""en"", ""mt"")"),"It-Tielet Liġi ta 'Newton")</f>
        <v>It-Tielet Liġi ta 'Newton</v>
      </c>
    </row>
    <row r="12489" ht="15.75" customHeight="1">
      <c r="A12489" s="2" t="s">
        <v>12489</v>
      </c>
      <c r="B12489" s="2" t="str">
        <f>IFERROR(__xludf.DUMMYFUNCTION("GOOGLETRANSLATE(A12489, ""en"", ""mt"")"),"Meta beda l-O2 fl-atmosfera?")</f>
        <v>Meta beda l-O2 fl-atmosfera?</v>
      </c>
    </row>
    <row r="12490" ht="15.75" customHeight="1">
      <c r="A12490" s="2" t="s">
        <v>12490</v>
      </c>
      <c r="B12490" s="2" t="str">
        <f>IFERROR(__xludf.DUMMYFUNCTION("GOOGLETRANSLATE(A12490, ""en"", ""mt"")"),"Kemm kien iktar anzjan Manning minn Newton matul Super Bowl 50?")</f>
        <v>Kemm kien iktar anzjan Manning minn Newton matul Super Bowl 50?</v>
      </c>
    </row>
    <row r="12491" ht="15.75" customHeight="1">
      <c r="A12491" s="2" t="s">
        <v>12491</v>
      </c>
      <c r="B12491" s="2" t="str">
        <f>IFERROR(__xludf.DUMMYFUNCTION("GOOGLETRANSLATE(A12491, ""en"", ""mt"")"),"X'kien l-isem mogħti lill-kurrikulu liberali tal-kulleġġ li għadhom ma ggradwawx?")</f>
        <v>X'kien l-isem mogħti lill-kurrikulu liberali tal-kulleġġ li għadhom ma ggradwawx?</v>
      </c>
    </row>
    <row r="12492" ht="15.75" customHeight="1">
      <c r="A12492" s="2" t="s">
        <v>12492</v>
      </c>
      <c r="B12492" s="2" t="str">
        <f>IFERROR(__xludf.DUMMYFUNCTION("GOOGLETRANSLATE(A12492, ""en"", ""mt"")"),"Konferenza Ġenerali a")</f>
        <v>Konferenza Ġenerali a</v>
      </c>
    </row>
    <row r="12493" ht="15.75" customHeight="1">
      <c r="A12493" s="2" t="s">
        <v>12493</v>
      </c>
      <c r="B12493" s="2" t="str">
        <f>IFERROR(__xludf.DUMMYFUNCTION("GOOGLETRANSLATE(A12493, ""en"", ""mt"")"),"il-gvern u l-Assemblea Nazzjonali u s-Senat")</f>
        <v>il-gvern u l-Assemblea Nazzjonali u s-Senat</v>
      </c>
    </row>
    <row r="12494" ht="15.75" customHeight="1">
      <c r="A12494" s="2" t="s">
        <v>12494</v>
      </c>
      <c r="B12494" s="2" t="str">
        <f>IFERROR(__xludf.DUMMYFUNCTION("GOOGLETRANSLATE(A12494, ""en"", ""mt"")"),"It-Tieni Liġi tal-Mozzjoni ta 'Newton")</f>
        <v>It-Tieni Liġi tal-Mozzjoni ta 'Newton</v>
      </c>
    </row>
    <row r="12495" ht="15.75" customHeight="1">
      <c r="A12495" s="2" t="s">
        <v>12495</v>
      </c>
      <c r="B12495" s="2" t="str">
        <f>IFERROR(__xludf.DUMMYFUNCTION("GOOGLETRANSLATE(A12495, ""en"", ""mt"")"),"Magna tal-Modulu tas-Servizz")</f>
        <v>Magna tal-Modulu tas-Servizz</v>
      </c>
    </row>
    <row r="12496" ht="15.75" customHeight="1">
      <c r="A12496" s="2" t="s">
        <v>12496</v>
      </c>
      <c r="B12496" s="2" t="str">
        <f>IFERROR(__xludf.DUMMYFUNCTION("GOOGLETRANSLATE(A12496, ""en"", ""mt"")"),"Kristjaneżmu sempliċi, qadim, tal-Bibbja """)</f>
        <v>Kristjaneżmu sempliċi, qadim, tal-Bibbja "</v>
      </c>
    </row>
    <row r="12497" ht="15.75" customHeight="1">
      <c r="A12497" s="2" t="s">
        <v>12497</v>
      </c>
      <c r="B12497" s="2" t="str">
        <f>IFERROR(__xludf.DUMMYFUNCTION("GOOGLETRANSLATE(A12497, ""en"", ""mt"")"),"Minbarra l-argumenti ma 'Ruma u r-riformaturi sħabu stess, liema skandlu kkontribwixxa għas-saħħa li qed tfalli ta' Luther?")</f>
        <v>Minbarra l-argumenti ma 'Ruma u r-riformaturi sħabu stess, liema skandlu kkontribwixxa għas-saħħa li qed tfalli ta' Luther?</v>
      </c>
    </row>
    <row r="12498" ht="15.75" customHeight="1">
      <c r="A12498" s="2" t="s">
        <v>12498</v>
      </c>
      <c r="B12498" s="2" t="str">
        <f>IFERROR(__xludf.DUMMYFUNCTION("GOOGLETRANSLATE(A12498, ""en"", ""mt"")"),"Fil-21 ta 'Mejju, 2013, is-sidien tal-NFL fil-laqgħat tar-rebbiegħa tagħhom f'Boston ivvutaw u ngħataw il-logħba lill-Levi's Stadium. L-istadium ta '$ 1.2 biljun infetaħ fl-2014. Huwa l-ewwel Super Bowl miżmum fiż-Żona tal-Bajja ta' San Francisco mis-Supe"&amp;"r Bowl XIX fl-1985, u l-ewwel wieħed f'Kalifornja minn Super Bowl XXXVII seħħ f'San Diego fl-2003.")</f>
        <v>Fil-21 ta 'Mejju, 2013, is-sidien tal-NFL fil-laqgħat tar-rebbiegħa tagħhom f'Boston ivvutaw u ngħataw il-logħba lill-Levi's Stadium. L-istadium ta '$ 1.2 biljun infetaħ fl-2014. Huwa l-ewwel Super Bowl miżmum fiż-Żona tal-Bajja ta' San Francisco mis-Super Bowl XIX fl-1985, u l-ewwel wieħed f'Kalifornja minn Super Bowl XXXVII seħħ f'San Diego fl-2003.</v>
      </c>
    </row>
    <row r="12499" ht="15.75" customHeight="1">
      <c r="A12499" s="2" t="s">
        <v>12499</v>
      </c>
      <c r="B12499" s="2" t="str">
        <f>IFERROR(__xludf.DUMMYFUNCTION("GOOGLETRANSLATE(A12499, ""en"", ""mt"")"),"Liema vaganza ħabtet mal-ewwel wirja tas-serje tnejn?")</f>
        <v>Liema vaganza ħabtet mal-ewwel wirja tas-serje tnejn?</v>
      </c>
    </row>
    <row r="12500" ht="15.75" customHeight="1">
      <c r="A12500" s="2" t="s">
        <v>12500</v>
      </c>
      <c r="B12500" s="2" t="str">
        <f>IFERROR(__xludf.DUMMYFUNCTION("GOOGLETRANSLATE(A12500, ""en"", ""mt"")"),"Jamukha, u l-protettur tiegħu, Toghrul Khan tat-tribù Keraite")</f>
        <v>Jamukha, u l-protettur tiegħu, Toghrul Khan tat-tribù Keraite</v>
      </c>
    </row>
    <row r="12501" ht="15.75" customHeight="1">
      <c r="A12501" s="2" t="s">
        <v>12501</v>
      </c>
      <c r="B12501" s="2" t="str">
        <f>IFERROR(__xludf.DUMMYFUNCTION("GOOGLETRANSLATE(A12501, ""en"", ""mt"")"),"Għaliex il-Mongoli għandhom ftit wisq esperjenza biex jirregolaw l-ibliet li huma ħakmu?")</f>
        <v>Għaliex il-Mongoli għandhom ftit wisq esperjenza biex jirregolaw l-ibliet li huma ħakmu?</v>
      </c>
    </row>
    <row r="12502" ht="15.75" customHeight="1">
      <c r="A12502" s="2" t="s">
        <v>12502</v>
      </c>
      <c r="B12502" s="2" t="str">
        <f>IFERROR(__xludf.DUMMYFUNCTION("GOOGLETRANSLATE(A12502, ""en"", ""mt"")"),"Liema forma ta 'ossiġnu hija magħmula minn tliet atomi ta' ossiġnu?")</f>
        <v>Liema forma ta 'ossiġnu hija magħmula minn tliet atomi ta' ossiġnu?</v>
      </c>
    </row>
    <row r="12503" ht="15.75" customHeight="1">
      <c r="A12503" s="2" t="s">
        <v>12503</v>
      </c>
      <c r="B12503" s="2" t="str">
        <f>IFERROR(__xludf.DUMMYFUNCTION("GOOGLETRANSLATE(A12503, ""en"", ""mt"")"),"X'kien wieħed mill-kotba ta 'Tesla fejn jistgħu jinqraw artikli?")</f>
        <v>X'kien wieħed mill-kotba ta 'Tesla fejn jistgħu jinqraw artikli?</v>
      </c>
    </row>
    <row r="12504" ht="15.75" customHeight="1">
      <c r="A12504" s="2" t="s">
        <v>12504</v>
      </c>
      <c r="B12504" s="2" t="str">
        <f>IFERROR(__xludf.DUMMYFUNCTION("GOOGLETRANSLATE(A12504, ""en"", ""mt"")"),"Kumitat ta 'Esperti Indipendenti")</f>
        <v>Kumitat ta 'Esperti Indipendenti</v>
      </c>
    </row>
    <row r="12505" ht="15.75" customHeight="1">
      <c r="A12505" s="2" t="s">
        <v>12505</v>
      </c>
      <c r="B12505" s="2" t="str">
        <f>IFERROR(__xludf.DUMMYFUNCTION("GOOGLETRANSLATE(A12505, ""en"", ""mt"")"),"Liema kundizzjoni ta 'saħħa tista' tikkawża l-għadis fil-baħar fond?")</f>
        <v>Liema kundizzjoni ta 'saħħa tista' tikkawża l-għadis fil-baħar fond?</v>
      </c>
    </row>
    <row r="12506" ht="15.75" customHeight="1">
      <c r="A12506" s="2" t="s">
        <v>12506</v>
      </c>
      <c r="B12506" s="2" t="str">
        <f>IFERROR(__xludf.DUMMYFUNCTION("GOOGLETRANSLATE(A12506, ""en"", ""mt"")"),"Ir-Rabat għandha kostituzzjoni bil-miktub promulgata fl-1975, iżda bbażata fuq il-Kostituzzjoni Kolonjali tal-1855, mgħoddija mill-Parlament tar-Renju Unit bħala l-Att dwar il-Kostituzzjoni tar-Rabat 1855, li jistabbilixxi l-Parlament bħala l-korp li jagħ"&amp;"mel il-liġi tal-istat għal kwistjonijiet li jaqgħu taħt ir-responsabbiltà tal-istat. Il-Kostituzzjoni Vittorjana tista 'tiġi emendata mill-Parlament ta' Victoria, ħlief għal ċerti dispożizzjonijiet ""għeruq"" li jeħtieġu jew maġġoranza assoluta fiż-żewġ d"&amp;"jar, maġġoranza ta 'tliet ħamsa fiż-żewġ djar, jew l-approvazzjoni tal-poplu Vittorjan f'referendum, jiddependi dwar id-dispożizzjoni.")</f>
        <v>Ir-Rabat għandha kostituzzjoni bil-miktub promulgata fl-1975, iżda bbażata fuq il-Kostituzzjoni Kolonjali tal-1855, mgħoddija mill-Parlament tar-Renju Unit bħala l-Att dwar il-Kostituzzjoni tar-Rabat 1855, li jistabbilixxi l-Parlament bħala l-korp li jagħmel il-liġi tal-istat għal kwistjonijiet li jaqgħu taħt ir-responsabbiltà tal-istat. Il-Kostituzzjoni Vittorjana tista 'tiġi emendata mill-Parlament ta' Victoria, ħlief għal ċerti dispożizzjonijiet "għeruq" li jeħtieġu jew maġġoranza assoluta fiż-żewġ djar, maġġoranza ta 'tliet ħamsa fiż-żewġ djar, jew l-approvazzjoni tal-poplu Vittorjan f'referendum, jiddependi dwar id-dispożizzjoni.</v>
      </c>
    </row>
    <row r="12507" ht="15.75" customHeight="1">
      <c r="A12507" s="2" t="s">
        <v>12507</v>
      </c>
      <c r="B12507" s="2" t="str">
        <f>IFERROR(__xludf.DUMMYFUNCTION("GOOGLETRANSLATE(A12507, ""en"", ""mt"")"),"Ippjanar, [ċitazzjoni meħtieġa] disinn, u finanzjament u jkompli sakemm jinbena l-proġett")</f>
        <v>Ippjanar, [ċitazzjoni meħtieġa] disinn, u finanzjament u jkompli sakemm jinbena l-proġett</v>
      </c>
    </row>
    <row r="12508" ht="15.75" customHeight="1">
      <c r="A12508" s="2" t="s">
        <v>12508</v>
      </c>
      <c r="B12508" s="2" t="str">
        <f>IFERROR(__xludf.DUMMYFUNCTION("GOOGLETRANSLATE(A12508, ""en"", ""mt"")"),"injorat")</f>
        <v>injorat</v>
      </c>
    </row>
    <row r="12509" ht="15.75" customHeight="1">
      <c r="A12509" s="2" t="s">
        <v>12509</v>
      </c>
      <c r="B12509" s="2" t="str">
        <f>IFERROR(__xludf.DUMMYFUNCTION("GOOGLETRANSLATE(A12509, ""en"", ""mt"")"),"L-immigranti Huguenot ma xerrdux jew joqogħdu f'partijiet differenti tal-pajjiż, iżda pjuttost, iffurmaw tliet soċjetajiet jew kongregazzjonijiet; Waħda fil-belt ta ’New York, 21 mil ieħor fit-tramuntana ta’ New York f’belt li huma semmew New Rochelle, u "&amp;"t-tielet upstate ieħor fi New Paltz. Id- ""Distrett Storiku ta 'Triq Huguenot"" fi New Paltz ġie nominat sit ta' monument storiku nazzjonali u fih l-eqdem triq fl-Istati Uniti ta 'l-Amerika. Grupp żgħir ta 'Huguenots stabbilixxa wkoll fuq ix-Xatt tan-Nofs"&amp;"inhar ta' Staten Island tul il-Port ta 'New York, li għalih kien imsemmi l-viċinat attwali ta' Huguenot.")</f>
        <v>L-immigranti Huguenot ma xerrdux jew joqogħdu f'partijiet differenti tal-pajjiż, iżda pjuttost, iffurmaw tliet soċjetajiet jew kongregazzjonijiet; Waħda fil-belt ta ’New York, 21 mil ieħor fit-tramuntana ta’ New York f’belt li huma semmew New Rochelle, u t-tielet upstate ieħor fi New Paltz. Id- "Distrett Storiku ta 'Triq Huguenot" fi New Paltz ġie nominat sit ta' monument storiku nazzjonali u fih l-eqdem triq fl-Istati Uniti ta 'l-Amerika. Grupp żgħir ta 'Huguenots stabbilixxa wkoll fuq ix-Xatt tan-Nofsinhar ta' Staten Island tul il-Port ta 'New York, li għalih kien imsemmi l-viċinat attwali ta' Huguenot.</v>
      </c>
    </row>
    <row r="12510" ht="15.75" customHeight="1">
      <c r="A12510" s="2" t="s">
        <v>12510</v>
      </c>
      <c r="B12510" s="2" t="str">
        <f>IFERROR(__xludf.DUMMYFUNCTION("GOOGLETRANSLATE(A12510, ""en"", ""mt"")"),"tkabbir ekonomiku")</f>
        <v>tkabbir ekonomiku</v>
      </c>
    </row>
    <row r="12511" ht="15.75" customHeight="1">
      <c r="A12511" s="2" t="s">
        <v>12511</v>
      </c>
      <c r="B12511" s="2" t="str">
        <f>IFERROR(__xludf.DUMMYFUNCTION("GOOGLETRANSLATE(A12511, ""en"", ""mt"")"),"Jekk l-organella twettaq l-aħħar sieq tal-passaġġ")</f>
        <v>Jekk l-organella twettaq l-aħħar sieq tal-passaġġ</v>
      </c>
    </row>
    <row r="12512" ht="15.75" customHeight="1">
      <c r="A12512" s="2" t="s">
        <v>12512</v>
      </c>
      <c r="B12512" s="2" t="str">
        <f>IFERROR(__xludf.DUMMYFUNCTION("GOOGLETRANSLATE(A12512, ""en"", ""mt"")"),"Mudelli numeriċi")</f>
        <v>Mudelli numeriċi</v>
      </c>
    </row>
    <row r="12513" ht="15.75" customHeight="1">
      <c r="A12513" s="2" t="s">
        <v>12513</v>
      </c>
      <c r="B12513" s="2" t="str">
        <f>IFERROR(__xludf.DUMMYFUNCTION("GOOGLETRANSLATE(A12513, ""en"", ""mt"")"),"punti.")</f>
        <v>punti.</v>
      </c>
    </row>
    <row r="12514" ht="15.75" customHeight="1">
      <c r="A12514" s="2" t="s">
        <v>12514</v>
      </c>
      <c r="B12514" s="2" t="str">
        <f>IFERROR(__xludf.DUMMYFUNCTION("GOOGLETRANSLATE(A12514, ""en"", ""mt"")"),"Uffiċċju taċ-Ċensiment tal-Istati Uniti")</f>
        <v>Uffiċċju taċ-Ċensiment tal-Istati Uniti</v>
      </c>
    </row>
    <row r="12515" ht="15.75" customHeight="1">
      <c r="A12515" s="2" t="s">
        <v>12515</v>
      </c>
      <c r="B12515" s="2" t="str">
        <f>IFERROR(__xludf.DUMMYFUNCTION("GOOGLETRANSLATE(A12515, ""en"", ""mt"")"),"Strument tal-Politika Barranija Nazzjonali")</f>
        <v>Strument tal-Politika Barranija Nazzjonali</v>
      </c>
    </row>
    <row r="12516" ht="15.75" customHeight="1">
      <c r="A12516" s="2" t="s">
        <v>12516</v>
      </c>
      <c r="B12516" s="2" t="str">
        <f>IFERROR(__xludf.DUMMYFUNCTION("GOOGLETRANSLATE(A12516, ""en"", ""mt"")"),"Il-Midalja Rumford")</f>
        <v>Il-Midalja Rumford</v>
      </c>
    </row>
    <row r="12517" ht="15.75" customHeight="1">
      <c r="A12517" s="2" t="s">
        <v>12517</v>
      </c>
      <c r="B12517" s="2" t="str">
        <f>IFERROR(__xludf.DUMMYFUNCTION("GOOGLETRANSLATE(A12517, ""en"", ""mt"")"),"Dak is-sentiment speċjali")</f>
        <v>Dak is-sentiment speċjali</v>
      </c>
    </row>
    <row r="12518" ht="15.75" customHeight="1">
      <c r="A12518" s="2" t="s">
        <v>12518</v>
      </c>
      <c r="B12518" s="2" t="str">
        <f>IFERROR(__xludf.DUMMYFUNCTION("GOOGLETRANSLATE(A12518, ""en"", ""mt"")"),"Epte")</f>
        <v>Epte</v>
      </c>
    </row>
    <row r="12519" ht="15.75" customHeight="1">
      <c r="A12519" s="2" t="s">
        <v>12519</v>
      </c>
      <c r="B12519" s="2" t="str">
        <f>IFERROR(__xludf.DUMMYFUNCTION("GOOGLETRANSLATE(A12519, ""en"", ""mt"")"),"Ilmijiet tal-baħar")</f>
        <v>Ilmijiet tal-baħar</v>
      </c>
    </row>
    <row r="12520" ht="15.75" customHeight="1">
      <c r="A12520" s="2" t="s">
        <v>12520</v>
      </c>
      <c r="B12520" s="2" t="str">
        <f>IFERROR(__xludf.DUMMYFUNCTION("GOOGLETRANSLATE(A12520, ""en"", ""mt"")"),"F’Settembru 1958, il-Bank of America nieda prodott ġdid imsejjaħ BankaMericard fi Fresno. Wara ġestazzjoni mnikkta li matulha rriżenja mill-kreatur tagħha, BankAmericard kompla jsir l-ewwel karta ta 'kreditu ta' suċċess; Jiġifieri, strument finanzjarju li"&amp;" jista 'jintuża minn numru kbir ta' negozjanti u wkoll ippermetta lid-detenturi tal-kard iduru bilanċ (prodotti finanzjarji preċedenti jistgħu jagħmlu wieħed jew l-ieħor iżda mhux it-tnejn). Fl-1976, BankAmericard ġie msejjaħ u nbidel f'kumpanija separata"&amp;" magħrufa llum bħala Visa Inc.")</f>
        <v>F’Settembru 1958, il-Bank of America nieda prodott ġdid imsejjaħ BankaMericard fi Fresno. Wara ġestazzjoni mnikkta li matulha rriżenja mill-kreatur tagħha, BankAmericard kompla jsir l-ewwel karta ta 'kreditu ta' suċċess; Jiġifieri, strument finanzjarju li jista 'jintuża minn numru kbir ta' negozjanti u wkoll ippermetta lid-detenturi tal-kard iduru bilanċ (prodotti finanzjarji preċedenti jistgħu jagħmlu wieħed jew l-ieħor iżda mhux it-tnejn). Fl-1976, BankAmericard ġie msejjaħ u nbidel f'kumpanija separata magħrufa llum bħala Visa Inc.</v>
      </c>
    </row>
    <row r="12521" ht="15.75" customHeight="1">
      <c r="A12521" s="2" t="s">
        <v>12521</v>
      </c>
      <c r="B12521" s="2" t="str">
        <f>IFERROR(__xludf.DUMMYFUNCTION("GOOGLETRANSLATE(A12521, ""en"", ""mt"")"),"Uża l-enerġija potenzjali maħżuna f'H +, jew gradjent tal-joni tal-idroġenu biex tiġġenera l-enerġija ATP")</f>
        <v>Uża l-enerġija potenzjali maħżuna f'H +, jew gradjent tal-joni tal-idroġenu biex tiġġenera l-enerġija ATP</v>
      </c>
    </row>
    <row r="12522" ht="15.75" customHeight="1">
      <c r="A12522" s="2" t="s">
        <v>12522</v>
      </c>
      <c r="B12522" s="2" t="str">
        <f>IFERROR(__xludf.DUMMYFUNCTION("GOOGLETRANSLATE(A12522, ""en"", ""mt"")"),"Fejn tinsab it-Tyneside Bar?")</f>
        <v>Fejn tinsab it-Tyneside Bar?</v>
      </c>
    </row>
    <row r="12523" ht="15.75" customHeight="1">
      <c r="A12523" s="2" t="s">
        <v>12523</v>
      </c>
      <c r="B12523" s="2" t="str">
        <f>IFERROR(__xludf.DUMMYFUNCTION("GOOGLETRANSLATE(A12523, ""en"", ""mt"")"),"Politiki li jippruvaw jikkontrollaw it-tkabbir ekonomiku tal-qgħad għax inaqqsu?")</f>
        <v>Politiki li jippruvaw jikkontrollaw it-tkabbir ekonomiku tal-qgħad għax inaqqsu?</v>
      </c>
    </row>
    <row r="12524" ht="15.75" customHeight="1">
      <c r="A12524" s="2" t="s">
        <v>12524</v>
      </c>
      <c r="B12524" s="2" t="str">
        <f>IFERROR(__xludf.DUMMYFUNCTION("GOOGLETRANSLATE(A12524, ""en"", ""mt"")"),"Partijiet fin-Nofsinhar u Ċentrali ta 'Franza,")</f>
        <v>Partijiet fin-Nofsinhar u Ċentrali ta 'Franza,</v>
      </c>
    </row>
    <row r="12525" ht="15.75" customHeight="1">
      <c r="A12525" s="2" t="s">
        <v>12525</v>
      </c>
      <c r="B12525" s="2" t="str">
        <f>IFERROR(__xludf.DUMMYFUNCTION("GOOGLETRANSLATE(A12525, ""en"", ""mt"")"),"X’jivolvu s-servizzi mogħtija mill-ispiżjara?")</f>
        <v>X’jivolvu s-servizzi mogħtija mill-ispiżjara?</v>
      </c>
    </row>
    <row r="12526" ht="15.75" customHeight="1">
      <c r="A12526" s="2" t="s">
        <v>12526</v>
      </c>
      <c r="B12526" s="2" t="str">
        <f>IFERROR(__xludf.DUMMYFUNCTION("GOOGLETRANSLATE(A12526, ""en"", ""mt"")"),"F’ħafna pajjiżi foqra u li qed jiżviluppaw ħafna art u akkomodazzjoni tinżamm barra s-sistema ta ’reġistrazzjoni formali jew legali tal-proprjetà. Ħafna proprjetà mhux reġistrata tinżamm f'forma informali permezz ta 'diversi assoċjazzjonijiet u arranġamen"&amp;"ti oħra. Ir-raġunijiet għas-sjieda extra-legali jinkludu burokrazija eċċessiva biex tixtri propjetà u bini, f'xi pajjiżi tista 'tieħu aktar minn 200 passi u sa 14-il sena biex tibni fuq art tal-gvern. Kawżi oħra ta 'proprjetà extra-legali huma fallimenti "&amp;"li jinnotifikaw id-dokumenti ta' tranżazzjoni jew li jkollhom dokumenti notarili iżda ma jirnexxilhomx jiġu rreġistrati mal-aġenzija uffiċjali.")</f>
        <v>F’ħafna pajjiżi foqra u li qed jiżviluppaw ħafna art u akkomodazzjoni tinżamm barra s-sistema ta ’reġistrazzjoni formali jew legali tal-proprjetà. Ħafna proprjetà mhux reġistrata tinżamm f'forma informali permezz ta 'diversi assoċjazzjonijiet u arranġamenti oħra. Ir-raġunijiet għas-sjieda extra-legali jinkludu burokrazija eċċessiva biex tixtri propjetà u bini, f'xi pajjiżi tista 'tieħu aktar minn 200 passi u sa 14-il sena biex tibni fuq art tal-gvern. Kawżi oħra ta 'proprjetà extra-legali huma fallimenti li jinnotifikaw id-dokumenti ta' tranżazzjoni jew li jkollhom dokumenti notarili iżda ma jirnexxilhomx jiġu rreġistrati mal-aġenzija uffiċjali.</v>
      </c>
    </row>
    <row r="12527" ht="15.75" customHeight="1">
      <c r="A12527" s="2" t="s">
        <v>12527</v>
      </c>
      <c r="B12527" s="2" t="str">
        <f>IFERROR(__xludf.DUMMYFUNCTION("GOOGLETRANSLATE(A12527, ""en"", ""mt"")"),"Għaliex ġie msejjaħ il-grupp ta 'studenti ""Il-Metodisti?""")</f>
        <v>Għaliex ġie msejjaħ il-grupp ta 'studenti "Il-Metodisti?"</v>
      </c>
    </row>
    <row r="12528" ht="15.75" customHeight="1">
      <c r="A12528" s="2" t="s">
        <v>12528</v>
      </c>
      <c r="B12528" s="2" t="str">
        <f>IFERROR(__xludf.DUMMYFUNCTION("GOOGLETRANSLATE(A12528, ""en"", ""mt"")"),"X'inhu l-Gorge Rhine elenkat bħala?")</f>
        <v>X'inhu l-Gorge Rhine elenkat bħala?</v>
      </c>
    </row>
    <row r="12529" ht="15.75" customHeight="1">
      <c r="A12529" s="2" t="s">
        <v>12529</v>
      </c>
      <c r="B12529" s="2" t="str">
        <f>IFERROR(__xludf.DUMMYFUNCTION("GOOGLETRANSLATE(A12529, ""en"", ""mt"")"),"Cutters tal-ġewż betel, pettnijiet tal-avorju u ganċijiet tal-bronż palanquin")</f>
        <v>Cutters tal-ġewż betel, pettnijiet tal-avorju u ganċijiet tal-bronż palanquin</v>
      </c>
    </row>
    <row r="12530" ht="15.75" customHeight="1">
      <c r="A12530" s="2" t="s">
        <v>12530</v>
      </c>
      <c r="B12530" s="2" t="str">
        <f>IFERROR(__xludf.DUMMYFUNCTION("GOOGLETRANSLATE(A12530, ""en"", ""mt"")"),"Min irreġistra ""Mixi fi Fresno?""")</f>
        <v>Min irreġistra "Mixi fi Fresno?"</v>
      </c>
    </row>
    <row r="12531" ht="15.75" customHeight="1">
      <c r="A12531" s="2" t="s">
        <v>12531</v>
      </c>
      <c r="B12531" s="2" t="str">
        <f>IFERROR(__xludf.DUMMYFUNCTION("GOOGLETRANSLATE(A12531, ""en"", ""mt"")"),"Frar 2011")</f>
        <v>Frar 2011</v>
      </c>
    </row>
    <row r="12532" ht="15.75" customHeight="1">
      <c r="A12532" s="2" t="s">
        <v>12532</v>
      </c>
      <c r="B12532" s="2" t="str">
        <f>IFERROR(__xludf.DUMMYFUNCTION("GOOGLETRANSLATE(A12532, ""en"", ""mt"")"),"Prinċep ta ’Płock")</f>
        <v>Prinċep ta ’Płock</v>
      </c>
    </row>
    <row r="12533" ht="15.75" customHeight="1">
      <c r="A12533" s="2" t="s">
        <v>12533</v>
      </c>
      <c r="B12533" s="2" t="str">
        <f>IFERROR(__xludf.DUMMYFUNCTION("GOOGLETRANSLATE(A12533, ""en"", ""mt"")"),"L-istudenti x'aktarx jibnu relazzjonijiet aktar b'saħħithom ma 'għalliema li huma ħbiberija u ta' appoġġ u juru aktar interess fil-korsijiet mgħallma minn dawn l-għalliema. L-għalliema li jqattgħu aktar ħin jinteraġixxu u jaħdmu direttament mal-istudenti "&amp;"huma meqjusa bħala għalliema ta 'appoġġ u effettivi. L-għalliema effettivi ntwerew li jistiednu l-parteċipazzjoni tal-istudenti u t-teħid tad-deċiżjonijiet, jippermettu l-umoriżmu fil-klassi tagħhom, u juru r-rieda li jilagħbu.")</f>
        <v>L-istudenti x'aktarx jibnu relazzjonijiet aktar b'saħħithom ma 'għalliema li huma ħbiberija u ta' appoġġ u juru aktar interess fil-korsijiet mgħallma minn dawn l-għalliema. L-għalliema li jqattgħu aktar ħin jinteraġixxu u jaħdmu direttament mal-istudenti huma meqjusa bħala għalliema ta 'appoġġ u effettivi. L-għalliema effettivi ntwerew li jistiednu l-parteċipazzjoni tal-istudenti u t-teħid tad-deċiżjonijiet, jippermettu l-umoriżmu fil-klassi tagħhom, u juru r-rieda li jilagħbu.</v>
      </c>
    </row>
    <row r="12534" ht="15.75" customHeight="1">
      <c r="A12534" s="2" t="s">
        <v>12534</v>
      </c>
      <c r="B12534" s="2" t="str">
        <f>IFERROR(__xludf.DUMMYFUNCTION("GOOGLETRANSLATE(A12534, ""en"", ""mt"")"),"fotosintetiku")</f>
        <v>fotosintetiku</v>
      </c>
    </row>
    <row r="12535" ht="15.75" customHeight="1">
      <c r="A12535" s="2" t="s">
        <v>12535</v>
      </c>
      <c r="B12535" s="2" t="str">
        <f>IFERROR(__xludf.DUMMYFUNCTION("GOOGLETRANSLATE(A12535, ""en"", ""mt"")"),"X'jiġri man-norma meta numru jiġi mmultiplikat b'P?")</f>
        <v>X'jiġri man-norma meta numru jiġi mmultiplikat b'P?</v>
      </c>
    </row>
    <row r="12536" ht="15.75" customHeight="1">
      <c r="A12536" s="2" t="s">
        <v>12536</v>
      </c>
      <c r="B12536" s="2" t="str">
        <f>IFERROR(__xludf.DUMMYFUNCTION("GOOGLETRANSLATE(A12536, ""en"", ""mt"")"),"Fejn kienu ċċentrati l-popolazzjonijiet fil-kolonji?")</f>
        <v>Fejn kienu ċċentrati l-popolazzjonijiet fil-kolonji?</v>
      </c>
    </row>
    <row r="12537" ht="15.75" customHeight="1">
      <c r="A12537" s="2" t="s">
        <v>12537</v>
      </c>
      <c r="B12537" s="2" t="str">
        <f>IFERROR(__xludf.DUMMYFUNCTION("GOOGLETRANSLATE(A12537, ""en"", ""mt"")"),"Kunsill tad-Disinn Industrijali")</f>
        <v>Kunsill tad-Disinn Industrijali</v>
      </c>
    </row>
    <row r="12538" ht="15.75" customHeight="1">
      <c r="A12538" s="2" t="s">
        <v>12538</v>
      </c>
      <c r="B12538" s="2" t="str">
        <f>IFERROR(__xludf.DUMMYFUNCTION("GOOGLETRANSLATE(A12538, ""en"", ""mt"")"),"Tfixkil fl-irqad jista 'jwassal għal żieda f'liema kundizzjonijiet kroniċi?")</f>
        <v>Tfixkil fl-irqad jista 'jwassal għal żieda f'liema kundizzjonijiet kroniċi?</v>
      </c>
    </row>
    <row r="12539" ht="15.75" customHeight="1">
      <c r="A12539" s="2" t="s">
        <v>12539</v>
      </c>
      <c r="B12539" s="2" t="str">
        <f>IFERROR(__xludf.DUMMYFUNCTION("GOOGLETRANSLATE(A12539, ""en"", ""mt"")"),"Meta tellgħu t-tribujiet Ġermaniċi fit-tramuntana u fit-tramuntana tal-Ewropa?")</f>
        <v>Meta tellgħu t-tribujiet Ġermaniċi fit-tramuntana u fit-tramuntana tal-Ewropa?</v>
      </c>
    </row>
    <row r="12540" ht="15.75" customHeight="1">
      <c r="A12540" s="2" t="s">
        <v>12540</v>
      </c>
      <c r="B12540" s="2" t="str">
        <f>IFERROR(__xludf.DUMMYFUNCTION("GOOGLETRANSLATE(A12540, ""en"", ""mt"")"),"Fl-Afganistan, ir-rebħa tal-Mujahideen kontra l-Unjoni Sovjetika fis-snin 80 ma wasslitx għall-ġustizzja u l-prosperità, minħabba gwerra ċivili vizzjuża u distruttiva bejn il-kmandanti tal-gwerra politiċi u tribali, li għamlet l-Afganistan wieħed mill-ifq"&amp;"ar pajjiżi fid-dinja. Fl-1992, ir-Repubblika Demokratika ta 'l-Afganistan immexxija mill-forzi komunisti waqa', u l-elementi Iżlamisti Demokratiċi ta 'Mujahdeen waqqfu l-Istat Iżlamiku ta' l-Afganistan. Fl-1996, moviment Iżlamista aktar konservattiv u ant"&amp;"i-demokratiku magħruf bħala t-Taliban tela 'għall-poter, għeleb ħafna mill-kmandanti tal-gwerra u ħa madwar 80% tal-Afganistan.")</f>
        <v>Fl-Afganistan, ir-rebħa tal-Mujahideen kontra l-Unjoni Sovjetika fis-snin 80 ma wasslitx għall-ġustizzja u l-prosperità, minħabba gwerra ċivili vizzjuża u distruttiva bejn il-kmandanti tal-gwerra politiċi u tribali, li għamlet l-Afganistan wieħed mill-ifqar pajjiżi fid-dinja. Fl-1992, ir-Repubblika Demokratika ta 'l-Afganistan immexxija mill-forzi komunisti waqa', u l-elementi Iżlamisti Demokratiċi ta 'Mujahdeen waqqfu l-Istat Iżlamiku ta' l-Afganistan. Fl-1996, moviment Iżlamista aktar konservattiv u anti-demokratiku magħruf bħala t-Taliban tela 'għall-poter, għeleb ħafna mill-kmandanti tal-gwerra u ħa madwar 80% tal-Afganistan.</v>
      </c>
    </row>
    <row r="12541" ht="15.75" customHeight="1">
      <c r="A12541" s="2" t="s">
        <v>12541</v>
      </c>
      <c r="B12541" s="2" t="str">
        <f>IFERROR(__xludf.DUMMYFUNCTION("GOOGLETRANSLATE(A12541, ""en"", ""mt"")"),"Prodott sekondarju matematiku")</f>
        <v>Prodott sekondarju matematiku</v>
      </c>
    </row>
    <row r="12542" ht="15.75" customHeight="1">
      <c r="A12542" s="2" t="s">
        <v>12542</v>
      </c>
      <c r="B12542" s="2" t="str">
        <f>IFERROR(__xludf.DUMMYFUNCTION("GOOGLETRANSLATE(A12542, ""en"", ""mt"")"),"Kemm mill-fluss tar-Renu jġorr l-ijssel?")</f>
        <v>Kemm mill-fluss tar-Renu jġorr l-ijssel?</v>
      </c>
    </row>
    <row r="12543" ht="15.75" customHeight="1">
      <c r="A12543" s="2" t="s">
        <v>12543</v>
      </c>
      <c r="B12543" s="2" t="str">
        <f>IFERROR(__xludf.DUMMYFUNCTION("GOOGLETRANSLATE(A12543, ""en"", ""mt"")"),"Jones et al. 1998, Pollack, Huang &amp; Shen 1998, Crowley &amp; Lowery 2000 u Briffa 2000")</f>
        <v>Jones et al. 1998, Pollack, Huang &amp; Shen 1998, Crowley &amp; Lowery 2000 u Briffa 2000</v>
      </c>
    </row>
    <row r="12544" ht="15.75" customHeight="1">
      <c r="A12544" s="2" t="s">
        <v>12544</v>
      </c>
      <c r="B12544" s="2" t="str">
        <f>IFERROR(__xludf.DUMMYFUNCTION("GOOGLETRANSLATE(A12544, ""en"", ""mt"")"),"Il-Maroons huma apparti liema assoċjazzjoni?")</f>
        <v>Il-Maroons huma apparti liema assoċjazzjoni?</v>
      </c>
    </row>
    <row r="12545" ht="15.75" customHeight="1">
      <c r="A12545" s="2" t="s">
        <v>12545</v>
      </c>
      <c r="B12545" s="2" t="str">
        <f>IFERROR(__xludf.DUMMYFUNCTION("GOOGLETRANSLATE(A12545, ""en"", ""mt"")"),"forma ġdida")</f>
        <v>forma ġdida</v>
      </c>
    </row>
    <row r="12546" ht="15.75" customHeight="1">
      <c r="A12546" s="2" t="s">
        <v>12546</v>
      </c>
      <c r="B12546" s="2" t="str">
        <f>IFERROR(__xludf.DUMMYFUNCTION("GOOGLETRANSLATE(A12546, ""en"", ""mt"")"),"Fit-12 ta 'April, 1961, il-kosmonawta Sovjetika Yuri Gagarin saret l-ewwel persuna li ttir fl-ispazju, li ssaħħaħ il-biżgħat Amerikani dwar li titħalla warajh f'kompetizzjoni teknoloġika mal-Unjoni Sovjetika. Waqt laqgħa tal-Kumitat tad-Dar tal-Istati Uni"&amp;"ti dwar ix-Xjenza u l-Astronawtika ġurnata wara t-titjira ta ’Gagarin, ħafna Congressmen wiegħdu l-appoġġ tagħhom għal programm ta’ ħabta mmirat biex jiżgura li l-Amerika tlaħħaq. Kennedy kien ċirkonspett fit-tweġiba tiegħu għall-aħbarijiet, li rrifjuta l"&amp;"i jagħmel impenn fuq ir-rispons tal-Amerika għas-Sovjetiċi.")</f>
        <v>Fit-12 ta 'April, 1961, il-kosmonawta Sovjetika Yuri Gagarin saret l-ewwel persuna li ttir fl-ispazju, li ssaħħaħ il-biżgħat Amerikani dwar li titħalla warajh f'kompetizzjoni teknoloġika mal-Unjoni Sovjetika. Waqt laqgħa tal-Kumitat tad-Dar tal-Istati Uniti dwar ix-Xjenza u l-Astronawtika ġurnata wara t-titjira ta ’Gagarin, ħafna Congressmen wiegħdu l-appoġġ tagħhom għal programm ta’ ħabta mmirat biex jiżgura li l-Amerika tlaħħaq. Kennedy kien ċirkonspett fit-tweġiba tiegħu għall-aħbarijiet, li rrifjuta li jagħmel impenn fuq ir-rispons tal-Amerika għas-Sovjetiċi.</v>
      </c>
    </row>
    <row r="12547" ht="15.75" customHeight="1">
      <c r="A12547" s="2" t="s">
        <v>12547</v>
      </c>
      <c r="B12547" s="2" t="str">
        <f>IFERROR(__xludf.DUMMYFUNCTION("GOOGLETRANSLATE(A12547, ""en"", ""mt"")"),"Fejn kienu jinsabu oriġinarjament it-tribujiet Ġermaniċi?")</f>
        <v>Fejn kienu jinsabu oriġinarjament it-tribujiet Ġermaniċi?</v>
      </c>
    </row>
    <row r="12548" ht="15.75" customHeight="1">
      <c r="A12548" s="2" t="s">
        <v>12548</v>
      </c>
      <c r="B12548" s="2" t="str">
        <f>IFERROR(__xludf.DUMMYFUNCTION("GOOGLETRANSLATE(A12548, ""en"", ""mt"")"),"ir-reġjun tal-fruntiera tan-Nofsinhar")</f>
        <v>ir-reġjun tal-fruntiera tan-Nofsinhar</v>
      </c>
    </row>
    <row r="12549" ht="15.75" customHeight="1">
      <c r="A12549" s="2" t="s">
        <v>12549</v>
      </c>
      <c r="B12549" s="2" t="str">
        <f>IFERROR(__xludf.DUMMYFUNCTION("GOOGLETRANSLATE(A12549, ""en"", ""mt"")"),"Taħt kondizzjonijiet normali, x'għandhom żewġ atomi ta 'ossiġnu?")</f>
        <v>Taħt kondizzjonijiet normali, x'għandhom żewġ atomi ta 'ossiġnu?</v>
      </c>
    </row>
    <row r="12550" ht="15.75" customHeight="1">
      <c r="A12550" s="2" t="s">
        <v>12550</v>
      </c>
      <c r="B12550" s="2" t="str">
        <f>IFERROR(__xludf.DUMMYFUNCTION("GOOGLETRANSLATE(A12550, ""en"", ""mt"")"),"X'inhu l-għan ewlieni tal-piena kriminali ta 'diżubbidjenti ċivili?")</f>
        <v>X'inhu l-għan ewlieni tal-piena kriminali ta 'diżubbidjenti ċivili?</v>
      </c>
    </row>
    <row r="12551" ht="15.75" customHeight="1">
      <c r="A12551" s="2" t="s">
        <v>12551</v>
      </c>
      <c r="B12551" s="2" t="str">
        <f>IFERROR(__xludf.DUMMYFUNCTION("GOOGLETRANSLATE(A12551, ""en"", ""mt"")"),"Għaliex il-pjanti tal-art għandhom kloroplasti aktar u iżgħar?")</f>
        <v>Għaliex il-pjanti tal-art għandhom kloroplasti aktar u iżgħar?</v>
      </c>
    </row>
    <row r="12552" ht="15.75" customHeight="1">
      <c r="A12552" s="2" t="s">
        <v>12552</v>
      </c>
      <c r="B12552" s="2" t="str">
        <f>IFERROR(__xludf.DUMMYFUNCTION("GOOGLETRANSLATE(A12552, ""en"", ""mt"")"),"Ġbir ta 'fondi professjonali")</f>
        <v>Ġbir ta 'fondi professjonali</v>
      </c>
    </row>
    <row r="12553" ht="15.75" customHeight="1">
      <c r="A12553" s="2" t="s">
        <v>12553</v>
      </c>
      <c r="B12553" s="2" t="str">
        <f>IFERROR(__xludf.DUMMYFUNCTION("GOOGLETRANSLATE(A12553, ""en"", ""mt"")"),"permezz tal-kitba tiegħu")</f>
        <v>permezz tal-kitba tiegħu</v>
      </c>
    </row>
    <row r="12554" ht="15.75" customHeight="1">
      <c r="A12554" s="2" t="s">
        <v>12554</v>
      </c>
      <c r="B12554" s="2" t="str">
        <f>IFERROR(__xludf.DUMMYFUNCTION("GOOGLETRANSLATE(A12554, ""en"", ""mt"")"),"Gruppi estremisti vjolenti bħal al-Qaeda u t-Taliban")</f>
        <v>Gruppi estremisti vjolenti bħal al-Qaeda u t-Taliban</v>
      </c>
    </row>
    <row r="12555" ht="15.75" customHeight="1">
      <c r="A12555" s="2" t="s">
        <v>12555</v>
      </c>
      <c r="B12555" s="2" t="str">
        <f>IFERROR(__xludf.DUMMYFUNCTION("GOOGLETRANSLATE(A12555, ""en"", ""mt"")"),"Min jipproduċi lista ta 'rekwiżiti għal proġett, li jagħti veduta ġenerali tal-għanijiet tal-proġett?")</f>
        <v>Min jipproduċi lista ta 'rekwiżiti għal proġett, li jagħti veduta ġenerali tal-għanijiet tal-proġett?</v>
      </c>
    </row>
    <row r="12556" ht="15.75" customHeight="1">
      <c r="A12556" s="2" t="s">
        <v>12556</v>
      </c>
      <c r="B12556" s="2" t="str">
        <f>IFERROR(__xludf.DUMMYFUNCTION("GOOGLETRANSLATE(A12556, ""en"", ""mt"")"),"Tip ieħor ta 'kumitat huwa normalment imwaqqaf biex jifli l-kontijiet privati ​​sottomessi lill-Parlament Skoċċiż minn partit estern jew promotur li mhux membru tal-Parlament Skoċċiż jew tal-gvern Skoċċiż. Il-kontijiet privati ​​normalment jirrelataw ma '"&amp;"proġetti ta' żvilupp fuq skala kbira bħal proġetti ta 'infrastruttura li jeħtieġu l-użu ta' art jew proprjetà. Ġew stabbiliti kumitati ta 'abbozzi privati ​​biex jikkunsidraw leġiżlazzjoni dwar kwistjonijiet bħall-iżvilupp tan-Netwerk tat-Tram ta' Edinbur"&amp;"gu, il-Link Ferrovjarju tal-Ajruport ta 'Glasgow, il-link tal-ferrovija Airdrie-Bathgate u estensjonijiet għall-Gallerija Nazzjonali tal-Iskozja.")</f>
        <v>Tip ieħor ta 'kumitat huwa normalment imwaqqaf biex jifli l-kontijiet privati ​​sottomessi lill-Parlament Skoċċiż minn partit estern jew promotur li mhux membru tal-Parlament Skoċċiż jew tal-gvern Skoċċiż. Il-kontijiet privati ​​normalment jirrelataw ma 'proġetti ta' żvilupp fuq skala kbira bħal proġetti ta 'infrastruttura li jeħtieġu l-użu ta' art jew proprjetà. Ġew stabbiliti kumitati ta 'abbozzi privati ​​biex jikkunsidraw leġiżlazzjoni dwar kwistjonijiet bħall-iżvilupp tan-Netwerk tat-Tram ta' Edinburgu, il-Link Ferrovjarju tal-Ajruport ta 'Glasgow, il-link tal-ferrovija Airdrie-Bathgate u estensjonijiet għall-Gallerija Nazzjonali tal-Iskozja.</v>
      </c>
    </row>
    <row r="12557" ht="15.75" customHeight="1">
      <c r="A12557" s="2" t="s">
        <v>12557</v>
      </c>
      <c r="B12557" s="2" t="str">
        <f>IFERROR(__xludf.DUMMYFUNCTION("GOOGLETRANSLATE(A12557, ""en"", ""mt"")"),"ta 'benefiċċju")</f>
        <v>ta 'benefiċċju</v>
      </c>
    </row>
    <row r="12558" ht="15.75" customHeight="1">
      <c r="A12558" s="2" t="s">
        <v>12558</v>
      </c>
      <c r="B12558" s="2" t="str">
        <f>IFERROR(__xludf.DUMMYFUNCTION("GOOGLETRANSLATE(A12558, ""en"", ""mt"")"),"Il-fergħa ġudizzjarja")</f>
        <v>Il-fergħa ġudizzjarja</v>
      </c>
    </row>
    <row r="12559" ht="15.75" customHeight="1">
      <c r="A12559" s="2" t="s">
        <v>12559</v>
      </c>
      <c r="B12559" s="2" t="str">
        <f>IFERROR(__xludf.DUMMYFUNCTION("GOOGLETRANSLATE(A12559, ""en"", ""mt"")"),"jista 'jkun b'saħħtu imma mhux neċessarjament it-tajjeb")</f>
        <v>jista 'jkun b'saħħtu imma mhux neċessarjament it-tajjeb</v>
      </c>
    </row>
    <row r="12560" ht="15.75" customHeight="1">
      <c r="A12560" s="2" t="s">
        <v>12560</v>
      </c>
      <c r="B12560" s="2" t="str">
        <f>IFERROR(__xludf.DUMMYFUNCTION("GOOGLETRANSLATE(A12560, ""en"", ""mt"")"),"Liġi")</f>
        <v>Liġi</v>
      </c>
    </row>
    <row r="12561" ht="15.75" customHeight="1">
      <c r="A12561" s="2" t="s">
        <v>12561</v>
      </c>
      <c r="B12561" s="2" t="str">
        <f>IFERROR(__xludf.DUMMYFUNCTION("GOOGLETRANSLATE(A12561, ""en"", ""mt"")"),"ċikliżmu")</f>
        <v>ċikliżmu</v>
      </c>
    </row>
    <row r="12562" ht="15.75" customHeight="1">
      <c r="A12562" s="2" t="s">
        <v>12562</v>
      </c>
      <c r="B12562" s="2" t="str">
        <f>IFERROR(__xludf.DUMMYFUNCTION("GOOGLETRANSLATE(A12562, ""en"", ""mt"")"),"Monitoraġġ tal-laboratorju, konsulenza dwar l-aderenza, u tassisti lill-pazjenti bi strateġiji ta 'l-ispejjeż meħtieġa biex jiksbu l-mediċini ta' speċjalità għaljin tagħhom")</f>
        <v>Monitoraġġ tal-laboratorju, konsulenza dwar l-aderenza, u tassisti lill-pazjenti bi strateġiji ta 'l-ispejjeż meħtieġa biex jiksbu l-mediċini ta' speċjalità għaljin tagħhom</v>
      </c>
    </row>
    <row r="12563" ht="15.75" customHeight="1">
      <c r="A12563" s="2" t="s">
        <v>12563</v>
      </c>
      <c r="B12563" s="2" t="str">
        <f>IFERROR(__xludf.DUMMYFUNCTION("GOOGLETRANSLATE(A12563, ""en"", ""mt"")"),"(n - 1)!")</f>
        <v>(n - 1)!</v>
      </c>
    </row>
    <row r="12564" ht="15.75" customHeight="1">
      <c r="A12564" s="2" t="s">
        <v>12564</v>
      </c>
      <c r="B12564" s="2" t="str">
        <f>IFERROR(__xludf.DUMMYFUNCTION("GOOGLETRANSLATE(A12564, ""en"", ""mt"")"),"Minn hawn, is-sitwazzjoni ssir iktar ikkumplikata, billi l-isem Olandiż Rijn m'għadux jikkoinċidi mal-fluss ewlieni ta 'l-ilma. Żewġ terzi tal-volum tal-fluss tal-ilma tar-Rhine jiċċirkola 'l bogħod lejn il-punent, minn ġol-Waal u mbagħad, permezz tal-Mer"&amp;"Wede u Nieuwe MerWede (de Biesbosch), li jingħaqdu mal-Meuse, permezz tal-Hollands Diep u l-Estwarji Haringvliet, fil-Baħar tat-Tramuntana. Il-Beneden Merwede fergħat, ħdejn Hardinxveld-Giessendam u tkompli bħala n-Noord, biex tissieħeb fil-Lek, ħdejn il-"&amp;"villaġġ ta 'Kinderdijk, biex tifforma n-Nieuwe Maas; Imbagħad tgħaddi minn Rotterdam u tkompli permezz ta 'Het Scheur u n-Nieuwe Waterweg, lejn il-Baħar tat-Tramuntana. L-Oude Maas fergħat barra, ħdejn Dordrecht, aktar 'l isfel mill-ġdid mill-ġdid in-Nieu"&amp;"we Maas biex jiffurmaw het scheur.")</f>
        <v>Minn hawn, is-sitwazzjoni ssir iktar ikkumplikata, billi l-isem Olandiż Rijn m'għadux jikkoinċidi mal-fluss ewlieni ta 'l-ilma. Żewġ terzi tal-volum tal-fluss tal-ilma tar-Rhine jiċċirkola 'l bogħod lejn il-punent, minn ġol-Waal u mbagħad, permezz tal-MerWede u Nieuwe MerWede (de Biesbosch), li jingħaqdu mal-Meuse, permezz tal-Hollands Diep u l-Estwarji Haringvliet, fil-Baħar tat-Tramuntana. Il-Beneden Merwede fergħat, ħdejn Hardinxveld-Giessendam u tkompli bħala n-Noord, biex tissieħeb fil-Lek, ħdejn il-villaġġ ta 'Kinderdijk, biex tifforma n-Nieuwe Maas; Imbagħad tgħaddi minn Rotterdam u tkompli permezz ta 'Het Scheur u n-Nieuwe Waterweg, lejn il-Baħar tat-Tramuntana. L-Oude Maas fergħat barra, ħdejn Dordrecht, aktar 'l isfel mill-ġdid mill-ġdid in-Nieuwe Maas biex jiffurmaw het scheur.</v>
      </c>
    </row>
    <row r="12565" ht="15.75" customHeight="1">
      <c r="A12565" s="2" t="s">
        <v>12565</v>
      </c>
      <c r="B12565" s="2" t="str">
        <f>IFERROR(__xludf.DUMMYFUNCTION("GOOGLETRANSLATE(A12565, ""en"", ""mt"")"),"X’ħeġġeġ id-direttiva tal-Kunsill tax-Xogħlijiet?")</f>
        <v>X’ħeġġeġ id-direttiva tal-Kunsill tax-Xogħlijiet?</v>
      </c>
    </row>
    <row r="12566" ht="15.75" customHeight="1">
      <c r="A12566" s="2" t="s">
        <v>12566</v>
      </c>
      <c r="B12566" s="2" t="str">
        <f>IFERROR(__xludf.DUMMYFUNCTION("GOOGLETRANSLATE(A12566, ""en"", ""mt"")"),"Re tal-Ingilterra")</f>
        <v>Re tal-Ingilterra</v>
      </c>
    </row>
    <row r="12567" ht="15.75" customHeight="1">
      <c r="A12567" s="2" t="s">
        <v>12567</v>
      </c>
      <c r="B12567" s="2" t="str">
        <f>IFERROR(__xludf.DUMMYFUNCTION("GOOGLETRANSLATE(A12567, ""en"", ""mt"")"),"Meta kien id-debutt tal-ispeċjal tal-1983 imsejjaħ il-Ħames Tobba?")</f>
        <v>Meta kien id-debutt tal-ispeċjal tal-1983 imsejjaħ il-Ħames Tobba?</v>
      </c>
    </row>
    <row r="12568" ht="15.75" customHeight="1">
      <c r="A12568" s="2" t="s">
        <v>12568</v>
      </c>
      <c r="B12568" s="2" t="str">
        <f>IFERROR(__xludf.DUMMYFUNCTION("GOOGLETRANSLATE(A12568, ""en"", ""mt"")"),"Jekk il-kap tal-gvern jirrifjuta li jinforza deċiżjoni tal-ogħla qorti liema terminoloġija tista 'tintuża?")</f>
        <v>Jekk il-kap tal-gvern jirrifjuta li jinforza deċiżjoni tal-ogħla qorti liema terminoloġija tista 'tintuża?</v>
      </c>
    </row>
    <row r="12569" ht="15.75" customHeight="1">
      <c r="A12569" s="2" t="s">
        <v>12569</v>
      </c>
      <c r="B12569" s="2" t="str">
        <f>IFERROR(__xludf.DUMMYFUNCTION("GOOGLETRANSLATE(A12569, ""en"", ""mt"")"),"Tnax")</f>
        <v>Tnax</v>
      </c>
    </row>
    <row r="12570" ht="15.75" customHeight="1">
      <c r="A12570" s="2" t="s">
        <v>12570</v>
      </c>
      <c r="B12570" s="2" t="str">
        <f>IFERROR(__xludf.DUMMYFUNCTION("GOOGLETRANSLATE(A12570, ""en"", ""mt"")"),"Fl-Ingilterra, il-perjodu tal-arkitettura Norman jirnexxi immedjatament dak tal-Anglo-Sassonu u jippreċedi l-Gotiku bikri. Fin-Nofsinhar tal-Italja, in-Normanni inkorporaw elementi ta ’tekniki tal-bini Iżlamiku, Lombard u Biżantini tagħhom stess, u bdew s"&amp;"til uniku magħruf bħala arkitettura Norman-Għarbija fir-Renju ta’ Sqallija.")</f>
        <v>Fl-Ingilterra, il-perjodu tal-arkitettura Norman jirnexxi immedjatament dak tal-Anglo-Sassonu u jippreċedi l-Gotiku bikri. Fin-Nofsinhar tal-Italja, in-Normanni inkorporaw elementi ta ’tekniki tal-bini Iżlamiku, Lombard u Biżantini tagħhom stess, u bdew stil uniku magħruf bħala arkitettura Norman-Għarbija fir-Renju ta’ Sqallija.</v>
      </c>
    </row>
    <row r="12571" ht="15.75" customHeight="1">
      <c r="A12571" s="2" t="s">
        <v>12571</v>
      </c>
      <c r="B12571" s="2" t="str">
        <f>IFERROR(__xludf.DUMMYFUNCTION("GOOGLETRANSLATE(A12571, ""en"", ""mt"")"),"Baċin tal-Amazon")</f>
        <v>Baċin tal-Amazon</v>
      </c>
    </row>
    <row r="12572" ht="15.75" customHeight="1">
      <c r="A12572" s="2" t="s">
        <v>12572</v>
      </c>
      <c r="B12572" s="2" t="str">
        <f>IFERROR(__xludf.DUMMYFUNCTION("GOOGLETRANSLATE(A12572, ""en"", ""mt"")"),"Minħabba t-twemmin tagħhom fil-validità tal-kuntratt soċjali")</f>
        <v>Minħabba t-twemmin tagħhom fil-validità tal-kuntratt soċjali</v>
      </c>
    </row>
    <row r="12573" ht="15.75" customHeight="1">
      <c r="A12573" s="2" t="s">
        <v>12573</v>
      </c>
      <c r="B12573" s="2" t="str">
        <f>IFERROR(__xludf.DUMMYFUNCTION("GOOGLETRANSLATE(A12573, ""en"", ""mt"")"),"TVontario qabad l-ispettaklu fl-1976 li beda bit-tliet tobba u xandar kull serje (bosta snin tard) sas-serje 24 fl-1991. Mill-1979 sal-1981, TVO Airings ġew imfassla mill-kittieb tax-xjenza-fittizja Judith Merril li kienet se tintroduċi l-episodju u Imbag"&amp;"ħad, wara li ġie konkluż l-episodju, ipprova poġġih f'kuntest edukattiv b'konformità mal-istatus ta 'TVO bħala kanal edukattiv. L-arja tagħha tat-Talons ta 'Weng-Chiang ġiet ikkanċellata bħala riżultat ta' akkużi li l-istorja kienet razzista; L-istorja ak"&amp;"tar tard ġiet imxandra fis-snin disgħin fuq l-istazzjon tal-kejbil YTV. CBC beda juri s-serje mill-ġdid fl-2005. Is-serje marret fl-ispazju tal-kanali tal-kejbil Kanadiż fl-2009. [Ċitazzjoni meħtieġa]")</f>
        <v>TVontario qabad l-ispettaklu fl-1976 li beda bit-tliet tobba u xandar kull serje (bosta snin tard) sas-serje 24 fl-1991. Mill-1979 sal-1981, TVO Airings ġew imfassla mill-kittieb tax-xjenza-fittizja Judith Merril li kienet se tintroduċi l-episodju u Imbagħad, wara li ġie konkluż l-episodju, ipprova poġġih f'kuntest edukattiv b'konformità mal-istatus ta 'TVO bħala kanal edukattiv. L-arja tagħha tat-Talons ta 'Weng-Chiang ġiet ikkanċellata bħala riżultat ta' akkużi li l-istorja kienet razzista; L-istorja aktar tard ġiet imxandra fis-snin disgħin fuq l-istazzjon tal-kejbil YTV. CBC beda juri s-serje mill-ġdid fl-2005. Is-serje marret fl-ispazju tal-kanali tal-kejbil Kanadiż fl-2009. [Ċitazzjoni meħtieġa]</v>
      </c>
    </row>
    <row r="12574" ht="15.75" customHeight="1">
      <c r="A12574" s="2" t="s">
        <v>12574</v>
      </c>
      <c r="B12574" s="2" t="str">
        <f>IFERROR(__xludf.DUMMYFUNCTION("GOOGLETRANSLATE(A12574, ""en"", ""mt"")"),"15 ° C (59 ° F)")</f>
        <v>15 ° C (59 ° F)</v>
      </c>
    </row>
    <row r="12575" ht="15.75" customHeight="1">
      <c r="A12575" s="2" t="s">
        <v>12575</v>
      </c>
      <c r="B12575" s="2" t="str">
        <f>IFERROR(__xludf.DUMMYFUNCTION("GOOGLETRANSLATE(A12575, ""en"", ""mt"")"),"F'dan iż-żmien, l-ebda waħda mill-Konfederazzjonijiet Tribali tal-Mongolja ma kienet magħquda politikament, u ż-żwiġijiet irranġati spiss ma ntużaw biex jissolidifikaw alleanzi temporanji. Temüjin kiber billi osserva l-klima politika iebsa tal-Mongolja, l"&amp;"i kienet tinkludi gwerra tribali, thievery, rejds, korruzzjoni, u atti kontinwi ta ’vendetta mwettqa bejn id-diversi konfederazzjonijiet, kollha aggravati minn interferenza minn forzi barranin bħalma huma d-dinastiji Ċiniżi fin-Nofsinhar. Omm Temüjin Hoel"&amp;"un għallmitha ħafna lezzjonijiet dwar il-klima politika instabbli tal-Mongolja, speċjalment il-ħtieġa ta 'alleanzi.")</f>
        <v>F'dan iż-żmien, l-ebda waħda mill-Konfederazzjonijiet Tribali tal-Mongolja ma kienet magħquda politikament, u ż-żwiġijiet irranġati spiss ma ntużaw biex jissolidifikaw alleanzi temporanji. Temüjin kiber billi osserva l-klima politika iebsa tal-Mongolja, li kienet tinkludi gwerra tribali, thievery, rejds, korruzzjoni, u atti kontinwi ta ’vendetta mwettqa bejn id-diversi konfederazzjonijiet, kollha aggravati minn interferenza minn forzi barranin bħalma huma d-dinastiji Ċiniżi fin-Nofsinhar. Omm Temüjin Hoelun għallmitha ħafna lezzjonijiet dwar il-klima politika instabbli tal-Mongolja, speċjalment il-ħtieġa ta 'alleanzi.</v>
      </c>
    </row>
    <row r="12576" ht="15.75" customHeight="1">
      <c r="A12576" s="2" t="s">
        <v>12576</v>
      </c>
      <c r="B12576" s="2" t="str">
        <f>IFERROR(__xludf.DUMMYFUNCTION("GOOGLETRANSLATE(A12576, ""en"", ""mt"")"),"Partiċelli tal-punt idealizzati")</f>
        <v>Partiċelli tal-punt idealizzati</v>
      </c>
    </row>
    <row r="12577" ht="15.75" customHeight="1">
      <c r="A12577" s="2" t="s">
        <v>12577</v>
      </c>
      <c r="B12577" s="2" t="str">
        <f>IFERROR(__xludf.DUMMYFUNCTION("GOOGLETRANSLATE(A12577, ""en"", ""mt"")"),"X'sar xi ripetizzjonijiet maqluba?")</f>
        <v>X'sar xi ripetizzjonijiet maqluba?</v>
      </c>
    </row>
    <row r="12578" ht="15.75" customHeight="1">
      <c r="A12578" s="2" t="s">
        <v>12578</v>
      </c>
      <c r="B12578" s="2" t="str">
        <f>IFERROR(__xludf.DUMMYFUNCTION("GOOGLETRANSLATE(A12578, ""en"", ""mt"")"),"Il-gżejjer tal-Ħawajja huma magħmula kważi għal kollox?")</f>
        <v>Il-gżejjer tal-Ħawajja huma magħmula kważi għal kollox?</v>
      </c>
    </row>
    <row r="12579" ht="15.75" customHeight="1">
      <c r="A12579" s="2" t="s">
        <v>12579</v>
      </c>
      <c r="B12579" s="2" t="str">
        <f>IFERROR(__xludf.DUMMYFUNCTION("GOOGLETRANSLATE(A12579, ""en"", ""mt"")"),"Denominazzjoni Metodista Protestanti Mainline")</f>
        <v>Denominazzjoni Metodista Protestanti Mainline</v>
      </c>
    </row>
    <row r="12580" ht="15.75" customHeight="1">
      <c r="A12580" s="2" t="s">
        <v>12580</v>
      </c>
      <c r="B12580" s="2" t="str">
        <f>IFERROR(__xludf.DUMMYFUNCTION("GOOGLETRANSLATE(A12580, ""en"", ""mt"")"),"seklu tmintax,")</f>
        <v>seklu tmintax,</v>
      </c>
    </row>
    <row r="12581" ht="15.75" customHeight="1">
      <c r="A12581" s="2" t="s">
        <v>12581</v>
      </c>
      <c r="B12581" s="2" t="str">
        <f>IFERROR(__xludf.DUMMYFUNCTION("GOOGLETRANSLATE(A12581, ""en"", ""mt"")"),"rally safari famuż fid-dinja")</f>
        <v>rally safari famuż fid-dinja</v>
      </c>
    </row>
    <row r="12582" ht="15.75" customHeight="1">
      <c r="A12582" s="2" t="s">
        <v>12582</v>
      </c>
      <c r="B12582" s="2" t="str">
        <f>IFERROR(__xludf.DUMMYFUNCTION("GOOGLETRANSLATE(A12582, ""en"", ""mt"")"),"Min huma komunement assoċjati mal-algoritmu tipikament ikkunsidrat bħala l-iktar effettiv fir-rigward tal-ġerarkija polinomjali finita u l-isomorfiżmu tal-graff?")</f>
        <v>Min huma komunement assoċjati mal-algoritmu tipikament ikkunsidrat bħala l-iktar effettiv fir-rigward tal-ġerarkija polinomjali finita u l-isomorfiżmu tal-graff?</v>
      </c>
    </row>
    <row r="12583" ht="15.75" customHeight="1">
      <c r="A12583" s="2" t="s">
        <v>12583</v>
      </c>
      <c r="B12583" s="2" t="str">
        <f>IFERROR(__xludf.DUMMYFUNCTION("GOOGLETRANSLATE(A12583, ""en"", ""mt"")"),"Il-biċċa l-kbira tal-binjiet distintivi")</f>
        <v>Il-biċċa l-kbira tal-binjiet distintivi</v>
      </c>
    </row>
    <row r="12584" ht="15.75" customHeight="1">
      <c r="A12584" s="2" t="s">
        <v>12584</v>
      </c>
      <c r="B12584" s="2" t="str">
        <f>IFERROR(__xludf.DUMMYFUNCTION("GOOGLETRANSLATE(A12584, ""en"", ""mt"")"),"Liema entità għandha V / Line?")</f>
        <v>Liema entità għandha V / Line?</v>
      </c>
    </row>
    <row r="12585" ht="15.75" customHeight="1">
      <c r="A12585" s="2" t="s">
        <v>12585</v>
      </c>
      <c r="B12585" s="2" t="str">
        <f>IFERROR(__xludf.DUMMYFUNCTION("GOOGLETRANSLATE(A12585, ""en"", ""mt"")"),"Asinkronikament billi tuża l-ewwel-in, l-ewwel buffering, imma tista 'tintbagħat skond xi dixxiplina ta' skedar għal kju ġust")</f>
        <v>Asinkronikament billi tuża l-ewwel-in, l-ewwel buffering, imma tista 'tintbagħat skond xi dixxiplina ta' skedar għal kju ġust</v>
      </c>
    </row>
    <row r="12586" ht="15.75" customHeight="1">
      <c r="A12586" s="2" t="s">
        <v>12586</v>
      </c>
      <c r="B12586" s="2" t="str">
        <f>IFERROR(__xludf.DUMMYFUNCTION("GOOGLETRANSLATE(A12586, ""en"", ""mt"")"),"ħaxix")</f>
        <v>ħaxix</v>
      </c>
    </row>
    <row r="12587" ht="15.75" customHeight="1">
      <c r="A12587" s="2" t="s">
        <v>12587</v>
      </c>
      <c r="B12587" s="2" t="str">
        <f>IFERROR(__xludf.DUMMYFUNCTION("GOOGLETRANSLATE(A12587, ""en"", ""mt"")"),"Min kien ir-raġel ta 'Margaret?")</f>
        <v>Min kien ir-raġel ta 'Margaret?</v>
      </c>
    </row>
    <row r="12588" ht="15.75" customHeight="1">
      <c r="A12588" s="2" t="s">
        <v>12588</v>
      </c>
      <c r="B12588" s="2" t="str">
        <f>IFERROR(__xludf.DUMMYFUNCTION("GOOGLETRANSLATE(A12588, ""en"", ""mt"")"),"Han Ċiniż, Khitans, Jurchens, Mongoli, u Buddisti Tibetani.")</f>
        <v>Han Ċiniż, Khitans, Jurchens, Mongoli, u Buddisti Tibetani.</v>
      </c>
    </row>
    <row r="12589" ht="15.75" customHeight="1">
      <c r="A12589" s="2" t="s">
        <v>12589</v>
      </c>
      <c r="B12589" s="2" t="str">
        <f>IFERROR(__xludf.DUMMYFUNCTION("GOOGLETRANSLATE(A12589, ""en"", ""mt"")"),"qawwi, elettromanjetiku")</f>
        <v>qawwi, elettromanjetiku</v>
      </c>
    </row>
    <row r="12590" ht="15.75" customHeight="1">
      <c r="A12590" s="2" t="s">
        <v>12590</v>
      </c>
      <c r="B12590" s="2" t="str">
        <f>IFERROR(__xludf.DUMMYFUNCTION("GOOGLETRANSLATE(A12590, ""en"", ""mt"")"),"żdied b'inqas minn tnejn fil-mija fis-sena")</f>
        <v>żdied b'inqas minn tnejn fil-mija fis-sena</v>
      </c>
    </row>
    <row r="12591" ht="15.75" customHeight="1">
      <c r="A12591" s="2" t="s">
        <v>12591</v>
      </c>
      <c r="B12591" s="2" t="str">
        <f>IFERROR(__xludf.DUMMYFUNCTION("GOOGLETRANSLATE(A12591, ""en"", ""mt"")"),"Raġuni")</f>
        <v>Raġuni</v>
      </c>
    </row>
    <row r="12592" ht="15.75" customHeight="1">
      <c r="A12592" s="2" t="s">
        <v>12592</v>
      </c>
      <c r="B12592" s="2" t="str">
        <f>IFERROR(__xludf.DUMMYFUNCTION("GOOGLETRANSLATE(A12592, ""en"", ""mt"")"),"il-problema ta 'l-għaqda np-kompluta")</f>
        <v>il-problema ta 'l-għaqda np-kompluta</v>
      </c>
    </row>
    <row r="12593" ht="15.75" customHeight="1">
      <c r="A12593" s="2" t="s">
        <v>12593</v>
      </c>
      <c r="B12593" s="2" t="str">
        <f>IFERROR(__xludf.DUMMYFUNCTION("GOOGLETRANSLATE(A12593, ""en"", ""mt"")"),"Il-Kap Mohawk Hendrick")</f>
        <v>Il-Kap Mohawk Hendrick</v>
      </c>
    </row>
    <row r="12594" ht="15.75" customHeight="1">
      <c r="A12594" s="2" t="s">
        <v>12594</v>
      </c>
      <c r="B12594" s="2" t="str">
        <f>IFERROR(__xludf.DUMMYFUNCTION("GOOGLETRANSLATE(A12594, ""en"", ""mt"")"),"Waħda mill-affarijiet li Tesla żviluppat f'dak il-laboratorju fl-1887 kienet mutur ta 'induzzjoni li kien imexxi fuq kurrent alternattiv, format ta' sistema ta 'enerġija li kien qed jibda jinbena fl-Ewropa u fl-Istati Uniti minħabba l-vantaġġi tiegħu f'di"&amp;"stanza twila, trasmissjoni ta' vultaġġ għoli - Il-mutur uża kurrent tal-polifażi li ġġenera kamp manjetiku li jdur biex idawwar il-mutur (prinċipju li Tesla ddikjara li kien maħsub fl-1882). Dan il-mutur elettriku innovattiv, brevettat f'Mejju 1888, kien "&amp;"disinn sempliċi li jibda minnu nnifsu li ma kellux bżonn ta 'kommutatur, u b'hekk jevita l-isparking u l-manutenzjoni għolja ta' servizz kontinwu u sostituzzjoni ta 'xkupilji mekkaniċi.")</f>
        <v>Waħda mill-affarijiet li Tesla żviluppat f'dak il-laboratorju fl-1887 kienet mutur ta 'induzzjoni li kien imexxi fuq kurrent alternattiv, format ta' sistema ta 'enerġija li kien qed jibda jinbena fl-Ewropa u fl-Istati Uniti minħabba l-vantaġġi tiegħu f'distanza twila, trasmissjoni ta' vultaġġ għoli - Il-mutur uża kurrent tal-polifażi li ġġenera kamp manjetiku li jdur biex idawwar il-mutur (prinċipju li Tesla ddikjara li kien maħsub fl-1882). Dan il-mutur elettriku innovattiv, brevettat f'Mejju 1888, kien disinn sempliċi li jibda minnu nnifsu li ma kellux bżonn ta 'kommutatur, u b'hekk jevita l-isparking u l-manutenzjoni għolja ta' servizz kontinwu u sostituzzjoni ta 'xkupilji mekkaniċi.</v>
      </c>
    </row>
    <row r="12595" ht="15.75" customHeight="1">
      <c r="A12595" s="2" t="s">
        <v>12595</v>
      </c>
      <c r="B12595" s="2" t="str">
        <f>IFERROR(__xludf.DUMMYFUNCTION("GOOGLETRANSLATE(A12595, ""en"", ""mt"")"),"Meta Pachauri rriżenja bħala president tal-IPCC?")</f>
        <v>Meta Pachauri rriżenja bħala president tal-IPCC?</v>
      </c>
    </row>
    <row r="12596" ht="15.75" customHeight="1">
      <c r="A12596" s="2" t="s">
        <v>12596</v>
      </c>
      <c r="B12596" s="2" t="str">
        <f>IFERROR(__xludf.DUMMYFUNCTION("GOOGLETRANSLATE(A12596, ""en"", ""mt"")"),"Predaturi kbar tal-Amazon Rainforest jinkludu l-Jaguar, Cougar, u Anaconda, x'inhu eżempju ieħor?")</f>
        <v>Predaturi kbar tal-Amazon Rainforest jinkludu l-Jaguar, Cougar, u Anaconda, x'inhu eżempju ieħor?</v>
      </c>
    </row>
    <row r="12597" ht="15.75" customHeight="1">
      <c r="A12597" s="2" t="s">
        <v>12597</v>
      </c>
      <c r="B12597" s="2" t="str">
        <f>IFERROR(__xludf.DUMMYFUNCTION("GOOGLETRANSLATE(A12597, ""en"", ""mt"")"),"Kummissjoni OMINDE")</f>
        <v>Kummissjoni OMINDE</v>
      </c>
    </row>
    <row r="12598" ht="15.75" customHeight="1">
      <c r="A12598" s="2" t="s">
        <v>12598</v>
      </c>
      <c r="B12598" s="2" t="str">
        <f>IFERROR(__xludf.DUMMYFUNCTION("GOOGLETRANSLATE(A12598, ""en"", ""mt"")"),"Pereżempju, waqt li tkun qed tivvjaġġa f'vettura li tiċċaqlaq b'veloċità kostanti, il-liġijiet tal-fiżika ma jinbidlux mill-mistrieħ. Persuna tista 'titfa' ballun dritta 'l fuq fl-arja u taqbadha hekk kif taqa' mingħajr ma tinkwieta dwar l-applikazzjoni t"&amp;"a 'forza fid-direzzjoni li l-vettura tkun miexja. Dan huwa minnu minkejja li persuna oħra li qed tosserva l-vettura li tiċċaqlaq billi tosserva wkoll il-ballun issegwi triq parabolika mgħawġa fl-istess direzzjoni bħall-moviment tal-vettura. Hija l-inerzja"&amp;" tal-ballun assoċjata mal-veloċità kostanti tagħha fid-direzzjoni tal-moviment tal-vettura li tiżgura li l-ballun ikompli jimxi 'l quddiem anki meta jintefa' u jaqa 'lura. Mill-perspettiva tal-persuna fil-karozza, il-vettura u dak kollu li hemm fil-mistri"&amp;"eħ tagħha: hija d-dinja ta 'barra li miexja b'veloċità kostanti fid-direzzjoni opposta. Peress li m'hemm l-ebda esperiment li jista 'jiddistingwi jekk hijiex il-vettura li tinsab fil-mistrieħ jew id-dinja ta' barra li tinsab fil-mistrieħ, iż-żewġ sitwazzj"&amp;"onijiet huma meqjusa li huma fiżikament indistingwibbli. L-inerzja għalhekk tapplika daqstant tajjeb għal mozzjoni ta 'veloċità kostanti kif tagħmel għall-mistrieħ.")</f>
        <v>Pereżempju, waqt li tkun qed tivvjaġġa f'vettura li tiċċaqlaq b'veloċità kostanti, il-liġijiet tal-fiżika ma jinbidlux mill-mistrieħ. Persuna tista 'titfa' ballun dritta 'l fuq fl-arja u taqbadha hekk kif taqa' mingħajr ma tinkwieta dwar l-applikazzjoni ta 'forza fid-direzzjoni li l-vettura tkun miexja. Dan huwa minnu minkejja li persuna oħra li qed tosserva l-vettura li tiċċaqlaq billi tosserva wkoll il-ballun issegwi triq parabolika mgħawġa fl-istess direzzjoni bħall-moviment tal-vettura. Hija l-inerzja tal-ballun assoċjata mal-veloċità kostanti tagħha fid-direzzjoni tal-moviment tal-vettura li tiżgura li l-ballun ikompli jimxi 'l quddiem anki meta jintefa' u jaqa 'lura. Mill-perspettiva tal-persuna fil-karozza, il-vettura u dak kollu li hemm fil-mistrieħ tagħha: hija d-dinja ta 'barra li miexja b'veloċità kostanti fid-direzzjoni opposta. Peress li m'hemm l-ebda esperiment li jista 'jiddistingwi jekk hijiex il-vettura li tinsab fil-mistrieħ jew id-dinja ta' barra li tinsab fil-mistrieħ, iż-żewġ sitwazzjonijiet huma meqjusa li huma fiżikament indistingwibbli. L-inerzja għalhekk tapplika daqstant tajjeb għal mozzjoni ta 'veloċità kostanti kif tagħmel għall-mistrieħ.</v>
      </c>
    </row>
    <row r="12599" ht="15.75" customHeight="1">
      <c r="A12599" s="2" t="s">
        <v>12599</v>
      </c>
      <c r="B12599" s="2" t="str">
        <f>IFERROR(__xludf.DUMMYFUNCTION("GOOGLETRANSLATE(A12599, ""en"", ""mt"")"),"Apollo 11")</f>
        <v>Apollo 11</v>
      </c>
    </row>
    <row r="12600" ht="15.75" customHeight="1">
      <c r="A12600" s="2" t="s">
        <v>12600</v>
      </c>
      <c r="B12600" s="2" t="str">
        <f>IFERROR(__xludf.DUMMYFUNCTION("GOOGLETRANSLATE(A12600, ""en"", ""mt"")"),"Wara l-ftuħ mill-ġdid, fejn se jkunu jinsabu l-biċċiet tal-arti wara r-restawr?")</f>
        <v>Wara l-ftuħ mill-ġdid, fejn se jkunu jinsabu l-biċċiet tal-arti wara r-restawr?</v>
      </c>
    </row>
    <row r="12601" ht="15.75" customHeight="1">
      <c r="A12601" s="2" t="s">
        <v>12601</v>
      </c>
      <c r="B12601" s="2" t="str">
        <f>IFERROR(__xludf.DUMMYFUNCTION("GOOGLETRANSLATE(A12601, ""en"", ""mt"")"),"Il-Kenja (/ ˈkɛnjə /; lokalment [ˈkɛɲa] (tisma)), uffiċjalment ir-Repubblika tal-Kenja, hija pajjiż fl-Afrika u membru fundatur tal-Komunità tal-Afrika tal-Lvant (EAC). Il-kapitali u l-ikbar belt tagħha hija Nairobi. It-territorju tal-Kenja jinsab fuq l-e"&amp;"kwatur u jegħleb il-qasma tal-Afrika tal-Lvant li tkopri art diversa u espansiva li testendi bejn wieħed u ieħor mill-Lag Victoria sal-Lag Turkana (li qabel kienet tissejjaħ Lag Rudolf) u aktar fix-Xlokk lejn l-Oċean Indjan. Hija mdawra mit-Tanżanija fin-"&amp;"nofsinhar, l-Uganda lejn il-punent, is-Sudan t'Isfel lejn il-majjistral, l-Etjopja fit-tramuntana u s-Somalja fil-grigal. Il-Kenja tkopri 581,309 km2 (224,445 sq mi), u kellha popolazzjoni ta 'madwar 45 miljun persuna f'Lulju 2014.")</f>
        <v>Il-Kenja (/ ˈkɛnjə /; lokalment [ˈkɛɲa] (tisma)), uffiċjalment ir-Repubblika tal-Kenja, hija pajjiż fl-Afrika u membru fundatur tal-Komunità tal-Afrika tal-Lvant (EAC). Il-kapitali u l-ikbar belt tagħha hija Nairobi. It-territorju tal-Kenja jinsab fuq l-ekwatur u jegħleb il-qasma tal-Afrika tal-Lvant li tkopri art diversa u espansiva li testendi bejn wieħed u ieħor mill-Lag Victoria sal-Lag Turkana (li qabel kienet tissejjaħ Lag Rudolf) u aktar fix-Xlokk lejn l-Oċean Indjan. Hija mdawra mit-Tanżanija fin-nofsinhar, l-Uganda lejn il-punent, is-Sudan t'Isfel lejn il-majjistral, l-Etjopja fit-tramuntana u s-Somalja fil-grigal. Il-Kenja tkopri 581,309 km2 (224,445 sq mi), u kellha popolazzjoni ta 'madwar 45 miljun persuna f'Lulju 2014.</v>
      </c>
    </row>
    <row r="12602" ht="15.75" customHeight="1">
      <c r="A12602" s="2" t="s">
        <v>12602</v>
      </c>
      <c r="B12602" s="2" t="str">
        <f>IFERROR(__xludf.DUMMYFUNCTION("GOOGLETRANSLATE(A12602, ""en"", ""mt"")"),"Li tillimita l-ħin u l-ispazju jew kejl simili ħafna drabi jintużaw minn algoritmi biex jiddefinixxu x'inhu?")</f>
        <v>Li tillimita l-ħin u l-ispazju jew kejl simili ħafna drabi jintużaw minn algoritmi biex jiddefinixxu x'inhu?</v>
      </c>
    </row>
    <row r="12603" ht="15.75" customHeight="1">
      <c r="A12603" s="2" t="s">
        <v>12603</v>
      </c>
      <c r="B12603" s="2" t="str">
        <f>IFERROR(__xludf.DUMMYFUNCTION("GOOGLETRANSLATE(A12603, ""en"", ""mt"")"),"framment tad-drapp ta 'San Gereon")</f>
        <v>framment tad-drapp ta 'San Gereon</v>
      </c>
    </row>
    <row r="12604" ht="15.75" customHeight="1">
      <c r="A12604" s="2" t="s">
        <v>12604</v>
      </c>
      <c r="B12604" s="2" t="str">
        <f>IFERROR(__xludf.DUMMYFUNCTION("GOOGLETRANSLATE(A12604, ""en"", ""mt"")"),"Kemm mit-tnedijiet li fadal kellhom suċċess?")</f>
        <v>Kemm mit-tnedijiet li fadal kellhom suċċess?</v>
      </c>
    </row>
    <row r="12605" ht="15.75" customHeight="1">
      <c r="A12605" s="2" t="s">
        <v>12605</v>
      </c>
      <c r="B12605" s="2" t="str">
        <f>IFERROR(__xludf.DUMMYFUNCTION("GOOGLETRANSLATE(A12605, ""en"", ""mt"")"),"It-torque huwa l-ekwivalenti tar-rotazzjoni tal-forza bl-istess mod li l-angolu huwa l-ekwivalenti rotazzjonali għall-pożizzjoni, il-veloċità angolari għall-veloċità, u l-momentum angolari għall-momentum. Bħala konsegwenza tal-ewwel liġi ta 'mozzjoni ta' "&amp;"Newton, teżisti inerzja rotazzjonali li tiżgura li l-korpi kollha jżommu l-momentum angolari tagħhom sakemm ma jaġixxux minn torque żbilanċjat. Bl-istess mod, it-tieni liġi ta 'moviment ta' Newton tista 'tintuża biex toħroġ ekwazzjoni analoga għall-aċċell"&amp;"erazzjoni angolari istantanja tal-korp riġidu:")</f>
        <v>It-torque huwa l-ekwivalenti tar-rotazzjoni tal-forza bl-istess mod li l-angolu huwa l-ekwivalenti rotazzjonali għall-pożizzjoni, il-veloċità angolari għall-veloċità, u l-momentum angolari għall-momentum. Bħala konsegwenza tal-ewwel liġi ta 'mozzjoni ta' Newton, teżisti inerzja rotazzjonali li tiżgura li l-korpi kollha jżommu l-momentum angolari tagħhom sakemm ma jaġixxux minn torque żbilanċjat. Bl-istess mod, it-tieni liġi ta 'moviment ta' Newton tista 'tintuża biex toħroġ ekwazzjoni analoga għall-aċċellerazzjoni angolari istantanja tal-korp riġidu:</v>
      </c>
    </row>
    <row r="12606" ht="15.75" customHeight="1">
      <c r="A12606" s="2" t="s">
        <v>12606</v>
      </c>
      <c r="B12606" s="2" t="str">
        <f>IFERROR(__xludf.DUMMYFUNCTION("GOOGLETRANSLATE(A12606, ""en"", ""mt"")"),"Umoriżmu Amerikan.")</f>
        <v>Umoriżmu Amerikan.</v>
      </c>
    </row>
    <row r="12607" ht="15.75" customHeight="1">
      <c r="A12607" s="2" t="s">
        <v>12607</v>
      </c>
      <c r="B12607" s="2" t="str">
        <f>IFERROR(__xludf.DUMMYFUNCTION("GOOGLETRANSLATE(A12607, ""en"", ""mt"")"),"Dawn il-kotba saru test fundamentali għal liema librerija?")</f>
        <v>Dawn il-kotba saru test fundamentali għal liema librerija?</v>
      </c>
    </row>
    <row r="12608" ht="15.75" customHeight="1">
      <c r="A12608" s="2" t="s">
        <v>12608</v>
      </c>
      <c r="B12608" s="2" t="str">
        <f>IFERROR(__xludf.DUMMYFUNCTION("GOOGLETRANSLATE(A12608, ""en"", ""mt"")"),"15 ° C.")</f>
        <v>15 ° C.</v>
      </c>
    </row>
    <row r="12609" ht="15.75" customHeight="1">
      <c r="A12609" s="2" t="s">
        <v>12609</v>
      </c>
      <c r="B12609" s="2" t="str">
        <f>IFERROR(__xludf.DUMMYFUNCTION("GOOGLETRANSLATE(A12609, ""en"", ""mt"")"),"X'inhu l-ewwel mudell ta 'edukazzjoni, fis-sistema Awstraljana?")</f>
        <v>X'inhu l-ewwel mudell ta 'edukazzjoni, fis-sistema Awstraljana?</v>
      </c>
    </row>
    <row r="12610" ht="15.75" customHeight="1">
      <c r="A12610" s="2" t="s">
        <v>12610</v>
      </c>
      <c r="B12610" s="2" t="str">
        <f>IFERROR(__xludf.DUMMYFUNCTION("GOOGLETRANSLATE(A12610, ""en"", ""mt"")"),"Is-servizz diġitali ta 'BSKYB ġie mniedi uffiċjalment fl-1 ta' Ottubru 1998 taħt l-isem Sky Digital, għalkemm it-testijiet fuq skala żgħira saru qabel dakinhar. F'dan iż-żmien l-użu tal-marka Diġitali Sky għamel distinzjoni importanti bejn is-servizz il-ġ"&amp;"did u s-servizzi analogi ta 'Sky. Il-punti ewlenin tal-bejgħ kienu t-titjib fl-istampi u l-kwalità tal-ħoss, numru miżjud ta 'kanali u servizz interattiv miftuħ .... Issa msejjaħ Sky Active, BSKYB ikkompeta ma' l-offerta terrestri ondigital (aktar tard IT"&amp;"V) offerta u servizzi tal-kejbil. Fi żmien 30 jum, aktar minn 100,000 digiboxes kienu nbiegħu, li jgħinu d-deċiżjoni ta 'BSKYB imsaħħaħ li tagħti lil DigiBoxes u minidish b'xejn minn Mejju 1999.")</f>
        <v>Is-servizz diġitali ta 'BSKYB ġie mniedi uffiċjalment fl-1 ta' Ottubru 1998 taħt l-isem Sky Digital, għalkemm it-testijiet fuq skala żgħira saru qabel dakinhar. F'dan iż-żmien l-użu tal-marka Diġitali Sky għamel distinzjoni importanti bejn is-servizz il-ġdid u s-servizzi analogi ta 'Sky. Il-punti ewlenin tal-bejgħ kienu t-titjib fl-istampi u l-kwalità tal-ħoss, numru miżjud ta 'kanali u servizz interattiv miftuħ .... Issa msejjaħ Sky Active, BSKYB ikkompeta ma' l-offerta terrestri ondigital (aktar tard ITV) offerta u servizzi tal-kejbil. Fi żmien 30 jum, aktar minn 100,000 digiboxes kienu nbiegħu, li jgħinu d-deċiżjoni ta 'BSKYB imsaħħaħ li tagħti lil DigiBoxes u minidish b'xejn minn Mejju 1999.</v>
      </c>
    </row>
    <row r="12611" ht="15.75" customHeight="1">
      <c r="A12611" s="2" t="s">
        <v>12611</v>
      </c>
      <c r="B12611" s="2" t="str">
        <f>IFERROR(__xludf.DUMMYFUNCTION("GOOGLETRANSLATE(A12611, ""en"", ""mt"")"),"Meta sostnew it-Tliet Avukati Ġenerali li d-direttivi għandhom joħolqu drittijiet u dmirijiet għaċ-ċittadini kollha?")</f>
        <v>Meta sostnew it-Tliet Avukati Ġenerali li d-direttivi għandhom joħolqu drittijiet u dmirijiet għaċ-ċittadini kollha?</v>
      </c>
    </row>
    <row r="12612" ht="15.75" customHeight="1">
      <c r="A12612" s="2" t="s">
        <v>12612</v>
      </c>
      <c r="B12612" s="2" t="str">
        <f>IFERROR(__xludf.DUMMYFUNCTION("GOOGLETRANSLATE(A12612, ""en"", ""mt"")"),"Fix-Xjenza, l-alumni jinkludu l-astronomi Carl Sagan, kontributur prominenti għar-riċerka xjentifika tal-ħajja extraterrestrial, u Edwin Hubble, magħrufa għall- ""Liġi ta 'Hubble"", l-astronawt tan-NASA John M. M. Grunsfeld, il-ġenetista James Watson, l-i"&amp;"ktar magħruf bħala wieħed mill-ko- Discoverters of the Structure of DNA, Fiżiċista Esperimentali Luis Alvarez, Ambjentalista Popolari David Suzuki, Balloonist Jeannette Piccard, Bijoloġisti Ernest Everett Just u Lynn Margulis, Xjentist tal-Kompjuter Richa"&amp;"rd Hamming, il-kreatur tal-Kodiċi Hamming, l-iżviluppatur tal-batterija tal-Lithium, John B. , ir-riċevitur tal-Midalja tal-Matematika u tal-Fields Paul Joseph Cohen, u l-ġeokimista Clair Cameron Patterson, li żviluppaw il-metodu ta 'dating taċ-ċomb tal-u"&amp;"ranju fid-dating taċ-ċomb taċ-ċomb. Il-fiżiċista u r-riċerkatur nukleari Stanton Friedman, li ħadem fuq xi proġetti bikrija li jinvolvu sistemi ta 'propulsjoni spazjali li jaħdmu bl-enerġija nukleari, huwa wkoll gradwat (M.SC).")</f>
        <v>Fix-Xjenza, l-alumni jinkludu l-astronomi Carl Sagan, kontributur prominenti għar-riċerka xjentifika tal-ħajja extraterrestrial, u Edwin Hubble, magħrufa għall- "Liġi ta 'Hubble", l-astronawt tan-NASA John M. M. Grunsfeld, il-ġenetista James Watson, l-iktar magħruf bħala wieħed mill-ko- Discoverters of the Structure of DNA, Fiżiċista Esperimentali Luis Alvarez, Ambjentalista Popolari David Suzuki, Balloonist Jeannette Piccard, Bijoloġisti Ernest Everett Just u Lynn Margulis, Xjentist tal-Kompjuter Richard Hamming, il-kreatur tal-Kodiċi Hamming, l-iżviluppatur tal-batterija tal-Lithium, John B. , ir-riċevitur tal-Midalja tal-Matematika u tal-Fields Paul Joseph Cohen, u l-ġeokimista Clair Cameron Patterson, li żviluppaw il-metodu ta 'dating taċ-ċomb tal-uranju fid-dating taċ-ċomb taċ-ċomb. Il-fiżiċista u r-riċerkatur nukleari Stanton Friedman, li ħadem fuq xi proġetti bikrija li jinvolvu sistemi ta 'propulsjoni spazjali li jaħdmu bl-enerġija nukleari, huwa wkoll gradwat (M.SC).</v>
      </c>
    </row>
    <row r="12613" ht="15.75" customHeight="1">
      <c r="A12613" s="2" t="s">
        <v>12613</v>
      </c>
      <c r="B12613" s="2" t="str">
        <f>IFERROR(__xludf.DUMMYFUNCTION("GOOGLETRANSLATE(A12613, ""en"", ""mt"")"),"Liema Doctor Who Show ġie kkanċellat għaliex kien ikkunsidrat razzist?")</f>
        <v>Liema Doctor Who Show ġie kkanċellat għaliex kien ikkunsidrat razzist?</v>
      </c>
    </row>
    <row r="12614" ht="15.75" customHeight="1">
      <c r="A12614" s="2" t="s">
        <v>12614</v>
      </c>
      <c r="B12614" s="2" t="str">
        <f>IFERROR(__xludf.DUMMYFUNCTION("GOOGLETRANSLATE(A12614, ""en"", ""mt"")"),"Jacksonville jinsab fl-ewwel reġjun tal-kosta tal-Grigal ta ’Florida u huwa ċċentrat fuq il-banek tax-Xmara San Ġwann, madwar 25 mil (40 km) fin-nofsinhar tal-linja tal-istat tal-Ġeorġja u madwar 340 mil (550 km) fit-tramuntana ta’ Miami. Il-komunitajiet "&amp;"tal-bajjiet ta 'Jacksonville huma tul il-kosta ta' l-Atlantiku li jmissu magħhom. Iż-żona kienet oriġinarjament abitata mill-poplu ta 'Timucua, u fl-1564 kien is-sit tal-kolonja Franċiża ta' Fort Caroline, wieħed mill-ewwel insedjamenti Ewropej f'dak li i"&amp;"ssa huwa l-Istati Uniti kontinentali. Taħt il-ħakma Ingliża, is-soluzzjoni kibret fil-punt dejjaq fix-xmara fejn il-baqar qasmu, magħrufa bħala Wacca Pilatka għas-Seminole u l-baqra Ford lill-Ingliżi. Ġiet stabbilita belt imqabbda hemmhekk fl-1822, sena w"&amp;"ara li l-Istati Uniti kisbu Florida minn Spanja; Ġie msemmi wara Andrew Jackson, l-ewwel gvernatur militari tat-Territorju ta ’Florida u s-Seba’ President tal-Istati Uniti.")</f>
        <v>Jacksonville jinsab fl-ewwel reġjun tal-kosta tal-Grigal ta ’Florida u huwa ċċentrat fuq il-banek tax-Xmara San Ġwann, madwar 25 mil (40 km) fin-nofsinhar tal-linja tal-istat tal-Ġeorġja u madwar 340 mil (550 km) fit-tramuntana ta’ Miami. Il-komunitajiet tal-bajjiet ta 'Jacksonville huma tul il-kosta ta' l-Atlantiku li jmissu magħhom. Iż-żona kienet oriġinarjament abitata mill-poplu ta 'Timucua, u fl-1564 kien is-sit tal-kolonja Franċiża ta' Fort Caroline, wieħed mill-ewwel insedjamenti Ewropej f'dak li issa huwa l-Istati Uniti kontinentali. Taħt il-ħakma Ingliża, is-soluzzjoni kibret fil-punt dejjaq fix-xmara fejn il-baqar qasmu, magħrufa bħala Wacca Pilatka għas-Seminole u l-baqra Ford lill-Ingliżi. Ġiet stabbilita belt imqabbda hemmhekk fl-1822, sena wara li l-Istati Uniti kisbu Florida minn Spanja; Ġie msemmi wara Andrew Jackson, l-ewwel gvernatur militari tat-Territorju ta ’Florida u s-Seba’ President tal-Istati Uniti.</v>
      </c>
    </row>
    <row r="12615" ht="15.75" customHeight="1">
      <c r="A12615" s="2" t="s">
        <v>12615</v>
      </c>
      <c r="B12615" s="2" t="str">
        <f>IFERROR(__xludf.DUMMYFUNCTION("GOOGLETRANSLATE(A12615, ""en"", ""mt"")"),"Problema tal-funzjoni hija eżempju ta 'xiex?")</f>
        <v>Problema tal-funzjoni hija eżempju ta 'xiex?</v>
      </c>
    </row>
    <row r="12616" ht="15.75" customHeight="1">
      <c r="A12616" s="2" t="s">
        <v>12616</v>
      </c>
      <c r="B12616" s="2" t="str">
        <f>IFERROR(__xludf.DUMMYFUNCTION("GOOGLETRANSLATE(A12616, ""en"", ""mt"")"),"takkwista nutrijenti")</f>
        <v>takkwista nutrijenti</v>
      </c>
    </row>
    <row r="12617" ht="15.75" customHeight="1">
      <c r="A12617" s="2" t="s">
        <v>12617</v>
      </c>
      <c r="B12617" s="2" t="str">
        <f>IFERROR(__xludf.DUMMYFUNCTION("GOOGLETRANSLATE(A12617, ""en"", ""mt"")"),"Kemm kontej inizjalment għamlu d-definizzjoni tan-Nofsinhar ta 'California?")</f>
        <v>Kemm kontej inizjalment għamlu d-definizzjoni tan-Nofsinhar ta 'California?</v>
      </c>
    </row>
    <row r="12618" ht="15.75" customHeight="1">
      <c r="A12618" s="2" t="s">
        <v>12618</v>
      </c>
      <c r="B12618" s="2" t="str">
        <f>IFERROR(__xludf.DUMMYFUNCTION("GOOGLETRANSLATE(A12618, ""en"", ""mt"")"),"Ir-rebħiet Ingliżi komplew fit-teatri kollha fl-Annus Mirabilis tal-1759, meta finalment qabdu Ticonderoga, James Wolfe għeleb lil Montcalm fil-Quebec (f’battalja li ddikjarat il-ħajja taż-żewġ kmandanti), u r-rebħa fil-Fort Niagara qatgħet b’suċċess il-F"&amp;"rontier Forder Franċiż aktar lejn il-punent u n-nofsinhar. Ir-rebħa saret kompluta fl-1760 meta, minkejja li tilfet barra l-Belt ta ’Quebec fil-battalja ta’ Sainte-Foy, l-Ingliżi setgħu jipprevjenu l-wasla ta ’vapuri ta’ għajnuna Franċiżi fil-battalja nav"&amp;"ali tar-Restigouche waqt li l-armati marru fuq Montreal minn tliet naħat.")</f>
        <v>Ir-rebħiet Ingliżi komplew fit-teatri kollha fl-Annus Mirabilis tal-1759, meta finalment qabdu Ticonderoga, James Wolfe għeleb lil Montcalm fil-Quebec (f’battalja li ddikjarat il-ħajja taż-żewġ kmandanti), u r-rebħa fil-Fort Niagara qatgħet b’suċċess il-Frontier Forder Franċiż aktar lejn il-punent u n-nofsinhar. Ir-rebħa saret kompluta fl-1760 meta, minkejja li tilfet barra l-Belt ta ’Quebec fil-battalja ta’ Sainte-Foy, l-Ingliżi setgħu jipprevjenu l-wasla ta ’vapuri ta’ għajnuna Franċiżi fil-battalja navali tar-Restigouche waqt li l-armati marru fuq Montreal minn tliet naħat.</v>
      </c>
    </row>
    <row r="12619" ht="15.75" customHeight="1">
      <c r="A12619" s="2" t="s">
        <v>12619</v>
      </c>
      <c r="B12619" s="2" t="str">
        <f>IFERROR(__xludf.DUMMYFUNCTION("GOOGLETRANSLATE(A12619, ""en"", ""mt"")"),"Ma 'min ħarab id-Duka Yansheng Kong Duanyou?")</f>
        <v>Ma 'min ħarab id-Duka Yansheng Kong Duanyou?</v>
      </c>
    </row>
    <row r="12620" ht="15.75" customHeight="1">
      <c r="A12620" s="2" t="s">
        <v>12620</v>
      </c>
      <c r="B12620" s="2" t="str">
        <f>IFERROR(__xludf.DUMMYFUNCTION("GOOGLETRANSLATE(A12620, ""en"", ""mt"")"),"tkabbir kostanti")</f>
        <v>tkabbir kostanti</v>
      </c>
    </row>
    <row r="12621" ht="15.75" customHeight="1">
      <c r="A12621" s="2" t="s">
        <v>12621</v>
      </c>
      <c r="B12621" s="2" t="str">
        <f>IFERROR(__xludf.DUMMYFUNCTION("GOOGLETRANSLATE(A12621, ""en"", ""mt"")"),"9 ta 'Frar, 1953")</f>
        <v>9 ta 'Frar, 1953</v>
      </c>
    </row>
    <row r="12622" ht="15.75" customHeight="1">
      <c r="A12622" s="2" t="s">
        <v>12622</v>
      </c>
      <c r="B12622" s="2" t="str">
        <f>IFERROR(__xludf.DUMMYFUNCTION("GOOGLETRANSLATE(A12622, ""en"", ""mt"")"),"Saff ta 'ożonu ta' altitudni għolja")</f>
        <v>Saff ta 'ożonu ta' altitudni għolja</v>
      </c>
    </row>
    <row r="12623" ht="15.75" customHeight="1">
      <c r="A12623" s="2" t="s">
        <v>12623</v>
      </c>
      <c r="B12623" s="2" t="str">
        <f>IFERROR(__xludf.DUMMYFUNCTION("GOOGLETRANSLATE(A12623, ""en"", ""mt"")"),"Fl-1983, għall-40 anniversarju mill-fundaturi tan-netwerk, is-sekwenzi tal-ID kellhom il-logo jidhru fid-disinn CGI tad-deheb fuq sfond blu, akkumpanjat mill-islogan ""dak is-sentiment speċjali"" f'tipa ta 'skript. Għaxar snin wara, fl-1993, il-logo ""ABC"&amp;" Circle"" reġa 'lura għall-iskema klassika tiegħu ta' kulur abjad fuq iswed, iżda b'effetti ta 'tleqqija kemm fuq iċ-ċirku kif ukoll fuq l-ittri, u fruntiera tal-bronż li tdawwar iċ-ċirku. Il-logo ABC l-ewwel deher bħala bug fuq l-iskrin fl-istaġun 1993–9"&amp;"4, li jidher inizjalment biss għal 60 sekonda fil-bidu ta 'att jew segment, qabel ma jidher matul il-programmi (ħlief waqt brejkijiet kummerċjali) li jibda fl-istaġun 1995-1996 ; L-iterazzjonijiet rispettivi tal-bug tal-logo trasluċenti ġew inkorporati wk"&amp;"oll fil-promozzjonijiet tal-programm sal-istaġun 2011-12.")</f>
        <v>Fl-1983, għall-40 anniversarju mill-fundaturi tan-netwerk, is-sekwenzi tal-ID kellhom il-logo jidhru fid-disinn CGI tad-deheb fuq sfond blu, akkumpanjat mill-islogan "dak is-sentiment speċjali" f'tipa ta 'skript. Għaxar snin wara, fl-1993, il-logo "ABC Circle" reġa 'lura għall-iskema klassika tiegħu ta' kulur abjad fuq iswed, iżda b'effetti ta 'tleqqija kemm fuq iċ-ċirku kif ukoll fuq l-ittri, u fruntiera tal-bronż li tdawwar iċ-ċirku. Il-logo ABC l-ewwel deher bħala bug fuq l-iskrin fl-istaġun 1993–94, li jidher inizjalment biss għal 60 sekonda fil-bidu ta 'att jew segment, qabel ma jidher matul il-programmi (ħlief waqt brejkijiet kummerċjali) li jibda fl-istaġun 1995-1996 ; L-iterazzjonijiet rispettivi tal-bug tal-logo trasluċenti ġew inkorporati wkoll fil-promozzjonijiet tal-programm sal-istaġun 2011-12.</v>
      </c>
    </row>
    <row r="12624" ht="15.75" customHeight="1">
      <c r="A12624" s="2" t="s">
        <v>12624</v>
      </c>
      <c r="B12624" s="2" t="str">
        <f>IFERROR(__xludf.DUMMYFUNCTION("GOOGLETRANSLATE(A12624, ""en"", ""mt"")"),"salamun chum")</f>
        <v>salamun chum</v>
      </c>
    </row>
    <row r="12625" ht="15.75" customHeight="1">
      <c r="A12625" s="2" t="s">
        <v>12625</v>
      </c>
      <c r="B12625" s="2" t="str">
        <f>IFERROR(__xludf.DUMMYFUNCTION("GOOGLETRANSLATE(A12625, ""en"", ""mt"")"),"Diviżjoni tal-funzjonijiet u kompiti bejn l-ospiti fit-tarf tan-netwerk u l-qalba tan-netwerk")</f>
        <v>Diviżjoni tal-funzjonijiet u kompiti bejn l-ospiti fit-tarf tan-netwerk u l-qalba tan-netwerk</v>
      </c>
    </row>
    <row r="12626" ht="15.75" customHeight="1">
      <c r="A12626" s="2" t="s">
        <v>12626</v>
      </c>
      <c r="B12626" s="2" t="str">
        <f>IFERROR(__xludf.DUMMYFUNCTION("GOOGLETRANSLATE(A12626, ""en"", ""mt"")"),"Minn xiex idur mal-ġenb jipproteġi l-kloroplasti?")</f>
        <v>Minn xiex idur mal-ġenb jipproteġi l-kloroplasti?</v>
      </c>
    </row>
    <row r="12627" ht="15.75" customHeight="1">
      <c r="A12627" s="2" t="s">
        <v>12627</v>
      </c>
      <c r="B12627" s="2" t="str">
        <f>IFERROR(__xludf.DUMMYFUNCTION("GOOGLETRANSLATE(A12627, ""en"", ""mt"")"),"Netwerk ta 'Tifel Qadim")</f>
        <v>Netwerk ta 'Tifel Qadim</v>
      </c>
    </row>
    <row r="12628" ht="15.75" customHeight="1">
      <c r="A12628" s="2" t="s">
        <v>12628</v>
      </c>
      <c r="B12628" s="2" t="str">
        <f>IFERROR(__xludf.DUMMYFUNCTION("GOOGLETRANSLATE(A12628, ""en"", ""mt"")"),"Ħames darbiet aktar baxxa")</f>
        <v>Ħames darbiet aktar baxxa</v>
      </c>
    </row>
    <row r="12629" ht="15.75" customHeight="1">
      <c r="A12629" s="2" t="s">
        <v>12629</v>
      </c>
      <c r="B12629" s="2" t="str">
        <f>IFERROR(__xludf.DUMMYFUNCTION("GOOGLETRANSLATE(A12629, ""en"", ""mt"")"),"L-aħjar kumplessità tal-każ, l-agħar u medja tirreferi għal tliet modi differenti ta 'kejl tal-kumplessità tal-ħin (jew kwalunkwe miżura ta' kumplessità oħra) ta 'inputs differenti ta' l-istess daqs. Peress li xi inputs ta 'daqs n jistgħu jkunu aktar mgħa"&amp;"ġġla biex isolvu minn oħrajn, aħna niddefinixxu l-kumplessitajiet li ġejjin:")</f>
        <v>L-aħjar kumplessità tal-każ, l-agħar u medja tirreferi għal tliet modi differenti ta 'kejl tal-kumplessità tal-ħin (jew kwalunkwe miżura ta' kumplessità oħra) ta 'inputs differenti ta' l-istess daqs. Peress li xi inputs ta 'daqs n jistgħu jkunu aktar mgħaġġla biex isolvu minn oħrajn, aħna niddefinixxu l-kumplessitajiet li ġejjin:</v>
      </c>
    </row>
    <row r="12630" ht="15.75" customHeight="1">
      <c r="A12630" s="2" t="s">
        <v>12630</v>
      </c>
      <c r="B12630" s="2" t="str">
        <f>IFERROR(__xludf.DUMMYFUNCTION("GOOGLETRANSLATE(A12630, ""en"", ""mt"")"),"Kolonjaliżmu intern")</f>
        <v>Kolonjaliżmu intern</v>
      </c>
    </row>
    <row r="12631" ht="15.75" customHeight="1">
      <c r="A12631" s="2" t="s">
        <v>12631</v>
      </c>
      <c r="B12631" s="2" t="str">
        <f>IFERROR(__xludf.DUMMYFUNCTION("GOOGLETRANSLATE(A12631, ""en"", ""mt"")"),"L-Innu Nazzjonali")</f>
        <v>L-Innu Nazzjonali</v>
      </c>
    </row>
    <row r="12632" ht="15.75" customHeight="1">
      <c r="A12632" s="2" t="s">
        <v>12632</v>
      </c>
      <c r="B12632" s="2" t="str">
        <f>IFERROR(__xludf.DUMMYFUNCTION("GOOGLETRANSLATE(A12632, ""en"", ""mt"")"),"it-tieni gleichschaltung")</f>
        <v>it-tieni gleichschaltung</v>
      </c>
    </row>
    <row r="12633" ht="15.75" customHeight="1">
      <c r="A12633" s="2" t="s">
        <v>12633</v>
      </c>
      <c r="B12633" s="2" t="str">
        <f>IFERROR(__xludf.DUMMYFUNCTION("GOOGLETRANSLATE(A12633, ""en"", ""mt"")"),"il-poteri sekulari")</f>
        <v>il-poteri sekulari</v>
      </c>
    </row>
    <row r="12634" ht="15.75" customHeight="1">
      <c r="A12634" s="2" t="s">
        <v>12634</v>
      </c>
      <c r="B12634" s="2" t="str">
        <f>IFERROR(__xludf.DUMMYFUNCTION("GOOGLETRANSLATE(A12634, ""en"", ""mt"")"),"Input kontinwu tas-sediment fil-lag")</f>
        <v>Input kontinwu tas-sediment fil-lag</v>
      </c>
    </row>
    <row r="12635" ht="15.75" customHeight="1">
      <c r="A12635" s="2" t="s">
        <v>12635</v>
      </c>
      <c r="B12635" s="2" t="str">
        <f>IFERROR(__xludf.DUMMYFUNCTION("GOOGLETRANSLATE(A12635, ""en"", ""mt"")"),"Prim Ministru")</f>
        <v>Prim Ministru</v>
      </c>
    </row>
    <row r="12636" ht="15.75" customHeight="1">
      <c r="A12636" s="2" t="s">
        <v>12636</v>
      </c>
      <c r="B12636" s="2" t="str">
        <f>IFERROR(__xludf.DUMMYFUNCTION("GOOGLETRANSLATE(A12636, ""en"", ""mt"")"),"Mużew tal-Manifatturi")</f>
        <v>Mużew tal-Manifatturi</v>
      </c>
    </row>
    <row r="12637" ht="15.75" customHeight="1">
      <c r="A12637" s="2" t="s">
        <v>12637</v>
      </c>
      <c r="B12637" s="2" t="str">
        <f>IFERROR(__xludf.DUMMYFUNCTION("GOOGLETRANSLATE(A12637, ""en"", ""mt"")"),"Min normalment jaħdem flimkien?")</f>
        <v>Min normalment jaħdem flimkien?</v>
      </c>
    </row>
    <row r="12638" ht="15.75" customHeight="1">
      <c r="A12638" s="2" t="s">
        <v>12638</v>
      </c>
      <c r="B12638" s="2" t="str">
        <f>IFERROR(__xludf.DUMMYFUNCTION("GOOGLETRANSLATE(A12638, ""en"", ""mt"")"),"Qabel it-taqsimiet ta 'dating iżotopiku tal-blat kellhom jiġu ddatati bl-użu ta' fossili u korrelazzjoni stratigrafika relattiva għal xiex?")</f>
        <v>Qabel it-taqsimiet ta 'dating iżotopiku tal-blat kellhom jiġu ddatati bl-użu ta' fossili u korrelazzjoni stratigrafika relattiva għal xiex?</v>
      </c>
    </row>
    <row r="12639" ht="15.75" customHeight="1">
      <c r="A12639" s="2" t="s">
        <v>12639</v>
      </c>
      <c r="B12639" s="2" t="str">
        <f>IFERROR(__xludf.DUMMYFUNCTION("GOOGLETRANSLATE(A12639, ""en"", ""mt"")"),"ħlas għal kull unità ta 'ħin ta' konnessjoni")</f>
        <v>ħlas għal kull unità ta 'ħin ta' konnessjoni</v>
      </c>
    </row>
    <row r="12640" ht="15.75" customHeight="1">
      <c r="A12640" s="2" t="s">
        <v>12640</v>
      </c>
      <c r="B12640" s="2" t="str">
        <f>IFERROR(__xludf.DUMMYFUNCTION("GOOGLETRANSLATE(A12640, ""en"", ""mt"")"),"Fuq liema riżorsi naturali l-gvern Ċiniż kellu monopolju?")</f>
        <v>Fuq liema riżorsi naturali l-gvern Ċiniż kellu monopolju?</v>
      </c>
    </row>
    <row r="12641" ht="15.75" customHeight="1">
      <c r="A12641" s="2" t="s">
        <v>12641</v>
      </c>
      <c r="B12641" s="2" t="str">
        <f>IFERROR(__xludf.DUMMYFUNCTION("GOOGLETRANSLATE(A12641, ""en"", ""mt"")"),"Fitch Digger")</f>
        <v>Fitch Digger</v>
      </c>
    </row>
    <row r="12642" ht="15.75" customHeight="1">
      <c r="A12642" s="2" t="s">
        <v>12642</v>
      </c>
      <c r="B12642" s="2" t="str">
        <f>IFERROR(__xludf.DUMMYFUNCTION("GOOGLETRANSLATE(A12642, ""en"", ""mt"")"),"Reazzjoni ta 'azzjoni")</f>
        <v>Reazzjoni ta 'azzjoni</v>
      </c>
    </row>
    <row r="12643" ht="15.75" customHeight="1">
      <c r="A12643" s="2" t="s">
        <v>12643</v>
      </c>
      <c r="B12643" s="2" t="str">
        <f>IFERROR(__xludf.DUMMYFUNCTION("GOOGLETRANSLATE(A12643, ""en"", ""mt"")"),"Filosofi fl-antikità użaw il-kunċett ta ’forza fl-istudju ta’ oġġetti wieqfa u li jiċċaqilqu u magni sempliċi, iżda ħassieba bħal Aristotile u Archimedes żammew żbalji fundamentali fil-fehim tal-forza. Parzjalment dan kien dovut għal fehim mhux komplut ta"&amp;"l-forza ta 'frizzjoni kultant mhux ovvja, u konsegwentement veduta inadegwata tan-natura tal-moviment naturali. Żball fundamentali kien it-twemmin li forza hija meħtieġa biex iżżomm il-moviment, anke b'veloċità kostanti. Il-biċċa l-kbira tan-nuqqas ta 'ft"&amp;"ehim preċedenti dwar il-moviment u l-forza eventwalment ġew ikkoreġuti minn Galileo Galilei u Sir Isaac Newton. Bl-għarfien matematiku tiegħu, Sir Isaac Newton fformula liġijiet ta 'mozzjoni li ma kinux imtejba għal kważi tliet mitt sena. Sal-bidu tas-sek"&amp;"lu 20, Einstein żviluppa teorija tar-Relatività li bassret b'mod korrett l-azzjoni tal-forzi fuq oġġetti b'momment dejjem jiżdied ħdejn il-veloċità tad-dawl, u pprovda wkoll għarfien dwar il-forzi prodotti mill-gravitazzjoni u l-inerzja.")</f>
        <v>Filosofi fl-antikità użaw il-kunċett ta ’forza fl-istudju ta’ oġġetti wieqfa u li jiċċaqilqu u magni sempliċi, iżda ħassieba bħal Aristotile u Archimedes żammew żbalji fundamentali fil-fehim tal-forza. Parzjalment dan kien dovut għal fehim mhux komplut tal-forza ta 'frizzjoni kultant mhux ovvja, u konsegwentement veduta inadegwata tan-natura tal-moviment naturali. Żball fundamentali kien it-twemmin li forza hija meħtieġa biex iżżomm il-moviment, anke b'veloċità kostanti. Il-biċċa l-kbira tan-nuqqas ta 'ftehim preċedenti dwar il-moviment u l-forza eventwalment ġew ikkoreġuti minn Galileo Galilei u Sir Isaac Newton. Bl-għarfien matematiku tiegħu, Sir Isaac Newton fformula liġijiet ta 'mozzjoni li ma kinux imtejba għal kważi tliet mitt sena. Sal-bidu tas-seklu 20, Einstein żviluppa teorija tar-Relatività li bassret b'mod korrett l-azzjoni tal-forzi fuq oġġetti b'momment dejjem jiżdied ħdejn il-veloċità tad-dawl, u pprovda wkoll għarfien dwar il-forzi prodotti mill-gravitazzjoni u l-inerzja.</v>
      </c>
    </row>
    <row r="12644" ht="15.75" customHeight="1">
      <c r="A12644" s="2" t="s">
        <v>12644</v>
      </c>
      <c r="B12644" s="2" t="str">
        <f>IFERROR(__xludf.DUMMYFUNCTION("GOOGLETRANSLATE(A12644, ""en"", ""mt"")"),"Materjali mdewba ħdejn krater tal-impatt.")</f>
        <v>Materjali mdewba ħdejn krater tal-impatt.</v>
      </c>
    </row>
    <row r="12645" ht="15.75" customHeight="1">
      <c r="A12645" s="2" t="s">
        <v>12645</v>
      </c>
      <c r="B12645" s="2" t="str">
        <f>IFERROR(__xludf.DUMMYFUNCTION("GOOGLETRANSLATE(A12645, ""en"", ""mt"")"),"temperaturi li huma kesħin wisq fl-Ewropa tat-Tramuntana għas-sopravivenza tal-briegħed")</f>
        <v>temperaturi li huma kesħin wisq fl-Ewropa tat-Tramuntana għas-sopravivenza tal-briegħed</v>
      </c>
    </row>
    <row r="12646" ht="15.75" customHeight="1">
      <c r="A12646" s="2" t="s">
        <v>12646</v>
      </c>
      <c r="B12646" s="2" t="str">
        <f>IFERROR(__xludf.DUMMYFUNCTION("GOOGLETRANSLATE(A12646, ""en"", ""mt"")"),"It-Task Force tal-Etika Sesswali tal-Knisja Metodista Magħquda")</f>
        <v>It-Task Force tal-Etika Sesswali tal-Knisja Metodista Magħquda</v>
      </c>
    </row>
    <row r="12647" ht="15.75" customHeight="1">
      <c r="A12647" s="2" t="s">
        <v>12647</v>
      </c>
      <c r="B12647" s="2" t="str">
        <f>IFERROR(__xludf.DUMMYFUNCTION("GOOGLETRANSLATE(A12647, ""en"", ""mt"")"),"Truf difensivi")</f>
        <v>Truf difensivi</v>
      </c>
    </row>
    <row r="12648" ht="15.75" customHeight="1">
      <c r="A12648" s="2" t="s">
        <v>12648</v>
      </c>
      <c r="B12648" s="2" t="str">
        <f>IFERROR(__xludf.DUMMYFUNCTION("GOOGLETRANSLATE(A12648, ""en"", ""mt"")"),"Diffikultà ta 'l-intonazzjoni tagħha")</f>
        <v>Diffikultà ta 'l-intonazzjoni tagħha</v>
      </c>
    </row>
    <row r="12649" ht="15.75" customHeight="1">
      <c r="A12649" s="2" t="s">
        <v>12649</v>
      </c>
      <c r="B12649" s="2" t="str">
        <f>IFERROR(__xludf.DUMMYFUNCTION("GOOGLETRANSLATE(A12649, ""en"", ""mt"")"),"ir-rwol tagħha fil-fotosintesi")</f>
        <v>ir-rwol tagħha fil-fotosintesi</v>
      </c>
    </row>
    <row r="12650" ht="15.75" customHeight="1">
      <c r="A12650" s="2" t="s">
        <v>12650</v>
      </c>
      <c r="B12650" s="2" t="str">
        <f>IFERROR(__xludf.DUMMYFUNCTION("GOOGLETRANSLATE(A12650, ""en"", ""mt"")"),"Fl-2011 u l-2012")</f>
        <v>Fl-2011 u l-2012</v>
      </c>
    </row>
    <row r="12651" ht="15.75" customHeight="1">
      <c r="A12651" s="2" t="s">
        <v>12651</v>
      </c>
      <c r="B12651" s="2" t="str">
        <f>IFERROR(__xludf.DUMMYFUNCTION("GOOGLETRANSLATE(A12651, ""en"", ""mt"")"),"Konsum tal-Ħin u l-Memorja")</f>
        <v>Konsum tal-Ħin u l-Memorja</v>
      </c>
    </row>
    <row r="12652" ht="15.75" customHeight="1">
      <c r="A12652" s="2" t="s">
        <v>12652</v>
      </c>
      <c r="B12652" s="2" t="str">
        <f>IFERROR(__xludf.DUMMYFUNCTION("GOOGLETRANSLATE(A12652, ""en"", ""mt"")"),"Kif irreaġixxa r-re l-ġdid għall-Huguenots?")</f>
        <v>Kif irreaġixxa r-re l-ġdid għall-Huguenots?</v>
      </c>
    </row>
    <row r="12653" ht="15.75" customHeight="1">
      <c r="A12653" s="2" t="s">
        <v>12653</v>
      </c>
      <c r="B12653" s="2" t="str">
        <f>IFERROR(__xludf.DUMMYFUNCTION("GOOGLETRANSLATE(A12653, ""en"", ""mt"")"),"X'inhu li tiġġustifika l-Grace magħrufa wkoll bħala llum?")</f>
        <v>X'inhu li tiġġustifika l-Grace magħrufa wkoll bħala llum?</v>
      </c>
    </row>
    <row r="12654" ht="15.75" customHeight="1">
      <c r="A12654" s="2" t="s">
        <v>12654</v>
      </c>
      <c r="B12654" s="2" t="str">
        <f>IFERROR(__xludf.DUMMYFUNCTION("GOOGLETRANSLATE(A12654, ""en"", ""mt"")"),"varjetà wiesgħa ta 'aġenti, magħrufa bħala patoġeni, minn viruses għal dud parassitiku")</f>
        <v>varjetà wiesgħa ta 'aġenti, magħrufa bħala patoġeni, minn viruses għal dud parassitiku</v>
      </c>
    </row>
    <row r="12655" ht="15.75" customHeight="1">
      <c r="A12655" s="2" t="s">
        <v>12655</v>
      </c>
      <c r="B12655" s="2" t="str">
        <f>IFERROR(__xludf.DUMMYFUNCTION("GOOGLETRANSLATE(A12655, ""en"", ""mt"")"),"Gvern Vittorjan")</f>
        <v>Gvern Vittorjan</v>
      </c>
    </row>
    <row r="12656" ht="15.75" customHeight="1">
      <c r="A12656" s="2" t="s">
        <v>12656</v>
      </c>
      <c r="B12656" s="2" t="str">
        <f>IFERROR(__xludf.DUMMYFUNCTION("GOOGLETRANSLATE(A12656, ""en"", ""mt"")"),"Xi forom ta 'diżubbidjenza ċivili, bħal bojkotts illegali, ċaħdiet li jħallsu t-taxxi, abbozzi ta' dodging, attakki ta 'ċaħda ta' servizz imqassma, u sit-ins, jagħmluha aktar diffiċli għal sistema li tiffunzjona. B'dan il-mod, dawn jistgħu jiġu kkunsidrat"&amp;"i kostruttivi. Brownlee jinnota li ""għalkemm id-diżubbidjenti ċivili huma limitati fl-użu tagħhom ta 'sfurzar mill-għan kuxjenzjuż tagħhom li jidħlu fid-djalogu morali, madankollu jistgħu jsibuha neċessarja li jimpjegaw sfurzar limitat sabiex jiksbu l-ħr"&amp;"uġ tagħhom fuq il-mejda."" L-organizzazzjoni Plowshares għalqet temporanjament il-GCSB Waihopai billi tittajjar il-gradi u tuża Sickles biex tiddefla waħda mill-koppji l-kbar li jkopru żewġ platti bis-satellita.")</f>
        <v>Xi forom ta 'diżubbidjenza ċivili, bħal bojkotts illegali, ċaħdiet li jħallsu t-taxxi, abbozzi ta' dodging, attakki ta 'ċaħda ta' servizz imqassma, u sit-ins, jagħmluha aktar diffiċli għal sistema li tiffunzjona. B'dan il-mod, dawn jistgħu jiġu kkunsidrati kostruttivi. Brownlee jinnota li "għalkemm id-diżubbidjenti ċivili huma limitati fl-użu tagħhom ta 'sfurzar mill-għan kuxjenzjuż tagħhom li jidħlu fid-djalogu morali, madankollu jistgħu jsibuha neċessarja li jimpjegaw sfurzar limitat sabiex jiksbu l-ħruġ tagħhom fuq il-mejda." L-organizzazzjoni Plowshares għalqet temporanjament il-GCSB Waihopai billi tittajjar il-gradi u tuża Sickles biex tiddefla waħda mill-koppji l-kbar li jkopru żewġ platti bis-satellita.</v>
      </c>
    </row>
    <row r="12657" ht="15.75" customHeight="1">
      <c r="A12657" s="2" t="s">
        <v>12657</v>
      </c>
      <c r="B12657" s="2" t="str">
        <f>IFERROR(__xludf.DUMMYFUNCTION("GOOGLETRANSLATE(A12657, ""en"", ""mt"")"),"Għaliex is-serje ntemmet fl-2011?")</f>
        <v>Għaliex is-serje ntemmet fl-2011?</v>
      </c>
    </row>
    <row r="12658" ht="15.75" customHeight="1">
      <c r="A12658" s="2" t="s">
        <v>12658</v>
      </c>
      <c r="B12658" s="2" t="str">
        <f>IFERROR(__xludf.DUMMYFUNCTION("GOOGLETRANSLATE(A12658, ""en"", ""mt"")"),"moderat")</f>
        <v>moderat</v>
      </c>
    </row>
    <row r="12659" ht="15.75" customHeight="1">
      <c r="A12659" s="2" t="s">
        <v>12659</v>
      </c>
      <c r="B12659" s="2" t="str">
        <f>IFERROR(__xludf.DUMMYFUNCTION("GOOGLETRANSLATE(A12659, ""en"", ""mt"")"),"Asja")</f>
        <v>Asja</v>
      </c>
    </row>
    <row r="12660" ht="15.75" customHeight="1">
      <c r="A12660" s="2" t="s">
        <v>12660</v>
      </c>
      <c r="B12660" s="2" t="str">
        <f>IFERROR(__xludf.DUMMYFUNCTION("GOOGLETRANSLATE(A12660, ""en"", ""mt"")"),"li sistema ta 'qsim ta' ħin, ibbażata fuq ix-xogħol ta 'Kemney f'Dartmouth - li uża kompjuter b'self minn GE - jista' jkun ta 'profitt")</f>
        <v>li sistema ta 'qsim ta' ħin, ibbażata fuq ix-xogħol ta 'Kemney f'Dartmouth - li uża kompjuter b'self minn GE - jista' jkun ta 'profitt</v>
      </c>
    </row>
    <row r="12661" ht="15.75" customHeight="1">
      <c r="A12661" s="2" t="s">
        <v>12661</v>
      </c>
      <c r="B12661" s="2" t="str">
        <f>IFERROR(__xludf.DUMMYFUNCTION("GOOGLETRANSLATE(A12661, ""en"", ""mt"")"),"Johann Eck, li tkellem f'isem l-Imperu bħala assistent tal-Arċisqof ta 'Trier, ippreżenta lil Luther b'kopji tal-kitbiet tiegħu mqiegħda fuq mejda u staqsih jekk il-kotba kienu tiegħu, u jekk hux kien bil-kontenut tagħhom. Luther ikkonferma li kien l-awtu"&amp;"r tagħhom, iżda talab ħin biex jaħseb dwar it-tweġiba għat-tieni mistoqsija. Huwa talab, ikkonsulta ħbieb, u ta r-risposta tiegħu l-għada:")</f>
        <v>Johann Eck, li tkellem f'isem l-Imperu bħala assistent tal-Arċisqof ta 'Trier, ippreżenta lil Luther b'kopji tal-kitbiet tiegħu mqiegħda fuq mejda u staqsih jekk il-kotba kienu tiegħu, u jekk hux kien bil-kontenut tagħhom. Luther ikkonferma li kien l-awtur tagħhom, iżda talab ħin biex jaħseb dwar it-tweġiba għat-tieni mistoqsija. Huwa talab, ikkonsulta ħbieb, u ta r-risposta tiegħu l-għada:</v>
      </c>
    </row>
    <row r="12662" ht="15.75" customHeight="1">
      <c r="A12662" s="2" t="s">
        <v>12662</v>
      </c>
      <c r="B12662" s="2" t="str">
        <f>IFERROR(__xludf.DUMMYFUNCTION("GOOGLETRANSLATE(A12662, ""en"", ""mt"")"),"20–18")</f>
        <v>20–18</v>
      </c>
    </row>
    <row r="12663" ht="15.75" customHeight="1">
      <c r="A12663" s="2" t="s">
        <v>12663</v>
      </c>
      <c r="B12663" s="2" t="str">
        <f>IFERROR(__xludf.DUMMYFUNCTION("GOOGLETRANSLATE(A12663, ""en"", ""mt"")"),"patoġen speċifiku")</f>
        <v>patoġen speċifiku</v>
      </c>
    </row>
    <row r="12664" ht="15.75" customHeight="1">
      <c r="A12664" s="2" t="s">
        <v>12664</v>
      </c>
      <c r="B12664" s="2" t="str">
        <f>IFERROR(__xludf.DUMMYFUNCTION("GOOGLETRANSLATE(A12664, ""en"", ""mt"")"),"Pesta Bubonika")</f>
        <v>Pesta Bubonika</v>
      </c>
    </row>
    <row r="12665" ht="15.75" customHeight="1">
      <c r="A12665" s="2" t="s">
        <v>12665</v>
      </c>
      <c r="B12665" s="2" t="str">
        <f>IFERROR(__xludf.DUMMYFUNCTION("GOOGLETRANSLATE(A12665, ""en"", ""mt"")"),"Asja tal-Lvant")</f>
        <v>Asja tal-Lvant</v>
      </c>
    </row>
    <row r="12666" ht="15.75" customHeight="1">
      <c r="A12666" s="2" t="s">
        <v>12666</v>
      </c>
      <c r="B12666" s="2" t="str">
        <f>IFERROR(__xludf.DUMMYFUNCTION("GOOGLETRANSLATE(A12666, ""en"", ""mt"")"),"1995–96")</f>
        <v>1995–96</v>
      </c>
    </row>
    <row r="12667" ht="15.75" customHeight="1">
      <c r="A12667" s="2" t="s">
        <v>12667</v>
      </c>
      <c r="B12667" s="2" t="str">
        <f>IFERROR(__xludf.DUMMYFUNCTION("GOOGLETRANSLATE(A12667, ""en"", ""mt"")"),"Ċellula tal-pjanti li fiha kloroplasti")</f>
        <v>Ċellula tal-pjanti li fiha kloroplasti</v>
      </c>
    </row>
    <row r="12668" ht="15.75" customHeight="1">
      <c r="A12668" s="2" t="s">
        <v>12668</v>
      </c>
      <c r="B12668" s="2" t="str">
        <f>IFERROR(__xludf.DUMMYFUNCTION("GOOGLETRANSLATE(A12668, ""en"", ""mt"")"),"Sistema Rift N - S")</f>
        <v>Sistema Rift N - S</v>
      </c>
    </row>
    <row r="12669" ht="15.75" customHeight="1">
      <c r="A12669" s="2" t="s">
        <v>12669</v>
      </c>
      <c r="B12669" s="2" t="str">
        <f>IFERROR(__xludf.DUMMYFUNCTION("GOOGLETRANSLATE(A12669, ""en"", ""mt"")"),"nervituri")</f>
        <v>nervituri</v>
      </c>
    </row>
    <row r="12670" ht="15.75" customHeight="1">
      <c r="A12670" s="2" t="s">
        <v>12670</v>
      </c>
      <c r="B12670" s="2" t="str">
        <f>IFERROR(__xludf.DUMMYFUNCTION("GOOGLETRANSLATE(A12670, ""en"", ""mt"")"),"mhux irreġistrat")</f>
        <v>mhux irreġistrat</v>
      </c>
    </row>
    <row r="12671" ht="15.75" customHeight="1">
      <c r="A12671" s="2" t="s">
        <v>12671</v>
      </c>
      <c r="B12671" s="2" t="str">
        <f>IFERROR(__xludf.DUMMYFUNCTION("GOOGLETRANSLATE(A12671, ""en"", ""mt"")"),"Periti, disinjaturi interni, inġiniera u kostrutturi")</f>
        <v>Periti, disinjaturi interni, inġiniera u kostrutturi</v>
      </c>
    </row>
    <row r="12672" ht="15.75" customHeight="1">
      <c r="A12672" s="2" t="s">
        <v>12672</v>
      </c>
      <c r="B12672" s="2" t="str">
        <f>IFERROR(__xludf.DUMMYFUNCTION("GOOGLETRANSLATE(A12672, ""en"", ""mt"")"),"Liema xhur barra mis-sena huwa miftuħ Woodward Park?")</f>
        <v>Liema xhur barra mis-sena huwa miftuħ Woodward Park?</v>
      </c>
    </row>
    <row r="12673" ht="15.75" customHeight="1">
      <c r="A12673" s="2" t="s">
        <v>12673</v>
      </c>
      <c r="B12673" s="2" t="str">
        <f>IFERROR(__xludf.DUMMYFUNCTION("GOOGLETRANSLATE(A12673, ""en"", ""mt"")"),"Kemm il-Premju Grammy's it-test jgħid li Lady Gaga rebħet?")</f>
        <v>Kemm il-Premju Grammy's it-test jgħid li Lady Gaga rebħet?</v>
      </c>
    </row>
    <row r="12674" ht="15.75" customHeight="1">
      <c r="A12674" s="2" t="s">
        <v>12674</v>
      </c>
      <c r="B12674" s="2" t="str">
        <f>IFERROR(__xludf.DUMMYFUNCTION("GOOGLETRANSLATE(A12674, ""en"", ""mt"")"),"Rimedji tal-Ħxejjex")</f>
        <v>Rimedji tal-Ħxejjex</v>
      </c>
    </row>
    <row r="12675" ht="15.75" customHeight="1">
      <c r="A12675" s="2" t="s">
        <v>12675</v>
      </c>
      <c r="B12675" s="2" t="str">
        <f>IFERROR(__xludf.DUMMYFUNCTION("GOOGLETRANSLATE(A12675, ""en"", ""mt"")"),"li waqa 'mill-iskola")</f>
        <v>li waqa 'mill-iskola</v>
      </c>
    </row>
    <row r="12676" ht="15.75" customHeight="1">
      <c r="A12676" s="2" t="s">
        <v>12676</v>
      </c>
      <c r="B12676" s="2" t="str">
        <f>IFERROR(__xludf.DUMMYFUNCTION("GOOGLETRANSLATE(A12676, ""en"", ""mt"")"),"ċirkonċiżjoni")</f>
        <v>ċirkonċiżjoni</v>
      </c>
    </row>
    <row r="12677" ht="15.75" customHeight="1">
      <c r="A12677" s="2" t="s">
        <v>12677</v>
      </c>
      <c r="B12677" s="2" t="str">
        <f>IFERROR(__xludf.DUMMYFUNCTION("GOOGLETRANSLATE(A12677, ""en"", ""mt"")"),"tarka tar-radjazzjoni")</f>
        <v>tarka tar-radjazzjoni</v>
      </c>
    </row>
    <row r="12678" ht="15.75" customHeight="1">
      <c r="A12678" s="2" t="s">
        <v>12678</v>
      </c>
      <c r="B12678" s="2" t="str">
        <f>IFERROR(__xludf.DUMMYFUNCTION("GOOGLETRANSLATE(A12678, ""en"", ""mt"")"),"15 ta ’Frar 1763")</f>
        <v>15 ta ’Frar 1763</v>
      </c>
    </row>
    <row r="12679" ht="15.75" customHeight="1">
      <c r="A12679" s="2" t="s">
        <v>12679</v>
      </c>
      <c r="B12679" s="2" t="str">
        <f>IFERROR(__xludf.DUMMYFUNCTION("GOOGLETRANSLATE(A12679, ""en"", ""mt"")"),"Madwar miljun")</f>
        <v>Madwar miljun</v>
      </c>
    </row>
    <row r="12680" ht="15.75" customHeight="1">
      <c r="A12680" s="2" t="s">
        <v>12680</v>
      </c>
      <c r="B12680" s="2" t="str">
        <f>IFERROR(__xludf.DUMMYFUNCTION("GOOGLETRANSLATE(A12680, ""en"", ""mt"")"),"Liema repubblika żammet il-kontroll tagħha tal-Iran?")</f>
        <v>Liema repubblika żammet il-kontroll tagħha tal-Iran?</v>
      </c>
    </row>
    <row r="12681" ht="15.75" customHeight="1">
      <c r="A12681" s="2" t="s">
        <v>12681</v>
      </c>
      <c r="B12681" s="2" t="str">
        <f>IFERROR(__xludf.DUMMYFUNCTION("GOOGLETRANSLATE(A12681, ""en"", ""mt"")"),"Għaliex Westinghouse ma żgurax brevett għal mutur simili?")</f>
        <v>Għaliex Westinghouse ma żgurax brevett għal mutur simili?</v>
      </c>
    </row>
    <row r="12682" ht="15.75" customHeight="1">
      <c r="A12682" s="2" t="s">
        <v>12682</v>
      </c>
      <c r="B12682" s="2" t="str">
        <f>IFERROR(__xludf.DUMMYFUNCTION("GOOGLETRANSLATE(A12682, ""en"", ""mt"")"),"Kemm tiġi kkunsmata l-enerġija tat-turbina mill-pompa waqt li l-fluwidu tax-xogħol jiġi kkondensat?")</f>
        <v>Kemm tiġi kkunsmata l-enerġija tat-turbina mill-pompa waqt li l-fluwidu tax-xogħol jiġi kkondensat?</v>
      </c>
    </row>
    <row r="12683" ht="15.75" customHeight="1">
      <c r="A12683" s="2" t="s">
        <v>12683</v>
      </c>
      <c r="B12683" s="2" t="str">
        <f>IFERROR(__xludf.DUMMYFUNCTION("GOOGLETRANSLATE(A12683, ""en"", ""mt"")"),"il-felċi")</f>
        <v>il-felċi</v>
      </c>
    </row>
    <row r="12684" ht="15.75" customHeight="1">
      <c r="A12684" s="2" t="s">
        <v>12684</v>
      </c>
      <c r="B12684" s="2" t="str">
        <f>IFERROR(__xludf.DUMMYFUNCTION("GOOGLETRANSLATE(A12684, ""en"", ""mt"")"),"L-akbar sors ta 'investiment dirett barrani tal-Kenja")</f>
        <v>L-akbar sors ta 'investiment dirett barrani tal-Kenja</v>
      </c>
    </row>
    <row r="12685" ht="15.75" customHeight="1">
      <c r="A12685" s="2" t="s">
        <v>12685</v>
      </c>
      <c r="B12685" s="2" t="str">
        <f>IFERROR(__xludf.DUMMYFUNCTION("GOOGLETRANSLATE(A12685, ""en"", ""mt"")"),"Fl-2001, 16-il Akkademja Nazzjonali tax-Xjenza ħarġu dikjarazzjoni konġunta dwar it-tibdil fil-klima. Id-dikjarazzjoni konġunta saret mill-Akkademja tax-Xjenza Awstraljana, l-Akkademja Irjali tal-Belġju għax-Xjenza u l-Arti, l-Akkademja tax-Xjenzi Brażilj"&amp;"ana, ir-Royal Society of Canada, l-Akkademja tax-Xjenzi tal-Karibew, l-Akkademja Ċiniża tax-Xjenzi, il-Franċiżi, il-Franċiżi Akkademja tax-Xjenzi, L-Akkademja Ġermaniża tax-Xjentisti Naturali Leopoldina, l-Akkademja Nazzjonali tax-Xjenza Indjana, l-Akkade"&amp;"mja tax-Xjenzi Indoneżjani, l-Akkademja Irlandiża Rjali, Akkademja Nazionale Dei Lincei (l-Italja), l-Akkademja tax-Xjenzi tal-Malasja, l-Akkademja tal-Kunsill tas-Soċjetà Rjali ta ’New Zealand, l-Akkademja tax-Xjenzi Irjali Żvediża, u r-Royal Society (ir"&amp;"-Renju Unit). L-istqarrija, ippubblikata wkoll bħala editorjal fil-ġurnal Science, iddikjarat ""Aħna nappoġġjaw il-konklużjoni [TAR] li hija tal-anqas 90% ċerta li t-temperaturi se jkomplu jiżdiedu, bil-medja tat-temperatura globali tal-wiċċ prevista li t"&amp;"iżdied b'2.4 u 5.8 ° C 'il fuq mil-livelli tal-1990 b'2100 "". Il-qatran ġie wkoll approvat mill-Fondazzjoni Kanadiża għax-Xjenzi dwar il-Klima u l-Atmosferiċi, is-Soċjetà Meteoroloġika u Oċeanografika Kanadiża, u l-Unjoni Ewropea tal-Geosciences (irrefer"&amp;"i għal ""approvazzjonijiet ta 'l-IPCC"").")</f>
        <v>Fl-2001, 16-il Akkademja Nazzjonali tax-Xjenza ħarġu dikjarazzjoni konġunta dwar it-tibdil fil-klima. Id-dikjarazzjoni konġunta saret mill-Akkademja tax-Xjenza Awstraljana, l-Akkademja Irjali tal-Belġju għax-Xjenza u l-Arti, l-Akkademja tax-Xjenzi Brażiljana, ir-Royal Society of Canada, l-Akkademja tax-Xjenzi tal-Karibew, l-Akkademja Ċiniża tax-Xjenzi, il-Franċiżi, il-Franċiżi Akkademja tax-Xjenzi, L-Akkademja Ġermaniża tax-Xjentisti Naturali Leopoldina, l-Akkademja Nazzjonali tax-Xjenza Indjana, l-Akkademja tax-Xjenzi Indoneżjani, l-Akkademja Irlandiża Rjali, Akkademja Nazionale Dei Lincei (l-Italja), l-Akkademja tax-Xjenzi tal-Malasja, l-Akkademja tal-Kunsill tas-Soċjetà Rjali ta ’New Zealand, l-Akkademja tax-Xjenzi Irjali Żvediża, u r-Royal Society (ir-Renju Unit). L-istqarrija, ippubblikata wkoll bħala editorjal fil-ġurnal Science, iddikjarat "Aħna nappoġġjaw il-konklużjoni [TAR] li hija tal-anqas 90% ċerta li t-temperaturi se jkomplu jiżdiedu, bil-medja tat-temperatura globali tal-wiċċ prevista li tiżdied b'2.4 u 5.8 ° C 'il fuq mil-livelli tal-1990 b'2100 ". Il-qatran ġie wkoll approvat mill-Fondazzjoni Kanadiża għax-Xjenzi dwar il-Klima u l-Atmosferiċi, is-Soċjetà Meteoroloġika u Oċeanografika Kanadiża, u l-Unjoni Ewropea tal-Geosciences (irreferi għal "approvazzjonijiet ta 'l-IPCC").</v>
      </c>
    </row>
    <row r="12686" ht="15.75" customHeight="1">
      <c r="A12686" s="2" t="s">
        <v>12686</v>
      </c>
      <c r="B12686" s="2" t="str">
        <f>IFERROR(__xludf.DUMMYFUNCTION("GOOGLETRANSLATE(A12686, ""en"", ""mt"")"),"gass ​​ikkompressat")</f>
        <v>gass ​​ikkompressat</v>
      </c>
    </row>
    <row r="12687" ht="15.75" customHeight="1">
      <c r="A12687" s="2" t="s">
        <v>12687</v>
      </c>
      <c r="B12687" s="2" t="str">
        <f>IFERROR(__xludf.DUMMYFUNCTION("GOOGLETRANSLATE(A12687, ""en"", ""mt"")"),"Ġew ordnati l-granati")</f>
        <v>Ġew ordnati l-granati</v>
      </c>
    </row>
    <row r="12688" ht="15.75" customHeight="1">
      <c r="A12688" s="2" t="s">
        <v>12688</v>
      </c>
      <c r="B12688" s="2" t="str">
        <f>IFERROR(__xludf.DUMMYFUNCTION("GOOGLETRANSLATE(A12688, ""en"", ""mt"")"),"Liema pjattaforma kkawżat lil BSKYB biex itemm is-servizz analogu tagħhom?")</f>
        <v>Liema pjattaforma kkawżat lil BSKYB biex itemm is-servizz analogu tagħhom?</v>
      </c>
    </row>
    <row r="12689" ht="15.75" customHeight="1">
      <c r="A12689" s="2" t="s">
        <v>12689</v>
      </c>
      <c r="B12689" s="2" t="str">
        <f>IFERROR(__xludf.DUMMYFUNCTION("GOOGLETRANSLATE(A12689, ""en"", ""mt"")"),"Il-Prinċep Louis de Condé, flimkien ma 'wliedu Daniel u Osias, [ċitazzjoni meħtieġa] irranġati mal-Konti Ludwig von Nassau-Saarbrücken biex jistabbilixxu komunità Huguenot fis-Saarland preżenti fl-1604. , irrispettivament mir-reliġjon tagħhom. Il-condés s"&amp;"tabbilixxew xogħlijiet b'saħħithom tal-ħġieġ, li pprovdew ġid lill-prinċipat għal ħafna snin. Familji fundaturi oħra ħolqu intrapriżi bbażati fuq tessuti u okkupazzjonijiet tradizzjonali ta 'Huguenot fi Franza. Il-komunità u l-kongregazzjoni tagħha jibqgħ"&amp;"u attivi sal-lum, bid-dixxendenti ta 'ħafna mill-familji fundaturi li għadhom jgħixu fir-reġjun. Xi membri ta 'din il-komunità emigraw lejn l-Istati Uniti fl-1890s.")</f>
        <v>Il-Prinċep Louis de Condé, flimkien ma 'wliedu Daniel u Osias, [ċitazzjoni meħtieġa] irranġati mal-Konti Ludwig von Nassau-Saarbrücken biex jistabbilixxu komunità Huguenot fis-Saarland preżenti fl-1604. , irrispettivament mir-reliġjon tagħhom. Il-condés stabbilixxew xogħlijiet b'saħħithom tal-ħġieġ, li pprovdew ġid lill-prinċipat għal ħafna snin. Familji fundaturi oħra ħolqu intrapriżi bbażati fuq tessuti u okkupazzjonijiet tradizzjonali ta 'Huguenot fi Franza. Il-komunità u l-kongregazzjoni tagħha jibqgħu attivi sal-lum, bid-dixxendenti ta 'ħafna mill-familji fundaturi li għadhom jgħixu fir-reġjun. Xi membri ta 'din il-komunità emigraw lejn l-Istati Uniti fl-1890s.</v>
      </c>
    </row>
    <row r="12690" ht="15.75" customHeight="1">
      <c r="A12690" s="2" t="s">
        <v>12690</v>
      </c>
      <c r="B12690" s="2" t="str">
        <f>IFERROR(__xludf.DUMMYFUNCTION("GOOGLETRANSLATE(A12690, ""en"", ""mt"")")," Fil-Kummissjoni tal-2009 v l-Italja, il-Każ, il-Qorti tal-Ġustizzja ddeċidiet li baxx Taljan li jipprojbixxi dak li kiser l-Artikolu 34?")</f>
        <v> Fil-Kummissjoni tal-2009 v l-Italja, il-Każ, il-Qorti tal-Ġustizzja ddeċidiet li baxx Taljan li jipprojbixxi dak li kiser l-Artikolu 34?</v>
      </c>
    </row>
    <row r="12691" ht="15.75" customHeight="1">
      <c r="A12691" s="2" t="s">
        <v>12691</v>
      </c>
      <c r="B12691" s="2" t="str">
        <f>IFERROR(__xludf.DUMMYFUNCTION("GOOGLETRANSLATE(A12691, ""en"", ""mt"")"),"raġunijiet morali biex issegwi din il-liġi")</f>
        <v>raġunijiet morali biex issegwi din il-liġi</v>
      </c>
    </row>
    <row r="12692" ht="15.75" customHeight="1">
      <c r="A12692" s="2" t="s">
        <v>12692</v>
      </c>
      <c r="B12692" s="2" t="str">
        <f>IFERROR(__xludf.DUMMYFUNCTION("GOOGLETRANSLATE(A12692, ""en"", ""mt"")"),"ħaddiema medji")</f>
        <v>ħaddiema medji</v>
      </c>
    </row>
    <row r="12693" ht="15.75" customHeight="1">
      <c r="A12693" s="2" t="s">
        <v>12693</v>
      </c>
      <c r="B12693" s="2" t="str">
        <f>IFERROR(__xludf.DUMMYFUNCTION("GOOGLETRANSLATE(A12693, ""en"", ""mt"")"),"1 ta ’Awwissu 1944")</f>
        <v>1 ta ’Awwissu 1944</v>
      </c>
    </row>
    <row r="12694" ht="15.75" customHeight="1">
      <c r="A12694" s="2" t="s">
        <v>12694</v>
      </c>
      <c r="B12694" s="2" t="str">
        <f>IFERROR(__xludf.DUMMYFUNCTION("GOOGLETRANSLATE(A12694, ""en"", ""mt"")"),"Biex tipprovdi metodu ta 'rotta tolleranti għall-ħsarat u effiċjenti għal messaġġi tat-telekomunikazzjoni")</f>
        <v>Biex tipprovdi metodu ta 'rotta tolleranti għall-ħsarat u effiċjenti għal messaġġi tat-telekomunikazzjoni</v>
      </c>
    </row>
    <row r="12695" ht="15.75" customHeight="1">
      <c r="A12695" s="2" t="s">
        <v>12695</v>
      </c>
      <c r="B12695" s="2" t="str">
        <f>IFERROR(__xludf.DUMMYFUNCTION("GOOGLETRANSLATE(A12695, ""en"", ""mt"")"),"Għaliex ir-riċerkaturi qed jitħabtu biex jidentifikaw l-istorja tal-pesta?")</f>
        <v>Għaliex ir-riċerkaturi qed jitħabtu biex jidentifikaw l-istorja tal-pesta?</v>
      </c>
    </row>
    <row r="12696" ht="15.75" customHeight="1">
      <c r="A12696" s="2" t="s">
        <v>12696</v>
      </c>
      <c r="B12696" s="2" t="str">
        <f>IFERROR(__xludf.DUMMYFUNCTION("GOOGLETRANSLATE(A12696, ""en"", ""mt"")"),"sodda ewlenija")</f>
        <v>sodda ewlenija</v>
      </c>
    </row>
    <row r="12697" ht="15.75" customHeight="1">
      <c r="A12697" s="2" t="s">
        <v>12697</v>
      </c>
      <c r="B12697" s="2" t="str">
        <f>IFERROR(__xludf.DUMMYFUNCTION("GOOGLETRANSLATE(A12697, ""en"", ""mt"")"),"Meta kien iċ-ċessjoni mill-moviment tal-Afrika t'Isfel?")</f>
        <v>Meta kien iċ-ċessjoni mill-moviment tal-Afrika t'Isfel?</v>
      </c>
    </row>
    <row r="12698" ht="15.75" customHeight="1">
      <c r="A12698" s="2" t="s">
        <v>12698</v>
      </c>
      <c r="B12698" s="2" t="str">
        <f>IFERROR(__xludf.DUMMYFUNCTION("GOOGLETRANSLATE(A12698, ""en"", ""mt"")"),"Van gend en loos v Nederlandse Administratie der Belastingen")</f>
        <v>Van gend en loos v Nederlandse Administratie der Belastingen</v>
      </c>
    </row>
    <row r="12699" ht="15.75" customHeight="1">
      <c r="A12699" s="2" t="s">
        <v>12699</v>
      </c>
      <c r="B12699" s="2" t="str">
        <f>IFERROR(__xludf.DUMMYFUNCTION("GOOGLETRANSLATE(A12699, ""en"", ""mt"")"),"Ingliż modern")</f>
        <v>Ingliż modern</v>
      </c>
    </row>
    <row r="12700" ht="15.75" customHeight="1">
      <c r="A12700" s="2" t="s">
        <v>12700</v>
      </c>
      <c r="B12700" s="2" t="str">
        <f>IFERROR(__xludf.DUMMYFUNCTION("GOOGLETRANSLATE(A12700, ""en"", ""mt"")"),"kondensatur separat")</f>
        <v>kondensatur separat</v>
      </c>
    </row>
    <row r="12701" ht="15.75" customHeight="1">
      <c r="A12701" s="2" t="s">
        <v>12701</v>
      </c>
      <c r="B12701" s="2" t="str">
        <f>IFERROR(__xludf.DUMMYFUNCTION("GOOGLETRANSLATE(A12701, ""en"", ""mt"")"),"savanna jew deżert")</f>
        <v>savanna jew deżert</v>
      </c>
    </row>
    <row r="12702" ht="15.75" customHeight="1">
      <c r="A12702" s="2" t="s">
        <v>12702</v>
      </c>
      <c r="B12702" s="2" t="str">
        <f>IFERROR(__xludf.DUMMYFUNCTION("GOOGLETRANSLATE(A12702, ""en"", ""mt"")"),"Ir-re attwali ta 'Thebes, li qed jipprova jwaqqafha milli tagħti lil ħuha Polynices dfin xieraq")</f>
        <v>Ir-re attwali ta 'Thebes, li qed jipprova jwaqqafha milli tagħti lil ħuha Polynices dfin xieraq</v>
      </c>
    </row>
    <row r="12703" ht="15.75" customHeight="1">
      <c r="A12703" s="2" t="s">
        <v>12703</v>
      </c>
      <c r="B12703" s="2" t="str">
        <f>IFERROR(__xludf.DUMMYFUNCTION("GOOGLETRANSLATE(A12703, ""en"", ""mt"")"),"l-aktar sinjur 1 fil-mija")</f>
        <v>l-aktar sinjur 1 fil-mija</v>
      </c>
    </row>
    <row r="12704" ht="15.75" customHeight="1">
      <c r="A12704" s="2" t="s">
        <v>12704</v>
      </c>
      <c r="B12704" s="2" t="str">
        <f>IFERROR(__xludf.DUMMYFUNCTION("GOOGLETRANSLATE(A12704, ""en"", ""mt"")"),"1976–77")</f>
        <v>1976–77</v>
      </c>
    </row>
    <row r="12705" ht="15.75" customHeight="1">
      <c r="A12705" s="2" t="s">
        <v>12705</v>
      </c>
      <c r="B12705" s="2" t="str">
        <f>IFERROR(__xludf.DUMMYFUNCTION("GOOGLETRANSLATE(A12705, ""en"", ""mt"")"),"Meta jkunu miżżewġin")</f>
        <v>Meta jkunu miżżewġin</v>
      </c>
    </row>
    <row r="12706" ht="15.75" customHeight="1">
      <c r="A12706" s="2" t="s">
        <v>12706</v>
      </c>
      <c r="B12706" s="2" t="str">
        <f>IFERROR(__xludf.DUMMYFUNCTION("GOOGLETRANSLATE(A12706, ""en"", ""mt"")"),"Tank tal-ossiġnu likwidu sploda")</f>
        <v>Tank tal-ossiġnu likwidu sploda</v>
      </c>
    </row>
    <row r="12707" ht="15.75" customHeight="1">
      <c r="A12707" s="2" t="s">
        <v>12707</v>
      </c>
      <c r="B12707" s="2" t="str">
        <f>IFERROR(__xludf.DUMMYFUNCTION("GOOGLETRANSLATE(A12707, ""en"", ""mt"")"),"Nikola_tesla")</f>
        <v>Nikola_tesla</v>
      </c>
    </row>
    <row r="12708" ht="15.75" customHeight="1">
      <c r="A12708" s="2" t="s">
        <v>12708</v>
      </c>
      <c r="B12708" s="2" t="str">
        <f>IFERROR(__xludf.DUMMYFUNCTION("GOOGLETRANSLATE(A12708, ""en"", ""mt"")"),"sid tal-proprjetà")</f>
        <v>sid tal-proprjetà</v>
      </c>
    </row>
    <row r="12709" ht="15.75" customHeight="1">
      <c r="A12709" s="2" t="s">
        <v>12709</v>
      </c>
      <c r="B12709" s="2" t="str">
        <f>IFERROR(__xludf.DUMMYFUNCTION("GOOGLETRANSLATE(A12709, ""en"", ""mt"")"),"X'tip ta 'missjonijiet ġew approvati minn Mueller wara l-inċident?")</f>
        <v>X'tip ta 'missjonijiet ġew approvati minn Mueller wara l-inċident?</v>
      </c>
    </row>
    <row r="12710" ht="15.75" customHeight="1">
      <c r="A12710" s="2" t="s">
        <v>12710</v>
      </c>
      <c r="B12710" s="2" t="str">
        <f>IFERROR(__xludf.DUMMYFUNCTION("GOOGLETRANSLATE(A12710, ""en"", ""mt"")"),"Netwerk tat-Televiżjoni Dumont")</f>
        <v>Netwerk tat-Televiżjoni Dumont</v>
      </c>
    </row>
    <row r="12711" ht="15.75" customHeight="1">
      <c r="A12711" s="2" t="s">
        <v>12711</v>
      </c>
      <c r="B12711" s="2" t="str">
        <f>IFERROR(__xludf.DUMMYFUNCTION("GOOGLETRANSLATE(A12711, ""en"", ""mt"")"),"Problema ta 'sodisfazzjon Boolean")</f>
        <v>Problema ta 'sodisfazzjon Boolean</v>
      </c>
    </row>
    <row r="12712" ht="15.75" customHeight="1">
      <c r="A12712" s="2" t="s">
        <v>12712</v>
      </c>
      <c r="B12712" s="2" t="str">
        <f>IFERROR(__xludf.DUMMYFUNCTION("GOOGLETRANSLATE(A12712, ""en"", ""mt"")"),"Ir-rwol tal-mapep tas-seklu dsatax matul il- ""ġirja għall-Afrika""")</f>
        <v>Ir-rwol tal-mapep tas-seklu dsatax matul il- "ġirja għall-Afrika"</v>
      </c>
    </row>
    <row r="12713" ht="15.75" customHeight="1">
      <c r="A12713" s="2" t="s">
        <v>12713</v>
      </c>
      <c r="B12713" s="2" t="str">
        <f>IFERROR(__xludf.DUMMYFUNCTION("GOOGLETRANSLATE(A12713, ""en"", ""mt"")"),"li Ġesù Kristu twieled Lhudi")</f>
        <v>li Ġesù Kristu twieled Lhudi</v>
      </c>
    </row>
    <row r="12714" ht="15.75" customHeight="1">
      <c r="A12714" s="2" t="s">
        <v>12714</v>
      </c>
      <c r="B12714" s="2" t="str">
        <f>IFERROR(__xludf.DUMMYFUNCTION("GOOGLETRANSLATE(A12714, ""en"", ""mt"")"),"Il-konċepiment tal-punt huwa eżempju ta 'monument fost liema fruntiera tan-Nofsinhar ta' California?")</f>
        <v>Il-konċepiment tal-punt huwa eżempju ta 'monument fost liema fruntiera tan-Nofsinhar ta' California?</v>
      </c>
    </row>
    <row r="12715" ht="15.75" customHeight="1">
      <c r="A12715" s="2" t="s">
        <v>12715</v>
      </c>
      <c r="B12715" s="2" t="str">
        <f>IFERROR(__xludf.DUMMYFUNCTION("GOOGLETRANSLATE(A12715, ""en"", ""mt"")"),"biex jaħbi l-fatt li huwa waqa 'mill-iskola")</f>
        <v>biex jaħbi l-fatt li huwa waqa 'mill-iskola</v>
      </c>
    </row>
    <row r="12716" ht="15.75" customHeight="1">
      <c r="A12716" s="2" t="s">
        <v>12716</v>
      </c>
      <c r="B12716" s="2" t="str">
        <f>IFERROR(__xludf.DUMMYFUNCTION("GOOGLETRANSLATE(A12716, ""en"", ""mt"")"),"William H. Maxwell")</f>
        <v>William H. Maxwell</v>
      </c>
    </row>
    <row r="12717" ht="15.75" customHeight="1">
      <c r="A12717" s="2" t="s">
        <v>12717</v>
      </c>
      <c r="B12717" s="2" t="str">
        <f>IFERROR(__xludf.DUMMYFUNCTION("GOOGLETRANSLATE(A12717, ""en"", ""mt"")"),"Khan kbir")</f>
        <v>Khan kbir</v>
      </c>
    </row>
    <row r="12718" ht="15.75" customHeight="1">
      <c r="A12718" s="2" t="s">
        <v>12718</v>
      </c>
      <c r="B12718" s="2" t="str">
        <f>IFERROR(__xludf.DUMMYFUNCTION("GOOGLETRANSLATE(A12718, ""en"", ""mt"")"),"X'inhu t-tip ta 'produzzjoni ta' ossiġnu għall-ossiġnu ta 'emerġenza fil-linji tal-ajru?")</f>
        <v>X'inhu t-tip ta 'produzzjoni ta' ossiġnu għall-ossiġnu ta 'emerġenza fil-linji tal-ajru?</v>
      </c>
    </row>
    <row r="12719" ht="15.75" customHeight="1">
      <c r="A12719" s="2" t="s">
        <v>12719</v>
      </c>
      <c r="B12719" s="2" t="str">
        <f>IFERROR(__xludf.DUMMYFUNCTION("GOOGLETRANSLATE(A12719, ""en"", ""mt"")"),"X'kienet waħda mill-aktar kitbiet personali ta 'Luther?")</f>
        <v>X'kienet waħda mill-aktar kitbiet personali ta 'Luther?</v>
      </c>
    </row>
    <row r="12720" ht="15.75" customHeight="1">
      <c r="A12720" s="2" t="s">
        <v>12720</v>
      </c>
      <c r="B12720" s="2" t="str">
        <f>IFERROR(__xludf.DUMMYFUNCTION("GOOGLETRANSLATE(A12720, ""en"", ""mt"")"),"X'inhi Viżjoni 2030?")</f>
        <v>X'inhi Viżjoni 2030?</v>
      </c>
    </row>
    <row r="12721" ht="15.75" customHeight="1">
      <c r="A12721" s="2" t="s">
        <v>12721</v>
      </c>
      <c r="B12721" s="2" t="str">
        <f>IFERROR(__xludf.DUMMYFUNCTION("GOOGLETRANSLATE(A12721, ""en"", ""mt"")"),"X'għandhom bżonn ħafna plejers biex jinbidlu matul is-Super Bowl 50 minħabba l-kundizzjoni tal-grawnd?")</f>
        <v>X'għandhom bżonn ħafna plejers biex jinbidlu matul is-Super Bowl 50 minħabba l-kundizzjoni tal-grawnd?</v>
      </c>
    </row>
    <row r="12722" ht="15.75" customHeight="1">
      <c r="A12722" s="2" t="s">
        <v>12722</v>
      </c>
      <c r="B12722" s="2" t="str">
        <f>IFERROR(__xludf.DUMMYFUNCTION("GOOGLETRANSLATE(A12722, ""en"", ""mt"")"),"Meta l-forzi huma mill-preżenza ta 'oġġetti differnet, liema liġi tagħti simetrija?")</f>
        <v>Meta l-forzi huma mill-preżenza ta 'oġġetti differnet, liema liġi tagħti simetrija?</v>
      </c>
    </row>
    <row r="12723" ht="15.75" customHeight="1">
      <c r="A12723" s="2" t="s">
        <v>12723</v>
      </c>
      <c r="B12723" s="2" t="str">
        <f>IFERROR(__xludf.DUMMYFUNCTION("GOOGLETRANSLATE(A12723, ""en"", ""mt"")"),"voti")</f>
        <v>voti</v>
      </c>
    </row>
    <row r="12724" ht="15.75" customHeight="1">
      <c r="A12724" s="2" t="s">
        <v>12724</v>
      </c>
      <c r="B12724" s="2" t="str">
        <f>IFERROR(__xludf.DUMMYFUNCTION("GOOGLETRANSLATE(A12724, ""en"", ""mt"")"),"Fejn l-ilma lejn il-punent tal-Baċin tad-Drenaġġ tal-Amażonja ħareġ?")</f>
        <v>Fejn l-ilma lejn il-punent tal-Baċin tad-Drenaġġ tal-Amażonja ħareġ?</v>
      </c>
    </row>
    <row r="12725" ht="15.75" customHeight="1">
      <c r="A12725" s="2" t="s">
        <v>12725</v>
      </c>
      <c r="B12725" s="2" t="str">
        <f>IFERROR(__xludf.DUMMYFUNCTION("GOOGLETRANSLATE(A12725, ""en"", ""mt"")"),"Metodu ta 'lokomozzjoni")</f>
        <v>Metodu ta 'lokomozzjoni</v>
      </c>
    </row>
    <row r="12726" ht="15.75" customHeight="1">
      <c r="A12726" s="2" t="s">
        <v>12726</v>
      </c>
      <c r="B12726" s="2" t="str">
        <f>IFERROR(__xludf.DUMMYFUNCTION("GOOGLETRANSLATE(A12726, ""en"", ""mt"")"),"Lit u Phil Poni")</f>
        <v>Lit u Phil Poni</v>
      </c>
    </row>
    <row r="12727" ht="15.75" customHeight="1">
      <c r="A12727" s="2" t="s">
        <v>12727</v>
      </c>
      <c r="B12727" s="2" t="str">
        <f>IFERROR(__xludf.DUMMYFUNCTION("GOOGLETRANSLATE(A12727, ""en"", ""mt"")"),"X'tagħmel din id-dikjarazzjoni tal-ispettaklu ta 'Tetzel dwaru?")</f>
        <v>X'tagħmel din id-dikjarazzjoni tal-ispettaklu ta 'Tetzel dwaru?</v>
      </c>
    </row>
    <row r="12728" ht="15.75" customHeight="1">
      <c r="A12728" s="2" t="s">
        <v>12728</v>
      </c>
      <c r="B12728" s="2" t="str">
        <f>IFERROR(__xludf.DUMMYFUNCTION("GOOGLETRANSLATE(A12728, ""en"", ""mt"")"),"replikazzjoni ta 'cairns intermedja")</f>
        <v>replikazzjoni ta 'cairns intermedja</v>
      </c>
    </row>
    <row r="12729" ht="15.75" customHeight="1">
      <c r="A12729" s="2" t="s">
        <v>12729</v>
      </c>
      <c r="B12729" s="2" t="str">
        <f>IFERROR(__xludf.DUMMYFUNCTION("GOOGLETRANSLATE(A12729, ""en"", ""mt"")"),"L-istadju 1 huwa l-ewwel, jew l-istadju introduttorju tal-abbozz, fejn il-ministru jew membru inkarigat mill-abbozz se jintroduċuh formalment lill-parlament flimkien mad-dokumenti li jakkumpanjawha - noti ta 'spjegazzjoni, memorandum ta' politika li jista"&amp;"bbilixxi l-politika li hija sottostanti l-abbozz ta 'liġi, u Memorandum finanzjarju li jistabbilixxi l-ispejjeż u l-iffrankar assoċjati miegħu. Dikjarazzjonijiet mill-uffiċjal li jippresiedi u l-membru inkarigat mill-abbozz huma wkoll ippreżentati li jind"&amp;"ikaw jekk l-abbozz huwiex fil-kompetenza leġiżlattiva tal-Parlament. L-istadju 1 ġeneralment iseħħ, inizjalment, fil-kumitat jew kumitati rilevanti u mbagħad jiġi sottomess lill-Parlament kollu għal dibattitu sħiħ fil-kamra dwar il-prinċipji ġenerali tal-"&amp;"abbozz. Jekk il-Parlament kollu jaqbel f'vot lill-prinċipji ġenerali tal-abbozz, imbagħad jipproċedi għall-istadju 2.")</f>
        <v>L-istadju 1 huwa l-ewwel, jew l-istadju introduttorju tal-abbozz, fejn il-ministru jew membru inkarigat mill-abbozz se jintroduċuh formalment lill-parlament flimkien mad-dokumenti li jakkumpanjawha - noti ta 'spjegazzjoni, memorandum ta' politika li jistabbilixxi l-politika li hija sottostanti l-abbozz ta 'liġi, u Memorandum finanzjarju li jistabbilixxi l-ispejjeż u l-iffrankar assoċjati miegħu. Dikjarazzjonijiet mill-uffiċjal li jippresiedi u l-membru inkarigat mill-abbozz huma wkoll ippreżentati li jindikaw jekk l-abbozz huwiex fil-kompetenza leġiżlattiva tal-Parlament. L-istadju 1 ġeneralment iseħħ, inizjalment, fil-kumitat jew kumitati rilevanti u mbagħad jiġi sottomess lill-Parlament kollu għal dibattitu sħiħ fil-kamra dwar il-prinċipji ġenerali tal-abbozz. Jekk il-Parlament kollu jaqbel f'vot lill-prinċipji ġenerali tal-abbozz, imbagħad jipproċedi għall-istadju 2.</v>
      </c>
    </row>
    <row r="12730" ht="15.75" customHeight="1">
      <c r="A12730" s="2" t="s">
        <v>12730</v>
      </c>
      <c r="B12730" s="2" t="str">
        <f>IFERROR(__xludf.DUMMYFUNCTION("GOOGLETRANSLATE(A12730, ""en"", ""mt"")"),"maħsub li żvantaġġja l-applikanti tal-minoranza bi dħul baxx u mhux rappreżentati")</f>
        <v>maħsub li żvantaġġja l-applikanti tal-minoranza bi dħul baxx u mhux rappreżentati</v>
      </c>
    </row>
    <row r="12731" ht="15.75" customHeight="1">
      <c r="A12731" s="2" t="s">
        <v>12731</v>
      </c>
      <c r="B12731" s="2" t="str">
        <f>IFERROR(__xludf.DUMMYFUNCTION("GOOGLETRANSLATE(A12731, ""en"", ""mt"")"),"Liema data Tesla bdiet l-esperimenti tiegħu ta 'Colorado Springs?")</f>
        <v>Liema data Tesla bdiet l-esperimenti tiegħu ta 'Colorado Springs?</v>
      </c>
    </row>
    <row r="12732" ht="15.75" customHeight="1">
      <c r="A12732" s="2" t="s">
        <v>12732</v>
      </c>
      <c r="B12732" s="2" t="str">
        <f>IFERROR(__xludf.DUMMYFUNCTION("GOOGLETRANSLATE(A12732, ""en"", ""mt"")"),"X'kienet id-densità massima teorizzata tal-popolazzjoni għal kull kilometru kwadru għall-foresta tropikali tal-Amażonja?")</f>
        <v>X'kienet id-densità massima teorizzata tal-popolazzjoni għal kull kilometru kwadru għall-foresta tropikali tal-Amażonja?</v>
      </c>
    </row>
    <row r="12733" ht="15.75" customHeight="1">
      <c r="A12733" s="2" t="s">
        <v>12733</v>
      </c>
      <c r="B12733" s="2" t="str">
        <f>IFERROR(__xludf.DUMMYFUNCTION("GOOGLETRANSLATE(A12733, ""en"", ""mt"")"),"il-bażi flared distintiva tagħha")</f>
        <v>il-bażi flared distintiva tagħha</v>
      </c>
    </row>
    <row r="12734" ht="15.75" customHeight="1">
      <c r="A12734" s="2" t="s">
        <v>12734</v>
      </c>
      <c r="B12734" s="2" t="str">
        <f>IFERROR(__xludf.DUMMYFUNCTION("GOOGLETRANSLATE(A12734, ""en"", ""mt"")"),"X'jifilqu li jisseparaw il-moderati progressivi tal-Iżlam?")</f>
        <v>X'jifilqu li jisseparaw il-moderati progressivi tal-Iżlam?</v>
      </c>
    </row>
    <row r="12735" ht="15.75" customHeight="1">
      <c r="A12735" s="2" t="s">
        <v>12735</v>
      </c>
      <c r="B12735" s="2" t="str">
        <f>IFERROR(__xludf.DUMMYFUNCTION("GOOGLETRANSLATE(A12735, ""en"", ""mt"")"),"Żewġ aġenziji pubbliċi, speċjalment żewġ fergħat ugwalment sovrani tal-gvern, kunflitti.")</f>
        <v>Żewġ aġenziji pubbliċi, speċjalment żewġ fergħat ugwalment sovrani tal-gvern, kunflitti.</v>
      </c>
    </row>
    <row r="12736" ht="15.75" customHeight="1">
      <c r="A12736" s="2" t="s">
        <v>12736</v>
      </c>
      <c r="B12736" s="2" t="str">
        <f>IFERROR(__xludf.DUMMYFUNCTION("GOOGLETRANSLATE(A12736, ""en"", ""mt"")"),"Żieda sostanzjalment il-konċentrazzjonijiet atmosferiċi")</f>
        <v>Żieda sostanzjalment il-konċentrazzjonijiet atmosferiċi</v>
      </c>
    </row>
    <row r="12737" ht="15.75" customHeight="1">
      <c r="A12737" s="2" t="s">
        <v>12737</v>
      </c>
      <c r="B12737" s="2" t="str">
        <f>IFERROR(__xludf.DUMMYFUNCTION("GOOGLETRANSLATE(A12737, ""en"", ""mt"")"),"Liema storiċi tad-dinastiji ġew dokumentati uffiċjalment matul ir-renju ta 'Toghun?")</f>
        <v>Liema storiċi tad-dinastiji ġew dokumentati uffiċjalment matul ir-renju ta 'Toghun?</v>
      </c>
    </row>
    <row r="12738" ht="15.75" customHeight="1">
      <c r="A12738" s="2" t="s">
        <v>12738</v>
      </c>
      <c r="B12738" s="2" t="str">
        <f>IFERROR(__xludf.DUMMYFUNCTION("GOOGLETRANSLATE(A12738, ""en"", ""mt"")"),"Għalliema spiritwali")</f>
        <v>Għalliema spiritwali</v>
      </c>
    </row>
    <row r="12739" ht="15.75" customHeight="1">
      <c r="A12739" s="2" t="s">
        <v>12739</v>
      </c>
      <c r="B12739" s="2" t="str">
        <f>IFERROR(__xludf.DUMMYFUNCTION("GOOGLETRANSLATE(A12739, ""en"", ""mt"")"),"Genghis Khan għaqqad it-tribujiet tal-Mongolja u Turkiċi tal-Steppes u sar Khan kbir fl-1206. Huwa u s-suċċessuri tiegħu kabbru l-imperu Mongoljan madwar l-Asja. Taħt ir-renju tat-tielet iben ta 'Genghis, Ögedei Khan, il-Mongoli qerdu d-dinastija Jin imdg"&amp;"ħajfa fl-1234, li jirbħu ħafna miċ-Ċina tat-Tramuntana. Ögedei offra lin-neputi Kublai pożizzjoni f'Xingzhou, Hebei. Kublai ma setax jaqra ċ-Ċiniż iżda kellu diversi għalliema Ċiniżi Han marbuta miegħu mis-snin bikrin tiegħu minn ommu Sorghaghtani. Huwa f"&amp;"ittex l-avukat tal-konsulenti Buddisti Ċiniżi u Confucian. Möngke Khan irnexxielu lil ibnu Ögedei, Güyük, bħala Khan kbir fl-1251. Huwa ta l-kontroll ta 'ħuh Kublai fuq il-Mongolja li kellu territorji fiċ-Ċina. Kublai bena skejjel għal studjużi Confucian,"&amp;" ħarġu flus tal-karti, reġgħu reġgħu ritwali Ċiniżi u approvaw politiki li stimulaw tkabbir agrikolu u kummerċjali. Huwa adotta bħala l-belt kapitali tiegħu Kaiping fil-Mongolja ta 'ġewwa, aktar tard semmieh Shangdu.")</f>
        <v>Genghis Khan għaqqad it-tribujiet tal-Mongolja u Turkiċi tal-Steppes u sar Khan kbir fl-1206. Huwa u s-suċċessuri tiegħu kabbru l-imperu Mongoljan madwar l-Asja. Taħt ir-renju tat-tielet iben ta 'Genghis, Ögedei Khan, il-Mongoli qerdu d-dinastija Jin imdgħajfa fl-1234, li jirbħu ħafna miċ-Ċina tat-Tramuntana. Ögedei offra lin-neputi Kublai pożizzjoni f'Xingzhou, Hebei. Kublai ma setax jaqra ċ-Ċiniż iżda kellu diversi għalliema Ċiniżi Han marbuta miegħu mis-snin bikrin tiegħu minn ommu Sorghaghtani. Huwa fittex l-avukat tal-konsulenti Buddisti Ċiniżi u Confucian. Möngke Khan irnexxielu lil ibnu Ögedei, Güyük, bħala Khan kbir fl-1251. Huwa ta l-kontroll ta 'ħuh Kublai fuq il-Mongolja li kellu territorji fiċ-Ċina. Kublai bena skejjel għal studjużi Confucian, ħarġu flus tal-karti, reġgħu reġgħu ritwali Ċiniżi u approvaw politiki li stimulaw tkabbir agrikolu u kummerċjali. Huwa adotta bħala l-belt kapitali tiegħu Kaiping fil-Mongolja ta 'ġewwa, aktar tard semmieh Shangdu.</v>
      </c>
    </row>
    <row r="12740" ht="15.75" customHeight="1">
      <c r="A12740" s="2" t="s">
        <v>12740</v>
      </c>
      <c r="B12740" s="2" t="str">
        <f>IFERROR(__xludf.DUMMYFUNCTION("GOOGLETRANSLATE(A12740, ""en"", ""mt"")"),"probabbiltà li tirrepeti")</f>
        <v>probabbiltà li tirrepeti</v>
      </c>
    </row>
    <row r="12741" ht="15.75" customHeight="1">
      <c r="A12741" s="2" t="s">
        <v>12741</v>
      </c>
      <c r="B12741" s="2" t="str">
        <f>IFERROR(__xludf.DUMMYFUNCTION("GOOGLETRANSLATE(A12741, ""en"", ""mt"")"),"Jekk forza qed tipponta orizzontalment lejn il-Grigal, kemm-il forzi tista 'taqsam il-forza?")</f>
        <v>Jekk forza qed tipponta orizzontalment lejn il-Grigal, kemm-il forzi tista 'taqsam il-forza?</v>
      </c>
    </row>
    <row r="12742" ht="15.75" customHeight="1">
      <c r="A12742" s="2" t="s">
        <v>12742</v>
      </c>
      <c r="B12742" s="2" t="str">
        <f>IFERROR(__xludf.DUMMYFUNCTION("GOOGLETRANSLATE(A12742, ""en"", ""mt"")"),"Liema grupp jista 'jemenda l-Kostituzzjoni Vittorjana?")</f>
        <v>Liema grupp jista 'jemenda l-Kostituzzjoni Vittorjana?</v>
      </c>
    </row>
    <row r="12743" ht="15.75" customHeight="1">
      <c r="A12743" s="2" t="s">
        <v>12743</v>
      </c>
      <c r="B12743" s="2" t="str">
        <f>IFERROR(__xludf.DUMMYFUNCTION("GOOGLETRANSLATE(A12743, ""en"", ""mt"")"),"Wara nofsinhar tat-2 ta 'Mejju.")</f>
        <v>Wara nofsinhar tat-2 ta 'Mejju.</v>
      </c>
    </row>
    <row r="12744" ht="15.75" customHeight="1">
      <c r="A12744" s="2" t="s">
        <v>12744</v>
      </c>
      <c r="B12744" s="2" t="str">
        <f>IFERROR(__xludf.DUMMYFUNCTION("GOOGLETRANSLATE(A12744, ""en"", ""mt"")"),"Fejn u meta bdiet l-investigazzjoni tal-patoġen tal-pesta?")</f>
        <v>Fejn u meta bdiet l-investigazzjoni tal-patoġen tal-pesta?</v>
      </c>
    </row>
    <row r="12745" ht="15.75" customHeight="1">
      <c r="A12745" s="2" t="s">
        <v>12745</v>
      </c>
      <c r="B12745" s="2" t="str">
        <f>IFERROR(__xludf.DUMMYFUNCTION("GOOGLETRANSLATE(A12745, ""en"", ""mt"")"),"ir-regolamenti finanzjarji u r-regoli tal-WMO")</f>
        <v>ir-regolamenti finanzjarji u r-regoli tal-WMO</v>
      </c>
    </row>
    <row r="12746" ht="15.75" customHeight="1">
      <c r="A12746" s="2" t="s">
        <v>12746</v>
      </c>
      <c r="B12746" s="2" t="str">
        <f>IFERROR(__xludf.DUMMYFUNCTION("GOOGLETRANSLATE(A12746, ""en"", ""mt"")"),"X'inhu l-isem tal-fruntiera għan-nofsinhar?")</f>
        <v>X'inhu l-isem tal-fruntiera għan-nofsinhar?</v>
      </c>
    </row>
    <row r="12747" ht="15.75" customHeight="1">
      <c r="A12747" s="2" t="s">
        <v>12747</v>
      </c>
      <c r="B12747" s="2" t="str">
        <f>IFERROR(__xludf.DUMMYFUNCTION("GOOGLETRANSLATE(A12747, ""en"", ""mt"")"),"Valv mgħobbi bir-rebbiegħa aġġustabbli")</f>
        <v>Valv mgħobbi bir-rebbiegħa aġġustabbli</v>
      </c>
    </row>
    <row r="12748" ht="15.75" customHeight="1">
      <c r="A12748" s="2" t="s">
        <v>12748</v>
      </c>
      <c r="B12748" s="2" t="str">
        <f>IFERROR(__xludf.DUMMYFUNCTION("GOOGLETRANSLATE(A12748, ""en"", ""mt"")"),"Xi tfisser l-ATP?")</f>
        <v>Xi tfisser l-ATP?</v>
      </c>
    </row>
    <row r="12749" ht="15.75" customHeight="1">
      <c r="A12749" s="2" t="s">
        <v>12749</v>
      </c>
      <c r="B12749" s="2" t="str">
        <f>IFERROR(__xludf.DUMMYFUNCTION("GOOGLETRANSLATE(A12749, ""en"", ""mt"")"),"Il-Griegi tal-qedem")</f>
        <v>Il-Griegi tal-qedem</v>
      </c>
    </row>
    <row r="12750" ht="15.75" customHeight="1">
      <c r="A12750" s="2" t="s">
        <v>12750</v>
      </c>
      <c r="B12750" s="2" t="str">
        <f>IFERROR(__xludf.DUMMYFUNCTION("GOOGLETRANSLATE(A12750, ""en"", ""mt"")"),"X'taħseb li Tesla tista 'ttejjeb l-intelliġenza tal-moħħ?")</f>
        <v>X'taħseb li Tesla tista 'ttejjeb l-intelliġenza tal-moħħ?</v>
      </c>
    </row>
    <row r="12751" ht="15.75" customHeight="1">
      <c r="A12751" s="2" t="s">
        <v>12751</v>
      </c>
      <c r="B12751" s="2" t="str">
        <f>IFERROR(__xludf.DUMMYFUNCTION("GOOGLETRANSLATE(A12751, ""en"", ""mt"")"),"attakka lill-Ingliżi")</f>
        <v>attakka lill-Ingliżi</v>
      </c>
    </row>
    <row r="12752" ht="15.75" customHeight="1">
      <c r="A12752" s="2" t="s">
        <v>12752</v>
      </c>
      <c r="B12752" s="2" t="str">
        <f>IFERROR(__xludf.DUMMYFUNCTION("GOOGLETRANSLATE(A12752, ""en"", ""mt"")"),"Xi għalliema u ġenituri")</f>
        <v>Xi għalliema u ġenituri</v>
      </c>
    </row>
    <row r="12753" ht="15.75" customHeight="1">
      <c r="A12753" s="2" t="s">
        <v>12753</v>
      </c>
      <c r="B12753" s="2" t="str">
        <f>IFERROR(__xludf.DUMMYFUNCTION("GOOGLETRANSLATE(A12753, ""en"", ""mt"")"),"Fażi ta 'setup")</f>
        <v>Fażi ta 'setup</v>
      </c>
    </row>
    <row r="12754" ht="15.75" customHeight="1">
      <c r="A12754" s="2" t="s">
        <v>12754</v>
      </c>
      <c r="B12754" s="2" t="str">
        <f>IFERROR(__xludf.DUMMYFUNCTION("GOOGLETRANSLATE(A12754, ""en"", ""mt"")"),"Marburg Colloquy")</f>
        <v>Marburg Colloquy</v>
      </c>
    </row>
    <row r="12755" ht="15.75" customHeight="1">
      <c r="A12755" s="2" t="s">
        <v>12755</v>
      </c>
      <c r="B12755" s="2" t="str">
        <f>IFERROR(__xludf.DUMMYFUNCTION("GOOGLETRANSLATE(A12755, ""en"", ""mt"")"),"il-probabbiltà ta 'ħsara lill-faċilitajiet tal-elettriku, tad-drenaġġ, tat-telefon u tal-kejbil eżistenti eżistenti")</f>
        <v>il-probabbiltà ta 'ħsara lill-faċilitajiet tal-elettriku, tad-drenaġġ, tat-telefon u tal-kejbil eżistenti eżistenti</v>
      </c>
    </row>
    <row r="12756" ht="15.75" customHeight="1">
      <c r="A12756" s="2" t="s">
        <v>12756</v>
      </c>
      <c r="B12756" s="2" t="str">
        <f>IFERROR(__xludf.DUMMYFUNCTION("GOOGLETRANSLATE(A12756, ""en"", ""mt"")"),"tentakli li jinġibdu lura bil-fringed bit-tentilla")</f>
        <v>tentakli li jinġibdu lura bil-fringed bit-tentilla</v>
      </c>
    </row>
    <row r="12757" ht="15.75" customHeight="1">
      <c r="A12757" s="2" t="s">
        <v>12757</v>
      </c>
      <c r="B12757" s="2" t="str">
        <f>IFERROR(__xludf.DUMMYFUNCTION("GOOGLETRANSLATE(A12757, ""en"", ""mt"")"),"1752 Trattat ta 'Logstown")</f>
        <v>1752 Trattat ta 'Logstown</v>
      </c>
    </row>
    <row r="12758" ht="15.75" customHeight="1">
      <c r="A12758" s="2" t="s">
        <v>12758</v>
      </c>
      <c r="B12758" s="2" t="str">
        <f>IFERROR(__xludf.DUMMYFUNCTION("GOOGLETRANSLATE(A12758, ""en"", ""mt"")"),"aktar minn 60 fil-mija")</f>
        <v>aktar minn 60 fil-mija</v>
      </c>
    </row>
    <row r="12759" ht="15.75" customHeight="1">
      <c r="A12759" s="2" t="s">
        <v>12759</v>
      </c>
      <c r="B12759" s="2" t="str">
        <f>IFERROR(__xludf.DUMMYFUNCTION("GOOGLETRANSLATE(A12759, ""en"", ""mt"")"),"X’kien uża l-wan biex jistampa l-flus tiegħu qabel il-pjanċi tal-bronż?")</f>
        <v>X’kien uża l-wan biex jistampa l-flus tiegħu qabel il-pjanċi tal-bronż?</v>
      </c>
    </row>
    <row r="12760" ht="15.75" customHeight="1">
      <c r="A12760" s="2" t="s">
        <v>12760</v>
      </c>
      <c r="B12760" s="2" t="str">
        <f>IFERROR(__xludf.DUMMYFUNCTION("GOOGLETRANSLATE(A12760, ""en"", ""mt"")"),"Liema oġġetti fl-organiżmi jassorbu l-ossiġnu singlet biex jipprevjenu l-ħsara?")</f>
        <v>Liema oġġetti fl-organiżmi jassorbu l-ossiġnu singlet biex jipprevjenu l-ħsara?</v>
      </c>
    </row>
    <row r="12761" ht="15.75" customHeight="1">
      <c r="A12761" s="2" t="s">
        <v>12761</v>
      </c>
      <c r="B12761" s="2" t="str">
        <f>IFERROR(__xludf.DUMMYFUNCTION("GOOGLETRANSLATE(A12761, ""en"", ""mt"")"),"X'jiġri mill-plugs fużibbli taċ-ċomb jekk il-livell tal-ilma tal-bojler jonqos?")</f>
        <v>X'jiġri mill-plugs fużibbli taċ-ċomb jekk il-livell tal-ilma tal-bojler jonqos?</v>
      </c>
    </row>
    <row r="12762" ht="15.75" customHeight="1">
      <c r="A12762" s="2" t="s">
        <v>12762</v>
      </c>
      <c r="B12762" s="2" t="str">
        <f>IFERROR(__xludf.DUMMYFUNCTION("GOOGLETRANSLATE(A12762, ""en"", ""mt"")"),"1910 sal-1940")</f>
        <v>1910 sal-1940</v>
      </c>
    </row>
    <row r="12763" ht="15.75" customHeight="1">
      <c r="A12763" s="2" t="s">
        <v>12763</v>
      </c>
      <c r="B12763" s="2" t="str">
        <f>IFERROR(__xludf.DUMMYFUNCTION("GOOGLETRANSLATE(A12763, ""en"", ""mt"")"),"Il-bord tal-IPCC huwa magħmul minn rappreżentanti maħtura minn gvernijiet u organizzazzjonijiet. Il-parteċipazzjoni ta 'delegati b'kompetenza xierqa hija mħeġġa. Is-sessjonijiet plenarji tal-gruppi ta 'ħidma tal-IPCC u tal-IPCC huma miżmuma fil-livell tar"&amp;"-rappreżentanti tal-gvern. Organizzazzjonijiet mhux governattivi u intergovernattivi jistgħu jitħallew jattendu bħala osservaturi. Is-sessjonijiet tal-Uffiċċju tal-IPCC, workshops, esperti u laqgħat tal-awturi ewlenin huma bi stedina biss. L-attendenza fi"&amp;"l-laqgħa tal-2003 kienet tinkludi 350 uffiċjal tal-gvern u esperti fil-bidla fil-klima. Wara ċ-ċerimonji tal-ftuħ, saru sessjonijiet plenarji magħluqa. Ir-rapport tal-laqgħa jiddikjara li kien hemm 322 persuna li attendew f’sessjonijiet b’madwar sebgħa u "&amp;"tmienja tal-parteċipanti li huma minn organizzazzjonijiet governattivi.")</f>
        <v>Il-bord tal-IPCC huwa magħmul minn rappreżentanti maħtura minn gvernijiet u organizzazzjonijiet. Il-parteċipazzjoni ta 'delegati b'kompetenza xierqa hija mħeġġa. Is-sessjonijiet plenarji tal-gruppi ta 'ħidma tal-IPCC u tal-IPCC huma miżmuma fil-livell tar-rappreżentanti tal-gvern. Organizzazzjonijiet mhux governattivi u intergovernattivi jistgħu jitħallew jattendu bħala osservaturi. Is-sessjonijiet tal-Uffiċċju tal-IPCC, workshops, esperti u laqgħat tal-awturi ewlenin huma bi stedina biss. L-attendenza fil-laqgħa tal-2003 kienet tinkludi 350 uffiċjal tal-gvern u esperti fil-bidla fil-klima. Wara ċ-ċerimonji tal-ftuħ, saru sessjonijiet plenarji magħluqa. Ir-rapport tal-laqgħa jiddikjara li kien hemm 322 persuna li attendew f’sessjonijiet b’madwar sebgħa u tmienja tal-parteċipanti li huma minn organizzazzjonijiet governattivi.</v>
      </c>
    </row>
    <row r="12764" ht="15.75" customHeight="1">
      <c r="A12764" s="2" t="s">
        <v>12764</v>
      </c>
      <c r="B12764" s="2" t="str">
        <f>IFERROR(__xludf.DUMMYFUNCTION("GOOGLETRANSLATE(A12764, ""en"", ""mt"")"),"Wara dan, Huguenots (bi stimi li jvarjaw minn 200,000 sa 1,000,000) ħarbu lejn il-pajjiżi Protestanti tal-madwar: l-Ingilterra, l-Olanda, l-Isvizzera, in-Norveġja, in-Norveġja, id-Danimarka u l-Prussja - li l-Elettur Kbir Kalvinist Frederick William laqa "&amp;"'biex jgħinhom jibnu mill-ġdid il-gwerra pajjiż. Wara dan l-eżodu, Huguenots baqa 'f'numri kbar f'reġjun wieħed biss ta' Franza: ir-reġjun imħatteb ta 'Cévennes fin-nofsinhar. Fil-bidu tas-seklu 18, grupp reġjonali magħruf bħala l-camisards li kienu Hugue"&amp;"nots ħarġu kontra l-Knisja Kattolika fir-reġjun, jaħarqu l-knejjes u joqtlu l-kleru. Għaddew truppi Franċiżi biex jikkaċċjaw u jeqirdu l-baned kollha ta 'camisards, bejn l-1702 u l-1709.")</f>
        <v>Wara dan, Huguenots (bi stimi li jvarjaw minn 200,000 sa 1,000,000) ħarbu lejn il-pajjiżi Protestanti tal-madwar: l-Ingilterra, l-Olanda, l-Isvizzera, in-Norveġja, in-Norveġja, id-Danimarka u l-Prussja - li l-Elettur Kbir Kalvinist Frederick William laqa 'biex jgħinhom jibnu mill-ġdid il-gwerra pajjiż. Wara dan l-eżodu, Huguenots baqa 'f'numri kbar f'reġjun wieħed biss ta' Franza: ir-reġjun imħatteb ta 'Cévennes fin-nofsinhar. Fil-bidu tas-seklu 18, grupp reġjonali magħruf bħala l-camisards li kienu Huguenots ħarġu kontra l-Knisja Kattolika fir-reġjun, jaħarqu l-knejjes u joqtlu l-kleru. Għaddew truppi Franċiżi biex jikkaċċjaw u jeqirdu l-baned kollha ta 'camisards, bejn l-1702 u l-1709.</v>
      </c>
    </row>
    <row r="12765" ht="15.75" customHeight="1">
      <c r="A12765" s="2" t="s">
        <v>12765</v>
      </c>
      <c r="B12765" s="2" t="str">
        <f>IFERROR(__xludf.DUMMYFUNCTION("GOOGLETRANSLATE(A12765, ""en"", ""mt"")"),"X'inhu t-titlu uffiċjali tar-ragħaj lokali?")</f>
        <v>X'inhu t-titlu uffiċjali tar-ragħaj lokali?</v>
      </c>
    </row>
    <row r="12766" ht="15.75" customHeight="1">
      <c r="A12766" s="2" t="s">
        <v>12766</v>
      </c>
      <c r="B12766" s="2" t="str">
        <f>IFERROR(__xludf.DUMMYFUNCTION("GOOGLETRANSLATE(A12766, ""en"", ""mt"")"),"Knisja Kattolika qaddisa (jew universali)")</f>
        <v>Knisja Kattolika qaddisa (jew universali)</v>
      </c>
    </row>
    <row r="12767" ht="15.75" customHeight="1">
      <c r="A12767" s="2" t="s">
        <v>12767</v>
      </c>
      <c r="B12767" s="2" t="str">
        <f>IFERROR(__xludf.DUMMYFUNCTION("GOOGLETRANSLATE(A12767, ""en"", ""mt"")"),"persważjoni u negozjar")</f>
        <v>persważjoni u negozjar</v>
      </c>
    </row>
    <row r="12768" ht="15.75" customHeight="1">
      <c r="A12768" s="2" t="s">
        <v>12768</v>
      </c>
      <c r="B12768" s="2" t="str">
        <f>IFERROR(__xludf.DUMMYFUNCTION("GOOGLETRANSLATE(A12768, ""en"", ""mt"")"),"Ħajja fuq Tyneside,")</f>
        <v>Ħajja fuq Tyneside,</v>
      </c>
    </row>
    <row r="12769" ht="15.75" customHeight="1">
      <c r="A12769" s="2" t="s">
        <v>12769</v>
      </c>
      <c r="B12769" s="2" t="str">
        <f>IFERROR(__xludf.DUMMYFUNCTION("GOOGLETRANSLATE(A12769, ""en"", ""mt"")"),"inċert")</f>
        <v>inċert</v>
      </c>
    </row>
    <row r="12770" ht="15.75" customHeight="1">
      <c r="A12770" s="2" t="s">
        <v>12770</v>
      </c>
      <c r="B12770" s="2" t="str">
        <f>IFERROR(__xludf.DUMMYFUNCTION("GOOGLETRANSLATE(A12770, ""en"", ""mt"")"),"pagi staġnati")</f>
        <v>pagi staġnati</v>
      </c>
    </row>
    <row r="12771" ht="15.75" customHeight="1">
      <c r="A12771" s="2" t="s">
        <v>12771</v>
      </c>
      <c r="B12771" s="2" t="str">
        <f>IFERROR(__xludf.DUMMYFUNCTION("GOOGLETRANSLATE(A12771, ""en"", ""mt"")"),"Liema proklamazzjoni spiċċat uffiċjalment l-awtonomija limitata Huguenot?")</f>
        <v>Liema proklamazzjoni spiċċat uffiċjalment l-awtonomija limitata Huguenot?</v>
      </c>
    </row>
    <row r="12772" ht="15.75" customHeight="1">
      <c r="A12772" s="2" t="s">
        <v>12772</v>
      </c>
      <c r="B12772" s="2" t="str">
        <f>IFERROR(__xludf.DUMMYFUNCTION("GOOGLETRANSLATE(A12772, ""en"", ""mt"")"),"Borża ta 'Varsavja")</f>
        <v>Borża ta 'Varsavja</v>
      </c>
    </row>
    <row r="12773" ht="15.75" customHeight="1">
      <c r="A12773" s="2" t="s">
        <v>12773</v>
      </c>
      <c r="B12773" s="2" t="str">
        <f>IFERROR(__xludf.DUMMYFUNCTION("GOOGLETRANSLATE(A12773, ""en"", ""mt"")"),"Sett ta 'problema li dak huwa diffiċli għall-espressjoni NP jista' jkun iddikjarat ukoll kif?")</f>
        <v>Sett ta 'problema li dak huwa diffiċli għall-espressjoni NP jista' jkun iddikjarat ukoll kif?</v>
      </c>
    </row>
    <row r="12774" ht="15.75" customHeight="1">
      <c r="A12774" s="2" t="s">
        <v>12774</v>
      </c>
      <c r="B12774" s="2" t="str">
        <f>IFERROR(__xludf.DUMMYFUNCTION("GOOGLETRANSLATE(A12774, ""en"", ""mt"")"),"Stratigrafiku")</f>
        <v>Stratigrafiku</v>
      </c>
    </row>
    <row r="12775" ht="15.75" customHeight="1">
      <c r="A12775" s="2" t="s">
        <v>12775</v>
      </c>
      <c r="B12775" s="2" t="str">
        <f>IFERROR(__xludf.DUMMYFUNCTION("GOOGLETRANSLATE(A12775, ""en"", ""mt"")"),"familji ta ’aħwa")</f>
        <v>familji ta ’aħwa</v>
      </c>
    </row>
    <row r="12776" ht="15.75" customHeight="1">
      <c r="A12776" s="2" t="s">
        <v>12776</v>
      </c>
      <c r="B12776" s="2" t="str">
        <f>IFERROR(__xludf.DUMMYFUNCTION("GOOGLETRANSLATE(A12776, ""en"", ""mt"")"),"Id-Diviżjoni u l-Amministrazzjoni tat-Territorju li għadu kif ġie maħkuma")</f>
        <v>Id-Diviżjoni u l-Amministrazzjoni tat-Territorju li għadu kif ġie maħkuma</v>
      </c>
    </row>
    <row r="12777" ht="15.75" customHeight="1">
      <c r="A12777" s="2" t="s">
        <v>12777</v>
      </c>
      <c r="B12777" s="2" t="str">
        <f>IFERROR(__xludf.DUMMYFUNCTION("GOOGLETRANSLATE(A12777, ""en"", ""mt"")"),"Liema perċentwali tirrappreżenta l-Amazon fil-foresti tropikali fuq il-pjaneta?")</f>
        <v>Liema perċentwali tirrappreżenta l-Amazon fil-foresti tropikali fuq il-pjaneta?</v>
      </c>
    </row>
    <row r="12778" ht="15.75" customHeight="1">
      <c r="A12778" s="2" t="s">
        <v>12778</v>
      </c>
      <c r="B12778" s="2" t="str">
        <f>IFERROR(__xludf.DUMMYFUNCTION("GOOGLETRANSLATE(A12778, ""en"", ""mt"")"),"Kif iqabblu d-drittijiet fl-iskejjel tal-Mudell Ċ ta 'qabel ma' dawk fi skejjel oħra?")</f>
        <v>Kif iqabblu d-drittijiet fl-iskejjel tal-Mudell Ċ ta 'qabel ma' dawk fi skejjel oħra?</v>
      </c>
    </row>
    <row r="12779" ht="15.75" customHeight="1">
      <c r="A12779" s="2" t="s">
        <v>12779</v>
      </c>
      <c r="B12779" s="2" t="str">
        <f>IFERROR(__xludf.DUMMYFUNCTION("GOOGLETRANSLATE(A12779, ""en"", ""mt"")"),"PTT Telecom Olandiż")</f>
        <v>PTT Telecom Olandiż</v>
      </c>
    </row>
    <row r="12780" ht="15.75" customHeight="1">
      <c r="A12780" s="2" t="s">
        <v>12780</v>
      </c>
      <c r="B12780" s="2" t="str">
        <f>IFERROR(__xludf.DUMMYFUNCTION("GOOGLETRANSLATE(A12780, ""en"", ""mt"")"),"Kif osserva Genghis Khan it-termini taċ-ċediment wara li Samarkand waqa '?")</f>
        <v>Kif osserva Genghis Khan it-termini taċ-ċediment wara li Samarkand waqa '?</v>
      </c>
    </row>
    <row r="12781" ht="15.75" customHeight="1">
      <c r="A12781" s="2" t="s">
        <v>12781</v>
      </c>
      <c r="B12781" s="2" t="str">
        <f>IFERROR(__xludf.DUMMYFUNCTION("GOOGLETRANSLATE(A12781, ""en"", ""mt"")"),"X'kien id-dħul ta 'ABC fl-1962?")</f>
        <v>X'kien id-dħul ta 'ABC fl-1962?</v>
      </c>
    </row>
    <row r="12782" ht="15.75" customHeight="1">
      <c r="A12782" s="2" t="s">
        <v>12782</v>
      </c>
      <c r="B12782" s="2" t="str">
        <f>IFERROR(__xludf.DUMMYFUNCTION("GOOGLETRANSLATE(A12782, ""en"", ""mt"")"),"562 sa 1598")</f>
        <v>562 sa 1598</v>
      </c>
    </row>
    <row r="12783" ht="15.75" customHeight="1">
      <c r="A12783" s="2" t="s">
        <v>12783</v>
      </c>
      <c r="B12783" s="2" t="str">
        <f>IFERROR(__xludf.DUMMYFUNCTION("GOOGLETRANSLATE(A12783, ""en"", ""mt"")"),"X'inhuma d-differenzi kbar fil-ġid attribwiti mis-soċjalisti?")</f>
        <v>X'inhuma d-differenzi kbar fil-ġid attribwiti mis-soċjalisti?</v>
      </c>
    </row>
    <row r="12784" ht="15.75" customHeight="1">
      <c r="A12784" s="2" t="s">
        <v>12784</v>
      </c>
      <c r="B12784" s="2" t="str">
        <f>IFERROR(__xludf.DUMMYFUNCTION("GOOGLETRANSLATE(A12784, ""en"", ""mt"")"),"Università")</f>
        <v>Università</v>
      </c>
    </row>
    <row r="12785" ht="15.75" customHeight="1">
      <c r="A12785" s="2" t="s">
        <v>12785</v>
      </c>
      <c r="B12785" s="2" t="str">
        <f>IFERROR(__xludf.DUMMYFUNCTION("GOOGLETRANSLATE(A12785, ""en"", ""mt"")"),"Lag Constance")</f>
        <v>Lag Constance</v>
      </c>
    </row>
    <row r="12786" ht="15.75" customHeight="1">
      <c r="A12786" s="2" t="s">
        <v>12786</v>
      </c>
      <c r="B12786" s="2" t="str">
        <f>IFERROR(__xludf.DUMMYFUNCTION("GOOGLETRANSLATE(A12786, ""en"", ""mt"")"),"X'kien notevoli dwar il-friefet?")</f>
        <v>X'kien notevoli dwar il-friefet?</v>
      </c>
    </row>
    <row r="12787" ht="15.75" customHeight="1">
      <c r="A12787" s="2" t="s">
        <v>12787</v>
      </c>
      <c r="B12787" s="2" t="str">
        <f>IFERROR(__xludf.DUMMYFUNCTION("GOOGLETRANSLATE(A12787, ""en"", ""mt"")"),"Fuq xiex għandu l-livell għoli attwali ta 'popolazzjoni?")</f>
        <v>Fuq xiex għandu l-livell għoli attwali ta 'popolazzjoni?</v>
      </c>
    </row>
    <row r="12788" ht="15.75" customHeight="1">
      <c r="A12788" s="2" t="s">
        <v>12788</v>
      </c>
      <c r="B12788" s="2" t="str">
        <f>IFERROR(__xludf.DUMMYFUNCTION("GOOGLETRANSLATE(A12788, ""en"", ""mt"")"),"Illum, it-Trattat ta 'Lisbona jipprojbixxi ftehimiet anti-kompetittivi fl-Artikolu 101 (1), inkluż l-iffissar tal-prezzijiet. Skond l-Artikolu 101 (2) kwalunkwe ftehim bħal dan huwa awtomatikament bla effett. L-Artikolu 101 (3) jistabbilixxi eżenzjonijiet"&amp;", jekk il-kollużjoni hija għal innovazzjoni distribuzzjoni jew teknoloġika, tagħti lill-konsumaturi ""sehem ġust"" tal-benefiċċju u ma jinkludix trażżin mhux raġonevoli li l-eliminazzjoni tar-riskju tal-kompetizzjoni kullimkien (jew konformi mal-prinċipju"&amp;" ġenerali tal-liġi tal-Unjoni Ewropea ta 'proporzjonalità). L-Artikolu 102 jipprojbixxi l-abbuż ta 'pożizzjoni dominanti, bħal diskriminazzjoni fil-prezz u trattament esklussiv. L-Artikolu 102 jippermetti lill-Kunsill Ewropew jirregola l-għaqdiet bejn id-"&amp;"ditti (ir-regolament attwali huwa r-Regolament 139/2004 / KE). It-test ġenerali huwa jekk konċentrazzjoni (i.e. għaqda jew akkwist) b'dimensjoni tal-komunità (i.e. taffettwa numru ta 'stati membri tal-UE) jista' jimpedixxi b'mod sinifikanti l-kompetizzjon"&amp;"i effettiva. L-Artikoli 106 u 107 jipprovdu li d-dritt tal-Istat Membru li jagħti servizzi pubbliku ma jistax jiġi ostakolat, iżda li inkella l-intrapriżi pubbliċi għandhom jaderixxu mal-istess prinċipji tal-kompetizzjoni bħall-kumpaniji. L-Artikolu 107 j"&amp;"istabbilixxi regola ġenerali li l-Istat ma jistax jgħin jew jissussidja partijiet privati ​​fit-tgħawwiġ ta 'kompetizzjoni b'xejn u jipprovdi eżenzjonijiet għal karitajiet, għanijiet ta' żvilupp reġjonali u f'każ ta 'diżastru naturali.")</f>
        <v>Illum, it-Trattat ta 'Lisbona jipprojbixxi ftehimiet anti-kompetittivi fl-Artikolu 101 (1), inkluż l-iffissar tal-prezzijiet. Skond l-Artikolu 101 (2) kwalunkwe ftehim bħal dan huwa awtomatikament bla effett. L-Artikolu 101 (3) jistabbilixxi eżenzjonijiet, jekk il-kollużjoni hija għal innovazzjoni distribuzzjoni jew teknoloġika, tagħti lill-konsumaturi "sehem ġust" tal-benefiċċju u ma jinkludix trażżin mhux raġonevoli li l-eliminazzjoni tar-riskju tal-kompetizzjoni kullimkien (jew konformi mal-prinċipju ġenerali tal-liġi tal-Unjoni Ewropea ta 'proporzjonalità). L-Artikolu 102 jipprojbixxi l-abbuż ta 'pożizzjoni dominanti, bħal diskriminazzjoni fil-prezz u trattament esklussiv. L-Artikolu 102 jippermetti lill-Kunsill Ewropew jirregola l-għaqdiet bejn id-ditti (ir-regolament attwali huwa r-Regolament 139/2004 / KE). It-test ġenerali huwa jekk konċentrazzjoni (i.e. għaqda jew akkwist) b'dimensjoni tal-komunità (i.e. taffettwa numru ta 'stati membri tal-UE) jista' jimpedixxi b'mod sinifikanti l-kompetizzjoni effettiva. L-Artikoli 106 u 107 jipprovdu li d-dritt tal-Istat Membru li jagħti servizzi pubbliku ma jistax jiġi ostakolat, iżda li inkella l-intrapriżi pubbliċi għandhom jaderixxu mal-istess prinċipji tal-kompetizzjoni bħall-kumpaniji. L-Artikolu 107 jistabbilixxi regola ġenerali li l-Istat ma jistax jgħin jew jissussidja partijiet privati ​​fit-tgħawwiġ ta 'kompetizzjoni b'xejn u jipprovdi eżenzjonijiet għal karitajiet, għanijiet ta' żvilupp reġjonali u f'każ ta 'diżastru naturali.</v>
      </c>
    </row>
    <row r="12789" ht="15.75" customHeight="1">
      <c r="A12789" s="2" t="s">
        <v>12789</v>
      </c>
      <c r="B12789" s="2" t="str">
        <f>IFERROR(__xludf.DUMMYFUNCTION("GOOGLETRANSLATE(A12789, ""en"", ""mt"")"),"Periti")</f>
        <v>Periti</v>
      </c>
    </row>
    <row r="12790" ht="15.75" customHeight="1">
      <c r="A12790" s="2" t="s">
        <v>12790</v>
      </c>
      <c r="B12790" s="2" t="str">
        <f>IFERROR(__xludf.DUMMYFUNCTION("GOOGLETRANSLATE(A12790, ""en"", ""mt"")"),"Il-prospett ta 'liema avveniment ġiegħel il-protezzjoni ta' skejjel privati ​​Ġermaniżi?")</f>
        <v>Il-prospett ta 'liema avveniment ġiegħel il-protezzjoni ta' skejjel privati ​​Ġermaniżi?</v>
      </c>
    </row>
    <row r="12791" ht="15.75" customHeight="1">
      <c r="A12791" s="2" t="s">
        <v>12791</v>
      </c>
      <c r="B12791" s="2" t="str">
        <f>IFERROR(__xludf.DUMMYFUNCTION("GOOGLETRANSLATE(A12791, ""en"", ""mt"")"),"Suppliment tal-Ħlas tat-Tagħlim")</f>
        <v>Suppliment tal-Ħlas tat-Tagħlim</v>
      </c>
    </row>
    <row r="12792" ht="15.75" customHeight="1">
      <c r="A12792" s="2" t="s">
        <v>12792</v>
      </c>
      <c r="B12792" s="2" t="str">
        <f>IFERROR(__xludf.DUMMYFUNCTION("GOOGLETRANSLATE(A12792, ""en"", ""mt"")"),"Tankers iżolati apposta")</f>
        <v>Tankers iżolati apposta</v>
      </c>
    </row>
    <row r="12793" ht="15.75" customHeight="1">
      <c r="A12793" s="2" t="s">
        <v>12793</v>
      </c>
      <c r="B12793" s="2" t="str">
        <f>IFERROR(__xludf.DUMMYFUNCTION("GOOGLETRANSLATE(A12793, ""en"", ""mt"")"),"Espressjonijiet mhux verbali rriżultaw f'liema tip ta 'livelli ta' motivazzjoni titgħallem?")</f>
        <v>Espressjonijiet mhux verbali rriżultaw f'liema tip ta 'livelli ta' motivazzjoni titgħallem?</v>
      </c>
    </row>
    <row r="12794" ht="15.75" customHeight="1">
      <c r="A12794" s="2" t="s">
        <v>12794</v>
      </c>
      <c r="B12794" s="2" t="str">
        <f>IFERROR(__xludf.DUMMYFUNCTION("GOOGLETRANSLATE(A12794, ""en"", ""mt"")"),"In-Normandija kienet is-sit ta ’bosta żviluppi importanti fl-istorja tal-mużika klassika fis-seklu 11. Fécamp Abbey u Saint-Evroul Abbey kienu ċentri ta ’produzzjoni u edukazzjoni mużikali. Fi Fécamp, taħt żewġ abbati Taljani, William ta 'Volpiano u John "&amp;"ta' Ravenna, is-sistema ta 'noti ta' noti permezz ta 'ittri ġiet żviluppata u mgħallma. Għadha l-iktar forma komuni ta 'rappreżentazzjoni taż-żift fil-pajjiżi li jitkellmu bl-Ingliż u bil-Ġermaniż illum. Fécamp ukoll, il-persunal, li madwaru Neumes kienu "&amp;"orjentati, l-ewwel ġie żviluppat u mgħallem fis-seklu 11. Taħt l-Abbati Ġermaniż Isembard, La Trinité-du-Mont sar ċentru ta 'kompożizzjoni mużikali.")</f>
        <v>In-Normandija kienet is-sit ta ’bosta żviluppi importanti fl-istorja tal-mużika klassika fis-seklu 11. Fécamp Abbey u Saint-Evroul Abbey kienu ċentri ta ’produzzjoni u edukazzjoni mużikali. Fi Fécamp, taħt żewġ abbati Taljani, William ta 'Volpiano u John ta' Ravenna, is-sistema ta 'noti ta' noti permezz ta 'ittri ġiet żviluppata u mgħallma. Għadha l-iktar forma komuni ta 'rappreżentazzjoni taż-żift fil-pajjiżi li jitkellmu bl-Ingliż u bil-Ġermaniż illum. Fécamp ukoll, il-persunal, li madwaru Neumes kienu orjentati, l-ewwel ġie żviluppat u mgħallem fis-seklu 11. Taħt l-Abbati Ġermaniż Isembard, La Trinité-du-Mont sar ċentru ta 'kompożizzjoni mużikali.</v>
      </c>
    </row>
    <row r="12795" ht="15.75" customHeight="1">
      <c r="A12795" s="2" t="s">
        <v>12795</v>
      </c>
      <c r="B12795" s="2" t="str">
        <f>IFERROR(__xludf.DUMMYFUNCTION("GOOGLETRANSLATE(A12795, ""en"", ""mt"")"),"il-kummentarji dwar il-klassika tal-bidliet")</f>
        <v>il-kummentarji dwar il-klassika tal-bidliet</v>
      </c>
    </row>
    <row r="12796" ht="15.75" customHeight="1">
      <c r="A12796" s="2" t="s">
        <v>12796</v>
      </c>
      <c r="B12796" s="2" t="str">
        <f>IFERROR(__xludf.DUMMYFUNCTION("GOOGLETRANSLATE(A12796, ""en"", ""mt"")"),"Bejn is-snin 1960 u 1990")</f>
        <v>Bejn is-snin 1960 u 1990</v>
      </c>
    </row>
    <row r="12797" ht="15.75" customHeight="1">
      <c r="A12797" s="2" t="s">
        <v>12797</v>
      </c>
      <c r="B12797" s="2" t="str">
        <f>IFERROR(__xludf.DUMMYFUNCTION("GOOGLETRANSLATE(A12797, ""en"", ""mt"")"),"Kemm mużewijiet jinkludu mużewijiet tal-arti ta 'Harvard?")</f>
        <v>Kemm mużewijiet jinkludu mużewijiet tal-arti ta 'Harvard?</v>
      </c>
    </row>
    <row r="12798" ht="15.75" customHeight="1">
      <c r="A12798" s="2" t="s">
        <v>12798</v>
      </c>
      <c r="B12798" s="2" t="str">
        <f>IFERROR(__xludf.DUMMYFUNCTION("GOOGLETRANSLATE(A12798, ""en"", ""mt"")"),"Meta ġie mniedi s-servizz diġitali ta 'BSKYB?")</f>
        <v>Meta ġie mniedi s-servizz diġitali ta 'BSKYB?</v>
      </c>
    </row>
    <row r="12799" ht="15.75" customHeight="1">
      <c r="A12799" s="2" t="s">
        <v>12799</v>
      </c>
      <c r="B12799" s="2" t="str">
        <f>IFERROR(__xludf.DUMMYFUNCTION("GOOGLETRANSLATE(A12799, ""en"", ""mt"")"),"X'tip ta 'vot għandu jgħaddi l-Kunsill sabiex japprova xi tibdil irrakkomandat mill-Parlament?")</f>
        <v>X'tip ta 'vot għandu jgħaddi l-Kunsill sabiex japprova xi tibdil irrakkomandat mill-Parlament?</v>
      </c>
    </row>
    <row r="12800" ht="15.75" customHeight="1">
      <c r="A12800" s="2" t="s">
        <v>12800</v>
      </c>
      <c r="B12800" s="2" t="str">
        <f>IFERROR(__xludf.DUMMYFUNCTION("GOOGLETRANSLATE(A12800, ""en"", ""mt"")"),"WABC-TV u WPVI-TV")</f>
        <v>WABC-TV u WPVI-TV</v>
      </c>
    </row>
    <row r="12801" ht="15.75" customHeight="1">
      <c r="A12801" s="2" t="s">
        <v>12801</v>
      </c>
      <c r="B12801" s="2" t="str">
        <f>IFERROR(__xludf.DUMMYFUNCTION("GOOGLETRANSLATE(A12801, ""en"", ""mt"")"),"Griegi")</f>
        <v>Griegi</v>
      </c>
    </row>
    <row r="12802" ht="15.75" customHeight="1">
      <c r="A12802" s="2" t="s">
        <v>12802</v>
      </c>
      <c r="B12802" s="2" t="str">
        <f>IFERROR(__xludf.DUMMYFUNCTION("GOOGLETRANSLATE(A12802, ""en"", ""mt"")"),"X'inhi prattika komuni fil-kastig korporali uffiċjali?")</f>
        <v>X'inhi prattika komuni fil-kastig korporali uffiċjali?</v>
      </c>
    </row>
    <row r="12803" ht="15.75" customHeight="1">
      <c r="A12803" s="2" t="s">
        <v>12803</v>
      </c>
      <c r="B12803" s="2" t="str">
        <f>IFERROR(__xludf.DUMMYFUNCTION("GOOGLETRANSLATE(A12803, ""en"", ""mt"")"),"L-edukazzjoni f'Wales tvarja f'ċerti aspetti mill-edukazzjoni x'imkien ieħor fir-Renju Unit. Pereżempju, numru sinifikanti ta 'studenti madwar Wales huma edukati jew kompletament jew fil-biċċa l-kbira permezz tal-mezz ta' Welsh: fl-2008/09, 22 fil-mija ta"&amp;"l-klassijiet fl-iskejjel primarji miżmuma użati mill-Welsh bħala l-uniku jew il-mezz ewlieni ta 'struzzjoni. Edukazzjoni medja ta 'Welsh hija disponibbli għall-gruppi ta' età kollha permezz ta 'mixtliet, skejjel, kulleġġi u universitajiet u f'edukazzjoni "&amp;"għall-adulti; Lezzjonijiet fil-lingwa nnifisha huma obbligatorji għall-istudenti kollha sa l-età ta '16.")</f>
        <v>L-edukazzjoni f'Wales tvarja f'ċerti aspetti mill-edukazzjoni x'imkien ieħor fir-Renju Unit. Pereżempju, numru sinifikanti ta 'studenti madwar Wales huma edukati jew kompletament jew fil-biċċa l-kbira permezz tal-mezz ta' Welsh: fl-2008/09, 22 fil-mija tal-klassijiet fl-iskejjel primarji miżmuma użati mill-Welsh bħala l-uniku jew il-mezz ewlieni ta 'struzzjoni. Edukazzjoni medja ta 'Welsh hija disponibbli għall-gruppi ta' età kollha permezz ta 'mixtliet, skejjel, kulleġġi u universitajiet u f'edukazzjoni għall-adulti; Lezzjonijiet fil-lingwa nnifisha huma obbligatorji għall-istudenti kollha sa l-età ta '16.</v>
      </c>
    </row>
    <row r="12804" ht="15.75" customHeight="1">
      <c r="A12804" s="2" t="s">
        <v>12804</v>
      </c>
      <c r="B12804" s="2" t="str">
        <f>IFERROR(__xludf.DUMMYFUNCTION("GOOGLETRANSLATE(A12804, ""en"", ""mt"")"),"Il-gazzetta Times")</f>
        <v>Il-gazzetta Times</v>
      </c>
    </row>
    <row r="12805" ht="15.75" customHeight="1">
      <c r="A12805" s="2" t="s">
        <v>12805</v>
      </c>
      <c r="B12805" s="2" t="str">
        <f>IFERROR(__xludf.DUMMYFUNCTION("GOOGLETRANSLATE(A12805, ""en"", ""mt"")"),"Bioluminesċenza")</f>
        <v>Bioluminesċenza</v>
      </c>
    </row>
    <row r="12806" ht="15.75" customHeight="1">
      <c r="A12806" s="2" t="s">
        <v>12806</v>
      </c>
      <c r="B12806" s="2" t="str">
        <f>IFERROR(__xludf.DUMMYFUNCTION("GOOGLETRANSLATE(A12806, ""en"", ""mt"")"),"X'tip ta 'trattament normalment jirċievu d-diżubbidjenti ċivili?")</f>
        <v>X'tip ta 'trattament normalment jirċievu d-diżubbidjenti ċivili?</v>
      </c>
    </row>
    <row r="12807" ht="15.75" customHeight="1">
      <c r="A12807" s="2" t="s">
        <v>12807</v>
      </c>
      <c r="B12807" s="2" t="str">
        <f>IFERROR(__xludf.DUMMYFUNCTION("GOOGLETRANSLATE(A12807, ""en"", ""mt"")"),"il-mezzi biex tinvesti f'sorsi ġodda ta 'ħolqien ta' ġid jew biex inkella nfissru l-akkumulazzjoni ta 'ġid")</f>
        <v>il-mezzi biex tinvesti f'sorsi ġodda ta 'ħolqien ta' ġid jew biex inkella nfissru l-akkumulazzjoni ta 'ġid</v>
      </c>
    </row>
    <row r="12808" ht="15.75" customHeight="1">
      <c r="A12808" s="2" t="s">
        <v>12808</v>
      </c>
      <c r="B12808" s="2" t="str">
        <f>IFERROR(__xludf.DUMMYFUNCTION("GOOGLETRANSLATE(A12808, ""en"", ""mt"")"),"żewġ popolazzjonijiet ta 'annimali gerriema")</f>
        <v>żewġ popolazzjonijiet ta 'annimali gerriema</v>
      </c>
    </row>
    <row r="12809" ht="15.75" customHeight="1">
      <c r="A12809" s="2" t="s">
        <v>12809</v>
      </c>
      <c r="B12809" s="2" t="str">
        <f>IFERROR(__xludf.DUMMYFUNCTION("GOOGLETRANSLATE(A12809, ""en"", ""mt"")"),"Kif jissejħu pjanti bit-trasformazzjonijiet tal-ġeni tal-plastid?")</f>
        <v>Kif jissejħu pjanti bit-trasformazzjonijiet tal-ġeni tal-plastid?</v>
      </c>
    </row>
    <row r="12810" ht="15.75" customHeight="1">
      <c r="A12810" s="2" t="s">
        <v>12810</v>
      </c>
      <c r="B12810" s="2" t="str">
        <f>IFERROR(__xludf.DUMMYFUNCTION("GOOGLETRANSLATE(A12810, ""en"", ""mt"")"),"Hemm kritika li l-politiki dwar l-enerġija huma soluzzjonijiet ta 'malajr għaljin li jinjoraw liema fatti?")</f>
        <v>Hemm kritika li l-politiki dwar l-enerġija huma soluzzjonijiet ta 'malajr għaljin li jinjoraw liema fatti?</v>
      </c>
    </row>
    <row r="12811" ht="15.75" customHeight="1">
      <c r="A12811" s="2" t="s">
        <v>12811</v>
      </c>
      <c r="B12811" s="2" t="str">
        <f>IFERROR(__xludf.DUMMYFUNCTION("GOOGLETRANSLATE(A12811, ""en"", ""mt"")"),"Involvi fid-diskors projbit")</f>
        <v>Involvi fid-diskors projbit</v>
      </c>
    </row>
    <row r="12812" ht="15.75" customHeight="1">
      <c r="A12812" s="2" t="s">
        <v>12812</v>
      </c>
      <c r="B12812" s="2" t="str">
        <f>IFERROR(__xludf.DUMMYFUNCTION("GOOGLETRANSLATE(A12812, ""en"", ""mt"")"),"Terra Nullius hija espressjoni Latina li tfisser dak bl-Ingliż?")</f>
        <v>Terra Nullius hija espressjoni Latina li tfisser dak bl-Ingliż?</v>
      </c>
    </row>
    <row r="12813" ht="15.75" customHeight="1">
      <c r="A12813" s="2" t="s">
        <v>12813</v>
      </c>
      <c r="B12813" s="2" t="str">
        <f>IFERROR(__xludf.DUMMYFUNCTION("GOOGLETRANSLATE(A12813, ""en"", ""mt"")"),"imġieba u demografika")</f>
        <v>imġieba u demografika</v>
      </c>
    </row>
    <row r="12814" ht="15.75" customHeight="1">
      <c r="A12814" s="2" t="s">
        <v>12814</v>
      </c>
      <c r="B12814" s="2" t="str">
        <f>IFERROR(__xludf.DUMMYFUNCTION("GOOGLETRANSLATE(A12814, ""en"", ""mt"")"),"magma jew lava")</f>
        <v>magma jew lava</v>
      </c>
    </row>
    <row r="12815" ht="15.75" customHeight="1">
      <c r="A12815" s="2" t="s">
        <v>12815</v>
      </c>
      <c r="B12815" s="2" t="str">
        <f>IFERROR(__xludf.DUMMYFUNCTION("GOOGLETRANSLATE(A12815, ""en"", ""mt"")"),"konferma")</f>
        <v>konferma</v>
      </c>
    </row>
    <row r="12816" ht="15.75" customHeight="1">
      <c r="A12816" s="2" t="s">
        <v>12816</v>
      </c>
      <c r="B12816" s="2" t="str">
        <f>IFERROR(__xludf.DUMMYFUNCTION("GOOGLETRANSLATE(A12816, ""en"", ""mt"")"),"Dak li temm it-triad")</f>
        <v>Dak li temm it-triad</v>
      </c>
    </row>
    <row r="12817" ht="15.75" customHeight="1">
      <c r="A12817" s="2" t="s">
        <v>12817</v>
      </c>
      <c r="B12817" s="2" t="str">
        <f>IFERROR(__xludf.DUMMYFUNCTION("GOOGLETRANSLATE(A12817, ""en"", ""mt"")"),"Nażisti Ġermaniżi")</f>
        <v>Nażisti Ġermaniżi</v>
      </c>
    </row>
    <row r="12818" ht="15.75" customHeight="1">
      <c r="A12818" s="2" t="s">
        <v>12818</v>
      </c>
      <c r="B12818" s="2" t="str">
        <f>IFERROR(__xludf.DUMMYFUNCTION("GOOGLETRANSLATE(A12818, ""en"", ""mt"")"),"Richard Wilkinson u Kate Pickett")</f>
        <v>Richard Wilkinson u Kate Pickett</v>
      </c>
    </row>
    <row r="12819" ht="15.75" customHeight="1">
      <c r="A12819" s="2" t="s">
        <v>12819</v>
      </c>
      <c r="B12819" s="2" t="str">
        <f>IFERROR(__xludf.DUMMYFUNCTION("GOOGLETRANSLATE(A12819, ""en"", ""mt"")"),"X'inhu l-eżempju ta 'problema oħra kkaratterizzata minn każijiet kbar li tissolva rutina minn maniġers SAT li jużaw algoritmi effiċjenti?")</f>
        <v>X'inhu l-eżempju ta 'problema oħra kkaratterizzata minn każijiet kbar li tissolva rutina minn maniġers SAT li jużaw algoritmi effiċjenti?</v>
      </c>
    </row>
    <row r="12820" ht="15.75" customHeight="1">
      <c r="A12820" s="2" t="s">
        <v>12820</v>
      </c>
      <c r="B12820" s="2" t="str">
        <f>IFERROR(__xludf.DUMMYFUNCTION("GOOGLETRANSLATE(A12820, ""en"", ""mt"")"),"X'kien l-isem Iroquois ta 'William Johnson?")</f>
        <v>X'kien l-isem Iroquois ta 'William Johnson?</v>
      </c>
    </row>
    <row r="12821" ht="15.75" customHeight="1">
      <c r="A12821" s="2" t="s">
        <v>12821</v>
      </c>
      <c r="B12821" s="2" t="str">
        <f>IFERROR(__xludf.DUMMYFUNCTION("GOOGLETRANSLATE(A12821, ""en"", ""mt"")"),"Kemm gowls fil-grawnd McManus kick fil-logħba?")</f>
        <v>Kemm gowls fil-grawnd McManus kick fil-logħba?</v>
      </c>
    </row>
    <row r="12822" ht="15.75" customHeight="1">
      <c r="A12822" s="2" t="s">
        <v>12822</v>
      </c>
      <c r="B12822" s="2" t="str">
        <f>IFERROR(__xludf.DUMMYFUNCTION("GOOGLETRANSLATE(A12822, ""en"", ""mt"")"),"Fil-31 ta 'Lulju, 1995, il-Walt Disney Company ħabbret ftehim biex tgħaqqad ma' Capital Cities / ABC għal $ 19 biljun. L-azzjonisti ta 'Disney approvaw l-għaqda f'konferenza speċjali fi New York City fl-4 ta' Jannar 1996, bl-akkwist ta 'Capital Cities / A"&amp;"BC jitlesta fid-9 ta' Frar; Wara l-bejgħ, Disney semmiet is-sussidjarja l-ġdida tagħha ABC Inc. minbarra n-netwerk ABC, l-Akkwist ta 'Disney integra l-Għaxar televiżjoni u t-televiżjoni u l-21 stazzjon tar-radju mħaddem mill-ABC; L-interess ta '80% tagħha"&amp;" fl-ESPN, l-interessi tas-sjieda fil-kanal tal-istorja, netwerks tat-televiżjoni A&amp;E, u divertiment tul il-ħajja; u l-bliet kapitali / ir-rivista ABC u l-proprjetajiet tal-gazzetta fil-kumpanija. Peress li r-regoli tas-sjieda tal-FCC ipprojbixxew lill-kum"&amp;"panija milli żżomm kemm l-IT kif ukoll il-KABC-TV, Disney biegħu l-istazzjon indipendenti ta 'Los Angeles KCAL-TV lil xandir żagħżugħ għal $ 387 miljun. Fl-4 ta 'April, Disney biegħet l-erba' gazzetti li ABC kienet ikkontrollat ​​taħt il-bliet kapitali li"&amp;"l Knight Ridder għal $ 1.65 biljun. Wara l-għaqda, Thomas S. Murphy ħalla lil ABC ma 'Robert Iger jieħu postu bħala president u CEO. Madwar il-ħin tal-għaqda, l-unitajiet ta 'produzzjoni tat-televiżjoni ta' Disney diġà pproduċew serje għan-netwerk bħal Ho"&amp;"me Improvement u Boy Meets World, filwaqt li l-ftehim ippermetta wkoll aċċess għal ABC għall-Librerija ta 'Programmazzjoni tat-Tfal ta' Disney għall-blokka tas-Sibt filgħodu. Fl-1998, ABC premiered il-lejl sportiv tas-sitcom maħluq minn Aaron Sorkin, li ċ"&amp;"ċentra fuq it-travails tal-persunal ta 'programm ta' aħbarijiet sportiv fl-istil SportsCenter; Minkejja li kiseb tifħir kritiku u bosta premji Emmy, is-serje ġiet ikkanċellata fl-2000 wara żewġ staġuni.")</f>
        <v>Fil-31 ta 'Lulju, 1995, il-Walt Disney Company ħabbret ftehim biex tgħaqqad ma' Capital Cities / ABC għal $ 19 biljun. L-azzjonisti ta 'Disney approvaw l-għaqda f'konferenza speċjali fi New York City fl-4 ta' Jannar 1996, bl-akkwist ta 'Capital Cities / ABC jitlesta fid-9 ta' Frar; Wara l-bejgħ, Disney semmiet is-sussidjarja l-ġdida tagħha ABC Inc. minbarra n-netwerk ABC, l-Akkwist ta 'Disney integra l-Għaxar televiżjoni u t-televiżjoni u l-21 stazzjon tar-radju mħaddem mill-ABC; L-interess ta '80% tagħha fl-ESPN, l-interessi tas-sjieda fil-kanal tal-istorja, netwerks tat-televiżjoni A&amp;E, u divertiment tul il-ħajja; u l-bliet kapitali / ir-rivista ABC u l-proprjetajiet tal-gazzetta fil-kumpanija. Peress li r-regoli tas-sjieda tal-FCC ipprojbixxew lill-kumpanija milli żżomm kemm l-IT kif ukoll il-KABC-TV, Disney biegħu l-istazzjon indipendenti ta 'Los Angeles KCAL-TV lil xandir żagħżugħ għal $ 387 miljun. Fl-4 ta 'April, Disney biegħet l-erba' gazzetti li ABC kienet ikkontrollat ​​taħt il-bliet kapitali lil Knight Ridder għal $ 1.65 biljun. Wara l-għaqda, Thomas S. Murphy ħalla lil ABC ma 'Robert Iger jieħu postu bħala president u CEO. Madwar il-ħin tal-għaqda, l-unitajiet ta 'produzzjoni tat-televiżjoni ta' Disney diġà pproduċew serje għan-netwerk bħal Home Improvement u Boy Meets World, filwaqt li l-ftehim ippermetta wkoll aċċess għal ABC għall-Librerija ta 'Programmazzjoni tat-Tfal ta' Disney għall-blokka tas-Sibt filgħodu. Fl-1998, ABC premiered il-lejl sportiv tas-sitcom maħluq minn Aaron Sorkin, li ċċentra fuq it-travails tal-persunal ta 'programm ta' aħbarijiet sportiv fl-istil SportsCenter; Minkejja li kiseb tifħir kritiku u bosta premji Emmy, is-serje ġiet ikkanċellata fl-2000 wara żewġ staġuni.</v>
      </c>
    </row>
    <row r="12823" ht="15.75" customHeight="1">
      <c r="A12823" s="2" t="s">
        <v>12823</v>
      </c>
      <c r="B12823" s="2" t="str">
        <f>IFERROR(__xludf.DUMMYFUNCTION("GOOGLETRANSLATE(A12823, ""en"", ""mt"")"),"Min qal Martin Luther kien il-granter waħdu tal-maħfra?")</f>
        <v>Min qal Martin Luther kien il-granter waħdu tal-maħfra?</v>
      </c>
    </row>
    <row r="12824" ht="15.75" customHeight="1">
      <c r="A12824" s="2" t="s">
        <v>12824</v>
      </c>
      <c r="B12824" s="2" t="str">
        <f>IFERROR(__xludf.DUMMYFUNCTION("GOOGLETRANSLATE(A12824, ""en"", ""mt"")"),"X'kien speċjali dwar il-memorja ta 'Tesla?")</f>
        <v>X'kien speċjali dwar il-memorja ta 'Tesla?</v>
      </c>
    </row>
    <row r="12825" ht="15.75" customHeight="1">
      <c r="A12825" s="2" t="s">
        <v>12825</v>
      </c>
      <c r="B12825" s="2" t="str">
        <f>IFERROR(__xludf.DUMMYFUNCTION("GOOGLETRANSLATE(A12825, ""en"", ""mt"")"),"huma ċedew")</f>
        <v>huma ċedew</v>
      </c>
    </row>
    <row r="12826" ht="15.75" customHeight="1">
      <c r="A12826" s="2" t="s">
        <v>12826</v>
      </c>
      <c r="B12826" s="2" t="str">
        <f>IFERROR(__xludf.DUMMYFUNCTION("GOOGLETRANSLATE(A12826, ""en"", ""mt"")"),"Wieħed mill-aktar manifestazzjonijiet ħorox fid-dinja")</f>
        <v>Wieħed mill-aktar manifestazzjonijiet ħorox fid-dinja</v>
      </c>
    </row>
    <row r="12827" ht="15.75" customHeight="1">
      <c r="A12827" s="2" t="s">
        <v>12827</v>
      </c>
      <c r="B12827" s="2" t="str">
        <f>IFERROR(__xludf.DUMMYFUNCTION("GOOGLETRANSLATE(A12827, ""en"", ""mt"")"),"Liema premju rebaħ Marlee Matlin?")</f>
        <v>Liema premju rebaħ Marlee Matlin?</v>
      </c>
    </row>
    <row r="12828" ht="15.75" customHeight="1">
      <c r="A12828" s="2" t="s">
        <v>12828</v>
      </c>
      <c r="B12828" s="2" t="str">
        <f>IFERROR(__xludf.DUMMYFUNCTION("GOOGLETRANSLATE(A12828, ""en"", ""mt"")"),"aktar korrużjoni")</f>
        <v>aktar korrużjoni</v>
      </c>
    </row>
    <row r="12829" ht="15.75" customHeight="1">
      <c r="A12829" s="2" t="s">
        <v>12829</v>
      </c>
      <c r="B12829" s="2" t="str">
        <f>IFERROR(__xludf.DUMMYFUNCTION("GOOGLETRANSLATE(A12829, ""en"", ""mt"")"),"Innu Prinċipali")</f>
        <v>Innu Prinċipali</v>
      </c>
    </row>
    <row r="12830" ht="15.75" customHeight="1">
      <c r="A12830" s="2" t="s">
        <v>12830</v>
      </c>
      <c r="B12830" s="2" t="str">
        <f>IFERROR(__xludf.DUMMYFUNCTION("GOOGLETRANSLATE(A12830, ""en"", ""mt"")"),"xhur")</f>
        <v>xhur</v>
      </c>
    </row>
    <row r="12831" ht="15.75" customHeight="1">
      <c r="A12831" s="2" t="s">
        <v>12831</v>
      </c>
      <c r="B12831" s="2" t="str">
        <f>IFERROR(__xludf.DUMMYFUNCTION("GOOGLETRANSLATE(A12831, ""en"", ""mt"")"),"Università ta ’California")</f>
        <v>Università ta ’California</v>
      </c>
    </row>
    <row r="12832" ht="15.75" customHeight="1">
      <c r="A12832" s="2" t="s">
        <v>12832</v>
      </c>
      <c r="B12832" s="2" t="str">
        <f>IFERROR(__xludf.DUMMYFUNCTION("GOOGLETRANSLATE(A12832, ""en"", ""mt"")"),"Is-sistema attwali ta '8–4-4 ġiet imnedija f'Jannar 1985. Hija għamlet aktar enfasi fuq suġġetti vokazzjonali fuq is-suppożizzjoni li l-istruttura l-ġdida tippermetti tluq mill-iskejjel fil-livelli kollha jew tkun taħdem għal rasha jew biex tiżgura impjie"&amp;"g fl-informali settur. F'Jannar 2003, il-Gvern tal-Kenja ħabbar l-introduzzjoni ta 'edukazzjoni primarja ħielsa. Bħala riżultat, l-iskrizzjoni fl-iskola primarja żdiedet b'madwar 70%. L-iskrizzjoni tal-edukazzjoni sekondarja u terzjarja ma żdiedetx propor"&amp;"zjonalment minħabba li l-ħlas għadu meħtieġ għall-attendenza. Fl-2007 il-gvern ħareġ dikjarazzjoni li ddikjarat li mill-2008, l-edukazzjoni sekondarja tkun sussidjata ħafna, bil-gvern imexxi l-miżati kollha tat-tagħlim.")</f>
        <v>Is-sistema attwali ta '8–4-4 ġiet imnedija f'Jannar 1985. Hija għamlet aktar enfasi fuq suġġetti vokazzjonali fuq is-suppożizzjoni li l-istruttura l-ġdida tippermetti tluq mill-iskejjel fil-livelli kollha jew tkun taħdem għal rasha jew biex tiżgura impjieg fl-informali settur. F'Jannar 2003, il-Gvern tal-Kenja ħabbar l-introduzzjoni ta 'edukazzjoni primarja ħielsa. Bħala riżultat, l-iskrizzjoni fl-iskola primarja żdiedet b'madwar 70%. L-iskrizzjoni tal-edukazzjoni sekondarja u terzjarja ma żdiedetx proporzjonalment minħabba li l-ħlas għadu meħtieġ għall-attendenza. Fl-2007 il-gvern ħareġ dikjarazzjoni li ddikjarat li mill-2008, l-edukazzjoni sekondarja tkun sussidjata ħafna, bil-gvern imexxi l-miżati kollha tat-tagħlim.</v>
      </c>
    </row>
    <row r="12833" ht="15.75" customHeight="1">
      <c r="A12833" s="2" t="s">
        <v>12833</v>
      </c>
      <c r="B12833" s="2" t="str">
        <f>IFERROR(__xludf.DUMMYFUNCTION("GOOGLETRANSLATE(A12833, ""en"", ""mt"")"),"tliet snin")</f>
        <v>tliet snin</v>
      </c>
    </row>
    <row r="12834" ht="15.75" customHeight="1">
      <c r="A12834" s="2" t="s">
        <v>12834</v>
      </c>
      <c r="B12834" s="2" t="str">
        <f>IFERROR(__xludf.DUMMYFUNCTION("GOOGLETRANSLATE(A12834, ""en"", ""mt"")"),"Meta l-kolonji Spanjoli u Portugiżi kisbu l-indipendenza tagħhom.")</f>
        <v>Meta l-kolonji Spanjoli u Portugiżi kisbu l-indipendenza tagħhom.</v>
      </c>
    </row>
    <row r="12835" ht="15.75" customHeight="1">
      <c r="A12835" s="2" t="s">
        <v>12835</v>
      </c>
      <c r="B12835" s="2" t="str">
        <f>IFERROR(__xludf.DUMMYFUNCTION("GOOGLETRANSLATE(A12835, ""en"", ""mt"")"),"Netwerk Aħmar NBC")</f>
        <v>Netwerk Aħmar NBC</v>
      </c>
    </row>
    <row r="12836" ht="15.75" customHeight="1">
      <c r="A12836" s="2" t="s">
        <v>12836</v>
      </c>
      <c r="B12836" s="2" t="str">
        <f>IFERROR(__xludf.DUMMYFUNCTION("GOOGLETRANSLATE(A12836, ""en"", ""mt"")"),"Liema premju ngħata lil Tesla?")</f>
        <v>Liema premju ngħata lil Tesla?</v>
      </c>
    </row>
    <row r="12837" ht="15.75" customHeight="1">
      <c r="A12837" s="2" t="s">
        <v>12837</v>
      </c>
      <c r="B12837" s="2" t="str">
        <f>IFERROR(__xludf.DUMMYFUNCTION("GOOGLETRANSLATE(A12837, ""en"", ""mt"")"),"Il-Wied ta 'San Fernando")</f>
        <v>Il-Wied ta 'San Fernando</v>
      </c>
    </row>
    <row r="12838" ht="15.75" customHeight="1">
      <c r="A12838" s="2" t="s">
        <v>12838</v>
      </c>
      <c r="B12838" s="2" t="str">
        <f>IFERROR(__xludf.DUMMYFUNCTION("GOOGLETRANSLATE(A12838, ""en"", ""mt"")"),"Jekk Q = 9 u A = 3,6 jew 9, kemm primes ikunu fil-progressjoni?")</f>
        <v>Jekk Q = 9 u A = 3,6 jew 9, kemm primes ikunu fil-progressjoni?</v>
      </c>
    </row>
    <row r="12839" ht="15.75" customHeight="1">
      <c r="A12839" s="2" t="s">
        <v>12839</v>
      </c>
      <c r="B12839" s="2" t="str">
        <f>IFERROR(__xludf.DUMMYFUNCTION("GOOGLETRANSLATE(A12839, ""en"", ""mt"")"),"Minn ħdejn il-ħalq sat-tarf oppost")</f>
        <v>Minn ħdejn il-ħalq sat-tarf oppost</v>
      </c>
    </row>
    <row r="12840" ht="15.75" customHeight="1">
      <c r="A12840" s="2" t="s">
        <v>12840</v>
      </c>
      <c r="B12840" s="2" t="str">
        <f>IFERROR(__xludf.DUMMYFUNCTION("GOOGLETRANSLATE(A12840, ""en"", ""mt"")"),"Kemm kien hemm diviżjonijiet tal-klassi tas-soċjetà fil-pjan li Kublai miċħuda?")</f>
        <v>Kemm kien hemm diviżjonijiet tal-klassi tas-soċjetà fil-pjan li Kublai miċħuda?</v>
      </c>
    </row>
    <row r="12841" ht="15.75" customHeight="1">
      <c r="A12841" s="2" t="s">
        <v>12841</v>
      </c>
      <c r="B12841" s="2" t="str">
        <f>IFERROR(__xludf.DUMMYFUNCTION("GOOGLETRANSLATE(A12841, ""en"", ""mt"")"),"X'tip ta 'ġeoloġi jagħtu informazzjoni dwar ir-razza fl-istruttura kristallina tal-blat?")</f>
        <v>X'tip ta 'ġeoloġi jagħtu informazzjoni dwar ir-razza fl-istruttura kristallina tal-blat?</v>
      </c>
    </row>
    <row r="12842" ht="15.75" customHeight="1">
      <c r="A12842" s="2" t="s">
        <v>12842</v>
      </c>
      <c r="B12842" s="2" t="str">
        <f>IFERROR(__xludf.DUMMYFUNCTION("GOOGLETRANSLATE(A12842, ""en"", ""mt"")"),"Typhus, ġidri u infezzjonijiet respiratorji")</f>
        <v>Typhus, ġidri u infezzjonijiet respiratorji</v>
      </c>
    </row>
    <row r="12843" ht="15.75" customHeight="1">
      <c r="A12843" s="2" t="s">
        <v>12843</v>
      </c>
      <c r="B12843" s="2" t="str">
        <f>IFERROR(__xludf.DUMMYFUNCTION("GOOGLETRANSLATE(A12843, ""en"", ""mt"")"),"Id-dilemma ffaċċjata minn ċittadini Ġermaniżi")</f>
        <v>Id-dilemma ffaċċjata minn ċittadini Ġermaniżi</v>
      </c>
    </row>
    <row r="12844" ht="15.75" customHeight="1">
      <c r="A12844" s="2" t="s">
        <v>12844</v>
      </c>
      <c r="B12844" s="2" t="str">
        <f>IFERROR(__xludf.DUMMYFUNCTION("GOOGLETRANSLATE(A12844, ""en"", ""mt"")"),"X'inhu l-isem tal-liġi li imponiet il-limitu tal-veloċità?")</f>
        <v>X'inhu l-isem tal-liġi li imponiet il-limitu tal-veloċità?</v>
      </c>
    </row>
    <row r="12845" ht="15.75" customHeight="1">
      <c r="A12845" s="2" t="s">
        <v>12845</v>
      </c>
      <c r="B12845" s="2" t="str">
        <f>IFERROR(__xludf.DUMMYFUNCTION("GOOGLETRANSLATE(A12845, ""en"", ""mt"")"),"X'inhi l-akbar karatteristika sensorja taċ-Ctenophora?")</f>
        <v>X'inhi l-akbar karatteristika sensorja taċ-Ctenophora?</v>
      </c>
    </row>
    <row r="12846" ht="15.75" customHeight="1">
      <c r="A12846" s="2" t="s">
        <v>12846</v>
      </c>
      <c r="B12846" s="2" t="str">
        <f>IFERROR(__xludf.DUMMYFUNCTION("GOOGLETRANSLATE(A12846, ""en"", ""mt"")"),"Università ta ’California, Irvine")</f>
        <v>Università ta ’California, Irvine</v>
      </c>
    </row>
    <row r="12847" ht="15.75" customHeight="1">
      <c r="A12847" s="2" t="s">
        <v>12847</v>
      </c>
      <c r="B12847" s="2" t="str">
        <f>IFERROR(__xludf.DUMMYFUNCTION("GOOGLETRANSLATE(A12847, ""en"", ""mt"")"),"jaqa '")</f>
        <v>jaqa '</v>
      </c>
    </row>
    <row r="12848" ht="15.75" customHeight="1">
      <c r="A12848" s="2" t="s">
        <v>12848</v>
      </c>
      <c r="B12848" s="2" t="str">
        <f>IFERROR(__xludf.DUMMYFUNCTION("GOOGLETRANSLATE(A12848, ""en"", ""mt"")"),"testendi l-benefiċċji tan-netwerking")</f>
        <v>testendi l-benefiċċji tan-netwerking</v>
      </c>
    </row>
    <row r="12849" ht="15.75" customHeight="1">
      <c r="A12849" s="2" t="s">
        <v>12849</v>
      </c>
      <c r="B12849" s="2" t="str">
        <f>IFERROR(__xludf.DUMMYFUNCTION("GOOGLETRANSLATE(A12849, ""en"", ""mt"")"),"U.S.")</f>
        <v>U.S.</v>
      </c>
    </row>
    <row r="12850" ht="15.75" customHeight="1">
      <c r="A12850" s="2" t="s">
        <v>12850</v>
      </c>
      <c r="B12850" s="2" t="str">
        <f>IFERROR(__xludf.DUMMYFUNCTION("GOOGLETRANSLATE(A12850, ""en"", ""mt"")"),"pjan għal invażjoni tal-Ewropa tal-Punent matul il-Gwerra Bierda")</f>
        <v>pjan għal invażjoni tal-Ewropa tal-Punent matul il-Gwerra Bierda</v>
      </c>
    </row>
    <row r="12851" ht="15.75" customHeight="1">
      <c r="A12851" s="2" t="s">
        <v>12851</v>
      </c>
      <c r="B12851" s="2" t="str">
        <f>IFERROR(__xludf.DUMMYFUNCTION("GOOGLETRANSLATE(A12851, ""en"", ""mt"")"),"fidda mdewweb")</f>
        <v>fidda mdewweb</v>
      </c>
    </row>
    <row r="12852" ht="15.75" customHeight="1">
      <c r="A12852" s="2" t="s">
        <v>12852</v>
      </c>
      <c r="B12852" s="2" t="str">
        <f>IFERROR(__xludf.DUMMYFUNCTION("GOOGLETRANSLATE(A12852, ""en"", ""mt"")"),"Meta l-elezzjoni pproduċiet gvern ta 'maġġoranza ta' SNP, x'kienet l-ewwel ġrajja?")</f>
        <v>Meta l-elezzjoni pproduċiet gvern ta 'maġġoranza ta' SNP, x'kienet l-ewwel ġrajja?</v>
      </c>
    </row>
    <row r="12853" ht="15.75" customHeight="1">
      <c r="A12853" s="2" t="s">
        <v>12853</v>
      </c>
      <c r="B12853" s="2" t="str">
        <f>IFERROR(__xludf.DUMMYFUNCTION("GOOGLETRANSLATE(A12853, ""en"", ""mt"")"),"mistħija")</f>
        <v>mistħija</v>
      </c>
    </row>
    <row r="12854" ht="15.75" customHeight="1">
      <c r="A12854" s="2" t="s">
        <v>12854</v>
      </c>
      <c r="B12854" s="2" t="str">
        <f>IFERROR(__xludf.DUMMYFUNCTION("GOOGLETRANSLATE(A12854, ""en"", ""mt"")"),"Ma 'liema mużew il-V &amp; A jikko-proprjetarji ta' Canova's The Three Graces?")</f>
        <v>Ma 'liema mużew il-V &amp; A jikko-proprjetarji ta' Canova's The Three Graces?</v>
      </c>
    </row>
    <row r="12855" ht="15.75" customHeight="1">
      <c r="A12855" s="2" t="s">
        <v>12855</v>
      </c>
      <c r="B12855" s="2" t="str">
        <f>IFERROR(__xludf.DUMMYFUNCTION("GOOGLETRANSLATE(A12855, ""en"", ""mt"")"),"Kif huwa manifestat il-Priciple Esklużjoni Pauli fid-dinja makro?")</f>
        <v>Kif huwa manifestat il-Priciple Esklużjoni Pauli fid-dinja makro?</v>
      </c>
    </row>
    <row r="12856" ht="15.75" customHeight="1">
      <c r="A12856" s="2" t="s">
        <v>12856</v>
      </c>
      <c r="B12856" s="2" t="str">
        <f>IFERROR(__xludf.DUMMYFUNCTION("GOOGLETRANSLATE(A12856, ""en"", ""mt"")"),"Kiesaħ wisq fl-Ewropa tat-Tramuntana għas-sopravivenza tal-briegħed")</f>
        <v>Kiesaħ wisq fl-Ewropa tat-Tramuntana għas-sopravivenza tal-briegħed</v>
      </c>
    </row>
    <row r="12857" ht="15.75" customHeight="1">
      <c r="A12857" s="2" t="s">
        <v>12857</v>
      </c>
      <c r="B12857" s="2" t="str">
        <f>IFERROR(__xludf.DUMMYFUNCTION("GOOGLETRANSLATE(A12857, ""en"", ""mt"")"),"18-Karat deheb")</f>
        <v>18-Karat deheb</v>
      </c>
    </row>
    <row r="12858" ht="15.75" customHeight="1">
      <c r="A12858" s="2" t="s">
        <v>12858</v>
      </c>
      <c r="B12858" s="2" t="str">
        <f>IFERROR(__xludf.DUMMYFUNCTION("GOOGLETRANSLATE(A12858, ""en"", ""mt"")"),"Prelaunch")</f>
        <v>Prelaunch</v>
      </c>
    </row>
    <row r="12859" ht="15.75" customHeight="1">
      <c r="A12859" s="2" t="s">
        <v>12859</v>
      </c>
      <c r="B12859" s="2" t="str">
        <f>IFERROR(__xludf.DUMMYFUNCTION("GOOGLETRANSLATE(A12859, ""en"", ""mt"")"),"wieqaf u ġġieled għall-aħħar")</f>
        <v>wieqaf u ġġieled għall-aħħar</v>
      </c>
    </row>
    <row r="12860" ht="15.75" customHeight="1">
      <c r="A12860" s="2" t="s">
        <v>12860</v>
      </c>
      <c r="B12860" s="2" t="str">
        <f>IFERROR(__xludf.DUMMYFUNCTION("GOOGLETRANSLATE(A12860, ""en"", ""mt"")"),"""Varjazzjonijiet ta 'borra u silġ fil-passat u fil-preżent fuq skala globali u reġjonali""")</f>
        <v>"Varjazzjonijiet ta 'borra u silġ fil-passat u fil-preżent fuq skala globali u reġjonali"</v>
      </c>
    </row>
    <row r="12861" ht="15.75" customHeight="1">
      <c r="A12861" s="2" t="s">
        <v>12861</v>
      </c>
      <c r="B12861" s="2" t="str">
        <f>IFERROR(__xludf.DUMMYFUNCTION("GOOGLETRANSLATE(A12861, ""en"", ""mt"")"),"Fejn stabbilixxew l-ewwel kolonisti Huguenot?")</f>
        <v>Fejn stabbilixxew l-ewwel kolonisti Huguenot?</v>
      </c>
    </row>
    <row r="12862" ht="15.75" customHeight="1">
      <c r="A12862" s="2" t="s">
        <v>12862</v>
      </c>
      <c r="B12862" s="2" t="str">
        <f>IFERROR(__xludf.DUMMYFUNCTION("GOOGLETRANSLATE(A12862, ""en"", ""mt"")"),"Iċ-ċellula T qattiel u ċ-ċellula T helper")</f>
        <v>Iċ-ċellula T qattiel u ċ-ċellula T helper</v>
      </c>
    </row>
    <row r="12863" ht="15.75" customHeight="1">
      <c r="A12863" s="2" t="s">
        <v>12863</v>
      </c>
      <c r="B12863" s="2" t="str">
        <f>IFERROR(__xludf.DUMMYFUNCTION("GOOGLETRANSLATE(A12863, ""en"", ""mt"")"),"it-toroq")</f>
        <v>it-toroq</v>
      </c>
    </row>
    <row r="12864" ht="15.75" customHeight="1">
      <c r="A12864" s="2" t="s">
        <v>12864</v>
      </c>
      <c r="B12864" s="2" t="str">
        <f>IFERROR(__xludf.DUMMYFUNCTION("GOOGLETRANSLATE(A12864, ""en"", ""mt"")"),"Matul il-Gwerra Ċivili Amerikana, Jacksonville kien punt ta 'provvista ewlieni biex il-qżieqeż u l-baqar jintbagħtu minn Florida biex jgħinu l-kawża Konfederata. Il-belt kienet imblukkata mill-forzi tal-unjoni, li kisbu l-kontroll tal-Fort Clinch fil-qrib"&amp;". Għalkemm ma ġew miġġielda l-ebda battalji f'Jacksonville kif suppost, il-belt biddlet idejh diversi drabi bejn il-forzi tal-Unjoni u l-Konfederati. Ix-xkiel tal-knisja tal-briks fl-1862 eżatt barra Jacksonville kif suppost irriżulta fl-ewwel rebħa Konfe"&amp;"derata fi Florida. Fi Frar tal-1864 il-forzi tal-Unjoni telqu minn Jacksonville u kkonfrontaw armata Konfederata fil-Battalja ta ’Olustee li rriżultat f’rebħa Konfederata. Il-forzi tal-Unjoni mbagħad irtiraw lejn Jacksonville u żammew il-belt għall-bqija "&amp;"tal-gwerra. F'Marzu 1864, kavallerija Konfederata kkonfrontat spedizzjoni tal-Unjoni li rriżultat fil-Battalja ta 'Cedar Creek. Il-gwerra u l-okkupazzjoni twila ħallew il-belt imħarbta wara l-gwerra.")</f>
        <v>Matul il-Gwerra Ċivili Amerikana, Jacksonville kien punt ta 'provvista ewlieni biex il-qżieqeż u l-baqar jintbagħtu minn Florida biex jgħinu l-kawża Konfederata. Il-belt kienet imblukkata mill-forzi tal-unjoni, li kisbu l-kontroll tal-Fort Clinch fil-qrib. Għalkemm ma ġew miġġielda l-ebda battalji f'Jacksonville kif suppost, il-belt biddlet idejh diversi drabi bejn il-forzi tal-Unjoni u l-Konfederati. Ix-xkiel tal-knisja tal-briks fl-1862 eżatt barra Jacksonville kif suppost irriżulta fl-ewwel rebħa Konfederata fi Florida. Fi Frar tal-1864 il-forzi tal-Unjoni telqu minn Jacksonville u kkonfrontaw armata Konfederata fil-Battalja ta ’Olustee li rriżultat f’rebħa Konfederata. Il-forzi tal-Unjoni mbagħad irtiraw lejn Jacksonville u żammew il-belt għall-bqija tal-gwerra. F'Marzu 1864, kavallerija Konfederata kkonfrontat spedizzjoni tal-Unjoni li rriżultat fil-Battalja ta 'Cedar Creek. Il-gwerra u l-okkupazzjoni twila ħallew il-belt imħarbta wara l-gwerra.</v>
      </c>
    </row>
    <row r="12865" ht="15.75" customHeight="1">
      <c r="A12865" s="2" t="s">
        <v>12865</v>
      </c>
      <c r="B12865" s="2" t="str">
        <f>IFERROR(__xludf.DUMMYFUNCTION("GOOGLETRANSLATE(A12865, ""en"", ""mt"")"),"għargħar kostanti")</f>
        <v>għargħar kostanti</v>
      </c>
    </row>
    <row r="12866" ht="15.75" customHeight="1">
      <c r="A12866" s="2" t="s">
        <v>12866</v>
      </c>
      <c r="B12866" s="2" t="str">
        <f>IFERROR(__xludf.DUMMYFUNCTION("GOOGLETRANSLATE(A12866, ""en"", ""mt"")"),"Din kienet l-ewwel darba li t-tim ta ’Carolina ffaċċja x’inhu fil-post staġun?")</f>
        <v>Din kienet l-ewwel darba li t-tim ta ’Carolina ffaċċja x’inhu fil-post staġun?</v>
      </c>
    </row>
    <row r="12867" ht="15.75" customHeight="1">
      <c r="A12867" s="2" t="s">
        <v>12867</v>
      </c>
      <c r="B12867" s="2" t="str">
        <f>IFERROR(__xludf.DUMMYFUNCTION("GOOGLETRANSLATE(A12867, ""en"", ""mt"")"),"Il-belt għandha storja kburija tat-teatru. Stephen Kemble tal-famuża familja Kemble ġestiet b’suċċess it-teatru oriġinali Royal, Newcastle għal ħmistax-il sena (1791-1806). Huwa ġab membri tal-famuża familja li taġixxi bħal Sarah Siddons u John Kemble bar"&amp;"ra minn Londra għal Newcastle. Stephen Kemble iggwida t-teatru permezz ta ’bosta staġuni ċċelebrati. It-Teatru Oriġinali Royal fi Newcastle nfetaħ fil-21 ta ’Jannar 1788 u kien jinsab fi Triq Mosley. Ġie mwaqqa 'biex jagħmel triq għal Gray Street, fejn in"&amp;"bena s-sostituzzjoni tagħha.")</f>
        <v>Il-belt għandha storja kburija tat-teatru. Stephen Kemble tal-famuża familja Kemble ġestiet b’suċċess it-teatru oriġinali Royal, Newcastle għal ħmistax-il sena (1791-1806). Huwa ġab membri tal-famuża familja li taġixxi bħal Sarah Siddons u John Kemble barra minn Londra għal Newcastle. Stephen Kemble iggwida t-teatru permezz ta ’bosta staġuni ċċelebrati. It-Teatru Oriġinali Royal fi Newcastle nfetaħ fil-21 ta ’Jannar 1788 u kien jinsab fi Triq Mosley. Ġie mwaqqa 'biex jagħmel triq għal Gray Street, fejn inbena s-sostituzzjoni tagħha.</v>
      </c>
    </row>
    <row r="12868" ht="15.75" customHeight="1">
      <c r="A12868" s="2" t="s">
        <v>12868</v>
      </c>
      <c r="B12868" s="2" t="str">
        <f>IFERROR(__xludf.DUMMYFUNCTION("GOOGLETRANSLATE(A12868, ""en"", ""mt"")"),"Kif Tetzel iddikjara li r-ruħ tista 'tħalli l-purgatorju?")</f>
        <v>Kif Tetzel iddikjara li r-ruħ tista 'tħalli l-purgatorju?</v>
      </c>
    </row>
    <row r="12869" ht="15.75" customHeight="1">
      <c r="A12869" s="2" t="s">
        <v>12869</v>
      </c>
      <c r="B12869" s="2" t="str">
        <f>IFERROR(__xludf.DUMMYFUNCTION("GOOGLETRANSLATE(A12869, ""en"", ""mt"")"),"Fl-2004 ir-rivoluzzjoni oranġjo seħħet f'liema pajjiż?")</f>
        <v>Fl-2004 ir-rivoluzzjoni oranġjo seħħet f'liema pajjiż?</v>
      </c>
    </row>
    <row r="12870" ht="15.75" customHeight="1">
      <c r="A12870" s="2" t="s">
        <v>12870</v>
      </c>
      <c r="B12870" s="2" t="str">
        <f>IFERROR(__xludf.DUMMYFUNCTION("GOOGLETRANSLATE(A12870, ""en"", ""mt"")"),"X'Jdawwar Plastoglobuli?")</f>
        <v>X'Jdawwar Plastoglobuli?</v>
      </c>
    </row>
    <row r="12871" ht="15.75" customHeight="1">
      <c r="A12871" s="2" t="s">
        <v>12871</v>
      </c>
      <c r="B12871" s="2" t="str">
        <f>IFERROR(__xludf.DUMMYFUNCTION("GOOGLETRANSLATE(A12871, ""en"", ""mt"")"),"Tolleranti għar-reliġjonijiet")</f>
        <v>Tolleranti għar-reliġjonijiet</v>
      </c>
    </row>
    <row r="12872" ht="15.75" customHeight="1">
      <c r="A12872" s="2" t="s">
        <v>12872</v>
      </c>
      <c r="B12872" s="2" t="str">
        <f>IFERROR(__xludf.DUMMYFUNCTION("GOOGLETRANSLATE(A12872, ""en"", ""mt"")"),"Mhux poter marittimu, u mhux stat nazzjon, kif eventwalment sar, il-parteċipazzjoni tal-Ġermanja fl-imperjalizmu tal-Punent kienet negliġibbli sal-aħħar tas-seklu 19. Il-parteċipazzjoni tal-Awstrija kienet primarjament bħala riżultat tal-kontroll ta ’Habs"&amp;"burg tal-ewwel imperu, it-tron Spanjol, u djar irjali oħra. [Aktar spjegazzjoni meħtieġa] wara t-telfa ta’ Napuljun, li kkawża x-xoljiment ta ’dak l-Imperu Ruman qaddis, il-Prussja u L-istati Ġermaniżi komplew joħorġu mill-imperjalizmu, u ppreferu jimmani"&amp;"pulaw is-sistema Ewropea permezz tal-kunċert tal-Ewropa. Wara li l-Prussja unifikat l-istati l-oħra fit-tieni imperu Ġermaniż wara l-gwerra Franco-Ġermaniża, il-kanċillier tagħha fit-tul, Otto von Bismarck (1862–90), fit-tul oppona l-akkwisti kolonjali, b"&amp;"illi argumenta li l-piż li jikseb, iżomm u jiddefendi tali Il-possedimenti jiżbqu kwalunkwe benefiċċju potenzjali. Huwa ħass li l-kolonji ma ħallsux għalihom infushom, li s-sistema burokratika Ġermaniża ma taħdimx sew fit-tropiċi u li t-tilwim diplomatiku"&amp;" fuq il-kolonji jaljena l-Ġermanja mill-interess ċentrali tagħha, l-Ewropa nnifisha.")</f>
        <v>Mhux poter marittimu, u mhux stat nazzjon, kif eventwalment sar, il-parteċipazzjoni tal-Ġermanja fl-imperjalizmu tal-Punent kienet negliġibbli sal-aħħar tas-seklu 19. Il-parteċipazzjoni tal-Awstrija kienet primarjament bħala riżultat tal-kontroll ta ’Habsburg tal-ewwel imperu, it-tron Spanjol, u djar irjali oħra. [Aktar spjegazzjoni meħtieġa] wara t-telfa ta’ Napuljun, li kkawża x-xoljiment ta ’dak l-Imperu Ruman qaddis, il-Prussja u L-istati Ġermaniżi komplew joħorġu mill-imperjalizmu, u ppreferu jimmanipulaw is-sistema Ewropea permezz tal-kunċert tal-Ewropa. Wara li l-Prussja unifikat l-istati l-oħra fit-tieni imperu Ġermaniż wara l-gwerra Franco-Ġermaniża, il-kanċillier tagħha fit-tul, Otto von Bismarck (1862–90), fit-tul oppona l-akkwisti kolonjali, billi argumenta li l-piż li jikseb, iżomm u jiddefendi tali Il-possedimenti jiżbqu kwalunkwe benefiċċju potenzjali. Huwa ħass li l-kolonji ma ħallsux għalihom infushom, li s-sistema burokratika Ġermaniża ma taħdimx sew fit-tropiċi u li t-tilwim diplomatiku fuq il-kolonji jaljena l-Ġermanja mill-interess ċentrali tagħha, l-Ewropa nnifisha.</v>
      </c>
    </row>
    <row r="12873" ht="15.75" customHeight="1">
      <c r="A12873" s="2" t="s">
        <v>12873</v>
      </c>
      <c r="B12873" s="2" t="str">
        <f>IFERROR(__xludf.DUMMYFUNCTION("GOOGLETRANSLATE(A12873, ""en"", ""mt"")"),"Liema kumpanija ressqet ilment mal-FCC fl-1934 dwar problemi li jistabbilixxu stazzjonijiet ġodda?")</f>
        <v>Liema kumpanija ressqet ilment mal-FCC fl-1934 dwar problemi li jistabbilixxu stazzjonijiet ġodda?</v>
      </c>
    </row>
    <row r="12874" ht="15.75" customHeight="1">
      <c r="A12874" s="2" t="s">
        <v>12874</v>
      </c>
      <c r="B12874" s="2" t="str">
        <f>IFERROR(__xludf.DUMMYFUNCTION("GOOGLETRANSLATE(A12874, ""en"", ""mt"")"),"Problemi ta 'deċiżjoni")</f>
        <v>Problemi ta 'deċiżjoni</v>
      </c>
    </row>
    <row r="12875" ht="15.75" customHeight="1">
      <c r="A12875" s="2" t="s">
        <v>12875</v>
      </c>
      <c r="B12875" s="2" t="str">
        <f>IFERROR(__xludf.DUMMYFUNCTION("GOOGLETRANSLATE(A12875, ""en"", ""mt"")"),"Awto-studju u soluzzjoni ta 'problemi")</f>
        <v>Awto-studju u soluzzjoni ta 'problemi</v>
      </c>
    </row>
    <row r="12876" ht="15.75" customHeight="1">
      <c r="A12876" s="2" t="s">
        <v>12876</v>
      </c>
      <c r="B12876" s="2" t="str">
        <f>IFERROR(__xludf.DUMMYFUNCTION("GOOGLETRANSLATE(A12876, ""en"", ""mt"")"),"X'kienet meqjusa bħala l-Amerikan Timothy Dexter?")</f>
        <v>X'kienet meqjusa bħala l-Amerikan Timothy Dexter?</v>
      </c>
    </row>
    <row r="12877" ht="15.75" customHeight="1">
      <c r="A12877" s="2" t="s">
        <v>12877</v>
      </c>
      <c r="B12877" s="2" t="str">
        <f>IFERROR(__xludf.DUMMYFUNCTION("GOOGLETRANSLATE(A12877, ""en"", ""mt"")"),"Katekiżmu akbar")</f>
        <v>Katekiżmu akbar</v>
      </c>
    </row>
    <row r="12878" ht="15.75" customHeight="1">
      <c r="A12878" s="2" t="s">
        <v>12878</v>
      </c>
      <c r="B12878" s="2" t="str">
        <f>IFERROR(__xludf.DUMMYFUNCTION("GOOGLETRANSLATE(A12878, ""en"", ""mt"")"),"li ma tkunx diżubbidjenti ċivili")</f>
        <v>li ma tkunx diżubbidjenti ċivili</v>
      </c>
    </row>
    <row r="12879" ht="15.75" customHeight="1">
      <c r="A12879" s="2" t="s">
        <v>12879</v>
      </c>
      <c r="B12879" s="2" t="str">
        <f>IFERROR(__xludf.DUMMYFUNCTION("GOOGLETRANSLATE(A12879, ""en"", ""mt"")"),"X'inhi spjegazzjoni oħra possibbli għas-sors tas-sinjali?")</f>
        <v>X'inhi spjegazzjoni oħra possibbli għas-sors tas-sinjali?</v>
      </c>
    </row>
    <row r="12880" ht="15.75" customHeight="1">
      <c r="A12880" s="2" t="s">
        <v>12880</v>
      </c>
      <c r="B12880" s="2" t="str">
        <f>IFERROR(__xludf.DUMMYFUNCTION("GOOGLETRANSLATE(A12880, ""en"", ""mt"")"),"Liema perjodu kien 2.5 miljun sena ilu?")</f>
        <v>Liema perjodu kien 2.5 miljun sena ilu?</v>
      </c>
    </row>
    <row r="12881" ht="15.75" customHeight="1">
      <c r="A12881" s="2" t="s">
        <v>12881</v>
      </c>
      <c r="B12881" s="2" t="str">
        <f>IFERROR(__xludf.DUMMYFUNCTION("GOOGLETRANSLATE(A12881, ""en"", ""mt"")"),"żdied b’mod kostanti")</f>
        <v>żdied b’mod kostanti</v>
      </c>
    </row>
    <row r="12882" ht="15.75" customHeight="1">
      <c r="A12882" s="2" t="s">
        <v>12882</v>
      </c>
      <c r="B12882" s="2" t="str">
        <f>IFERROR(__xludf.DUMMYFUNCTION("GOOGLETRANSLATE(A12882, ""en"", ""mt"")"),"Għaliex Al-Qaeda qal lil ISIL biex tieħu tlugħ?")</f>
        <v>Għaliex Al-Qaeda qal lil ISIL biex tieħu tlugħ?</v>
      </c>
    </row>
    <row r="12883" ht="15.75" customHeight="1">
      <c r="A12883" s="2" t="s">
        <v>12883</v>
      </c>
      <c r="B12883" s="2" t="str">
        <f>IFERROR(__xludf.DUMMYFUNCTION("GOOGLETRANSLATE(A12883, ""en"", ""mt"")"),"Ċiklu tal-Carnot prattiku")</f>
        <v>Ċiklu tal-Carnot prattiku</v>
      </c>
    </row>
    <row r="12884" ht="15.75" customHeight="1">
      <c r="A12884" s="2" t="s">
        <v>12884</v>
      </c>
      <c r="B12884" s="2" t="str">
        <f>IFERROR(__xludf.DUMMYFUNCTION("GOOGLETRANSLATE(A12884, ""en"", ""mt"")"),"dritta 'l isfel")</f>
        <v>dritta 'l isfel</v>
      </c>
    </row>
    <row r="12885" ht="15.75" customHeight="1">
      <c r="A12885" s="2" t="s">
        <v>12885</v>
      </c>
      <c r="B12885" s="2" t="str">
        <f>IFERROR(__xludf.DUMMYFUNCTION("GOOGLETRANSLATE(A12885, ""en"", ""mt"")"),"Spiżeriji tal-Komunità tal-Brick-And-Morther")</f>
        <v>Spiżeriji tal-Komunità tal-Brick-And-Morther</v>
      </c>
    </row>
    <row r="12886" ht="15.75" customHeight="1">
      <c r="A12886" s="2" t="s">
        <v>12886</v>
      </c>
      <c r="B12886" s="2" t="str">
        <f>IFERROR(__xludf.DUMMYFUNCTION("GOOGLETRANSLATE(A12886, ""en"", ""mt"")"),"Dak li kien Tymnet")</f>
        <v>Dak li kien Tymnet</v>
      </c>
    </row>
    <row r="12887" ht="15.75" customHeight="1">
      <c r="A12887" s="2" t="s">
        <v>12887</v>
      </c>
      <c r="B12887" s="2" t="str">
        <f>IFERROR(__xludf.DUMMYFUNCTION("GOOGLETRANSLATE(A12887, ""en"", ""mt"")"),"Struttura u forzi estiżi li jaġixxu fuq parti waħda ta 'oġġett jistgħu jaffettwaw partijiet oħra ta' oġġett")</f>
        <v>Struttura u forzi estiżi li jaġixxu fuq parti waħda ta 'oġġett jistgħu jaffettwaw partijiet oħra ta' oġġett</v>
      </c>
    </row>
    <row r="12888" ht="15.75" customHeight="1">
      <c r="A12888" s="2" t="s">
        <v>12888</v>
      </c>
      <c r="B12888" s="2" t="str">
        <f>IFERROR(__xludf.DUMMYFUNCTION("GOOGLETRANSLATE(A12888, ""en"", ""mt"")"),"Żieda fil-karozzi importati fl-Amerika ta ’Fuq ġiegħlet lil General Motors, Ford u Chrysler jintroduċu mudelli iżgħar u effiċjenti fil-fjuwil għall-bejgħ domestiku. Id-Dodge Omni / Plymouth Horizon minn Chrysler, il-Ford Fiesta u l-Chevrolet Chevette koll"&amp;"ha kellhom magni b'erba 'ċilindri u spazju għal mill-inqas erba' passiġġieri sa l-aħħar tas-snin sebgħin. Sal-1985, il-vettura Amerikana medja mxiet 17.4 mili għal kull gallun, meta mqabbla ma '13 .5 fl-1970. It-titjib baqa 'minkejja li l-prezz ta' barmil"&amp;" taż-żejt baqa 'kostanti għal $ 12 mill-1974 sal-1979. Bejgħ ta' sedans kbar għal ħafna make (ħlief Chrysler prodotti) irkuprati fi żmien sentejn mudell mill-kriżi tal-1973. Il-Cadillac DeVille u Fleetwood, Buick Electra, Oldsmobile 98, Lincoln Continenta"&amp;"l, Mercury Marquis, u diversi sedans oħra orjentati mill-lussu reġgħu saru popolari f'nofs is-snin sebgħin. L-uniċi mudelli ta 'daqs sħiħ li ma rkuprawx kienu mudelli ta' prezzijiet aktar baxxi bħal Chevrolet Bel Air, u Ford Galaxie 500. Mudelli kemmxejn "&amp;"iżgħar, ta 'daqs medju bħal Oldsmobile Cutlass, Chevrolet Monte Carlo, Ford Thunderbird u diversi mudelli oħra mibjugħa Ukoll.")</f>
        <v>Żieda fil-karozzi importati fl-Amerika ta ’Fuq ġiegħlet lil General Motors, Ford u Chrysler jintroduċu mudelli iżgħar u effiċjenti fil-fjuwil għall-bejgħ domestiku. Id-Dodge Omni / Plymouth Horizon minn Chrysler, il-Ford Fiesta u l-Chevrolet Chevette kollha kellhom magni b'erba 'ċilindri u spazju għal mill-inqas erba' passiġġieri sa l-aħħar tas-snin sebgħin. Sal-1985, il-vettura Amerikana medja mxiet 17.4 mili għal kull gallun, meta mqabbla ma '13 .5 fl-1970. It-titjib baqa 'minkejja li l-prezz ta' barmil taż-żejt baqa 'kostanti għal $ 12 mill-1974 sal-1979. Bejgħ ta' sedans kbar għal ħafna make (ħlief Chrysler prodotti) irkuprati fi żmien sentejn mudell mill-kriżi tal-1973. Il-Cadillac DeVille u Fleetwood, Buick Electra, Oldsmobile 98, Lincoln Continental, Mercury Marquis, u diversi sedans oħra orjentati mill-lussu reġgħu saru popolari f'nofs is-snin sebgħin. L-uniċi mudelli ta 'daqs sħiħ li ma rkuprawx kienu mudelli ta' prezzijiet aktar baxxi bħal Chevrolet Bel Air, u Ford Galaxie 500. Mudelli kemmxejn iżgħar, ta 'daqs medju bħal Oldsmobile Cutlass, Chevrolet Monte Carlo, Ford Thunderbird u diversi mudelli oħra mibjugħa Ukoll.</v>
      </c>
    </row>
    <row r="12889" ht="15.75" customHeight="1">
      <c r="A12889" s="2" t="s">
        <v>12889</v>
      </c>
      <c r="B12889" s="2" t="str">
        <f>IFERROR(__xludf.DUMMYFUNCTION("GOOGLETRANSLATE(A12889, ""en"", ""mt"")"),"Liema armata kienet qed timbotta fil-fond fit-territorju Pollakk biex issegwi l-Ġermaniżi fl-1944?")</f>
        <v>Liema armata kienet qed timbotta fil-fond fit-territorju Pollakk biex issegwi l-Ġermaniżi fl-1944?</v>
      </c>
    </row>
    <row r="12890" ht="15.75" customHeight="1">
      <c r="A12890" s="2" t="s">
        <v>12890</v>
      </c>
      <c r="B12890" s="2" t="str">
        <f>IFERROR(__xludf.DUMMYFUNCTION("GOOGLETRANSLATE(A12890, ""en"", ""mt"")"),"Liema triq li għandha rwol fir-rispons immuni għall-viruses hija preżenti fl-ewkarioti kollha?")</f>
        <v>Liema triq li għandha rwol fir-rispons immuni għall-viruses hija preżenti fl-ewkarioti kollha?</v>
      </c>
    </row>
    <row r="12891" ht="15.75" customHeight="1">
      <c r="A12891" s="2" t="s">
        <v>12891</v>
      </c>
      <c r="B12891" s="2" t="str">
        <f>IFERROR(__xludf.DUMMYFUNCTION("GOOGLETRANSLATE(A12891, ""en"", ""mt"")"),"L-effiċjenza ta 'ċiklu ta' Rankine hija ġeneralment limitata mill-fluwidu tax-xogħol. Mingħajr ma l-pressjoni tilħaq livelli superkritiċi għall-fluwidu tax-xogħol, il-firxa tat-temperatura li ċ-ċiklu jista 'jaħdem fuqha hija pjuttost żgħira; Fit-turbini t"&amp;"al-fwar, it-temperaturi tad-dħul tat-turbina huma tipikament 565 ° C (il-limitu tal-creep ta 'l-istainless steel) u t-temperaturi tal-kondensatur huma ta' madwar 30 ° C. Dan jagħti effiċjenza teoretika ta 'Carnot ta' madwar 63% meta mqabbel ma 'effiċjenza"&amp;" attwali ta' 42% għal stazzjon tal-enerġija modern li jaħdem bil-faħam. Din it-temperatura baxxa tad-dħul tat-turbina (meta mqabbla ma 'turbina tal-gass) hija r-raġuni għaliex iċ-ċiklu ta' rankine spiss jintuża bħala ċiklu ta 'qiegħ fl-istazzjonijiet ta' "&amp;"enerġija tat-turbina tal-gass b'ċiklu magħqud. [Ċitazzjoni meħtieġa]")</f>
        <v>L-effiċjenza ta 'ċiklu ta' Rankine hija ġeneralment limitata mill-fluwidu tax-xogħol. Mingħajr ma l-pressjoni tilħaq livelli superkritiċi għall-fluwidu tax-xogħol, il-firxa tat-temperatura li ċ-ċiklu jista 'jaħdem fuqha hija pjuttost żgħira; Fit-turbini tal-fwar, it-temperaturi tad-dħul tat-turbina huma tipikament 565 ° C (il-limitu tal-creep ta 'l-istainless steel) u t-temperaturi tal-kondensatur huma ta' madwar 30 ° C. Dan jagħti effiċjenza teoretika ta 'Carnot ta' madwar 63% meta mqabbel ma 'effiċjenza attwali ta' 42% għal stazzjon tal-enerġija modern li jaħdem bil-faħam. Din it-temperatura baxxa tad-dħul tat-turbina (meta mqabbla ma 'turbina tal-gass) hija r-raġuni għaliex iċ-ċiklu ta' rankine spiss jintuża bħala ċiklu ta 'qiegħ fl-istazzjonijiet ta' enerġija tat-turbina tal-gass b'ċiklu magħqud. [Ċitazzjoni meħtieġa]</v>
      </c>
    </row>
    <row r="12892" ht="15.75" customHeight="1">
      <c r="A12892" s="2" t="s">
        <v>12892</v>
      </c>
      <c r="B12892" s="2" t="str">
        <f>IFERROR(__xludf.DUMMYFUNCTION("GOOGLETRANSLATE(A12892, ""en"", ""mt"")"),"In-NASA immedjatament laqgħet bord ta 'reviżjoni tal-inċidenti, sorveljat miż-żewġ djar tal-Kungress. Filwaqt li d-determinazzjoni tar-responsabbiltà għall-inċident kienet kumplessa, il-bord ta 'reviżjoni kkonkluda li ""n-nuqqasijiet jeżistu fid-disinn ta"&amp;"l-modulu tal-kmand, l-abbilità u l-kontroll tal-kwalità."" Fuq l-insistenza tal-amministratur tal-Webb tan-NASA, l-Amerika ta ’Fuq neħħiet lil Harrison Storms bħala Maniġer tal-Programm tal-Modulu tal-Kmand. Webb assenjat ukoll l-Uffiċċju tal-Programm Spa"&amp;"zjali Apollo (ASPO) Maniġer Joseph Francis Shea, li ħa post George Low.")</f>
        <v>In-NASA immedjatament laqgħet bord ta 'reviżjoni tal-inċidenti, sorveljat miż-żewġ djar tal-Kungress. Filwaqt li d-determinazzjoni tar-responsabbiltà għall-inċident kienet kumplessa, il-bord ta 'reviżjoni kkonkluda li "n-nuqqasijiet jeżistu fid-disinn tal-modulu tal-kmand, l-abbilità u l-kontroll tal-kwalità." Fuq l-insistenza tal-amministratur tal-Webb tan-NASA, l-Amerika ta ’Fuq neħħiet lil Harrison Storms bħala Maniġer tal-Programm tal-Modulu tal-Kmand. Webb assenjat ukoll l-Uffiċċju tal-Programm Spazjali Apollo (ASPO) Maniġer Joseph Francis Shea, li ħa post George Low.</v>
      </c>
    </row>
    <row r="12893" ht="15.75" customHeight="1">
      <c r="A12893" s="2" t="s">
        <v>12893</v>
      </c>
      <c r="B12893" s="2" t="str">
        <f>IFERROR(__xludf.DUMMYFUNCTION("GOOGLETRANSLATE(A12893, ""en"", ""mt"")"),"Osservazzjonijiet dwar il-Ġeoloġija ta 'l-Istati Uniti")</f>
        <v>Osservazzjonijiet dwar il-Ġeoloġija ta 'l-Istati Uniti</v>
      </c>
    </row>
    <row r="12894" ht="15.75" customHeight="1">
      <c r="A12894" s="2" t="s">
        <v>12894</v>
      </c>
      <c r="B12894" s="2" t="str">
        <f>IFERROR(__xludf.DUMMYFUNCTION("GOOGLETRANSLATE(A12894, ""en"", ""mt"")"),"fond")</f>
        <v>fond</v>
      </c>
    </row>
    <row r="12895" ht="15.75" customHeight="1">
      <c r="A12895" s="2" t="s">
        <v>12895</v>
      </c>
      <c r="B12895" s="2" t="str">
        <f>IFERROR(__xludf.DUMMYFUNCTION("GOOGLETRANSLATE(A12895, ""en"", ""mt"")"),"Eżekuzzjoni ta 'Müntzer")</f>
        <v>Eżekuzzjoni ta 'Müntzer</v>
      </c>
    </row>
    <row r="12896" ht="15.75" customHeight="1">
      <c r="A12896" s="2" t="s">
        <v>12896</v>
      </c>
      <c r="B12896" s="2" t="str">
        <f>IFERROR(__xludf.DUMMYFUNCTION("GOOGLETRANSLATE(A12896, ""en"", ""mt"")"),"kompjuter")</f>
        <v>kompjuter</v>
      </c>
    </row>
    <row r="12897" ht="15.75" customHeight="1">
      <c r="A12897" s="2" t="s">
        <v>12897</v>
      </c>
      <c r="B12897" s="2" t="str">
        <f>IFERROR(__xludf.DUMMYFUNCTION("GOOGLETRANSLATE(A12897, ""en"", ""mt"")"),"Ritorn akbar tal-kapital")</f>
        <v>Ritorn akbar tal-kapital</v>
      </c>
    </row>
    <row r="12898" ht="15.75" customHeight="1">
      <c r="A12898" s="2" t="s">
        <v>12898</v>
      </c>
      <c r="B12898" s="2" t="str">
        <f>IFERROR(__xludf.DUMMYFUNCTION("GOOGLETRANSLATE(A12898, ""en"", ""mt"")"),"Tmiem l-Ewwel Gwerra Dinjija")</f>
        <v>Tmiem l-Ewwel Gwerra Dinjija</v>
      </c>
    </row>
    <row r="12899" ht="15.75" customHeight="1">
      <c r="A12899" s="2" t="s">
        <v>12899</v>
      </c>
      <c r="B12899" s="2" t="str">
        <f>IFERROR(__xludf.DUMMYFUNCTION("GOOGLETRANSLATE(A12899, ""en"", ""mt"")"),"X'inhu kunċett ġenerali ieħor li japplika għal elementi ta 'ċrieki kommutattivi?")</f>
        <v>X'inhu kunċett ġenerali ieħor li japplika għal elementi ta 'ċrieki kommutattivi?</v>
      </c>
    </row>
    <row r="12900" ht="15.75" customHeight="1">
      <c r="A12900" s="2" t="s">
        <v>12900</v>
      </c>
      <c r="B12900" s="2" t="str">
        <f>IFERROR(__xludf.DUMMYFUNCTION("GOOGLETRANSLATE(A12900, ""en"", ""mt"")"),"il-perit jew l-inġinier")</f>
        <v>il-perit jew l-inġinier</v>
      </c>
    </row>
    <row r="12901" ht="15.75" customHeight="1">
      <c r="A12901" s="2" t="s">
        <v>12901</v>
      </c>
      <c r="B12901" s="2" t="str">
        <f>IFERROR(__xludf.DUMMYFUNCTION("GOOGLETRANSLATE(A12901, ""en"", ""mt"")"),"L-idea li l-Islam jista 'jkun apolitiku ma jistax jiġi mħaddem minn min?")</f>
        <v>L-idea li l-Islam jista 'jkun apolitiku ma jistax jiġi mħaddem minn min?</v>
      </c>
    </row>
    <row r="12902" ht="15.75" customHeight="1">
      <c r="A12902" s="2" t="s">
        <v>12902</v>
      </c>
      <c r="B12902" s="2" t="str">
        <f>IFERROR(__xludf.DUMMYFUNCTION("GOOGLETRANSLATE(A12902, ""en"", ""mt"")"),"Knisja konfessjonali bbażata fuq fidi u esperjenza personali u knisja territorjali inkluża kollha f'lokalità partikolari")</f>
        <v>Knisja konfessjonali bbażata fuq fidi u esperjenza personali u knisja territorjali inkluża kollha f'lokalità partikolari</v>
      </c>
    </row>
    <row r="12903" ht="15.75" customHeight="1">
      <c r="A12903" s="2" t="s">
        <v>12903</v>
      </c>
      <c r="B12903" s="2" t="str">
        <f>IFERROR(__xludf.DUMMYFUNCTION("GOOGLETRANSLATE(A12903, ""en"", ""mt"")"),"It-Tnejn filgħaxija tal-futbol")</f>
        <v>It-Tnejn filgħaxija tal-futbol</v>
      </c>
    </row>
    <row r="12904" ht="15.75" customHeight="1">
      <c r="A12904" s="2" t="s">
        <v>12904</v>
      </c>
      <c r="B12904" s="2" t="str">
        <f>IFERROR(__xludf.DUMMYFUNCTION("GOOGLETRANSLATE(A12904, ""en"", ""mt"")"),"X'inhu PPP?")</f>
        <v>X'inhu PPP?</v>
      </c>
    </row>
    <row r="12905" ht="15.75" customHeight="1">
      <c r="A12905" s="2" t="s">
        <v>12905</v>
      </c>
      <c r="B12905" s="2" t="str">
        <f>IFERROR(__xludf.DUMMYFUNCTION("GOOGLETRANSLATE(A12905, ""en"", ""mt"")"),"il-valur assolut")</f>
        <v>il-valur assolut</v>
      </c>
    </row>
    <row r="12906" ht="15.75" customHeight="1">
      <c r="A12906" s="2" t="s">
        <v>12906</v>
      </c>
      <c r="B12906" s="2" t="str">
        <f>IFERROR(__xludf.DUMMYFUNCTION("GOOGLETRANSLATE(A12906, ""en"", ""mt"")"),"qligħ ogħla")</f>
        <v>qligħ ogħla</v>
      </c>
    </row>
    <row r="12907" ht="15.75" customHeight="1">
      <c r="A12907" s="2" t="s">
        <v>12907</v>
      </c>
      <c r="B12907" s="2" t="str">
        <f>IFERROR(__xludf.DUMMYFUNCTION("GOOGLETRANSLATE(A12907, ""en"", ""mt"")"),"X'inhuma l-peptidi antimikrobiċi li evolvew bħala difiża immuni fl-ewkarioti msejħa?")</f>
        <v>X'inhuma l-peptidi antimikrobiċi li evolvew bħala difiża immuni fl-ewkarioti msejħa?</v>
      </c>
    </row>
    <row r="12908" ht="15.75" customHeight="1">
      <c r="A12908" s="2" t="s">
        <v>12908</v>
      </c>
      <c r="B12908" s="2" t="str">
        <f>IFERROR(__xludf.DUMMYFUNCTION("GOOGLETRANSLATE(A12908, ""en"", ""mt"")"),"Liema messaġġ ta 'kunsinna ntuża")</f>
        <v>Liema messaġġ ta 'kunsinna ntuża</v>
      </c>
    </row>
    <row r="12909" ht="15.75" customHeight="1">
      <c r="A12909" s="2" t="s">
        <v>12909</v>
      </c>
      <c r="B12909" s="2" t="str">
        <f>IFERROR(__xludf.DUMMYFUNCTION("GOOGLETRANSLATE(A12909, ""en"", ""mt"")"),"forma ta 'dumbbell")</f>
        <v>forma ta 'dumbbell</v>
      </c>
    </row>
    <row r="12910" ht="15.75" customHeight="1">
      <c r="A12910" s="2" t="s">
        <v>12910</v>
      </c>
      <c r="B12910" s="2" t="str">
        <f>IFERROR(__xludf.DUMMYFUNCTION("GOOGLETRANSLATE(A12910, ""en"", ""mt"")"),"Kif imsejħa wkoll il-Gwerra Ċivili kontra Ragibagh?")</f>
        <v>Kif imsejħa wkoll il-Gwerra Ċivili kontra Ragibagh?</v>
      </c>
    </row>
    <row r="12911" ht="15.75" customHeight="1">
      <c r="A12911" s="2" t="s">
        <v>12911</v>
      </c>
      <c r="B12911" s="2" t="str">
        <f>IFERROR(__xludf.DUMMYFUNCTION("GOOGLETRANSLATE(A12911, ""en"", ""mt"")"),"X'jista 'jwassal għal pagi ogħla għall-membri tal-organizzazzjonijiet tax-xogħol?")</f>
        <v>X'jista 'jwassal għal pagi ogħla għall-membri tal-organizzazzjonijiet tax-xogħol?</v>
      </c>
    </row>
    <row r="12912" ht="15.75" customHeight="1">
      <c r="A12912" s="2" t="s">
        <v>12912</v>
      </c>
      <c r="B12912" s="2" t="str">
        <f>IFERROR(__xludf.DUMMYFUNCTION("GOOGLETRANSLATE(A12912, ""en"", ""mt"")"),"Aktar minn 26,000 kilometru kwadru (10,000 sq mi) ta 'art agrikola Vittorjana jinżergħu għall-qamħ, l-aktar fil-punent tal-istat. Aktar minn 50% ta 'din iż-żona hija miżrugħa għall-qamħ, 33% għal xgħir u 7% għall-ħafur. 6,000 kilometru kwadru ieħor (2,300"&amp;" sq mi) jinżergħu għall-ħuxlief. Fl-2003–04, il-bdiewa Vittorjani pproduċew aktar minn 3 miljun tunnellata ta 'qamħ u 2 miljun tunnellata ta' xgħir. L-irziezet Vittorjani jipproduċu kważi 90% tal-lanġas Awstraljani u t-tielet tuffieħ. Huwa wkoll mexxej fi"&amp;"l-produzzjoni tal-frott tal-ġebel. L-uċuħ tal-ħaxix ewlenin jinkludu l-ispraġ, il-brokkoli, il-karrotti, il-patata u t-tadam. Is-sena li għaddiet, ġew prodotti 121,200 tunnellata ta ’lanġas u 270,000 tunnellata tadam.")</f>
        <v>Aktar minn 26,000 kilometru kwadru (10,000 sq mi) ta 'art agrikola Vittorjana jinżergħu għall-qamħ, l-aktar fil-punent tal-istat. Aktar minn 50% ta 'din iż-żona hija miżrugħa għall-qamħ, 33% għal xgħir u 7% għall-ħafur. 6,000 kilometru kwadru ieħor (2,300 sq mi) jinżergħu għall-ħuxlief. Fl-2003–04, il-bdiewa Vittorjani pproduċew aktar minn 3 miljun tunnellata ta 'qamħ u 2 miljun tunnellata ta' xgħir. L-irziezet Vittorjani jipproduċu kważi 90% tal-lanġas Awstraljani u t-tielet tuffieħ. Huwa wkoll mexxej fil-produzzjoni tal-frott tal-ġebel. L-uċuħ tal-ħaxix ewlenin jinkludu l-ispraġ, il-brokkoli, il-karrotti, il-patata u t-tadam. Is-sena li għaddiet, ġew prodotti 121,200 tunnellata ta ’lanġas u 270,000 tunnellata tadam.</v>
      </c>
    </row>
    <row r="12913" ht="15.75" customHeight="1">
      <c r="A12913" s="2" t="s">
        <v>12913</v>
      </c>
      <c r="B12913" s="2" t="str">
        <f>IFERROR(__xludf.DUMMYFUNCTION("GOOGLETRANSLATE(A12913, ""en"", ""mt"")"),"Hobson argumenta li l-imperjalizmu kien internazzjonali xiex?")</f>
        <v>Hobson argumenta li l-imperjalizmu kien internazzjonali xiex?</v>
      </c>
    </row>
    <row r="12914" ht="15.75" customHeight="1">
      <c r="A12914" s="2" t="s">
        <v>12914</v>
      </c>
      <c r="B12914" s="2" t="str">
        <f>IFERROR(__xludf.DUMMYFUNCTION("GOOGLETRANSLATE(A12914, ""en"", ""mt"")"),"Għerf, kompassjoni, ġustizzja u integrità")</f>
        <v>Għerf, kompassjoni, ġustizzja u integrità</v>
      </c>
    </row>
    <row r="12915" ht="15.75" customHeight="1">
      <c r="A12915" s="2" t="s">
        <v>12915</v>
      </c>
      <c r="B12915" s="2" t="str">
        <f>IFERROR(__xludf.DUMMYFUNCTION("GOOGLETRANSLATE(A12915, ""en"", ""mt"")"),"X'kien il-kastig ta 'Thoreau talli ma ħallasx it-taxxi tiegħu?")</f>
        <v>X'kien il-kastig ta 'Thoreau talli ma ħallasx it-taxxi tiegħu?</v>
      </c>
    </row>
    <row r="12916" ht="15.75" customHeight="1">
      <c r="A12916" s="2" t="s">
        <v>12916</v>
      </c>
      <c r="B12916" s="2" t="str">
        <f>IFERROR(__xludf.DUMMYFUNCTION("GOOGLETRANSLATE(A12916, ""en"", ""mt"")"),"Safaris, Klima u Ġeografija Diversi")</f>
        <v>Safaris, Klima u Ġeografija Diversi</v>
      </c>
    </row>
    <row r="12917" ht="15.75" customHeight="1">
      <c r="A12917" s="2" t="s">
        <v>12917</v>
      </c>
      <c r="B12917" s="2" t="str">
        <f>IFERROR(__xludf.DUMMYFUNCTION("GOOGLETRANSLATE(A12917, ""en"", ""mt"")"),"X'jiġri meta Bathocyroe u Ocyropsis jaqbdu l-lobi tagħhom flimkien?")</f>
        <v>X'jiġri meta Bathocyroe u Ocyropsis jaqbdu l-lobi tagħhom flimkien?</v>
      </c>
    </row>
    <row r="12918" ht="15.75" customHeight="1">
      <c r="A12918" s="2" t="s">
        <v>12918</v>
      </c>
      <c r="B12918" s="2" t="str">
        <f>IFERROR(__xludf.DUMMYFUNCTION("GOOGLETRANSLATE(A12918, ""en"", ""mt"")"),"Il-klima fi Newcastle hija oċeanika (Köppen CFB) u sinifikament aktar ħafifa minn xi postijiet oħra fid-dinja b'latitudni simili, minħabba l-influwenza tat-tisħin tal-fluss tal-Golf (permezz tad-drift tal-Atlantiku tat-Tramuntana). Li tkun fid-dell tax-xi"&amp;"ta tal-Pennines tat-Tramuntana, hija fost l-ibliet l-aktar niexfa fir-Renju Unit. L-estremi tat-temperatura rreġistrati fiċ-Ċentru tat-Temp ta 'Newcastle jinkludu 32.5 ° C (90.5 ° F) matul Awwissu 1990' l isfel għal -12.6 ° C (9.3 ° F) matul Jannar 1982. "&amp;"B'kuntrast ma 'żoni oħra influwenzati mill-fluss tal-Golf, bħalma huma l-iskandinavia interna, bħal skandinavia interna, Newcastle għandu xtiewi ħfief u sjuf li jkessaħ, simili għall-bqija tal-Gżejjer Brittaniċi.")</f>
        <v>Il-klima fi Newcastle hija oċeanika (Köppen CFB) u sinifikament aktar ħafifa minn xi postijiet oħra fid-dinja b'latitudni simili, minħabba l-influwenza tat-tisħin tal-fluss tal-Golf (permezz tad-drift tal-Atlantiku tat-Tramuntana). Li tkun fid-dell tax-xita tal-Pennines tat-Tramuntana, hija fost l-ibliet l-aktar niexfa fir-Renju Unit. L-estremi tat-temperatura rreġistrati fiċ-Ċentru tat-Temp ta 'Newcastle jinkludu 32.5 ° C (90.5 ° F) matul Awwissu 1990' l isfel għal -12.6 ° C (9.3 ° F) matul Jannar 1982. B'kuntrast ma 'żoni oħra influwenzati mill-fluss tal-Golf, bħalma huma l-iskandinavia interna, bħal skandinavia interna, Newcastle għandu xtiewi ħfief u sjuf li jkessaħ, simili għall-bqija tal-Gżejjer Brittaniċi.</v>
      </c>
    </row>
    <row r="12919" ht="15.75" customHeight="1">
      <c r="A12919" s="2" t="s">
        <v>12919</v>
      </c>
      <c r="B12919" s="2" t="str">
        <f>IFERROR(__xludf.DUMMYFUNCTION("GOOGLETRANSLATE(A12919, ""en"", ""mt"")"),"Il-Katekiżmu")</f>
        <v>Il-Katekiżmu</v>
      </c>
    </row>
    <row r="12920" ht="15.75" customHeight="1">
      <c r="A12920" s="2" t="s">
        <v>12920</v>
      </c>
      <c r="B12920" s="2" t="str">
        <f>IFERROR(__xludf.DUMMYFUNCTION("GOOGLETRANSLATE(A12920, ""en"", ""mt"")"),"X'tip ta 'xogħlijiet mill-Asja huma inklużi fil-galleriji Ingliżi tal-V &amp; A?")</f>
        <v>X'tip ta 'xogħlijiet mill-Asja huma inklużi fil-galleriji Ingliżi tal-V &amp; A?</v>
      </c>
    </row>
    <row r="12921" ht="15.75" customHeight="1">
      <c r="A12921" s="2" t="s">
        <v>12921</v>
      </c>
      <c r="B12921" s="2" t="str">
        <f>IFERROR(__xludf.DUMMYFUNCTION("GOOGLETRANSLATE(A12921, ""en"", ""mt"")"),"Dr Thomas Coke")</f>
        <v>Dr Thomas Coke</v>
      </c>
    </row>
    <row r="12922" ht="15.75" customHeight="1">
      <c r="A12922" s="2" t="s">
        <v>12922</v>
      </c>
      <c r="B12922" s="2" t="str">
        <f>IFERROR(__xludf.DUMMYFUNCTION("GOOGLETRANSLATE(A12922, ""en"", ""mt"")"),"X'inhi s-sottosistema li tipproteġi l-moħħ tal-bniedem?")</f>
        <v>X'inhi s-sottosistema li tipproteġi l-moħħ tal-bniedem?</v>
      </c>
    </row>
    <row r="12923" ht="15.75" customHeight="1">
      <c r="A12923" s="2" t="s">
        <v>12923</v>
      </c>
      <c r="B12923" s="2" t="str">
        <f>IFERROR(__xludf.DUMMYFUNCTION("GOOGLETRANSLATE(A12923, ""en"", ""mt"")"),"X'inhi ċ-ċarezza tal-ossiġnu likwidu?")</f>
        <v>X'inhi ċ-ċarezza tal-ossiġnu likwidu?</v>
      </c>
    </row>
    <row r="12924" ht="15.75" customHeight="1">
      <c r="A12924" s="2" t="s">
        <v>12924</v>
      </c>
      <c r="B12924" s="2" t="str">
        <f>IFERROR(__xludf.DUMMYFUNCTION("GOOGLETRANSLATE(A12924, ""en"", ""mt"")"),"bejn 1268 u 1273")</f>
        <v>bejn 1268 u 1273</v>
      </c>
    </row>
    <row r="12925" ht="15.75" customHeight="1">
      <c r="A12925" s="2" t="s">
        <v>12925</v>
      </c>
      <c r="B12925" s="2" t="str">
        <f>IFERROR(__xludf.DUMMYFUNCTION("GOOGLETRANSLATE(A12925, ""en"", ""mt"")"),"Qabel il-formazzjoni ta 'liema pjaneta, Sol tilef l-ossiġnu 16?")</f>
        <v>Qabel il-formazzjoni ta 'liema pjaneta, Sol tilef l-ossiġnu 16?</v>
      </c>
    </row>
    <row r="12926" ht="15.75" customHeight="1">
      <c r="A12926" s="2" t="s">
        <v>12926</v>
      </c>
      <c r="B12926" s="2" t="str">
        <f>IFERROR(__xludf.DUMMYFUNCTION("GOOGLETRANSLATE(A12926, ""en"", ""mt"")"),"Liema avveniment Ewropew ikkawża li l-Huguenots jabbandunaw lil Charlesfort?")</f>
        <v>Liema avveniment Ewropew ikkawża li l-Huguenots jabbandunaw lil Charlesfort?</v>
      </c>
    </row>
    <row r="12927" ht="15.75" customHeight="1">
      <c r="A12927" s="2" t="s">
        <v>12927</v>
      </c>
      <c r="B12927" s="2" t="str">
        <f>IFERROR(__xludf.DUMMYFUNCTION("GOOGLETRANSLATE(A12927, ""en"", ""mt"")"),"monofiletiku")</f>
        <v>monofiletiku</v>
      </c>
    </row>
    <row r="12928" ht="15.75" customHeight="1">
      <c r="A12928" s="2" t="s">
        <v>12928</v>
      </c>
      <c r="B12928" s="2" t="str">
        <f>IFERROR(__xludf.DUMMYFUNCTION("GOOGLETRANSLATE(A12928, ""en"", ""mt"")"),"X’għamel Basset qabel ma wasal għall-konklużjonijiet tiegħu?")</f>
        <v>X’għamel Basset qabel ma wasal għall-konklużjonijiet tiegħu?</v>
      </c>
    </row>
    <row r="12929" ht="15.75" customHeight="1">
      <c r="A12929" s="2" t="s">
        <v>12929</v>
      </c>
      <c r="B12929" s="2" t="str">
        <f>IFERROR(__xludf.DUMMYFUNCTION("GOOGLETRANSLATE(A12929, ""en"", ""mt"")"),"regolamenti u direttivi li huma bbażati fuq it-trattati")</f>
        <v>regolamenti u direttivi li huma bbażati fuq it-trattati</v>
      </c>
    </row>
    <row r="12930" ht="15.75" customHeight="1">
      <c r="A12930" s="2" t="s">
        <v>12930</v>
      </c>
      <c r="B12930" s="2" t="str">
        <f>IFERROR(__xludf.DUMMYFUNCTION("GOOGLETRANSLATE(A12930, ""en"", ""mt"")"),"Mejju 1754")</f>
        <v>Mejju 1754</v>
      </c>
    </row>
    <row r="12931" ht="15.75" customHeight="1">
      <c r="A12931" s="2" t="s">
        <v>12931</v>
      </c>
      <c r="B12931" s="2" t="str">
        <f>IFERROR(__xludf.DUMMYFUNCTION("GOOGLETRANSLATE(A12931, ""en"", ""mt"")"),"passjoni")</f>
        <v>passjoni</v>
      </c>
    </row>
    <row r="12932" ht="15.75" customHeight="1">
      <c r="A12932" s="2" t="s">
        <v>12932</v>
      </c>
      <c r="B12932" s="2" t="str">
        <f>IFERROR(__xludf.DUMMYFUNCTION("GOOGLETRANSLATE(A12932, ""en"", ""mt"")"),"Elude Responses Immuni ospitanti")</f>
        <v>Elude Responses Immuni ospitanti</v>
      </c>
    </row>
    <row r="12933" ht="15.75" customHeight="1">
      <c r="A12933" s="2" t="s">
        <v>12933</v>
      </c>
      <c r="B12933" s="2" t="str">
        <f>IFERROR(__xludf.DUMMYFUNCTION("GOOGLETRANSLATE(A12933, ""en"", ""mt"")"),"Huwa ż-żejt tal-Iskozja")</f>
        <v>Huwa ż-żejt tal-Iskozja</v>
      </c>
    </row>
    <row r="12934" ht="15.75" customHeight="1">
      <c r="A12934" s="2" t="s">
        <v>12934</v>
      </c>
      <c r="B12934" s="2" t="str">
        <f>IFERROR(__xludf.DUMMYFUNCTION("GOOGLETRANSLATE(A12934, ""en"", ""mt"")"),"Il-ġeoloġi planetarji kejlu abbundanzi differenti ta 'iżotopi ta' ossiġenu f'kampjuni mid-dinja, il-qamar, Mars, u meteoriti, iżda ma setgħux jiksbu valuri ta 'referenza għall-proporzjonijiet ta' iżotopi fix-xemx, maħsuba li huma l-istess bħal dawk tas-so"&amp;"lari primordjali Nebula. Analiżi ta 'wejfer tas-silikon espost għar-riħ solari fl-ispazju u rritornat mill-vettura spazjali Ġenesi ġġarraf uriet li x-xemx għandha proporzjon ogħla ta' ossiġnu-16 milli tagħmel id-dinja. Il-kejl jimplika li proċess mhux mag"&amp;"ħruf ossiġnu-16 mid-diska tax-xemx ta 'materjal protoplanetarju qabel il-koexxenza ta' ħbub tat-trab li ffurmaw id-dinja.")</f>
        <v>Il-ġeoloġi planetarji kejlu abbundanzi differenti ta 'iżotopi ta' ossiġenu f'kampjuni mid-dinja, il-qamar, Mars, u meteoriti, iżda ma setgħux jiksbu valuri ta 'referenza għall-proporzjonijiet ta' iżotopi fix-xemx, maħsuba li huma l-istess bħal dawk tas-solari primordjali Nebula. Analiżi ta 'wejfer tas-silikon espost għar-riħ solari fl-ispazju u rritornat mill-vettura spazjali Ġenesi ġġarraf uriet li x-xemx għandha proporzjon ogħla ta' ossiġnu-16 milli tagħmel id-dinja. Il-kejl jimplika li proċess mhux magħruf ossiġnu-16 mid-diska tax-xemx ta 'materjal protoplanetarju qabel il-koexxenza ta' ħbub tat-trab li ffurmaw id-dinja.</v>
      </c>
    </row>
    <row r="12935" ht="15.75" customHeight="1">
      <c r="A12935" s="2" t="s">
        <v>12935</v>
      </c>
      <c r="B12935" s="2" t="str">
        <f>IFERROR(__xludf.DUMMYFUNCTION("GOOGLETRANSLATE(A12935, ""en"", ""mt"")"),"Kemm kien effettiv l-użu militari tal- ""Għarab Afgan""?")</f>
        <v>Kemm kien effettiv l-użu militari tal- "Għarab Afgan"?</v>
      </c>
    </row>
    <row r="12936" ht="15.75" customHeight="1">
      <c r="A12936" s="2" t="s">
        <v>12936</v>
      </c>
      <c r="B12936" s="2" t="str">
        <f>IFERROR(__xludf.DUMMYFUNCTION("GOOGLETRANSLATE(A12936, ""en"", ""mt"")"),"X'għandhom numru ta 'riċerkaturi jaħsbu li n-nuqqas ta' l-inugwaljanza tad-dħul huwa kkawżat parzjalment?")</f>
        <v>X'għandhom numru ta 'riċerkaturi jaħsbu li n-nuqqas ta' l-inugwaljanza tad-dħul huwa kkawżat parzjalment?</v>
      </c>
    </row>
    <row r="12937" ht="15.75" customHeight="1">
      <c r="A12937" s="2" t="s">
        <v>12937</v>
      </c>
      <c r="B12937" s="2" t="str">
        <f>IFERROR(__xludf.DUMMYFUNCTION("GOOGLETRANSLATE(A12937, ""en"", ""mt"")"),"Kings Canyon Avenue u Clovis Avenue")</f>
        <v>Kings Canyon Avenue u Clovis Avenue</v>
      </c>
    </row>
    <row r="12938" ht="15.75" customHeight="1">
      <c r="A12938" s="2" t="s">
        <v>12938</v>
      </c>
      <c r="B12938" s="2" t="str">
        <f>IFERROR(__xludf.DUMMYFUNCTION("GOOGLETRANSLATE(A12938, ""en"", ""mt"")"),"Nullifikazzjoni")</f>
        <v>Nullifikazzjoni</v>
      </c>
    </row>
    <row r="12939" ht="15.75" customHeight="1">
      <c r="A12939" s="2" t="s">
        <v>12939</v>
      </c>
      <c r="B12939" s="2" t="str">
        <f>IFERROR(__xludf.DUMMYFUNCTION("GOOGLETRANSLATE(A12939, ""en"", ""mt"")"),"Alvaro Martin u Raul Allegre")</f>
        <v>Alvaro Martin u Raul Allegre</v>
      </c>
    </row>
    <row r="12940" ht="15.75" customHeight="1">
      <c r="A12940" s="2" t="s">
        <v>12940</v>
      </c>
      <c r="B12940" s="2" t="str">
        <f>IFERROR(__xludf.DUMMYFUNCTION("GOOGLETRANSLATE(A12940, ""en"", ""mt"")"),"ikkundannat bħala idolatrija")</f>
        <v>ikkundannat bħala idolatrija</v>
      </c>
    </row>
    <row r="12941" ht="15.75" customHeight="1">
      <c r="A12941" s="2" t="s">
        <v>12941</v>
      </c>
      <c r="B12941" s="2" t="str">
        <f>IFERROR(__xludf.DUMMYFUNCTION("GOOGLETRANSLATE(A12941, ""en"", ""mt"")"),"Att tal-Iskozja 1998")</f>
        <v>Att tal-Iskozja 1998</v>
      </c>
    </row>
    <row r="12942" ht="15.75" customHeight="1">
      <c r="A12942" s="2" t="s">
        <v>12942</v>
      </c>
      <c r="B12942" s="2" t="str">
        <f>IFERROR(__xludf.DUMMYFUNCTION("GOOGLETRANSLATE(A12942, ""en"", ""mt"")"),"L-unitajiet tal-blat isiru eħxen u jitqassru meta jitpoġġew taħt dan it-tip ta 'kompressjoni.")</f>
        <v>L-unitajiet tal-blat isiru eħxen u jitqassru meta jitpoġġew taħt dan it-tip ta 'kompressjoni.</v>
      </c>
    </row>
    <row r="12943" ht="15.75" customHeight="1">
      <c r="A12943" s="2" t="s">
        <v>12943</v>
      </c>
      <c r="B12943" s="2" t="str">
        <f>IFERROR(__xludf.DUMMYFUNCTION("GOOGLETRANSLATE(A12943, ""en"", ""mt"")"),"Kolorazzjoni kemmxejn qawwija ""kolonjali""")</f>
        <v>Kolorazzjoni kemmxejn qawwija "kolonjali"</v>
      </c>
    </row>
    <row r="12944" ht="15.75" customHeight="1">
      <c r="A12944" s="2" t="s">
        <v>12944</v>
      </c>
      <c r="B12944" s="2" t="str">
        <f>IFERROR(__xludf.DUMMYFUNCTION("GOOGLETRANSLATE(A12944, ""en"", ""mt"")"),"Liema xmara tmur flimkien ma 'Jacksonville?")</f>
        <v>Liema xmara tmur flimkien ma 'Jacksonville?</v>
      </c>
    </row>
    <row r="12945" ht="15.75" customHeight="1">
      <c r="A12945" s="2" t="s">
        <v>12945</v>
      </c>
      <c r="B12945" s="2" t="str">
        <f>IFERROR(__xludf.DUMMYFUNCTION("GOOGLETRANSLATE(A12945, ""en"", ""mt"")"),"Kemm leġjuni f'ħames bażijiet kienu tul ir-Renu mir-Rumani?")</f>
        <v>Kemm leġjuni f'ħames bażijiet kienu tul ir-Renu mir-Rumani?</v>
      </c>
    </row>
    <row r="12946" ht="15.75" customHeight="1">
      <c r="A12946" s="2" t="s">
        <v>12946</v>
      </c>
      <c r="B12946" s="2" t="str">
        <f>IFERROR(__xludf.DUMMYFUNCTION("GOOGLETRANSLATE(A12946, ""en"", ""mt"")"),"Kosta tal-Lvant tal-Kontinent")</f>
        <v>Kosta tal-Lvant tal-Kontinent</v>
      </c>
    </row>
    <row r="12947" ht="15.75" customHeight="1">
      <c r="A12947" s="2" t="s">
        <v>12947</v>
      </c>
      <c r="B12947" s="2" t="str">
        <f>IFERROR(__xludf.DUMMYFUNCTION("GOOGLETRANSLATE(A12947, ""en"", ""mt"")"),"Min beda l-fond fiduċjarju tal-IPCC?")</f>
        <v>Min beda l-fond fiduċjarju tal-IPCC?</v>
      </c>
    </row>
    <row r="12948" ht="15.75" customHeight="1">
      <c r="A12948" s="2" t="s">
        <v>12948</v>
      </c>
      <c r="B12948" s="2" t="str">
        <f>IFERROR(__xludf.DUMMYFUNCTION("GOOGLETRANSLATE(A12948, ""en"", ""mt"")"),"Flimkien man-nixfa, x'inhu fattur ieħor li qed jimbotta l-foresta tropikali tal-Amażonja lejn punt li jdur?")</f>
        <v>Flimkien man-nixfa, x'inhu fattur ieħor li qed jimbotta l-foresta tropikali tal-Amażonja lejn punt li jdur?</v>
      </c>
    </row>
    <row r="12949" ht="15.75" customHeight="1">
      <c r="A12949" s="2" t="s">
        <v>12949</v>
      </c>
      <c r="B12949" s="2" t="str">
        <f>IFERROR(__xludf.DUMMYFUNCTION("GOOGLETRANSLATE(A12949, ""en"", ""mt"")"),"Evolvi malajr u tadatta")</f>
        <v>Evolvi malajr u tadatta</v>
      </c>
    </row>
    <row r="12950" ht="15.75" customHeight="1">
      <c r="A12950" s="2" t="s">
        <v>12950</v>
      </c>
      <c r="B12950" s="2" t="str">
        <f>IFERROR(__xludf.DUMMYFUNCTION("GOOGLETRANSLATE(A12950, ""en"", ""mt"")"),"Ħarġa tal-lajċi li jkollok vuċi u tivvota fl-amministrazzjoni tal-knisja")</f>
        <v>Ħarġa tal-lajċi li jkollok vuċi u tivvota fl-amministrazzjoni tal-knisja</v>
      </c>
    </row>
    <row r="12951" ht="15.75" customHeight="1">
      <c r="A12951" s="2" t="s">
        <v>12951</v>
      </c>
      <c r="B12951" s="2" t="str">
        <f>IFERROR(__xludf.DUMMYFUNCTION("GOOGLETRANSLATE(A12951, ""en"", ""mt"")"),"Liema gorge hemm bejn il-bingen u l-bonn?")</f>
        <v>Liema gorge hemm bejn il-bingen u l-bonn?</v>
      </c>
    </row>
    <row r="12952" ht="15.75" customHeight="1">
      <c r="A12952" s="2" t="s">
        <v>12952</v>
      </c>
      <c r="B12952" s="2" t="str">
        <f>IFERROR(__xludf.DUMMYFUNCTION("GOOGLETRANSLATE(A12952, ""en"", ""mt"")"),"Dispożizzjoni tal-effetti personali tal-priġunieri")</f>
        <v>Dispożizzjoni tal-effetti personali tal-priġunieri</v>
      </c>
    </row>
    <row r="12953" ht="15.75" customHeight="1">
      <c r="A12953" s="2" t="s">
        <v>12953</v>
      </c>
      <c r="B12953" s="2" t="str">
        <f>IFERROR(__xludf.DUMMYFUNCTION("GOOGLETRANSLATE(A12953, ""en"", ""mt"")"),"restorant")</f>
        <v>restorant</v>
      </c>
    </row>
    <row r="12954" ht="15.75" customHeight="1">
      <c r="A12954" s="2" t="s">
        <v>12954</v>
      </c>
      <c r="B12954" s="2" t="str">
        <f>IFERROR(__xludf.DUMMYFUNCTION("GOOGLETRANSLATE(A12954, ""en"", ""mt"")"),"individwu")</f>
        <v>individwu</v>
      </c>
    </row>
    <row r="12955" ht="15.75" customHeight="1">
      <c r="A12955" s="2" t="s">
        <v>12955</v>
      </c>
      <c r="B12955" s="2" t="str">
        <f>IFERROR(__xludf.DUMMYFUNCTION("GOOGLETRANSLATE(A12955, ""en"", ""mt"")"),"Esperimenti fiżiċi ta 'temperatura għolja u pressjoni")</f>
        <v>Esperimenti fiżiċi ta 'temperatura għolja u pressjoni</v>
      </c>
    </row>
    <row r="12956" ht="15.75" customHeight="1">
      <c r="A12956" s="2" t="s">
        <v>12956</v>
      </c>
      <c r="B12956" s="2" t="str">
        <f>IFERROR(__xludf.DUMMYFUNCTION("GOOGLETRANSLATE(A12956, ""en"", ""mt"")"),"Butchery")</f>
        <v>Butchery</v>
      </c>
    </row>
    <row r="12957" ht="15.75" customHeight="1">
      <c r="A12957" s="2" t="s">
        <v>12957</v>
      </c>
      <c r="B12957" s="2" t="str">
        <f>IFERROR(__xludf.DUMMYFUNCTION("GOOGLETRANSLATE(A12957, ""en"", ""mt"")"),"Sinifikat tal-kliem mitkellem minn Ġesù")</f>
        <v>Sinifikat tal-kliem mitkellem minn Ġesù</v>
      </c>
    </row>
    <row r="12958" ht="15.75" customHeight="1">
      <c r="A12958" s="2" t="s">
        <v>12958</v>
      </c>
      <c r="B12958" s="2" t="str">
        <f>IFERROR(__xludf.DUMMYFUNCTION("GOOGLETRANSLATE(A12958, ""en"", ""mt"")"),"Minn xiex għoti l-flus lill-knisja jeħilsu lil min jagħti?")</f>
        <v>Minn xiex għoti l-flus lill-knisja jeħilsu lil min jagħti?</v>
      </c>
    </row>
    <row r="12959" ht="15.75" customHeight="1">
      <c r="A12959" s="2" t="s">
        <v>12959</v>
      </c>
      <c r="B12959" s="2" t="str">
        <f>IFERROR(__xludf.DUMMYFUNCTION("GOOGLETRANSLATE(A12959, ""en"", ""mt"")"),"L-organiżmi fotosintetiċi meta evolvew fid-dinja?")</f>
        <v>L-organiżmi fotosintetiċi meta evolvew fid-dinja?</v>
      </c>
    </row>
    <row r="12960" ht="15.75" customHeight="1">
      <c r="A12960" s="2" t="s">
        <v>12960</v>
      </c>
      <c r="B12960" s="2" t="str">
        <f>IFERROR(__xludf.DUMMYFUNCTION("GOOGLETRANSLATE(A12960, ""en"", ""mt"")"),"8 ta ’Ottubru 1963")</f>
        <v>8 ta ’Ottubru 1963</v>
      </c>
    </row>
    <row r="12961" ht="15.75" customHeight="1">
      <c r="A12961" s="2" t="s">
        <v>12961</v>
      </c>
      <c r="B12961" s="2" t="str">
        <f>IFERROR(__xludf.DUMMYFUNCTION("GOOGLETRANSLATE(A12961, ""en"", ""mt"")"),"Kemm idum sakemm tiġi aġġornata r-reġistrazzjoni proviżorja, jekk jintlaħqu r-rekwiżiti?")</f>
        <v>Kemm idum sakemm tiġi aġġornata r-reġistrazzjoni proviżorja, jekk jintlaħqu r-rekwiżiti?</v>
      </c>
    </row>
    <row r="12962" ht="15.75" customHeight="1">
      <c r="A12962" s="2" t="s">
        <v>12962</v>
      </c>
      <c r="B12962" s="2" t="str">
        <f>IFERROR(__xludf.DUMMYFUNCTION("GOOGLETRANSLATE(A12962, ""en"", ""mt"")"),"Michael Heckenberger u l-kollegi tal-Università ta ’Florida")</f>
        <v>Michael Heckenberger u l-kollegi tal-Università ta ’Florida</v>
      </c>
    </row>
    <row r="12963" ht="15.75" customHeight="1">
      <c r="A12963" s="2" t="s">
        <v>12963</v>
      </c>
      <c r="B12963" s="2" t="str">
        <f>IFERROR(__xludf.DUMMYFUNCTION("GOOGLETRANSLATE(A12963, ""en"", ""mt"")"),"Liema persentaġġ ta 'djar Amerikani laħaq ABC f'Marzu 2015?")</f>
        <v>Liema persentaġġ ta 'djar Amerikani laħaq ABC f'Marzu 2015?</v>
      </c>
    </row>
    <row r="12964" ht="15.75" customHeight="1">
      <c r="A12964" s="2" t="s">
        <v>12964</v>
      </c>
      <c r="B12964" s="2" t="str">
        <f>IFERROR(__xludf.DUMMYFUNCTION("GOOGLETRANSLATE(A12964, ""en"", ""mt"")"),"X'inhu konsiderazzjonijiet ta 'Malum f'SE?")</f>
        <v>X'inhu konsiderazzjonijiet ta 'Malum f'SE?</v>
      </c>
    </row>
    <row r="12965" ht="15.75" customHeight="1">
      <c r="A12965" s="2" t="s">
        <v>12965</v>
      </c>
      <c r="B12965" s="2" t="str">
        <f>IFERROR(__xludf.DUMMYFUNCTION("GOOGLETRANSLATE(A12965, ""en"", ""mt"")"),"X’għamlu l-aktar sinjuri 400 Amerikani bħala tfal li għenuhom ikunu adulti ta ’suċċess?")</f>
        <v>X’għamlu l-aktar sinjuri 400 Amerikani bħala tfal li għenuhom ikunu adulti ta ’suċċess?</v>
      </c>
    </row>
    <row r="12966" ht="15.75" customHeight="1">
      <c r="A12966" s="2" t="s">
        <v>12966</v>
      </c>
      <c r="B12966" s="2" t="str">
        <f>IFERROR(__xludf.DUMMYFUNCTION("GOOGLETRANSLATE(A12966, ""en"", ""mt"")"),"Liema pajjiż kien imexxi California?")</f>
        <v>Liema pajjiż kien imexxi California?</v>
      </c>
    </row>
    <row r="12967" ht="15.75" customHeight="1">
      <c r="A12967" s="2" t="s">
        <v>12967</v>
      </c>
      <c r="B12967" s="2" t="str">
        <f>IFERROR(__xludf.DUMMYFUNCTION("GOOGLETRANSLATE(A12967, ""en"", ""mt"")"),"L-ewwel binjiet tal-kampus tal-Università ta ’Chicago, li jiffurmaw dak li issa huwa magħruf bħala l-kwadrangles ewlenin, kienu parti minn"" pjan ewlieni ”maħsub minn żewġ trustees tal-Università ta’ Chicago u mpinġija mill-perit ta ’Chicago Henry Ives Co"&amp;"bb. Il-kwadrangles ewlenin jikkonsistu minn sitt kwadrangles, kull wieħed imdawwar minn bini, li jmissu ma 'kwadrangle ikbar. Il-bini tal-kwadrangles ewlenin kienu ddisinjati minn Cobb, Shepley, Rutan u Coolidge, Holabird &amp; Roche, u ditti arkitettoniċi oħ"&amp;"ra f'taħlita ta 'l-istili Gotiċi Gotiċi u kolleġjali Vittorjani, b'disinn fuq il-kulleġġi ta' l-Università ta 'Oxford. (Mitchell Tower, pereżempju, huwa mfassal wara t-Torri Magdalen ta 'Oxford, u l-Università Commons, Hutchinson Hall, jirreplikaw lil Chr"&amp;"ist Church Hall.)")</f>
        <v>L-ewwel binjiet tal-kampus tal-Università ta ’Chicago, li jiffurmaw dak li issa huwa magħruf bħala l-kwadrangles ewlenin, kienu parti minn" pjan ewlieni ”maħsub minn żewġ trustees tal-Università ta’ Chicago u mpinġija mill-perit ta ’Chicago Henry Ives Cobb. Il-kwadrangles ewlenin jikkonsistu minn sitt kwadrangles, kull wieħed imdawwar minn bini, li jmissu ma 'kwadrangle ikbar. Il-bini tal-kwadrangles ewlenin kienu ddisinjati minn Cobb, Shepley, Rutan u Coolidge, Holabird &amp; Roche, u ditti arkitettoniċi oħra f'taħlita ta 'l-istili Gotiċi Gotiċi u kolleġjali Vittorjani, b'disinn fuq il-kulleġġi ta' l-Università ta 'Oxford. (Mitchell Tower, pereżempju, huwa mfassal wara t-Torri Magdalen ta 'Oxford, u l-Università Commons, Hutchinson Hall, jirreplikaw lil Christ Church Hall.)</v>
      </c>
    </row>
    <row r="12968" ht="15.75" customHeight="1">
      <c r="A12968" s="2" t="s">
        <v>12968</v>
      </c>
      <c r="B12968" s="2" t="str">
        <f>IFERROR(__xludf.DUMMYFUNCTION("GOOGLETRANSLATE(A12968, ""en"", ""mt"")"),"plott u għaqqad")</f>
        <v>plott u għaqqad</v>
      </c>
    </row>
    <row r="12969" ht="15.75" customHeight="1">
      <c r="A12969" s="2" t="s">
        <v>12969</v>
      </c>
      <c r="B12969" s="2" t="str">
        <f>IFERROR(__xludf.DUMMYFUNCTION("GOOGLETRANSLATE(A12969, ""en"", ""mt"")"),"Żwiemel")</f>
        <v>Żwiemel</v>
      </c>
    </row>
    <row r="12970" ht="15.75" customHeight="1">
      <c r="A12970" s="2" t="s">
        <v>12970</v>
      </c>
      <c r="B12970" s="2" t="str">
        <f>IFERROR(__xludf.DUMMYFUNCTION("GOOGLETRANSLATE(A12970, ""en"", ""mt"")"),"It-telfa tat-truppi Għarab fil-gwerra ta ’sitt ijiem kienet tikkostitwixxi x’inhi għad-dinja Musulmana Għarbija?")</f>
        <v>It-telfa tat-truppi Għarab fil-gwerra ta ’sitt ijiem kienet tikkostitwixxi x’inhi għad-dinja Musulmana Għarbija?</v>
      </c>
    </row>
    <row r="12971" ht="15.75" customHeight="1">
      <c r="A12971" s="2" t="s">
        <v>12971</v>
      </c>
      <c r="B12971" s="2" t="str">
        <f>IFERROR(__xludf.DUMMYFUNCTION("GOOGLETRANSLATE(A12971, ""en"", ""mt"")"),"Il-viċinat għandu ristoranti, teatru ħaj u nightclubs, kif ukoll diversi ħwienet u libreriji indipendenti, li bħalissa joperaw fuq jew qrib iż-Żebbuġ, u kollha fi ftit mijiet ta 'piedi ta' xulxin. Mit-tiġdid, id-distrett tat-Torri sar żona attraenti għal "&amp;"ristoranti u negozji lokali oħra. Illum, id-distrett tat-torri huwa magħruf ukoll bħala ċ-ċentru tal-komunitajiet LGBT u hipster ta 'Fresno.; Barra minn hekk, it-Tower District huwa magħruf ukoll bħala ċ-ċentru tal-punk lokali / goth / deathrock u komunit"&amp;"à tal-metall tqil ta 'Fresno. [Ċitazzjoni meħtieġa]")</f>
        <v>Il-viċinat għandu ristoranti, teatru ħaj u nightclubs, kif ukoll diversi ħwienet u libreriji indipendenti, li bħalissa joperaw fuq jew qrib iż-Żebbuġ, u kollha fi ftit mijiet ta 'piedi ta' xulxin. Mit-tiġdid, id-distrett tat-Torri sar żona attraenti għal ristoranti u negozji lokali oħra. Illum, id-distrett tat-torri huwa magħruf ukoll bħala ċ-ċentru tal-komunitajiet LGBT u hipster ta 'Fresno.; Barra minn hekk, it-Tower District huwa magħruf ukoll bħala ċ-ċentru tal-punk lokali / goth / deathrock u komunità tal-metall tqil ta 'Fresno. [Ċitazzjoni meħtieġa]</v>
      </c>
    </row>
    <row r="12972" ht="15.75" customHeight="1">
      <c r="A12972" s="2" t="s">
        <v>12972</v>
      </c>
      <c r="B12972" s="2" t="str">
        <f>IFERROR(__xludf.DUMMYFUNCTION("GOOGLETRANSLATE(A12972, ""en"", ""mt"")"),"Meta ġew miġġielda l-gwerer tar-reliġjon?")</f>
        <v>Meta ġew miġġielda l-gwerer tar-reliġjon?</v>
      </c>
    </row>
    <row r="12973" ht="15.75" customHeight="1">
      <c r="A12973" s="2" t="s">
        <v>12973</v>
      </c>
      <c r="B12973" s="2" t="str">
        <f>IFERROR(__xludf.DUMMYFUNCTION("GOOGLETRANSLATE(A12973, ""en"", ""mt"")"),"Min kienu missirijiethom Chu'tsai?")</f>
        <v>Min kienu missirijiethom Chu'tsai?</v>
      </c>
    </row>
    <row r="12974" ht="15.75" customHeight="1">
      <c r="A12974" s="2" t="s">
        <v>12974</v>
      </c>
      <c r="B12974" s="2" t="str">
        <f>IFERROR(__xludf.DUMMYFUNCTION("GOOGLETRANSLATE(A12974, ""en"", ""mt"")"),"it-tarf oppost minn ħalq")</f>
        <v>it-tarf oppost minn ħalq</v>
      </c>
    </row>
    <row r="12975" ht="15.75" customHeight="1">
      <c r="A12975" s="2" t="s">
        <v>12975</v>
      </c>
      <c r="B12975" s="2" t="str">
        <f>IFERROR(__xludf.DUMMYFUNCTION("GOOGLETRANSLATE(A12975, ""en"", ""mt"")"),"spazji miftuħa")</f>
        <v>spazji miftuħa</v>
      </c>
    </row>
    <row r="12976" ht="15.75" customHeight="1">
      <c r="A12976" s="2" t="s">
        <v>12976</v>
      </c>
      <c r="B12976" s="2" t="str">
        <f>IFERROR(__xludf.DUMMYFUNCTION("GOOGLETRANSLATE(A12976, ""en"", ""mt"")"),"Films tat-tieni u t-tielet ġirja")</f>
        <v>Films tat-tieni u t-tielet ġirja</v>
      </c>
    </row>
    <row r="12977" ht="15.75" customHeight="1">
      <c r="A12977" s="2" t="s">
        <v>12977</v>
      </c>
      <c r="B12977" s="2" t="str">
        <f>IFERROR(__xludf.DUMMYFUNCTION("GOOGLETRANSLATE(A12977, ""en"", ""mt"")"),"Etjopjan")</f>
        <v>Etjopjan</v>
      </c>
    </row>
    <row r="12978" ht="15.75" customHeight="1">
      <c r="A12978" s="2" t="s">
        <v>12978</v>
      </c>
      <c r="B12978" s="2" t="str">
        <f>IFERROR(__xludf.DUMMYFUNCTION("GOOGLETRANSLATE(A12978, ""en"", ""mt"")"),"Kundizzjonijiet ta 'dawl baxx")</f>
        <v>Kundizzjonijiet ta 'dawl baxx</v>
      </c>
    </row>
    <row r="12979" ht="15.75" customHeight="1">
      <c r="A12979" s="2" t="s">
        <v>12979</v>
      </c>
      <c r="B12979" s="2" t="str">
        <f>IFERROR(__xludf.DUMMYFUNCTION("GOOGLETRANSLATE(A12979, ""en"", ""mt"")"),"Fil-bijosfera tad-dinja, l-arja, il-baħar u l-art")</f>
        <v>Fil-bijosfera tad-dinja, l-arja, il-baħar u l-art</v>
      </c>
    </row>
    <row r="12980" ht="15.75" customHeight="1">
      <c r="A12980" s="2" t="s">
        <v>12980</v>
      </c>
      <c r="B12980" s="2" t="str">
        <f>IFERROR(__xludf.DUMMYFUNCTION("GOOGLETRANSLATE(A12980, ""en"", ""mt"")"),"Il-pesta laqat diversi pajjiżi fil-Lvant Nofsani matul il-pandemija, u dan wassal għal depopolazzjoni serja u bidla permanenti kemm fl-istrutturi ekonomiċi u soċjali. Hekk kif infirex fl-Ewropa tal-Punent, il-marda daħlet fir-reġjun mir-Russja tan-Nofsinh"&amp;"ar ukoll. Sal-ħarifa 1347, il-pesta laħqet Lixandra fl-Eġittu, probabbilment permezz tal-kummerċ tal-port ma 'Kostantinopli, u portijiet fuq il-Baħar l-Iswed. Matul l-1347, il-marda vvjaġġat lejn il-lvant lejn Gaza, u fit-tramuntana tul il-kosta tal-Lvant"&amp;" lejn bliet fil-Libanu, is-Sirja u l-Palestina, inklużi Ashkelon, Acre, Ġerusalemm, Sidon, Sidon, Damasku, Homs, u Aleppo. Fl-1348–49, il-marda laħqet Antijokja. Ir-residenti tal-belt ħarbu lejn it-tramuntana, ħafna minnhom imutu matul il-vjaġġ, iżda l-in"&amp;"fezzjoni kienet mifruxa għan-nies tal-Asja Minuri. [Ċitazzjoni meħtieġa]")</f>
        <v>Il-pesta laqat diversi pajjiżi fil-Lvant Nofsani matul il-pandemija, u dan wassal għal depopolazzjoni serja u bidla permanenti kemm fl-istrutturi ekonomiċi u soċjali. Hekk kif infirex fl-Ewropa tal-Punent, il-marda daħlet fir-reġjun mir-Russja tan-Nofsinhar ukoll. Sal-ħarifa 1347, il-pesta laħqet Lixandra fl-Eġittu, probabbilment permezz tal-kummerċ tal-port ma 'Kostantinopli, u portijiet fuq il-Baħar l-Iswed. Matul l-1347, il-marda vvjaġġat lejn il-lvant lejn Gaza, u fit-tramuntana tul il-kosta tal-Lvant lejn bliet fil-Libanu, is-Sirja u l-Palestina, inklużi Ashkelon, Acre, Ġerusalemm, Sidon, Sidon, Damasku, Homs, u Aleppo. Fl-1348–49, il-marda laħqet Antijokja. Ir-residenti tal-belt ħarbu lejn it-tramuntana, ħafna minnhom imutu matul il-vjaġġ, iżda l-infezzjoni kienet mifruxa għan-nies tal-Asja Minuri. [Ċitazzjoni meħtieġa]</v>
      </c>
    </row>
    <row r="12981" ht="15.75" customHeight="1">
      <c r="A12981" s="2" t="s">
        <v>12981</v>
      </c>
      <c r="B12981" s="2" t="str">
        <f>IFERROR(__xludf.DUMMYFUNCTION("GOOGLETRANSLATE(A12981, ""en"", ""mt"")"),"appoġġ")</f>
        <v>appoġġ</v>
      </c>
    </row>
    <row r="12982" ht="15.75" customHeight="1">
      <c r="A12982" s="2" t="s">
        <v>12982</v>
      </c>
      <c r="B12982" s="2" t="str">
        <f>IFERROR(__xludf.DUMMYFUNCTION("GOOGLETRANSLATE(A12982, ""en"", ""mt"")"),"arja ħażina")</f>
        <v>arja ħażina</v>
      </c>
    </row>
    <row r="12983" ht="15.75" customHeight="1">
      <c r="A12983" s="2" t="s">
        <v>12983</v>
      </c>
      <c r="B12983" s="2" t="str">
        <f>IFERROR(__xludf.DUMMYFUNCTION("GOOGLETRANSLATE(A12983, ""en"", ""mt"")"),"Ktieb tad-Dixxiplina")</f>
        <v>Ktieb tad-Dixxiplina</v>
      </c>
    </row>
    <row r="12984" ht="15.75" customHeight="1">
      <c r="A12984" s="2" t="s">
        <v>12984</v>
      </c>
      <c r="B12984" s="2" t="str">
        <f>IFERROR(__xludf.DUMMYFUNCTION("GOOGLETRANSLATE(A12984, ""en"", ""mt"")"),"Talbiet territorjali konfliġġenti")</f>
        <v>Talbiet territorjali konfliġġenti</v>
      </c>
    </row>
    <row r="12985" ht="15.75" customHeight="1">
      <c r="A12985" s="2" t="s">
        <v>12985</v>
      </c>
      <c r="B12985" s="2" t="str">
        <f>IFERROR(__xludf.DUMMYFUNCTION("GOOGLETRANSLATE(A12985, ""en"", ""mt"")"),"L-espansjoni tal-Istati Uniti lejn il-punent tista 'titqies bħala x'tip ta' kolonjaliżmu?")</f>
        <v>L-espansjoni tal-Istati Uniti lejn il-punent tista 'titqies bħala x'tip ta' kolonjaliżmu?</v>
      </c>
    </row>
    <row r="12986" ht="15.75" customHeight="1">
      <c r="A12986" s="2" t="s">
        <v>12986</v>
      </c>
      <c r="B12986" s="2" t="str">
        <f>IFERROR(__xludf.DUMMYFUNCTION("GOOGLETRANSLATE(A12986, ""en"", ""mt"")"),"Meta sseħħ l-immunodefiċjenza?")</f>
        <v>Meta sseħħ l-immunodefiċjenza?</v>
      </c>
    </row>
    <row r="12987" ht="15.75" customHeight="1">
      <c r="A12987" s="2" t="s">
        <v>12987</v>
      </c>
      <c r="B12987" s="2" t="str">
        <f>IFERROR(__xludf.DUMMYFUNCTION("GOOGLETRANSLATE(A12987, ""en"", ""mt"")"),"pjanti modifikati ġenetikament")</f>
        <v>pjanti modifikati ġenetikament</v>
      </c>
    </row>
    <row r="12988" ht="15.75" customHeight="1">
      <c r="A12988" s="2" t="s">
        <v>12988</v>
      </c>
      <c r="B12988" s="2" t="str">
        <f>IFERROR(__xludf.DUMMYFUNCTION("GOOGLETRANSLATE(A12988, ""en"", ""mt"")"),"X'jiġri meta l-ħbub tal-lamtu jsiru kbar żżejjed?")</f>
        <v>X'jiġri meta l-ħbub tal-lamtu jsiru kbar żżejjed?</v>
      </c>
    </row>
    <row r="12989" ht="15.75" customHeight="1">
      <c r="A12989" s="2" t="s">
        <v>12989</v>
      </c>
      <c r="B12989" s="2" t="str">
        <f>IFERROR(__xludf.DUMMYFUNCTION("GOOGLETRANSLATE(A12989, ""en"", ""mt"")"),"Nuqqas ta 'fehim tar-ramifikazzjonijiet legali,")</f>
        <v>Nuqqas ta 'fehim tar-ramifikazzjonijiet legali,</v>
      </c>
    </row>
    <row r="12990" ht="15.75" customHeight="1">
      <c r="A12990" s="2" t="s">
        <v>12990</v>
      </c>
      <c r="B12990" s="2" t="str">
        <f>IFERROR(__xludf.DUMMYFUNCTION("GOOGLETRANSLATE(A12990, ""en"", ""mt"")"),"Lhudi")</f>
        <v>Lhudi</v>
      </c>
    </row>
    <row r="12991" ht="15.75" customHeight="1">
      <c r="A12991" s="2" t="s">
        <v>12991</v>
      </c>
      <c r="B12991" s="2" t="str">
        <f>IFERROR(__xludf.DUMMYFUNCTION("GOOGLETRANSLATE(A12991, ""en"", ""mt"")"),"X'tip ta 'komposti bħall-aċetun, fihom ossiġnu?")</f>
        <v>X'tip ta 'komposti bħall-aċetun, fihom ossiġnu?</v>
      </c>
    </row>
    <row r="12992" ht="15.75" customHeight="1">
      <c r="A12992" s="2" t="s">
        <v>12992</v>
      </c>
      <c r="B12992" s="2" t="str">
        <f>IFERROR(__xludf.DUMMYFUNCTION("GOOGLETRANSLATE(A12992, ""en"", ""mt"")"),"Kamra tal-kombustjoni")</f>
        <v>Kamra tal-kombustjoni</v>
      </c>
    </row>
    <row r="12993" ht="15.75" customHeight="1">
      <c r="A12993" s="2" t="s">
        <v>12993</v>
      </c>
      <c r="B12993" s="2" t="str">
        <f>IFERROR(__xludf.DUMMYFUNCTION("GOOGLETRANSLATE(A12993, ""en"", ""mt"")"),"X'tip ta 'għajxien jippromwovi ċ-ċikliżmu?")</f>
        <v>X'tip ta 'għajxien jippromwovi ċ-ċikliżmu?</v>
      </c>
    </row>
    <row r="12994" ht="15.75" customHeight="1">
      <c r="A12994" s="2" t="s">
        <v>12994</v>
      </c>
      <c r="B12994" s="2" t="str">
        <f>IFERROR(__xludf.DUMMYFUNCTION("GOOGLETRANSLATE(A12994, ""en"", ""mt"")"),"Liema forma hija l-kloroplasti ta 'Oedogonium?")</f>
        <v>Liema forma hija l-kloroplasti ta 'Oedogonium?</v>
      </c>
    </row>
    <row r="12995" ht="15.75" customHeight="1">
      <c r="A12995" s="2" t="s">
        <v>12995</v>
      </c>
      <c r="B12995" s="2" t="str">
        <f>IFERROR(__xludf.DUMMYFUNCTION("GOOGLETRANSLATE(A12995, ""en"", ""mt"")"),"sistema interna tat-tilakoid")</f>
        <v>sistema interna tat-tilakoid</v>
      </c>
    </row>
    <row r="12996" ht="15.75" customHeight="1">
      <c r="A12996" s="2" t="s">
        <v>12996</v>
      </c>
      <c r="B12996" s="2" t="str">
        <f>IFERROR(__xludf.DUMMYFUNCTION("GOOGLETRANSLATE(A12996, ""en"", ""mt"")"),"X'inhu l-wied alpin glaċjali magħruf bħala?")</f>
        <v>X'inhu l-wied alpin glaċjali magħruf bħala?</v>
      </c>
    </row>
    <row r="12997" ht="15.75" customHeight="1">
      <c r="A12997" s="2" t="s">
        <v>12997</v>
      </c>
      <c r="B12997" s="2" t="str">
        <f>IFERROR(__xludf.DUMMYFUNCTION("GOOGLETRANSLATE(A12997, ""en"", ""mt"")"),"Żieda fl-iskrutinju fuq imġieba ħażina tal-għalliema")</f>
        <v>Żieda fl-iskrutinju fuq imġieba ħażina tal-għalliema</v>
      </c>
    </row>
    <row r="12998" ht="15.75" customHeight="1">
      <c r="A12998" s="2" t="s">
        <v>12998</v>
      </c>
      <c r="B12998" s="2" t="str">
        <f>IFERROR(__xludf.DUMMYFUNCTION("GOOGLETRANSLATE(A12998, ""en"", ""mt"")"),"Ma 'liema proċess il-linja tad-difett ta' Rubisco jinterferixxi?")</f>
        <v>Ma 'liema proċess il-linja tad-difett ta' Rubisco jinterferixxi?</v>
      </c>
    </row>
    <row r="12999" ht="15.75" customHeight="1">
      <c r="A12999" s="2" t="s">
        <v>12999</v>
      </c>
      <c r="B12999" s="2" t="str">
        <f>IFERROR(__xludf.DUMMYFUNCTION("GOOGLETRANSLATE(A12999, ""en"", ""mt"")"),"il-kap tal-gvern kien ikun qed jaġixxi fil-kapaċità tagħha jew tiegħu bħala uffiċjal pubbliku")</f>
        <v>il-kap tal-gvern kien ikun qed jaġixxi fil-kapaċità tagħha jew tiegħu bħala uffiċjal pubbliku</v>
      </c>
    </row>
    <row r="13000" ht="15.75" customHeight="1">
      <c r="A13000" s="2" t="s">
        <v>13000</v>
      </c>
      <c r="B13000" s="2" t="str">
        <f>IFERROR(__xludf.DUMMYFUNCTION("GOOGLETRANSLATE(A13000, ""en"", ""mt"")"),"1 ta 'Frar, 2016")</f>
        <v>1 ta 'Frar, 2016</v>
      </c>
    </row>
    <row r="13001" ht="15.75" customHeight="1">
      <c r="A13001" s="2" t="s">
        <v>13001</v>
      </c>
      <c r="B13001" s="2" t="str">
        <f>IFERROR(__xludf.DUMMYFUNCTION("GOOGLETRANSLATE(A13001, ""en"", ""mt"")"),"art tal-gvern")</f>
        <v>art tal-gvern</v>
      </c>
    </row>
    <row r="13002" ht="15.75" customHeight="1">
      <c r="A13002" s="2" t="s">
        <v>13002</v>
      </c>
      <c r="B13002" s="2" t="str">
        <f>IFERROR(__xludf.DUMMYFUNCTION("GOOGLETRANSLATE(A13002, ""en"", ""mt"")"),"Datapac ġie żviluppat minn Bell Northern Research")</f>
        <v>Datapac ġie żviluppat minn Bell Northern Research</v>
      </c>
    </row>
    <row r="13003" ht="15.75" customHeight="1">
      <c r="A13003" s="2" t="s">
        <v>13003</v>
      </c>
      <c r="B13003" s="2" t="str">
        <f>IFERROR(__xludf.DUMMYFUNCTION("GOOGLETRANSLATE(A13003, ""en"", ""mt"")"),"X'inhi l-liġi msemmija li tiddefinixxi ħlas li jiċċaqlaq minn kamp manjetiku?")</f>
        <v>X'inhi l-liġi msemmija li tiddefinixxi ħlas li jiċċaqlaq minn kamp manjetiku?</v>
      </c>
    </row>
    <row r="13004" ht="15.75" customHeight="1">
      <c r="A13004" s="2" t="s">
        <v>13004</v>
      </c>
      <c r="B13004" s="2" t="str">
        <f>IFERROR(__xludf.DUMMYFUNCTION("GOOGLETRANSLATE(A13004, ""en"", ""mt"")"),"jibnu n-netwerks iddedikati tagħhom stess")</f>
        <v>jibnu n-netwerks iddedikati tagħhom stess</v>
      </c>
    </row>
    <row r="13005" ht="15.75" customHeight="1">
      <c r="A13005" s="2" t="s">
        <v>13005</v>
      </c>
      <c r="B13005" s="2" t="str">
        <f>IFERROR(__xludf.DUMMYFUNCTION("GOOGLETRANSLATE(A13005, ""en"", ""mt"")"),"Minbarra l-kombustjoni, għal liema azzjoni oħra Mayow wera lil Nitroaereus responsabbli?")</f>
        <v>Minbarra l-kombustjoni, għal liema azzjoni oħra Mayow wera lil Nitroaereus responsabbli?</v>
      </c>
    </row>
    <row r="13006" ht="15.75" customHeight="1">
      <c r="A13006" s="2" t="s">
        <v>13006</v>
      </c>
      <c r="B13006" s="2" t="str">
        <f>IFERROR(__xludf.DUMMYFUNCTION("GOOGLETRANSLATE(A13006, ""en"", ""mt"")"),"relazzjoni ta 'ċittadin mal-istat u l-liġijiet tiegħu,")</f>
        <v>relazzjoni ta 'ċittadin mal-istat u l-liġijiet tiegħu,</v>
      </c>
    </row>
    <row r="13007" ht="15.75" customHeight="1">
      <c r="A13007" s="2" t="s">
        <v>13007</v>
      </c>
      <c r="B13007" s="2" t="str">
        <f>IFERROR(__xludf.DUMMYFUNCTION("GOOGLETRANSLATE(A13007, ""en"", ""mt"")"),"Liema ġurnata l-ekwipaġġ Apollo 11 irritorna fid-Dinja?")</f>
        <v>Liema ġurnata l-ekwipaġġ Apollo 11 irritorna fid-Dinja?</v>
      </c>
    </row>
    <row r="13008" ht="15.75" customHeight="1">
      <c r="A13008" s="2" t="s">
        <v>13008</v>
      </c>
      <c r="B13008" s="2" t="str">
        <f>IFERROR(__xludf.DUMMYFUNCTION("GOOGLETRANSLATE(A13008, ""en"", ""mt"")"),"X'karattru manjetiku għandu triplet O2?")</f>
        <v>X'karattru manjetiku għandu triplet O2?</v>
      </c>
    </row>
    <row r="13009" ht="15.75" customHeight="1">
      <c r="A13009" s="2" t="s">
        <v>13009</v>
      </c>
      <c r="B13009" s="2" t="str">
        <f>IFERROR(__xludf.DUMMYFUNCTION("GOOGLETRANSLATE(A13009, ""en"", ""mt"")"),"Il-kriżi tal-enerġija")</f>
        <v>Il-kriżi tal-enerġija</v>
      </c>
    </row>
    <row r="13010" ht="15.75" customHeight="1">
      <c r="A13010" s="2" t="s">
        <v>13010</v>
      </c>
      <c r="B13010" s="2" t="str">
        <f>IFERROR(__xludf.DUMMYFUNCTION("GOOGLETRANSLATE(A13010, ""en"", ""mt"")"),"Liema marda weġġgħet fuq Manning li waqqfuh fil-Ġimgħa 10?")</f>
        <v>Liema marda weġġgħet fuq Manning li waqqfuh fil-Ġimgħa 10?</v>
      </c>
    </row>
    <row r="13011" ht="15.75" customHeight="1">
      <c r="A13011" s="2" t="s">
        <v>13011</v>
      </c>
      <c r="B13011" s="2" t="str">
        <f>IFERROR(__xludf.DUMMYFUNCTION("GOOGLETRANSLATE(A13011, ""en"", ""mt"")"),"It-Teorija tas-Sistemi Dinjija")</f>
        <v>It-Teorija tas-Sistemi Dinjija</v>
      </c>
    </row>
    <row r="13012" ht="15.75" customHeight="1">
      <c r="A13012" s="2" t="s">
        <v>13012</v>
      </c>
      <c r="B13012" s="2" t="str">
        <f>IFERROR(__xludf.DUMMYFUNCTION("GOOGLETRANSLATE(A13012, ""en"", ""mt"")"),"Familji bl-ismijiet Franċiżi fl-Afrika t'Isfel jitkellmu liema lingwa llum?")</f>
        <v>Familji bl-ismijiet Franċiżi fl-Afrika t'Isfel jitkellmu liema lingwa llum?</v>
      </c>
    </row>
    <row r="13013" ht="15.75" customHeight="1">
      <c r="A13013" s="2" t="s">
        <v>13013</v>
      </c>
      <c r="B13013" s="2" t="str">
        <f>IFERROR(__xludf.DUMMYFUNCTION("GOOGLETRANSLATE(A13013, ""en"", ""mt"")"),"Il-kostruzzjoni hija l-proċess tal-kostruzzjoni ta 'bini jew infrastruttura. Il-kostruzzjoni hija differenti mill-manifattura minħabba li l-manifattura tipikament tinvolvi produzzjoni tal-massa ta 'oġġetti simili mingħajr xerrej magħżul, filwaqt li l-kost"&amp;"ruzzjoni tipikament isseħħ fuq il-post għal klijent magħruf. Il-kostruzzjoni bħala industrija tinkludi sitta sa disa 'fil-mija tal-prodott domestiku gross ta' pajjiżi żviluppati. Il-kostruzzjoni tibda bl-ippjanar, [ċitazzjoni meħtieġa] disinn, u tiffinanz"&amp;"ja u tkompli sakemm il-proġett ikun mibni u lest għall-użu.")</f>
        <v>Il-kostruzzjoni hija l-proċess tal-kostruzzjoni ta 'bini jew infrastruttura. Il-kostruzzjoni hija differenti mill-manifattura minħabba li l-manifattura tipikament tinvolvi produzzjoni tal-massa ta 'oġġetti simili mingħajr xerrej magħżul, filwaqt li l-kostruzzjoni tipikament isseħħ fuq il-post għal klijent magħruf. Il-kostruzzjoni bħala industrija tinkludi sitta sa disa 'fil-mija tal-prodott domestiku gross ta' pajjiżi żviluppati. Il-kostruzzjoni tibda bl-ippjanar, [ċitazzjoni meħtieġa] disinn, u tiffinanzja u tkompli sakemm il-proġett ikun mibni u lest għall-użu.</v>
      </c>
    </row>
    <row r="13014" ht="15.75" customHeight="1">
      <c r="A13014" s="2" t="s">
        <v>13014</v>
      </c>
      <c r="B13014" s="2" t="str">
        <f>IFERROR(__xludf.DUMMYFUNCTION("GOOGLETRANSLATE(A13014, ""en"", ""mt"")"),"Kemm siti l-NFL naqas il-post tas-Super Bowl 50?")</f>
        <v>Kemm siti l-NFL naqas il-post tas-Super Bowl 50?</v>
      </c>
    </row>
    <row r="13015" ht="15.75" customHeight="1">
      <c r="A13015" s="2" t="s">
        <v>13015</v>
      </c>
      <c r="B13015" s="2" t="str">
        <f>IFERROR(__xludf.DUMMYFUNCTION("GOOGLETRANSLATE(A13015, ""en"", ""mt"")"),"Meta kien il-ftehim biex takkwista ABC approvat mill-bord tal-UPT?")</f>
        <v>Meta kien il-ftehim biex takkwista ABC approvat mill-bord tal-UPT?</v>
      </c>
    </row>
    <row r="13016" ht="15.75" customHeight="1">
      <c r="A13016" s="2" t="s">
        <v>13016</v>
      </c>
      <c r="B13016" s="2" t="str">
        <f>IFERROR(__xludf.DUMMYFUNCTION("GOOGLETRANSLATE(A13016, ""en"", ""mt"")"),"Premju Nobel")</f>
        <v>Premju Nobel</v>
      </c>
    </row>
    <row r="13017" ht="15.75" customHeight="1">
      <c r="A13017" s="2" t="s">
        <v>13017</v>
      </c>
      <c r="B13017" s="2" t="str">
        <f>IFERROR(__xludf.DUMMYFUNCTION("GOOGLETRANSLATE(A13017, ""en"", ""mt"")"),"Kemm kien stmat it-terremot tal-1994 li kien jiswa?")</f>
        <v>Kemm kien stmat it-terremot tal-1994 li kien jiswa?</v>
      </c>
    </row>
    <row r="13018" ht="15.75" customHeight="1">
      <c r="A13018" s="2" t="s">
        <v>13018</v>
      </c>
      <c r="B13018" s="2" t="str">
        <f>IFERROR(__xludf.DUMMYFUNCTION("GOOGLETRANSLATE(A13018, ""en"", ""mt"")"),"Konċentrat o
2 se tippermetti li l-kombustjoni tipproċedi malajr u b'mod enerġetiku. Pajpijiet tal-azzar u bastimenti tal-ħażna użati biex jaħżnu u jittrasmettu kemm ossiġnu gassuż kif ukoll likwidu jaġixxu bħala fjuwil; u għalhekk id-disinn u l-manifattu"&amp;"ra ta 'o
2 sistemi jeħtieġ taħriġ speċjali biex jiżguraw li s-sorsi tat-tqabbid jiġu mminimizzati. In-nar li qatel l-ekwipaġġ ta 'Apollo 1 fit-test tal-pad tal-varar infirex daqshekk malajr minħabba li l-kapsula ġiet taħt pressjoni b'O pur
2 iżda bi ftit "&amp;"iktar mill-pressjoni atmosferika, minflok il-pressjoni normali ta '1⁄3 li kienet tintuża f'missjoni. [K]")</f>
        <v>Konċentrat o
2 se tippermetti li l-kombustjoni tipproċedi malajr u b'mod enerġetiku. Pajpijiet tal-azzar u bastimenti tal-ħażna użati biex jaħżnu u jittrasmettu kemm ossiġnu gassuż kif ukoll likwidu jaġixxu bħala fjuwil; u għalhekk id-disinn u l-manifattura ta 'o
2 sistemi jeħtieġ taħriġ speċjali biex jiżguraw li s-sorsi tat-tqabbid jiġu mminimizzati. In-nar li qatel l-ekwipaġġ ta 'Apollo 1 fit-test tal-pad tal-varar infirex daqshekk malajr minħabba li l-kapsula ġiet taħt pressjoni b'O pur
2 iżda bi ftit iktar mill-pressjoni atmosferika, minflok il-pressjoni normali ta '1⁄3 li kienet tintuża f'missjoni. [K]</v>
      </c>
    </row>
    <row r="13019" ht="15.75" customHeight="1">
      <c r="A13019" s="2" t="s">
        <v>13019</v>
      </c>
      <c r="B13019" s="2" t="str">
        <f>IFERROR(__xludf.DUMMYFUNCTION("GOOGLETRANSLATE(A13019, ""en"", ""mt"")"),"30 sekonda")</f>
        <v>30 sekonda</v>
      </c>
    </row>
    <row r="13020" ht="15.75" customHeight="1">
      <c r="A13020" s="2" t="s">
        <v>13020</v>
      </c>
      <c r="B13020" s="2" t="str">
        <f>IFERROR(__xludf.DUMMYFUNCTION("GOOGLETRANSLATE(A13020, ""en"", ""mt"")"),"Kumpanija Ohio,")</f>
        <v>Kumpanija Ohio,</v>
      </c>
    </row>
    <row r="13021" ht="15.75" customHeight="1">
      <c r="A13021" s="2" t="s">
        <v>13021</v>
      </c>
      <c r="B13021" s="2" t="str">
        <f>IFERROR(__xludf.DUMMYFUNCTION("GOOGLETRANSLATE(A13021, ""en"", ""mt"")"),"Kosta tal-Lvant")</f>
        <v>Kosta tal-Lvant</v>
      </c>
    </row>
    <row r="13022" ht="15.75" customHeight="1">
      <c r="A13022" s="2" t="s">
        <v>13022</v>
      </c>
      <c r="B13022" s="2" t="str">
        <f>IFERROR(__xludf.DUMMYFUNCTION("GOOGLETRANSLATE(A13022, ""en"", ""mt"")"),"X’għamel l-emigrazzjoni lejn dawn il-kolonji attraenti?")</f>
        <v>X’għamel l-emigrazzjoni lejn dawn il-kolonji attraenti?</v>
      </c>
    </row>
    <row r="13023" ht="15.75" customHeight="1">
      <c r="A13023" s="2" t="s">
        <v>13023</v>
      </c>
      <c r="B13023" s="2" t="str">
        <f>IFERROR(__xludf.DUMMYFUNCTION("GOOGLETRANSLATE(A13023, ""en"", ""mt"")"),"1523 Adattament tal-Quddiesa Latina")</f>
        <v>1523 Adattament tal-Quddiesa Latina</v>
      </c>
    </row>
    <row r="13024" ht="15.75" customHeight="1">
      <c r="A13024" s="2" t="s">
        <v>13024</v>
      </c>
      <c r="B13024" s="2" t="str">
        <f>IFERROR(__xludf.DUMMYFUNCTION("GOOGLETRANSLATE(A13024, ""en"", ""mt"")"),"Il-kunċett ta 'inerzja jista' jiġi ġeneralizzat aktar biex jispjega t-tendenza ta 'oġġetti li jkomplu f'ħafna forom differenti ta' moviment kostanti, anke dawk li mhumiex veloċità strettament kostanti. L-inerzja rotazzjonali tal-pjaneta tad-Dinja hija dik"&amp;" li tiffissa l-kostanza tat-tul ta 'ġurnata u t-tul ta' sena. Albert Einstein estenda l-prinċipju ta 'l-inerzja aktar meta spjega li l-oqfsa ta' referenza soġġetti għal aċċellerazzjoni kostanti, bħal dawk li jaqgħu ħielsa lejn oġġett li jxaqilbu, kienu fi"&amp;"żikament ekwivalenti għal frejms ta 'referenza inerzjali. Din hija r-raġuni għaliex, pereżempju, l-astronawti jesperjenzaw piż żejjed meta jkunu fl-orbita tal-waqgħa ħielsa madwar id-Dinja, u għaliex il-liġijiet tal-moviment ta 'Newton huma aktar faċilmen"&amp;"t diskussi f'ambjenti bħal dawn. Jekk astronawt ipoġġi oġġett bil-massa f'nofs l-arja ħdejh innifsu, jibqa 'wieqaf fir-rigward tal-astronawt minħabba l-inerzja tiegħu. Din hija l-istess ħaġa li sseħħ jekk l-astronawt u l-oġġett kienu fi spazju intergalatt"&amp;"iku mingħajr l-ebda forza netta tal-gravità li taġixxi fuq il-qafas ta 'referenza komuni tagħhom. Dan il-prinċipju ta 'ekwivalenza kien wieħed mill-irfid fundamentali għall-iżvilupp tat-teorija ġenerali tar-relatività.")</f>
        <v>Il-kunċett ta 'inerzja jista' jiġi ġeneralizzat aktar biex jispjega t-tendenza ta 'oġġetti li jkomplu f'ħafna forom differenti ta' moviment kostanti, anke dawk li mhumiex veloċità strettament kostanti. L-inerzja rotazzjonali tal-pjaneta tad-Dinja hija dik li tiffissa l-kostanza tat-tul ta 'ġurnata u t-tul ta' sena. Albert Einstein estenda l-prinċipju ta 'l-inerzja aktar meta spjega li l-oqfsa ta' referenza soġġetti għal aċċellerazzjoni kostanti, bħal dawk li jaqgħu ħielsa lejn oġġett li jxaqilbu, kienu fiżikament ekwivalenti għal frejms ta 'referenza inerzjali. Din hija r-raġuni għaliex, pereżempju, l-astronawti jesperjenzaw piż żejjed meta jkunu fl-orbita tal-waqgħa ħielsa madwar id-Dinja, u għaliex il-liġijiet tal-moviment ta 'Newton huma aktar faċilment diskussi f'ambjenti bħal dawn. Jekk astronawt ipoġġi oġġett bil-massa f'nofs l-arja ħdejh innifsu, jibqa 'wieqaf fir-rigward tal-astronawt minħabba l-inerzja tiegħu. Din hija l-istess ħaġa li sseħħ jekk l-astronawt u l-oġġett kienu fi spazju intergalattiku mingħajr l-ebda forza netta tal-gravità li taġixxi fuq il-qafas ta 'referenza komuni tagħhom. Dan il-prinċipju ta 'ekwivalenza kien wieħed mill-irfid fundamentali għall-iżvilupp tat-teorija ġenerali tar-relatività.</v>
      </c>
    </row>
    <row r="13025" ht="15.75" customHeight="1">
      <c r="A13025" s="2" t="s">
        <v>13025</v>
      </c>
      <c r="B13025" s="2" t="str">
        <f>IFERROR(__xludf.DUMMYFUNCTION("GOOGLETRANSLATE(A13025, ""en"", ""mt"")"),"immuntat mill-ġdid")</f>
        <v>immuntat mill-ġdid</v>
      </c>
    </row>
    <row r="13026" ht="15.75" customHeight="1">
      <c r="A13026" s="2" t="s">
        <v>13026</v>
      </c>
      <c r="B13026" s="2" t="str">
        <f>IFERROR(__xludf.DUMMYFUNCTION("GOOGLETRANSLATE(A13026, ""en"", ""mt"")"),"X'inhuma l-iskejjel privati ​​li jitolbu l-ebda tagħlim?")</f>
        <v>X'inhuma l-iskejjel privati ​​li jitolbu l-ebda tagħlim?</v>
      </c>
    </row>
    <row r="13027" ht="15.75" customHeight="1">
      <c r="A13027" s="2" t="s">
        <v>13027</v>
      </c>
      <c r="B13027" s="2" t="str">
        <f>IFERROR(__xludf.DUMMYFUNCTION("GOOGLETRANSLATE(A13027, ""en"", ""mt"")"),"eventwalment jonqos")</f>
        <v>eventwalment jonqos</v>
      </c>
    </row>
    <row r="13028" ht="15.75" customHeight="1">
      <c r="A13028" s="2" t="s">
        <v>13028</v>
      </c>
      <c r="B13028" s="2" t="str">
        <f>IFERROR(__xludf.DUMMYFUNCTION("GOOGLETRANSLATE(A13028, ""en"", ""mt"")"),"żewġ innijiet")</f>
        <v>żewġ innijiet</v>
      </c>
    </row>
    <row r="13029" ht="15.75" customHeight="1">
      <c r="A13029" s="2" t="s">
        <v>13029</v>
      </c>
      <c r="B13029" s="2" t="str">
        <f>IFERROR(__xludf.DUMMYFUNCTION("GOOGLETRANSLATE(A13029, ""en"", ""mt"")"),"il-Ġermaniż Te Deum")</f>
        <v>il-Ġermaniż Te Deum</v>
      </c>
    </row>
    <row r="13030" ht="15.75" customHeight="1">
      <c r="A13030" s="2" t="s">
        <v>13030</v>
      </c>
      <c r="B13030" s="2" t="str">
        <f>IFERROR(__xludf.DUMMYFUNCTION("GOOGLETRANSLATE(A13030, ""en"", ""mt"")"),"L-ispettaklu tard tard ma 'James Corden.")</f>
        <v>L-ispettaklu tard tard ma 'James Corden.</v>
      </c>
    </row>
    <row r="13031" ht="15.75" customHeight="1">
      <c r="A13031" s="2" t="s">
        <v>13031</v>
      </c>
      <c r="B13031" s="2" t="str">
        <f>IFERROR(__xludf.DUMMYFUNCTION("GOOGLETRANSLATE(A13031, ""en"", ""mt"")"),"kważi miljun u nofs")</f>
        <v>kważi miljun u nofs</v>
      </c>
    </row>
    <row r="13032" ht="15.75" customHeight="1">
      <c r="A13032" s="2" t="s">
        <v>13032</v>
      </c>
      <c r="B13032" s="2" t="str">
        <f>IFERROR(__xludf.DUMMYFUNCTION("GOOGLETRANSLATE(A13032, ""en"", ""mt"")"),"Liema skejjel ta 'skejjel preparatorji jħejju tfal Ingliżi biex jattendu?")</f>
        <v>Liema skejjel ta 'skejjel preparatorji jħejju tfal Ingliżi biex jattendu?</v>
      </c>
    </row>
    <row r="13033" ht="15.75" customHeight="1">
      <c r="A13033" s="2" t="s">
        <v>13033</v>
      </c>
      <c r="B13033" s="2" t="str">
        <f>IFERROR(__xludf.DUMMYFUNCTION("GOOGLETRANSLATE(A13033, ""en"", ""mt"")"),"Fejn Canonball waqa 'mill-bejta ta' vapur fil-fatt l-art?")</f>
        <v>Fejn Canonball waqa 'mill-bejta ta' vapur fil-fatt l-art?</v>
      </c>
    </row>
    <row r="13034" ht="15.75" customHeight="1">
      <c r="A13034" s="2" t="s">
        <v>13034</v>
      </c>
      <c r="B13034" s="2" t="str">
        <f>IFERROR(__xludf.DUMMYFUNCTION("GOOGLETRANSLATE(A13034, ""en"", ""mt"")"),"Fejn ingħaqad fid-direzzjoni tal-fluss tiegħu?")</f>
        <v>Fejn ingħaqad fid-direzzjoni tal-fluss tiegħu?</v>
      </c>
    </row>
    <row r="13035" ht="15.75" customHeight="1">
      <c r="A13035" s="2" t="s">
        <v>13035</v>
      </c>
      <c r="B13035" s="2" t="str">
        <f>IFERROR(__xludf.DUMMYFUNCTION("GOOGLETRANSLATE(A13035, ""en"", ""mt"")"),"X'inhuma l-espressjonijiet dgħajfa u elettromatiċi tal-forzi?")</f>
        <v>X'inhuma l-espressjonijiet dgħajfa u elettromatiċi tal-forzi?</v>
      </c>
    </row>
    <row r="13036" ht="15.75" customHeight="1">
      <c r="A13036" s="2" t="s">
        <v>13036</v>
      </c>
      <c r="B13036" s="2" t="str">
        <f>IFERROR(__xludf.DUMMYFUNCTION("GOOGLETRANSLATE(A13036, ""en"", ""mt"")"),"L-istoriku Francis Aidan Gasquet kiteb dwar il-'Pestilenza l-Kbira 'fl-1893 u ssuġġerixxa li ""jidher li hija xi forma tal-pesta ordinarja tal-Lvant jew Buboniku"". Huwa kien kapaċi jadotta l-epidemjoloġija tal-pesta bubonika għall-mewt sewda għat-tieni e"&amp;"dizzjoni fl-1908, li implikat firien u briegħed fil-proċess, u l-interpretazzjoni tiegħu kienet aċċettata b'mod wiesa 'għal epidemiji antiki u medjevali oħra, bħall-pesta Justinian li kienet Prevalenti fl-Imperu Ruman tal-Lvant minn 541 sa 700 CE.")</f>
        <v>L-istoriku Francis Aidan Gasquet kiteb dwar il-'Pestilenza l-Kbira 'fl-1893 u ssuġġerixxa li "jidher li hija xi forma tal-pesta ordinarja tal-Lvant jew Buboniku". Huwa kien kapaċi jadotta l-epidemjoloġija tal-pesta bubonika għall-mewt sewda għat-tieni edizzjoni fl-1908, li implikat firien u briegħed fil-proċess, u l-interpretazzjoni tiegħu kienet aċċettata b'mod wiesa 'għal epidemiji antiki u medjevali oħra, bħall-pesta Justinian li kienet Prevalenti fl-Imperu Ruman tal-Lvant minn 541 sa 700 CE.</v>
      </c>
    </row>
    <row r="13037" ht="15.75" customHeight="1">
      <c r="A13037" s="2" t="s">
        <v>13037</v>
      </c>
      <c r="B13037" s="2" t="str">
        <f>IFERROR(__xludf.DUMMYFUNCTION("GOOGLETRANSLATE(A13037, ""en"", ""mt"")"),"miljuni")</f>
        <v>miljuni</v>
      </c>
    </row>
    <row r="13038" ht="15.75" customHeight="1">
      <c r="A13038" s="2" t="s">
        <v>13038</v>
      </c>
      <c r="B13038" s="2" t="str">
        <f>IFERROR(__xludf.DUMMYFUNCTION("GOOGLETRANSLATE(A13038, ""en"", ""mt"")"),"Sky_ (United_Kingdom)")</f>
        <v>Sky_ (United_Kingdom)</v>
      </c>
    </row>
    <row r="13039" ht="15.75" customHeight="1">
      <c r="A13039" s="2" t="s">
        <v>13039</v>
      </c>
      <c r="B13039" s="2" t="str">
        <f>IFERROR(__xludf.DUMMYFUNCTION("GOOGLETRANSLATE(A13039, ""en"", ""mt"")"),"Nazzjonijiet industrijalizzati żiedu r-riservi tagħhom")</f>
        <v>Nazzjonijiet industrijalizzati żiedu r-riservi tagħhom</v>
      </c>
    </row>
    <row r="13040" ht="15.75" customHeight="1">
      <c r="A13040" s="2" t="s">
        <v>13040</v>
      </c>
      <c r="B13040" s="2" t="str">
        <f>IFERROR(__xludf.DUMMYFUNCTION("GOOGLETRANSLATE(A13040, ""en"", ""mt"")"),"Art tal-Punent mill-Medju Evu sal-Preżent")</f>
        <v>Art tal-Punent mill-Medju Evu sal-Preżent</v>
      </c>
    </row>
    <row r="13041" ht="15.75" customHeight="1">
      <c r="A13041" s="2" t="s">
        <v>13041</v>
      </c>
      <c r="B13041" s="2" t="str">
        <f>IFERROR(__xludf.DUMMYFUNCTION("GOOGLETRANSLATE(A13041, ""en"", ""mt"")"),"ribelljoni Iżlamika")</f>
        <v>ribelljoni Iżlamika</v>
      </c>
    </row>
    <row r="13042" ht="15.75" customHeight="1">
      <c r="A13042" s="2" t="s">
        <v>13042</v>
      </c>
      <c r="B13042" s="2" t="str">
        <f>IFERROR(__xludf.DUMMYFUNCTION("GOOGLETRANSLATE(A13042, ""en"", ""mt"")"),"gass ​​serra")</f>
        <v>gass ​​serra</v>
      </c>
    </row>
    <row r="13043" ht="15.75" customHeight="1">
      <c r="A13043" s="2" t="s">
        <v>13043</v>
      </c>
      <c r="B13043" s="2" t="str">
        <f>IFERROR(__xludf.DUMMYFUNCTION("GOOGLETRANSLATE(A13043, ""en"", ""mt"")"),"Eukaryote mhux fotosintetiku ħakem alka li fiha l-kloroplast iżda naqset milli tiddiġerixxiha")</f>
        <v>Eukaryote mhux fotosintetiku ħakem alka li fiha l-kloroplast iżda naqset milli tiddiġerixxiha</v>
      </c>
    </row>
    <row r="13044" ht="15.75" customHeight="1">
      <c r="A13044" s="2" t="s">
        <v>13044</v>
      </c>
      <c r="B13044" s="2" t="str">
        <f>IFERROR(__xludf.DUMMYFUNCTION("GOOGLETRANSLATE(A13044, ""en"", ""mt"")"),"Iż-żejt kien ipprezzat f'dollari, id-dħul reali tal-produtturi taż-żejt naqas")</f>
        <v>Iż-żejt kien ipprezzat f'dollari, id-dħul reali tal-produtturi taż-żejt naqas</v>
      </c>
    </row>
    <row r="13045" ht="15.75" customHeight="1">
      <c r="A13045" s="2" t="s">
        <v>13045</v>
      </c>
      <c r="B13045" s="2" t="str">
        <f>IFERROR(__xludf.DUMMYFUNCTION("GOOGLETRANSLATE(A13045, ""en"", ""mt"")"),"Is-servizz tan-netwerk tas-sinsla b'veloċità għolja ħafna")</f>
        <v>Is-servizz tan-netwerk tas-sinsla b'veloċità għolja ħafna</v>
      </c>
    </row>
    <row r="13046" ht="15.75" customHeight="1">
      <c r="A13046" s="2" t="s">
        <v>13046</v>
      </c>
      <c r="B13046" s="2" t="str">
        <f>IFERROR(__xludf.DUMMYFUNCTION("GOOGLETRANSLATE(A13046, ""en"", ""mt"")"),"X'inhi dik il-qawwa li tippermettilna nħobbu?")</f>
        <v>X'inhi dik il-qawwa li tippermettilna nħobbu?</v>
      </c>
    </row>
    <row r="13047" ht="15.75" customHeight="1">
      <c r="A13047" s="2" t="s">
        <v>13047</v>
      </c>
      <c r="B13047" s="2" t="str">
        <f>IFERROR(__xludf.DUMMYFUNCTION("GOOGLETRANSLATE(A13047, ""en"", ""mt"")"),"X'għandu jsir biex issir il-liġi mhux pubblika rikonoxxuta bħala diżubbidjenza ċivili?")</f>
        <v>X'għandu jsir biex issir il-liġi mhux pubblika rikonoxxuta bħala diżubbidjenza ċivili?</v>
      </c>
    </row>
    <row r="13048" ht="15.75" customHeight="1">
      <c r="A13048" s="2" t="s">
        <v>13048</v>
      </c>
      <c r="B13048" s="2" t="str">
        <f>IFERROR(__xludf.DUMMYFUNCTION("GOOGLETRANSLATE(A13048, ""en"", ""mt"")"),"Il-livelli tal-popolazzjoni jibdew jonqsu għal livell sostenibbli")</f>
        <v>Il-livelli tal-popolazzjoni jibdew jonqsu għal livell sostenibbli</v>
      </c>
    </row>
    <row r="13049" ht="15.75" customHeight="1">
      <c r="A13049" s="2" t="s">
        <v>13049</v>
      </c>
      <c r="B13049" s="2" t="str">
        <f>IFERROR(__xludf.DUMMYFUNCTION("GOOGLETRANSLATE(A13049, ""en"", ""mt"")"),"Fuq bażi gradwali")</f>
        <v>Fuq bażi gradwali</v>
      </c>
    </row>
    <row r="13050" ht="15.75" customHeight="1">
      <c r="A13050" s="2" t="s">
        <v>13050</v>
      </c>
      <c r="B13050" s="2" t="str">
        <f>IFERROR(__xludf.DUMMYFUNCTION("GOOGLETRANSLATE(A13050, ""en"", ""mt"")"),"Meta ġiet skoperta r-Rhine l-ewwel?")</f>
        <v>Meta ġiet skoperta r-Rhine l-ewwel?</v>
      </c>
    </row>
    <row r="13051" ht="15.75" customHeight="1">
      <c r="A13051" s="2" t="s">
        <v>13051</v>
      </c>
      <c r="B13051" s="2" t="str">
        <f>IFERROR(__xludf.DUMMYFUNCTION("GOOGLETRANSLATE(A13051, ""en"", ""mt"")"),"400 AD għall-1914")</f>
        <v>400 AD għall-1914</v>
      </c>
    </row>
    <row r="13052" ht="15.75" customHeight="1">
      <c r="A13052" s="2" t="s">
        <v>13052</v>
      </c>
      <c r="B13052" s="2" t="str">
        <f>IFERROR(__xludf.DUMMYFUNCTION("GOOGLETRANSLATE(A13052, ""en"", ""mt"")"),"11-il miljun klijent")</f>
        <v>11-il miljun klijent</v>
      </c>
    </row>
    <row r="13053" ht="15.75" customHeight="1">
      <c r="A13053" s="2" t="s">
        <v>13053</v>
      </c>
      <c r="B13053" s="2" t="str">
        <f>IFERROR(__xludf.DUMMYFUNCTION("GOOGLETRANSLATE(A13053, ""en"", ""mt"")"),"Matul l-istadju tal-kompressjoni huwa meħtieġ xogħol relattivament żgħir biex issuq il-pompa")</f>
        <v>Matul l-istadju tal-kompressjoni huwa meħtieġ xogħol relattivament żgħir biex issuq il-pompa</v>
      </c>
    </row>
    <row r="13054" ht="15.75" customHeight="1">
      <c r="A13054" s="2" t="s">
        <v>13054</v>
      </c>
      <c r="B13054" s="2" t="str">
        <f>IFERROR(__xludf.DUMMYFUNCTION("GOOGLETRANSLATE(A13054, ""en"", ""mt"")"),"Truppi Ingliżi")</f>
        <v>Truppi Ingliżi</v>
      </c>
    </row>
    <row r="13055" ht="15.75" customHeight="1">
      <c r="A13055" s="2" t="s">
        <v>13055</v>
      </c>
      <c r="B13055" s="2" t="str">
        <f>IFERROR(__xludf.DUMMYFUNCTION("GOOGLETRANSLATE(A13055, ""en"", ""mt"")"),"Huwa baqa 'ħaj minn ħafna gwerer, kunflitti u invażjonijiet")</f>
        <v>Huwa baqa 'ħaj minn ħafna gwerer, kunflitti u invażjonijiet</v>
      </c>
    </row>
    <row r="13056" ht="15.75" customHeight="1">
      <c r="A13056" s="2" t="s">
        <v>13056</v>
      </c>
      <c r="B13056" s="2" t="str">
        <f>IFERROR(__xludf.DUMMYFUNCTION("GOOGLETRANSLATE(A13056, ""en"", ""mt"")"),"Għal liema tip ta 'teknoloġija li ħadem fuq Tesla rreferiet it-titolu?")</f>
        <v>Għal liema tip ta 'teknoloġija li ħadem fuq Tesla rreferiet it-titolu?</v>
      </c>
    </row>
    <row r="13057" ht="15.75" customHeight="1">
      <c r="A13057" s="2" t="s">
        <v>13057</v>
      </c>
      <c r="B13057" s="2" t="str">
        <f>IFERROR(__xludf.DUMMYFUNCTION("GOOGLETRANSLATE(A13057, ""en"", ""mt"")"),"F'nofs is-snin 1950, Frank Burnet, ispirat minn suġġeriment magħmul minn Niels Jerne, ifformula t-teorija tal-għażla klonali (CST) tal-immunità. Fuq il-bażi ta 'CST, Burnet żviluppa teorija ta' kif rispons immuni huwa kkawżat skond id-distinzjoni ta 'self"&amp;" / nonself: kostitwenti ""awto"" (kostitwenti tal-ġisem) ma jikkawżawx risponsi immuni distruttivi, filwaqt li ""mhux"" entitajiet (patoġeni, allograft) iqanqal rispons immuni distruttiv. It-teorija ġiet modifikata aktar tard biex tirrifletti skoperti ġod"&amp;"da rigward l-istokompatibilità jew l-attivazzjoni kumplessa ""b'żewġ sinjali"" taċ-ċelloli T. It-teorija ta 'l-immunità u n-nuqqas ta' l-immunità u l-vokabularju nfisha / nonself ġew ikkritikati, iżda jibqgħu influwenti ħafna.")</f>
        <v>F'nofs is-snin 1950, Frank Burnet, ispirat minn suġġeriment magħmul minn Niels Jerne, ifformula t-teorija tal-għażla klonali (CST) tal-immunità. Fuq il-bażi ta 'CST, Burnet żviluppa teorija ta' kif rispons immuni huwa kkawżat skond id-distinzjoni ta 'self / nonself: kostitwenti "awto" (kostitwenti tal-ġisem) ma jikkawżawx risponsi immuni distruttivi, filwaqt li "mhux" entitajiet (patoġeni, allograft) iqanqal rispons immuni distruttiv. It-teorija ġiet modifikata aktar tard biex tirrifletti skoperti ġodda rigward l-istokompatibilità jew l-attivazzjoni kumplessa "b'żewġ sinjali" taċ-ċelloli T. It-teorija ta 'l-immunità u n-nuqqas ta' l-immunità u l-vokabularju nfisha / nonself ġew ikkritikati, iżda jibqgħu influwenti ħafna.</v>
      </c>
    </row>
    <row r="13058" ht="15.75" customHeight="1">
      <c r="A13058" s="2" t="s">
        <v>13058</v>
      </c>
      <c r="B13058" s="2" t="str">
        <f>IFERROR(__xludf.DUMMYFUNCTION("GOOGLETRANSLATE(A13058, ""en"", ""mt"")"),"Meta ssir il-ġurnata tal-midja tal-logħba ġeneralment miżmuma?")</f>
        <v>Meta ssir il-ġurnata tal-midja tal-logħba ġeneralment miżmuma?</v>
      </c>
    </row>
    <row r="13059" ht="15.75" customHeight="1">
      <c r="A13059" s="2" t="s">
        <v>13059</v>
      </c>
      <c r="B13059" s="2" t="str">
        <f>IFERROR(__xludf.DUMMYFUNCTION("GOOGLETRANSLATE(A13059, ""en"", ""mt"")"),"Uża Sickles biex tiddefla wieħed mill-koppli l-kbar")</f>
        <v>Uża Sickles biex tiddefla wieħed mill-koppli l-kbar</v>
      </c>
    </row>
    <row r="13060" ht="15.75" customHeight="1">
      <c r="A13060" s="2" t="s">
        <v>13060</v>
      </c>
      <c r="B13060" s="2" t="str">
        <f>IFERROR(__xludf.DUMMYFUNCTION("GOOGLETRANSLATE(A13060, ""en"", ""mt"")"),"874.3 mil kwadru")</f>
        <v>874.3 mil kwadru</v>
      </c>
    </row>
    <row r="13061" ht="15.75" customHeight="1">
      <c r="A13061" s="2" t="s">
        <v>13061</v>
      </c>
      <c r="B13061" s="2" t="str">
        <f>IFERROR(__xludf.DUMMYFUNCTION("GOOGLETRANSLATE(A13061, ""en"", ""mt"")"),"Midalja tas-servizz distinta,")</f>
        <v>Midalja tas-servizz distinta,</v>
      </c>
    </row>
    <row r="13062" ht="15.75" customHeight="1">
      <c r="A13062" s="2" t="s">
        <v>13062</v>
      </c>
      <c r="B13062" s="2" t="str">
        <f>IFERROR(__xludf.DUMMYFUNCTION("GOOGLETRANSLATE(A13062, ""en"", ""mt"")"),"Capital City u ABC biegħu l-istazzjonijiet WXYZ-TV u WFTS-TV lil liema kumpanija?")</f>
        <v>Capital City u ABC biegħu l-istazzjonijiet WXYZ-TV u WFTS-TV lil liema kumpanija?</v>
      </c>
    </row>
    <row r="13063" ht="15.75" customHeight="1">
      <c r="A13063" s="2" t="s">
        <v>13063</v>
      </c>
      <c r="B13063" s="2" t="str">
        <f>IFERROR(__xludf.DUMMYFUNCTION("GOOGLETRANSLATE(A13063, ""en"", ""mt"")"),"Tratturi tar-razzett")</f>
        <v>Tratturi tar-razzett</v>
      </c>
    </row>
    <row r="13064" ht="15.75" customHeight="1">
      <c r="A13064" s="2" t="s">
        <v>13064</v>
      </c>
      <c r="B13064" s="2" t="str">
        <f>IFERROR(__xludf.DUMMYFUNCTION("GOOGLETRANSLATE(A13064, ""en"", ""mt"")"),"Kumitati")</f>
        <v>Kumitati</v>
      </c>
    </row>
    <row r="13065" ht="15.75" customHeight="1">
      <c r="A13065" s="2" t="s">
        <v>13065</v>
      </c>
      <c r="B13065" s="2" t="str">
        <f>IFERROR(__xludf.DUMMYFUNCTION("GOOGLETRANSLATE(A13065, ""en"", ""mt"")"),"Abolizzjoni tal-Kalifat Ottoman")</f>
        <v>Abolizzjoni tal-Kalifat Ottoman</v>
      </c>
    </row>
    <row r="13066" ht="15.75" customHeight="1">
      <c r="A13066" s="2" t="s">
        <v>13066</v>
      </c>
      <c r="B13066" s="2" t="str">
        <f>IFERROR(__xludf.DUMMYFUNCTION("GOOGLETRANSLATE(A13066, ""en"", ""mt"")"),"F'liema direzzjoni marret l-ewwel darba l-marda?")</f>
        <v>F'liema direzzjoni marret l-ewwel darba l-marda?</v>
      </c>
    </row>
    <row r="13067" ht="15.75" customHeight="1">
      <c r="A13067" s="2" t="s">
        <v>13067</v>
      </c>
      <c r="B13067" s="2" t="str">
        <f>IFERROR(__xludf.DUMMYFUNCTION("GOOGLETRANSLATE(A13067, ""en"", ""mt"")"),"New York u l-Ohio")</f>
        <v>New York u l-Ohio</v>
      </c>
    </row>
    <row r="13068" ht="15.75" customHeight="1">
      <c r="A13068" s="2" t="s">
        <v>13068</v>
      </c>
      <c r="B13068" s="2" t="str">
        <f>IFERROR(__xludf.DUMMYFUNCTION("GOOGLETRANSLATE(A13068, ""en"", ""mt"")"),"It-Torri Mitchell huwa ddisinjat biex jidher bħal dak it-Torri ta 'Oxford?")</f>
        <v>It-Torri Mitchell huwa ddisinjat biex jidher bħal dak it-Torri ta 'Oxford?</v>
      </c>
    </row>
    <row r="13069" ht="15.75" customHeight="1">
      <c r="A13069" s="2" t="s">
        <v>13069</v>
      </c>
      <c r="B13069" s="2" t="str">
        <f>IFERROR(__xludf.DUMMYFUNCTION("GOOGLETRANSLATE(A13069, ""en"", ""mt"")"),"konsum")</f>
        <v>konsum</v>
      </c>
    </row>
    <row r="13070" ht="15.75" customHeight="1">
      <c r="A13070" s="2" t="s">
        <v>13070</v>
      </c>
      <c r="B13070" s="2" t="str">
        <f>IFERROR(__xludf.DUMMYFUNCTION("GOOGLETRANSLATE(A13070, ""en"", ""mt"")"),"Ħsarat fl-Amerika ta ’Fuq")</f>
        <v>Ħsarat fl-Amerika ta ’Fuq</v>
      </c>
    </row>
    <row r="13071" ht="15.75" customHeight="1">
      <c r="A13071" s="2" t="s">
        <v>13071</v>
      </c>
      <c r="B13071" s="2" t="str">
        <f>IFERROR(__xludf.DUMMYFUNCTION("GOOGLETRANSLATE(A13071, ""en"", ""mt"")"),"William of Orange")</f>
        <v>William of Orange</v>
      </c>
    </row>
    <row r="13072" ht="15.75" customHeight="1">
      <c r="A13072" s="2" t="s">
        <v>13072</v>
      </c>
      <c r="B13072" s="2" t="str">
        <f>IFERROR(__xludf.DUMMYFUNCTION("GOOGLETRANSLATE(A13072, ""en"", ""mt"")"),"4.5 miljun")</f>
        <v>4.5 miljun</v>
      </c>
    </row>
    <row r="13073" ht="15.75" customHeight="1">
      <c r="A13073" s="2" t="s">
        <v>13073</v>
      </c>
      <c r="B13073" s="2" t="str">
        <f>IFERROR(__xludf.DUMMYFUNCTION("GOOGLETRANSLATE(A13073, ""en"", ""mt"")"),"Jaħbi wara (jew 'jaraw minn wara') is-sufan")</f>
        <v>Jaħbi wara (jew 'jaraw minn wara') is-sufan</v>
      </c>
    </row>
    <row r="13074" ht="15.75" customHeight="1">
      <c r="A13074" s="2" t="s">
        <v>13074</v>
      </c>
      <c r="B13074" s="2" t="str">
        <f>IFERROR(__xludf.DUMMYFUNCTION("GOOGLETRANSLATE(A13074, ""en"", ""mt"")"),"Kenja u Kegnia")</f>
        <v>Kenja u Kegnia</v>
      </c>
    </row>
    <row r="13075" ht="15.75" customHeight="1">
      <c r="A13075" s="2" t="s">
        <v>13075</v>
      </c>
      <c r="B13075" s="2" t="str">
        <f>IFERROR(__xludf.DUMMYFUNCTION("GOOGLETRANSLATE(A13075, ""en"", ""mt"")"),"Predeċessuri oħra tal-Knisja Riformata kienu jinkludu l-Kattoliċi Rumani favur ir-Riforma u Gallikana, bħal Jacques Lefevre (c. 1455-1536). Il-Gallikani kisbu fil-qosor l-indipendenza għall-Knisja Franċiża, fuq il-prinċipju li r-reliġjon ta ’Franza ma set"&amp;"għetx tkun ikkontrollata mill-Isqof ta’ Ruma, poter barrani. Matul ir-Riforma Protestanta, Lefevre, professur fl-Università ta ’Pariġi, ippubblika t-traduzzjoni Franċiża tiegħu tat-Testment il-Ġdid fl-1523, segwit mill-Bibbja kollha bil-lingwa Franċiża fl"&amp;"-1530. William Farel kien student ta’ Lefevre li kompla jsir Mexxej tar-Riforma Żvizzera, li stabbilixxa gvern Protestant f'Ġinevra. Jean Cauvin (John Calvin), student ieħor fl-Università ta ’Pariġi, ikkonverta wkoll għall-Protestantiżmu. Ferm wara li s-s"&amp;"etta ġiet imrażżna minn Franġisku I, il-Waldensians Franċiżi li fadal, imbagħad l-aktar fir-reġjun ta ’Luberon, fittex li jingħaqad ma’ William Farel, Calvin u r-Riforma, u Olivetan ippubblika Bibbja Franċiża għalihom. Il-konfessjoni Franċiża tal-1559 tur"&amp;"i influwenza deċiżament kalvinistika. F’xi żmien bejn l-1550 u l-1580, il-membri tal-Knisja Riformata fi Franza ġew magħrufa komunement bħala Huguenots. [Ċitazzjoni meħtieġa]")</f>
        <v>Predeċessuri oħra tal-Knisja Riformata kienu jinkludu l-Kattoliċi Rumani favur ir-Riforma u Gallikana, bħal Jacques Lefevre (c. 1455-1536). Il-Gallikani kisbu fil-qosor l-indipendenza għall-Knisja Franċiża, fuq il-prinċipju li r-reliġjon ta ’Franza ma setgħetx tkun ikkontrollata mill-Isqof ta’ Ruma, poter barrani. Matul ir-Riforma Protestanta, Lefevre, professur fl-Università ta ’Pariġi, ippubblika t-traduzzjoni Franċiża tiegħu tat-Testment il-Ġdid fl-1523, segwit mill-Bibbja kollha bil-lingwa Franċiża fl-1530. William Farel kien student ta’ Lefevre li kompla jsir Mexxej tar-Riforma Żvizzera, li stabbilixxa gvern Protestant f'Ġinevra. Jean Cauvin (John Calvin), student ieħor fl-Università ta ’Pariġi, ikkonverta wkoll għall-Protestantiżmu. Ferm wara li s-setta ġiet imrażżna minn Franġisku I, il-Waldensians Franċiżi li fadal, imbagħad l-aktar fir-reġjun ta ’Luberon, fittex li jingħaqad ma’ William Farel, Calvin u r-Riforma, u Olivetan ippubblika Bibbja Franċiża għalihom. Il-konfessjoni Franċiża tal-1559 turi influwenza deċiżament kalvinistika. F’xi żmien bejn l-1550 u l-1580, il-membri tal-Knisja Riformata fi Franza ġew magħrufa komunement bħala Huguenots. [Ċitazzjoni meħtieġa]</v>
      </c>
    </row>
    <row r="13076" ht="15.75" customHeight="1">
      <c r="A13076" s="2" t="s">
        <v>13076</v>
      </c>
      <c r="B13076" s="2" t="str">
        <f>IFERROR(__xludf.DUMMYFUNCTION("GOOGLETRANSLATE(A13076, ""en"", ""mt"")"),"Mill-1980s")</f>
        <v>Mill-1980s</v>
      </c>
    </row>
    <row r="13077" ht="15.75" customHeight="1">
      <c r="A13077" s="2" t="s">
        <v>13077</v>
      </c>
      <c r="B13077" s="2" t="str">
        <f>IFERROR(__xludf.DUMMYFUNCTION("GOOGLETRANSLATE(A13077, ""en"", ""mt"")"),"Min appoġġja Jamukha li ma kinux parti mill-bażi tal-poter ta 'Temüjin?")</f>
        <v>Min appoġġja Jamukha li ma kinux parti mill-bażi tal-poter ta 'Temüjin?</v>
      </c>
    </row>
    <row r="13078" ht="15.75" customHeight="1">
      <c r="A13078" s="2" t="s">
        <v>13078</v>
      </c>
      <c r="B13078" s="2" t="str">
        <f>IFERROR(__xludf.DUMMYFUNCTION("GOOGLETRANSLATE(A13078, ""en"", ""mt"")"),"Kanal Ingliż")</f>
        <v>Kanal Ingliż</v>
      </c>
    </row>
    <row r="13079" ht="15.75" customHeight="1">
      <c r="A13079" s="2" t="s">
        <v>13079</v>
      </c>
      <c r="B13079" s="2" t="str">
        <f>IFERROR(__xludf.DUMMYFUNCTION("GOOGLETRANSLATE(A13079, ""en"", ""mt"")"),"fin-nofsinhar")</f>
        <v>fin-nofsinhar</v>
      </c>
    </row>
    <row r="13080" ht="15.75" customHeight="1">
      <c r="A13080" s="2" t="s">
        <v>13080</v>
      </c>
      <c r="B13080" s="2" t="str">
        <f>IFERROR(__xludf.DUMMYFUNCTION("GOOGLETRANSLATE(A13080, ""en"", ""mt"")"),"Il-varjanti tal-forom tal-isem tar-Rhine fil-lingwi moderni huma kollha derivati ​​mill-isem Gaulish Rēnos, li ġie adattat fil-ġeografija tal-era Rumana (l-1 seklu QK) bħala ῥῆνος Grieg (rhēnos), Latin Rhenus. [Nota 3] l-ortografija Bir-Rh- fir-Renu Ingli"&amp;"ż kif ukoll fir-Rhein Ġermaniż u r-Rhin Franċiż huwa dovut għall-influwenza tal-ortografija Griega, filwaqt li l-vokalizzazzjoni -i- hija dovuta għall-adozzjoni proto-Ġermanika tal-isem Gaulish bħala * rīnaz, permezz ta 'Frankish qodma Old English Rín, Ol"&amp;"d High German Rīn, Olandiż Rijn (li qabel kien ukoll spelt Rhijn)). Id-diftong fir-Rhein modern Ġermaniż (adottat ukoll fir-Romansh Rein, Rain) huwa żvilupp tal-Ġermanja ċentrali tal-perjodu modern bikri, l-isem Alemannic Rī (n) li jżomm il-vokaliżmu anzj"&amp;"an, [nota 4] bħalma jagħmel ir-ripuarian, filwaqt li Palatine għandha Rhei diphtongized, Rhoi. L-Ispanjol huwa bil-Franċiż fl-adozzjoni tal-vokaliżmu Ġermaniku Rin-, filwaqt li Taljan, Occitan u Portugiż iżomm ir-Ren- Latin.")</f>
        <v>Il-varjanti tal-forom tal-isem tar-Rhine fil-lingwi moderni huma kollha derivati ​​mill-isem Gaulish Rēnos, li ġie adattat fil-ġeografija tal-era Rumana (l-1 seklu QK) bħala ῥῆνος Grieg (rhēnos), Latin Rhenus. [Nota 3] l-ortografija Bir-Rh- fir-Renu Ingliż kif ukoll fir-Rhein Ġermaniż u r-Rhin Franċiż huwa dovut għall-influwenza tal-ortografija Griega, filwaqt li l-vokalizzazzjoni -i- hija dovuta għall-adozzjoni proto-Ġermanika tal-isem Gaulish bħala * rīnaz, permezz ta 'Frankish qodma Old English Rín, Old High German Rīn, Olandiż Rijn (li qabel kien ukoll spelt Rhijn)). Id-diftong fir-Rhein modern Ġermaniż (adottat ukoll fir-Romansh Rein, Rain) huwa żvilupp tal-Ġermanja ċentrali tal-perjodu modern bikri, l-isem Alemannic Rī (n) li jżomm il-vokaliżmu anzjan, [nota 4] bħalma jagħmel ir-ripuarian, filwaqt li Palatine għandha Rhei diphtongized, Rhoi. L-Ispanjol huwa bil-Franċiż fl-adozzjoni tal-vokaliżmu Ġermaniku Rin-, filwaqt li Taljan, Occitan u Portugiż iżomm ir-Ren- Latin.</v>
      </c>
    </row>
    <row r="13081" ht="15.75" customHeight="1">
      <c r="A13081" s="2" t="s">
        <v>13081</v>
      </c>
      <c r="B13081" s="2" t="str">
        <f>IFERROR(__xludf.DUMMYFUNCTION("GOOGLETRANSLATE(A13081, ""en"", ""mt"")"),"Meta bdiet l-esplorazzjoni tal-intern?")</f>
        <v>Meta bdiet l-esplorazzjoni tal-intern?</v>
      </c>
    </row>
    <row r="13082" ht="15.75" customHeight="1">
      <c r="A13082" s="2" t="s">
        <v>13082</v>
      </c>
      <c r="B13082" s="2" t="str">
        <f>IFERROR(__xludf.DUMMYFUNCTION("GOOGLETRANSLATE(A13082, ""en"", ""mt"")"),"Fis-snin 1960")</f>
        <v>Fis-snin 1960</v>
      </c>
    </row>
    <row r="13083" ht="15.75" customHeight="1">
      <c r="A13083" s="2" t="s">
        <v>13083</v>
      </c>
      <c r="B13083" s="2" t="str">
        <f>IFERROR(__xludf.DUMMYFUNCTION("GOOGLETRANSLATE(A13083, ""en"", ""mt"")"),"Tagħlim formali")</f>
        <v>Tagħlim formali</v>
      </c>
    </row>
    <row r="13084" ht="15.75" customHeight="1">
      <c r="A13084" s="2" t="s">
        <v>13084</v>
      </c>
      <c r="B13084" s="2" t="str">
        <f>IFERROR(__xludf.DUMMYFUNCTION("GOOGLETRANSLATE(A13084, ""en"", ""mt"")"),"Stadtholder William III ta ’Orange, li aktar tard sar Re tal-Ingilterra, ħareġ bħala l-aktar avversarju b’saħħtu tar-Re Louis XIV wara li l-Franċiżi attakkaw ir-Repubblika Olandiża fl-1672. William ifforma l-Lega ta’ Augsburg bħala koalizzjoni biex toppon"&amp;"i lil Louis u l-istat Franċiż. Konsegwentement, ħafna Huguenots ikkunsidraw ir-Repubblika Olandiża sinjura u kalvinista, li wasslet lill-oppożizzjoni għal Louis XIV, bħala l-iktar pajjiż attraenti għall-eżilju wara r-revoka tal-editt ta 'Nantes. Huma sabu"&amp;" wkoll ħafna knejjes kalvinisti li jitkellmu bil-Franċiż hemmhekk.")</f>
        <v>Stadtholder William III ta ’Orange, li aktar tard sar Re tal-Ingilterra, ħareġ bħala l-aktar avversarju b’saħħtu tar-Re Louis XIV wara li l-Franċiżi attakkaw ir-Repubblika Olandiża fl-1672. William ifforma l-Lega ta’ Augsburg bħala koalizzjoni biex topponi lil Louis u l-istat Franċiż. Konsegwentement, ħafna Huguenots ikkunsidraw ir-Repubblika Olandiża sinjura u kalvinista, li wasslet lill-oppożizzjoni għal Louis XIV, bħala l-iktar pajjiż attraenti għall-eżilju wara r-revoka tal-editt ta 'Nantes. Huma sabu wkoll ħafna knejjes kalvinisti li jitkellmu bil-Franċiż hemmhekk.</v>
      </c>
    </row>
    <row r="13085" ht="15.75" customHeight="1">
      <c r="A13085" s="2" t="s">
        <v>13085</v>
      </c>
      <c r="B13085" s="2" t="str">
        <f>IFERROR(__xludf.DUMMYFUNCTION("GOOGLETRANSLATE(A13085, ""en"", ""mt"")"),"Il-fertilizzazzjoni hija interna jew eżeterna fil-biċċa l-kbira tal-ispeċi?")</f>
        <v>Il-fertilizzazzjoni hija interna jew eżeterna fil-biċċa l-kbira tal-ispeċi?</v>
      </c>
    </row>
    <row r="13086" ht="15.75" customHeight="1">
      <c r="A13086" s="2" t="s">
        <v>13086</v>
      </c>
      <c r="B13086" s="2" t="str">
        <f>IFERROR(__xludf.DUMMYFUNCTION("GOOGLETRANSLATE(A13086, ""en"", ""mt"")"),"bejn l-1835 u l-1842")</f>
        <v>bejn l-1835 u l-1842</v>
      </c>
    </row>
    <row r="13087" ht="15.75" customHeight="1">
      <c r="A13087" s="2" t="s">
        <v>13087</v>
      </c>
      <c r="B13087" s="2" t="str">
        <f>IFERROR(__xludf.DUMMYFUNCTION("GOOGLETRANSLATE(A13087, ""en"", ""mt"")"),"Kemm biegħu Disney fil-Eurosport fl-2000?")</f>
        <v>Kemm biegħu Disney fil-Eurosport fl-2000?</v>
      </c>
    </row>
    <row r="13088" ht="15.75" customHeight="1">
      <c r="A13088" s="2" t="s">
        <v>13088</v>
      </c>
      <c r="B13088" s="2" t="str">
        <f>IFERROR(__xludf.DUMMYFUNCTION("GOOGLETRANSLATE(A13088, ""en"", ""mt"")"),"84 siegħa")</f>
        <v>84 siegħa</v>
      </c>
    </row>
    <row r="13089" ht="15.75" customHeight="1">
      <c r="A13089" s="2" t="s">
        <v>13089</v>
      </c>
      <c r="B13089" s="2" t="str">
        <f>IFERROR(__xludf.DUMMYFUNCTION("GOOGLETRANSLATE(A13089, ""en"", ""mt"")"),"Kemm huguenots inqatlu f'Toulouse?")</f>
        <v>Kemm huguenots inqatlu f'Toulouse?</v>
      </c>
    </row>
    <row r="13090" ht="15.75" customHeight="1">
      <c r="A13090" s="2" t="s">
        <v>13090</v>
      </c>
      <c r="B13090" s="2" t="str">
        <f>IFERROR(__xludf.DUMMYFUNCTION("GOOGLETRANSLATE(A13090, ""en"", ""mt"")"),"Irkupra s-sħana moħbija tal-vaporizzazzjoni")</f>
        <v>Irkupra s-sħana moħbija tal-vaporizzazzjoni</v>
      </c>
    </row>
    <row r="13091" ht="15.75" customHeight="1">
      <c r="A13091" s="2" t="s">
        <v>13091</v>
      </c>
      <c r="B13091" s="2" t="str">
        <f>IFERROR(__xludf.DUMMYFUNCTION("GOOGLETRANSLATE(A13091, ""en"", ""mt"")"),"Ma 'liema kultura ngħaqqdet in-Normans fl-Irlanda?")</f>
        <v>Ma 'liema kultura ngħaqqdet in-Normans fl-Irlanda?</v>
      </c>
    </row>
    <row r="13092" ht="15.75" customHeight="1">
      <c r="A13092" s="2" t="s">
        <v>13092</v>
      </c>
      <c r="B13092" s="2" t="str">
        <f>IFERROR(__xludf.DUMMYFUNCTION("GOOGLETRANSLATE(A13092, ""en"", ""mt"")"),"Ir-Renu Romantiku")</f>
        <v>Ir-Renu Romantiku</v>
      </c>
    </row>
    <row r="13093" ht="15.75" customHeight="1">
      <c r="A13093" s="2" t="s">
        <v>13093</v>
      </c>
      <c r="B13093" s="2" t="str">
        <f>IFERROR(__xludf.DUMMYFUNCTION("GOOGLETRANSLATE(A13093, ""en"", ""mt"")"),"32 ° C (90 ° F)")</f>
        <v>32 ° C (90 ° F)</v>
      </c>
    </row>
    <row r="13094" ht="15.75" customHeight="1">
      <c r="A13094" s="2" t="s">
        <v>13094</v>
      </c>
      <c r="B13094" s="2" t="str">
        <f>IFERROR(__xludf.DUMMYFUNCTION("GOOGLETRANSLATE(A13094, ""en"", ""mt"")"),"Ħafna marru Kuba")</f>
        <v>Ħafna marru Kuba</v>
      </c>
    </row>
    <row r="13095" ht="15.75" customHeight="1">
      <c r="A13095" s="2" t="s">
        <v>13095</v>
      </c>
      <c r="B13095" s="2" t="str">
        <f>IFERROR(__xludf.DUMMYFUNCTION("GOOGLETRANSLATE(A13095, ""en"", ""mt"")"),"ma tistax tibda leġislazzjoni kontra x-xewqat tal-kummissjoni")</f>
        <v>ma tistax tibda leġislazzjoni kontra x-xewqat tal-kummissjoni</v>
      </c>
    </row>
    <row r="13096" ht="15.75" customHeight="1">
      <c r="A13096" s="2" t="s">
        <v>13096</v>
      </c>
      <c r="B13096" s="2" t="str">
        <f>IFERROR(__xludf.DUMMYFUNCTION("GOOGLETRANSLATE(A13096, ""en"", ""mt"")"),"kanċer")</f>
        <v>kanċer</v>
      </c>
    </row>
    <row r="13097" ht="15.75" customHeight="1">
      <c r="A13097" s="2" t="s">
        <v>13097</v>
      </c>
      <c r="B13097" s="2" t="str">
        <f>IFERROR(__xludf.DUMMYFUNCTION("GOOGLETRANSLATE(A13097, ""en"", ""mt"")"),"ippriedka")</f>
        <v>ippriedka</v>
      </c>
    </row>
    <row r="13098" ht="15.75" customHeight="1">
      <c r="A13098" s="2" t="s">
        <v>13098</v>
      </c>
      <c r="B13098" s="2" t="str">
        <f>IFERROR(__xludf.DUMMYFUNCTION("GOOGLETRANSLATE(A13098, ""en"", ""mt"")"),"Fl-arena tal-muturi, il-Kenja hija d-dar tar-rally safari famuż fid-dinja, komunement rikonoxxuta bħala waħda mill-aktar manifestazzjonijiet ħorox fid-dinja. Kien parti mill-Kampjonat Dinji Rally għal ħafna snin sal-esklużjoni tiegħu wara l-avveniment tal"&amp;"-2002 minħabba diffikultajiet finanzjarji. Uħud mill-aqwa sewwieqa tar-rally fid-dinja ħadu sehem u rebħu r-rally, bħal Björn Waldegård, Hannu Mikkola, Tommi Mäkinen, Shekhar Mehta, Carlos Sainz u Colin McRae. Għalkemm ir-rally għadu għaddej kull sena bħa"&amp;"la parti mill-Kampjonat tal-Afrika Rally, l-organizzaturi qed jittamaw li jitħallew jerġgħu jingħaqdu mal-Kampjonat Dinji Rally fil-ftit snin li ġejjin.")</f>
        <v>Fl-arena tal-muturi, il-Kenja hija d-dar tar-rally safari famuż fid-dinja, komunement rikonoxxuta bħala waħda mill-aktar manifestazzjonijiet ħorox fid-dinja. Kien parti mill-Kampjonat Dinji Rally għal ħafna snin sal-esklużjoni tiegħu wara l-avveniment tal-2002 minħabba diffikultajiet finanzjarji. Uħud mill-aqwa sewwieqa tar-rally fid-dinja ħadu sehem u rebħu r-rally, bħal Björn Waldegård, Hannu Mikkola, Tommi Mäkinen, Shekhar Mehta, Carlos Sainz u Colin McRae. Għalkemm ir-rally għadu għaddej kull sena bħala parti mill-Kampjonat tal-Afrika Rally, l-organizzaturi qed jittamaw li jitħallew jerġgħu jingħaqdu mal-Kampjonat Dinji Rally fil-ftit snin li ġejjin.</v>
      </c>
    </row>
    <row r="13099" ht="15.75" customHeight="1">
      <c r="A13099" s="2" t="s">
        <v>13099</v>
      </c>
      <c r="B13099" s="2" t="str">
        <f>IFERROR(__xludf.DUMMYFUNCTION("GOOGLETRANSLATE(A13099, ""en"", ""mt"")"),"Ġie muri minn Ladner li jekk P ≠ NP allura jeżistu problemi f'NP li la huma f'P u lanqas f'NP-komplut. Problemi bħal dawn jissejħu problemi intermedjati NP. Il-problema tal-isomorfiżmu tal-graff, il-problema diskreta tal-logaritmu u l-problema ta 'fatturi"&amp;"zzazzjoni integri huma eżempji ta' problemi maħsuba li huma intermedjati NP. Huma wħud mill-ftit problemi tal-NP mhux magħrufa li huma f'P jew li huma NP-kompluta.")</f>
        <v>Ġie muri minn Ladner li jekk P ≠ NP allura jeżistu problemi f'NP li la huma f'P u lanqas f'NP-komplut. Problemi bħal dawn jissejħu problemi intermedjati NP. Il-problema tal-isomorfiżmu tal-graff, il-problema diskreta tal-logaritmu u l-problema ta 'fatturizzazzjoni integri huma eżempji ta' problemi maħsuba li huma intermedjati NP. Huma wħud mill-ftit problemi tal-NP mhux magħrufa li huma f'P jew li huma NP-kompluta.</v>
      </c>
    </row>
    <row r="13100" ht="15.75" customHeight="1">
      <c r="A13100" s="2" t="s">
        <v>13100</v>
      </c>
      <c r="B13100" s="2" t="str">
        <f>IFERROR(__xludf.DUMMYFUNCTION("GOOGLETRANSLATE(A13100, ""en"", ""mt"")"),"Kemm huwa l-investiment taċ-Ċina fil-Kenja?")</f>
        <v>Kemm huwa l-investiment taċ-Ċina fil-Kenja?</v>
      </c>
    </row>
    <row r="13101" ht="15.75" customHeight="1">
      <c r="A13101" s="2" t="s">
        <v>13101</v>
      </c>
      <c r="B13101" s="2" t="str">
        <f>IFERROR(__xludf.DUMMYFUNCTION("GOOGLETRANSLATE(A13101, ""en"", ""mt"")"),"jinkorporaw in-nematokisti tal-priża tagħhom (ċelloli stinging) fit-tentakli tagħhom stess")</f>
        <v>jinkorporaw in-nematokisti tal-priża tagħhom (ċelloli stinging) fit-tentakli tagħhom stess</v>
      </c>
    </row>
    <row r="13102" ht="15.75" customHeight="1">
      <c r="A13102" s="2" t="s">
        <v>13102</v>
      </c>
      <c r="B13102" s="2" t="str">
        <f>IFERROR(__xludf.DUMMYFUNCTION("GOOGLETRANSLATE(A13102, ""en"", ""mt"")"),"vjolenza, degradazzjoni, sfruttament, u sfurzar")</f>
        <v>vjolenza, degradazzjoni, sfruttament, u sfurzar</v>
      </c>
    </row>
    <row r="13103" ht="15.75" customHeight="1">
      <c r="A13103" s="2" t="s">
        <v>13103</v>
      </c>
      <c r="B13103" s="2" t="str">
        <f>IFERROR(__xludf.DUMMYFUNCTION("GOOGLETRANSLATE(A13103, ""en"", ""mt"")"),"Skulturi kemm Ingliżi kif ukoll Ewropej li kienu bbażati fil-Gran Brittanja u li x-xogħol tagħhom jinsab fil-kollezzjoni jinkludu Nicholas Stone, Caius Gabriel Cibber, Grinling Gibbons, John Michael Rysbrack, Louis-François Roubilic, Peter Scheemakers, Si"&amp;"r Henry Cheere, Agostino Carlini, Thomas Banks, Joseph Nollekens, Joseph Wilton, John Flaxman, Sir Francis Chantrey, John Gibson, Edward Hodges Baily, Lord Leighton, Alfred Stevens, Thomas Brock, Alfred Gilbert, George Frampton, u Eric Gill. Kampjun ta 'w"&amp;"ħud minn dawn ix-xogħol ta' dawn l-iskulturi huwa għall-wiri fil-Galleriji Brittaniċi.")</f>
        <v>Skulturi kemm Ingliżi kif ukoll Ewropej li kienu bbażati fil-Gran Brittanja u li x-xogħol tagħhom jinsab fil-kollezzjoni jinkludu Nicholas Stone, Caius Gabriel Cibber, Grinling Gibbons, John Michael Rysbrack, Louis-François Roubilic, Peter Scheemakers, Sir Henry Cheere, Agostino Carlini, Thomas Banks, Joseph Nollekens, Joseph Wilton, John Flaxman, Sir Francis Chantrey, John Gibson, Edward Hodges Baily, Lord Leighton, Alfred Stevens, Thomas Brock, Alfred Gilbert, George Frampton, u Eric Gill. Kampjun ta 'wħud minn dawn ix-xogħol ta' dawn l-iskulturi huwa għall-wiri fil-Galleriji Brittaniċi.</v>
      </c>
    </row>
    <row r="13104" ht="15.75" customHeight="1">
      <c r="A13104" s="2" t="s">
        <v>13104</v>
      </c>
      <c r="B13104" s="2" t="str">
        <f>IFERROR(__xludf.DUMMYFUNCTION("GOOGLETRANSLATE(A13104, ""en"", ""mt"")"),"Il-fergħa ġudizzjarja tal-UE kellha rwol importanti fl-iżvilupp tal-liġi tal-UE, billi assumiet il-kompitu li tinterpreta t-trattati, u taċċellera l-integrazzjoni ekonomika u politika. Illum il-Qorti tal-Ġustizzja tal-Unjoni Ewropea (CJEU) hija l-korp ġud"&amp;"izzjarju ewlieni, li fih hemm Qorti tal-Ġustizzja Ewropea ogħla (komunement imqassra bħala ECJ) li tittratta każijiet li fihom aktar importanza pubblika, u qorti ġenerali li tittratta bi kwistjonijiet ta 'dettall iżda mingħajr importanza ġenerali. Hemm uk"&amp;"oll tribunal tas-servizz ċivili biex jittratta kwistjonijiet tal-persunal tal-UE, u mbagħad qorti separata tal-awdituri. Taħt it-Trattat dwar l-Artikolu 19 tal-Unjoni Ewropea (2) hemm imħallef wieħed minn kull Stat Membru, 28 fil-preżent, li suppost għand"&amp;"u ""jkollu l-kwalifiki meħtieġa għall-ħatra fl-ogħla uffiċċji ġudizzjarji"" (jew għall-Qorti Ġenerali, il- """" "" abbiltà meħtieġa għall-ħatra għal uffiċċju ġudizzjarju għoli ""). President huwa elett mill-imħallfin għal tliet snin. Taħt it-TEU l-Artikol"&amp;"u 19 (3) għandu jkun il-qorti aħħarija li tinterpreta mistoqsijiet tal-liġi tal-UE. Fil-fatt, il-biċċa l-kbira tal-liġi tal-UE hija applikata mill-qrati tal-Istat Membru (il-Qorti tal-Appell Ingliż, il-Bundesgerichtshof Ġermaniż, il-Cour Du Travail Belġja"&amp;"n, eċċ.) Iżda jistgħu jirreferu mistoqsijiet lill-qorti tal-UE għal deċiżjoni preliminari. Id-dmir tas-CJEU huwa li ""jiżgura li fl-interpretazzjoni u l-applikazzjoni tat-trattati tkun osservata l-liġi"", għalkemm realistikament għandha l-abbiltà li tespa"&amp;"ndi u tiżviluppa l-liġi skond il-prinċipji li tqis li huma xierqa. B’mod raġonevoli dan sar permezz ta ’sentenzi seminali u kontroversjali, inklużi Van Gend En Loos, Mangold v Helm, u l-Kummissjoni Kadi V.")</f>
        <v>Il-fergħa ġudizzjarja tal-UE kellha rwol importanti fl-iżvilupp tal-liġi tal-UE, billi assumiet il-kompitu li tinterpreta t-trattati, u taċċellera l-integrazzjoni ekonomika u politika. Illum il-Qorti tal-Ġustizzja tal-Unjoni Ewropea (CJEU) hija l-korp ġudizzjarju ewlieni, li fih hemm Qorti tal-Ġustizzja Ewropea ogħla (komunement imqassra bħala ECJ) li tittratta każijiet li fihom aktar importanza pubblika, u qorti ġenerali li tittratta bi kwistjonijiet ta 'dettall iżda mingħajr importanza ġenerali. Hemm ukoll tribunal tas-servizz ċivili biex jittratta kwistjonijiet tal-persunal tal-UE, u mbagħad qorti separata tal-awdituri. Taħt it-Trattat dwar l-Artikolu 19 tal-Unjoni Ewropea (2) hemm imħallef wieħed minn kull Stat Membru, 28 fil-preżent, li suppost għandu "jkollu l-kwalifiki meħtieġa għall-ħatra fl-ogħla uffiċċji ġudizzjarji" (jew għall-Qorti Ġenerali, il- "" " abbiltà meħtieġa għall-ħatra għal uffiċċju ġudizzjarju għoli "). President huwa elett mill-imħallfin għal tliet snin. Taħt it-TEU l-Artikolu 19 (3) għandu jkun il-qorti aħħarija li tinterpreta mistoqsijiet tal-liġi tal-UE. Fil-fatt, il-biċċa l-kbira tal-liġi tal-UE hija applikata mill-qrati tal-Istat Membru (il-Qorti tal-Appell Ingliż, il-Bundesgerichtshof Ġermaniż, il-Cour Du Travail Belġjan, eċċ.) Iżda jistgħu jirreferu mistoqsijiet lill-qorti tal-UE għal deċiżjoni preliminari. Id-dmir tas-CJEU huwa li "jiżgura li fl-interpretazzjoni u l-applikazzjoni tat-trattati tkun osservata l-liġi", għalkemm realistikament għandha l-abbiltà li tespandi u tiżviluppa l-liġi skond il-prinċipji li tqis li huma xierqa. B’mod raġonevoli dan sar permezz ta ’sentenzi seminali u kontroversjali, inklużi Van Gend En Loos, Mangold v Helm, u l-Kummissjoni Kadi V.</v>
      </c>
    </row>
    <row r="13105" ht="15.75" customHeight="1">
      <c r="A13105" s="2" t="s">
        <v>13105</v>
      </c>
      <c r="B13105" s="2" t="str">
        <f>IFERROR(__xludf.DUMMYFUNCTION("GOOGLETRANSLATE(A13105, ""en"", ""mt"")"),"It-tip ta 'tnaqqis qed jintuża")</f>
        <v>It-tip ta 'tnaqqis qed jintuża</v>
      </c>
    </row>
    <row r="13106" ht="15.75" customHeight="1">
      <c r="A13106" s="2" t="s">
        <v>13106</v>
      </c>
      <c r="B13106" s="2" t="str">
        <f>IFERROR(__xludf.DUMMYFUNCTION("GOOGLETRANSLATE(A13106, ""en"", ""mt"")"),"ċerti dispożizzjonijiet ""għeruq""")</f>
        <v>ċerti dispożizzjonijiet "għeruq"</v>
      </c>
    </row>
    <row r="13107" ht="15.75" customHeight="1">
      <c r="A13107" s="2" t="s">
        <v>13107</v>
      </c>
      <c r="B13107" s="2" t="str">
        <f>IFERROR(__xludf.DUMMYFUNCTION("GOOGLETRANSLATE(A13107, ""en"", ""mt"")"),"Liema benefiċċji addizzjonali hemm għall-komunità tal-madwar ta 'espansjoni?")</f>
        <v>Liema benefiċċji addizzjonali hemm għall-komunità tal-madwar ta 'espansjoni?</v>
      </c>
    </row>
    <row r="13108" ht="15.75" customHeight="1">
      <c r="A13108" s="2" t="s">
        <v>13108</v>
      </c>
      <c r="B13108" s="2" t="str">
        <f>IFERROR(__xludf.DUMMYFUNCTION("GOOGLETRANSLATE(A13108, ""en"", ""mt"")"),"Meta WLS nediet lineup ta 'programmi tar-radju ABC?")</f>
        <v>Meta WLS nediet lineup ta 'programmi tar-radju ABC?</v>
      </c>
    </row>
    <row r="13109" ht="15.75" customHeight="1">
      <c r="A13109" s="2" t="s">
        <v>13109</v>
      </c>
      <c r="B13109" s="2" t="str">
        <f>IFERROR(__xludf.DUMMYFUNCTION("GOOGLETRANSLATE(A13109, ""en"", ""mt"")"),"Ipprovdi interkonnessjoni ta 'veloċità għolja bejn ċentri ta' superkompjuters sponsorjati mill-NSF u tagħżel punti ta 'aċċess fl-Istati Uniti")</f>
        <v>Ipprovdi interkonnessjoni ta 'veloċità għolja bejn ċentri ta' superkompjuters sponsorjati mill-NSF u tagħżel punti ta 'aċċess fl-Istati Uniti</v>
      </c>
    </row>
    <row r="13110" ht="15.75" customHeight="1">
      <c r="A13110" s="2" t="s">
        <v>13110</v>
      </c>
      <c r="B13110" s="2" t="str">
        <f>IFERROR(__xludf.DUMMYFUNCTION("GOOGLETRANSLATE(A13110, ""en"", ""mt"")"),"Liema komunità ta 'Jacksonville hija magħrufa talli għandha rabtiet kbar man-Navy?")</f>
        <v>Liema komunità ta 'Jacksonville hija magħrufa talli għandha rabtiet kbar man-Navy?</v>
      </c>
    </row>
    <row r="13111" ht="15.75" customHeight="1">
      <c r="A13111" s="2" t="s">
        <v>13111</v>
      </c>
      <c r="B13111" s="2" t="str">
        <f>IFERROR(__xludf.DUMMYFUNCTION("GOOGLETRANSLATE(A13111, ""en"", ""mt"")"),"Liema pajjiż Ewropew Ċentrali kellu ħakkiem kalvinista?")</f>
        <v>Liema pajjiż Ewropew Ċentrali kellu ħakkiem kalvinista?</v>
      </c>
    </row>
    <row r="13112" ht="15.75" customHeight="1">
      <c r="A13112" s="2" t="s">
        <v>13112</v>
      </c>
      <c r="B13112" s="2" t="str">
        <f>IFERROR(__xludf.DUMMYFUNCTION("GOOGLETRANSLATE(A13112, ""en"", ""mt"")"),"X'inhu l-isem ta 'kwistjonijiet barra l-abilità leġiżlattiva tal-Parlament Skoċċiż?")</f>
        <v>X'inhu l-isem ta 'kwistjonijiet barra l-abilità leġiżlattiva tal-Parlament Skoċċiż?</v>
      </c>
    </row>
    <row r="13113" ht="15.75" customHeight="1">
      <c r="A13113" s="2" t="s">
        <v>13113</v>
      </c>
      <c r="B13113" s="2" t="str">
        <f>IFERROR(__xludf.DUMMYFUNCTION("GOOGLETRANSLATE(A13113, ""en"", ""mt"")"),"Kemm mit-tliet drives tar-raba 'kwart ta' wara wara l-gowl fil-grawnd makng l-iskor 16-10 intemm fil-punti?")</f>
        <v>Kemm mit-tliet drives tar-raba 'kwart ta' wara wara l-gowl fil-grawnd makng l-iskor 16-10 intemm fil-punti?</v>
      </c>
    </row>
    <row r="13114" ht="15.75" customHeight="1">
      <c r="A13114" s="2" t="s">
        <v>13114</v>
      </c>
      <c r="B13114" s="2" t="str">
        <f>IFERROR(__xludf.DUMMYFUNCTION("GOOGLETRANSLATE(A13114, ""en"", ""mt"")"),"X'inhu l-isem tal-organizzazzjoni inkarigata mit-tmexxija tal-klabbs fl-università?")</f>
        <v>X'inhu l-isem tal-organizzazzjoni inkarigata mit-tmexxija tal-klabbs fl-università?</v>
      </c>
    </row>
    <row r="13115" ht="15.75" customHeight="1">
      <c r="A13115" s="2" t="s">
        <v>13115</v>
      </c>
      <c r="B13115" s="2" t="str">
        <f>IFERROR(__xludf.DUMMYFUNCTION("GOOGLETRANSLATE(A13115, ""en"", ""mt"")"),"huma ewlenin. In-numri ewlenin ta 'din il-forma huma magħrufa bħala primes fattwali. Primes oħra fejn jew P + 1 jew P - 1 huma ta 'forma partikolari jinkludu s-Sophie Germain Primes (primes tal-Formola 2P + 1 bi P prim), primes primorial, Fermat Primes u "&amp;"Mersenne Primes, jiġifieri, numri ewlenin li huma tal-forma 2p - 1, fejn P hija prim arbitrarju. It-test Lucas-Lehmer huwa partikolarment mgħaġġel għan-numri ta 'din il-forma. Din hija r-raġuni għaliex l-akbar prim magħruf kważi dejjem kien Mersenne prim "&amp;"mill-bidunett tal-kompjuters elettroniċi.")</f>
        <v>huma ewlenin. In-numri ewlenin ta 'din il-forma huma magħrufa bħala primes fattwali. Primes oħra fejn jew P + 1 jew P - 1 huma ta 'forma partikolari jinkludu s-Sophie Germain Primes (primes tal-Formola 2P + 1 bi P prim), primes primorial, Fermat Primes u Mersenne Primes, jiġifieri, numri ewlenin li huma tal-forma 2p - 1, fejn P hija prim arbitrarju. It-test Lucas-Lehmer huwa partikolarment mgħaġġel għan-numri ta 'din il-forma. Din hija r-raġuni għaliex l-akbar prim magħruf kważi dejjem kien Mersenne prim mill-bidunett tal-kompjuters elettroniċi.</v>
      </c>
    </row>
    <row r="13116" ht="15.75" customHeight="1">
      <c r="A13116" s="2" t="s">
        <v>13116</v>
      </c>
      <c r="B13116" s="2" t="str">
        <f>IFERROR(__xludf.DUMMYFUNCTION("GOOGLETRANSLATE(A13116, ""en"", ""mt"")"),"Infinit")</f>
        <v>Infinit</v>
      </c>
    </row>
    <row r="13117" ht="15.75" customHeight="1">
      <c r="A13117" s="2" t="s">
        <v>13117</v>
      </c>
      <c r="B13117" s="2" t="str">
        <f>IFERROR(__xludf.DUMMYFUNCTION("GOOGLETRANSLATE(A13117, ""en"", ""mt"")"),"Liema parti hija l-iktar b'saħħitha fir-reġjuni tal-Majjistral u tal-Lvant tar-Rabat?")</f>
        <v>Liema parti hija l-iktar b'saħħitha fir-reġjuni tal-Majjistral u tal-Lvant tar-Rabat?</v>
      </c>
    </row>
    <row r="13118" ht="15.75" customHeight="1">
      <c r="A13118" s="2" t="s">
        <v>13118</v>
      </c>
      <c r="B13118" s="2" t="str">
        <f>IFERROR(__xludf.DUMMYFUNCTION("GOOGLETRANSLATE(A13118, ""en"", ""mt"")"),"Min skopra l-fuħħar misjuba fuq il-Gżira tal-Hammock Iswed?")</f>
        <v>Min skopra l-fuħħar misjuba fuq il-Gżira tal-Hammock Iswed?</v>
      </c>
    </row>
    <row r="13119" ht="15.75" customHeight="1">
      <c r="A13119" s="2" t="s">
        <v>13119</v>
      </c>
      <c r="B13119" s="2" t="str">
        <f>IFERROR(__xludf.DUMMYFUNCTION("GOOGLETRANSLATE(A13119, ""en"", ""mt"")"),"X'inhuma l-katekiżmi ta 'Martin Luther miktuba?")</f>
        <v>X'inhuma l-katekiżmi ta 'Martin Luther miktuba?</v>
      </c>
    </row>
    <row r="13120" ht="15.75" customHeight="1">
      <c r="A13120" s="2" t="s">
        <v>13120</v>
      </c>
      <c r="B13120" s="2" t="str">
        <f>IFERROR(__xludf.DUMMYFUNCTION("GOOGLETRANSLATE(A13120, ""en"", ""mt"")"),"Xi jfisser l-ogħla livell tal-Vistula Plateau?")</f>
        <v>Xi jfisser l-ogħla livell tal-Vistula Plateau?</v>
      </c>
    </row>
    <row r="13121" ht="15.75" customHeight="1">
      <c r="A13121" s="2" t="s">
        <v>13121</v>
      </c>
      <c r="B13121" s="2" t="str">
        <f>IFERROR(__xludf.DUMMYFUNCTION("GOOGLETRANSLATE(A13121, ""en"", ""mt"")"),"jiksbu medikazzjoni kosteffikaċi")</f>
        <v>jiksbu medikazzjoni kosteffikaċi</v>
      </c>
    </row>
    <row r="13122" ht="15.75" customHeight="1">
      <c r="A13122" s="2" t="s">
        <v>13122</v>
      </c>
      <c r="B13122" s="2" t="str">
        <f>IFERROR(__xludf.DUMMYFUNCTION("GOOGLETRANSLATE(A13122, ""en"", ""mt"")"),"X'kien il-proporzjon ta 'kolonizzatur Brittaniku għall-Franċiż?")</f>
        <v>X'kien il-proporzjon ta 'kolonizzatur Brittaniku għall-Franċiż?</v>
      </c>
    </row>
    <row r="13123" ht="15.75" customHeight="1">
      <c r="A13123" s="2" t="s">
        <v>13123</v>
      </c>
      <c r="B13123" s="2" t="str">
        <f>IFERROR(__xludf.DUMMYFUNCTION("GOOGLETRANSLATE(A13123, ""en"", ""mt"")"),"Swieq żgħar ħafna kellhom jistennew sa liema għaxar snin jappoġġjaw affiljat ABC?")</f>
        <v>Swieq żgħar ħafna kellhom jistennew sa liema għaxar snin jappoġġjaw affiljat ABC?</v>
      </c>
    </row>
    <row r="13124" ht="15.75" customHeight="1">
      <c r="A13124" s="2" t="s">
        <v>13124</v>
      </c>
      <c r="B13124" s="2" t="str">
        <f>IFERROR(__xludf.DUMMYFUNCTION("GOOGLETRANSLATE(A13124, ""en"", ""mt"")"),"Kaxxa Skyhd")</f>
        <v>Kaxxa Skyhd</v>
      </c>
    </row>
    <row r="13125" ht="15.75" customHeight="1">
      <c r="A13125" s="2" t="s">
        <v>13125</v>
      </c>
      <c r="B13125" s="2" t="str">
        <f>IFERROR(__xludf.DUMMYFUNCTION("GOOGLETRANSLATE(A13125, ""en"", ""mt"")"),"It-te, il-kafè, is-sisal, il-piretru, il-qamħ, u l-qamħ huma mkabbra fl-artijiet fertili, wieħed mir-reġjuni tal-produzzjoni agrikola l-aktar ta ’suċċess fl-Afrika. Il-bhejjem jippredomina fis-savana semi-arida fit-tramuntana u l-lvant. Indi, ananas, ġewż"&amp;" tal-anakardju, qoton, kannamieli, sisal, u qamħ huma mkabbra fiż-żoni li jinsabu aktar baxxi. Sfortunatament, il-pajjiż ma laħaqx il-livell ta 'investiment u effiċjenza fl-agrikoltura li jista' jiggarantixxi s-sigurtà tal-ikel u flimkien mal-faqar li jir"&amp;"riżulta (53% tal-popolazzjoni tgħix taħt il-linja tal-faqar), porzjon sinifikanti tal-popolazzjoni regolarment il-ġuħ u tiddependi ħafna fuq l-għajnuna tal-ikel. Toroq foqra, netwerk ferrovjarju inadegwat, trasport tal-ilma użat taħt l-ilma u trasport bl-"&amp;"ajru għaljin l-aktar żoni aridi u semi-aridi u bdiewa f'reġjuni oħra ħafna drabi jħallu l-ikel jitħassar fl-għelieqi minħabba li ma jistgħux jaċċessaw is-swieq. Dan deher l-aħħar f’Awwissu u f’Settembru 2011 li wassal lill-Kenjani għall-Inizjattiva tal-Ke"&amp;"nja mis-Salib l-Aħmar.")</f>
        <v>It-te, il-kafè, is-sisal, il-piretru, il-qamħ, u l-qamħ huma mkabbra fl-artijiet fertili, wieħed mir-reġjuni tal-produzzjoni agrikola l-aktar ta ’suċċess fl-Afrika. Il-bhejjem jippredomina fis-savana semi-arida fit-tramuntana u l-lvant. Indi, ananas, ġewż tal-anakardju, qoton, kannamieli, sisal, u qamħ huma mkabbra fiż-żoni li jinsabu aktar baxxi. Sfortunatament, il-pajjiż ma laħaqx il-livell ta 'investiment u effiċjenza fl-agrikoltura li jista' jiggarantixxi s-sigurtà tal-ikel u flimkien mal-faqar li jirriżulta (53% tal-popolazzjoni tgħix taħt il-linja tal-faqar), porzjon sinifikanti tal-popolazzjoni regolarment il-ġuħ u tiddependi ħafna fuq l-għajnuna tal-ikel. Toroq foqra, netwerk ferrovjarju inadegwat, trasport tal-ilma użat taħt l-ilma u trasport bl-ajru għaljin l-aktar żoni aridi u semi-aridi u bdiewa f'reġjuni oħra ħafna drabi jħallu l-ikel jitħassar fl-għelieqi minħabba li ma jistgħux jaċċessaw is-swieq. Dan deher l-aħħar f’Awwissu u f’Settembru 2011 li wassal lill-Kenjani għall-Inizjattiva tal-Kenja mis-Salib l-Aħmar.</v>
      </c>
    </row>
    <row r="13126" ht="15.75" customHeight="1">
      <c r="A13126" s="2" t="s">
        <v>13126</v>
      </c>
      <c r="B13126" s="2" t="str">
        <f>IFERROR(__xludf.DUMMYFUNCTION("GOOGLETRANSLATE(A13126, ""en"", ""mt"")"),"Turabi kif bena bażi ekonomika qawwija?")</f>
        <v>Turabi kif bena bażi ekonomika qawwija?</v>
      </c>
    </row>
    <row r="13127" ht="15.75" customHeight="1">
      <c r="A13127" s="2" t="s">
        <v>13127</v>
      </c>
      <c r="B13127" s="2" t="str">
        <f>IFERROR(__xludf.DUMMYFUNCTION("GOOGLETRANSLATE(A13127, ""en"", ""mt"")"),"Liema prinċipju huwa bbażat fuq id-dehra tal-fossili fil-blat sedimentarji?")</f>
        <v>Liema prinċipju huwa bbażat fuq id-dehra tal-fossili fil-blat sedimentarji?</v>
      </c>
    </row>
    <row r="13128" ht="15.75" customHeight="1">
      <c r="A13128" s="2" t="s">
        <v>13128</v>
      </c>
      <c r="B13128" s="2" t="str">
        <f>IFERROR(__xludf.DUMMYFUNCTION("GOOGLETRANSLATE(A13128, ""en"", ""mt"")"),"Interventi fuq livell individwali")</f>
        <v>Interventi fuq livell individwali</v>
      </c>
    </row>
    <row r="13129" ht="15.75" customHeight="1">
      <c r="A13129" s="2" t="s">
        <v>13129</v>
      </c>
      <c r="B13129" s="2" t="str">
        <f>IFERROR(__xludf.DUMMYFUNCTION("GOOGLETRANSLATE(A13129, ""en"", ""mt"")"),"Meta t-terminu imperjalizmu l-ewwel ġie użat mid-definizzjoni attwali tiegħu?")</f>
        <v>Meta t-terminu imperjalizmu l-ewwel ġie użat mid-definizzjoni attwali tiegħu?</v>
      </c>
    </row>
    <row r="13130" ht="15.75" customHeight="1">
      <c r="A13130" s="2" t="s">
        <v>13130</v>
      </c>
      <c r="B13130" s="2" t="str">
        <f>IFERROR(__xludf.DUMMYFUNCTION("GOOGLETRANSLATE(A13130, ""en"", ""mt"")"),"Qatt kien hemm xi ħadd inkarigat li jimporta mediċini mill-Kanada għal użu mediċinali personali?")</f>
        <v>Qatt kien hemm xi ħadd inkarigat li jimporta mediċini mill-Kanada għal użu mediċinali personali?</v>
      </c>
    </row>
    <row r="13131" ht="15.75" customHeight="1">
      <c r="A13131" s="2" t="s">
        <v>13131</v>
      </c>
      <c r="B13131" s="2" t="str">
        <f>IFERROR(__xludf.DUMMYFUNCTION("GOOGLETRANSLATE(A13131, ""en"", ""mt"")"),"Liġi u Filosofija")</f>
        <v>Liġi u Filosofija</v>
      </c>
    </row>
    <row r="13132" ht="15.75" customHeight="1">
      <c r="A13132" s="2" t="s">
        <v>13132</v>
      </c>
      <c r="B13132" s="2" t="str">
        <f>IFERROR(__xludf.DUMMYFUNCTION("GOOGLETRANSLATE(A13132, ""en"", ""mt"")"),"Rally safari")</f>
        <v>Rally safari</v>
      </c>
    </row>
    <row r="13133" ht="15.75" customHeight="1">
      <c r="A13133" s="2" t="s">
        <v>13133</v>
      </c>
      <c r="B13133" s="2" t="str">
        <f>IFERROR(__xludf.DUMMYFUNCTION("GOOGLETRANSLATE(A13133, ""en"", ""mt"")"),"Fejn issa tinsab il-gallerija tal-iskultura?")</f>
        <v>Fejn issa tinsab il-gallerija tal-iskultura?</v>
      </c>
    </row>
    <row r="13134" ht="15.75" customHeight="1">
      <c r="A13134" s="2" t="s">
        <v>13134</v>
      </c>
      <c r="B13134" s="2" t="str">
        <f>IFERROR(__xludf.DUMMYFUNCTION("GOOGLETRANSLATE(A13134, ""en"", ""mt"")"),"Liema speċi ta 'siġar hija mħawla fiż-żewġ kantunieri mill-faċċata tat-tramuntana?")</f>
        <v>Liema speċi ta 'siġar hija mħawla fiż-żewġ kantunieri mill-faċċata tat-tramuntana?</v>
      </c>
    </row>
    <row r="13135" ht="15.75" customHeight="1">
      <c r="A13135" s="2" t="s">
        <v>13135</v>
      </c>
      <c r="B13135" s="2" t="str">
        <f>IFERROR(__xludf.DUMMYFUNCTION("GOOGLETRANSLATE(A13135, ""en"", ""mt"")"),"sistema legali")</f>
        <v>sistema legali</v>
      </c>
    </row>
    <row r="13136" ht="15.75" customHeight="1">
      <c r="A13136" s="2" t="s">
        <v>13136</v>
      </c>
      <c r="B13136" s="2" t="str">
        <f>IFERROR(__xludf.DUMMYFUNCTION("GOOGLETRANSLATE(A13136, ""en"", ""mt"")"),"skola")</f>
        <v>skola</v>
      </c>
    </row>
    <row r="13137" ht="15.75" customHeight="1">
      <c r="A13137" s="2" t="s">
        <v>13137</v>
      </c>
      <c r="B13137" s="2" t="str">
        <f>IFERROR(__xludf.DUMMYFUNCTION("GOOGLETRANSLATE(A13137, ""en"", ""mt"")"),"X'inhu t-tieni ajruport l-iktar traffikuż fl-Istati Uniti?")</f>
        <v>X'inhu t-tieni ajruport l-iktar traffikuż fl-Istati Uniti?</v>
      </c>
    </row>
    <row r="13138" ht="15.75" customHeight="1">
      <c r="A13138" s="2" t="s">
        <v>13138</v>
      </c>
      <c r="B13138" s="2" t="str">
        <f>IFERROR(__xludf.DUMMYFUNCTION("GOOGLETRANSLATE(A13138, ""en"", ""mt"")"),"Liema grupp speċifikament oppona l-Huguenots?")</f>
        <v>Liema grupp speċifikament oppona l-Huguenots?</v>
      </c>
    </row>
    <row r="13139" ht="15.75" customHeight="1">
      <c r="A13139" s="2" t="s">
        <v>13139</v>
      </c>
      <c r="B13139" s="2" t="str">
        <f>IFERROR(__xludf.DUMMYFUNCTION("GOOGLETRANSLATE(A13139, ""en"", ""mt"")"),"Liema konġettura żżomm li kull numru sħiħ n akbar minn 2 jista 'jiġi espress bħala somma ta' żewġ primes?")</f>
        <v>Liema konġettura żżomm li kull numru sħiħ n akbar minn 2 jista 'jiġi espress bħala somma ta' żewġ primes?</v>
      </c>
    </row>
    <row r="13140" ht="15.75" customHeight="1">
      <c r="A13140" s="2" t="s">
        <v>13140</v>
      </c>
      <c r="B13140" s="2" t="str">
        <f>IFERROR(__xludf.DUMMYFUNCTION("GOOGLETRANSLATE(A13140, ""en"", ""mt"")"),"San Ġwanni l-Battista")</f>
        <v>San Ġwanni l-Battista</v>
      </c>
    </row>
    <row r="13141" ht="15.75" customHeight="1">
      <c r="A13141" s="2" t="s">
        <v>13141</v>
      </c>
      <c r="B13141" s="2" t="str">
        <f>IFERROR(__xludf.DUMMYFUNCTION("GOOGLETRANSLATE(A13141, ""en"", ""mt"")"),"Fil-preżent, il-fergħat ta 'Waal u Nederrijn-Lek jeħilsu lejn il-Baħar tat-Tramuntana, permezz tal-Estwarju ta' Meuse ta 'qabel, qrib Rotterdam. Il-fergħa tax-Xmara IJSSel tgħaddi lejn it-tramuntana u tidħol fl-IJsselmeer, li qabel kienet il-Laguna Zuider"&amp;" Zee Brackish; Madankollu, mill-1932, lag tal-ilma ħelu. Il-kwittanza tar-Rhine hija maqsuma bejn tliet fergħat: ix-xmara waal (6/9 ta 'kwittanza totali), ix-xmara Nederrijn - Lek (2/9 ta' kwittanza totali) u l-ijssel tax-xmara (1/9 ta 'kwittanza totali)."&amp;" Din id-distribuzzjoni tal-kwittanza ilha tinżamm mill-1709, permezz ta 'xogħlijiet ta' inġinerija tax-xmajjar, inkluż it-tħaffir tal-kanal Pannerdens u sa mis-seklu 20, bl-għajnuna ta 'weirs fix-xmara Nederrijn.")</f>
        <v>Fil-preżent, il-fergħat ta 'Waal u Nederrijn-Lek jeħilsu lejn il-Baħar tat-Tramuntana, permezz tal-Estwarju ta' Meuse ta 'qabel, qrib Rotterdam. Il-fergħa tax-Xmara IJSSel tgħaddi lejn it-tramuntana u tidħol fl-IJsselmeer, li qabel kienet il-Laguna Zuider Zee Brackish; Madankollu, mill-1932, lag tal-ilma ħelu. Il-kwittanza tar-Rhine hija maqsuma bejn tliet fergħat: ix-xmara waal (6/9 ta 'kwittanza totali), ix-xmara Nederrijn - Lek (2/9 ta' kwittanza totali) u l-ijssel tax-xmara (1/9 ta 'kwittanza totali). Din id-distribuzzjoni tal-kwittanza ilha tinżamm mill-1709, permezz ta 'xogħlijiet ta' inġinerija tax-xmajjar, inkluż it-tħaffir tal-kanal Pannerdens u sa mis-seklu 20, bl-għajnuna ta 'weirs fix-xmara Nederrijn.</v>
      </c>
    </row>
    <row r="13142" ht="15.75" customHeight="1">
      <c r="A13142" s="2" t="s">
        <v>13142</v>
      </c>
      <c r="B13142" s="2" t="str">
        <f>IFERROR(__xludf.DUMMYFUNCTION("GOOGLETRANSLATE(A13142, ""en"", ""mt"")"),"Konferenza Annwali")</f>
        <v>Konferenza Annwali</v>
      </c>
    </row>
    <row r="13143" ht="15.75" customHeight="1">
      <c r="A13143" s="2" t="s">
        <v>13143</v>
      </c>
      <c r="B13143" s="2" t="str">
        <f>IFERROR(__xludf.DUMMYFUNCTION("GOOGLETRANSLATE(A13143, ""en"", ""mt"")"),"notazzjoni binarja")</f>
        <v>notazzjoni binarja</v>
      </c>
    </row>
    <row r="13144" ht="15.75" customHeight="1">
      <c r="A13144" s="2" t="s">
        <v>13144</v>
      </c>
      <c r="B13144" s="2" t="str">
        <f>IFERROR(__xludf.DUMMYFUNCTION("GOOGLETRANSLATE(A13144, ""en"", ""mt"")"),"Nuqqas ta 'għalliema rġiel")</f>
        <v>Nuqqas ta 'għalliema rġiel</v>
      </c>
    </row>
    <row r="13145" ht="15.75" customHeight="1">
      <c r="A13145" s="2" t="s">
        <v>13145</v>
      </c>
      <c r="B13145" s="2" t="str">
        <f>IFERROR(__xludf.DUMMYFUNCTION("GOOGLETRANSLATE(A13145, ""en"", ""mt"")"),"Għal xiex intużaw spazji vojta fuq mapep tas-seklu dsatax?")</f>
        <v>Għal xiex intużaw spazji vojta fuq mapep tas-seklu dsatax?</v>
      </c>
    </row>
    <row r="13146" ht="15.75" customHeight="1">
      <c r="A13146" s="2" t="s">
        <v>13146</v>
      </c>
      <c r="B13146" s="2" t="str">
        <f>IFERROR(__xludf.DUMMYFUNCTION("GOOGLETRANSLATE(A13146, ""en"", ""mt"")"),"bejn Franza l-ġdida u l-kolonji Ingliżi")</f>
        <v>bejn Franza l-ġdida u l-kolonji Ingliżi</v>
      </c>
    </row>
    <row r="13147" ht="15.75" customHeight="1">
      <c r="A13147" s="2" t="s">
        <v>13147</v>
      </c>
      <c r="B13147" s="2" t="str">
        <f>IFERROR(__xludf.DUMMYFUNCTION("GOOGLETRANSLATE(A13147, ""en"", ""mt"")"),"X'inhu pajjiż wieħed li ġie ssuġġerit għall-importazzjoni ta 'mediċini?")</f>
        <v>X'inhu pajjiż wieħed li ġie ssuġġerit għall-importazzjoni ta 'mediċini?</v>
      </c>
    </row>
    <row r="13148" ht="15.75" customHeight="1">
      <c r="A13148" s="2" t="s">
        <v>13148</v>
      </c>
      <c r="B13148" s="2" t="str">
        <f>IFERROR(__xludf.DUMMYFUNCTION("GOOGLETRANSLATE(A13148, ""en"", ""mt"")"),"Spanjol")</f>
        <v>Spanjol</v>
      </c>
    </row>
    <row r="13149" ht="15.75" customHeight="1">
      <c r="A13149" s="2" t="s">
        <v>13149</v>
      </c>
      <c r="B13149" s="2" t="str">
        <f>IFERROR(__xludf.DUMMYFUNCTION("GOOGLETRANSLATE(A13149, ""en"", ""mt"")"),"Min iffaċċjaw il-Panthers fil-logħba tal-Kampjonat NFC?")</f>
        <v>Min iffaċċjaw il-Panthers fil-logħba tal-Kampjonat NFC?</v>
      </c>
    </row>
    <row r="13150" ht="15.75" customHeight="1">
      <c r="A13150" s="2" t="s">
        <v>13150</v>
      </c>
      <c r="B13150" s="2" t="str">
        <f>IFERROR(__xludf.DUMMYFUNCTION("GOOGLETRANSLATE(A13150, ""en"", ""mt"")"),"Għalkemm il-magna tal-fwar reċiprokanti m'għadhiex f'użu kummerċjali mifrux, diversi kumpaniji qed jesploraw jew jisfruttaw il-potenzjal tal-magna bħala alternattiva għal magni ta 'kombustjoni interna. Il-kumpanija EnerGiprojekt AB fl-Iżvezja għamlet prog"&amp;"ress fl-użu ta 'materjali moderni għall-użu tal-qawwa tal-fwar. L-effiċjenza tal-magna tal-fwar ta 'Energiprojekt tilħaq madwar 27-30% fuq magni bi pressjoni għolja. Hija magna ta '5-ċilindru ta' pass wieħed (mingħajr kompost) bi fwar imsaħħan u tikkonsma"&amp;" madwar. 4 kg (8.8 lb) ta 'fwar għal kull kWh [mhux fiċ-ċitazzjoni mogħtija]")</f>
        <v>Għalkemm il-magna tal-fwar reċiprokanti m'għadhiex f'użu kummerċjali mifrux, diversi kumpaniji qed jesploraw jew jisfruttaw il-potenzjal tal-magna bħala alternattiva għal magni ta 'kombustjoni interna. Il-kumpanija EnerGiprojekt AB fl-Iżvezja għamlet progress fl-użu ta 'materjali moderni għall-użu tal-qawwa tal-fwar. L-effiċjenza tal-magna tal-fwar ta 'Energiprojekt tilħaq madwar 27-30% fuq magni bi pressjoni għolja. Hija magna ta '5-ċilindru ta' pass wieħed (mingħajr kompost) bi fwar imsaħħan u tikkonsma madwar. 4 kg (8.8 lb) ta 'fwar għal kull kWh [mhux fiċ-ċitazzjoni mogħtija]</v>
      </c>
    </row>
    <row r="13151" ht="15.75" customHeight="1">
      <c r="A13151" s="2" t="s">
        <v>13151</v>
      </c>
      <c r="B13151" s="2" t="str">
        <f>IFERROR(__xludf.DUMMYFUNCTION("GOOGLETRANSLATE(A13151, ""en"", ""mt"")"),"Meta ġiet stabbilita l-belt ta 'Malindi?")</f>
        <v>Meta ġiet stabbilita l-belt ta 'Malindi?</v>
      </c>
    </row>
    <row r="13152" ht="15.75" customHeight="1">
      <c r="A13152" s="2" t="s">
        <v>13152</v>
      </c>
      <c r="B13152" s="2" t="str">
        <f>IFERROR(__xludf.DUMMYFUNCTION("GOOGLETRANSLATE(A13152, ""en"", ""mt"")"),"Nofs l-Eġen")</f>
        <v>Nofs l-Eġen</v>
      </c>
    </row>
    <row r="13153" ht="15.75" customHeight="1">
      <c r="A13153" s="2" t="s">
        <v>13153</v>
      </c>
      <c r="B13153" s="2" t="str">
        <f>IFERROR(__xludf.DUMMYFUNCTION("GOOGLETRANSLATE(A13153, ""en"", ""mt"")"),"jinkorporaw in-nematokisti tal-priża tagħhom (ċelloli stinging) fit-tentakli tagħhom stess minflok kolloblasti")</f>
        <v>jinkorporaw in-nematokisti tal-priża tagħhom (ċelloli stinging) fit-tentakli tagħhom stess minflok kolloblasti</v>
      </c>
    </row>
    <row r="13154" ht="15.75" customHeight="1">
      <c r="A13154" s="2" t="s">
        <v>13154</v>
      </c>
      <c r="B13154" s="2" t="str">
        <f>IFERROR(__xludf.DUMMYFUNCTION("GOOGLETRANSLATE(A13154, ""en"", ""mt"")"),"X'kienet il-porzjon ta 'l-Amerika ta' Fuq tal-Gwerra ta 'Suċċessjoni Awstrijaka?")</f>
        <v>X'kienet il-porzjon ta 'l-Amerika ta' Fuq tal-Gwerra ta 'Suċċessjoni Awstrijaka?</v>
      </c>
    </row>
    <row r="13155" ht="15.75" customHeight="1">
      <c r="A13155" s="2" t="s">
        <v>13155</v>
      </c>
      <c r="B13155" s="2" t="str">
        <f>IFERROR(__xludf.DUMMYFUNCTION("GOOGLETRANSLATE(A13155, ""en"", ""mt"")"),"Tekniki kartografiċi tas-seklu dsatax")</f>
        <v>Tekniki kartografiċi tas-seklu dsatax</v>
      </c>
    </row>
    <row r="13156" ht="15.75" customHeight="1">
      <c r="A13156" s="2" t="s">
        <v>13156</v>
      </c>
      <c r="B13156" s="2" t="str">
        <f>IFERROR(__xludf.DUMMYFUNCTION("GOOGLETRANSLATE(A13156, ""en"", ""mt"")"),"Wara li tlestiet l-għaqda bejn ABC u Capital Cities, x'kienet il-kumpanija li tirriżulta bħala?")</f>
        <v>Wara li tlestiet l-għaqda bejn ABC u Capital Cities, x'kienet il-kumpanija li tirriżulta bħala?</v>
      </c>
    </row>
    <row r="13157" ht="15.75" customHeight="1">
      <c r="A13157" s="2" t="s">
        <v>13157</v>
      </c>
      <c r="B13157" s="2" t="str">
        <f>IFERROR(__xludf.DUMMYFUNCTION("GOOGLETRANSLATE(A13157, ""en"", ""mt"")"),"kiber fi privileġġ sostanzjali")</f>
        <v>kiber fi privileġġ sostanzjali</v>
      </c>
    </row>
    <row r="13158" ht="15.75" customHeight="1">
      <c r="A13158" s="2" t="s">
        <v>13158</v>
      </c>
      <c r="B13158" s="2" t="str">
        <f>IFERROR(__xludf.DUMMYFUNCTION("GOOGLETRANSLATE(A13158, ""en"", ""mt"")"),"forma ta 'bajd")</f>
        <v>forma ta 'bajd</v>
      </c>
    </row>
    <row r="13159" ht="15.75" customHeight="1">
      <c r="A13159" s="2" t="s">
        <v>13159</v>
      </c>
      <c r="B13159" s="2" t="str">
        <f>IFERROR(__xludf.DUMMYFUNCTION("GOOGLETRANSLATE(A13159, ""en"", ""mt"")"),"Għal kull wieħed mit-28 stat membru, kemm il-kummissarju huma rappreżentati għal kull wieħed?")</f>
        <v>Għal kull wieħed mit-28 stat membru, kemm il-kummissarju huma rappreżentati għal kull wieħed?</v>
      </c>
    </row>
    <row r="13160" ht="15.75" customHeight="1">
      <c r="A13160" s="2" t="s">
        <v>13160</v>
      </c>
      <c r="B13160" s="2" t="str">
        <f>IFERROR(__xludf.DUMMYFUNCTION("GOOGLETRANSLATE(A13160, ""en"", ""mt"")"),"X'inhu l-isem tas-servizz li jġib iċ-ċansijiet ta 'kuntratt ta' negozji lokali mas-Super Bowl?")</f>
        <v>X'inhu l-isem tas-servizz li jġib iċ-ċansijiet ta 'kuntratt ta' negozji lokali mas-Super Bowl?</v>
      </c>
    </row>
    <row r="13161" ht="15.75" customHeight="1">
      <c r="A13161" s="2" t="s">
        <v>13161</v>
      </c>
      <c r="B13161" s="2" t="str">
        <f>IFERROR(__xludf.DUMMYFUNCTION("GOOGLETRANSLATE(A13161, ""en"", ""mt"")"),"Liema organiżmi għandhom kloroplasti?")</f>
        <v>Liema organiżmi għandhom kloroplasti?</v>
      </c>
    </row>
    <row r="13162" ht="15.75" customHeight="1">
      <c r="A13162" s="2" t="s">
        <v>13162</v>
      </c>
      <c r="B13162" s="2" t="str">
        <f>IFERROR(__xludf.DUMMYFUNCTION("GOOGLETRANSLATE(A13162, ""en"", ""mt"")"),"Attivitajiet ta 'Muggers, Arsonists, Abbozzi ta' Evaders, Hecklers tal-Kampanja, Militanti tal-Kampus, Dimostranti Kontra l-Gwerra, Delinkwenti tal-Minorenni u Assassini Politiċi")</f>
        <v>Attivitajiet ta 'Muggers, Arsonists, Abbozzi ta' Evaders, Hecklers tal-Kampanja, Militanti tal-Kampus, Dimostranti Kontra l-Gwerra, Delinkwenti tal-Minorenni u Assassini Politiċi</v>
      </c>
    </row>
    <row r="13163" ht="15.75" customHeight="1">
      <c r="A13163" s="2" t="s">
        <v>13163</v>
      </c>
      <c r="B13163" s="2" t="str">
        <f>IFERROR(__xludf.DUMMYFUNCTION("GOOGLETRANSLATE(A13163, ""en"", ""mt"")"),"Diretti Diretti Ċivili")</f>
        <v>Diretti Diretti Ċivili</v>
      </c>
    </row>
    <row r="13164" ht="15.75" customHeight="1">
      <c r="A13164" s="2" t="s">
        <v>13164</v>
      </c>
      <c r="B13164" s="2" t="str">
        <f>IFERROR(__xludf.DUMMYFUNCTION("GOOGLETRANSLATE(A13164, ""en"", ""mt"")"),"Jailer u Hangman")</f>
        <v>Jailer u Hangman</v>
      </c>
    </row>
    <row r="13165" ht="15.75" customHeight="1">
      <c r="A13165" s="2" t="s">
        <v>13165</v>
      </c>
      <c r="B13165" s="2" t="str">
        <f>IFERROR(__xludf.DUMMYFUNCTION("GOOGLETRANSLATE(A13165, ""en"", ""mt"")"),"Appoġġ miċ-Ċina għal ferrovija ppjanata ta '$ 2.5 biljun")</f>
        <v>Appoġġ miċ-Ċina għal ferrovija ppjanata ta '$ 2.5 biljun</v>
      </c>
    </row>
    <row r="13166" ht="15.75" customHeight="1">
      <c r="A13166" s="2" t="s">
        <v>13166</v>
      </c>
      <c r="B13166" s="2" t="str">
        <f>IFERROR(__xludf.DUMMYFUNCTION("GOOGLETRANSLATE(A13166, ""en"", ""mt"")"),"it-tkabbir tal-produzzjoni tal-massa")</f>
        <v>it-tkabbir tal-produzzjoni tal-massa</v>
      </c>
    </row>
    <row r="13167" ht="15.75" customHeight="1">
      <c r="A13167" s="2" t="s">
        <v>13167</v>
      </c>
      <c r="B13167" s="2" t="str">
        <f>IFERROR(__xludf.DUMMYFUNCTION("GOOGLETRANSLATE(A13167, ""en"", ""mt"")"),"kompetenzi devoluti")</f>
        <v>kompetenzi devoluti</v>
      </c>
    </row>
    <row r="13168" ht="15.75" customHeight="1">
      <c r="A13168" s="2" t="s">
        <v>13168</v>
      </c>
      <c r="B13168" s="2" t="str">
        <f>IFERROR(__xludf.DUMMYFUNCTION("GOOGLETRANSLATE(A13168, ""en"", ""mt"")"),"X'kienet l-okkupazzjoni ta 'missier Tesla?")</f>
        <v>X'kienet l-okkupazzjoni ta 'missier Tesla?</v>
      </c>
    </row>
    <row r="13169" ht="15.75" customHeight="1">
      <c r="A13169" s="2" t="s">
        <v>13169</v>
      </c>
      <c r="B13169" s="2" t="str">
        <f>IFERROR(__xludf.DUMMYFUNCTION("GOOGLETRANSLATE(A13169, ""en"", ""mt"")"),"ħalla lil Graz u qatgħet ir-relazzjonijiet kollha mal-familja tiegħu")</f>
        <v>ħalla lil Graz u qatgħet ir-relazzjonijiet kollha mal-familja tiegħu</v>
      </c>
    </row>
    <row r="13170" ht="15.75" customHeight="1">
      <c r="A13170" s="2" t="s">
        <v>13170</v>
      </c>
      <c r="B13170" s="2" t="str">
        <f>IFERROR(__xludf.DUMMYFUNCTION("GOOGLETRANSLATE(A13170, ""en"", ""mt"")"),"skorpjun")</f>
        <v>skorpjun</v>
      </c>
    </row>
    <row r="13171" ht="15.75" customHeight="1">
      <c r="A13171" s="2" t="s">
        <v>13171</v>
      </c>
      <c r="B13171" s="2" t="str">
        <f>IFERROR(__xludf.DUMMYFUNCTION("GOOGLETRANSLATE(A13171, ""en"", ""mt"")"),"$ 414 miljun")</f>
        <v>$ 414 miljun</v>
      </c>
    </row>
    <row r="13172" ht="15.75" customHeight="1">
      <c r="A13172" s="2" t="s">
        <v>13172</v>
      </c>
      <c r="B13172" s="2" t="str">
        <f>IFERROR(__xludf.DUMMYFUNCTION("GOOGLETRANSLATE(A13172, ""en"", ""mt"")"),"idrofiliku")</f>
        <v>idrofiliku</v>
      </c>
    </row>
    <row r="13173" ht="15.75" customHeight="1">
      <c r="A13173" s="2" t="s">
        <v>13173</v>
      </c>
      <c r="B13173" s="2" t="str">
        <f>IFERROR(__xludf.DUMMYFUNCTION("GOOGLETRANSLATE(A13173, ""en"", ""mt"")"),"Tessut tal-collenchyma")</f>
        <v>Tessut tal-collenchyma</v>
      </c>
    </row>
    <row r="13174" ht="15.75" customHeight="1">
      <c r="A13174" s="2" t="s">
        <v>13174</v>
      </c>
      <c r="B13174" s="2" t="str">
        <f>IFERROR(__xludf.DUMMYFUNCTION("GOOGLETRANSLATE(A13174, ""en"", ""mt"")"),"Is-soluzzjoni tagħha teħtieġ riżorsi sinifikanti")</f>
        <v>Is-soluzzjoni tagħha teħtieġ riżorsi sinifikanti</v>
      </c>
    </row>
    <row r="13175" ht="15.75" customHeight="1">
      <c r="A13175" s="2" t="s">
        <v>13175</v>
      </c>
      <c r="B13175" s="2" t="str">
        <f>IFERROR(__xludf.DUMMYFUNCTION("GOOGLETRANSLATE(A13175, ""en"", ""mt"")"),"In-naħa ta 'ġewwa ta' ctenophore hija miksija b'liema?")</f>
        <v>In-naħa ta 'ġewwa ta' ctenophore hija miksija b'liema?</v>
      </c>
    </row>
    <row r="13176" ht="15.75" customHeight="1">
      <c r="A13176" s="2" t="s">
        <v>13176</v>
      </c>
      <c r="B13176" s="2" t="str">
        <f>IFERROR(__xludf.DUMMYFUNCTION("GOOGLETRANSLATE(A13176, ""en"", ""mt"")"),"agrikoltura")</f>
        <v>agrikoltura</v>
      </c>
    </row>
    <row r="13177" ht="15.75" customHeight="1">
      <c r="A13177" s="2" t="s">
        <v>13177</v>
      </c>
      <c r="B13177" s="2" t="str">
        <f>IFERROR(__xludf.DUMMYFUNCTION("GOOGLETRANSLATE(A13177, ""en"", ""mt"")"),"X'inhi s-sistema immuni?")</f>
        <v>X'inhi s-sistema immuni?</v>
      </c>
    </row>
    <row r="13178" ht="15.75" customHeight="1">
      <c r="A13178" s="2" t="s">
        <v>13178</v>
      </c>
      <c r="B13178" s="2" t="str">
        <f>IFERROR(__xludf.DUMMYFUNCTION("GOOGLETRANSLATE(A13178, ""en"", ""mt"")"),"Ir-rati ta 'żieda fil-livell tal-baħar naqsu")</f>
        <v>Ir-rati ta 'żieda fil-livell tal-baħar naqsu</v>
      </c>
    </row>
    <row r="13179" ht="15.75" customHeight="1">
      <c r="A13179" s="2" t="s">
        <v>13179</v>
      </c>
      <c r="B13179" s="2" t="str">
        <f>IFERROR(__xludf.DUMMYFUNCTION("GOOGLETRANSLATE(A13179, ""en"", ""mt"")"),"permezz ta ’Phowa u Siddhi")</f>
        <v>permezz ta ’Phowa u Siddhi</v>
      </c>
    </row>
    <row r="13180" ht="15.75" customHeight="1">
      <c r="A13180" s="2" t="s">
        <v>13180</v>
      </c>
      <c r="B13180" s="2" t="str">
        <f>IFERROR(__xludf.DUMMYFUNCTION("GOOGLETRANSLATE(A13180, ""en"", ""mt"")"),"Fuq liema hija l-biċċa l-kbira tat-tkabbir modern ta 'Varsavja?")</f>
        <v>Fuq liema hija l-biċċa l-kbira tat-tkabbir modern ta 'Varsavja?</v>
      </c>
    </row>
    <row r="13181" ht="15.75" customHeight="1">
      <c r="A13181" s="2" t="s">
        <v>13181</v>
      </c>
      <c r="B13181" s="2" t="str">
        <f>IFERROR(__xludf.DUMMYFUNCTION("GOOGLETRANSLATE(A13181, ""en"", ""mt"")"),"X'intuża mill-Punent biex tiġġustifika l-kontroll fuq it-territorji tal-Lvant?")</f>
        <v>X'intuża mill-Punent biex tiġġustifika l-kontroll fuq it-territorji tal-Lvant?</v>
      </c>
    </row>
    <row r="13182" ht="15.75" customHeight="1">
      <c r="A13182" s="2" t="s">
        <v>13182</v>
      </c>
      <c r="B13182" s="2" t="str">
        <f>IFERROR(__xludf.DUMMYFUNCTION("GOOGLETRANSLATE(A13182, ""en"", ""mt"")"),"Meta twaqqaf l-ABC1 minħabba telespettatur baxx?")</f>
        <v>Meta twaqqaf l-ABC1 minħabba telespettatur baxx?</v>
      </c>
    </row>
    <row r="13183" ht="15.75" customHeight="1">
      <c r="A13183" s="2" t="s">
        <v>13183</v>
      </c>
      <c r="B13183" s="2" t="str">
        <f>IFERROR(__xludf.DUMMYFUNCTION("GOOGLETRANSLATE(A13183, ""en"", ""mt"")"),"Riskji Ambjentali")</f>
        <v>Riskji Ambjentali</v>
      </c>
    </row>
    <row r="13184" ht="15.75" customHeight="1">
      <c r="A13184" s="2" t="s">
        <v>13184</v>
      </c>
      <c r="B13184" s="2" t="str">
        <f>IFERROR(__xludf.DUMMYFUNCTION("GOOGLETRANSLATE(A13184, ""en"", ""mt"")"),"X'tip ta 'klima għandu Jacksonville?")</f>
        <v>X'tip ta 'klima għandu Jacksonville?</v>
      </c>
    </row>
    <row r="13185" ht="15.75" customHeight="1">
      <c r="A13185" s="2" t="s">
        <v>13185</v>
      </c>
      <c r="B13185" s="2" t="str">
        <f>IFERROR(__xludf.DUMMYFUNCTION("GOOGLETRANSLATE(A13185, ""en"", ""mt"")"),"22 ta ’Ġunju 1857")</f>
        <v>22 ta ’Ġunju 1857</v>
      </c>
    </row>
    <row r="13186" ht="15.75" customHeight="1">
      <c r="A13186" s="2" t="s">
        <v>13186</v>
      </c>
      <c r="B13186" s="2" t="str">
        <f>IFERROR(__xludf.DUMMYFUNCTION("GOOGLETRANSLATE(A13186, ""en"", ""mt"")"),"Liema triq spazjali hija meqjusa bħala linja mgħawġa fl-ispazju?")</f>
        <v>Liema triq spazjali hija meqjusa bħala linja mgħawġa fl-ispazju?</v>
      </c>
    </row>
    <row r="13187" ht="15.75" customHeight="1">
      <c r="A13187" s="2" t="s">
        <v>13187</v>
      </c>
      <c r="B13187" s="2" t="str">
        <f>IFERROR(__xludf.DUMMYFUNCTION("GOOGLETRANSLATE(A13187, ""en"", ""mt"")"),"Fit-Tieni Gwerra Dinjija, Charles de Gaulle u l-Franċiżi ħielsa użaw il-kolonji barranin bħala bażi li minnhom huma ġġieldu biex jilliberaw lil Franza. Madankollu wara l-1945 movimenti anti-kolonjali bdew jikkontestaw l-imperu. Franza ġġieldet u tilfet gw"&amp;"erra morra fil-Vjetnam fil-ħamsinijiet. Billi huma rebħu l-gwerra fl-Alġerija, il-mexxej Franċiż dak iż-żmien, Charles de Gaulle, iddeċidew li jagħtu l-indipendenza tal-Alġerija xorta waħda fl-1962. Il-kolonizzaturi tagħha u ħafna partitarji lokali rrilok"&amp;"aw lejn Franza. Kważi l-kolonji kollha ta 'Franza kisbu l-indipendenza sal-1960, iżda Franza żammet influwenza finanzjarja u diplomatika kbira. Huwa ripetutament bagħat truppi biex jgħinu lill-kolonji preċedenti tagħha fl-Afrika biex irażżnu l-insurrezzjo"&amp;"nijiet u l-kolp ta 'stat.")</f>
        <v>Fit-Tieni Gwerra Dinjija, Charles de Gaulle u l-Franċiżi ħielsa użaw il-kolonji barranin bħala bażi li minnhom huma ġġieldu biex jilliberaw lil Franza. Madankollu wara l-1945 movimenti anti-kolonjali bdew jikkontestaw l-imperu. Franza ġġieldet u tilfet gwerra morra fil-Vjetnam fil-ħamsinijiet. Billi huma rebħu l-gwerra fl-Alġerija, il-mexxej Franċiż dak iż-żmien, Charles de Gaulle, iddeċidew li jagħtu l-indipendenza tal-Alġerija xorta waħda fl-1962. Il-kolonizzaturi tagħha u ħafna partitarji lokali rrilokaw lejn Franza. Kważi l-kolonji kollha ta 'Franza kisbu l-indipendenza sal-1960, iżda Franza żammet influwenza finanzjarja u diplomatika kbira. Huwa ripetutament bagħat truppi biex jgħinu lill-kolonji preċedenti tagħha fl-Afrika biex irażżnu l-insurrezzjonijiet u l-kolp ta 'stat.</v>
      </c>
    </row>
    <row r="13188" ht="15.75" customHeight="1">
      <c r="A13188" s="2" t="s">
        <v>13188</v>
      </c>
      <c r="B13188" s="2" t="str">
        <f>IFERROR(__xludf.DUMMYFUNCTION("GOOGLETRANSLATE(A13188, ""en"", ""mt"")"),"entużjasti")</f>
        <v>entużjasti</v>
      </c>
    </row>
    <row r="13189" ht="15.75" customHeight="1">
      <c r="A13189" s="2" t="s">
        <v>13189</v>
      </c>
      <c r="B13189" s="2" t="str">
        <f>IFERROR(__xludf.DUMMYFUNCTION("GOOGLETRANSLATE(A13189, ""en"", ""mt"")"),"Ċiniż")</f>
        <v>Ċiniż</v>
      </c>
    </row>
    <row r="13190" ht="15.75" customHeight="1">
      <c r="A13190" s="2" t="s">
        <v>13190</v>
      </c>
      <c r="B13190" s="2" t="str">
        <f>IFERROR(__xludf.DUMMYFUNCTION("GOOGLETRANSLATE(A13190, ""en"", ""mt"")"),"Tmien Presidenti tal-Istati Uniti")</f>
        <v>Tmien Presidenti tal-Istati Uniti</v>
      </c>
    </row>
    <row r="13191" ht="15.75" customHeight="1">
      <c r="A13191" s="2" t="s">
        <v>13191</v>
      </c>
      <c r="B13191" s="2" t="str">
        <f>IFERROR(__xludf.DUMMYFUNCTION("GOOGLETRANSLATE(A13191, ""en"", ""mt"")"),"maqlub")</f>
        <v>maqlub</v>
      </c>
    </row>
    <row r="13192" ht="15.75" customHeight="1">
      <c r="A13192" s="2" t="s">
        <v>13192</v>
      </c>
      <c r="B13192" s="2" t="str">
        <f>IFERROR(__xludf.DUMMYFUNCTION("GOOGLETRANSLATE(A13192, ""en"", ""mt"")"),"Liema xjenzati politiċi magħrufa bħalissa jinsabu fil-fakultà tal-università?")</f>
        <v>Liema xjenzati politiċi magħrufa bħalissa jinsabu fil-fakultà tal-università?</v>
      </c>
    </row>
    <row r="13193" ht="15.75" customHeight="1">
      <c r="A13193" s="2" t="s">
        <v>13193</v>
      </c>
      <c r="B13193" s="2" t="str">
        <f>IFERROR(__xludf.DUMMYFUNCTION("GOOGLETRANSLATE(A13193, ""en"", ""mt"")"),"Għaliex ġie ffurmat in-netwerk tal-mertu fil-Michigan")</f>
        <v>Għaliex ġie ffurmat in-netwerk tal-mertu fil-Michigan</v>
      </c>
    </row>
    <row r="13194" ht="15.75" customHeight="1">
      <c r="A13194" s="2" t="s">
        <v>13194</v>
      </c>
      <c r="B13194" s="2" t="str">
        <f>IFERROR(__xludf.DUMMYFUNCTION("GOOGLETRANSLATE(A13194, ""en"", ""mt"")"),"Xi wħud ma jaqblux ma 'tali oriġini lingwistika doppja jew tripla mhux Franċiża, li jargumentaw li biex il-kelma tinfirex f'użu komuni fi Franza, hija trid tkun oriġinat bil-lingwa Franċiża. L- ""Ipotesi Hugues"" targumenta li l-isem kien derivat minn ass"&amp;"oċjazzjoni ma 'Hugues Capet, ir-Re ta' Franza, li ssaltan ħafna qabel ir-Riforma. Huwa kien meqjus mill-Gallikani u l-Protestanti bħala raġel nobbli li rrispetta d-dinjità u l-ħajja tan-nies. Janet Gray u partitarji oħra tal-ipoteżi jissuġġerixxu li l-ise"&amp;"m Huguenote jkun bejn wieħed u ieħor ekwivalenti għal Little Hugos, jew dawk li jixtiequ Hugo.")</f>
        <v>Xi wħud ma jaqblux ma 'tali oriġini lingwistika doppja jew tripla mhux Franċiża, li jargumentaw li biex il-kelma tinfirex f'użu komuni fi Franza, hija trid tkun oriġinat bil-lingwa Franċiża. L- "Ipotesi Hugues" targumenta li l-isem kien derivat minn assoċjazzjoni ma 'Hugues Capet, ir-Re ta' Franza, li ssaltan ħafna qabel ir-Riforma. Huwa kien meqjus mill-Gallikani u l-Protestanti bħala raġel nobbli li rrispetta d-dinjità u l-ħajja tan-nies. Janet Gray u partitarji oħra tal-ipoteżi jissuġġerixxu li l-isem Huguenote jkun bejn wieħed u ieħor ekwivalenti għal Little Hugos, jew dawk li jixtiequ Hugo.</v>
      </c>
    </row>
    <row r="13195" ht="15.75" customHeight="1">
      <c r="A13195" s="2" t="s">
        <v>13195</v>
      </c>
      <c r="B13195" s="2" t="str">
        <f>IFERROR(__xludf.DUMMYFUNCTION("GOOGLETRANSLATE(A13195, ""en"", ""mt"")"),"Liema żewġ kummiedji dehru fuq il-formazzjoni l-ġdida tal-kummiedja tal-Erbgħa ABC?")</f>
        <v>Liema żewġ kummiedji dehru fuq il-formazzjoni l-ġdida tal-kummiedja tal-Erbgħa ABC?</v>
      </c>
    </row>
    <row r="13196" ht="15.75" customHeight="1">
      <c r="A13196" s="2" t="s">
        <v>13196</v>
      </c>
      <c r="B13196" s="2" t="str">
        <f>IFERROR(__xludf.DUMMYFUNCTION("GOOGLETRANSLATE(A13196, ""en"", ""mt"")"),"ħasbu lilhom infushom bħala aħjar")</f>
        <v>ħasbu lilhom infushom bħala aħjar</v>
      </c>
    </row>
    <row r="13197" ht="15.75" customHeight="1">
      <c r="A13197" s="2" t="s">
        <v>13197</v>
      </c>
      <c r="B13197" s="2" t="str">
        <f>IFERROR(__xludf.DUMMYFUNCTION("GOOGLETRANSLATE(A13197, ""en"", ""mt"")"),"proteini")</f>
        <v>proteini</v>
      </c>
    </row>
    <row r="13198" ht="15.75" customHeight="1">
      <c r="A13198" s="2" t="s">
        <v>13198</v>
      </c>
      <c r="B13198" s="2" t="str">
        <f>IFERROR(__xludf.DUMMYFUNCTION("GOOGLETRANSLATE(A13198, ""en"", ""mt"")"),"Denominazzjoni Protestanti Mainline")</f>
        <v>Denominazzjoni Protestanti Mainline</v>
      </c>
    </row>
    <row r="13199" ht="15.75" customHeight="1">
      <c r="A13199" s="2" t="s">
        <v>13199</v>
      </c>
      <c r="B13199" s="2" t="str">
        <f>IFERROR(__xludf.DUMMYFUNCTION("GOOGLETRANSLATE(A13199, ""en"", ""mt"")"),"2005 u 2010")</f>
        <v>2005 u 2010</v>
      </c>
    </row>
    <row r="13200" ht="15.75" customHeight="1">
      <c r="A13200" s="2" t="s">
        <v>13200</v>
      </c>
      <c r="B13200" s="2" t="str">
        <f>IFERROR(__xludf.DUMMYFUNCTION("GOOGLETRANSLATE(A13200, ""en"", ""mt"")"),"pieni")</f>
        <v>pieni</v>
      </c>
    </row>
    <row r="13201" ht="15.75" customHeight="1">
      <c r="A13201" s="2" t="s">
        <v>13201</v>
      </c>
      <c r="B13201" s="2" t="str">
        <f>IFERROR(__xludf.DUMMYFUNCTION("GOOGLETRANSLATE(A13201, ""en"", ""mt"")"),"Ħafna klassijiet ta 'kumplessità magħrufa huma suspettati li huma inugwali, iżda dan ma ġiex ippruvat. Pereżempju P ⊆ NP ⊆ PP ⊆ PSPACE, iżda huwa possibbli li P = PSPACE. Jekk P mhuwiex daqs NP, allura P lanqas huwa daqs PSPACE. Peress li hemm ħafna klass"&amp;"ijiet ta 'kumplessità magħrufa bejn P u PSPACE, bħal RP, BPP, PP, BQP, MA, PH, eċċ., Huwa possibbli li dawn il-klassijiet kollha ta' kumplessità jiġġarrfu għal klassi waħda. Li tipprova li xi waħda minn dawn il-klassijiet mhix ugwali tkun avvanz kbir fit-"&amp;"teorija tal-kumplessità.")</f>
        <v>Ħafna klassijiet ta 'kumplessità magħrufa huma suspettati li huma inugwali, iżda dan ma ġiex ippruvat. Pereżempju P ⊆ NP ⊆ PP ⊆ PSPACE, iżda huwa possibbli li P = PSPACE. Jekk P mhuwiex daqs NP, allura P lanqas huwa daqs PSPACE. Peress li hemm ħafna klassijiet ta 'kumplessità magħrufa bejn P u PSPACE, bħal RP, BPP, PP, BQP, MA, PH, eċċ., Huwa possibbli li dawn il-klassijiet kollha ta' kumplessità jiġġarrfu għal klassi waħda. Li tipprova li xi waħda minn dawn il-klassijiet mhix ugwali tkun avvanz kbir fit-teorija tal-kumplessità.</v>
      </c>
    </row>
    <row r="13202" ht="15.75" customHeight="1">
      <c r="A13202" s="2" t="s">
        <v>13202</v>
      </c>
      <c r="B13202" s="2" t="str">
        <f>IFERROR(__xludf.DUMMYFUNCTION("GOOGLETRANSLATE(A13202, ""en"", ""mt"")"),"Sal-1987, liema pożizzjoni ħadet il-Fratellanza Musulmana fil-Palestina lejn l-Iżrael?")</f>
        <v>Sal-1987, liema pożizzjoni ħadet il-Fratellanza Musulmana fil-Palestina lejn l-Iżrael?</v>
      </c>
    </row>
    <row r="13203" ht="15.75" customHeight="1">
      <c r="A13203" s="2" t="s">
        <v>13203</v>
      </c>
      <c r="B13203" s="2" t="str">
        <f>IFERROR(__xludf.DUMMYFUNCTION("GOOGLETRANSLATE(A13203, ""en"", ""mt"")"),"F'liema direzzjoni l-ilma fuq in-naħa tal-Lvant ħareġ?")</f>
        <v>F'liema direzzjoni l-ilma fuq in-naħa tal-Lvant ħareġ?</v>
      </c>
    </row>
    <row r="13204" ht="15.75" customHeight="1">
      <c r="A13204" s="2" t="s">
        <v>13204</v>
      </c>
      <c r="B13204" s="2" t="str">
        <f>IFERROR(__xludf.DUMMYFUNCTION("GOOGLETRANSLATE(A13204, ""en"", ""mt"")"),"Il-protesta għandha tinżamm it-triq kollha")</f>
        <v>Il-protesta għandha tinżamm it-triq kollha</v>
      </c>
    </row>
    <row r="13205" ht="15.75" customHeight="1">
      <c r="A13205" s="2" t="s">
        <v>13205</v>
      </c>
      <c r="B13205" s="2" t="str">
        <f>IFERROR(__xludf.DUMMYFUNCTION("GOOGLETRANSLATE(A13205, ""en"", ""mt"")"),"X'inhi t-traduzzjoni bl-Ingliż ta 'Tawhid?")</f>
        <v>X'inhi t-traduzzjoni bl-Ingliż ta 'Tawhid?</v>
      </c>
    </row>
    <row r="13206" ht="15.75" customHeight="1">
      <c r="A13206" s="2" t="s">
        <v>13206</v>
      </c>
      <c r="B13206" s="2" t="str">
        <f>IFERROR(__xludf.DUMMYFUNCTION("GOOGLETRANSLATE(A13206, ""en"", ""mt"")"),"f'kampi manjetiċi ħielsa mill-forza")</f>
        <v>f'kampi manjetiċi ħielsa mill-forza</v>
      </c>
    </row>
    <row r="13207" ht="15.75" customHeight="1">
      <c r="A13207" s="2" t="s">
        <v>13207</v>
      </c>
      <c r="B13207" s="2" t="str">
        <f>IFERROR(__xludf.DUMMYFUNCTION("GOOGLETRANSLATE(A13207, ""en"", ""mt"")"),"X’għamlet Tesla f’Diċembru 1878?")</f>
        <v>X’għamlet Tesla f’Diċembru 1878?</v>
      </c>
    </row>
    <row r="13208" ht="15.75" customHeight="1">
      <c r="A13208" s="2" t="s">
        <v>13208</v>
      </c>
      <c r="B13208" s="2" t="str">
        <f>IFERROR(__xludf.DUMMYFUNCTION("GOOGLETRANSLATE(A13208, ""en"", ""mt"")"),"Qorti Suprema tal-Istati Uniti")</f>
        <v>Qorti Suprema tal-Istati Uniti</v>
      </c>
    </row>
    <row r="13209" ht="15.75" customHeight="1">
      <c r="A13209" s="2" t="s">
        <v>13209</v>
      </c>
      <c r="B13209" s="2" t="str">
        <f>IFERROR(__xludf.DUMMYFUNCTION("GOOGLETRANSLATE(A13209, ""en"", ""mt"")"),"Fl-1987, qorti tal-Knisja Metodista Magħquda fi New Hampshire ħassret il-Ministru Metodista Rose Mary Denman talli tgħix miftuħ ma 'sieħeb tal-istess sess. Fl-2005, il-kredenzjali tal-kleru tneħħew minn Irene Elizabeth Stroud wara li nstabet ħatja fi proċ"&amp;"ess tal-knisja li kisret il-liġi tal-knisja billi involviet f'relazzjoni lesbjana; Din il-kundanna ġiet ikkonfermata aktar tard mill-Kunsill Ġudizzjarju, l-ogħla qorti fid-denominazzjoni. Il-Kunsill Ġudizzjarju afferma wkoll li ragħaj ta ’Virginia kellu d"&amp;"-dritt li jiċħad is-sħubija tal-knisja lokali lil raġel f’relazzjoni miftuħa omosesswali. Din l-affermazzjoni, madankollu, kienet ibbażata fuq id-dritt ta 'ragħaj anzjan li jiġġudika l-prontezza ta' kongregant biex jingħaqad bħala membru sħiħ tal-knisja. "&amp;"Madankollu, fl-istess ħin, il-Kunsill Ġudizzjarju tal-UMC, fl-2008, iddeċieda li l-konferenzi jistgħu jiddeterminaw il-politika tagħhom relatata mar-ragħajja transġeneru, u għalhekk xi konferenzi reġjonali vvutaw biex jirrikonoxxu r-ragħajja transġeneru o"&amp;"rdnati. Il-Konferenza ta 'l-UMC ta' Baltimore-Washington approvat il-ħatra ta 'lesbjani msieħba b'mod miftuħ għad-djakonat proviżorju.")</f>
        <v>Fl-1987, qorti tal-Knisja Metodista Magħquda fi New Hampshire ħassret il-Ministru Metodista Rose Mary Denman talli tgħix miftuħ ma 'sieħeb tal-istess sess. Fl-2005, il-kredenzjali tal-kleru tneħħew minn Irene Elizabeth Stroud wara li nstabet ħatja fi proċess tal-knisja li kisret il-liġi tal-knisja billi involviet f'relazzjoni lesbjana; Din il-kundanna ġiet ikkonfermata aktar tard mill-Kunsill Ġudizzjarju, l-ogħla qorti fid-denominazzjoni. Il-Kunsill Ġudizzjarju afferma wkoll li ragħaj ta ’Virginia kellu d-dritt li jiċħad is-sħubija tal-knisja lokali lil raġel f’relazzjoni miftuħa omosesswali. Din l-affermazzjoni, madankollu, kienet ibbażata fuq id-dritt ta 'ragħaj anzjan li jiġġudika l-prontezza ta' kongregant biex jingħaqad bħala membru sħiħ tal-knisja. Madankollu, fl-istess ħin, il-Kunsill Ġudizzjarju tal-UMC, fl-2008, iddeċieda li l-konferenzi jistgħu jiddeterminaw il-politika tagħhom relatata mar-ragħajja transġeneru, u għalhekk xi konferenzi reġjonali vvutaw biex jirrikonoxxu r-ragħajja transġeneru ordnati. Il-Konferenza ta 'l-UMC ta' Baltimore-Washington approvat il-ħatra ta 'lesbjani msieħba b'mod miftuħ għad-djakonat proviżorju.</v>
      </c>
    </row>
    <row r="13210" ht="15.75" customHeight="1">
      <c r="A13210" s="2" t="s">
        <v>13210</v>
      </c>
      <c r="B13210" s="2" t="str">
        <f>IFERROR(__xludf.DUMMYFUNCTION("GOOGLETRANSLATE(A13210, ""en"", ""mt"")"),"Liema entità għandha monopolju dwar il-bidu tal-leġislazzjoni?")</f>
        <v>Liema entità għandha monopolju dwar il-bidu tal-leġislazzjoni?</v>
      </c>
    </row>
    <row r="13211" ht="15.75" customHeight="1">
      <c r="A13211" s="2" t="s">
        <v>13211</v>
      </c>
      <c r="B13211" s="2" t="str">
        <f>IFERROR(__xludf.DUMMYFUNCTION("GOOGLETRANSLATE(A13211, ""en"", ""mt"")"),"jirrendu ċerti liġijiet ineffettivi, biex jikkawżaw ir-revoka tagħhom")</f>
        <v>jirrendu ċerti liġijiet ineffettivi, biex jikkawżaw ir-revoka tagħhom</v>
      </c>
    </row>
    <row r="13212" ht="15.75" customHeight="1">
      <c r="A13212" s="2" t="s">
        <v>13212</v>
      </c>
      <c r="B13212" s="2" t="str">
        <f>IFERROR(__xludf.DUMMYFUNCTION("GOOGLETRANSLATE(A13212, ""en"", ""mt"")"),"Missjoni għall-magħruf")</f>
        <v>Missjoni għall-magħruf</v>
      </c>
    </row>
    <row r="13213" ht="15.75" customHeight="1">
      <c r="A13213" s="2" t="s">
        <v>13213</v>
      </c>
      <c r="B13213" s="2" t="str">
        <f>IFERROR(__xludf.DUMMYFUNCTION("GOOGLETRANSLATE(A13213, ""en"", ""mt"")"),"Meta beda l-ossiġnu jiċċaqlaq mill-oċeani għall-atmosfera?")</f>
        <v>Meta beda l-ossiġnu jiċċaqlaq mill-oċeani għall-atmosfera?</v>
      </c>
    </row>
    <row r="13214" ht="15.75" customHeight="1">
      <c r="A13214" s="2" t="s">
        <v>13214</v>
      </c>
      <c r="B13214" s="2" t="str">
        <f>IFERROR(__xludf.DUMMYFUNCTION("GOOGLETRANSLATE(A13214, ""en"", ""mt"")"),"attiv")</f>
        <v>attiv</v>
      </c>
    </row>
    <row r="13215" ht="15.75" customHeight="1">
      <c r="A13215" s="2" t="s">
        <v>13215</v>
      </c>
      <c r="B13215" s="2" t="str">
        <f>IFERROR(__xludf.DUMMYFUNCTION("GOOGLETRANSLATE(A13215, ""en"", ""mt"")"),"irjiħat")</f>
        <v>irjiħat</v>
      </c>
    </row>
    <row r="13216" ht="15.75" customHeight="1">
      <c r="A13216" s="2" t="s">
        <v>13216</v>
      </c>
      <c r="B13216" s="2" t="str">
        <f>IFERROR(__xludf.DUMMYFUNCTION("GOOGLETRANSLATE(A13216, ""en"", ""mt"")"),"Des Moines College, Kalamazoo College, Butler University, u Stetson University")</f>
        <v>Des Moines College, Kalamazoo College, Butler University, u Stetson University</v>
      </c>
    </row>
    <row r="13217" ht="15.75" customHeight="1">
      <c r="A13217" s="2" t="s">
        <v>13217</v>
      </c>
      <c r="B13217" s="2" t="str">
        <f>IFERROR(__xludf.DUMMYFUNCTION("GOOGLETRANSLATE(A13217, ""en"", ""mt"")"),"xabla")</f>
        <v>xabla</v>
      </c>
    </row>
    <row r="13218" ht="15.75" customHeight="1">
      <c r="A13218" s="2" t="s">
        <v>13218</v>
      </c>
      <c r="B13218" s="2" t="str">
        <f>IFERROR(__xludf.DUMMYFUNCTION("GOOGLETRANSLATE(A13218, ""en"", ""mt"")"),"Kemm 'il bogħod minn Varsavja l-ambjent tax-Xmara Vistula jinbidel b'mod notevoli?")</f>
        <v>Kemm 'il bogħod minn Varsavja l-ambjent tax-Xmara Vistula jinbidel b'mod notevoli?</v>
      </c>
    </row>
    <row r="13219" ht="15.75" customHeight="1">
      <c r="A13219" s="2" t="s">
        <v>13219</v>
      </c>
      <c r="B13219" s="2" t="str">
        <f>IFERROR(__xludf.DUMMYFUNCTION("GOOGLETRANSLATE(A13219, ""en"", ""mt"")"),"Xjenza naturali")</f>
        <v>Xjenza naturali</v>
      </c>
    </row>
    <row r="13220" ht="15.75" customHeight="1">
      <c r="A13220" s="2" t="s">
        <v>13220</v>
      </c>
      <c r="B13220" s="2" t="str">
        <f>IFERROR(__xludf.DUMMYFUNCTION("GOOGLETRANSLATE(A13220, ""en"", ""mt"")"),"Dak li hu inkluż ma 'kull tikketta tal-pakkett")</f>
        <v>Dak li hu inkluż ma 'kull tikketta tal-pakkett</v>
      </c>
    </row>
    <row r="13221" ht="15.75" customHeight="1">
      <c r="A13221" s="2" t="s">
        <v>13221</v>
      </c>
      <c r="B13221" s="2" t="str">
        <f>IFERROR(__xludf.DUMMYFUNCTION("GOOGLETRANSLATE(A13221, ""en"", ""mt"")"),"Paul Baran żviluppa l-kunċett distribwit blokka ta 'messaġġi adattivi")</f>
        <v>Paul Baran żviluppa l-kunċett distribwit blokka ta 'messaġġi adattivi</v>
      </c>
    </row>
    <row r="13222" ht="15.75" customHeight="1">
      <c r="A13222" s="2" t="s">
        <v>13222</v>
      </c>
      <c r="B13222" s="2" t="str">
        <f>IFERROR(__xludf.DUMMYFUNCTION("GOOGLETRANSLATE(A13222, ""en"", ""mt"")"),"Lbies ta 'taħt imkessaħ bl-ilma")</f>
        <v>Lbies ta 'taħt imkessaħ bl-ilma</v>
      </c>
    </row>
    <row r="13223" ht="15.75" customHeight="1">
      <c r="A13223" s="2" t="s">
        <v>13223</v>
      </c>
      <c r="B13223" s="2" t="str">
        <f>IFERROR(__xludf.DUMMYFUNCTION("GOOGLETRANSLATE(A13223, ""en"", ""mt"")"),"Biex ""teqred"" il-ħlejjaq kollha mhux Dalek")</f>
        <v>Biex "teqred" il-ħlejjaq kollha mhux Dalek</v>
      </c>
    </row>
    <row r="13224" ht="15.75" customHeight="1">
      <c r="A13224" s="2" t="s">
        <v>13224</v>
      </c>
      <c r="B13224" s="2" t="str">
        <f>IFERROR(__xludf.DUMMYFUNCTION("GOOGLETRANSLATE(A13224, ""en"", ""mt"")"),"Deforestazzjoni fuq il-klima reġjonali")</f>
        <v>Deforestazzjoni fuq il-klima reġjonali</v>
      </c>
    </row>
    <row r="13225" ht="15.75" customHeight="1">
      <c r="A13225" s="2" t="s">
        <v>13225</v>
      </c>
      <c r="B13225" s="2" t="str">
        <f>IFERROR(__xludf.DUMMYFUNCTION("GOOGLETRANSLATE(A13225, ""en"", ""mt"")"),"Liema kanali kien jaħseb li Frank Marx se jkun irrekordjat mill-Armata ta 'l-Istati Uniti?")</f>
        <v>Liema kanali kien jaħseb li Frank Marx se jkun irrekordjat mill-Armata ta 'l-Istati Uniti?</v>
      </c>
    </row>
    <row r="13226" ht="15.75" customHeight="1">
      <c r="A13226" s="2" t="s">
        <v>13226</v>
      </c>
      <c r="B13226" s="2" t="str">
        <f>IFERROR(__xludf.DUMMYFUNCTION("GOOGLETRANSLATE(A13226, ""en"", ""mt"")"),"L-agrikoltura hija t-tieni l-akbar kontributur għall-prodott domestiku gross tal-Kenja (PDG), wara s-settur tas-servizzi. Fl-2005 l-agrikoltura, inkluża l-forestrija u s-sajd, kienet tirrappreżenta 24% tal-PDG, kif ukoll għal 18% tal-impjiegi bil-pagi u 5"&amp;"0% tad-dħul mill-esportazzjonijiet. L-uċuħ tal-flus ewlenin huma tè, prodotti ortikulturali, u kafè. Il-prodotti tal-ortikultura u t-te huma s-setturi ewlenin tat-tkabbir u l-iktar żewġ siewja mill-esportazzjonijiet kollha tal-Kenja. Il-produzzjoni ta 'st"&amp;"aples ewlenin tal-ikel bħall-qamħ hija soġġetta għal varjazzjonijiet li jaqtgħu relatati mat-temp. It-tnaqqis fil-produzzjoni perjodikament jeħtieġ għajnuna għall-ikel - pereżempju, fl-2004 għajnuna għal 1.8 miljun persuna minħabba waħda mill-nixfiet inte"&amp;"rmittenti tal-Kenja. [Ċitazzjoni meħtieġa]")</f>
        <v>L-agrikoltura hija t-tieni l-akbar kontributur għall-prodott domestiku gross tal-Kenja (PDG), wara s-settur tas-servizzi. Fl-2005 l-agrikoltura, inkluża l-forestrija u s-sajd, kienet tirrappreżenta 24% tal-PDG, kif ukoll għal 18% tal-impjiegi bil-pagi u 50% tad-dħul mill-esportazzjonijiet. L-uċuħ tal-flus ewlenin huma tè, prodotti ortikulturali, u kafè. Il-prodotti tal-ortikultura u t-te huma s-setturi ewlenin tat-tkabbir u l-iktar żewġ siewja mill-esportazzjonijiet kollha tal-Kenja. Il-produzzjoni ta 'staples ewlenin tal-ikel bħall-qamħ hija soġġetta għal varjazzjonijiet li jaqtgħu relatati mat-temp. It-tnaqqis fil-produzzjoni perjodikament jeħtieġ għajnuna għall-ikel - pereżempju, fl-2004 għajnuna għal 1.8 miljun persuna minħabba waħda mill-nixfiet intermittenti tal-Kenja. [Ċitazzjoni meħtieġa]</v>
      </c>
    </row>
    <row r="13227" ht="15.75" customHeight="1">
      <c r="A13227" s="2" t="s">
        <v>13227</v>
      </c>
      <c r="B13227" s="2" t="str">
        <f>IFERROR(__xludf.DUMMYFUNCTION("GOOGLETRANSLATE(A13227, ""en"", ""mt"")"),"formalizmu")</f>
        <v>formalizmu</v>
      </c>
    </row>
    <row r="13228" ht="15.75" customHeight="1">
      <c r="A13228" s="2" t="s">
        <v>13228</v>
      </c>
      <c r="B13228" s="2" t="str">
        <f>IFERROR(__xludf.DUMMYFUNCTION("GOOGLETRANSLATE(A13228, ""en"", ""mt"")"),"Il-viċinat jinkludi Kearney Boulevard, imsemmi wara intraprenditur kmieni tas-seklu 20 u miljunarju M. Theo Kearney, li jestendi minn Triq Fresno fil-Lbiċ ta 'Fresno madwar 20 mi (32 km) fil-punent għal Kerman għal Kerman, Kerman, California. Triq rurali "&amp;"żgħira b'żewġ karreġġjati għall-biċċa l-kbira tat-tul tagħha, Kearney Boulevard hija miksija bis-siġar tal-palm tall. Il-medda ta 'bejn wieħed u ieħor nofs mili ta' Kearney Boulevard bejn Triq Fresno u Thorne Ave kienet f'ħin minnhom il-viċinat preferut g"&amp;"ħall-familji Afrikani Elite-Amerikani ta 'Fresno. Sezzjoni oħra, Brookhaven, fit-tarf tan-nofsinhar tan-naħa tal-punent fin-nofsinhar ta 'Jensen u fil-punent ta' Elm, ingħatat l-isem mill-Kunsill tal-Belt ta 'Fresno fi sforz biex terġa' tqajjem l-immaġni "&amp;"tal-viċinat. Is-suddiviżjoni iżolata kienet għal snin magħrufa bħala l- ""Dogg Lira"" b'referenza għal gang lokali, u mill-aħħar tal-2008 kienet għadha magħrufa għal livelli għoljin ta 'kriminalità vjolenti.")</f>
        <v>Il-viċinat jinkludi Kearney Boulevard, imsemmi wara intraprenditur kmieni tas-seklu 20 u miljunarju M. Theo Kearney, li jestendi minn Triq Fresno fil-Lbiċ ta 'Fresno madwar 20 mi (32 km) fil-punent għal Kerman għal Kerman, Kerman, California. Triq rurali żgħira b'żewġ karreġġjati għall-biċċa l-kbira tat-tul tagħha, Kearney Boulevard hija miksija bis-siġar tal-palm tall. Il-medda ta 'bejn wieħed u ieħor nofs mili ta' Kearney Boulevard bejn Triq Fresno u Thorne Ave kienet f'ħin minnhom il-viċinat preferut għall-familji Afrikani Elite-Amerikani ta 'Fresno. Sezzjoni oħra, Brookhaven, fit-tarf tan-nofsinhar tan-naħa tal-punent fin-nofsinhar ta 'Jensen u fil-punent ta' Elm, ingħatat l-isem mill-Kunsill tal-Belt ta 'Fresno fi sforz biex terġa' tqajjem l-immaġni tal-viċinat. Is-suddiviżjoni iżolata kienet għal snin magħrufa bħala l- "Dogg Lira" b'referenza għal gang lokali, u mill-aħħar tal-2008 kienet għadha magħrufa għal livelli għoljin ta 'kriminalità vjolenti.</v>
      </c>
    </row>
    <row r="13229" ht="15.75" customHeight="1">
      <c r="A13229" s="2" t="s">
        <v>13229</v>
      </c>
      <c r="B13229" s="2" t="str">
        <f>IFERROR(__xludf.DUMMYFUNCTION("GOOGLETRANSLATE(A13229, ""en"", ""mt"")"),"li għandhom x'jaqsmu mar-relazzjoni taċ-ċittadin mal-istat u l-liġijiet tiegħu")</f>
        <v>li għandhom x'jaqsmu mar-relazzjoni taċ-ċittadin mal-istat u l-liġijiet tiegħu</v>
      </c>
    </row>
    <row r="13230" ht="15.75" customHeight="1">
      <c r="A13230" s="2" t="s">
        <v>13230</v>
      </c>
      <c r="B13230" s="2" t="str">
        <f>IFERROR(__xludf.DUMMYFUNCTION("GOOGLETRANSLATE(A13230, ""en"", ""mt"")"),"tolleranza")</f>
        <v>tolleranza</v>
      </c>
    </row>
    <row r="13231" ht="15.75" customHeight="1">
      <c r="A13231" s="2" t="s">
        <v>13231</v>
      </c>
      <c r="B13231" s="2" t="str">
        <f>IFERROR(__xludf.DUMMYFUNCTION("GOOGLETRANSLATE(A13231, ""en"", ""mt"")"),"X'inhu marbut sew ma 'relazzjonijiet tajbin għall-istudenti-għalliema?")</f>
        <v>X'inhu marbut sew ma 'relazzjonijiet tajbin għall-istudenti-għalliema?</v>
      </c>
    </row>
    <row r="13232" ht="15.75" customHeight="1">
      <c r="A13232" s="2" t="s">
        <v>13232</v>
      </c>
      <c r="B13232" s="2" t="str">
        <f>IFERROR(__xludf.DUMMYFUNCTION("GOOGLETRANSLATE(A13232, ""en"", ""mt"")"),"X’impatt ikbar fuq l-ekonomija tal-Istati Uniti iktar mill-kummerċ?")</f>
        <v>X’impatt ikbar fuq l-ekonomija tal-Istati Uniti iktar mill-kummerċ?</v>
      </c>
    </row>
    <row r="13233" ht="15.75" customHeight="1">
      <c r="A13233" s="2" t="s">
        <v>13233</v>
      </c>
      <c r="B13233" s="2" t="str">
        <f>IFERROR(__xludf.DUMMYFUNCTION("GOOGLETRANSLATE(A13233, ""en"", ""mt"")"),"Barra minn hekk, tobba multipli rritornaw f'avventuri ġodda flimkien fi drammi awdjo bbażati fuq is-serje. Peter Davison, Colin Baker u Sylvester McCoy dehru flimkien fl-avventura awdjo tal-1999 The Sirens of Time. Biex tiċċelebra l-40 anniversarju fl-200"&amp;"3, drama awdjo bit-tema Zagreus li tinkludi Paul McGann, Colin Baker, Sylvester McCoy u Peter Davison ġie rilaxxat b'reġistrazzjonijiet ta 'arkivju addizzjonali ta' Jon Pertwee. Għal darb'oħra fl-2003, Colin Baker u Sylvester McCoy dehru flimkien fil-proġ"&amp;"ett tal-avventura awdjo: Lazarus. Fl-2010, Peter Davison, Colin Baker, Sylvester McCoy u Paul McGann ingħaqdu mill-ġdid biex jidħlu fid-drama awdjo The Four Doctors.")</f>
        <v>Barra minn hekk, tobba multipli rritornaw f'avventuri ġodda flimkien fi drammi awdjo bbażati fuq is-serje. Peter Davison, Colin Baker u Sylvester McCoy dehru flimkien fl-avventura awdjo tal-1999 The Sirens of Time. Biex tiċċelebra l-40 anniversarju fl-2003, drama awdjo bit-tema Zagreus li tinkludi Paul McGann, Colin Baker, Sylvester McCoy u Peter Davison ġie rilaxxat b'reġistrazzjonijiet ta 'arkivju addizzjonali ta' Jon Pertwee. Għal darb'oħra fl-2003, Colin Baker u Sylvester McCoy dehru flimkien fil-proġett tal-avventura awdjo: Lazarus. Fl-2010, Peter Davison, Colin Baker, Sylvester McCoy u Paul McGann ingħaqdu mill-ġdid biex jidħlu fid-drama awdjo The Four Doctors.</v>
      </c>
    </row>
    <row r="13234" ht="15.75" customHeight="1">
      <c r="A13234" s="2" t="s">
        <v>13234</v>
      </c>
      <c r="B13234" s="2" t="str">
        <f>IFERROR(__xludf.DUMMYFUNCTION("GOOGLETRANSLATE(A13234, ""en"", ""mt"")"),"Numru kemmxejn ikbar ta '""awturi li jikkontribwixxu""")</f>
        <v>Numru kemmxejn ikbar ta '"awturi li jikkontribwixxu"</v>
      </c>
    </row>
    <row r="13235" ht="15.75" customHeight="1">
      <c r="A13235" s="2" t="s">
        <v>13235</v>
      </c>
      <c r="B13235" s="2" t="str">
        <f>IFERROR(__xludf.DUMMYFUNCTION("GOOGLETRANSLATE(A13235, ""en"", ""mt"")"),"Fil-15 ta 'Awwissu, 1971, l-Istati Uniti inġibdu unilateralment mill-Accord ta' Bretton Woods. L-Istati Uniti abbandunaw l-istandard tal-iskambju tad-deheb li bih il-valur tad-dollaru kien imwaħħal mal-prezz tad-deheb u l-muniti l-oħra kollha kienu marbut"&amp;"a mad-dollaru, li l-valur tagħhom tħalla ""float"" (jitla 'u jaqa' skont id-domanda tas-suq). Ftit wara, segwiet il-Gran Brittanja, f’wiċċ l-isterlina tal-lira. In-nazzjonijiet industrijalizzati l-oħra segwew il-muniti rispettivi tagħhom. L-antiċipazzjoni"&amp;" li l-valuri tal-munita jvarjaw b'mod imprevedibbli għal żmien, in-nazzjonijiet industrijalizzati żiedu r-riżervi tagħhom (billi jespandu l-provvisti tal-flus tagħhom) f'ammonti ferm akbar minn qabel. Ir-riżultat kien deprezzament tad-dollaru u muniti ta "&amp;"'nazzjonijiet industrijalizzati oħra. Minħabba li ż-żejt kien ipprezzat f'dollari, id-dħul reali tal-produtturi taż-żejt naqas. F'Settembru 1971, l-OPEC ħarġet komunikat konġunt li jiddikjara li, minn dakinhar 'il quddiem, kienu se jġibu żejt f'termini ta"&amp;"' ammont fiss ta 'deheb.")</f>
        <v>Fil-15 ta 'Awwissu, 1971, l-Istati Uniti inġibdu unilateralment mill-Accord ta' Bretton Woods. L-Istati Uniti abbandunaw l-istandard tal-iskambju tad-deheb li bih il-valur tad-dollaru kien imwaħħal mal-prezz tad-deheb u l-muniti l-oħra kollha kienu marbuta mad-dollaru, li l-valur tagħhom tħalla "float" (jitla 'u jaqa' skont id-domanda tas-suq). Ftit wara, segwiet il-Gran Brittanja, f’wiċċ l-isterlina tal-lira. In-nazzjonijiet industrijalizzati l-oħra segwew il-muniti rispettivi tagħhom. L-antiċipazzjoni li l-valuri tal-munita jvarjaw b'mod imprevedibbli għal żmien, in-nazzjonijiet industrijalizzati żiedu r-riżervi tagħhom (billi jespandu l-provvisti tal-flus tagħhom) f'ammonti ferm akbar minn qabel. Ir-riżultat kien deprezzament tad-dollaru u muniti ta 'nazzjonijiet industrijalizzati oħra. Minħabba li ż-żejt kien ipprezzat f'dollari, id-dħul reali tal-produtturi taż-żejt naqas. F'Settembru 1971, l-OPEC ħarġet komunikat konġunt li jiddikjara li, minn dakinhar 'il quddiem, kienu se jġibu żejt f'termini ta' ammont fiss ta 'deheb.</v>
      </c>
    </row>
    <row r="13236" ht="15.75" customHeight="1">
      <c r="A13236" s="2" t="s">
        <v>13236</v>
      </c>
      <c r="B13236" s="2" t="str">
        <f>IFERROR(__xludf.DUMMYFUNCTION("GOOGLETRANSLATE(A13236, ""en"", ""mt"")"),"Għaliex il-5 President tal-Università ddeċieda li jeħles mill-programm tal-futbol?")</f>
        <v>Għaliex il-5 President tal-Università ddeċieda li jeħles mill-programm tal-futbol?</v>
      </c>
    </row>
    <row r="13237" ht="15.75" customHeight="1">
      <c r="A13237" s="2" t="s">
        <v>13237</v>
      </c>
      <c r="B13237" s="2" t="str">
        <f>IFERROR(__xludf.DUMMYFUNCTION("GOOGLETRANSLATE(A13237, ""en"", ""mt"")"),"Kemm il-karbonju jinħela billi tuża O2 minflok CO2?")</f>
        <v>Kemm il-karbonju jinħela billi tuża O2 minflok CO2?</v>
      </c>
    </row>
    <row r="13238" ht="15.75" customHeight="1">
      <c r="A13238" s="2" t="s">
        <v>13238</v>
      </c>
      <c r="B13238" s="2" t="str">
        <f>IFERROR(__xludf.DUMMYFUNCTION("GOOGLETRANSLATE(A13238, ""en"", ""mt"")"),"Meta kienet il-Gwerra Franċiża u Indjana?")</f>
        <v>Meta kienet il-Gwerra Franċiża u Indjana?</v>
      </c>
    </row>
    <row r="13239" ht="15.75" customHeight="1">
      <c r="A13239" s="2" t="s">
        <v>13239</v>
      </c>
      <c r="B13239" s="2" t="str">
        <f>IFERROR(__xludf.DUMMYFUNCTION("GOOGLETRANSLATE(A13239, ""en"", ""mt"")"),"Hadrian's")</f>
        <v>Hadrian's</v>
      </c>
    </row>
    <row r="13240" ht="15.75" customHeight="1">
      <c r="A13240" s="2" t="s">
        <v>13240</v>
      </c>
      <c r="B13240" s="2" t="str">
        <f>IFERROR(__xludf.DUMMYFUNCTION("GOOGLETRANSLATE(A13240, ""en"", ""mt"")"),"Trasformazzjoni Galiljana")</f>
        <v>Trasformazzjoni Galiljana</v>
      </c>
    </row>
    <row r="13241" ht="15.75" customHeight="1">
      <c r="A13241" s="2" t="s">
        <v>13241</v>
      </c>
      <c r="B13241" s="2" t="str">
        <f>IFERROR(__xludf.DUMMYFUNCTION("GOOGLETRANSLATE(A13241, ""en"", ""mt"")"),"X'għandhom il-membrani interni tal-Etioplasts?")</f>
        <v>X'għandhom il-membrani interni tal-Etioplasts?</v>
      </c>
    </row>
    <row r="13242" ht="15.75" customHeight="1">
      <c r="A13242" s="2" t="s">
        <v>13242</v>
      </c>
      <c r="B13242" s="2" t="str">
        <f>IFERROR(__xludf.DUMMYFUNCTION("GOOGLETRANSLATE(A13242, ""en"", ""mt"")"),"X'jiġri wara adsa li fiha għaddas jiddekompressa malajr wisq?")</f>
        <v>X'jiġri wara adsa li fiha għaddas jiddekompressa malajr wisq?</v>
      </c>
    </row>
    <row r="13243" ht="15.75" customHeight="1">
      <c r="A13243" s="2" t="s">
        <v>13243</v>
      </c>
      <c r="B13243" s="2" t="str">
        <f>IFERROR(__xludf.DUMMYFUNCTION("GOOGLETRANSLATE(A13243, ""en"", ""mt"")"),"X'referenza hemm għal Huguenot Lacemakers fis-seklu 19?")</f>
        <v>X'referenza hemm għal Huguenot Lacemakers fis-seklu 19?</v>
      </c>
    </row>
    <row r="13244" ht="15.75" customHeight="1">
      <c r="A13244" s="2" t="s">
        <v>13244</v>
      </c>
      <c r="B13244" s="2" t="str">
        <f>IFERROR(__xludf.DUMMYFUNCTION("GOOGLETRANSLATE(A13244, ""en"", ""mt"")"),"Irranġat f'Grana")</f>
        <v>Irranġat f'Grana</v>
      </c>
    </row>
    <row r="13245" ht="15.75" customHeight="1">
      <c r="A13245" s="2" t="s">
        <v>13245</v>
      </c>
      <c r="B13245" s="2" t="str">
        <f>IFERROR(__xludf.DUMMYFUNCTION("GOOGLETRANSLATE(A13245, ""en"", ""mt"")"),"Għal liema industrija tat-tessuti kkontribwixxiet l-Huguenots fl-Irlanda?")</f>
        <v>Għal liema industrija tat-tessuti kkontribwixxiet l-Huguenots fl-Irlanda?</v>
      </c>
    </row>
    <row r="13246" ht="15.75" customHeight="1">
      <c r="A13246" s="2" t="s">
        <v>13246</v>
      </c>
      <c r="B13246" s="2" t="str">
        <f>IFERROR(__xludf.DUMMYFUNCTION("GOOGLETRANSLATE(A13246, ""en"", ""mt"")"),"farinġi kbir")</f>
        <v>farinġi kbir</v>
      </c>
    </row>
    <row r="13247" ht="15.75" customHeight="1">
      <c r="A13247" s="2" t="s">
        <v>13247</v>
      </c>
      <c r="B13247" s="2" t="str">
        <f>IFERROR(__xludf.DUMMYFUNCTION("GOOGLETRANSLATE(A13247, ""en"", ""mt"")"),"X'distrett ta 'negozju ieħor jagħmel il-Kontea ta' Orange barra mill-belt ta 'Santa Ana u ċ-Ċentru ta' Newport?")</f>
        <v>X'distrett ta 'negozju ieħor jagħmel il-Kontea ta' Orange barra mill-belt ta 'Santa Ana u ċ-Ċentru ta' Newport?</v>
      </c>
    </row>
    <row r="13248" ht="15.75" customHeight="1">
      <c r="A13248" s="2" t="s">
        <v>13248</v>
      </c>
      <c r="B13248" s="2" t="str">
        <f>IFERROR(__xludf.DUMMYFUNCTION("GOOGLETRANSLATE(A13248, ""en"", ""mt"")"),"Liema pajjiż għandu inugwaljanza bi dħul baxx u preżenza għolja ta 'unions?")</f>
        <v>Liema pajjiż għandu inugwaljanza bi dħul baxx u preżenza għolja ta 'unions?</v>
      </c>
    </row>
    <row r="13249" ht="15.75" customHeight="1">
      <c r="A13249" s="2" t="s">
        <v>13249</v>
      </c>
      <c r="B13249" s="2" t="str">
        <f>IFERROR(__xludf.DUMMYFUNCTION("GOOGLETRANSLATE(A13249, ""en"", ""mt"")"),"F’liema toroq hemm il-kwartieri ġenerali tal-ABC")</f>
        <v>F’liema toroq hemm il-kwartieri ġenerali tal-ABC</v>
      </c>
    </row>
    <row r="13250" ht="15.75" customHeight="1">
      <c r="A13250" s="2" t="s">
        <v>13250</v>
      </c>
      <c r="B13250" s="2" t="str">
        <f>IFERROR(__xludf.DUMMYFUNCTION("GOOGLETRANSLATE(A13250, ""en"", ""mt"")"),"X'inhu isem ieħor għal kwalunkwe miżura ta 'input mogħtija assoċjata ma' problema?")</f>
        <v>X'inhu isem ieħor għal kwalunkwe miżura ta 'input mogħtija assoċjata ma' problema?</v>
      </c>
    </row>
    <row r="13251" ht="15.75" customHeight="1">
      <c r="A13251" s="2" t="s">
        <v>13251</v>
      </c>
      <c r="B13251" s="2" t="str">
        <f>IFERROR(__xludf.DUMMYFUNCTION("GOOGLETRANSLATE(A13251, ""en"", ""mt"")"),"Liema tobba ġew enfasizzati fuq l-ewwel rilaxxi tal-awdjo fuq CD?")</f>
        <v>Liema tobba ġew enfasizzati fuq l-ewwel rilaxxi tal-awdjo fuq CD?</v>
      </c>
    </row>
    <row r="13252" ht="15.75" customHeight="1">
      <c r="A13252" s="2" t="s">
        <v>13252</v>
      </c>
      <c r="B13252" s="2" t="str">
        <f>IFERROR(__xludf.DUMMYFUNCTION("GOOGLETRANSLATE(A13252, ""en"", ""mt"")"),"Ritratt tal-ħsieb")</f>
        <v>Ritratt tal-ħsieb</v>
      </c>
    </row>
    <row r="13253" ht="15.75" customHeight="1">
      <c r="A13253" s="2" t="s">
        <v>13253</v>
      </c>
      <c r="B13253" s="2" t="str">
        <f>IFERROR(__xludf.DUMMYFUNCTION("GOOGLETRANSLATE(A13253, ""en"", ""mt"")"),"X'għandu jkollu l-adozzjoni ta 'liġijiet li se jkollhom effett legali fl-UE?")</f>
        <v>X'għandu jkollu l-adozzjoni ta 'liġijiet li se jkollhom effett legali fl-UE?</v>
      </c>
    </row>
    <row r="13254" ht="15.75" customHeight="1">
      <c r="A13254" s="2" t="s">
        <v>13254</v>
      </c>
      <c r="B13254" s="2" t="str">
        <f>IFERROR(__xludf.DUMMYFUNCTION("GOOGLETRANSLATE(A13254, ""en"", ""mt"")"),"Fl-Amerika Latina x'inhu l-iktar kulur tal-ġilda revered?")</f>
        <v>Fl-Amerika Latina x'inhu l-iktar kulur tal-ġilda revered?</v>
      </c>
    </row>
    <row r="13255" ht="15.75" customHeight="1">
      <c r="A13255" s="2" t="s">
        <v>13255</v>
      </c>
      <c r="B13255" s="2" t="str">
        <f>IFERROR(__xludf.DUMMYFUNCTION("GOOGLETRANSLATE(A13255, ""en"", ""mt"")"),"plastid li nieqes mill-klorofilla")</f>
        <v>plastid li nieqes mill-klorofilla</v>
      </c>
    </row>
    <row r="13256" ht="15.75" customHeight="1">
      <c r="A13256" s="2" t="s">
        <v>13256</v>
      </c>
      <c r="B13256" s="2" t="str">
        <f>IFERROR(__xludf.DUMMYFUNCTION("GOOGLETRANSLATE(A13256, ""en"", ""mt"")"),"akbar minn $ 2 miljun")</f>
        <v>akbar minn $ 2 miljun</v>
      </c>
    </row>
    <row r="13257" ht="15.75" customHeight="1">
      <c r="A13257" s="2" t="s">
        <v>13257</v>
      </c>
      <c r="B13257" s="2" t="str">
        <f>IFERROR(__xludf.DUMMYFUNCTION("GOOGLETRANSLATE(A13257, ""en"", ""mt"")"),"X'tip ta 'diżubbidjenza ċivili hija skala akbar?")</f>
        <v>X'tip ta 'diżubbidjenza ċivili hija skala akbar?</v>
      </c>
    </row>
    <row r="13258" ht="15.75" customHeight="1">
      <c r="A13258" s="2" t="s">
        <v>13258</v>
      </c>
      <c r="B13258" s="2" t="str">
        <f>IFERROR(__xludf.DUMMYFUNCTION("GOOGLETRANSLATE(A13258, ""en"", ""mt"")"),"l-aktar Nisrani")</f>
        <v>l-aktar Nisrani</v>
      </c>
    </row>
    <row r="13259" ht="15.75" customHeight="1">
      <c r="A13259" s="2" t="s">
        <v>13259</v>
      </c>
      <c r="B13259" s="2" t="str">
        <f>IFERROR(__xludf.DUMMYFUNCTION("GOOGLETRANSLATE(A13259, ""en"", ""mt"")"),"Il-logo oriġinali użat għall-ewwel tabib (u fil-qosor għat-tieni tabib) intuża mill-ġdid f'format kemmxejn modifikat għall-50 anniversarju speċjali ""The Day of the Doctor"" matul il-ħdax-il tabib. Il-logo użat fil-film televiżiv li fih it-tmien tabib kie"&amp;"n verżjoni aġġornata tal-logo użat għat-tielet tabib. Il-logo mill-1973–80 intuża għall-aħħar staġun tat-tielet tabib u għall-maġġoranza tar-raba 'mandat tat-tabib. Il-logo li ġej, filwaqt li l-iktar assoċjat mal-ħames tabib, intuża wkoll għall-aħħar staġ"&amp;"un tar-raba 'tabib. Il-logo użat għad-disa 'tabib kien kemmxejn editjat għall-għaxar tabib, iżda żamm l-istess dehra ġenerali. Il-logo użat għall-ħdax-il tabib kellu l-insinji ""DW"" Tardis imqiegħda fuq il-lemin fl-2012, iżda l-istess font baqa ', għalke"&amp;"mm b'edit żgħir għan-nisġa f'kull episodju, bit-tessut għandu x'jaqsam ma' xi aspett tal-istorja. Il-logo għat-Tnax-il Tabib kellu l-insinji ""DW"" Tardis imneħħija u t-tipa ġiet mibdula b'mod sottili, kif ukoll għamlet kemmxejn ikbar. Mill-2014, il-logo "&amp;"użat għat-tielet u t-tmien tobba huwa l-logo primarju użat fuq il-midja u l-merkanzija kollha relatati mat-tobba tal-passat, u l-logo attwali Doctor Who jintuża għall-merkanzija kollha relatata mat-tabib attwali.")</f>
        <v>Il-logo oriġinali użat għall-ewwel tabib (u fil-qosor għat-tieni tabib) intuża mill-ġdid f'format kemmxejn modifikat għall-50 anniversarju speċjali "The Day of the Doctor" matul il-ħdax-il tabib. Il-logo użat fil-film televiżiv li fih it-tmien tabib kien verżjoni aġġornata tal-logo użat għat-tielet tabib. Il-logo mill-1973–80 intuża għall-aħħar staġun tat-tielet tabib u għall-maġġoranza tar-raba 'mandat tat-tabib. Il-logo li ġej, filwaqt li l-iktar assoċjat mal-ħames tabib, intuża wkoll għall-aħħar staġun tar-raba 'tabib. Il-logo użat għad-disa 'tabib kien kemmxejn editjat għall-għaxar tabib, iżda żamm l-istess dehra ġenerali. Il-logo użat għall-ħdax-il tabib kellu l-insinji "DW" Tardis imqiegħda fuq il-lemin fl-2012, iżda l-istess font baqa ', għalkemm b'edit żgħir għan-nisġa f'kull episodju, bit-tessut għandu x'jaqsam ma' xi aspett tal-istorja. Il-logo għat-Tnax-il Tabib kellu l-insinji "DW" Tardis imneħħija u t-tipa ġiet mibdula b'mod sottili, kif ukoll għamlet kemmxejn ikbar. Mill-2014, il-logo użat għat-tielet u t-tmien tobba huwa l-logo primarju użat fuq il-midja u l-merkanzija kollha relatati mat-tobba tal-passat, u l-logo attwali Doctor Who jintuża għall-merkanzija kollha relatata mat-tabib attwali.</v>
      </c>
    </row>
    <row r="13260" ht="15.75" customHeight="1">
      <c r="A13260" s="2" t="s">
        <v>13260</v>
      </c>
      <c r="B13260" s="2" t="str">
        <f>IFERROR(__xludf.DUMMYFUNCTION("GOOGLETRANSLATE(A13260, ""en"", ""mt"")"),"Programm ta 'Żvilupp Ekonomiku")</f>
        <v>Programm ta 'Żvilupp Ekonomiku</v>
      </c>
    </row>
    <row r="13261" ht="15.75" customHeight="1">
      <c r="A13261" s="2" t="s">
        <v>13261</v>
      </c>
      <c r="B13261" s="2" t="str">
        <f>IFERROR(__xludf.DUMMYFUNCTION("GOOGLETRANSLATE(A13261, ""en"", ""mt"")"),"Il-Panthers użaw il-faċilità ta ’prattika tal-istat f’San Jose u qagħdu f’San Jose Marriott. Il-Broncos ipprattikaw fl-Università ta ’Stanford u qagħdu f’Santa Clara Marriott.")</f>
        <v>Il-Panthers użaw il-faċilità ta ’prattika tal-istat f’San Jose u qagħdu f’San Jose Marriott. Il-Broncos ipprattikaw fl-Università ta ’Stanford u qagħdu f’Santa Clara Marriott.</v>
      </c>
    </row>
    <row r="13262" ht="15.75" customHeight="1">
      <c r="A13262" s="2" t="s">
        <v>13262</v>
      </c>
      <c r="B13262" s="2" t="str">
        <f>IFERROR(__xludf.DUMMYFUNCTION("GOOGLETRANSLATE(A13262, ""en"", ""mt"")"),"X'inhi marda awtoimmuni li taffettwa n-nisa b'mod preferenzjali?")</f>
        <v>X'inhi marda awtoimmuni li taffettwa n-nisa b'mod preferenzjali?</v>
      </c>
    </row>
    <row r="13263" ht="15.75" customHeight="1">
      <c r="A13263" s="2" t="s">
        <v>13263</v>
      </c>
      <c r="B13263" s="2" t="str">
        <f>IFERROR(__xludf.DUMMYFUNCTION("GOOGLETRANSLATE(A13263, ""en"", ""mt"")"),"tard tas-snin 1980")</f>
        <v>tard tas-snin 1980</v>
      </c>
    </row>
    <row r="13264" ht="15.75" customHeight="1">
      <c r="A13264" s="2" t="s">
        <v>13264</v>
      </c>
      <c r="B13264" s="2" t="str">
        <f>IFERROR(__xludf.DUMMYFUNCTION("GOOGLETRANSLATE(A13264, ""en"", ""mt"")"),"Il-Midalja Edison.")</f>
        <v>Il-Midalja Edison.</v>
      </c>
    </row>
    <row r="13265" ht="15.75" customHeight="1">
      <c r="A13265" s="2" t="s">
        <v>13265</v>
      </c>
      <c r="B13265" s="2" t="str">
        <f>IFERROR(__xludf.DUMMYFUNCTION("GOOGLETRANSLATE(A13265, ""en"", ""mt"")"),"Użu ta 'netwerk deċentralizzat b'ħafna mogħdijiet bejn kwalunkwe żewġ punti, li jaqsmu messaġġi ta' utent fi blokki ta 'messaġġi, aktar tard imsejħa pakketti")</f>
        <v>Użu ta 'netwerk deċentralizzat b'ħafna mogħdijiet bejn kwalunkwe żewġ punti, li jaqsmu messaġġi ta' utent fi blokki ta 'messaġġi, aktar tard imsejħa pakketti</v>
      </c>
    </row>
    <row r="13266" ht="15.75" customHeight="1">
      <c r="A13266" s="2" t="s">
        <v>13266</v>
      </c>
      <c r="B13266" s="2" t="str">
        <f>IFERROR(__xludf.DUMMYFUNCTION("GOOGLETRANSLATE(A13266, ""en"", ""mt"")"),"L-estensjoni tikkawża li l-unitajiet tal-blat kollha kemm huma jsiru itwal u irqaq. Dan jitwettaq primarjament permezz ta 'difetti normali u permezz tat-tiġbid u t-traqqaq duttili. Ħsarat normali jwaqqgħu unitajiet tal-blat li huma ogħla taħt dawk li huma"&amp;" aktar baxxi. Dan tipikament jirriżulta f'unitajiet iżgħar li jitpoġġew taħt unitajiet anzjani. It-tiġbid ta 'unitajiet jista' jirriżulta fit-tnaqqija tagħhom; Fil-fatt, hemm post fiċ-ċinturin tat-tinja Maria u l-ġibda li fiha s-sekwenza sedimentarja koll"&amp;"ha tal-Grand Canyon tista 'tidher fuq tul ta' inqas minn metru. Il-blat fil-fond li għandhom jiġu mġebbda b'mod duttili ħafna drabi huma wkoll metamorfositi. Dawn il-blat imġebbda jistgħu wkoll joqogħdu fil-lentijiet, magħrufa bħala boudins, wara l-kelma "&amp;"Franċiża għal ""zalzett"", minħabba x-xebh viżwali tagħhom.")</f>
        <v>L-estensjoni tikkawża li l-unitajiet tal-blat kollha kemm huma jsiru itwal u irqaq. Dan jitwettaq primarjament permezz ta 'difetti normali u permezz tat-tiġbid u t-traqqaq duttili. Ħsarat normali jwaqqgħu unitajiet tal-blat li huma ogħla taħt dawk li huma aktar baxxi. Dan tipikament jirriżulta f'unitajiet iżgħar li jitpoġġew taħt unitajiet anzjani. It-tiġbid ta 'unitajiet jista' jirriżulta fit-tnaqqija tagħhom; Fil-fatt, hemm post fiċ-ċinturin tat-tinja Maria u l-ġibda li fiha s-sekwenza sedimentarja kollha tal-Grand Canyon tista 'tidher fuq tul ta' inqas minn metru. Il-blat fil-fond li għandhom jiġu mġebbda b'mod duttili ħafna drabi huma wkoll metamorfositi. Dawn il-blat imġebbda jistgħu wkoll joqogħdu fil-lentijiet, magħrufa bħala boudins, wara l-kelma Franċiża għal "zalzett", minħabba x-xebh viżwali tagħhom.</v>
      </c>
    </row>
    <row r="13267" ht="15.75" customHeight="1">
      <c r="A13267" s="2" t="s">
        <v>13267</v>
      </c>
      <c r="B13267" s="2" t="str">
        <f>IFERROR(__xludf.DUMMYFUNCTION("GOOGLETRANSLATE(A13267, ""en"", ""mt"")"),"awtoritajiet")</f>
        <v>awtoritajiet</v>
      </c>
    </row>
    <row r="13268" ht="15.75" customHeight="1">
      <c r="A13268" s="2" t="s">
        <v>13268</v>
      </c>
      <c r="B13268" s="2" t="str">
        <f>IFERROR(__xludf.DUMMYFUNCTION("GOOGLETRANSLATE(A13268, ""en"", ""mt"")"),"X'inhi l-akbar belt fil-Polonja?")</f>
        <v>X'inhi l-akbar belt fil-Polonja?</v>
      </c>
    </row>
    <row r="13269" ht="15.75" customHeight="1">
      <c r="A13269" s="2" t="s">
        <v>13269</v>
      </c>
      <c r="B13269" s="2" t="str">
        <f>IFERROR(__xludf.DUMMYFUNCTION("GOOGLETRANSLATE(A13269, ""en"", ""mt"")"),"Progressività ta 'taxxa aktar wieqfa")</f>
        <v>Progressività ta 'taxxa aktar wieqfa</v>
      </c>
    </row>
    <row r="13270" ht="15.75" customHeight="1">
      <c r="A13270" s="2" t="s">
        <v>13270</v>
      </c>
      <c r="B13270" s="2" t="str">
        <f>IFERROR(__xludf.DUMMYFUNCTION("GOOGLETRANSLATE(A13270, ""en"", ""mt"")"),"Fejn jinsabu l-Harvard Medical, Dentali u l-Iskola tas-Saħħa Pubblika?")</f>
        <v>Fejn jinsabu l-Harvard Medical, Dentali u l-Iskola tas-Saħħa Pubblika?</v>
      </c>
    </row>
    <row r="13271" ht="15.75" customHeight="1">
      <c r="A13271" s="2" t="s">
        <v>13271</v>
      </c>
      <c r="B13271" s="2" t="str">
        <f>IFERROR(__xludf.DUMMYFUNCTION("GOOGLETRANSLATE(A13271, ""en"", ""mt"")"),"Kemm jeżistu numri ewlenin?")</f>
        <v>Kemm jeżistu numri ewlenin?</v>
      </c>
    </row>
    <row r="13272" ht="15.75" customHeight="1">
      <c r="A13272" s="2" t="s">
        <v>13272</v>
      </c>
      <c r="B13272" s="2" t="str">
        <f>IFERROR(__xludf.DUMMYFUNCTION("GOOGLETRANSLATE(A13272, ""en"", ""mt"")"),"X'kienu r-raġunijiet għaliex ir-residenti marru jgħixu fl-Istazzjon tal-Belt ta 'Fresno?")</f>
        <v>X'kienu r-raġunijiet għaliex ir-residenti marru jgħixu fl-Istazzjon tal-Belt ta 'Fresno?</v>
      </c>
    </row>
    <row r="13273" ht="15.75" customHeight="1">
      <c r="A13273" s="2" t="s">
        <v>13273</v>
      </c>
      <c r="B13273" s="2" t="str">
        <f>IFERROR(__xludf.DUMMYFUNCTION("GOOGLETRANSLATE(A13273, ""en"", ""mt"")"),"Il-LOC kien jinkludi l-Kumpless tat-Tnedija 39, ċentru ta 'kontroll tal-varar, u bini ta' assemblaġġ vertikali ta '130 miljun marda (3.7 miljun kubu) (VAB) li fih il-vettura spazjali (tnedija ta' vettura u vettura spazjali) tkun immuntata fuq pjattaforma "&amp;"tal-lanċatur mobbli u Imbagħad imċaqlaq minn trasportatur għal wieħed minn diversi pads tal-varar. Għalkemm ġew ippjanati mill-inqas tliet pads, tnejn biss, magħżula A u B, tlestew f'Ottubru 1965. Il-LOC inkluda wkoll bini ta 'operazzjonijiet u checkout ("&amp;"OCB) li għalih il-vettura spazjali Gemini u Apollo ġew irċevuti inizjalment qabel ma ġew imqabbla mat-tnedija tagħhom vetturi. Il-vettura spazjali Apollo tista 'tiġi ttestjata f'żewġ kmamar tal-vakwu li kapaċi jissimulaw pressjoni atmosferika f'altitudnij"&amp;"iet sa 250,000 pied (76 km), li huwa kważi vakwu.")</f>
        <v>Il-LOC kien jinkludi l-Kumpless tat-Tnedija 39, ċentru ta 'kontroll tal-varar, u bini ta' assemblaġġ vertikali ta '130 miljun marda (3.7 miljun kubu) (VAB) li fih il-vettura spazjali (tnedija ta' vettura u vettura spazjali) tkun immuntata fuq pjattaforma tal-lanċatur mobbli u Imbagħad imċaqlaq minn trasportatur għal wieħed minn diversi pads tal-varar. Għalkemm ġew ippjanati mill-inqas tliet pads, tnejn biss, magħżula A u B, tlestew f'Ottubru 1965. Il-LOC inkluda wkoll bini ta 'operazzjonijiet u checkout (OCB) li għalih il-vettura spazjali Gemini u Apollo ġew irċevuti inizjalment qabel ma ġew imqabbla mat-tnedija tagħhom vetturi. Il-vettura spazjali Apollo tista 'tiġi ttestjata f'żewġ kmamar tal-vakwu li kapaċi jissimulaw pressjoni atmosferika f'altitudnijiet sa 250,000 pied (76 km), li huwa kważi vakwu.</v>
      </c>
    </row>
    <row r="13274" ht="15.75" customHeight="1">
      <c r="A13274" s="2" t="s">
        <v>13274</v>
      </c>
      <c r="B13274" s="2" t="str">
        <f>IFERROR(__xludf.DUMMYFUNCTION("GOOGLETRANSLATE(A13274, ""en"", ""mt"")"),"Biex twettaq iċ-ċiklu ta 'Calvin u tagħmel iz-zokkor")</f>
        <v>Biex twettaq iċ-ċiklu ta 'Calvin u tagħmel iz-zokkor</v>
      </c>
    </row>
    <row r="13275" ht="15.75" customHeight="1">
      <c r="A13275" s="2" t="s">
        <v>13275</v>
      </c>
      <c r="B13275" s="2" t="str">
        <f>IFERROR(__xludf.DUMMYFUNCTION("GOOGLETRANSLATE(A13275, ""en"", ""mt"")"),"1951")</f>
        <v>1951</v>
      </c>
    </row>
    <row r="13276" ht="15.75" customHeight="1">
      <c r="A13276" s="2" t="s">
        <v>13276</v>
      </c>
      <c r="B13276" s="2" t="str">
        <f>IFERROR(__xludf.DUMMYFUNCTION("GOOGLETRANSLATE(A13276, ""en"", ""mt"")"),"Kemm universitajiet joffru programm inizjali għall-edukazzjoni tal-għalliema (ITE)?")</f>
        <v>Kemm universitajiet joffru programm inizjali għall-edukazzjoni tal-għalliema (ITE)?</v>
      </c>
    </row>
    <row r="13277" ht="15.75" customHeight="1">
      <c r="A13277" s="2" t="s">
        <v>13277</v>
      </c>
      <c r="B13277" s="2" t="str">
        <f>IFERROR(__xludf.DUMMYFUNCTION("GOOGLETRANSLATE(A13277, ""en"", ""mt"")"),"X'inhuma żewġ fatturi li għamluha diffiċli għall-kolonisti biex il-foresta tal-Amażonja tibqa 'ħajja?")</f>
        <v>X'inhuma żewġ fatturi li għamluha diffiċli għall-kolonisti biex il-foresta tal-Amażonja tibqa 'ħajja?</v>
      </c>
    </row>
    <row r="13278" ht="15.75" customHeight="1">
      <c r="A13278" s="2" t="s">
        <v>13278</v>
      </c>
      <c r="B13278" s="2" t="str">
        <f>IFERROR(__xludf.DUMMYFUNCTION("GOOGLETRANSLATE(A13278, ""en"", ""mt"")"),"X’insisti li Luther kien preżenti fil-ħobż u l-inbid?")</f>
        <v>X’insisti li Luther kien preżenti fil-ħobż u l-inbid?</v>
      </c>
    </row>
    <row r="13279" ht="15.75" customHeight="1">
      <c r="A13279" s="2" t="s">
        <v>13279</v>
      </c>
      <c r="B13279" s="2" t="str">
        <f>IFERROR(__xludf.DUMMYFUNCTION("GOOGLETRANSLATE(A13279, ""en"", ""mt"")"),"Inugwaljanza ekonomika")</f>
        <v>Inugwaljanza ekonomika</v>
      </c>
    </row>
    <row r="13280" ht="15.75" customHeight="1">
      <c r="A13280" s="2" t="s">
        <v>13280</v>
      </c>
      <c r="B13280" s="2" t="str">
        <f>IFERROR(__xludf.DUMMYFUNCTION("GOOGLETRANSLATE(A13280, ""en"", ""mt"")"),"Stephen Eilmann jistaqsi għaliex turi diżubbidjenza ċivili pubblika minflok x'inhi idea aħjar?")</f>
        <v>Stephen Eilmann jistaqsi għaliex turi diżubbidjenza ċivili pubblika minflok x'inhi idea aħjar?</v>
      </c>
    </row>
    <row r="13281" ht="15.75" customHeight="1">
      <c r="A13281" s="2" t="s">
        <v>13281</v>
      </c>
      <c r="B13281" s="2" t="str">
        <f>IFERROR(__xludf.DUMMYFUNCTION("GOOGLETRANSLATE(A13281, ""en"", ""mt"")"),"Xjentisti tal-Lvant Nofsani")</f>
        <v>Xjentisti tal-Lvant Nofsani</v>
      </c>
    </row>
    <row r="13282" ht="15.75" customHeight="1">
      <c r="A13282" s="2" t="s">
        <v>13282</v>
      </c>
      <c r="B13282" s="2" t="str">
        <f>IFERROR(__xludf.DUMMYFUNCTION("GOOGLETRANSLATE(A13282, ""en"", ""mt"")"),"Knejjes Parrokkjali")</f>
        <v>Knejjes Parrokkjali</v>
      </c>
    </row>
    <row r="13283" ht="15.75" customHeight="1">
      <c r="A13283" s="2" t="s">
        <v>13283</v>
      </c>
      <c r="B13283" s="2" t="str">
        <f>IFERROR(__xludf.DUMMYFUNCTION("GOOGLETRANSLATE(A13283, ""en"", ""mt"")"),"bejn 3 u 14-il siegħa fil-ġimgħa")</f>
        <v>bejn 3 u 14-il siegħa fil-ġimgħa</v>
      </c>
    </row>
    <row r="13284" ht="15.75" customHeight="1">
      <c r="A13284" s="2" t="s">
        <v>13284</v>
      </c>
      <c r="B13284" s="2" t="str">
        <f>IFERROR(__xludf.DUMMYFUNCTION("GOOGLETRANSLATE(A13284, ""en"", ""mt"")"),"ommu")</f>
        <v>ommu</v>
      </c>
    </row>
    <row r="13285" ht="15.75" customHeight="1">
      <c r="A13285" s="2" t="s">
        <v>13285</v>
      </c>
      <c r="B13285" s="2" t="str">
        <f>IFERROR(__xludf.DUMMYFUNCTION("GOOGLETRANSLATE(A13285, ""en"", ""mt"")"),"Biex tagħżel u taħtar isqfijiet")</f>
        <v>Biex tagħżel u taħtar isqfijiet</v>
      </c>
    </row>
    <row r="13286" ht="15.75" customHeight="1">
      <c r="A13286" s="2" t="s">
        <v>13286</v>
      </c>
      <c r="B13286" s="2" t="str">
        <f>IFERROR(__xludf.DUMMYFUNCTION("GOOGLETRANSLATE(A13286, ""en"", ""mt"")"),"Id-djakni jservu terminu ta '2-3 snin bħala djakni proviżorji qabel l-ordinazzjoni tagħhom.")</f>
        <v>Id-djakni jservu terminu ta '2-3 snin bħala djakni proviżorji qabel l-ordinazzjoni tagħhom.</v>
      </c>
    </row>
    <row r="13287" ht="15.75" customHeight="1">
      <c r="A13287" s="2" t="s">
        <v>13287</v>
      </c>
      <c r="B13287" s="2" t="str">
        <f>IFERROR(__xludf.DUMMYFUNCTION("GOOGLETRANSLATE(A13287, ""en"", ""mt"")"),"Il-gwerra reliġjuża mġedda fl-1620s ikkawżat li l-privileġġi politiċi u militari tal-Huguenots jiġu aboliti wara t-telfa tagħhom. Huma żammew id-dispożizzjonijiet reliġjużi tal-editt ta 'Nantes sakemm ir-regola ta' Louis XIV, li żiedet progressivament il-"&amp;"persekuzzjoni tagħhom sakemm ħareġ l-editt ta 'Fontainebleau (1685), li abolixxa r-rikonoxximent legali kollu tal-Protestantiżmu fi Franza, u ġiegħel lill-Huguenots biex jikkonvertu - Filwaqt li kważi tliet kwarti eventwalment inqatlu jew ġew sottomessi, "&amp;"bejn wieħed u ieħor 500,000 Huguenots ħarbu minn Franza sal-bidu tas-seklu 18 [ċitazzjoni meħtieġa].")</f>
        <v>Il-gwerra reliġjuża mġedda fl-1620s ikkawżat li l-privileġġi politiċi u militari tal-Huguenots jiġu aboliti wara t-telfa tagħhom. Huma żammew id-dispożizzjonijiet reliġjużi tal-editt ta 'Nantes sakemm ir-regola ta' Louis XIV, li żiedet progressivament il-persekuzzjoni tagħhom sakemm ħareġ l-editt ta 'Fontainebleau (1685), li abolixxa r-rikonoxximent legali kollu tal-Protestantiżmu fi Franza, u ġiegħel lill-Huguenots biex jikkonvertu - Filwaqt li kważi tliet kwarti eventwalment inqatlu jew ġew sottomessi, bejn wieħed u ieħor 500,000 Huguenots ħarbu minn Franza sal-bidu tas-seklu 18 [ċitazzjoni meħtieġa].</v>
      </c>
    </row>
    <row r="13288" ht="15.75" customHeight="1">
      <c r="A13288" s="2" t="s">
        <v>13288</v>
      </c>
      <c r="B13288" s="2" t="str">
        <f>IFERROR(__xludf.DUMMYFUNCTION("GOOGLETRANSLATE(A13288, ""en"", ""mt"")"),"Għalliema tal-iskola elementari")</f>
        <v>Għalliema tal-iskola elementari</v>
      </c>
    </row>
    <row r="13289" ht="15.75" customHeight="1">
      <c r="A13289" s="2" t="s">
        <v>13289</v>
      </c>
      <c r="B13289" s="2" t="str">
        <f>IFERROR(__xludf.DUMMYFUNCTION("GOOGLETRANSLATE(A13289, ""en"", ""mt"")"),"stmat $ 200,000")</f>
        <v>stmat $ 200,000</v>
      </c>
    </row>
    <row r="13290" ht="15.75" customHeight="1">
      <c r="A13290" s="2" t="s">
        <v>13290</v>
      </c>
      <c r="B13290" s="2" t="str">
        <f>IFERROR(__xludf.DUMMYFUNCTION("GOOGLETRANSLATE(A13290, ""en"", ""mt"")"),"Fejn hu l-Brażil ikklassifikat globalment fil-produzzjoni tas-sojja?")</f>
        <v>Fejn hu l-Brażil ikklassifikat globalment fil-produzzjoni tas-sojja?</v>
      </c>
    </row>
    <row r="13291" ht="15.75" customHeight="1">
      <c r="A13291" s="2" t="s">
        <v>13291</v>
      </c>
      <c r="B13291" s="2" t="str">
        <f>IFERROR(__xludf.DUMMYFUNCTION("GOOGLETRANSLATE(A13291, ""en"", ""mt"")"),"Minħabba li l-operazzjonijiet tal-forzi armati ġew tradizzjonalment miksijin mill-kutra kullimkien ta '""sigurtà tal-istat""")</f>
        <v>Minħabba li l-operazzjonijiet tal-forzi armati ġew tradizzjonalment miksijin mill-kutra kullimkien ta '"sigurtà tal-istat"</v>
      </c>
    </row>
    <row r="13292" ht="15.75" customHeight="1">
      <c r="A13292" s="2" t="s">
        <v>13292</v>
      </c>
      <c r="B13292" s="2" t="str">
        <f>IFERROR(__xludf.DUMMYFUNCTION("GOOGLETRANSLATE(A13292, ""en"", ""mt"")"),"Qrati Nazzjonali")</f>
        <v>Qrati Nazzjonali</v>
      </c>
    </row>
    <row r="13293" ht="15.75" customHeight="1">
      <c r="A13293" s="2" t="s">
        <v>13293</v>
      </c>
      <c r="B13293" s="2" t="str">
        <f>IFERROR(__xludf.DUMMYFUNCTION("GOOGLETRANSLATE(A13293, ""en"", ""mt"")"),"prestiġjuż")</f>
        <v>prestiġjuż</v>
      </c>
    </row>
    <row r="13294" ht="15.75" customHeight="1">
      <c r="A13294" s="2" t="s">
        <v>13294</v>
      </c>
      <c r="B13294" s="2" t="str">
        <f>IFERROR(__xludf.DUMMYFUNCTION("GOOGLETRANSLATE(A13294, ""en"", ""mt"")"),"fl-Afrika")</f>
        <v>fl-Afrika</v>
      </c>
    </row>
    <row r="13295" ht="15.75" customHeight="1">
      <c r="A13295" s="2" t="s">
        <v>13295</v>
      </c>
      <c r="B13295" s="2" t="str">
        <f>IFERROR(__xludf.DUMMYFUNCTION("GOOGLETRANSLATE(A13295, ""en"", ""mt"")"),"30-75%")</f>
        <v>30-75%</v>
      </c>
    </row>
    <row r="13296" ht="15.75" customHeight="1">
      <c r="A13296" s="2" t="s">
        <v>13296</v>
      </c>
      <c r="B13296" s="2" t="str">
        <f>IFERROR(__xludf.DUMMYFUNCTION("GOOGLETRANSLATE(A13296, ""en"", ""mt"")"),"Min kien ir-Re Uighur ta 'Qocho kklassifikat hawn fuq?")</f>
        <v>Min kien ir-Re Uighur ta 'Qocho kklassifikat hawn fuq?</v>
      </c>
    </row>
    <row r="13297" ht="15.75" customHeight="1">
      <c r="A13297" s="2" t="s">
        <v>13297</v>
      </c>
      <c r="B13297" s="2" t="str">
        <f>IFERROR(__xludf.DUMMYFUNCTION("GOOGLETRANSLATE(A13297, ""en"", ""mt"")"),"X'inhi l-kloroplast tad-dinofisi?")</f>
        <v>X'inhi l-kloroplast tad-dinofisi?</v>
      </c>
    </row>
    <row r="13298" ht="15.75" customHeight="1">
      <c r="A13298" s="2" t="s">
        <v>13298</v>
      </c>
      <c r="B13298" s="2" t="str">
        <f>IFERROR(__xludf.DUMMYFUNCTION("GOOGLETRANSLATE(A13298, ""en"", ""mt"")"),"Għal xiex tintuża l-biċċa l-kbira tal-art ikklerjata fir-reġjun tal-Amażonja?")</f>
        <v>Għal xiex tintuża l-biċċa l-kbira tal-art ikklerjata fir-reġjun tal-Amażonja?</v>
      </c>
    </row>
    <row r="13299" ht="15.75" customHeight="1">
      <c r="A13299" s="2" t="s">
        <v>13299</v>
      </c>
      <c r="B13299" s="2" t="str">
        <f>IFERROR(__xludf.DUMMYFUNCTION("GOOGLETRANSLATE(A13299, ""en"", ""mt"")"),"Għalkemm mhux karburant ___ huwa l-kompost kimiku, jiġġenera l-iktar okkorrenza ta 'splużjonijiet.")</f>
        <v>Għalkemm mhux karburant ___ huwa l-kompost kimiku, jiġġenera l-iktar okkorrenza ta 'splużjonijiet.</v>
      </c>
    </row>
    <row r="13300" ht="15.75" customHeight="1">
      <c r="A13300" s="2" t="s">
        <v>13300</v>
      </c>
      <c r="B13300" s="2" t="str">
        <f>IFERROR(__xludf.DUMMYFUNCTION("GOOGLETRANSLATE(A13300, ""en"", ""mt"")"),"L-UMC tinsab f'oppopità għall-ħolqien ta 'Embroys għal fini ta' xiex?")</f>
        <v>L-UMC tinsab f'oppopità għall-ħolqien ta 'Embroys għal fini ta' xiex?</v>
      </c>
    </row>
    <row r="13301" ht="15.75" customHeight="1">
      <c r="A13301" s="2" t="s">
        <v>13301</v>
      </c>
      <c r="B13301" s="2" t="str">
        <f>IFERROR(__xludf.DUMMYFUNCTION("GOOGLETRANSLATE(A13301, ""en"", ""mt"")"),"Kemm imsieħba tat-televiżjoni mxandra għandha l-NFL?")</f>
        <v>Kemm imsieħba tat-televiżjoni mxandra għandha l-NFL?</v>
      </c>
    </row>
    <row r="13302" ht="15.75" customHeight="1">
      <c r="A13302" s="2" t="s">
        <v>13302</v>
      </c>
      <c r="B13302" s="2" t="str">
        <f>IFERROR(__xludf.DUMMYFUNCTION("GOOGLETRANSLATE(A13302, ""en"", ""mt"")"),"Liema ekwazzjoni ħassret il-fiżika tal-forza qabel l-ekwazzjoni attwali ta 'Schrodinger?")</f>
        <v>Liema ekwazzjoni ħassret il-fiżika tal-forza qabel l-ekwazzjoni attwali ta 'Schrodinger?</v>
      </c>
    </row>
    <row r="13303" ht="15.75" customHeight="1">
      <c r="A13303" s="2" t="s">
        <v>13303</v>
      </c>
      <c r="B13303" s="2" t="str">
        <f>IFERROR(__xludf.DUMMYFUNCTION("GOOGLETRANSLATE(A13303, ""en"", ""mt"")"),"il-forza elettrostatika (minħabba l-kamp elettriku) u l-forza manjetika")</f>
        <v>il-forza elettrostatika (minħabba l-kamp elettriku) u l-forza manjetika</v>
      </c>
    </row>
    <row r="13304" ht="15.75" customHeight="1">
      <c r="A13304" s="2" t="s">
        <v>13304</v>
      </c>
      <c r="B13304" s="2" t="str">
        <f>IFERROR(__xludf.DUMMYFUNCTION("GOOGLETRANSLATE(A13304, ""en"", ""mt"")"),"Tliet azzjonijiet offensivi ewlenin")</f>
        <v>Tliet azzjonijiet offensivi ewlenin</v>
      </c>
    </row>
    <row r="13305" ht="15.75" customHeight="1">
      <c r="A13305" s="2" t="s">
        <v>13305</v>
      </c>
      <c r="B13305" s="2" t="str">
        <f>IFERROR(__xludf.DUMMYFUNCTION("GOOGLETRANSLATE(A13305, ""en"", ""mt"")"),"Il-kostruzzjoni hija waħda mill-aktar okkupazzjonijiet perikolużi fid-dinja, li ġġarraf aktar fatalitajiet fuq ix-xogħol minn kwalunkwe settur ieħor kemm fl-Istati Uniti kif ukoll fl-Unjoni Ewropea. Fl-2009, ir-rata fatali ta 'korrimenti fuq ix-xogħol fos"&amp;"t il-ħaddiema tal-kostruzzjoni fl-Istati Uniti kienet kważi tliet darbiet dik għall-ħaddiema kollha. Il-waqgħat huma waħda mill-aktar kawżi komuni ta 'korrimenti fatali u mhux fatali fost il-ħaddiema tal-kostruzzjoni. Tagħmir ta 'sigurtà xieraq bħal arnes"&amp;"si u guardrails u proċeduri bħall-iżgurar tas-slielem u l-ispezzjoni tal-armar jista' jnaqqas ir-riskju ta 'korrimenti fuq ix-xogħol fl-industrija tal-kostruzzjoni. Kawżi ewlenin oħra ta 'fatalitajiet fl-industrija tal-kostruzzjoni jinkludu l-elettrokuzzj"&amp;"oni, l-inċidenti tat-trasport, u l-grotta ta' trinka.")</f>
        <v>Il-kostruzzjoni hija waħda mill-aktar okkupazzjonijiet perikolużi fid-dinja, li ġġarraf aktar fatalitajiet fuq ix-xogħol minn kwalunkwe settur ieħor kemm fl-Istati Uniti kif ukoll fl-Unjoni Ewropea. Fl-2009, ir-rata fatali ta 'korrimenti fuq ix-xogħol fost il-ħaddiema tal-kostruzzjoni fl-Istati Uniti kienet kważi tliet darbiet dik għall-ħaddiema kollha. Il-waqgħat huma waħda mill-aktar kawżi komuni ta 'korrimenti fatali u mhux fatali fost il-ħaddiema tal-kostruzzjoni. Tagħmir ta 'sigurtà xieraq bħal arnessi u guardrails u proċeduri bħall-iżgurar tas-slielem u l-ispezzjoni tal-armar jista' jnaqqas ir-riskju ta 'korrimenti fuq ix-xogħol fl-industrija tal-kostruzzjoni. Kawżi ewlenin oħra ta 'fatalitajiet fl-industrija tal-kostruzzjoni jinkludu l-elettrokuzzjoni, l-inċidenti tat-trasport, u l-grotta ta' trinka.</v>
      </c>
    </row>
    <row r="13306" ht="15.75" customHeight="1">
      <c r="A13306" s="2" t="s">
        <v>13306</v>
      </c>
      <c r="B13306" s="2" t="str">
        <f>IFERROR(__xludf.DUMMYFUNCTION("GOOGLETRANSLATE(A13306, ""en"", ""mt"")"),"Elettur ta 'Brandenburg u Duka tal-Prussja")</f>
        <v>Elettur ta 'Brandenburg u Duka tal-Prussja</v>
      </c>
    </row>
    <row r="13307" ht="15.75" customHeight="1">
      <c r="A13307" s="2" t="s">
        <v>13307</v>
      </c>
      <c r="B13307" s="2" t="str">
        <f>IFERROR(__xludf.DUMMYFUNCTION("GOOGLETRANSLATE(A13307, ""en"", ""mt"")"),"L-imperjalizmu kulturali huwa meta l-influwenza ta 'pajjiż tinħass fiċ-ċrieki soċjali u kulturali, i.e. il-poter artab tiegħu, tali li tbiddel il-fehma tad-dinja morali, kulturali u tas-soċjetà ta' ieħor. Dan huwa iktar minn sempliċement mużika, televiżjo"&amp;"ni jew film ""barranin"" li qed isiru popolari maż-żgħażagħ, iżda dik il-kultura popolari tbiddel l-aspettattivi tagħhom stess tal-ħajja u x-xewqa tagħhom għal pajjiżhom stess biex isiru aktar bħall-pajjiż barrani mpinġi. Pereżempju, rappreżentazzjonijiet"&amp;" ta 'stili ta' ħajja Amerikani opulenti fis-sapun ta 'Dallas matul il-Gwerra Bierda biddlu l-aspettattivi tar-Rumeni; Eżempju aktar reċenti huwa l-influwenza tas-serje tad-drama tal-Korea t'Isfel fil-Korea ta 'Fuq. L-importanza tal-poter artab ma tintilif"&amp;"x fuq reġimi awtoritarji, tiġġieled din l-influwenza ma 'projbizzjonijiet fuq kultura popolari barranija, kontroll tal-internet u platti satellitari mhux awtorizzati eċċ. Lanqas ma jkun riċenti tali użu tal-kultura, bħala parti mill-imperjalizmu Ruman li "&amp;"l-elite lokali Esposti għall-benefiċċji u l-lussu tal-kultura u l-istil ta 'ħajja Rumani, bil-għan li mbagħad isiru parteċipanti lesti.")</f>
        <v>L-imperjalizmu kulturali huwa meta l-influwenza ta 'pajjiż tinħass fiċ-ċrieki soċjali u kulturali, i.e. il-poter artab tiegħu, tali li tbiddel il-fehma tad-dinja morali, kulturali u tas-soċjetà ta' ieħor. Dan huwa iktar minn sempliċement mużika, televiżjoni jew film "barranin" li qed isiru popolari maż-żgħażagħ, iżda dik il-kultura popolari tbiddel l-aspettattivi tagħhom stess tal-ħajja u x-xewqa tagħhom għal pajjiżhom stess biex isiru aktar bħall-pajjiż barrani mpinġi. Pereżempju, rappreżentazzjonijiet ta 'stili ta' ħajja Amerikani opulenti fis-sapun ta 'Dallas matul il-Gwerra Bierda biddlu l-aspettattivi tar-Rumeni; Eżempju aktar reċenti huwa l-influwenza tas-serje tad-drama tal-Korea t'Isfel fil-Korea ta 'Fuq. L-importanza tal-poter artab ma tintilifx fuq reġimi awtoritarji, tiġġieled din l-influwenza ma 'projbizzjonijiet fuq kultura popolari barranija, kontroll tal-internet u platti satellitari mhux awtorizzati eċċ. Lanqas ma jkun riċenti tali użu tal-kultura, bħala parti mill-imperjalizmu Ruman li l-elite lokali Esposti għall-benefiċċji u l-lussu tal-kultura u l-istil ta 'ħajja Rumani, bil-għan li mbagħad isiru parteċipanti lesti.</v>
      </c>
    </row>
    <row r="13308" ht="15.75" customHeight="1">
      <c r="A13308" s="2" t="s">
        <v>13308</v>
      </c>
      <c r="B13308" s="2" t="str">
        <f>IFERROR(__xludf.DUMMYFUNCTION("GOOGLETRANSLATE(A13308, ""en"", ""mt"")"),"tiċpra d-differenzi teoloġiċi u konfessjonali fl-interessi tal-għaqda")</f>
        <v>tiċpra d-differenzi teoloġiċi u konfessjonali fl-interessi tal-għaqda</v>
      </c>
    </row>
    <row r="13309" ht="15.75" customHeight="1">
      <c r="A13309" s="2" t="s">
        <v>13309</v>
      </c>
      <c r="B13309" s="2" t="str">
        <f>IFERROR(__xludf.DUMMYFUNCTION("GOOGLETRANSLATE(A13309, ""en"", ""mt"")"),"Flimkien ma 'vetturi tat-triq, lokomottivi u vapuri, fuq liema vetturi ntużaw magni tal-fwar matul ir-rivoluzzjoni industrijali?")</f>
        <v>Flimkien ma 'vetturi tat-triq, lokomottivi u vapuri, fuq liema vetturi ntużaw magni tal-fwar matul ir-rivoluzzjoni industrijali?</v>
      </c>
    </row>
    <row r="13310" ht="15.75" customHeight="1">
      <c r="A13310" s="2" t="s">
        <v>13310</v>
      </c>
      <c r="B13310" s="2" t="str">
        <f>IFERROR(__xludf.DUMMYFUNCTION("GOOGLETRANSLATE(A13310, ""en"", ""mt"")"),"L-attivitajiet ta 'min kienu l-Franċiżi kapaċi jiksbu għarfien dwarhom?")</f>
        <v>L-attivitajiet ta 'min kienu l-Franċiżi kapaċi jiksbu għarfien dwarhom?</v>
      </c>
    </row>
    <row r="13311" ht="15.75" customHeight="1">
      <c r="A13311" s="2" t="s">
        <v>13311</v>
      </c>
      <c r="B13311" s="2" t="str">
        <f>IFERROR(__xludf.DUMMYFUNCTION("GOOGLETRANSLATE(A13311, ""en"", ""mt"")"),"l-istazzjonar fuq il-bieb")</f>
        <v>l-istazzjonar fuq il-bieb</v>
      </c>
    </row>
    <row r="13312" ht="15.75" customHeight="1">
      <c r="A13312" s="2" t="s">
        <v>13312</v>
      </c>
      <c r="B13312" s="2" t="str">
        <f>IFERROR(__xludf.DUMMYFUNCTION("GOOGLETRANSLATE(A13312, ""en"", ""mt"")"),"1859 u 1865")</f>
        <v>1859 u 1865</v>
      </c>
    </row>
    <row r="13313" ht="15.75" customHeight="1">
      <c r="A13313" s="2" t="s">
        <v>13313</v>
      </c>
      <c r="B13313" s="2" t="str">
        <f>IFERROR(__xludf.DUMMYFUNCTION("GOOGLETRANSLATE(A13313, ""en"", ""mt"")"),"iżotopi")</f>
        <v>iżotopi</v>
      </c>
    </row>
    <row r="13314" ht="15.75" customHeight="1">
      <c r="A13314" s="2" t="s">
        <v>13314</v>
      </c>
      <c r="B13314" s="2" t="str">
        <f>IFERROR(__xludf.DUMMYFUNCTION("GOOGLETRANSLATE(A13314, ""en"", ""mt"")"),"San Nicolas")</f>
        <v>San Nicolas</v>
      </c>
    </row>
    <row r="13315" ht="15.75" customHeight="1">
      <c r="A13315" s="2" t="s">
        <v>13315</v>
      </c>
      <c r="B13315" s="2" t="str">
        <f>IFERROR(__xludf.DUMMYFUNCTION("GOOGLETRANSLATE(A13315, ""en"", ""mt"")"),"Il-biċċa l-kbira tal-imperjalizmu sar bl-użu ta 'liema metodu ta' trasport?")</f>
        <v>Il-biċċa l-kbira tal-imperjalizmu sar bl-użu ta 'liema metodu ta' trasport?</v>
      </c>
    </row>
    <row r="13316" ht="15.75" customHeight="1">
      <c r="A13316" s="2" t="s">
        <v>13316</v>
      </c>
      <c r="B13316" s="2" t="str">
        <f>IFERROR(__xludf.DUMMYFUNCTION("GOOGLETRANSLATE(A13316, ""en"", ""mt"")"),"Liema parti tal-ġisem Thomas Davis kiser waqt il-logħba tal-kampjonat NFC?")</f>
        <v>Liema parti tal-ġisem Thomas Davis kiser waqt il-logħba tal-kampjonat NFC?</v>
      </c>
    </row>
    <row r="13317" ht="15.75" customHeight="1">
      <c r="A13317" s="2" t="s">
        <v>13317</v>
      </c>
      <c r="B13317" s="2" t="str">
        <f>IFERROR(__xludf.DUMMYFUNCTION("GOOGLETRANSLATE(A13317, ""en"", ""mt"")"),"Nisrani Ortodoss")</f>
        <v>Nisrani Ortodoss</v>
      </c>
    </row>
    <row r="13318" ht="15.75" customHeight="1">
      <c r="A13318" s="2" t="s">
        <v>13318</v>
      </c>
      <c r="B13318" s="2" t="str">
        <f>IFERROR(__xludf.DUMMYFUNCTION("GOOGLETRANSLATE(A13318, ""en"", ""mt"")"),"kannizzata ta ’tubi fl-istoma tagħhom, imsejħa korp prolamellari")</f>
        <v>kannizzata ta ’tubi fl-istoma tagħhom, imsejħa korp prolamellari</v>
      </c>
    </row>
    <row r="13319" ht="15.75" customHeight="1">
      <c r="A13319" s="2" t="s">
        <v>13319</v>
      </c>
      <c r="B13319" s="2" t="str">
        <f>IFERROR(__xludf.DUMMYFUNCTION("GOOGLETRANSLATE(A13319, ""en"", ""mt"")"),"X'tip ta 'membrana ġiet mill-ospitanti?")</f>
        <v>X'tip ta 'membrana ġiet mill-ospitanti?</v>
      </c>
    </row>
    <row r="13320" ht="15.75" customHeight="1">
      <c r="A13320" s="2" t="s">
        <v>13320</v>
      </c>
      <c r="B13320" s="2" t="str">
        <f>IFERROR(__xludf.DUMMYFUNCTION("GOOGLETRANSLATE(A13320, ""en"", ""mt"")"),"Salm 130")</f>
        <v>Salm 130</v>
      </c>
    </row>
    <row r="13321" ht="15.75" customHeight="1">
      <c r="A13321" s="2" t="s">
        <v>13321</v>
      </c>
      <c r="B13321" s="2" t="str">
        <f>IFERROR(__xludf.DUMMYFUNCTION("GOOGLETRANSLATE(A13321, ""en"", ""mt"")"),"Liema muntanja għandha borra fuqha s-sena kollha?")</f>
        <v>Liema muntanja għandha borra fuqha s-sena kollha?</v>
      </c>
    </row>
    <row r="13322" ht="15.75" customHeight="1">
      <c r="A13322" s="2" t="s">
        <v>13322</v>
      </c>
      <c r="B13322" s="2" t="str">
        <f>IFERROR(__xludf.DUMMYFUNCTION("GOOGLETRANSLATE(A13322, ""en"", ""mt"")"),"Min ħoloq indiċi ta 'problemi tas-saħħa u soċjali?")</f>
        <v>Min ħoloq indiċi ta 'problemi tas-saħħa u soċjali?</v>
      </c>
    </row>
    <row r="13323" ht="15.75" customHeight="1">
      <c r="A13323" s="2" t="s">
        <v>13323</v>
      </c>
      <c r="B13323" s="2" t="str">
        <f>IFERROR(__xludf.DUMMYFUNCTION("GOOGLETRANSLATE(A13323, ""en"", ""mt"")"),"X'inhu mod ieħor kif tirreferi għall-istaturi?")</f>
        <v>X'inhu mod ieħor kif tirreferi għall-istaturi?</v>
      </c>
    </row>
    <row r="13324" ht="15.75" customHeight="1">
      <c r="A13324" s="2" t="s">
        <v>13324</v>
      </c>
      <c r="B13324" s="2" t="str">
        <f>IFERROR(__xludf.DUMMYFUNCTION("GOOGLETRANSLATE(A13324, ""en"", ""mt"")"),"Liema riforma kienet attentata wara t-trattat sabiħ?")</f>
        <v>Liema riforma kienet attentata wara t-trattat sabiħ?</v>
      </c>
    </row>
    <row r="13325" ht="15.75" customHeight="1">
      <c r="A13325" s="2" t="s">
        <v>13325</v>
      </c>
      <c r="B13325" s="2" t="str">
        <f>IFERROR(__xludf.DUMMYFUNCTION("GOOGLETRANSLATE(A13325, ""en"", ""mt"")"),"temperaturi aktar baxxi")</f>
        <v>temperaturi aktar baxxi</v>
      </c>
    </row>
    <row r="13326" ht="15.75" customHeight="1">
      <c r="A13326" s="2" t="s">
        <v>13326</v>
      </c>
      <c r="B13326" s="2" t="str">
        <f>IFERROR(__xludf.DUMMYFUNCTION("GOOGLETRANSLATE(A13326, ""en"", ""mt"")"),"Dak li jopponi direttament il-forza applikata biex tiċċaqlaq oġġett minn wiċċ?")</f>
        <v>Dak li jopponi direttament il-forza applikata biex tiċċaqlaq oġġett minn wiċċ?</v>
      </c>
    </row>
    <row r="13327" ht="15.75" customHeight="1">
      <c r="A13327" s="2" t="s">
        <v>13327</v>
      </c>
      <c r="B13327" s="2" t="str">
        <f>IFERROR(__xludf.DUMMYFUNCTION("GOOGLETRANSLATE(A13327, ""en"", ""mt"")"),"għerq")</f>
        <v>għerq</v>
      </c>
    </row>
    <row r="13328" ht="15.75" customHeight="1">
      <c r="A13328" s="2" t="s">
        <v>13328</v>
      </c>
      <c r="B13328" s="2" t="str">
        <f>IFERROR(__xludf.DUMMYFUNCTION("GOOGLETRANSLATE(A13328, ""en"", ""mt"")"),"Fl-1949, ABC kellha inqas kopertura minn liema netwerks li jikkompetu?")</f>
        <v>Fl-1949, ABC kellha inqas kopertura minn liema netwerks li jikkompetu?</v>
      </c>
    </row>
    <row r="13329" ht="15.75" customHeight="1">
      <c r="A13329" s="2" t="s">
        <v>13329</v>
      </c>
      <c r="B13329" s="2" t="str">
        <f>IFERROR(__xludf.DUMMYFUNCTION("GOOGLETRANSLATE(A13329, ""en"", ""mt"")"),"Minkejja li kien relattivament mhux affettwat mill-embargo, ir-Renju Unit madankollu ffaċċja kriżi taż-żejt tiegħu stess - serje ta 'strajkijiet minn minaturi tal-faħam u ħaddiema tal-ferrovija matul ix-xitwa tal-1973–74 saru fattur ewlieni fil-bidla tal-"&amp;"gvern. Heath talab lill-Ingliżi biex isaħħnu kamra waħda biss fid-djar tagħhom matul ix-xitwa. Ir-Renju Unit, il-Ġermanja, l-Italja, l-Isvizzera u n-Norveġja pprojbixxew it-titjir, is-sewqan u t-tbaħħir fil-Ħdud. L-Iżvezja razzjonata petrol u żejt tat-tis"&amp;"ħin. L-Olanda imponew sentenzi ta 'ħabs għal dawk li użaw aktar mir-razzjon tagħhom ta' l-elettriku.")</f>
        <v>Minkejja li kien relattivament mhux affettwat mill-embargo, ir-Renju Unit madankollu ffaċċja kriżi taż-żejt tiegħu stess - serje ta 'strajkijiet minn minaturi tal-faħam u ħaddiema tal-ferrovija matul ix-xitwa tal-1973–74 saru fattur ewlieni fil-bidla tal-gvern. Heath talab lill-Ingliżi biex isaħħnu kamra waħda biss fid-djar tagħhom matul ix-xitwa. Ir-Renju Unit, il-Ġermanja, l-Italja, l-Isvizzera u n-Norveġja pprojbixxew it-titjir, is-sewqan u t-tbaħħir fil-Ħdud. L-Iżvezja razzjonata petrol u żejt tat-tisħin. L-Olanda imponew sentenzi ta 'ħabs għal dawk li użaw aktar mir-razzjon tagħhom ta' l-elettriku.</v>
      </c>
    </row>
    <row r="13330" ht="15.75" customHeight="1">
      <c r="A13330" s="2" t="s">
        <v>13330</v>
      </c>
      <c r="B13330" s="2" t="str">
        <f>IFERROR(__xludf.DUMMYFUNCTION("GOOGLETRANSLATE(A13330, ""en"", ""mt"")"),"Liema suċċess Abercrombie kiseb mit-telfa f'Carillon?")</f>
        <v>Liema suċċess Abercrombie kiseb mit-telfa f'Carillon?</v>
      </c>
    </row>
    <row r="13331" ht="15.75" customHeight="1">
      <c r="A13331" s="2" t="s">
        <v>13331</v>
      </c>
      <c r="B13331" s="2" t="str">
        <f>IFERROR(__xludf.DUMMYFUNCTION("GOOGLETRANSLATE(A13331, ""en"", ""mt"")"),"Kważi l-blat kollha juru evidenza ta 'effetti tal-proċess ta' impatt. Ħafna kampjuni jidhru li huma mqabbda ma 'craters ta' impatt mikrometeoroid, li qatt ma jidher fuq il-blat tad-dinja, minħabba l-atmosfera oħxon. Ħafna juru sinjali li jkunu soġġetti għ"&amp;"al mewġ ta 'xokk ta' pressjoni għolja li huma ġġenerati waqt avvenimenti ta 'impatt. Uħud mill-kampjuni mibgħuta lura huma ta 'tidwib b'impatt (materjali mdewweb ħdejn crater ta' l-impatt.) Il-kampjuni kollha mibgħuta mill-qamar huma mqassma ħafna bħala r"&amp;"iżultat ta 'li huma soġġetti għal avvenimenti ta' impatt multipli.")</f>
        <v>Kważi l-blat kollha juru evidenza ta 'effetti tal-proċess ta' impatt. Ħafna kampjuni jidhru li huma mqabbda ma 'craters ta' impatt mikrometeoroid, li qatt ma jidher fuq il-blat tad-dinja, minħabba l-atmosfera oħxon. Ħafna juru sinjali li jkunu soġġetti għal mewġ ta 'xokk ta' pressjoni għolja li huma ġġenerati waqt avvenimenti ta 'impatt. Uħud mill-kampjuni mibgħuta lura huma ta 'tidwib b'impatt (materjali mdewweb ħdejn crater ta' l-impatt.) Il-kampjuni kollha mibgħuta mill-qamar huma mqassma ħafna bħala riżultat ta 'li huma soġġetti għal avvenimenti ta' impatt multipli.</v>
      </c>
    </row>
    <row r="13332" ht="15.75" customHeight="1">
      <c r="A13332" s="2" t="s">
        <v>13332</v>
      </c>
      <c r="B13332" s="2" t="str">
        <f>IFERROR(__xludf.DUMMYFUNCTION("GOOGLETRANSLATE(A13332, ""en"", ""mt"")"),"Min jirrappreżenta l-Parlament Skoċċiż f'pajjiżhom u barra mill-pajjiż f'kapaċità uffiċjali?")</f>
        <v>Min jirrappreżenta l-Parlament Skoċċiż f'pajjiżhom u barra mill-pajjiż f'kapaċità uffiċjali?</v>
      </c>
    </row>
    <row r="13333" ht="15.75" customHeight="1">
      <c r="A13333" s="2" t="s">
        <v>13333</v>
      </c>
      <c r="B13333" s="2" t="str">
        <f>IFERROR(__xludf.DUMMYFUNCTION("GOOGLETRANSLATE(A13333, ""en"", ""mt"")"),"Kemm jiswa l-istadium ta 'Levi?")</f>
        <v>Kemm jiswa l-istadium ta 'Levi?</v>
      </c>
    </row>
    <row r="13334" ht="15.75" customHeight="1">
      <c r="A13334" s="2" t="s">
        <v>13334</v>
      </c>
      <c r="B13334" s="2" t="str">
        <f>IFERROR(__xludf.DUMMYFUNCTION("GOOGLETRANSLATE(A13334, ""en"", ""mt"")"),"Liema lista kienet il-belt il-qadima ta 'Varsavja miktuba fl-1980?")</f>
        <v>Liema lista kienet il-belt il-qadima ta 'Varsavja miktuba fl-1980?</v>
      </c>
    </row>
    <row r="13335" ht="15.75" customHeight="1">
      <c r="A13335" s="2" t="s">
        <v>13335</v>
      </c>
      <c r="B13335" s="2" t="str">
        <f>IFERROR(__xludf.DUMMYFUNCTION("GOOGLETRANSLATE(A13335, ""en"", ""mt"")"),"~ 11,700 sena ilu")</f>
        <v>~ 11,700 sena ilu</v>
      </c>
    </row>
    <row r="13336" ht="15.75" customHeight="1">
      <c r="A13336" s="2" t="s">
        <v>13336</v>
      </c>
      <c r="B13336" s="2" t="str">
        <f>IFERROR(__xludf.DUMMYFUNCTION("GOOGLETRANSLATE(A13336, ""en"", ""mt"")"),"Każ sempliċi ta 'ekwilibriju dinamiku jseħħ f'moviment ta' veloċità kostanti f'wiċċ bi frizzjoni kinetika. F'sitwazzjoni bħal din, forza hija applikata fid-direzzjoni tal-moviment filwaqt li l-forza ta 'frizzjoni kinetika topponi eżattament il-forza appli"&amp;"kata. Dan jirriżulta f'forza netta żero, iżda peress li l-oġġett beda b'veloċità mhux żero, huwa jkompli jimxi b'veloċità mhux żero. Aristotile interpreta ħażin din il-mozzjoni bħala kkawżata mill-forza applikata. Madankollu, meta l-frizzjoni kinetika tit"&amp;"qies, huwa ċar li m'hemm l-ebda forza netta li tikkawża moviment ta 'veloċità kostanti.")</f>
        <v>Każ sempliċi ta 'ekwilibriju dinamiku jseħħ f'moviment ta' veloċità kostanti f'wiċċ bi frizzjoni kinetika. F'sitwazzjoni bħal din, forza hija applikata fid-direzzjoni tal-moviment filwaqt li l-forza ta 'frizzjoni kinetika topponi eżattament il-forza applikata. Dan jirriżulta f'forza netta żero, iżda peress li l-oġġett beda b'veloċità mhux żero, huwa jkompli jimxi b'veloċità mhux żero. Aristotile interpreta ħażin din il-mozzjoni bħala kkawżata mill-forza applikata. Madankollu, meta l-frizzjoni kinetika titqies, huwa ċar li m'hemm l-ebda forza netta li tikkawża moviment ta 'veloċità kostanti.</v>
      </c>
    </row>
    <row r="13337" ht="15.75" customHeight="1">
      <c r="A13337" s="2" t="s">
        <v>13337</v>
      </c>
      <c r="B13337" s="2" t="str">
        <f>IFERROR(__xludf.DUMMYFUNCTION("GOOGLETRANSLATE(A13337, ""en"", ""mt"")"),"Fil-kwart tal-ħarifa tal-2014, l-Università ta ’Chicago rreġistrat 5,792 student fil-kulleġġ, 3,468 student fl-erba’ diviżjonijiet gradwati tagħha, 5,984 student fl-iskejjel professjonali tagħha, u 15,244 student ġenerali. Fit-tliet xhur tar-rebbiegħa tal"&amp;"-2012, studenti internazzjonali kienu jinkludu kważi 19% tal-korp ta 'studju ġenerali, aktar minn 26% tal-istudenti kienu minoranzi etniċi domestiċi, u madwar 44% tal-istudenti rreġistrati kienu nisa. L-ammissjonijiet fl-Università ta 'Chicago huma selett"&amp;"ivi ħafna. Il-faxxa tan-nofs ta '50% tal-punteġġi SAT għall-klassi undergraduate tal-2015, eskluża t-taqsima tal-kitba, kienet 1420-1530, il-punteġġ medju tal-MCAT għad-dħul tal-istudenti fl-Iskola tal-Mediċina Pritzker fl-2011 kien ta '36, u l-punteġġ me"&amp;"djan tal-LSAT għad-dħul Studenti fl-iskola tal-liġi fl-2011 kienu 171. Fl-2015, il-Kulleġġ tal-Università ta ’Chicago kellu rata ta’ aċċettazzjoni ta ’7.8% għall-Klassi tal-2019, l-inqas fl-istorja tal-kulleġġ.")</f>
        <v>Fil-kwart tal-ħarifa tal-2014, l-Università ta ’Chicago rreġistrat 5,792 student fil-kulleġġ, 3,468 student fl-erba’ diviżjonijiet gradwati tagħha, 5,984 student fl-iskejjel professjonali tagħha, u 15,244 student ġenerali. Fit-tliet xhur tar-rebbiegħa tal-2012, studenti internazzjonali kienu jinkludu kważi 19% tal-korp ta 'studju ġenerali, aktar minn 26% tal-istudenti kienu minoranzi etniċi domestiċi, u madwar 44% tal-istudenti rreġistrati kienu nisa. L-ammissjonijiet fl-Università ta 'Chicago huma selettivi ħafna. Il-faxxa tan-nofs ta '50% tal-punteġġi SAT għall-klassi undergraduate tal-2015, eskluża t-taqsima tal-kitba, kienet 1420-1530, il-punteġġ medju tal-MCAT għad-dħul tal-istudenti fl-Iskola tal-Mediċina Pritzker fl-2011 kien ta '36, u l-punteġġ medjan tal-LSAT għad-dħul Studenti fl-iskola tal-liġi fl-2011 kienu 171. Fl-2015, il-Kulleġġ tal-Università ta ’Chicago kellu rata ta’ aċċettazzjoni ta ’7.8% għall-Klassi tal-2019, l-inqas fl-istorja tal-kulleġġ.</v>
      </c>
    </row>
    <row r="13338" ht="15.75" customHeight="1">
      <c r="A13338" s="2" t="s">
        <v>13338</v>
      </c>
      <c r="B13338" s="2" t="str">
        <f>IFERROR(__xludf.DUMMYFUNCTION("GOOGLETRANSLATE(A13338, ""en"", ""mt"")"),"F’Novembru tal-1960, John F. Kennedy ġie elett president wara kampanja li wiegħdet is-superjorità Amerikana fuq l-Unjoni Sovjetika fl-oqsma tal-esplorazzjoni tal-ispazju u d-difiża tal-missili. Sa l-elezzjoni ta 'l-1960, Kennedy kien qed jitkellem kontra "&amp;"d- ""distakk fil-missili"" li hu u ħafna senaturi oħra ħassew li kienu ffurmati bejn is-Sovjetiċi u lilhom infushom minħabba n-nuqqas ta' azzjoni tal-President Eisenhower. Lil hinn mill-poter militari, Kennedy uża t-teknoloġija aerospazjali bħala simbolu "&amp;"tal-prestiġju nazzjonali, wiegħed li jagħmel l-Istati Uniti mhux ""l-ewwel iżda, l-ewwel u, l-ewwel jekk, imma l-ewwel perjodu."" Minkejja r-retorika ta 'Kennedy, huwa ma wasalx immedjatament għal deċiżjoni dwar l-istatus tal-programm Apollo ladarba sar p"&amp;"resident. Huwa kien jaf ftit dwar id-dettalji tekniċi tal-programm spazjali, u ġie mkeċċi mill-impenn finanzjarju massiv meħtieġ minn inżul tal-qamar mgħammar. Meta l-amministratur li għadu kif ġie maħtur ta 'Kennedy James E. Webb talab żieda fil-baġit ta"&amp;" '30 fil-mija għall-aġenzija tiegħu, Kennedy appoġġa aċċellerazzjoni tal-programm kbir ta' booster tan-NASA iżda ddiffera deċiżjoni dwar il-kwistjoni usa '.")</f>
        <v>F’Novembru tal-1960, John F. Kennedy ġie elett president wara kampanja li wiegħdet is-superjorità Amerikana fuq l-Unjoni Sovjetika fl-oqsma tal-esplorazzjoni tal-ispazju u d-difiża tal-missili. Sa l-elezzjoni ta 'l-1960, Kennedy kien qed jitkellem kontra d- "distakk fil-missili" li hu u ħafna senaturi oħra ħassew li kienu ffurmati bejn is-Sovjetiċi u lilhom infushom minħabba n-nuqqas ta' azzjoni tal-President Eisenhower. Lil hinn mill-poter militari, Kennedy uża t-teknoloġija aerospazjali bħala simbolu tal-prestiġju nazzjonali, wiegħed li jagħmel l-Istati Uniti mhux "l-ewwel iżda, l-ewwel u, l-ewwel jekk, imma l-ewwel perjodu." Minkejja r-retorika ta 'Kennedy, huwa ma wasalx immedjatament għal deċiżjoni dwar l-istatus tal-programm Apollo ladarba sar president. Huwa kien jaf ftit dwar id-dettalji tekniċi tal-programm spazjali, u ġie mkeċċi mill-impenn finanzjarju massiv meħtieġ minn inżul tal-qamar mgħammar. Meta l-amministratur li għadu kif ġie maħtur ta 'Kennedy James E. Webb talab żieda fil-baġit ta '30 fil-mija għall-aġenzija tiegħu, Kennedy appoġġa aċċellerazzjoni tal-programm kbir ta' booster tan-NASA iżda ddiffera deċiżjoni dwar il-kwistjoni usa '.</v>
      </c>
    </row>
    <row r="13339" ht="15.75" customHeight="1">
      <c r="A13339" s="2" t="s">
        <v>13339</v>
      </c>
      <c r="B13339" s="2" t="str">
        <f>IFERROR(__xludf.DUMMYFUNCTION("GOOGLETRANSLATE(A13339, ""en"", ""mt"")"),"fruntiera")</f>
        <v>fruntiera</v>
      </c>
    </row>
    <row r="13340" ht="15.75" customHeight="1">
      <c r="A13340" s="2" t="s">
        <v>13340</v>
      </c>
      <c r="B13340" s="2" t="str">
        <f>IFERROR(__xludf.DUMMYFUNCTION("GOOGLETRANSLATE(A13340, ""en"", ""mt"")"),"effett dirett jew effett indirett")</f>
        <v>effett dirett jew effett indirett</v>
      </c>
    </row>
    <row r="13341" ht="15.75" customHeight="1">
      <c r="A13341" s="2" t="s">
        <v>13341</v>
      </c>
      <c r="B13341" s="2" t="str">
        <f>IFERROR(__xludf.DUMMYFUNCTION("GOOGLETRANSLATE(A13341, ""en"", ""mt"")"),"Ir-retikolu periferali tal-kloroplast")</f>
        <v>Ir-retikolu periferali tal-kloroplast</v>
      </c>
    </row>
    <row r="13342" ht="15.75" customHeight="1">
      <c r="A13342" s="2" t="s">
        <v>13342</v>
      </c>
      <c r="B13342" s="2" t="str">
        <f>IFERROR(__xludf.DUMMYFUNCTION("GOOGLETRANSLATE(A13342, ""en"", ""mt"")"),"skart ta 'riżorsi")</f>
        <v>skart ta 'riżorsi</v>
      </c>
    </row>
    <row r="13343" ht="15.75" customHeight="1">
      <c r="A13343" s="2" t="s">
        <v>13343</v>
      </c>
      <c r="B13343" s="2" t="str">
        <f>IFERROR(__xludf.DUMMYFUNCTION("GOOGLETRANSLATE(A13343, ""en"", ""mt"")"),"Iż-żewġ familji Norman l-iktar prominenti li jaslu fil-Mediterran kienu dixxendenti ta 'Tancred ta' Hauteville u l-familja Drengot, li minnhom Rainulf Drengot irċeviet il-Kontea ta 'Averssa, l-ewwel Norman Toehold fin-Nofsinhar, minn Duke Sergius IV ta' N"&amp;"apli fl-1030. Il-familja Hauteville kisbet grad prinċepju billi pproklama l-Prinċep Guimar IV ta 'Salerno ""Duka ta' Apulia u Calabria"". Huwa fil-pront ingħata lill-mexxej elett tagħhom, William Iron Arm, bit-titlu ta 'Konti fil-kapitali tiegħu ta' Melfi"&amp;". Il-familja Drengot wara dan laħqet il-Prinċipat ta 'Capua, u l-Imperatur Henry III legalment ħarab lill-mexxej ta' Hauteville, Drogo, bħala ""Dux et Magister Italiae comeque Normannorum normannorum ttius apuliae et calabriae"" (""Duke u Master of Italja"&amp;" u l-għadd tan-Normans ta 'l-Apulia kollha u Calabria "") fl-1047.")</f>
        <v>Iż-żewġ familji Norman l-iktar prominenti li jaslu fil-Mediterran kienu dixxendenti ta 'Tancred ta' Hauteville u l-familja Drengot, li minnhom Rainulf Drengot irċeviet il-Kontea ta 'Averssa, l-ewwel Norman Toehold fin-Nofsinhar, minn Duke Sergius IV ta' Napli fl-1030. Il-familja Hauteville kisbet grad prinċepju billi pproklama l-Prinċep Guimar IV ta 'Salerno "Duka ta' Apulia u Calabria". Huwa fil-pront ingħata lill-mexxej elett tagħhom, William Iron Arm, bit-titlu ta 'Konti fil-kapitali tiegħu ta' Melfi. Il-familja Drengot wara dan laħqet il-Prinċipat ta 'Capua, u l-Imperatur Henry III legalment ħarab lill-mexxej ta' Hauteville, Drogo, bħala "Dux et Magister Italiae comeque Normannorum normannorum ttius apuliae et calabriae" ("Duke u Master of Italja u l-għadd tan-Normans ta 'l-Apulia kollha u Calabria ") fl-1047.</v>
      </c>
    </row>
    <row r="13344" ht="15.75" customHeight="1">
      <c r="A13344" s="2" t="s">
        <v>13344</v>
      </c>
      <c r="B13344" s="2" t="str">
        <f>IFERROR(__xludf.DUMMYFUNCTION("GOOGLETRANSLATE(A13344, ""en"", ""mt"")"),"Li tgħaqqad il-pakkett tal-isem modern li jaqleb")</f>
        <v>Li tgħaqqad il-pakkett tal-isem modern li jaqleb</v>
      </c>
    </row>
    <row r="13345" ht="15.75" customHeight="1">
      <c r="A13345" s="2" t="s">
        <v>13345</v>
      </c>
      <c r="B13345" s="2" t="str">
        <f>IFERROR(__xludf.DUMMYFUNCTION("GOOGLETRANSLATE(A13345, ""en"", ""mt"")"),"mekkanika statistika")</f>
        <v>mekkanika statistika</v>
      </c>
    </row>
    <row r="13346" ht="15.75" customHeight="1">
      <c r="A13346" s="2" t="s">
        <v>13346</v>
      </c>
      <c r="B13346" s="2" t="str">
        <f>IFERROR(__xludf.DUMMYFUNCTION("GOOGLETRANSLATE(A13346, ""en"", ""mt"")"),"in-numru totali ta 'transizzjonijiet tal-istat, jew passi")</f>
        <v>in-numru totali ta 'transizzjonijiet tal-istat, jew passi</v>
      </c>
    </row>
    <row r="13347" ht="15.75" customHeight="1">
      <c r="A13347" s="2" t="s">
        <v>13347</v>
      </c>
      <c r="B13347" s="2" t="str">
        <f>IFERROR(__xludf.DUMMYFUNCTION("GOOGLETRANSLATE(A13347, ""en"", ""mt"")"),"Wieħed mill-ewwel esperimenti magħrufa dwar ir-relazzjoni bejn il-kombustjoni u l-arja sar mill-kittieb Grieg tat-2 seklu BCE fuq il-mekkanika, Philo of Bizantium. Fix-xogħol tiegħu pneumatica, Philo osserva li tbiddel bastiment fuq xemgħa li tinħaraq u l"&amp;"i jdawwar l-għonq tal-bastiment bl-ilma rriżulta f'xi ilma li jitla 'fl-għonq. Philo sssumi b'mod żbaljat li partijiet ta 'l-arja fil-bastiment ġew konvertiti fin-nar tal-element klassiku u b'hekk setgħu jaħarbu minn pori fil-ħġieġ. Ħafna sekli wara Leona"&amp;"rdo da Vinci bena fuq ix-xogħol ta 'Philo billi osserva li porzjon ta' l-arja jiġi kkunsmat waqt il-kombustjoni u r-respirazzjoni.")</f>
        <v>Wieħed mill-ewwel esperimenti magħrufa dwar ir-relazzjoni bejn il-kombustjoni u l-arja sar mill-kittieb Grieg tat-2 seklu BCE fuq il-mekkanika, Philo of Bizantium. Fix-xogħol tiegħu pneumatica, Philo osserva li tbiddel bastiment fuq xemgħa li tinħaraq u li jdawwar l-għonq tal-bastiment bl-ilma rriżulta f'xi ilma li jitla 'fl-għonq. Philo sssumi b'mod żbaljat li partijiet ta 'l-arja fil-bastiment ġew konvertiti fin-nar tal-element klassiku u b'hekk setgħu jaħarbu minn pori fil-ħġieġ. Ħafna sekli wara Leonardo da Vinci bena fuq ix-xogħol ta 'Philo billi osserva li porzjon ta' l-arja jiġi kkunsmat waqt il-kombustjoni u r-respirazzjoni.</v>
      </c>
    </row>
    <row r="13348" ht="15.75" customHeight="1">
      <c r="A13348" s="2" t="s">
        <v>13348</v>
      </c>
      <c r="B13348" s="2" t="str">
        <f>IFERROR(__xludf.DUMMYFUNCTION("GOOGLETRANSLATE(A13348, ""en"", ""mt"")"),"Ftehim kummerċjali sfurzat bejn żewġ pajjiżi jkun eżempju ta 'xiex?")</f>
        <v>Ftehim kummerċjali sfurzat bejn żewġ pajjiżi jkun eżempju ta 'xiex?</v>
      </c>
    </row>
    <row r="13349" ht="15.75" customHeight="1">
      <c r="A13349" s="2" t="s">
        <v>13349</v>
      </c>
      <c r="B13349" s="2" t="str">
        <f>IFERROR(__xludf.DUMMYFUNCTION("GOOGLETRANSLATE(A13349, ""en"", ""mt"")"),"Xi tuża l-ctenophora biex tgħum?")</f>
        <v>Xi tuża l-ctenophora biex tgħum?</v>
      </c>
    </row>
    <row r="13350" ht="15.75" customHeight="1">
      <c r="A13350" s="2" t="s">
        <v>13350</v>
      </c>
      <c r="B13350" s="2" t="str">
        <f>IFERROR(__xludf.DUMMYFUNCTION("GOOGLETRANSLATE(A13350, ""en"", ""mt"")"),"X'inhi l-enerġija kimika użata biex tipproduċi fil-pjanti?")</f>
        <v>X'inhi l-enerġija kimika użata biex tipproduċi fil-pjanti?</v>
      </c>
    </row>
    <row r="13351" ht="15.75" customHeight="1">
      <c r="A13351" s="2" t="s">
        <v>13351</v>
      </c>
      <c r="B13351" s="2" t="str">
        <f>IFERROR(__xludf.DUMMYFUNCTION("GOOGLETRANSLATE(A13351, ""en"", ""mt"")"),"Yin-Yang u Wuxing")</f>
        <v>Yin-Yang u Wuxing</v>
      </c>
    </row>
    <row r="13352" ht="15.75" customHeight="1">
      <c r="A13352" s="2" t="s">
        <v>13352</v>
      </c>
      <c r="B13352" s="2" t="str">
        <f>IFERROR(__xludf.DUMMYFUNCTION("GOOGLETRANSLATE(A13352, ""en"", ""mt"")"),"Kemm kontestanti oħra l-kumpanija, li kienet murija r-riklam tagħhom b'xejn, għelbu?")</f>
        <v>Kemm kontestanti oħra l-kumpanija, li kienet murija r-riklam tagħhom b'xejn, għelbu?</v>
      </c>
    </row>
    <row r="13353" ht="15.75" customHeight="1">
      <c r="A13353" s="2" t="s">
        <v>13353</v>
      </c>
      <c r="B13353" s="2" t="str">
        <f>IFERROR(__xludf.DUMMYFUNCTION("GOOGLETRANSLATE(A13353, ""en"", ""mt"")"),"X'kienet l-okkażjoni meta sostna li kien għamel il-mewt tar-raġġ?")</f>
        <v>X'kienet l-okkażjoni meta sostna li kien għamel il-mewt tar-raġġ?</v>
      </c>
    </row>
    <row r="13354" ht="15.75" customHeight="1">
      <c r="A13354" s="2" t="s">
        <v>13354</v>
      </c>
      <c r="B13354" s="2" t="str">
        <f>IFERROR(__xludf.DUMMYFUNCTION("GOOGLETRANSLATE(A13354, ""en"", ""mt"")"),"forza dgħajfa")</f>
        <v>forza dgħajfa</v>
      </c>
    </row>
    <row r="13355" ht="15.75" customHeight="1">
      <c r="A13355" s="2" t="s">
        <v>13355</v>
      </c>
      <c r="B13355" s="2" t="str">
        <f>IFERROR(__xludf.DUMMYFUNCTION("GOOGLETRANSLATE(A13355, ""en"", ""mt"")"),"Semmi marda awtoimmuni komuni.")</f>
        <v>Semmi marda awtoimmuni komuni.</v>
      </c>
    </row>
    <row r="13356" ht="15.75" customHeight="1">
      <c r="A13356" s="2" t="s">
        <v>13356</v>
      </c>
      <c r="B13356" s="2" t="str">
        <f>IFERROR(__xludf.DUMMYFUNCTION("GOOGLETRANSLATE(A13356, ""en"", ""mt"")"),"Robert Guiscard, avventur Norman ieħor preċedentement elevat għad-dinjità tal-Konti ta 'Apulia bħala riżultat tas-suċċessi militari tiegħu, fl-aħħar mexxa l-Biżantini barra mill-Italja tan-Nofsinhar. Wara li kiseb il-kunsens tal-Papa Gregorju VII u jaġixx"&amp;"i bħala l-vassall tiegħu, Robert kompla l-kampanja tiegħu billi rbaħ il-Peniżola tal-Balkani bħala l-pedament għall-fewdali feudali tal-Punent u l-Knisja Kattolika. Wara li ngħaqad lilu nnifsu mal-Kroazja u l-ibliet Kattoliċi tad-Dalmatia, fl-1081 huwa me"&amp;"xxa armata ta '30, 000 irġiel fi 300 vapur li jinżlu fuq ix-xtut tan-Nofsinhar ta 'l-Albanija, jaqbdu Valona, ​​Kanina, Jericho (Orikumi), u laħaq Butrint wara bosta pillaġġi. Huma ngħaqdu mal-flotta li qabel kienet ħakmet lil Corfu u attakkaw id-Dyrrachi"&amp;"um mill-art u l-baħar, devastanti kollox tul it-triq. Taħt dawn iċ-ċirkostanzi ħorox, in-nies tal-post aċċettaw is-sejħa tal-Imperatur Alexius I Comnenus biex jingħaqdu mal-Biżantini kontra n-Normanni. Il-forzi Albaniżi ma setgħux jieħdu sehem fil-battalj"&amp;"a li ġejja minħabba li kienet bdiet qabel il-wasla tagħhom. Immedjatament qabel il-battalja, il-flotta Venezjana kienet assigurat rebħa fil-kosta li tdawwar il-belt. Imġiegħel jirtira, Alexius ċeda l-kmand lil uffiċjal Albaniż għoli jismu Comiscortes fis-"&amp;"servizz ta 'Bizanju. Il-garnizon tal-belt irreżista sa Frar 1082, meta d-Dyrrachium ġie ingannat lin-Normanni min-negozjanti Venezjani u Amalfitan li kienu stabbilixxew hemmhekk. In-Normanni issa kienu ħielsa li jippenetraw fil-hinterland; Huma ħadu Ioann"&amp;"ina u xi bliet minuri fil-Lbiċ tal-Maċedonja u Tessalja qabel ma dehru fil-gradi ta 'Tessalonica. Id-dissensjoni fost il-gradi għoljin sfurzat in-Normanni biex jirtiraw lejn l-Italja. Huma tilfu Dyrrachium, Valona, ​​u Butrint fl-1085, wara l-mewt ta 'Rob"&amp;"ert.")</f>
        <v>Robert Guiscard, avventur Norman ieħor preċedentement elevat għad-dinjità tal-Konti ta 'Apulia bħala riżultat tas-suċċessi militari tiegħu, fl-aħħar mexxa l-Biżantini barra mill-Italja tan-Nofsinhar. Wara li kiseb il-kunsens tal-Papa Gregorju VII u jaġixxi bħala l-vassall tiegħu, Robert kompla l-kampanja tiegħu billi rbaħ il-Peniżola tal-Balkani bħala l-pedament għall-fewdali feudali tal-Punent u l-Knisja Kattolika. Wara li ngħaqad lilu nnifsu mal-Kroazja u l-ibliet Kattoliċi tad-Dalmatia, fl-1081 huwa mexxa armata ta '30, 000 irġiel fi 300 vapur li jinżlu fuq ix-xtut tan-Nofsinhar ta 'l-Albanija, jaqbdu Valona, ​​Kanina, Jericho (Orikumi), u laħaq Butrint wara bosta pillaġġi. Huma ngħaqdu mal-flotta li qabel kienet ħakmet lil Corfu u attakkaw id-Dyrrachium mill-art u l-baħar, devastanti kollox tul it-triq. Taħt dawn iċ-ċirkostanzi ħorox, in-nies tal-post aċċettaw is-sejħa tal-Imperatur Alexius I Comnenus biex jingħaqdu mal-Biżantini kontra n-Normanni. Il-forzi Albaniżi ma setgħux jieħdu sehem fil-battalja li ġejja minħabba li kienet bdiet qabel il-wasla tagħhom. Immedjatament qabel il-battalja, il-flotta Venezjana kienet assigurat rebħa fil-kosta li tdawwar il-belt. Imġiegħel jirtira, Alexius ċeda l-kmand lil uffiċjal Albaniż għoli jismu Comiscortes fis-servizz ta 'Bizanju. Il-garnizon tal-belt irreżista sa Frar 1082, meta d-Dyrrachium ġie ingannat lin-Normanni min-negozjanti Venezjani u Amalfitan li kienu stabbilixxew hemmhekk. In-Normanni issa kienu ħielsa li jippenetraw fil-hinterland; Huma ħadu Ioannina u xi bliet minuri fil-Lbiċ tal-Maċedonja u Tessalja qabel ma dehru fil-gradi ta 'Tessalonica. Id-dissensjoni fost il-gradi għoljin sfurzat in-Normanni biex jirtiraw lejn l-Italja. Huma tilfu Dyrrachium, Valona, ​​u Butrint fl-1085, wara l-mewt ta 'Robert.</v>
      </c>
    </row>
    <row r="13357" ht="15.75" customHeight="1">
      <c r="A13357" s="2" t="s">
        <v>13357</v>
      </c>
      <c r="B13357" s="2" t="str">
        <f>IFERROR(__xludf.DUMMYFUNCTION("GOOGLETRANSLATE(A13357, ""en"", ""mt"")"),"X'tip ta 'klima żżomm in-Nofsinhar ta' California?")</f>
        <v>X'tip ta 'klima żżomm in-Nofsinhar ta' California?</v>
      </c>
    </row>
    <row r="13358" ht="15.75" customHeight="1">
      <c r="A13358" s="2" t="s">
        <v>13358</v>
      </c>
      <c r="B13358" s="2" t="str">
        <f>IFERROR(__xludf.DUMMYFUNCTION("GOOGLETRANSLATE(A13358, ""en"", ""mt"")"),"Fis-6 ta 'Ottubru, 1973, is-Sirja u l-Eġittu, b'appoġġ minn nazzjonijiet Għarab oħra, nedew attakk ta' sorpriża fuq l-Iżrael, fuq Yom Kippur. Dan it-tiġdid ta 'ostilitajiet fil-kunflitt Għarbi-Iżraeljan ħareġ il-pressjoni ekonomika sottostanti fuq il-prez"&amp;"zijiet taż-żejt. Dak iż-żmien, l-Iran kien it-tieni l-akbar esportatur taż-żejt fid-dinja u alleat mill-qrib tal-Istati Uniti. Ġimgħat wara, ix-Shah tal-Iran qal f'intervista: ""Dażgur [il-prezz taż-żejt] se jogħla ... ċertament! U kif! ... int [in-nazzjo"&amp;"nijiet tal-Punent] żiedu l-prezz tal-qamħ Biegħna bi 300 fil-mija, u l-istess għaż-zokkor u s-siment ... tixtri ż-żejt mhux raffinat tagħna u tbigħha lura lilna, raffinata bħala petrokimiċi, bil-mitt darba l-prezz li ħallasna ... huwa ġust biss li , minn "&amp;"issa 'l quddiem, għandek tħallas aktar għaż-żejt. Ejja ngħidu għaxar darbiet aktar. """)</f>
        <v>Fis-6 ta 'Ottubru, 1973, is-Sirja u l-Eġittu, b'appoġġ minn nazzjonijiet Għarab oħra, nedew attakk ta' sorpriża fuq l-Iżrael, fuq Yom Kippur. Dan it-tiġdid ta 'ostilitajiet fil-kunflitt Għarbi-Iżraeljan ħareġ il-pressjoni ekonomika sottostanti fuq il-prezzijiet taż-żejt. Dak iż-żmien, l-Iran kien it-tieni l-akbar esportatur taż-żejt fid-dinja u alleat mill-qrib tal-Istati Uniti. Ġimgħat wara, ix-Shah tal-Iran qal f'intervista: "Dażgur [il-prezz taż-żejt] se jogħla ... ċertament! U kif! ... int [in-nazzjonijiet tal-Punent] żiedu l-prezz tal-qamħ Biegħna bi 300 fil-mija, u l-istess għaż-zokkor u s-siment ... tixtri ż-żejt mhux raffinat tagħna u tbigħha lura lilna, raffinata bħala petrokimiċi, bil-mitt darba l-prezz li ħallasna ... huwa ġust biss li , minn issa 'l quddiem, għandek tħallas aktar għaż-żejt. Ejja ngħidu għaxar darbiet aktar. "</v>
      </c>
    </row>
    <row r="13359" ht="15.75" customHeight="1">
      <c r="A13359" s="2" t="s">
        <v>13359</v>
      </c>
      <c r="B13359" s="2" t="str">
        <f>IFERROR(__xludf.DUMMYFUNCTION("GOOGLETRANSLATE(A13359, ""en"", ""mt"")"),"L-LM kienet maħsuba biex tirritorna fid-Dinja?")</f>
        <v>L-LM kienet maħsuba biex tirritorna fid-Dinja?</v>
      </c>
    </row>
    <row r="13360" ht="15.75" customHeight="1">
      <c r="A13360" s="2" t="s">
        <v>13360</v>
      </c>
      <c r="B13360" s="2" t="str">
        <f>IFERROR(__xludf.DUMMYFUNCTION("GOOGLETRANSLATE(A13360, ""en"", ""mt"")"),"Seklu 5")</f>
        <v>Seklu 5</v>
      </c>
    </row>
    <row r="13361" ht="15.75" customHeight="1">
      <c r="A13361" s="2" t="s">
        <v>13361</v>
      </c>
      <c r="B13361" s="2" t="str">
        <f>IFERROR(__xludf.DUMMYFUNCTION("GOOGLETRANSLATE(A13361, ""en"", ""mt"")"),"Varjabbiltà tat-torque")</f>
        <v>Varjabbiltà tat-torque</v>
      </c>
    </row>
    <row r="13362" ht="15.75" customHeight="1">
      <c r="A13362" s="2" t="s">
        <v>13362</v>
      </c>
      <c r="B13362" s="2" t="str">
        <f>IFERROR(__xludf.DUMMYFUNCTION("GOOGLETRANSLATE(A13362, ""en"", ""mt"")"),"Diversi eluf")</f>
        <v>Diversi eluf</v>
      </c>
    </row>
    <row r="13363" ht="15.75" customHeight="1">
      <c r="A13363" s="2" t="s">
        <v>13363</v>
      </c>
      <c r="B13363" s="2" t="str">
        <f>IFERROR(__xludf.DUMMYFUNCTION("GOOGLETRANSLATE(A13363, ""en"", ""mt"")"),"jwarrab il-klorofilla aħdar")</f>
        <v>jwarrab il-klorofilla aħdar</v>
      </c>
    </row>
    <row r="13364" ht="15.75" customHeight="1">
      <c r="A13364" s="2" t="s">
        <v>13364</v>
      </c>
      <c r="B13364" s="2" t="str">
        <f>IFERROR(__xludf.DUMMYFUNCTION("GOOGLETRANSLATE(A13364, ""en"", ""mt"")"),"elettromanjetiku")</f>
        <v>elettromanjetiku</v>
      </c>
    </row>
    <row r="13365" ht="15.75" customHeight="1">
      <c r="A13365" s="2" t="s">
        <v>13365</v>
      </c>
      <c r="B13365" s="2" t="str">
        <f>IFERROR(__xludf.DUMMYFUNCTION("GOOGLETRANSLATE(A13365, ""en"", ""mt"")"),"Infermiera jittrattaw 80% tal-popolazzjoni li jżuru dispensarji, ċentri tas-saħħa u kliniċi privati ​​f'żoni urbani rurali u taħt is-servuti. Każijiet ikkumplikati huma riferuti lil uffiċjali kliniċi, uffiċjali mediċi u prattikanti mediċi. Skond l-Uffiċċj"&amp;"u Nazzjonali tal-Istatistika tal-Kenja, fl-2011 kien hemm 65,000 infermiera kwalifikati rreġistrati fil-pajjiż; 8,600 uffiċjal kliniku u 7,000 tobba għall-popolazzjoni ta '43 miljun persuna (dawn iċ-ċifri minn reġistri uffiċjali jinkludu dawk li mietu jew"&amp;" ħallew il-professjoni u għalhekk in-numru attwali ta 'dawn il-ħaddiema jista' jkun inqas).")</f>
        <v>Infermiera jittrattaw 80% tal-popolazzjoni li jżuru dispensarji, ċentri tas-saħħa u kliniċi privati ​​f'żoni urbani rurali u taħt is-servuti. Każijiet ikkumplikati huma riferuti lil uffiċjali kliniċi, uffiċjali mediċi u prattikanti mediċi. Skond l-Uffiċċju Nazzjonali tal-Istatistika tal-Kenja, fl-2011 kien hemm 65,000 infermiera kwalifikati rreġistrati fil-pajjiż; 8,600 uffiċjal kliniku u 7,000 tobba għall-popolazzjoni ta '43 miljun persuna (dawn iċ-ċifri minn reġistri uffiċjali jinkludu dawk li mietu jew ħallew il-professjoni u għalhekk in-numru attwali ta 'dawn il-ħaddiema jista' jkun inqas).</v>
      </c>
    </row>
    <row r="13366" ht="15.75" customHeight="1">
      <c r="A13366" s="2" t="s">
        <v>13366</v>
      </c>
      <c r="B13366" s="2" t="str">
        <f>IFERROR(__xludf.DUMMYFUNCTION("GOOGLETRANSLATE(A13366, ""en"", ""mt"")"),"Diċembru 1963")</f>
        <v>Diċembru 1963</v>
      </c>
    </row>
    <row r="13367" ht="15.75" customHeight="1">
      <c r="A13367" s="2" t="s">
        <v>13367</v>
      </c>
      <c r="B13367" s="2" t="str">
        <f>IFERROR(__xludf.DUMMYFUNCTION("GOOGLETRANSLATE(A13367, ""en"", ""mt"")"),"Għal xiex hemm spinta fl-Istati Uniti biex tnaqqas l-ispejjeż tad-droga tal-konsumatur?")</f>
        <v>Għal xiex hemm spinta fl-Istati Uniti biex tnaqqas l-ispejjeż tad-droga tal-konsumatur?</v>
      </c>
    </row>
    <row r="13368" ht="15.75" customHeight="1">
      <c r="A13368" s="2" t="s">
        <v>13368</v>
      </c>
      <c r="B13368" s="2" t="str">
        <f>IFERROR(__xludf.DUMMYFUNCTION("GOOGLETRANSLATE(A13368, ""en"", ""mt"")"),"Mejju sa Settembru")</f>
        <v>Mejju sa Settembru</v>
      </c>
    </row>
    <row r="13369" ht="15.75" customHeight="1">
      <c r="A13369" s="2" t="s">
        <v>13369</v>
      </c>
      <c r="B13369" s="2" t="str">
        <f>IFERROR(__xludf.DUMMYFUNCTION("GOOGLETRANSLATE(A13369, ""en"", ""mt"")"),"reliġjuż u fl-ebda rispett razzjali")</f>
        <v>reliġjuż u fl-ebda rispett razzjali</v>
      </c>
    </row>
    <row r="13370" ht="15.75" customHeight="1">
      <c r="A13370" s="2" t="s">
        <v>13370</v>
      </c>
      <c r="B13370" s="2" t="str">
        <f>IFERROR(__xludf.DUMMYFUNCTION("GOOGLETRANSLATE(A13370, ""en"", ""mt"")"),"Ġeneraturi ta 'ossiġnu kimiku jew xemgħat ta' ossiġnu")</f>
        <v>Ġeneraturi ta 'ossiġnu kimiku jew xemgħat ta' ossiġnu</v>
      </c>
    </row>
    <row r="13371" ht="15.75" customHeight="1">
      <c r="A13371" s="2" t="s">
        <v>13371</v>
      </c>
      <c r="B13371" s="2" t="str">
        <f>IFERROR(__xludf.DUMMYFUNCTION("GOOGLETRANSLATE(A13371, ""en"", ""mt"")"),"F'liema żewġ kodiċi ġew ikkodifikati r-rwoli tal-ispiżjara?")</f>
        <v>F'liema żewġ kodiċi ġew ikkodifikati r-rwoli tal-ispiżjara?</v>
      </c>
    </row>
    <row r="13372" ht="15.75" customHeight="1">
      <c r="A13372" s="2" t="s">
        <v>13372</v>
      </c>
      <c r="B13372" s="2" t="str">
        <f>IFERROR(__xludf.DUMMYFUNCTION("GOOGLETRANSLATE(A13372, ""en"", ""mt"")"),"Kawża oħra hija r-rata li biha d-dħul jiġi ntaxxat flimkien mal-progressività tas-sistema tat-taxxa. Taxxa progressiva hija taxxa li biha r-rata tat-taxxa tiżdied hekk kif l-ammont ta 'bażi ​​taxxabbli jiżdied. F'sistema ta 'taxxa progressiva, il-livell t"&amp;"ar-rata ta' taxxa l-aqwa spiss ikollu impatt dirett fuq il-livell ta 'inugwaljanza fi ħdan soċjetà, jew iżidha jew jonqosha, sakemm id-dħul ma jinbidilx bħala riżultat tal-bidla fir-reġim tat-taxxa - Barra minn hekk, progressività tat-taxxa aktar wieqfa a"&amp;"pplikata għall-infiq soċjali tista 'tirriżulta f'distribuzzjoni aktar ugwali tad-dħul madwar il-bord. Id-differenza bejn l-indiċi Gini għal distribuzzjoni tad-dħul qabel it-tassazzjoni u l-indiċi Gini wara t-tassazzjoni hija indikatur għall-effetti ta 'ta"&amp;"li tassazzjoni.")</f>
        <v>Kawża oħra hija r-rata li biha d-dħul jiġi ntaxxat flimkien mal-progressività tas-sistema tat-taxxa. Taxxa progressiva hija taxxa li biha r-rata tat-taxxa tiżdied hekk kif l-ammont ta 'bażi ​​taxxabbli jiżdied. F'sistema ta 'taxxa progressiva, il-livell tar-rata ta' taxxa l-aqwa spiss ikollu impatt dirett fuq il-livell ta 'inugwaljanza fi ħdan soċjetà, jew iżidha jew jonqosha, sakemm id-dħul ma jinbidilx bħala riżultat tal-bidla fir-reġim tat-taxxa - Barra minn hekk, progressività tat-taxxa aktar wieqfa applikata għall-infiq soċjali tista 'tirriżulta f'distribuzzjoni aktar ugwali tad-dħul madwar il-bord. Id-differenza bejn l-indiċi Gini għal distribuzzjoni tad-dħul qabel it-tassazzjoni u l-indiċi Gini wara t-tassazzjoni hija indikatur għall-effetti ta 'tali tassazzjoni.</v>
      </c>
    </row>
    <row r="13373" ht="15.75" customHeight="1">
      <c r="A13373" s="2" t="s">
        <v>13373</v>
      </c>
      <c r="B13373" s="2" t="str">
        <f>IFERROR(__xludf.DUMMYFUNCTION("GOOGLETRANSLATE(A13373, ""en"", ""mt"")"),"ġelatina moxt")</f>
        <v>ġelatina moxt</v>
      </c>
    </row>
    <row r="13374" ht="15.75" customHeight="1">
      <c r="A13374" s="2" t="s">
        <v>13374</v>
      </c>
      <c r="B13374" s="2" t="str">
        <f>IFERROR(__xludf.DUMMYFUNCTION("GOOGLETRANSLATE(A13374, ""en"", ""mt"")"),"Kemm għandhom membrani apikoplasti?")</f>
        <v>Kemm għandhom membrani apikoplasti?</v>
      </c>
    </row>
    <row r="13375" ht="15.75" customHeight="1">
      <c r="A13375" s="2" t="s">
        <v>13375</v>
      </c>
      <c r="B13375" s="2" t="str">
        <f>IFERROR(__xludf.DUMMYFUNCTION("GOOGLETRANSLATE(A13375, ""en"", ""mt"")"),"Qrib l-aħħar tas-seklu 19 Magni komposti daħlu f'użu mifrux. Magni komposti eżawrew fwar għal ċilindri suċċessivament akbar biex jakkomodaw il-volumi ogħla fi pressjonijiet imnaqqsa, u jagħtu effiċjenza mtejba. Dawn l-istadji kienu msejħa espansjonijiet, "&amp;"b'magni ta 'espansjoni doppja u tripla li huma komuni, speċjalment fit-tbaħħir fejn l-effiċjenza kienet importanti biex jitnaqqas il-piż tal-faħam li jinġarr. Il-magni tal-fwar baqgħu s-sors dominanti ta 'enerġija sal-bidu tas-seklu 20, meta l-avvanzi fid"&amp;"-disinn ta' muturi elettriċi u magni ta 'kombustjoni interna rriżultaw gradwalment fis-sostituzzjoni ta' magni tal-fwar reċiprokanti (pistuni), bit-tbaħħir fis-seklu 20 billi jiddependi fuq il-fwar turbina.")</f>
        <v>Qrib l-aħħar tas-seklu 19 Magni komposti daħlu f'użu mifrux. Magni komposti eżawrew fwar għal ċilindri suċċessivament akbar biex jakkomodaw il-volumi ogħla fi pressjonijiet imnaqqsa, u jagħtu effiċjenza mtejba. Dawn l-istadji kienu msejħa espansjonijiet, b'magni ta 'espansjoni doppja u tripla li huma komuni, speċjalment fit-tbaħħir fejn l-effiċjenza kienet importanti biex jitnaqqas il-piż tal-faħam li jinġarr. Il-magni tal-fwar baqgħu s-sors dominanti ta 'enerġija sal-bidu tas-seklu 20, meta l-avvanzi fid-disinn ta' muturi elettriċi u magni ta 'kombustjoni interna rriżultaw gradwalment fis-sostituzzjoni ta' magni tal-fwar reċiprokanti (pistuni), bit-tbaħħir fis-seklu 20 billi jiddependi fuq il-fwar turbina.</v>
      </c>
    </row>
    <row r="13376" ht="15.75" customHeight="1">
      <c r="A13376" s="2" t="s">
        <v>13376</v>
      </c>
      <c r="B13376" s="2" t="str">
        <f>IFERROR(__xludf.DUMMYFUNCTION("GOOGLETRANSLATE(A13376, ""en"", ""mt"")"),"Infiq soċjali")</f>
        <v>Infiq soċjali</v>
      </c>
    </row>
    <row r="13377" ht="15.75" customHeight="1">
      <c r="A13377" s="2" t="s">
        <v>13377</v>
      </c>
      <c r="B13377" s="2" t="str">
        <f>IFERROR(__xludf.DUMMYFUNCTION("GOOGLETRANSLATE(A13377, ""en"", ""mt"")"),"mill-inqas erba 'passiġġieri")</f>
        <v>mill-inqas erba 'passiġġieri</v>
      </c>
    </row>
    <row r="13378" ht="15.75" customHeight="1">
      <c r="A13378" s="2" t="s">
        <v>13378</v>
      </c>
      <c r="B13378" s="2" t="str">
        <f>IFERROR(__xludf.DUMMYFUNCTION("GOOGLETRANSLATE(A13378, ""en"", ""mt"")"),"Għalliema entużjasti jistgħu jikkawżaw lill-istudenti jsiru aktar ____ dwar il-proċess ta 'tagħlim tagħhom?")</f>
        <v>Għalliema entużjasti jistgħu jikkawżaw lill-istudenti jsiru aktar ____ dwar il-proċess ta 'tagħlim tagħhom?</v>
      </c>
    </row>
    <row r="13379" ht="15.75" customHeight="1">
      <c r="A13379" s="2" t="s">
        <v>13379</v>
      </c>
      <c r="B13379" s="2" t="str">
        <f>IFERROR(__xludf.DUMMYFUNCTION("GOOGLETRANSLATE(A13379, ""en"", ""mt"")"),"politiċi elite")</f>
        <v>politiċi elite</v>
      </c>
    </row>
    <row r="13380" ht="15.75" customHeight="1">
      <c r="A13380" s="2" t="s">
        <v>13380</v>
      </c>
      <c r="B13380" s="2" t="str">
        <f>IFERROR(__xludf.DUMMYFUNCTION("GOOGLETRANSLATE(A13380, ""en"", ""mt"")"),"Liema reliġjon infirxet il-Franċiżi flimkien mal-imperjalizmu tagħhom?")</f>
        <v>Liema reliġjon infirxet il-Franċiżi flimkien mal-imperjalizmu tagħhom?</v>
      </c>
    </row>
    <row r="13381" ht="15.75" customHeight="1">
      <c r="A13381" s="2" t="s">
        <v>13381</v>
      </c>
      <c r="B13381" s="2" t="str">
        <f>IFERROR(__xludf.DUMMYFUNCTION("GOOGLETRANSLATE(A13381, ""en"", ""mt"")"),"bnedmin")</f>
        <v>bnedmin</v>
      </c>
    </row>
    <row r="13382" ht="15.75" customHeight="1">
      <c r="A13382" s="2" t="s">
        <v>13382</v>
      </c>
      <c r="B13382" s="2" t="str">
        <f>IFERROR(__xludf.DUMMYFUNCTION("GOOGLETRANSLATE(A13382, ""en"", ""mt"")"),"Teorija termodinamika")</f>
        <v>Teorija termodinamika</v>
      </c>
    </row>
    <row r="13383" ht="15.75" customHeight="1">
      <c r="A13383" s="2" t="s">
        <v>13383</v>
      </c>
      <c r="B13383" s="2" t="str">
        <f>IFERROR(__xludf.DUMMYFUNCTION("GOOGLETRANSLATE(A13383, ""en"", ""mt"")"),"24 sena mandat.")</f>
        <v>24 sena mandat.</v>
      </c>
    </row>
    <row r="13384" ht="15.75" customHeight="1">
      <c r="A13384" s="2" t="s">
        <v>13384</v>
      </c>
      <c r="B13384" s="2" t="str">
        <f>IFERROR(__xludf.DUMMYFUNCTION("GOOGLETRANSLATE(A13384, ""en"", ""mt"")"),"Awtoritajiet sekulari")</f>
        <v>Awtoritajiet sekulari</v>
      </c>
    </row>
    <row r="13385" ht="15.75" customHeight="1">
      <c r="A13385" s="2" t="s">
        <v>13385</v>
      </c>
      <c r="B13385" s="2" t="str">
        <f>IFERROR(__xludf.DUMMYFUNCTION("GOOGLETRANSLATE(A13385, ""en"", ""mt"")"),"X'tum l-armata Mongoljana fil-katapulti tagħhom?")</f>
        <v>X'tum l-armata Mongoljana fil-katapulti tagħhom?</v>
      </c>
    </row>
    <row r="13386" ht="15.75" customHeight="1">
      <c r="A13386" s="2" t="s">
        <v>13386</v>
      </c>
      <c r="B13386" s="2" t="str">
        <f>IFERROR(__xludf.DUMMYFUNCTION("GOOGLETRANSLATE(A13386, ""en"", ""mt"")"),"Algoritmu deterministiku")</f>
        <v>Algoritmu deterministiku</v>
      </c>
    </row>
    <row r="13387" ht="15.75" customHeight="1">
      <c r="A13387" s="2" t="s">
        <v>13387</v>
      </c>
      <c r="B13387" s="2" t="str">
        <f>IFERROR(__xludf.DUMMYFUNCTION("GOOGLETRANSLATE(A13387, ""en"", ""mt"")"),"kloroplast li fih il-phycobilin")</f>
        <v>kloroplast li fih il-phycobilin</v>
      </c>
    </row>
    <row r="13388" ht="15.75" customHeight="1">
      <c r="A13388" s="2" t="s">
        <v>13388</v>
      </c>
      <c r="B13388" s="2" t="str">
        <f>IFERROR(__xludf.DUMMYFUNCTION("GOOGLETRANSLATE(A13388, ""en"", ""mt"")"),"Ix-Xmara Colorado")</f>
        <v>Ix-Xmara Colorado</v>
      </c>
    </row>
    <row r="13389" ht="15.75" customHeight="1">
      <c r="A13389" s="2" t="s">
        <v>13389</v>
      </c>
      <c r="B13389" s="2" t="str">
        <f>IFERROR(__xludf.DUMMYFUNCTION("GOOGLETRANSLATE(A13389, ""en"", ""mt"")"),"X'tagħmel ir-retikolu periferali tal-kloroplast?")</f>
        <v>X'tagħmel ir-retikolu periferali tal-kloroplast?</v>
      </c>
    </row>
    <row r="13390" ht="15.75" customHeight="1">
      <c r="A13390" s="2" t="s">
        <v>13390</v>
      </c>
      <c r="B13390" s="2" t="str">
        <f>IFERROR(__xludf.DUMMYFUNCTION("GOOGLETRANSLATE(A13390, ""en"", ""mt"")"),"mill-ġdid sostnut")</f>
        <v>mill-ġdid sostnut</v>
      </c>
    </row>
    <row r="13391" ht="15.75" customHeight="1">
      <c r="A13391" s="2" t="s">
        <v>13391</v>
      </c>
      <c r="B13391" s="2" t="str">
        <f>IFERROR(__xludf.DUMMYFUNCTION("GOOGLETRANSLATE(A13391, ""en"", ""mt"")"),"mid-dipartiment")</f>
        <v>mid-dipartiment</v>
      </c>
    </row>
    <row r="13392" ht="15.75" customHeight="1">
      <c r="A13392" s="2" t="s">
        <v>13392</v>
      </c>
      <c r="B13392" s="2" t="str">
        <f>IFERROR(__xludf.DUMMYFUNCTION("GOOGLETRANSLATE(A13392, ""en"", ""mt"")"),"L-embargo kellu influwenza negattiva fuq l-ekonomija tal-Istati Uniti billi kkawża talbiet immedjati biex jindirizzaw it-theddid għas-sigurtà tal-enerġija tal-Istati Uniti. Fuq livell internazzjonali, iż-żidiet fil-prezz biddlu pożizzjonijiet kompetittivi"&amp;" f'ħafna industriji, bħal karozzi. Problemi makroekonomiċi kienu jikkonsistu f'impatti inflazzjonarji u deflazzjonarji. L-embargo ħalla kumpaniji taż-żejt ifittxu modi ġodda biex iżidu l-provvisti taż-żejt, anke f'art imħatteb bħall-Artiku. Is-sejba taż-ż"&amp;"ejt u l-iżvilupp ta 'oqsma ġodda ġeneralment tkun meħtieġa ħames sa għaxar snin qabel produzzjoni sinifikanti.")</f>
        <v>L-embargo kellu influwenza negattiva fuq l-ekonomija tal-Istati Uniti billi kkawża talbiet immedjati biex jindirizzaw it-theddid għas-sigurtà tal-enerġija tal-Istati Uniti. Fuq livell internazzjonali, iż-żidiet fil-prezz biddlu pożizzjonijiet kompetittivi f'ħafna industriji, bħal karozzi. Problemi makroekonomiċi kienu jikkonsistu f'impatti inflazzjonarji u deflazzjonarji. L-embargo ħalla kumpaniji taż-żejt ifittxu modi ġodda biex iżidu l-provvisti taż-żejt, anke f'art imħatteb bħall-Artiku. Is-sejba taż-żejt u l-iżvilupp ta 'oqsma ġodda ġeneralment tkun meħtieġa ħames sa għaxar snin qabel produzzjoni sinifikanti.</v>
      </c>
    </row>
    <row r="13393" ht="15.75" customHeight="1">
      <c r="A13393" s="2" t="s">
        <v>13393</v>
      </c>
      <c r="B13393" s="2" t="str">
        <f>IFERROR(__xludf.DUMMYFUNCTION("GOOGLETRANSLATE(A13393, ""en"", ""mt"")"),"Kif ingħatat il-popolazzjoni ta 'Mnemiopsis fil-Baħar l-Iswed u l-Baħar ta' Azov li ġab taħt kontroll?")</f>
        <v>Kif ingħatat il-popolazzjoni ta 'Mnemiopsis fil-Baħar l-Iswed u l-Baħar ta' Azov li ġab taħt kontroll?</v>
      </c>
    </row>
    <row r="13394" ht="15.75" customHeight="1">
      <c r="A13394" s="2" t="s">
        <v>13394</v>
      </c>
      <c r="B13394" s="2" t="str">
        <f>IFERROR(__xludf.DUMMYFUNCTION("GOOGLETRANSLATE(A13394, ""en"", ""mt"")"),"Teorema ta 'l-aritmetika")</f>
        <v>Teorema ta 'l-aritmetika</v>
      </c>
    </row>
    <row r="13395" ht="15.75" customHeight="1">
      <c r="A13395" s="2" t="s">
        <v>13395</v>
      </c>
      <c r="B13395" s="2" t="str">
        <f>IFERROR(__xludf.DUMMYFUNCTION("GOOGLETRANSLATE(A13395, ""en"", ""mt"")"),"X'tip ta 'influwenza jeżerċita l-fluss tal-Golf fuq Newcastle?")</f>
        <v>X'tip ta 'influwenza jeżerċita l-fluss tal-Golf fuq Newcastle?</v>
      </c>
    </row>
    <row r="13396" ht="15.75" customHeight="1">
      <c r="A13396" s="2" t="s">
        <v>13396</v>
      </c>
      <c r="B13396" s="2" t="str">
        <f>IFERROR(__xludf.DUMMYFUNCTION("GOOGLETRANSLATE(A13396, ""en"", ""mt"")"),"It-tfittxija kbira tal-Internet Mersenne Prime, x’kien il-premju biex tinstab prim b’mill-inqas 10 miljun ċifra?")</f>
        <v>It-tfittxija kbira tal-Internet Mersenne Prime, x’kien il-premju biex tinstab prim b’mill-inqas 10 miljun ċifra?</v>
      </c>
    </row>
    <row r="13397" ht="15.75" customHeight="1">
      <c r="A13397" s="2" t="s">
        <v>13397</v>
      </c>
      <c r="B13397" s="2" t="str">
        <f>IFERROR(__xludf.DUMMYFUNCTION("GOOGLETRANSLATE(A13397, ""en"", ""mt"")"),"Ħdejn il-postijiet attwali tagħhom")</f>
        <v>Ħdejn il-postijiet attwali tagħhom</v>
      </c>
    </row>
    <row r="13398" ht="15.75" customHeight="1">
      <c r="A13398" s="2" t="s">
        <v>13398</v>
      </c>
      <c r="B13398" s="2" t="str">
        <f>IFERROR(__xludf.DUMMYFUNCTION("GOOGLETRANSLATE(A13398, ""en"", ""mt"")"),"Il-Kenja meta kisbet l-indipendenza?")</f>
        <v>Il-Kenja meta kisbet l-indipendenza?</v>
      </c>
    </row>
    <row r="13399" ht="15.75" customHeight="1">
      <c r="A13399" s="2" t="s">
        <v>13399</v>
      </c>
      <c r="B13399" s="2" t="str">
        <f>IFERROR(__xludf.DUMMYFUNCTION("GOOGLETRANSLATE(A13399, ""en"", ""mt"")"),"Hekk kif jidħlu fis-seħħ")</f>
        <v>Hekk kif jidħlu fis-seħħ</v>
      </c>
    </row>
    <row r="13400" ht="15.75" customHeight="1">
      <c r="A13400" s="2" t="s">
        <v>13400</v>
      </c>
      <c r="B13400" s="2" t="str">
        <f>IFERROR(__xludf.DUMMYFUNCTION("GOOGLETRANSLATE(A13400, ""en"", ""mt"")"),"il-ħdax-il tabib")</f>
        <v>il-ħdax-il tabib</v>
      </c>
    </row>
    <row r="13401" ht="15.75" customHeight="1">
      <c r="A13401" s="2" t="s">
        <v>13401</v>
      </c>
      <c r="B13401" s="2" t="str">
        <f>IFERROR(__xludf.DUMMYFUNCTION("GOOGLETRANSLATE(A13401, ""en"", ""mt"")"),"deterministiku")</f>
        <v>deterministiku</v>
      </c>
    </row>
    <row r="13402" ht="15.75" customHeight="1">
      <c r="A13402" s="2" t="s">
        <v>13402</v>
      </c>
      <c r="B13402" s="2" t="str">
        <f>IFERROR(__xludf.DUMMYFUNCTION("GOOGLETRANSLATE(A13402, ""en"", ""mt"")"),"Sal-aħħar tas-seklu 19 ix-xjenzati rrealizzaw li l-arja tista 'tkun likwifikata, u l-komponenti tagħha iżolati, billi jikkompressaw u jkessħuha. Bl-użu ta 'metodu tal-kaskata, l-ispiżjar Żvizzeru u l-fiżiċista Raoul Pierre Pictet evapora dijossidu tal-kub"&amp;"rit likwidu sabiex jinxtegħel id-dijossidu tal-karbonju, li mbagħad ġie evaporat biex ikessaħ il-gass tal-ossiġnu biżżejjed biex likwifikah. Huwa bagħat telegramma fit-22 ta 'Diċembru, 1877 lill-Akkademja Franċiża tax-Xjenzi f'Pariġi li ħabbar l-iskoperta"&amp;" tiegħu ta' ossiġnu likwidu. Jumejn biss wara, il-fiżiċista Franċiż Louis Paul Cailletet ħabbar il-metodu tiegħu stess ta 'likwidazzjoni molekulari ossiġenu. Ftit qtar tal-likwidu biss ġew prodotti fl-ebda każ u għalhekk ma tista 'titwettaq analiżi sinifi"&amp;"kanti. L-ossiġnu kien likwifikat fi stat stabbli għall-ewwel darba fid-29 ta 'Marzu, 1883 minn xjenzati Pollakki mill-Università Jagiellonian, Zygmunt Wróblewski u Karol Olszewski.")</f>
        <v>Sal-aħħar tas-seklu 19 ix-xjenzati rrealizzaw li l-arja tista 'tkun likwifikata, u l-komponenti tagħha iżolati, billi jikkompressaw u jkessħuha. Bl-użu ta 'metodu tal-kaskata, l-ispiżjar Żvizzeru u l-fiżiċista Raoul Pierre Pictet evapora dijossidu tal-kubrit likwidu sabiex jinxtegħel id-dijossidu tal-karbonju, li mbagħad ġie evaporat biex ikessaħ il-gass tal-ossiġnu biżżejjed biex likwifikah. Huwa bagħat telegramma fit-22 ta 'Diċembru, 1877 lill-Akkademja Franċiża tax-Xjenzi f'Pariġi li ħabbar l-iskoperta tiegħu ta' ossiġnu likwidu. Jumejn biss wara, il-fiżiċista Franċiż Louis Paul Cailletet ħabbar il-metodu tiegħu stess ta 'likwidazzjoni molekulari ossiġenu. Ftit qtar tal-likwidu biss ġew prodotti fl-ebda każ u għalhekk ma tista 'titwettaq analiżi sinifikanti. L-ossiġnu kien likwifikat fi stat stabbli għall-ewwel darba fid-29 ta 'Marzu, 1883 minn xjenzati Pollakki mill-Università Jagiellonian, Zygmunt Wróblewski u Karol Olszewski.</v>
      </c>
    </row>
    <row r="13403" ht="15.75" customHeight="1">
      <c r="A13403" s="2" t="s">
        <v>13403</v>
      </c>
      <c r="B13403" s="2" t="str">
        <f>IFERROR(__xludf.DUMMYFUNCTION("GOOGLETRANSLATE(A13403, ""en"", ""mt"")"),"Kumitati jinkludu numru żgħir ta 'MSPs, bis-sħubija tirrifletti l-bilanċ tal-partijiet madwar il-Parlament. Hemm kumitati differenti bil-funzjonijiet tagħhom stabbiliti b'modi differenti. Kumitati obbligatorji huma kumitati li huma stabbiliti taħt l-ordni"&amp;"jiet permanenti tal-Parlament Skoċċiż, li jirregolaw il-membri u l-proċeduri tagħhom. Il-kumitati obbligatorji attwali fir-raba 'sessjoni tal-Parlament Skoċċiż huma: verifika pubblika; Opportunitajiet ugwali; Relazzjonijiet Ewropej u esterni; Finanzi; Pet"&amp;"izzjonijiet pubbliċi; Standards, proċeduri u ħatriet pubbliċi; u setgħat delegati u riforma tal-liġi.")</f>
        <v>Kumitati jinkludu numru żgħir ta 'MSPs, bis-sħubija tirrifletti l-bilanċ tal-partijiet madwar il-Parlament. Hemm kumitati differenti bil-funzjonijiet tagħhom stabbiliti b'modi differenti. Kumitati obbligatorji huma kumitati li huma stabbiliti taħt l-ordnijiet permanenti tal-Parlament Skoċċiż, li jirregolaw il-membri u l-proċeduri tagħhom. Il-kumitati obbligatorji attwali fir-raba 'sessjoni tal-Parlament Skoċċiż huma: verifika pubblika; Opportunitajiet ugwali; Relazzjonijiet Ewropej u esterni; Finanzi; Petizzjonijiet pubbliċi; Standards, proċeduri u ħatriet pubbliċi; u setgħat delegati u riforma tal-liġi.</v>
      </c>
    </row>
    <row r="13404" ht="15.75" customHeight="1">
      <c r="A13404" s="2" t="s">
        <v>13404</v>
      </c>
      <c r="B13404" s="2" t="str">
        <f>IFERROR(__xludf.DUMMYFUNCTION("GOOGLETRANSLATE(A13404, ""en"", ""mt"")"),"Gvern Skoċċiż")</f>
        <v>Gvern Skoċċiż</v>
      </c>
    </row>
    <row r="13405" ht="15.75" customHeight="1">
      <c r="A13405" s="2" t="s">
        <v>13405</v>
      </c>
      <c r="B13405" s="2" t="str">
        <f>IFERROR(__xludf.DUMMYFUNCTION("GOOGLETRANSLATE(A13405, ""en"", ""mt"")"),"skaduti jew japrovidu biss jekk ir-rimedji tal-ħxejjex kienu offruti fil-biċċa l-kbira")</f>
        <v>skaduti jew japrovidu biss jekk ir-rimedji tal-ħxejjex kienu offruti fil-biċċa l-kbira</v>
      </c>
    </row>
    <row r="13406" ht="15.75" customHeight="1">
      <c r="A13406" s="2" t="s">
        <v>13406</v>
      </c>
      <c r="B13406" s="2" t="str">
        <f>IFERROR(__xludf.DUMMYFUNCTION("GOOGLETRANSLATE(A13406, ""en"", ""mt"")"),"Radjazzjoni ultravjola li tħalli impatt fuq molekuli li fihom l-ossiġnu bħal dijossidu tal-karbonju")</f>
        <v>Radjazzjoni ultravjola li tħalli impatt fuq molekuli li fihom l-ossiġnu bħal dijossidu tal-karbonju</v>
      </c>
    </row>
    <row r="13407" ht="15.75" customHeight="1">
      <c r="A13407" s="2" t="s">
        <v>13407</v>
      </c>
      <c r="B13407" s="2" t="str">
        <f>IFERROR(__xludf.DUMMYFUNCTION("GOOGLETRANSLATE(A13407, ""en"", ""mt"")"),"Il-blat fil-Grand Canyon ilhom fis-seħħ minn meta?")</f>
        <v>Il-blat fil-Grand Canyon ilhom fis-seħħ minn meta?</v>
      </c>
    </row>
    <row r="13408" ht="15.75" customHeight="1">
      <c r="A13408" s="2" t="s">
        <v>13408</v>
      </c>
      <c r="B13408" s="2" t="str">
        <f>IFERROR(__xludf.DUMMYFUNCTION("GOOGLETRANSLATE(A13408, ""en"", ""mt"")"),"$ 2,000")</f>
        <v>$ 2,000</v>
      </c>
    </row>
    <row r="13409" ht="15.75" customHeight="1">
      <c r="A13409" s="2" t="s">
        <v>13409</v>
      </c>
      <c r="B13409" s="2" t="str">
        <f>IFERROR(__xludf.DUMMYFUNCTION("GOOGLETRANSLATE(A13409, ""en"", ""mt"")"),"Nixon talab lill-Kungress biex ikun xieraq $ 2.2 biljun f'għajnuna ta 'emerġenza lill-Iżrael")</f>
        <v>Nixon talab lill-Kungress biex ikun xieraq $ 2.2 biljun f'għajnuna ta 'emerġenza lill-Iżrael</v>
      </c>
    </row>
    <row r="13410" ht="15.75" customHeight="1">
      <c r="A13410" s="2" t="s">
        <v>13410</v>
      </c>
      <c r="B13410" s="2" t="str">
        <f>IFERROR(__xludf.DUMMYFUNCTION("GOOGLETRANSLATE(A13410, ""en"", ""mt"")"),"Liema Teorema tiddikjara li kull numru sħiħ kbir jista 'jinkiteb bħala prim fil-qosor ma' semiprime?")</f>
        <v>Liema Teorema tiddikjara li kull numru sħiħ kbir jista 'jinkiteb bħala prim fil-qosor ma' semiprime?</v>
      </c>
    </row>
    <row r="13411" ht="15.75" customHeight="1">
      <c r="A13411" s="2" t="s">
        <v>13411</v>
      </c>
      <c r="B13411" s="2" t="str">
        <f>IFERROR(__xludf.DUMMYFUNCTION("GOOGLETRANSLATE(A13411, ""en"", ""mt"")"),"nofs siegħa")</f>
        <v>nofs siegħa</v>
      </c>
    </row>
    <row r="13412" ht="15.75" customHeight="1">
      <c r="A13412" s="2" t="s">
        <v>13412</v>
      </c>
      <c r="B13412" s="2" t="str">
        <f>IFERROR(__xludf.DUMMYFUNCTION("GOOGLETRANSLATE(A13412, ""en"", ""mt"")"),"2,900 kilometru (1,802 mi)")</f>
        <v>2,900 kilometru (1,802 mi)</v>
      </c>
    </row>
    <row r="13413" ht="15.75" customHeight="1">
      <c r="A13413" s="2" t="s">
        <v>13413</v>
      </c>
      <c r="B13413" s="2" t="str">
        <f>IFERROR(__xludf.DUMMYFUNCTION("GOOGLETRANSLATE(A13413, ""en"", ""mt"")"),"1965–66")</f>
        <v>1965–66</v>
      </c>
    </row>
    <row r="13414" ht="15.75" customHeight="1">
      <c r="A13414" s="2" t="s">
        <v>13414</v>
      </c>
      <c r="B13414" s="2" t="str">
        <f>IFERROR(__xludf.DUMMYFUNCTION("GOOGLETRANSLATE(A13414, ""en"", ""mt"")"),"Fin-Nofsinhar tal-Ewropa, l-istadju kien stabbilit fil-perjodu Triassiku tal-era Mesozoic, bil-ftuħ tal-Oċean Tethys, bejn il-pjanċi tettoniċi Ewro-Asjatiċi u Afrikani, bejn madwar 240 Mbp u 220 MBP (miljun sena qabel il-preżent). Il-baħar preżenti tal-Me"&amp;"diterran jinżel minn dan il-baħar Tethys kemmxejn ikbar. F'madwar 180 Mbp, fil-perjodu Jurassic, iż-żewġ pjanċi nqalbu d-direzzjoni u bdew jikkompressaw l-art tat-Tethys, u kkawżawha tiġi sottodutata taħt l-Eurasja u timbotta t-tarf ta 'l-aħħar pjanċa fl-"&amp;"orogenija alpina ta' l-oligocene u l-perjodi ta 'Miocene. Bosta microplates inqabdu fil-kompressjoni u mdawra jew ġew imbuttati lateralment, li jiġġeneraw il-karatteristiċi individwali tal-ġeografija Mediterranja: l-Iberia mbuttat il-Pirinej; L-Italja, l-"&amp;"Alpi, u l-Anatolja, li jimxu lejn il-punent, il-muntanji tal-Greċja u l-gżejjer. Il-kompressjoni u l-orogenija jkomplu llum, kif muri mit-trobbija kontinwa tal-muntanji ammont żgħir kull sena u l-vulkani attivi.")</f>
        <v>Fin-Nofsinhar tal-Ewropa, l-istadju kien stabbilit fil-perjodu Triassiku tal-era Mesozoic, bil-ftuħ tal-Oċean Tethys, bejn il-pjanċi tettoniċi Ewro-Asjatiċi u Afrikani, bejn madwar 240 Mbp u 220 MBP (miljun sena qabel il-preżent). Il-baħar preżenti tal-Mediterran jinżel minn dan il-baħar Tethys kemmxejn ikbar. F'madwar 180 Mbp, fil-perjodu Jurassic, iż-żewġ pjanċi nqalbu d-direzzjoni u bdew jikkompressaw l-art tat-Tethys, u kkawżawha tiġi sottodutata taħt l-Eurasja u timbotta t-tarf ta 'l-aħħar pjanċa fl-orogenija alpina ta' l-oligocene u l-perjodi ta 'Miocene. Bosta microplates inqabdu fil-kompressjoni u mdawra jew ġew imbuttati lateralment, li jiġġeneraw il-karatteristiċi individwali tal-ġeografija Mediterranja: l-Iberia mbuttat il-Pirinej; L-Italja, l-Alpi, u l-Anatolja, li jimxu lejn il-punent, il-muntanji tal-Greċja u l-gżejjer. Il-kompressjoni u l-orogenija jkomplu llum, kif muri mit-trobbija kontinwa tal-muntanji ammont żgħir kull sena u l-vulkani attivi.</v>
      </c>
    </row>
    <row r="13415" ht="15.75" customHeight="1">
      <c r="A13415" s="2" t="s">
        <v>13415</v>
      </c>
      <c r="B13415" s="2" t="str">
        <f>IFERROR(__xludf.DUMMYFUNCTION("GOOGLETRANSLATE(A13415, ""en"", ""mt"")"),"ingħata lill-Huguenots sostanzjali reliġjużi, politiċi u militari")</f>
        <v>ingħata lill-Huguenots sostanzjali reliġjużi, politiċi u militari</v>
      </c>
    </row>
    <row r="13416" ht="15.75" customHeight="1">
      <c r="A13416" s="2" t="s">
        <v>13416</v>
      </c>
      <c r="B13416" s="2" t="str">
        <f>IFERROR(__xludf.DUMMYFUNCTION("GOOGLETRANSLATE(A13416, ""en"", ""mt"")"),"Fl-1530s u l-1540s, immaġini stampati ta 'Luther li enfasizzaw id-daqs monumentali tiegħu kienu kruċjali għat-tixrid tal-Protestantiżmu. B'kuntrast ma 'immaġini ta' qaddisin Kattoliċi fraġli, Luther ġie ppreżentat bħala raġel stout b '""geddum doppju, ħal"&amp;"q qawwi, li jtaqqab l-għajnejn fil-fond, wiċċ imlaħħam, u għonq squat."" Huwa ntwera li kien fiżikament imponenti, ugwali fl-istatura għall-prinċpijiet Ġermaniżi sekulari li magħhom kien jingħaqad biex ixerred il-Luteraniżmu. Il-ġisem kbir tiegħu wkoll ħa"&amp;"lli lit-telespettatur ikun jaf li hu ma shunx pjaċiri tad-dinja bħax-xorb - imġieba li kienet kuntrast qawwi mal-ħajja aċetika tal-ordnijiet reliġjużi medjevali. Immaġini famużi minn dan il-perjodu jinkludu l-Woodcuts minn Hans Brosamer (1530) u Lucas Cra"&amp;"nach the Elder u Lucas Cranach The Younger (1546).")</f>
        <v>Fl-1530s u l-1540s, immaġini stampati ta 'Luther li enfasizzaw id-daqs monumentali tiegħu kienu kruċjali għat-tixrid tal-Protestantiżmu. B'kuntrast ma 'immaġini ta' qaddisin Kattoliċi fraġli, Luther ġie ppreżentat bħala raġel stout b '"geddum doppju, ħalq qawwi, li jtaqqab l-għajnejn fil-fond, wiċċ imlaħħam, u għonq squat." Huwa ntwera li kien fiżikament imponenti, ugwali fl-istatura għall-prinċpijiet Ġermaniżi sekulari li magħhom kien jingħaqad biex ixerred il-Luteraniżmu. Il-ġisem kbir tiegħu wkoll ħalli lit-telespettatur ikun jaf li hu ma shunx pjaċiri tad-dinja bħax-xorb - imġieba li kienet kuntrast qawwi mal-ħajja aċetika tal-ordnijiet reliġjużi medjevali. Immaġini famużi minn dan il-perjodu jinkludu l-Woodcuts minn Hans Brosamer (1530) u Lucas Cranach the Elder u Lucas Cranach The Younger (1546).</v>
      </c>
    </row>
    <row r="13417" ht="15.75" customHeight="1">
      <c r="A13417" s="2" t="s">
        <v>13417</v>
      </c>
      <c r="B13417" s="2" t="str">
        <f>IFERROR(__xludf.DUMMYFUNCTION("GOOGLETRANSLATE(A13417, ""en"", ""mt"")"),"Le Grand jiddikjara li l-istudenti li jistudjaw id-diżubbidjenza ċivili ħafna drabi jidħlu f'niċetti grammatikali u liema problema oħra?")</f>
        <v>Le Grand jiddikjara li l-istudenti li jistudjaw id-diżubbidjenza ċivili ħafna drabi jidħlu f'niċetti grammatikali u liema problema oħra?</v>
      </c>
    </row>
    <row r="13418" ht="15.75" customHeight="1">
      <c r="A13418" s="2" t="s">
        <v>13418</v>
      </c>
      <c r="B13418" s="2" t="str">
        <f>IFERROR(__xludf.DUMMYFUNCTION("GOOGLETRANSLATE(A13418, ""en"", ""mt"")"),"tifforma 'gallerija nazzjonali tal-arti Ingliża'")</f>
        <v>tifforma 'gallerija nazzjonali tal-arti Ingliża'</v>
      </c>
    </row>
    <row r="13419" ht="15.75" customHeight="1">
      <c r="A13419" s="2" t="s">
        <v>13419</v>
      </c>
      <c r="B13419" s="2" t="str">
        <f>IFERROR(__xludf.DUMMYFUNCTION("GOOGLETRANSLATE(A13419, ""en"", ""mt"")"),"L-iktar tnaqqis użat komunement huwa tnaqqis fil-ħin polinomjali. Dan ifisser li l-proċess ta 'tnaqqis jieħu ħin polinomjali. Pereżempju, il-problema tal-kwadru ta 'numru sħiħ tista' titnaqqas għall-problema li timmultiplika żewġ numri interi. Dan ifisser"&amp;" algoritmu għall-immultiplikazzjoni ta 'żewġ numri interi jista' jintuża biex kwadru numru sħiħ. Tassew, dan jista 'jsir billi tingħata l-istess input għaż-żewġ inputs tal-algoritmu ta' multiplikazzjoni. Għalhekk naraw li l-kwadri mhuwiex iktar diffiċli m"&amp;"ill-multiplikazzjoni, peress li l-kwadri jista 'jitnaqqas għal multiplikazzjoni.")</f>
        <v>L-iktar tnaqqis użat komunement huwa tnaqqis fil-ħin polinomjali. Dan ifisser li l-proċess ta 'tnaqqis jieħu ħin polinomjali. Pereżempju, il-problema tal-kwadru ta 'numru sħiħ tista' titnaqqas għall-problema li timmultiplika żewġ numri interi. Dan ifisser algoritmu għall-immultiplikazzjoni ta 'żewġ numri interi jista' jintuża biex kwadru numru sħiħ. Tassew, dan jista 'jsir billi tingħata l-istess input għaż-żewġ inputs tal-algoritmu ta' multiplikazzjoni. Għalhekk naraw li l-kwadri mhuwiex iktar diffiċli mill-multiplikazzjoni, peress li l-kwadri jista 'jitnaqqas għal multiplikazzjoni.</v>
      </c>
    </row>
    <row r="13420" ht="15.75" customHeight="1">
      <c r="A13420" s="2" t="s">
        <v>13420</v>
      </c>
      <c r="B13420" s="2" t="str">
        <f>IFERROR(__xludf.DUMMYFUNCTION("GOOGLETRANSLATE(A13420, ""en"", ""mt"")"),"Armata tal-Ġermanja inferjuri")</f>
        <v>Armata tal-Ġermanja inferjuri</v>
      </c>
    </row>
    <row r="13421" ht="15.75" customHeight="1">
      <c r="A13421" s="2" t="s">
        <v>13421</v>
      </c>
      <c r="B13421" s="2" t="str">
        <f>IFERROR(__xludf.DUMMYFUNCTION("GOOGLETRANSLATE(A13421, ""en"", ""mt"")"),"pjanti u alka")</f>
        <v>pjanti u alka</v>
      </c>
    </row>
    <row r="13422" ht="15.75" customHeight="1">
      <c r="A13422" s="2" t="s">
        <v>13422</v>
      </c>
      <c r="B13422" s="2" t="str">
        <f>IFERROR(__xludf.DUMMYFUNCTION("GOOGLETRANSLATE(A13422, ""en"", ""mt"")"),"Liema avveniment ieħor għamel lill-BBC konċernat li t-telespettaturi ma kinux raw il-premier ta 'Doctor Who?")</f>
        <v>Liema avveniment ieħor għamel lill-BBC konċernat li t-telespettaturi ma kinux raw il-premier ta 'Doctor Who?</v>
      </c>
    </row>
    <row r="13423" ht="15.75" customHeight="1">
      <c r="A13423" s="2" t="s">
        <v>13423</v>
      </c>
      <c r="B13423" s="2" t="str">
        <f>IFERROR(__xludf.DUMMYFUNCTION("GOOGLETRANSLATE(A13423, ""en"", ""mt"")"),"fidi")</f>
        <v>fidi</v>
      </c>
    </row>
    <row r="13424" ht="15.75" customHeight="1">
      <c r="A13424" s="2" t="s">
        <v>13424</v>
      </c>
      <c r="B13424" s="2" t="str">
        <f>IFERROR(__xludf.DUMMYFUNCTION("GOOGLETRANSLATE(A13424, ""en"", ""mt"")"),"fil-btieti tal-aringi")</f>
        <v>fil-btieti tal-aringi</v>
      </c>
    </row>
    <row r="13425" ht="15.75" customHeight="1">
      <c r="A13425" s="2" t="s">
        <v>13425</v>
      </c>
      <c r="B13425" s="2" t="str">
        <f>IFERROR(__xludf.DUMMYFUNCTION("GOOGLETRANSLATE(A13425, ""en"", ""mt"")"),"produtturi tal-films")</f>
        <v>produtturi tal-films</v>
      </c>
    </row>
    <row r="13426" ht="15.75" customHeight="1">
      <c r="A13426" s="2" t="s">
        <v>13426</v>
      </c>
      <c r="B13426" s="2" t="str">
        <f>IFERROR(__xludf.DUMMYFUNCTION("GOOGLETRANSLATE(A13426, ""en"", ""mt"")"),"kloroplasti")</f>
        <v>kloroplasti</v>
      </c>
    </row>
    <row r="13427" ht="15.75" customHeight="1">
      <c r="A13427" s="2" t="s">
        <v>13427</v>
      </c>
      <c r="B13427" s="2" t="str">
        <f>IFERROR(__xludf.DUMMYFUNCTION("GOOGLETRANSLATE(A13427, ""en"", ""mt"")"),"Prim")</f>
        <v>Prim</v>
      </c>
    </row>
    <row r="13428" ht="15.75" customHeight="1">
      <c r="A13428" s="2" t="s">
        <v>13428</v>
      </c>
      <c r="B13428" s="2" t="str">
        <f>IFERROR(__xludf.DUMMYFUNCTION("GOOGLETRANSLATE(A13428, ""en"", ""mt"")"),"Liema rivista kkritikat l-istrateġija ta 'programmazzjoni ta' ABC f'Mejju 1961?")</f>
        <v>Liema rivista kkritikat l-istrateġija ta 'programmazzjoni ta' ABC f'Mejju 1961?</v>
      </c>
    </row>
    <row r="13429" ht="15.75" customHeight="1">
      <c r="A13429" s="2" t="s">
        <v>13429</v>
      </c>
      <c r="B13429" s="2" t="str">
        <f>IFERROR(__xludf.DUMMYFUNCTION("GOOGLETRANSLATE(A13429, ""en"", ""mt"")"),"X'jagħmlu l-waal u n-Nederrijn-lek li jfasslu t-throguh?")</f>
        <v>X'jagħmlu l-waal u n-Nederrijn-lek li jfasslu t-throguh?</v>
      </c>
    </row>
    <row r="13430" ht="15.75" customHeight="1">
      <c r="A13430" s="2" t="s">
        <v>13430</v>
      </c>
      <c r="B13430" s="2" t="str">
        <f>IFERROR(__xludf.DUMMYFUNCTION("GOOGLETRANSLATE(A13430, ""en"", ""mt"")"),"Sfida għas-sistema legali li tippermetti li jittieħdu dawk id-deċiżjonijiet")</f>
        <v>Sfida għas-sistema legali li tippermetti li jittieħdu dawk id-deċiżjonijiet</v>
      </c>
    </row>
    <row r="13431" ht="15.75" customHeight="1">
      <c r="A13431" s="2" t="s">
        <v>13431</v>
      </c>
      <c r="B13431" s="2" t="str">
        <f>IFERROR(__xludf.DUMMYFUNCTION("GOOGLETRANSLATE(A13431, ""en"", ""mt"")"),"X’għajjat ​​Wiesner quddiem l-istampa waqt preżentazzjoni minn von Braun?")</f>
        <v>X’għajjat ​​Wiesner quddiem l-istampa waqt preżentazzjoni minn von Braun?</v>
      </c>
    </row>
    <row r="13432" ht="15.75" customHeight="1">
      <c r="A13432" s="2" t="s">
        <v>13432</v>
      </c>
      <c r="B13432" s="2" t="str">
        <f>IFERROR(__xludf.DUMMYFUNCTION("GOOGLETRANSLATE(A13432, ""en"", ""mt"")"),"likwidu")</f>
        <v>likwidu</v>
      </c>
    </row>
    <row r="13433" ht="15.75" customHeight="1">
      <c r="A13433" s="2" t="s">
        <v>13433</v>
      </c>
      <c r="B13433" s="2" t="str">
        <f>IFERROR(__xludf.DUMMYFUNCTION("GOOGLETRANSLATE(A13433, ""en"", ""mt"")"),"Liema logħob li fih nies miżżewġin ġodda ġie debutt minn ABC f'Lulju 1966?")</f>
        <v>Liema logħob li fih nies miżżewġin ġodda ġie debutt minn ABC f'Lulju 1966?</v>
      </c>
    </row>
    <row r="13434" ht="15.75" customHeight="1">
      <c r="A13434" s="2" t="s">
        <v>13434</v>
      </c>
      <c r="B13434" s="2" t="str">
        <f>IFERROR(__xludf.DUMMYFUNCTION("GOOGLETRANSLATE(A13434, ""en"", ""mt"")"),"Min iddeċieda li ma jżurx il-pajjiż fl-2013?")</f>
        <v>Min iddeċieda li ma jżurx il-pajjiż fl-2013?</v>
      </c>
    </row>
    <row r="13435" ht="15.75" customHeight="1">
      <c r="A13435" s="2" t="s">
        <v>13435</v>
      </c>
      <c r="B13435" s="2" t="str">
        <f>IFERROR(__xludf.DUMMYFUNCTION("GOOGLETRANSLATE(A13435, ""en"", ""mt"")"),"Skala tal-Kejl Standard")</f>
        <v>Skala tal-Kejl Standard</v>
      </c>
    </row>
    <row r="13436" ht="15.75" customHeight="1">
      <c r="A13436" s="2" t="s">
        <v>13436</v>
      </c>
      <c r="B13436" s="2" t="str">
        <f>IFERROR(__xludf.DUMMYFUNCTION("GOOGLETRANSLATE(A13436, ""en"", ""mt"")"),"John Wesley u Charles Wesley")</f>
        <v>John Wesley u Charles Wesley</v>
      </c>
    </row>
    <row r="13437" ht="15.75" customHeight="1">
      <c r="A13437" s="2" t="s">
        <v>13437</v>
      </c>
      <c r="B13437" s="2" t="str">
        <f>IFERROR(__xludf.DUMMYFUNCTION("GOOGLETRANSLATE(A13437, ""en"", ""mt"")"),"X'inhu l-ogħla impatt fuq l-akkumulazzjoni tal-ġid u l-inugwaljanza tad-dħul li tirriżulta?")</f>
        <v>X'inhu l-ogħla impatt fuq l-akkumulazzjoni tal-ġid u l-inugwaljanza tad-dħul li tirriżulta?</v>
      </c>
    </row>
    <row r="13438" ht="15.75" customHeight="1">
      <c r="A13438" s="2" t="s">
        <v>13438</v>
      </c>
      <c r="B13438" s="2" t="str">
        <f>IFERROR(__xludf.DUMMYFUNCTION("GOOGLETRANSLATE(A13438, ""en"", ""mt"")"),"għax hu jew hi jistgħu mbagħad ibigħu aktar mediċini lill-pazjent")</f>
        <v>għax hu jew hi jistgħu mbagħad ibigħu aktar mediċini lill-pazjent</v>
      </c>
    </row>
    <row r="13439" ht="15.75" customHeight="1">
      <c r="A13439" s="2" t="s">
        <v>13439</v>
      </c>
      <c r="B13439" s="2" t="str">
        <f>IFERROR(__xludf.DUMMYFUNCTION("GOOGLETRANSLATE(A13439, ""en"", ""mt"")"),"Liema korp iddikjara li t-tobba jistgħu wkoll iwarrbu l-mediċini taħt kundizzjonijiet speċifiċi?")</f>
        <v>Liema korp iddikjara li t-tobba jistgħu wkoll iwarrbu l-mediċini taħt kundizzjonijiet speċifiċi?</v>
      </c>
    </row>
    <row r="13440" ht="15.75" customHeight="1">
      <c r="A13440" s="2" t="s">
        <v>13440</v>
      </c>
      <c r="B13440" s="2" t="str">
        <f>IFERROR(__xludf.DUMMYFUNCTION("GOOGLETRANSLATE(A13440, ""en"", ""mt"")"),"Xi jfittex il-prinċipju utilitarju għall-akbar numru ta 'nies?")</f>
        <v>Xi jfittex il-prinċipju utilitarju għall-akbar numru ta 'nies?</v>
      </c>
    </row>
    <row r="13441" ht="15.75" customHeight="1">
      <c r="A13441" s="2" t="s">
        <v>13441</v>
      </c>
      <c r="B13441" s="2" t="str">
        <f>IFERROR(__xludf.DUMMYFUNCTION("GOOGLETRANSLATE(A13441, ""en"", ""mt"")"),"Kemm it-trab tas-Saħara jaqa 'fuq il-baċin tal-Amażonja kull sena?")</f>
        <v>Kemm it-trab tas-Saħara jaqa 'fuq il-baċin tal-Amażonja kull sena?</v>
      </c>
    </row>
    <row r="13442" ht="15.75" customHeight="1">
      <c r="A13442" s="2" t="s">
        <v>13442</v>
      </c>
      <c r="B13442" s="2" t="str">
        <f>IFERROR(__xludf.DUMMYFUNCTION("GOOGLETRANSLATE(A13442, ""en"", ""mt"")"),"preċiż")</f>
        <v>preċiż</v>
      </c>
    </row>
    <row r="13443" ht="15.75" customHeight="1">
      <c r="A13443" s="2" t="s">
        <v>13443</v>
      </c>
      <c r="B13443" s="2" t="str">
        <f>IFERROR(__xludf.DUMMYFUNCTION("GOOGLETRANSLATE(A13443, ""en"", ""mt"")"),"Storja turbulenti tal-belt")</f>
        <v>Storja turbulenti tal-belt</v>
      </c>
    </row>
    <row r="13444" ht="15.75" customHeight="1">
      <c r="A13444" s="2" t="s">
        <v>13444</v>
      </c>
      <c r="B13444" s="2" t="str">
        <f>IFERROR(__xludf.DUMMYFUNCTION("GOOGLETRANSLATE(A13444, ""en"", ""mt"")"),"Elettorat tas-Sassonja")</f>
        <v>Elettorat tas-Sassonja</v>
      </c>
    </row>
    <row r="13445" ht="15.75" customHeight="1">
      <c r="A13445" s="2" t="s">
        <v>13445</v>
      </c>
      <c r="B13445" s="2" t="str">
        <f>IFERROR(__xludf.DUMMYFUNCTION("GOOGLETRANSLATE(A13445, ""en"", ""mt"")"),"Teorema ta ’Wilson")</f>
        <v>Teorema ta ’Wilson</v>
      </c>
    </row>
    <row r="13446" ht="15.75" customHeight="1">
      <c r="A13446" s="2" t="s">
        <v>13446</v>
      </c>
      <c r="B13446" s="2" t="str">
        <f>IFERROR(__xludf.DUMMYFUNCTION("GOOGLETRANSLATE(A13446, ""en"", ""mt"")"),"raħal")</f>
        <v>raħal</v>
      </c>
    </row>
    <row r="13447" ht="15.75" customHeight="1">
      <c r="A13447" s="2" t="s">
        <v>13447</v>
      </c>
      <c r="B13447" s="2" t="str">
        <f>IFERROR(__xludf.DUMMYFUNCTION("GOOGLETRANSLATE(A13447, ""en"", ""mt"")"),"H Dati ta 'Prova tal-Qorti Kriminali Internazzjonali fl-2013 kemm għall-President Kenyatta kif ukoll għall-Viċi President William Ruto")</f>
        <v>H Dati ta 'Prova tal-Qorti Kriminali Internazzjonali fl-2013 kemm għall-President Kenyatta kif ukoll għall-Viċi President William Ruto</v>
      </c>
    </row>
    <row r="13448" ht="15.75" customHeight="1">
      <c r="A13448" s="2" t="s">
        <v>13448</v>
      </c>
      <c r="B13448" s="2" t="str">
        <f>IFERROR(__xludf.DUMMYFUNCTION("GOOGLETRANSLATE(A13448, ""en"", ""mt"")"),"Kemm dorms residenzjali tad-dar tal-klassi ta 'fuq, sophomore, jr, u studenti SR?")</f>
        <v>Kemm dorms residenzjali tad-dar tal-klassi ta 'fuq, sophomore, jr, u studenti SR?</v>
      </c>
    </row>
    <row r="13449" ht="15.75" customHeight="1">
      <c r="A13449" s="2" t="s">
        <v>13449</v>
      </c>
      <c r="B13449" s="2" t="str">
        <f>IFERROR(__xludf.DUMMYFUNCTION("GOOGLETRANSLATE(A13449, ""en"", ""mt"")"),"X'inhu l-obbligu ta 'spiżerija li timla riċetta?")</f>
        <v>X'inhu l-obbligu ta 'spiżerija li timla riċetta?</v>
      </c>
    </row>
    <row r="13450" ht="15.75" customHeight="1">
      <c r="A13450" s="2" t="s">
        <v>13450</v>
      </c>
      <c r="B13450" s="2" t="str">
        <f>IFERROR(__xludf.DUMMYFUNCTION("GOOGLETRANSLATE(A13450, ""en"", ""mt"")"),"Meta l-għaqda bejn l-ABC u l-bliet kapitali kisbet l-approvazzjoni federali?")</f>
        <v>Meta l-għaqda bejn l-ABC u l-bliet kapitali kisbet l-approvazzjoni federali?</v>
      </c>
    </row>
    <row r="13451" ht="15.75" customHeight="1">
      <c r="A13451" s="2" t="s">
        <v>13451</v>
      </c>
      <c r="B13451" s="2" t="str">
        <f>IFERROR(__xludf.DUMMYFUNCTION("GOOGLETRANSLATE(A13451, ""en"", ""mt"")"),"L-element jinstab fi kważi l-bijomolekuli kollha li huma importanti għall-ħajja (jew iġġenerata mill-ħajja). Ftit bijomolekuli kumplessi komuni biss, bħal squalene u l-karoteni, ma fihom l-ebda ossiġnu. Mill-komposti organiċi b'relevanza bijoloġika, il-ka"&amp;"rboidrati fihom l-akbar proporzjon mill-massa ta 'ossiġenu. Ix-xaħmijiet kollha, l-aċidi grassi, l-aċidi amminiċi, u l-proteini fihom ossiġnu (minħabba l-preżenza ta 'gruppi ta' karbonil f'dawn l-aċidi u r-residwi ta 'ester tagħhom). L-ossiġnu jseħħ ukoll"&amp;" fil-fosfat (PO3−
4) Gruppi fil-molekuli bijoloġikament importanti li jġorru l-enerġija ATP u ADP, fis-sinsla u l-purini (minbarra adenine) u pirimidini ta 'RNA u DNA, u fl-għadam bħala fosfat tal-kalċju u idrossilapatite.")</f>
        <v>L-element jinstab fi kważi l-bijomolekuli kollha li huma importanti għall-ħajja (jew iġġenerata mill-ħajja). Ftit bijomolekuli kumplessi komuni biss, bħal squalene u l-karoteni, ma fihom l-ebda ossiġnu. Mill-komposti organiċi b'relevanza bijoloġika, il-karboidrati fihom l-akbar proporzjon mill-massa ta 'ossiġenu. Ix-xaħmijiet kollha, l-aċidi grassi, l-aċidi amminiċi, u l-proteini fihom ossiġnu (minħabba l-preżenza ta 'gruppi ta' karbonil f'dawn l-aċidi u r-residwi ta 'ester tagħhom). L-ossiġnu jseħħ ukoll fil-fosfat (PO3−
4) Gruppi fil-molekuli bijoloġikament importanti li jġorru l-enerġija ATP u ADP, fis-sinsla u l-purini (minbarra adenine) u pirimidini ta 'RNA u DNA, u fl-għadam bħala fosfat tal-kalċju u idrossilapatite.</v>
      </c>
    </row>
    <row r="13452" ht="15.75" customHeight="1">
      <c r="A13452" s="2" t="s">
        <v>13452</v>
      </c>
      <c r="B13452" s="2" t="str">
        <f>IFERROR(__xludf.DUMMYFUNCTION("GOOGLETRANSLATE(A13452, ""en"", ""mt"")"),"Vjolazzjonijiet tad-drittijiet tal-bniedem")</f>
        <v>Vjolazzjonijiet tad-drittijiet tal-bniedem</v>
      </c>
    </row>
    <row r="13453" ht="15.75" customHeight="1">
      <c r="A13453" s="2" t="s">
        <v>13453</v>
      </c>
      <c r="B13453" s="2" t="str">
        <f>IFERROR(__xludf.DUMMYFUNCTION("GOOGLETRANSLATE(A13453, ""en"", ""mt"")"),"X'inhuma r-regolamenti tal-UE essenzjalment l-istess bħal fil-każ imsemmi?")</f>
        <v>X'inhuma r-regolamenti tal-UE essenzjalment l-istess bħal fil-każ imsemmi?</v>
      </c>
    </row>
    <row r="13454" ht="15.75" customHeight="1">
      <c r="A13454" s="2" t="s">
        <v>13454</v>
      </c>
      <c r="B13454" s="2" t="str">
        <f>IFERROR(__xludf.DUMMYFUNCTION("GOOGLETRANSLATE(A13454, ""en"", ""mt"")"),"Möngke Khan beda kampanja militari kontra d-dinastija tal-kanzunetta Ċiniża fin-Nofsinhar taċ-Ċina. Il-forza tal-Mongolja li invadiet iċ-Ċina tan-Nofsinhar kienet ferm akbar mill-forza li bagħtu biex tinvadi l-Lvant Nofsani fl-1256. Huwa miet fl-1259 ming"&amp;"ħajr suċċessur. Kublai rritorna mill-ġlieda kontra l-kanzunetta fl-1260 meta sar jaf li ħuh, Ariq Böke, kien qed jikkontesta t-talba tiegħu għat-tron. Kublai laqqa 'Kurulai fil-Kaiping li għażel lilu Khan kbir. Kurulai rivali fil-Mongolja pproklama Ariq B"&amp;"öke kbir Khan, li beda gwerra ċivili. Kublai kien jiddependi mill-kooperazzjoni tas-suġġetti Ċiniżi tiegħu biex jiżgura li l-armata tiegħu tirċievi riżorsi abbundanti. Huwa saħħaħ il-popolarità tiegħu fost is-suġġetti tiegħu billi mmudella l-gvern tiegħu "&amp;"fuq il-burokrazija ta 'dinastiji Ċiniżi tradizzjonali u adotta l-isem tal-era Ċiniża ta' Zhongtong. Ariq Böke kien imxekkel minn provvisti inadegwati u ċediet fl-1264. It-tliet Khanates tal-Punent kollha (Golden Horde, Chagatai Khanate u Ilkhanate) saru f"&amp;"unzjonalment awtonomi, għalkemm il-ilkhans biss irrikonoxxew lil Kublai bħala l-Kostani l-kbira. Il-konflitti ċivili kienu qasmu b'mod permanenti l-imperu Mongoljan.")</f>
        <v>Möngke Khan beda kampanja militari kontra d-dinastija tal-kanzunetta Ċiniża fin-Nofsinhar taċ-Ċina. Il-forza tal-Mongolja li invadiet iċ-Ċina tan-Nofsinhar kienet ferm akbar mill-forza li bagħtu biex tinvadi l-Lvant Nofsani fl-1256. Huwa miet fl-1259 mingħajr suċċessur. Kublai rritorna mill-ġlieda kontra l-kanzunetta fl-1260 meta sar jaf li ħuh, Ariq Böke, kien qed jikkontesta t-talba tiegħu għat-tron. Kublai laqqa 'Kurulai fil-Kaiping li għażel lilu Khan kbir. Kurulai rivali fil-Mongolja pproklama Ariq Böke kbir Khan, li beda gwerra ċivili. Kublai kien jiddependi mill-kooperazzjoni tas-suġġetti Ċiniżi tiegħu biex jiżgura li l-armata tiegħu tirċievi riżorsi abbundanti. Huwa saħħaħ il-popolarità tiegħu fost is-suġġetti tiegħu billi mmudella l-gvern tiegħu fuq il-burokrazija ta 'dinastiji Ċiniżi tradizzjonali u adotta l-isem tal-era Ċiniża ta' Zhongtong. Ariq Böke kien imxekkel minn provvisti inadegwati u ċediet fl-1264. It-tliet Khanates tal-Punent kollha (Golden Horde, Chagatai Khanate u Ilkhanate) saru funzjonalment awtonomi, għalkemm il-ilkhans biss irrikonoxxew lil Kublai bħala l-Kostani l-kbira. Il-konflitti ċivili kienu qasmu b'mod permanenti l-imperu Mongoljan.</v>
      </c>
    </row>
    <row r="13455" ht="15.75" customHeight="1">
      <c r="A13455" s="2" t="s">
        <v>13455</v>
      </c>
      <c r="B13455" s="2" t="str">
        <f>IFERROR(__xludf.DUMMYFUNCTION("GOOGLETRANSLATE(A13455, ""en"", ""mt"")"),"metodu ewlieni")</f>
        <v>metodu ewlieni</v>
      </c>
    </row>
    <row r="13456" ht="15.75" customHeight="1">
      <c r="A13456" s="2" t="s">
        <v>13456</v>
      </c>
      <c r="B13456" s="2" t="str">
        <f>IFERROR(__xludf.DUMMYFUNCTION("GOOGLETRANSLATE(A13456, ""en"", ""mt"")"),"B'mod ġenerali, hemm tliet setturi tal-kostruzzjoni: bini, infrastruttura u industrijali. Il-kostruzzjoni tal-bini ġeneralment tkun maqsuma aktar fi residenzjali u mhux residenzjali (kummerċjali / istituzzjonali). L-infrastruttura ta 'spiss tissejjaħ inġi"&amp;"nerija tqila / awtostrada, ċivili jew tqila. Dan jinkludi xogħlijiet pubbliċi kbar, digi, pontijiet, awtostradi, ilma / drenaġġ u distribuzzjoni tal-utilità. Industrijali jinkludi raffineriji, kimika tal-proċess, ġenerazzjoni tal-enerġija, imtieħen u impj"&amp;"anti tal-manifattura. Hemm modi oħra kif tkisser l-industrija f'setturi jew swieq.")</f>
        <v>B'mod ġenerali, hemm tliet setturi tal-kostruzzjoni: bini, infrastruttura u industrijali. Il-kostruzzjoni tal-bini ġeneralment tkun maqsuma aktar fi residenzjali u mhux residenzjali (kummerċjali / istituzzjonali). L-infrastruttura ta 'spiss tissejjaħ inġinerija tqila / awtostrada, ċivili jew tqila. Dan jinkludi xogħlijiet pubbliċi kbar, digi, pontijiet, awtostradi, ilma / drenaġġ u distribuzzjoni tal-utilità. Industrijali jinkludi raffineriji, kimika tal-proċess, ġenerazzjoni tal-enerġija, imtieħen u impjanti tal-manifattura. Hemm modi oħra kif tkisser l-industrija f'setturi jew swieq.</v>
      </c>
    </row>
    <row r="13457" ht="15.75" customHeight="1">
      <c r="A13457" s="2" t="s">
        <v>13457</v>
      </c>
      <c r="B13457" s="2" t="str">
        <f>IFERROR(__xludf.DUMMYFUNCTION("GOOGLETRANSLATE(A13457, ""en"", ""mt"")"),"Fil-fokus tiegħu fuq il-kalifat, il-partit jieħu ħsieb differenti tal-istorja Musulmana minn xi Iżlamisti oħra bħal Muhammad Qutb. HT jara l-punt ta 'bidla tal-Islam l-Islam bħala li ma jseħħx mal-mewt ta' Ali, jew wieħed mill-erba 'l-oħra ta' kalifi ggwi"&amp;"dati bir-raġun fis-7 seklu, iżda bl-abolizzjoni tal-kalifat Ottoman fl-1924. Dan huwa maħsub li temm is-sistema Iżlamika vera , xi ħaġa li għaliha tort ""il-poteri kolonjali li ma jemmnux (Kafir) li taħdem permezz tal-modernist Tork Mustafa Kemal Atatürk.")</f>
        <v>Fil-fokus tiegħu fuq il-kalifat, il-partit jieħu ħsieb differenti tal-istorja Musulmana minn xi Iżlamisti oħra bħal Muhammad Qutb. HT jara l-punt ta 'bidla tal-Islam l-Islam bħala li ma jseħħx mal-mewt ta' Ali, jew wieħed mill-erba 'l-oħra ta' kalifi ggwidati bir-raġun fis-7 seklu, iżda bl-abolizzjoni tal-kalifat Ottoman fl-1924. Dan huwa maħsub li temm is-sistema Iżlamika vera , xi ħaġa li għaliha tort "il-poteri kolonjali li ma jemmnux (Kafir) li taħdem permezz tal-modernist Tork Mustafa Kemal Atatürk.</v>
      </c>
    </row>
    <row r="13458" ht="15.75" customHeight="1">
      <c r="A13458" s="2" t="s">
        <v>13458</v>
      </c>
      <c r="B13458" s="2" t="str">
        <f>IFERROR(__xludf.DUMMYFUNCTION("GOOGLETRANSLATE(A13458, ""en"", ""mt"")"),"Luther kif wieġeb għal Agricola?")</f>
        <v>Luther kif wieġeb għal Agricola?</v>
      </c>
    </row>
    <row r="13459" ht="15.75" customHeight="1">
      <c r="A13459" s="2" t="s">
        <v>13459</v>
      </c>
      <c r="B13459" s="2" t="str">
        <f>IFERROR(__xludf.DUMMYFUNCTION("GOOGLETRANSLATE(A13459, ""en"", ""mt"")"),"Fejn tista 'tidher is-sekwenza sedimentarja kollha tal-Grand Canyon f'inqas mit-tul ta' metru?")</f>
        <v>Fejn tista 'tidher is-sekwenza sedimentarja kollha tal-Grand Canyon f'inqas mit-tul ta' metru?</v>
      </c>
    </row>
    <row r="13460" ht="15.75" customHeight="1">
      <c r="A13460" s="2" t="s">
        <v>13460</v>
      </c>
      <c r="B13460" s="2" t="str">
        <f>IFERROR(__xludf.DUMMYFUNCTION("GOOGLETRANSLATE(A13460, ""en"", ""mt"")"),"Skond l-istudjużi Walter Krämer, Götz Trenkler, Gerhard Ritter, u Gerhard Prause, l-istorja tal-istazzjonar fuq il-bieb, minkejja li stabbilixxiet bħala wieħed mill-pilastri tal-istorja, għandha ftit fondazzjoni fil-verità. L-istorja hija bbażata fuq kumm"&amp;"enti magħmula minn Philipp Melanchthon, għalkemm huwa maħsub li ma kienx f'Wittenberg dak iż-żmien.")</f>
        <v>Skond l-istudjużi Walter Krämer, Götz Trenkler, Gerhard Ritter, u Gerhard Prause, l-istorja tal-istazzjonar fuq il-bieb, minkejja li stabbilixxiet bħala wieħed mill-pilastri tal-istorja, għandha ftit fondazzjoni fil-verità. L-istorja hija bbażata fuq kummenti magħmula minn Philipp Melanchthon, għalkemm huwa maħsub li ma kienx f'Wittenberg dak iż-żmien.</v>
      </c>
    </row>
    <row r="13461" ht="15.75" customHeight="1">
      <c r="A13461" s="2" t="s">
        <v>13461</v>
      </c>
      <c r="B13461" s="2" t="str">
        <f>IFERROR(__xludf.DUMMYFUNCTION("GOOGLETRANSLATE(A13461, ""en"", ""mt"")"),"Liema pajjiż minbarra l-Kuba l-Istati Uniti ppruvaw jannessu fl-1898?")</f>
        <v>Liema pajjiż minbarra l-Kuba l-Istati Uniti ppruvaw jannessu fl-1898?</v>
      </c>
    </row>
    <row r="13462" ht="15.75" customHeight="1">
      <c r="A13462" s="2" t="s">
        <v>13462</v>
      </c>
      <c r="B13462" s="2" t="str">
        <f>IFERROR(__xludf.DUMMYFUNCTION("GOOGLETRANSLATE(A13462, ""en"", ""mt"")"),"Kemm il-kampijiet tal-PNU kif ukoll tal-ODM")</f>
        <v>Kemm il-kampijiet tal-PNU kif ukoll tal-ODM</v>
      </c>
    </row>
    <row r="13463" ht="15.75" customHeight="1">
      <c r="A13463" s="2" t="s">
        <v>13463</v>
      </c>
      <c r="B13463" s="2" t="str">
        <f>IFERROR(__xludf.DUMMYFUNCTION("GOOGLETRANSLATE(A13463, ""en"", ""mt"")"),"Sal-1932 it-tul ġeneralment aċċettat tar-Renu kien ta ’1,230 kilometru (764 mil). Fl-1932 l-Enċiklopedija Ġermaniża Knaurs Lexikon iddikjarat it-tul bħala 1,320 kilometru (820 mil), preżumibbilment żball tipografiku. Wara li dan in-numru tqiegħed fl-awtor"&amp;"evoli Brockhaus Enzyklopädie, ġeneralment sar aċċettat u sab triqtu f’bosta kotba u pubblikazzjonijiet uffiċjali. L-iżball ġie skopert fl-2010, u l-Olandiż Rijkswaterstaat jikkonferma t-tul ta '1,232 kilometru (766 mil). [Nota 1]")</f>
        <v>Sal-1932 it-tul ġeneralment aċċettat tar-Renu kien ta ’1,230 kilometru (764 mil). Fl-1932 l-Enċiklopedija Ġermaniża Knaurs Lexikon iddikjarat it-tul bħala 1,320 kilometru (820 mil), preżumibbilment żball tipografiku. Wara li dan in-numru tqiegħed fl-awtorevoli Brockhaus Enzyklopädie, ġeneralment sar aċċettat u sab triqtu f’bosta kotba u pubblikazzjonijiet uffiċjali. L-iżball ġie skopert fl-2010, u l-Olandiż Rijkswaterstaat jikkonferma t-tul ta '1,232 kilometru (766 mil). [Nota 1]</v>
      </c>
    </row>
    <row r="13464" ht="15.75" customHeight="1">
      <c r="A13464" s="2" t="s">
        <v>13464</v>
      </c>
      <c r="B13464" s="2" t="str">
        <f>IFERROR(__xludf.DUMMYFUNCTION("GOOGLETRANSLATE(A13464, ""en"", ""mt"")"),"Dammed")</f>
        <v>Dammed</v>
      </c>
    </row>
    <row r="13465" ht="15.75" customHeight="1">
      <c r="A13465" s="2" t="s">
        <v>13465</v>
      </c>
      <c r="B13465" s="2" t="str">
        <f>IFERROR(__xludf.DUMMYFUNCTION("GOOGLETRANSLATE(A13465, ""en"", ""mt"")"),"Informazzjoni disponibbli dwar it-tibdil fil-klima bbażat fuq sorsi ppubblikati")</f>
        <v>Informazzjoni disponibbli dwar it-tibdil fil-klima bbażat fuq sorsi ppubblikati</v>
      </c>
    </row>
    <row r="13466" ht="15.75" customHeight="1">
      <c r="A13466" s="2" t="s">
        <v>13466</v>
      </c>
      <c r="B13466" s="2" t="str">
        <f>IFERROR(__xludf.DUMMYFUNCTION("GOOGLETRANSLATE(A13466, ""en"", ""mt"")"),"X’wassal għal konfużjoni u kollass?")</f>
        <v>X’wassal għal konfużjoni u kollass?</v>
      </c>
    </row>
    <row r="13467" ht="15.75" customHeight="1">
      <c r="A13467" s="2" t="s">
        <v>13467</v>
      </c>
      <c r="B13467" s="2" t="str">
        <f>IFERROR(__xludf.DUMMYFUNCTION("GOOGLETRANSLATE(A13467, ""en"", ""mt"")"),"Ġiet żviluppata skema ambizzjuża ta 'dekorazzjoni għal dawn iż-żoni l-ġodda: serje ta' figuri tal-mużajk li juru artisti Ewropej famużi tal-perjodu medjevali u tar-rinaxximent. Dawn issa tneħħew f'żoni oħra tal-mużew. Bdew ukoll serje ta 'affreski minn Lo"&amp;"rd Leighton: Arti Industrijali kif applikati għall-Gwerra 1878-1880 u arti industrijali applikati għall-paċi, li bdew iżda qatt ma spiċċaw. Fil-lvant ta 'dan kien hemm galleriji addizzjonali, li d-dekorazzjoni tagħhom kienet ix-xogħol ta' disinjatur ieħor"&amp;" Owen Jones, dawn kienu l-qrati Orjentali (li jkopru l-Indja, iċ-Ċina u l-Ġappun) li tlestew fl-1863, l-ebda waħda minn din id-dekorazzjoni ma tibqa 'ħajja, parti minn dawn il-galleriji saret Il-galleriji l-ġodda li jkopru s-seklu 19, infetħu f'Diċembru 2"&amp;"006. L-aħħar xogħol minn Fowke kien id-disinn għall-firxa ta 'bini fuq in-naħat tat-tramuntana u tal-punent tal-ġnien, dan jinkludi l-kmamar ta' refreshment, li jerġgħu jiddaħħlu bħala l-Mużew Café fl-2006, Bil-Gallerija tal-Fidda hawn fuq, (dak iż-żmien "&amp;"il-Gallerija taċ-Ċeramika), is-sular ta 'fuq għandu teatru mill-isbaħ għalkemm dan huwa rarament miftuħ għall-pubbliku ġenerali. It-taraġ taċ-ċeramika fil-kantuniera tal-majjistral ta 'din il-firxa ta' bini kien iddisinjat minn F. W. Moody u għandu dettal"&amp;"ji arkitettoniċi tal-fuħħar iffurmat u kkulurit. Ix-xogħol kollu fuq il-medda tat-tramuntana kien iddisinjat u mibni fl-1864-69. L-istil adottat għal din il-parti tal-mużew kien ir-Rinaxximent Taljan, kien magħmul ħafna mit-terracotta, il-briks u l-mużajk"&amp;", din il-faċċata tat-tramuntana kienet maħsuba bħala l-entratura ewlenija għall-mużew bil-bibien tal-bronż tagħha ddisinjati minn James Gamble &amp; Reuben Townroe li għandhom sitt pannelli Juri: Humphry Davy (Kimika); Isaac Newton (Astronomija); James Watt ("&amp;"Mekkanika); Bramante (arkitettura); Michelangelo (skultura); Titian (pittura); B'hekk jirrappreżentaw il-firxa tal-kollezzjonijiet tal-mużewijiet, Godfrey Sykes iddisinja wkoll it-tiżjin tat-terracotta u l-mużajk fil-pediment tal-faċċata tat-tramuntana li"&amp;" tfakkar il-wirja kbira li l-profitti li minnha għenet biex tiffinanzja l-mużew, dan huwa flanked minn gruppi ta 'stat ta' terracotta permezz ta 'Ball Percival - Dan il-bini ħa post Brompton Park House, li mbagħad tista 'titwaqqa' biex tagħmel triq għall-"&amp;"firxa tan-nofsinhar.")</f>
        <v>Ġiet żviluppata skema ambizzjuża ta 'dekorazzjoni għal dawn iż-żoni l-ġodda: serje ta' figuri tal-mużajk li juru artisti Ewropej famużi tal-perjodu medjevali u tar-rinaxximent. Dawn issa tneħħew f'żoni oħra tal-mużew. Bdew ukoll serje ta 'affreski minn Lord Leighton: Arti Industrijali kif applikati għall-Gwerra 1878-1880 u arti industrijali applikati għall-paċi, li bdew iżda qatt ma spiċċaw. Fil-lvant ta 'dan kien hemm galleriji addizzjonali, li d-dekorazzjoni tagħhom kienet ix-xogħol ta' disinjatur ieħor Owen Jones, dawn kienu l-qrati Orjentali (li jkopru l-Indja, iċ-Ċina u l-Ġappun) li tlestew fl-1863, l-ebda waħda minn din id-dekorazzjoni ma tibqa 'ħajja, parti minn dawn il-galleriji saret Il-galleriji l-ġodda li jkopru s-seklu 19, infetħu f'Diċembru 2006. L-aħħar xogħol minn Fowke kien id-disinn għall-firxa ta 'bini fuq in-naħat tat-tramuntana u tal-punent tal-ġnien, dan jinkludi l-kmamar ta' refreshment, li jerġgħu jiddaħħlu bħala l-Mużew Café fl-2006, Bil-Gallerija tal-Fidda hawn fuq, (dak iż-żmien il-Gallerija taċ-Ċeramika), is-sular ta 'fuq għandu teatru mill-isbaħ għalkemm dan huwa rarament miftuħ għall-pubbliku ġenerali. It-taraġ taċ-ċeramika fil-kantuniera tal-majjistral ta 'din il-firxa ta' bini kien iddisinjat minn F. W. Moody u għandu dettalji arkitettoniċi tal-fuħħar iffurmat u kkulurit. Ix-xogħol kollu fuq il-medda tat-tramuntana kien iddisinjat u mibni fl-1864-69. L-istil adottat għal din il-parti tal-mużew kien ir-Rinaxximent Taljan, kien magħmul ħafna mit-terracotta, il-briks u l-mużajk, din il-faċċata tat-tramuntana kienet maħsuba bħala l-entratura ewlenija għall-mużew bil-bibien tal-bronż tagħha ddisinjati minn James Gamble &amp; Reuben Townroe li għandhom sitt pannelli Juri: Humphry Davy (Kimika); Isaac Newton (Astronomija); James Watt (Mekkanika); Bramante (arkitettura); Michelangelo (skultura); Titian (pittura); B'hekk jirrappreżentaw il-firxa tal-kollezzjonijiet tal-mużewijiet, Godfrey Sykes iddisinja wkoll it-tiżjin tat-terracotta u l-mużajk fil-pediment tal-faċċata tat-tramuntana li tfakkar il-wirja kbira li l-profitti li minnha għenet biex tiffinanzja l-mużew, dan huwa flanked minn gruppi ta 'stat ta' terracotta permezz ta 'Ball Percival - Dan il-bini ħa post Brompton Park House, li mbagħad tista 'titwaqqa' biex tagħmel triq għall-firxa tan-nofsinhar.</v>
      </c>
    </row>
    <row r="13468" ht="15.75" customHeight="1">
      <c r="A13468" s="2" t="s">
        <v>13468</v>
      </c>
      <c r="B13468" s="2" t="str">
        <f>IFERROR(__xludf.DUMMYFUNCTION("GOOGLETRANSLATE(A13468, ""en"", ""mt"")"),"X’tgħallmu l-Għaxar Kmandamenti kif jagħmlu l-Insara?")</f>
        <v>X’tgħallmu l-Għaxar Kmandamenti kif jagħmlu l-Insara?</v>
      </c>
    </row>
    <row r="13469" ht="15.75" customHeight="1">
      <c r="A13469" s="2" t="s">
        <v>13469</v>
      </c>
      <c r="B13469" s="2" t="str">
        <f>IFERROR(__xludf.DUMMYFUNCTION("GOOGLETRANSLATE(A13469, ""en"", ""mt"")"),"Kompli jaduraw fit-tradizzjoni Kattolika Rumana tagħhom, komplew is-sjieda tal-propjetà tagħhom, u d-dritt li jibqgħu mhux disturbati")</f>
        <v>Kompli jaduraw fit-tradizzjoni Kattolika Rumana tagħhom, komplew is-sjieda tal-propjetà tagħhom, u d-dritt li jibqgħu mhux disturbati</v>
      </c>
    </row>
    <row r="13470" ht="15.75" customHeight="1">
      <c r="A13470" s="2" t="s">
        <v>13470</v>
      </c>
      <c r="B13470" s="2" t="str">
        <f>IFERROR(__xludf.DUMMYFUNCTION("GOOGLETRANSLATE(A13470, ""en"", ""mt"")"),"Kif tiġi osservata r-replikazzjoni tal-kloroplast?")</f>
        <v>Kif tiġi osservata r-replikazzjoni tal-kloroplast?</v>
      </c>
    </row>
    <row r="13471" ht="15.75" customHeight="1">
      <c r="A13471" s="2" t="s">
        <v>13471</v>
      </c>
      <c r="B13471" s="2" t="str">
        <f>IFERROR(__xludf.DUMMYFUNCTION("GOOGLETRANSLATE(A13471, ""en"", ""mt"")"),"Min kien Varsavja taħt l-amministrazzjoni ta 'meta ġie taħt il-ħakma tal-gvern ġenerali?")</f>
        <v>Min kien Varsavja taħt l-amministrazzjoni ta 'meta ġie taħt il-ħakma tal-gvern ġenerali?</v>
      </c>
    </row>
    <row r="13472" ht="15.75" customHeight="1">
      <c r="A13472" s="2" t="s">
        <v>13472</v>
      </c>
      <c r="B13472" s="2" t="str">
        <f>IFERROR(__xludf.DUMMYFUNCTION("GOOGLETRANSLATE(A13472, ""en"", ""mt"")"),"Ipparteċipa fil-ħajja ekonomika ""fuq bażi stabbli u kontinwa""")</f>
        <v>Ipparteċipa fil-ħajja ekonomika "fuq bażi stabbli u kontinwa"</v>
      </c>
    </row>
    <row r="13473" ht="15.75" customHeight="1">
      <c r="A13473" s="2" t="s">
        <v>13473</v>
      </c>
      <c r="B13473" s="2" t="str">
        <f>IFERROR(__xludf.DUMMYFUNCTION("GOOGLETRANSLATE(A13473, ""en"", ""mt"")"),"Forza elettrostatika")</f>
        <v>Forza elettrostatika</v>
      </c>
    </row>
    <row r="13474" ht="15.75" customHeight="1">
      <c r="A13474" s="2" t="s">
        <v>13474</v>
      </c>
      <c r="B13474" s="2" t="str">
        <f>IFERROR(__xludf.DUMMYFUNCTION("GOOGLETRANSLATE(A13474, ""en"", ""mt"")"),"Liema toroq għandhom il-kontraflows li għandhom jiġu implimentati fi Newcastle?")</f>
        <v>Liema toroq għandhom il-kontraflows li għandhom jiġu implimentati fi Newcastle?</v>
      </c>
    </row>
    <row r="13475" ht="15.75" customHeight="1">
      <c r="A13475" s="2" t="s">
        <v>13475</v>
      </c>
      <c r="B13475" s="2" t="str">
        <f>IFERROR(__xludf.DUMMYFUNCTION("GOOGLETRANSLATE(A13475, ""en"", ""mt"")"),"id-dettalji speċifiċi tal-mudell tal-komputazzjoni użat")</f>
        <v>id-dettalji speċifiċi tal-mudell tal-komputazzjoni użat</v>
      </c>
    </row>
    <row r="13476" ht="15.75" customHeight="1">
      <c r="A13476" s="2" t="s">
        <v>13476</v>
      </c>
      <c r="B13476" s="2" t="str">
        <f>IFERROR(__xludf.DUMMYFUNCTION("GOOGLETRANSLATE(A13476, ""en"", ""mt"")"),"Liema territorju ġie ċedut lill-Gran Brittanja?")</f>
        <v>Liema territorju ġie ċedut lill-Gran Brittanja?</v>
      </c>
    </row>
    <row r="13477" ht="15.75" customHeight="1">
      <c r="A13477" s="2" t="s">
        <v>13477</v>
      </c>
      <c r="B13477" s="2" t="str">
        <f>IFERROR(__xludf.DUMMYFUNCTION("GOOGLETRANSLATE(A13477, ""en"", ""mt"")"),"X'inhu magħruf dwar il-klassijiet ta 'kumplessità bejn L u P li jipprevjeni aktar id-determinazzjoni tar-relazzjoni ta' valur bejn L u P?")</f>
        <v>X'inhu magħruf dwar il-klassijiet ta 'kumplessità bejn L u P li jipprevjeni aktar id-determinazzjoni tar-relazzjoni ta' valur bejn L u P?</v>
      </c>
    </row>
    <row r="13478" ht="15.75" customHeight="1">
      <c r="A13478" s="2" t="s">
        <v>13478</v>
      </c>
      <c r="B13478" s="2" t="str">
        <f>IFERROR(__xludf.DUMMYFUNCTION("GOOGLETRANSLATE(A13478, ""en"", ""mt"")"),"Ċirkuwitu tal-kamaleont")</f>
        <v>Ċirkuwitu tal-kamaleont</v>
      </c>
    </row>
    <row r="13479" ht="15.75" customHeight="1">
      <c r="A13479" s="2" t="s">
        <v>13479</v>
      </c>
      <c r="B13479" s="2" t="str">
        <f>IFERROR(__xludf.DUMMYFUNCTION("GOOGLETRANSLATE(A13479, ""en"", ""mt"")"),"Ix-xogħol tiegħu ġie ppubblikat l-ewwel")</f>
        <v>Ix-xogħol tiegħu ġie ppubblikat l-ewwel</v>
      </c>
    </row>
    <row r="13480" ht="15.75" customHeight="1">
      <c r="A13480" s="2" t="s">
        <v>13480</v>
      </c>
      <c r="B13480" s="2" t="str">
        <f>IFERROR(__xludf.DUMMYFUNCTION("GOOGLETRANSLATE(A13480, ""en"", ""mt"")"),"Il-vjaġġi ta 'Marco Polo")</f>
        <v>Il-vjaġġi ta 'Marco Polo</v>
      </c>
    </row>
    <row r="13481" ht="15.75" customHeight="1">
      <c r="A13481" s="2" t="s">
        <v>13481</v>
      </c>
      <c r="B13481" s="2" t="str">
        <f>IFERROR(__xludf.DUMMYFUNCTION("GOOGLETRANSLATE(A13481, ""en"", ""mt"")"),"Kalifat")</f>
        <v>Kalifat</v>
      </c>
    </row>
    <row r="13482" ht="15.75" customHeight="1">
      <c r="A13482" s="2" t="s">
        <v>13482</v>
      </c>
      <c r="B13482" s="2" t="str">
        <f>IFERROR(__xludf.DUMMYFUNCTION("GOOGLETRANSLATE(A13482, ""en"", ""mt"")"),"Ir-relay tal-qafas intuża biex jgħaqqad LANs madwar netwerks ta 'żona wiesgħa. Madankollu, x.25 u kif ukoll ir-relay tal-qafas ġew sostitwiti")</f>
        <v>Ir-relay tal-qafas intuża biex jgħaqqad LANs madwar netwerks ta 'żona wiesgħa. Madankollu, x.25 u kif ukoll ir-relay tal-qafas ġew sostitwiti</v>
      </c>
    </row>
    <row r="13483" ht="15.75" customHeight="1">
      <c r="A13483" s="2" t="s">
        <v>13483</v>
      </c>
      <c r="B13483" s="2" t="str">
        <f>IFERROR(__xludf.DUMMYFUNCTION("GOOGLETRANSLATE(A13483, ""en"", ""mt"")"),"Rgħajja")</f>
        <v>Rgħajja</v>
      </c>
    </row>
    <row r="13484" ht="15.75" customHeight="1">
      <c r="A13484" s="2" t="s">
        <v>13484</v>
      </c>
      <c r="B13484" s="2" t="str">
        <f>IFERROR(__xludf.DUMMYFUNCTION("GOOGLETRANSLATE(A13484, ""en"", ""mt"")"),"X'inhuma żewġ eżempji ta 'kejl huma marbuta fl-algoritmi biex jistabbilixxu klassijiet ta' kumplessità?")</f>
        <v>X'inhuma żewġ eżempji ta 'kejl huma marbuta fl-algoritmi biex jistabbilixxu klassijiet ta' kumplessità?</v>
      </c>
    </row>
    <row r="13485" ht="15.75" customHeight="1">
      <c r="A13485" s="2" t="s">
        <v>13485</v>
      </c>
      <c r="B13485" s="2" t="str">
        <f>IFERROR(__xludf.DUMMYFUNCTION("GOOGLETRANSLATE(A13485, ""en"", ""mt"")"),"Presbiterjan")</f>
        <v>Presbiterjan</v>
      </c>
    </row>
    <row r="13486" ht="15.75" customHeight="1">
      <c r="A13486" s="2" t="s">
        <v>13486</v>
      </c>
      <c r="B13486" s="2" t="str">
        <f>IFERROR(__xludf.DUMMYFUNCTION("GOOGLETRANSLATE(A13486, ""en"", ""mt"")"),"il-mezzi tiegħu biex jaħtfu")</f>
        <v>il-mezzi tiegħu biex jaħtfu</v>
      </c>
    </row>
    <row r="13487" ht="15.75" customHeight="1">
      <c r="A13487" s="2" t="s">
        <v>13487</v>
      </c>
      <c r="B13487" s="2" t="str">
        <f>IFERROR(__xludf.DUMMYFUNCTION("GOOGLETRANSLATE(A13487, ""en"", ""mt"")"),"F'liema seklu ġie żviluppat il-port ta 'Newcastle?")</f>
        <v>F'liema seklu ġie żviluppat il-port ta 'Newcastle?</v>
      </c>
    </row>
    <row r="13488" ht="15.75" customHeight="1">
      <c r="A13488" s="2" t="s">
        <v>13488</v>
      </c>
      <c r="B13488" s="2" t="str">
        <f>IFERROR(__xludf.DUMMYFUNCTION("GOOGLETRANSLATE(A13488, ""en"", ""mt"")"),"X'inhu kkreditat Donald Davies")</f>
        <v>X'inhu kkreditat Donald Davies</v>
      </c>
    </row>
    <row r="13489" ht="15.75" customHeight="1">
      <c r="A13489" s="2" t="s">
        <v>13489</v>
      </c>
      <c r="B13489" s="2" t="str">
        <f>IFERROR(__xludf.DUMMYFUNCTION("GOOGLETRANSLATE(A13489, ""en"", ""mt"")"),"Kumitat ta 'Esperti Indipendenti")</f>
        <v>Kumitat ta 'Esperti Indipendenti</v>
      </c>
    </row>
    <row r="13490" ht="15.75" customHeight="1">
      <c r="A13490" s="2" t="s">
        <v>13490</v>
      </c>
      <c r="B13490" s="2" t="str">
        <f>IFERROR(__xludf.DUMMYFUNCTION("GOOGLETRANSLATE(A13490, ""en"", ""mt"")"),"Fejn jintuża l-Ingliż Ingliż normalment?")</f>
        <v>Fejn jintuża l-Ingliż Ingliż normalment?</v>
      </c>
    </row>
    <row r="13491" ht="15.75" customHeight="1">
      <c r="A13491" s="2" t="s">
        <v>13491</v>
      </c>
      <c r="B13491" s="2" t="str">
        <f>IFERROR(__xludf.DUMMYFUNCTION("GOOGLETRANSLATE(A13491, ""en"", ""mt"")"),"aktar minn 50 ittra")</f>
        <v>aktar minn 50 ittra</v>
      </c>
    </row>
    <row r="13492" ht="15.75" customHeight="1">
      <c r="A13492" s="2" t="s">
        <v>13492</v>
      </c>
      <c r="B13492" s="2" t="str">
        <f>IFERROR(__xludf.DUMMYFUNCTION("GOOGLETRANSLATE(A13492, ""en"", ""mt"")"),"X'inhu l-perjodu ta 'żmien ta' din l-istatistika?")</f>
        <v>X'inhu l-perjodu ta 'żmien ta' din l-istatistika?</v>
      </c>
    </row>
    <row r="13493" ht="15.75" customHeight="1">
      <c r="A13493" s="2" t="s">
        <v>13493</v>
      </c>
      <c r="B13493" s="2" t="str">
        <f>IFERROR(__xludf.DUMMYFUNCTION("GOOGLETRANSLATE(A13493, ""en"", ""mt"")"),"imkeċċi")</f>
        <v>imkeċċi</v>
      </c>
    </row>
    <row r="13494" ht="15.75" customHeight="1">
      <c r="A13494" s="2" t="s">
        <v>13494</v>
      </c>
      <c r="B13494" s="2" t="str">
        <f>IFERROR(__xludf.DUMMYFUNCTION("GOOGLETRANSLATE(A13494, ""en"", ""mt"")"),"wiegħed li jibgħatlu lill-aqwa skola tal-inġinerija")</f>
        <v>wiegħed li jibgħatlu lill-aqwa skola tal-inġinerija</v>
      </c>
    </row>
    <row r="13495" ht="15.75" customHeight="1">
      <c r="A13495" s="2" t="s">
        <v>13495</v>
      </c>
      <c r="B13495" s="2" t="str">
        <f>IFERROR(__xludf.DUMMYFUNCTION("GOOGLETRANSLATE(A13495, ""en"", ""mt"")"),"L-Aqwa Serje tad-Drama")</f>
        <v>L-Aqwa Serje tad-Drama</v>
      </c>
    </row>
    <row r="13496" ht="15.75" customHeight="1">
      <c r="A13496" s="2" t="s">
        <v>13496</v>
      </c>
      <c r="B13496" s="2" t="str">
        <f>IFERROR(__xludf.DUMMYFUNCTION("GOOGLETRANSLATE(A13496, ""en"", ""mt"")"),"magna gun")</f>
        <v>magna gun</v>
      </c>
    </row>
    <row r="13497" ht="15.75" customHeight="1">
      <c r="A13497" s="2" t="s">
        <v>13497</v>
      </c>
      <c r="B13497" s="2" t="str">
        <f>IFERROR(__xludf.DUMMYFUNCTION("GOOGLETRANSLATE(A13497, ""en"", ""mt"")"),"Numru ta 'Huguenots servew bħala sindki f'Dublin, Cork, Youghal u Waterford fis-sekli 17 u 18. Numru ta 'sinjali ta' preżenza Huguenot xorta jistgħu jidhru bl-ismijiet li għadhom jintużaw, u b'żoni tal-bliet u bliet ewlenin imsemmija wara n-nies li stabbi"&amp;"lixxew hemm. Eżempji jinkludu d-Distrett ta 'Huguenot u Triq il-Knisja Franċiża fil-Belt ta' Cork; u Triq D'Olier f'Dublin, imsejħa wara xeriff għoli u wieħed mill-fundaturi tal-Bank of Ireland. Knisja Franċiża f'Portarlington tmur lura għall-1696, u nbni"&amp;"et biex isservi l-komunità Huguenot ġdida sinifikanti fil-belt. Dak iż-żmien, huma kienu jikkostitwixxu l-maġġoranza tan-nies tal-belt.")</f>
        <v>Numru ta 'Huguenots servew bħala sindki f'Dublin, Cork, Youghal u Waterford fis-sekli 17 u 18. Numru ta 'sinjali ta' preżenza Huguenot xorta jistgħu jidhru bl-ismijiet li għadhom jintużaw, u b'żoni tal-bliet u bliet ewlenin imsemmija wara n-nies li stabbilixxew hemm. Eżempji jinkludu d-Distrett ta 'Huguenot u Triq il-Knisja Franċiża fil-Belt ta' Cork; u Triq D'Olier f'Dublin, imsejħa wara xeriff għoli u wieħed mill-fundaturi tal-Bank of Ireland. Knisja Franċiża f'Portarlington tmur lura għall-1696, u nbniet biex isservi l-komunità Huguenot ġdida sinifikanti fil-belt. Dak iż-żmien, huma kienu jikkostitwixxu l-maġġoranza tan-nies tal-belt.</v>
      </c>
    </row>
    <row r="13498" ht="15.75" customHeight="1">
      <c r="A13498" s="2" t="s">
        <v>13498</v>
      </c>
      <c r="B13498" s="2" t="str">
        <f>IFERROR(__xludf.DUMMYFUNCTION("GOOGLETRANSLATE(A13498, ""en"", ""mt"")"),"Tabib tal-ispiżerija")</f>
        <v>Tabib tal-ispiżerija</v>
      </c>
    </row>
    <row r="13499" ht="15.75" customHeight="1">
      <c r="A13499" s="2" t="s">
        <v>13499</v>
      </c>
      <c r="B13499" s="2" t="str">
        <f>IFERROR(__xludf.DUMMYFUNCTION("GOOGLETRANSLATE(A13499, ""en"", ""mt"")"),"minuri")</f>
        <v>minuri</v>
      </c>
    </row>
    <row r="13500" ht="15.75" customHeight="1">
      <c r="A13500" s="2" t="s">
        <v>13500</v>
      </c>
      <c r="B13500" s="2" t="str">
        <f>IFERROR(__xludf.DUMMYFUNCTION("GOOGLETRANSLATE(A13500, ""en"", ""mt"")"),"tolleranza tad-diżubbidjenza ċivili")</f>
        <v>tolleranza tad-diżubbidjenza ċivili</v>
      </c>
    </row>
    <row r="13501" ht="15.75" customHeight="1">
      <c r="A13501" s="2" t="s">
        <v>13501</v>
      </c>
      <c r="B13501" s="2" t="str">
        <f>IFERROR(__xludf.DUMMYFUNCTION("GOOGLETRANSLATE(A13501, ""en"", ""mt"")"),"Meta seħħet l-attività tal-bini fil-palazzi u l-knejjes fid-deċennji ta 'wara?")</f>
        <v>Meta seħħet l-attività tal-bini fil-palazzi u l-knejjes fid-deċennji ta 'wara?</v>
      </c>
    </row>
    <row r="13502" ht="15.75" customHeight="1">
      <c r="A13502" s="2" t="s">
        <v>13502</v>
      </c>
      <c r="B13502" s="2" t="str">
        <f>IFERROR(__xludf.DUMMYFUNCTION("GOOGLETRANSLATE(A13502, ""en"", ""mt"")"),"Liema nazzjonalità kienet Konstantin Mereschkowski?")</f>
        <v>Liema nazzjonalità kienet Konstantin Mereschkowski?</v>
      </c>
    </row>
    <row r="13503" ht="15.75" customHeight="1">
      <c r="A13503" s="2" t="s">
        <v>13503</v>
      </c>
      <c r="B13503" s="2" t="str">
        <f>IFERROR(__xludf.DUMMYFUNCTION("GOOGLETRANSLATE(A13503, ""en"", ""mt"")"),"disponibbli liberament fuq il-web")</f>
        <v>disponibbli liberament fuq il-web</v>
      </c>
    </row>
    <row r="13504" ht="15.75" customHeight="1">
      <c r="A13504" s="2" t="s">
        <v>13504</v>
      </c>
      <c r="B13504" s="2" t="str">
        <f>IFERROR(__xludf.DUMMYFUNCTION("GOOGLETRANSLATE(A13504, ""en"", ""mt"")"),"Ħakkiem universali")</f>
        <v>Ħakkiem universali</v>
      </c>
    </row>
    <row r="13505" ht="15.75" customHeight="1">
      <c r="A13505" s="2" t="s">
        <v>13505</v>
      </c>
      <c r="B13505" s="2" t="str">
        <f>IFERROR(__xludf.DUMMYFUNCTION("GOOGLETRANSLATE(A13505, ""en"", ""mt"")"),"stadju introduttorju tal-kont")</f>
        <v>stadju introduttorju tal-kont</v>
      </c>
    </row>
    <row r="13506" ht="15.75" customHeight="1">
      <c r="A13506" s="2" t="s">
        <v>13506</v>
      </c>
      <c r="B13506" s="2" t="str">
        <f>IFERROR(__xludf.DUMMYFUNCTION("GOOGLETRANSLATE(A13506, ""en"", ""mt"")"),"Għalliema reliġjużi u spiritwali")</f>
        <v>Għalliema reliġjużi u spiritwali</v>
      </c>
    </row>
    <row r="13507" ht="15.75" customHeight="1">
      <c r="A13507" s="2" t="s">
        <v>13507</v>
      </c>
      <c r="B13507" s="2" t="str">
        <f>IFERROR(__xludf.DUMMYFUNCTION("GOOGLETRANSLATE(A13507, ""en"", ""mt"")"),"X’kontribwixxa ABC għall-20 anniversarju speċjali?")</f>
        <v>X’kontribwixxa ABC għall-20 anniversarju speċjali?</v>
      </c>
    </row>
    <row r="13508" ht="15.75" customHeight="1">
      <c r="A13508" s="2" t="s">
        <v>13508</v>
      </c>
      <c r="B13508" s="2" t="str">
        <f>IFERROR(__xludf.DUMMYFUNCTION("GOOGLETRANSLATE(A13508, ""en"", ""mt"")"),"konkorrenti, valutazzjonijiet iżgħar ta 'problemi speċjali")</f>
        <v>konkorrenti, valutazzjonijiet iżgħar ta 'problemi speċjali</v>
      </c>
    </row>
    <row r="13509" ht="15.75" customHeight="1">
      <c r="A13509" s="2" t="s">
        <v>13509</v>
      </c>
      <c r="B13509" s="2" t="str">
        <f>IFERROR(__xludf.DUMMYFUNCTION("GOOGLETRANSLATE(A13509, ""en"", ""mt"")"),"Reġjuni tal-Kontea tat-Tramuntana")</f>
        <v>Reġjuni tal-Kontea tat-Tramuntana</v>
      </c>
    </row>
    <row r="13510" ht="15.75" customHeight="1">
      <c r="A13510" s="2" t="s">
        <v>13510</v>
      </c>
      <c r="B13510" s="2" t="str">
        <f>IFERROR(__xludf.DUMMYFUNCTION("GOOGLETRANSLATE(A13510, ""en"", ""mt"")"),"X'inhu l-ktieb gwida għall-knejjes u r-ragħajja lokali?")</f>
        <v>X'inhu l-ktieb gwida għall-knejjes u r-ragħajja lokali?</v>
      </c>
    </row>
    <row r="13511" ht="15.75" customHeight="1">
      <c r="A13511" s="2" t="s">
        <v>13511</v>
      </c>
      <c r="B13511" s="2" t="str">
        <f>IFERROR(__xludf.DUMMYFUNCTION("GOOGLETRANSLATE(A13511, ""en"", ""mt"")"),"Drittijiet fundamentali rikonoxxuti u protetti fil-kostituzzjonijiet ta 'l-istati membri")</f>
        <v>Drittijiet fundamentali rikonoxxuti u protetti fil-kostituzzjonijiet ta 'l-istati membri</v>
      </c>
    </row>
    <row r="13512" ht="15.75" customHeight="1">
      <c r="A13512" s="2" t="s">
        <v>13512</v>
      </c>
      <c r="B13512" s="2" t="str">
        <f>IFERROR(__xludf.DUMMYFUNCTION("GOOGLETRANSLATE(A13512, ""en"", ""mt"")"),"tejp wieħed")</f>
        <v>tejp wieħed</v>
      </c>
    </row>
    <row r="13513" ht="15.75" customHeight="1">
      <c r="A13513" s="2" t="s">
        <v>13513</v>
      </c>
      <c r="B13513" s="2" t="str">
        <f>IFERROR(__xludf.DUMMYFUNCTION("GOOGLETRANSLATE(A13513, ""en"", ""mt"")"),"fi Franza")</f>
        <v>fi Franza</v>
      </c>
    </row>
    <row r="13514" ht="15.75" customHeight="1">
      <c r="A13514" s="2" t="s">
        <v>13514</v>
      </c>
      <c r="B13514" s="2" t="str">
        <f>IFERROR(__xludf.DUMMYFUNCTION("GOOGLETRANSLATE(A13514, ""en"", ""mt"")"),"kummiedji u serje orjentata lejn il-familja")</f>
        <v>kummiedji u serje orjentata lejn il-familja</v>
      </c>
    </row>
    <row r="13515" ht="15.75" customHeight="1">
      <c r="A13515" s="2" t="s">
        <v>13515</v>
      </c>
      <c r="B13515" s="2" t="str">
        <f>IFERROR(__xludf.DUMMYFUNCTION("GOOGLETRANSLATE(A13515, ""en"", ""mt"")"),"il-Koran")</f>
        <v>il-Koran</v>
      </c>
    </row>
    <row r="13516" ht="15.75" customHeight="1">
      <c r="A13516" s="2" t="s">
        <v>13516</v>
      </c>
      <c r="B13516" s="2" t="str">
        <f>IFERROR(__xludf.DUMMYFUNCTION("GOOGLETRANSLATE(A13516, ""en"", ""mt"")"),"Il-partijiet Vittorjani tal-bini għandhom storja kumplessa, b'żieda biċċa biċċa minn periti differenti. Imwaqqfa f'Mejju 1852, ma kienx sal-1857 li l-mużew mar fis-sit preżenti. Din iż-żona ta ’Londra kienet magħrufa bħala Brompton iżda kienet ġiet imsemm"&amp;"ija mill-ġdid South Kensington. L-art kienet okkupata minn Brompton Park House, li ġiet estiża, l-aktar mill- ""Boilers Brompton"", li kienu galleriji tal-ħadid utilitarji bil-kbir b'ħarsa temporanja u aktar tard ġew żarmati u użati biex jibnu l-V &amp; A Mus"&amp;"eum tat-Tfulija. L-ewwel bini li nbena li għadu jifforma parti mill-mużew kien il-gallerija tan-nagħaġ fl-1857 fuq in-naħa tal-Lvant tal-ġnien. Il-perit tiegħu kien il-kaptan tal-inġinier ċivili Francis Fowke, inġiniera rjali, li nħatar minn Cole. L-espan"&amp;"sjonijiet ewlenin li jmiss ġew iddisinjati mill-istess perit, il-galleriji Turner u Vernon mibnija 1858-9 biex jospitaw il-kollezzjonijiet eponimi (aktar tard trasferiti għall-Gallerija Tate) u issa ntużaw bħala l-istampi tal-galleriji u l-gallerija tat-t"&amp;"apizzerija rispettivament. Il-Qrati tat-Tramuntana u tan-Nofsinhar, imbagħad inbnew, it-tnejn li nfetħu sa Ġunju 1862. Issa jiffurmaw il-galleriji għal esibizzjonijiet temporanji u huma direttament wara l-gallerija tan-nagħaġ. Fit-tarf tat-tramuntana stes"&amp;"s tas-sit jinsab fil-ġwienaħ tas-Segretarjat, mibni wkoll fl-1862 dan fih l-uffiċċji u l-kamra tal-bord eċċ. U mhux miftuħ għall-pubbliku.")</f>
        <v>Il-partijiet Vittorjani tal-bini għandhom storja kumplessa, b'żieda biċċa biċċa minn periti differenti. Imwaqqfa f'Mejju 1852, ma kienx sal-1857 li l-mużew mar fis-sit preżenti. Din iż-żona ta ’Londra kienet magħrufa bħala Brompton iżda kienet ġiet imsemmija mill-ġdid South Kensington. L-art kienet okkupata minn Brompton Park House, li ġiet estiża, l-aktar mill- "Boilers Brompton", li kienu galleriji tal-ħadid utilitarji bil-kbir b'ħarsa temporanja u aktar tard ġew żarmati u użati biex jibnu l-V &amp; A Museum tat-Tfulija. L-ewwel bini li nbena li għadu jifforma parti mill-mużew kien il-gallerija tan-nagħaġ fl-1857 fuq in-naħa tal-Lvant tal-ġnien. Il-perit tiegħu kien il-kaptan tal-inġinier ċivili Francis Fowke, inġiniera rjali, li nħatar minn Cole. L-espansjonijiet ewlenin li jmiss ġew iddisinjati mill-istess perit, il-galleriji Turner u Vernon mibnija 1858-9 biex jospitaw il-kollezzjonijiet eponimi (aktar tard trasferiti għall-Gallerija Tate) u issa ntużaw bħala l-istampi tal-galleriji u l-gallerija tat-tapizzerija rispettivament. Il-Qrati tat-Tramuntana u tan-Nofsinhar, imbagħad inbnew, it-tnejn li nfetħu sa Ġunju 1862. Issa jiffurmaw il-galleriji għal esibizzjonijiet temporanji u huma direttament wara l-gallerija tan-nagħaġ. Fit-tarf tat-tramuntana stess tas-sit jinsab fil-ġwienaħ tas-Segretarjat, mibni wkoll fl-1862 dan fih l-uffiċċji u l-kamra tal-bord eċċ. U mhux miftuħ għall-pubbliku.</v>
      </c>
    </row>
    <row r="13517" ht="15.75" customHeight="1">
      <c r="A13517" s="2" t="s">
        <v>13517</v>
      </c>
      <c r="B13517" s="2" t="str">
        <f>IFERROR(__xludf.DUMMYFUNCTION("GOOGLETRANSLATE(A13517, ""en"", ""mt"")"),"Apollo 5 (AS-204) kien l-ewwel titjira tat-test mingħajr ekwipaġġ ta 'LM fl-orbita tad-dinja, imnedija minn Pad 37 fit-22 ta' Jannar, 1968, mill-IB Saturn li kien jintuża għal Apollo 1. u reġa 'beda, minkejja żball ta' programmazzjoni tal-kompjuter li qat"&amp;"a 'l-ewwel stadju ta' dixxendenza. Il-magna tat-tlugħ ġiet sparata fil-modalità Abort, magħrufa bħala test ""Fire-in-the-Hole"", fejn kienet mixgħula fl-istess ħin ma 'Jettison tal-istadju tad-dixxendenza. Għalkemm Grumman ried it-tieni test mingħajr ekwi"&amp;"paġġ, George Low iddeċieda li t-titjira LM li jmiss kienet se tkun mgħammra.")</f>
        <v>Apollo 5 (AS-204) kien l-ewwel titjira tat-test mingħajr ekwipaġġ ta 'LM fl-orbita tad-dinja, imnedija minn Pad 37 fit-22 ta' Jannar, 1968, mill-IB Saturn li kien jintuża għal Apollo 1. u reġa 'beda, minkejja żball ta' programmazzjoni tal-kompjuter li qata 'l-ewwel stadju ta' dixxendenza. Il-magna tat-tlugħ ġiet sparata fil-modalità Abort, magħrufa bħala test "Fire-in-the-Hole", fejn kienet mixgħula fl-istess ħin ma 'Jettison tal-istadju tad-dixxendenza. Għalkemm Grumman ried it-tieni test mingħajr ekwipaġġ, George Low iddeċieda li t-titjira LM li jmiss kienet se tkun mgħammra.</v>
      </c>
    </row>
    <row r="13518" ht="15.75" customHeight="1">
      <c r="A13518" s="2" t="s">
        <v>13518</v>
      </c>
      <c r="B13518" s="2" t="str">
        <f>IFERROR(__xludf.DUMMYFUNCTION("GOOGLETRANSLATE(A13518, ""en"", ""mt"")"),"żball fundamentali")</f>
        <v>żball fundamentali</v>
      </c>
    </row>
    <row r="13519" ht="15.75" customHeight="1">
      <c r="A13519" s="2" t="s">
        <v>13519</v>
      </c>
      <c r="B13519" s="2" t="str">
        <f>IFERROR(__xludf.DUMMYFUNCTION("GOOGLETRANSLATE(A13519, ""en"", ""mt"")"),"Liema riżoluzzjoni tan-NU approvat l-IPCC?")</f>
        <v>Liema riżoluzzjoni tan-NU approvat l-IPCC?</v>
      </c>
    </row>
    <row r="13520" ht="15.75" customHeight="1">
      <c r="A13520" s="2" t="s">
        <v>13520</v>
      </c>
      <c r="B13520" s="2" t="str">
        <f>IFERROR(__xludf.DUMMYFUNCTION("GOOGLETRANSLATE(A13520, ""en"", ""mt"")"),"X'kienet Maria Curie l-ewwel mara li tirċievi?")</f>
        <v>X'kienet Maria Curie l-ewwel mara li tirċievi?</v>
      </c>
    </row>
    <row r="13521" ht="15.75" customHeight="1">
      <c r="A13521" s="2" t="s">
        <v>13521</v>
      </c>
      <c r="B13521" s="2" t="str">
        <f>IFERROR(__xludf.DUMMYFUNCTION("GOOGLETRANSLATE(A13521, ""en"", ""mt"")"),"Cydippids Combs huma kkontrollati minn xiex?")</f>
        <v>Cydippids Combs huma kkontrollati minn xiex?</v>
      </c>
    </row>
    <row r="13522" ht="15.75" customHeight="1">
      <c r="A13522" s="2" t="s">
        <v>13522</v>
      </c>
      <c r="B13522" s="2" t="str">
        <f>IFERROR(__xludf.DUMMYFUNCTION("GOOGLETRANSLATE(A13522, ""en"", ""mt"")"),"Liema titli jingħataw il-president?")</f>
        <v>Liema titli jingħataw il-president?</v>
      </c>
    </row>
    <row r="13523" ht="15.75" customHeight="1">
      <c r="A13523" s="2" t="s">
        <v>13523</v>
      </c>
      <c r="B13523" s="2" t="str">
        <f>IFERROR(__xludf.DUMMYFUNCTION("GOOGLETRANSLATE(A13523, ""en"", ""mt"")"),"Terrazzi tal-vistula sempliċi")</f>
        <v>Terrazzi tal-vistula sempliċi</v>
      </c>
    </row>
    <row r="13524" ht="15.75" customHeight="1">
      <c r="A13524" s="2" t="s">
        <v>13524</v>
      </c>
      <c r="B13524" s="2" t="str">
        <f>IFERROR(__xludf.DUMMYFUNCTION("GOOGLETRANSLATE(A13524, ""en"", ""mt"")"),"Għat-tielet staġun dritta, iż-żrieragħ numru wieħed miż-żewġ konferenzi ltaqgħu fis-Super Bowl. Il-Panthers ta ’Carolina saru wieħed mill-għaxar timijiet biss li temmew staġun regolari b’telf wieħed biss, u wieħed minn sitt timijiet biss li akkwista rekor"&amp;"d ta’ 15-1, filwaqt li d-Denver Broncos sar wieħed mill-erba ’timijiet li għamel tmien dehriet fi Is-Super Bowl. Il-Broncos għamlu t-tieni dehra tas-Super Bowl tagħhom fi tliet snin, wara li laħqu Super Bowl XLVIII, filwaqt li l-Panthers għamlu t-tieni de"&amp;"hra tas-Super Bowl tagħhom fl-istorja tal-franchise, id-dehra l-oħra tagħhom hija Super Bowl XXXVIII. Inzerta, iż-żewġ timijiet kienu kowċjati minn John Fox fl-aħħar dehra tagħhom ta 'Super Bowl qabel Super Bowl 50.")</f>
        <v>Għat-tielet staġun dritta, iż-żrieragħ numru wieħed miż-żewġ konferenzi ltaqgħu fis-Super Bowl. Il-Panthers ta ’Carolina saru wieħed mill-għaxar timijiet biss li temmew staġun regolari b’telf wieħed biss, u wieħed minn sitt timijiet biss li akkwista rekord ta’ 15-1, filwaqt li d-Denver Broncos sar wieħed mill-erba ’timijiet li għamel tmien dehriet fi Is-Super Bowl. Il-Broncos għamlu t-tieni dehra tas-Super Bowl tagħhom fi tliet snin, wara li laħqu Super Bowl XLVIII, filwaqt li l-Panthers għamlu t-tieni dehra tas-Super Bowl tagħhom fl-istorja tal-franchise, id-dehra l-oħra tagħhom hija Super Bowl XXXVIII. Inzerta, iż-żewġ timijiet kienu kowċjati minn John Fox fl-aħħar dehra tagħhom ta 'Super Bowl qabel Super Bowl 50.</v>
      </c>
    </row>
    <row r="13525" ht="15.75" customHeight="1">
      <c r="A13525" s="2" t="s">
        <v>13525</v>
      </c>
      <c r="B13525" s="2" t="str">
        <f>IFERROR(__xludf.DUMMYFUNCTION("GOOGLETRANSLATE(A13525, ""en"", ""mt"")"),"Min għeleb lir-Rebels fil-Battalja ta 'Frankenhausen?")</f>
        <v>Min għeleb lir-Rebels fil-Battalja ta 'Frankenhausen?</v>
      </c>
    </row>
    <row r="13526" ht="15.75" customHeight="1">
      <c r="A13526" s="2" t="s">
        <v>13526</v>
      </c>
      <c r="B13526" s="2" t="str">
        <f>IFERROR(__xludf.DUMMYFUNCTION("GOOGLETRANSLATE(A13526, ""en"", ""mt"")"),"Fl-ewwel nofs tas-seklu 17, pesta sostniet madwar 1.7 miljun vittma fl-Italja, jew madwar 14% tal-popolazzjoni. Fl-1656, il-pesta qatel madwar nofs it-300,000 abitant ta 'Napli. Aktar minn 1.25 miljun mewt irriżultaw mill-inċidenza estrema tal-pesta fi Sp"&amp;"anja tas-seklu 17. Il-pesta tal-1649 probabbilment naqqset il-popolazzjoni ta ’Sivilja bin-nofs. Fl-1709–13, epidemija tal-pesta li segwiet il-Gwerra l-Kbira tat-Tramuntana (1700–21, l-Isvezja v. Russja u Alleati) qatlet madwar 100,000 fl-Iżvezja, u 300,0"&amp;"00 fil-Prussja. Il-pesta qatel żewġ terzi tal-abitanti ta 'Ħelsinki, u ddikjarat terz tal-popolazzjoni ta' Stokkolma. L-aħħar epidemija ewlenija tal-Ewropa seħħet fl-1720 f'Marsilja.")</f>
        <v>Fl-ewwel nofs tas-seklu 17, pesta sostniet madwar 1.7 miljun vittma fl-Italja, jew madwar 14% tal-popolazzjoni. Fl-1656, il-pesta qatel madwar nofs it-300,000 abitant ta 'Napli. Aktar minn 1.25 miljun mewt irriżultaw mill-inċidenza estrema tal-pesta fi Spanja tas-seklu 17. Il-pesta tal-1649 probabbilment naqqset il-popolazzjoni ta ’Sivilja bin-nofs. Fl-1709–13, epidemija tal-pesta li segwiet il-Gwerra l-Kbira tat-Tramuntana (1700–21, l-Isvezja v. Russja u Alleati) qatlet madwar 100,000 fl-Iżvezja, u 300,000 fil-Prussja. Il-pesta qatel żewġ terzi tal-abitanti ta 'Ħelsinki, u ddikjarat terz tal-popolazzjoni ta' Stokkolma. L-aħħar epidemija ewlenija tal-Ewropa seħħet fl-1720 f'Marsilja.</v>
      </c>
    </row>
    <row r="13527" ht="15.75" customHeight="1">
      <c r="A13527" s="2" t="s">
        <v>13527</v>
      </c>
      <c r="B13527" s="2" t="str">
        <f>IFERROR(__xludf.DUMMYFUNCTION("GOOGLETRANSLATE(A13527, ""en"", ""mt"")"),"X'inhu l-ewwel film magħruf li fih xeni ffilmjati barra fi Newcastle?")</f>
        <v>X'inhu l-ewwel film magħruf li fih xeni ffilmjati barra fi Newcastle?</v>
      </c>
    </row>
    <row r="13528" ht="15.75" customHeight="1">
      <c r="A13528" s="2" t="s">
        <v>13528</v>
      </c>
      <c r="B13528" s="2" t="str">
        <f>IFERROR(__xludf.DUMMYFUNCTION("GOOGLETRANSLATE(A13528, ""en"", ""mt"")"),"żball tipografiku")</f>
        <v>żball tipografiku</v>
      </c>
    </row>
    <row r="13529" ht="15.75" customHeight="1">
      <c r="A13529" s="2" t="s">
        <v>13529</v>
      </c>
      <c r="B13529" s="2" t="str">
        <f>IFERROR(__xludf.DUMMYFUNCTION("GOOGLETRANSLATE(A13529, ""en"", ""mt"")"),"X’meċidiet Warner Sinback")</f>
        <v>X’meċidiet Warner Sinback</v>
      </c>
    </row>
    <row r="13530" ht="15.75" customHeight="1">
      <c r="A13530" s="2" t="s">
        <v>13530</v>
      </c>
      <c r="B13530" s="2" t="str">
        <f>IFERROR(__xludf.DUMMYFUNCTION("GOOGLETRANSLATE(A13530, ""en"", ""mt"")"),"Kemm sabet din l-ispedizzjoni ma 'Braddock?")</f>
        <v>Kemm sabet din l-ispedizzjoni ma 'Braddock?</v>
      </c>
    </row>
    <row r="13531" ht="15.75" customHeight="1">
      <c r="A13531" s="2" t="s">
        <v>13531</v>
      </c>
      <c r="B13531" s="2" t="str">
        <f>IFERROR(__xludf.DUMMYFUNCTION("GOOGLETRANSLATE(A13531, ""en"", ""mt"")"),"X'inhu l-effett ta 'testosterone fuq is-sistema immuni maskili?")</f>
        <v>X'inhu l-effett ta 'testosterone fuq is-sistema immuni maskili?</v>
      </c>
    </row>
    <row r="13532" ht="15.75" customHeight="1">
      <c r="A13532" s="2" t="s">
        <v>13532</v>
      </c>
      <c r="B13532" s="2" t="str">
        <f>IFERROR(__xludf.DUMMYFUNCTION("GOOGLETRANSLATE(A13532, ""en"", ""mt"")"),"X'inhu eżempju komuni ta 'miżura ta' kumplessità kritika?")</f>
        <v>X'inhu eżempju komuni ta 'miżura ta' kumplessità kritika?</v>
      </c>
    </row>
    <row r="13533" ht="15.75" customHeight="1">
      <c r="A13533" s="2" t="s">
        <v>13533</v>
      </c>
      <c r="B13533" s="2" t="str">
        <f>IFERROR(__xludf.DUMMYFUNCTION("GOOGLETRANSLATE(A13533, ""en"", ""mt"")"),"Min hu eliġibbli biex jitfa 'isimhom fil-kappell biex ikun l-ewwel ministru?")</f>
        <v>Min hu eliġibbli biex jitfa 'isimhom fil-kappell biex ikun l-ewwel ministru?</v>
      </c>
    </row>
    <row r="13534" ht="15.75" customHeight="1">
      <c r="A13534" s="2" t="s">
        <v>13534</v>
      </c>
      <c r="B13534" s="2" t="str">
        <f>IFERROR(__xludf.DUMMYFUNCTION("GOOGLETRANSLATE(A13534, ""en"", ""mt"")"),"produttività")</f>
        <v>produttività</v>
      </c>
    </row>
    <row r="13535" ht="15.75" customHeight="1">
      <c r="A13535" s="2" t="s">
        <v>13535</v>
      </c>
      <c r="B13535" s="2" t="str">
        <f>IFERROR(__xludf.DUMMYFUNCTION("GOOGLETRANSLATE(A13535, ""en"", ""mt"")"),"infinitament")</f>
        <v>infinitament</v>
      </c>
    </row>
    <row r="13536" ht="15.75" customHeight="1">
      <c r="A13536" s="2" t="s">
        <v>13536</v>
      </c>
      <c r="B13536" s="2" t="str">
        <f>IFERROR(__xludf.DUMMYFUNCTION("GOOGLETRANSLATE(A13536, ""en"", ""mt"")"),"Padiljun Lavietes")</f>
        <v>Padiljun Lavietes</v>
      </c>
    </row>
    <row r="13537" ht="15.75" customHeight="1">
      <c r="A13537" s="2" t="s">
        <v>13537</v>
      </c>
      <c r="B13537" s="2" t="str">
        <f>IFERROR(__xludf.DUMMYFUNCTION("GOOGLETRANSLATE(A13537, ""en"", ""mt"")"),"Spanja ċediet lil Florida lill-Ingliżi fl-1763 wara l-Gwerra Franċiża u Indjana, u l-Ingliżi dalwaqt bnew it-Triq tar-Re li jgħaqqdu Santu Wistin mal-Ġeorġja. It-triq qasmet ix-Xmara San Ġwann f'punt dejjaq, li s-Seminole sejjaħ Wacca Pilatka u l-Ingliżi "&amp;"sejħu l-Cow Ford jew Cowford; Dawn l-ismijiet jirriflettu b'mod ostensibbli l-fatt li l-baqar ingħataw ix-xmara hemmhekk. Il-Brittaniċi introduċew il-kultivazzjoni tal-kannamieli, indigo u frott tal-kannamieli kif ukoll l-esportazzjoni tal-injam. Bħala ri"&amp;"żultat, iż-żona tal-Grigal ta 'Florida rnexxiet ekonomikament aktar milli kellha taħt l-Ispanjol. Il-Gran Brittanja ċediet il-kontroll tat-territorju lura lejn Spanja fl-1783, wara t-telfa tagħha fil-Gwerra Rivoluzzjonarja Amerikana, u l-ftehim fil-Cow Fo"&amp;"rd kompla jikber. Wara li Spanja ċediet it-territorju ta ’Florida lejn l-Istati Uniti fl-1821, kolonizzaturi Amerikani fuq in-naħa tat-tramuntana tal-baqra Ford iddeċidew li jippjanaw belt, li jpoġġu t-toroq u l-plats. Huma malajr semmew il-belt Jacksonvi"&amp;"lle, wara Andrew Jackson. Immexxi minn Isaija D. Hart, ir-residenti kitbu charter għal gvern tal-belt, li ġie approvat mill-Kunsill Leġiżlattiv ta 'Florida fid-9 ta' Frar, 1832.")</f>
        <v>Spanja ċediet lil Florida lill-Ingliżi fl-1763 wara l-Gwerra Franċiża u Indjana, u l-Ingliżi dalwaqt bnew it-Triq tar-Re li jgħaqqdu Santu Wistin mal-Ġeorġja. It-triq qasmet ix-Xmara San Ġwann f'punt dejjaq, li s-Seminole sejjaħ Wacca Pilatka u l-Ingliżi sejħu l-Cow Ford jew Cowford; Dawn l-ismijiet jirriflettu b'mod ostensibbli l-fatt li l-baqar ingħataw ix-xmara hemmhekk. Il-Brittaniċi introduċew il-kultivazzjoni tal-kannamieli, indigo u frott tal-kannamieli kif ukoll l-esportazzjoni tal-injam. Bħala riżultat, iż-żona tal-Grigal ta 'Florida rnexxiet ekonomikament aktar milli kellha taħt l-Ispanjol. Il-Gran Brittanja ċediet il-kontroll tat-territorju lura lejn Spanja fl-1783, wara t-telfa tagħha fil-Gwerra Rivoluzzjonarja Amerikana, u l-ftehim fil-Cow Ford kompla jikber. Wara li Spanja ċediet it-territorju ta ’Florida lejn l-Istati Uniti fl-1821, kolonizzaturi Amerikani fuq in-naħa tat-tramuntana tal-baqra Ford iddeċidew li jippjanaw belt, li jpoġġu t-toroq u l-plats. Huma malajr semmew il-belt Jacksonville, wara Andrew Jackson. Immexxi minn Isaija D. Hart, ir-residenti kitbu charter għal gvern tal-belt, li ġie approvat mill-Kunsill Leġiżlattiv ta 'Florida fid-9 ta' Frar, 1832.</v>
      </c>
    </row>
    <row r="13538" ht="15.75" customHeight="1">
      <c r="A13538" s="2" t="s">
        <v>13538</v>
      </c>
      <c r="B13538" s="2" t="str">
        <f>IFERROR(__xludf.DUMMYFUNCTION("GOOGLETRANSLATE(A13538, ""en"", ""mt"")"),"Kelliema jinnominaw")</f>
        <v>Kelliema jinnominaw</v>
      </c>
    </row>
    <row r="13539" ht="15.75" customHeight="1">
      <c r="A13539" s="2" t="s">
        <v>13539</v>
      </c>
      <c r="B13539" s="2" t="str">
        <f>IFERROR(__xludf.DUMMYFUNCTION("GOOGLETRANSLATE(A13539, ""en"", ""mt"")"),"l-editur tar-rivista tad-dinja elettrika")</f>
        <v>l-editur tar-rivista tad-dinja elettrika</v>
      </c>
    </row>
    <row r="13540" ht="15.75" customHeight="1">
      <c r="A13540" s="2" t="s">
        <v>13540</v>
      </c>
      <c r="B13540" s="2" t="str">
        <f>IFERROR(__xludf.DUMMYFUNCTION("GOOGLETRANSLATE(A13540, ""en"", ""mt"")"),"il-landa kienet żdiedet fil-piż u dik iż-żieda kienet l-istess bħall-piż tal-arja li ġrew lura")</f>
        <v>il-landa kienet żdiedet fil-piż u dik iż-żieda kienet l-istess bħall-piż tal-arja li ġrew lura</v>
      </c>
    </row>
    <row r="13541" ht="15.75" customHeight="1">
      <c r="A13541" s="2" t="s">
        <v>13541</v>
      </c>
      <c r="B13541" s="2" t="str">
        <f>IFERROR(__xludf.DUMMYFUNCTION("GOOGLETRANSLATE(A13541, ""en"", ""mt"")"),"Katidral Koptiku")</f>
        <v>Katidral Koptiku</v>
      </c>
    </row>
    <row r="13542" ht="15.75" customHeight="1">
      <c r="A13542" s="2" t="s">
        <v>13542</v>
      </c>
      <c r="B13542" s="2" t="str">
        <f>IFERROR(__xludf.DUMMYFUNCTION("GOOGLETRANSLATE(A13542, ""en"", ""mt"")"),"X'inhu r-rekord tat-temperatura l-iktar sħun għal Fresno?")</f>
        <v>X'inhu r-rekord tat-temperatura l-iktar sħun għal Fresno?</v>
      </c>
    </row>
    <row r="13543" ht="15.75" customHeight="1">
      <c r="A13543" s="2" t="s">
        <v>13543</v>
      </c>
      <c r="B13543" s="2" t="str">
        <f>IFERROR(__xludf.DUMMYFUNCTION("GOOGLETRANSLATE(A13543, ""en"", ""mt"")"),"Madankollu, il-fehmiet reliġjużi tiegħu jibqgħu inċerti minħabba dikjarazzjonijiet oħra li għamel. Pereżempju, fl-artiklu tiegħu, ""A Machine to End War"", ippubblikata fl-1937, Tesla ddikjarat:")</f>
        <v>Madankollu, il-fehmiet reliġjużi tiegħu jibqgħu inċerti minħabba dikjarazzjonijiet oħra li għamel. Pereżempju, fl-artiklu tiegħu, "A Machine to End War", ippubblikata fl-1937, Tesla ddikjarat:</v>
      </c>
    </row>
    <row r="13544" ht="15.75" customHeight="1">
      <c r="A13544" s="2" t="s">
        <v>13544</v>
      </c>
      <c r="B13544" s="2" t="str">
        <f>IFERROR(__xludf.DUMMYFUNCTION("GOOGLETRANSLATE(A13544, ""en"", ""mt"")"),"Liema reliġjon skoraġġixxa l-wan, biex tappoġġja l-Buddiżmu?")</f>
        <v>Liema reliġjon skoraġġixxa l-wan, biex tappoġġja l-Buddiżmu?</v>
      </c>
    </row>
    <row r="13545" ht="15.75" customHeight="1">
      <c r="A13545" s="2" t="s">
        <v>13545</v>
      </c>
      <c r="B13545" s="2" t="str">
        <f>IFERROR(__xludf.DUMMYFUNCTION("GOOGLETRANSLATE(A13545, ""en"", ""mt"")"),"perjodi ta 'temperaturi globali aktar baxxi")</f>
        <v>perjodi ta 'temperaturi globali aktar baxxi</v>
      </c>
    </row>
    <row r="13546" ht="15.75" customHeight="1">
      <c r="A13546" s="2" t="s">
        <v>13546</v>
      </c>
      <c r="B13546" s="2" t="str">
        <f>IFERROR(__xludf.DUMMYFUNCTION("GOOGLETRANSLATE(A13546, ""en"", ""mt"")"),"X’kont stħarriġ dwar il-Luterani tal-Amerika ta ’Fuq li l-Luterani ħassew dwar il-Lhud meta mqabbla ma’ gruppi ta ’minoranza oħra?")</f>
        <v>X’kont stħarriġ dwar il-Luterani tal-Amerika ta ’Fuq li l-Luterani ħassew dwar il-Lhud meta mqabbla ma’ gruppi ta ’minoranza oħra?</v>
      </c>
    </row>
    <row r="13547" ht="15.75" customHeight="1">
      <c r="A13547" s="2" t="s">
        <v>13547</v>
      </c>
      <c r="B13547" s="2" t="str">
        <f>IFERROR(__xludf.DUMMYFUNCTION("GOOGLETRANSLATE(A13547, ""en"", ""mt"")"),"Mis-sokits tas-snien fl-iskeletri tal-bniedem")</f>
        <v>Mis-sokits tas-snien fl-iskeletri tal-bniedem</v>
      </c>
    </row>
    <row r="13548" ht="15.75" customHeight="1">
      <c r="A13548" s="2" t="s">
        <v>13548</v>
      </c>
      <c r="B13548" s="2" t="str">
        <f>IFERROR(__xludf.DUMMYFUNCTION("GOOGLETRANSLATE(A13548, ""en"", ""mt"")"),"Fl-1507, ġie ordnat lis-saċerdozju, u fl-1508, von Staupitz, l-ewwel dekan tal-Università li għadu kif twaqqaf Wittenberg, mibgħut għal Luther, biex jgħallem it-teoloġija. Huwa rċieva baċellerat fl-Istudji Bibliċi fid-9 ta 'Marzu 1508, u grad ieħor ta' ba"&amp;"ċellerat fis-sentenzi minn Peter Lombard fl-1509.")</f>
        <v>Fl-1507, ġie ordnat lis-saċerdozju, u fl-1508, von Staupitz, l-ewwel dekan tal-Università li għadu kif twaqqaf Wittenberg, mibgħut għal Luther, biex jgħallem it-teoloġija. Huwa rċieva baċellerat fl-Istudji Bibliċi fid-9 ta 'Marzu 1508, u grad ieħor ta' baċellerat fis-sentenzi minn Peter Lombard fl-1509.</v>
      </c>
    </row>
    <row r="13549" ht="15.75" customHeight="1">
      <c r="A13549" s="2" t="s">
        <v>13549</v>
      </c>
      <c r="B13549" s="2" t="str">
        <f>IFERROR(__xludf.DUMMYFUNCTION("GOOGLETRANSLATE(A13549, ""en"", ""mt"")"),"Xi spejjeż żejda")</f>
        <v>Xi spejjeż żejda</v>
      </c>
    </row>
    <row r="13550" ht="15.75" customHeight="1">
      <c r="A13550" s="2" t="s">
        <v>13550</v>
      </c>
      <c r="B13550" s="2" t="str">
        <f>IFERROR(__xludf.DUMMYFUNCTION("GOOGLETRANSLATE(A13550, ""en"", ""mt"")"),"L-opportunitajiet ikunu l-istess f'kull suġġett, jew ivarjaw?")</f>
        <v>L-opportunitajiet ikunu l-istess f'kull suġġett, jew ivarjaw?</v>
      </c>
    </row>
    <row r="13551" ht="15.75" customHeight="1">
      <c r="A13551" s="2" t="s">
        <v>13551</v>
      </c>
      <c r="B13551" s="2" t="str">
        <f>IFERROR(__xludf.DUMMYFUNCTION("GOOGLETRANSLATE(A13551, ""en"", ""mt"")"),"seba 'xhur")</f>
        <v>seba 'xhur</v>
      </c>
    </row>
    <row r="13552" ht="15.75" customHeight="1">
      <c r="A13552" s="2" t="s">
        <v>13552</v>
      </c>
      <c r="B13552" s="2" t="str">
        <f>IFERROR(__xludf.DUMMYFUNCTION("GOOGLETRANSLATE(A13552, ""en"", ""mt"")"),"Żoni statistiċi metropolitani")</f>
        <v>Żoni statistiċi metropolitani</v>
      </c>
    </row>
    <row r="13553" ht="15.75" customHeight="1">
      <c r="A13553" s="2" t="s">
        <v>13553</v>
      </c>
      <c r="B13553" s="2" t="str">
        <f>IFERROR(__xludf.DUMMYFUNCTION("GOOGLETRANSLATE(A13553, ""en"", ""mt"")"),"Għal liema skop l-organiżmi jagħmlu l-perossidu u s-superossidu?")</f>
        <v>Għal liema skop l-organiżmi jagħmlu l-perossidu u s-superossidu?</v>
      </c>
    </row>
    <row r="13554" ht="15.75" customHeight="1">
      <c r="A13554" s="2" t="s">
        <v>13554</v>
      </c>
      <c r="B13554" s="2" t="str">
        <f>IFERROR(__xludf.DUMMYFUNCTION("GOOGLETRANSLATE(A13554, ""en"", ""mt"")"),"ittawwal uċuħ tal-ħakk tal-valv")</f>
        <v>ittawwal uċuħ tal-ħakk tal-valv</v>
      </c>
    </row>
    <row r="13555" ht="15.75" customHeight="1">
      <c r="A13555" s="2" t="s">
        <v>13555</v>
      </c>
      <c r="B13555" s="2" t="str">
        <f>IFERROR(__xludf.DUMMYFUNCTION("GOOGLETRANSLATE(A13555, ""en"", ""mt"")"),"Aristotile x’kien irrefera għal mozzjoni sfurzata bħala?")</f>
        <v>Aristotile x’kien irrefera għal mozzjoni sfurzata bħala?</v>
      </c>
    </row>
    <row r="13556" ht="15.75" customHeight="1">
      <c r="A13556" s="2" t="s">
        <v>13556</v>
      </c>
      <c r="B13556" s="2" t="str">
        <f>IFERROR(__xludf.DUMMYFUNCTION("GOOGLETRANSLATE(A13556, ""en"", ""mt"")"),"Kemm ġew stmati nies li jmorru għall-avvenimenti differenti b'tema tal-logħob matul il-ġimgħa ta 'qabel is-Super Bowl 50 fil-belt li fiha kien hemm?")</f>
        <v>Kemm ġew stmati nies li jmorru għall-avvenimenti differenti b'tema tal-logħob matul il-ġimgħa ta 'qabel is-Super Bowl 50 fil-belt li fiha kien hemm?</v>
      </c>
    </row>
    <row r="13557" ht="15.75" customHeight="1">
      <c r="A13557" s="2" t="s">
        <v>13557</v>
      </c>
      <c r="B13557" s="2" t="str">
        <f>IFERROR(__xludf.DUMMYFUNCTION("GOOGLETRANSLATE(A13557, ""en"", ""mt"")"),"Żwiġijiet irranġati")</f>
        <v>Żwiġijiet irranġati</v>
      </c>
    </row>
    <row r="13558" ht="15.75" customHeight="1">
      <c r="A13558" s="2" t="s">
        <v>13558</v>
      </c>
      <c r="B13558" s="2" t="str">
        <f>IFERROR(__xludf.DUMMYFUNCTION("GOOGLETRANSLATE(A13558, ""en"", ""mt"")"),"Kuviasungnerk / Kangeiko")</f>
        <v>Kuviasungnerk / Kangeiko</v>
      </c>
    </row>
    <row r="13559" ht="15.75" customHeight="1">
      <c r="A13559" s="2" t="s">
        <v>13559</v>
      </c>
      <c r="B13559" s="2" t="str">
        <f>IFERROR(__xludf.DUMMYFUNCTION("GOOGLETRANSLATE(A13559, ""en"", ""mt"")"),"Monitoraġġ tal-laboratorju, konsulenza dwar l-aderenza, u tassisti pazjenti bi strateġiji ta 'kontar ta' spejjeż")</f>
        <v>Monitoraġġ tal-laboratorju, konsulenza dwar l-aderenza, u tassisti pazjenti bi strateġiji ta 'kontar ta' spejjeż</v>
      </c>
    </row>
    <row r="13560" ht="15.75" customHeight="1">
      <c r="A13560" s="2" t="s">
        <v>13560</v>
      </c>
      <c r="B13560" s="2" t="str">
        <f>IFERROR(__xludf.DUMMYFUNCTION("GOOGLETRANSLATE(A13560, ""en"", ""mt"")"),"elettron")</f>
        <v>elettron</v>
      </c>
    </row>
    <row r="13561" ht="15.75" customHeight="1">
      <c r="A13561" s="2" t="s">
        <v>13561</v>
      </c>
      <c r="B13561" s="2" t="str">
        <f>IFERROR(__xludf.DUMMYFUNCTION("GOOGLETRANSLATE(A13561, ""en"", ""mt"")"),"Jirriżenja")</f>
        <v>Jirriżenja</v>
      </c>
    </row>
    <row r="13562" ht="15.75" customHeight="1">
      <c r="A13562" s="2" t="s">
        <v>13562</v>
      </c>
      <c r="B13562" s="2" t="str">
        <f>IFERROR(__xludf.DUMMYFUNCTION("GOOGLETRANSLATE(A13562, ""en"", ""mt"")"),", l-għerf u l-prudenza ta 'ċerti deċiżjonijiet ta' akkwist")</f>
        <v>, l-għerf u l-prudenza ta 'ċerti deċiżjonijiet ta' akkwist</v>
      </c>
    </row>
    <row r="13563" ht="15.75" customHeight="1">
      <c r="A13563" s="2" t="s">
        <v>13563</v>
      </c>
      <c r="B13563" s="2" t="str">
        <f>IFERROR(__xludf.DUMMYFUNCTION("GOOGLETRANSLATE(A13563, ""en"", ""mt"")"),"L-ewwel, jekk l-iskadenza ta 'direttiva għall-implimentazzjoni ma tintlaħaqx, l-Istat Membru ma jistax jinforza liġijiet konfliġġenti, u ċittadin jista' jiddependi fuq id-direttiva f'tali azzjoni (hekk imsejjaħ effett dirett ""vertikali""). Allura, fil-Pu"&amp;"bblico Ministru v Ratti minħabba li l-gvern Taljan naqas milli jimplimenta direttiva 73/173 / KEE fuq l-imballaġġ u l-ittikkettjar tas-solventi sal-iskadenza, ġie estopped mill-infurzar ta 'liġi nazzjonali konfliġġenti mill-1963 kontra s-solvent tas-Sur R"&amp;"atti u n-negozju tal-verniċ. Stat membru jista '""ma jiddependix, kontra individwi, min-nuqqas tiegħu stess li jwettaq l-obbligi li tinvolvi d-direttiva."" It-tieni, ċittadin jew kumpanija jistgħu jinvokaw direttiva, mhux biss f'tilwima ma 'awtorità pubbl"&amp;"ika, iżda f'tilwima ma' ċittadin jew kumpanija oħra. Allura, fis-CIA Security vs Signalson u Securitel Il-Qorti tal-Ġustizzja ddeċidiet li negozju msejjaħ CIA Securit Notifikat lill-Kummissjoni bħala Direttiva meħtieġa. It-tielet, jekk direttiva tagħti es"&amp;"pressjoni lil ""prinċipju ġenerali"" tal-liġi tal-UE, tista 'tiġi invokata bejn partijiet privati ​​mhux statali qabel l-iskadenza tagħha għall-implimentazzjoni. Dan isegwi minn Kücükdeveci vs Swedex GmbH &amp; Co KG fejn il-Kodiċi Ċivili Ġermaniż §622 iddikj"&amp;"ara li s-snin li n-nies ħadmu taħt l-età ta '25 sena ma jgħoddux lejn l-avviż statutorju dejjem jiżdied qabel it-tkeċċija. Is-Sinjura Kücükdeveci ħadmet għal 10 snin, mill-età ta '18 sa 28, għall-Swedex GmbH &amp; Co KG qabel it-tkeċċija tagħha. Hija sostniet"&amp;" li l-liġi li ma tgħoddx is-snin tagħha taħt l-età ta '25 sena kienet diskriminazzjoni illegali fl-età taħt id-Direttiva Qafas ta 'l-Ugwaljanza fl-Impjiegi. Il-Qorti tal-Ġustizzja ddeċidiet li d-direttiva tista 'tiġi invokata minnha minħabba li l-ugwaljan"&amp;"za kienet ukoll prinċipju ġenerali tal-liġi tal-UE. It-tielet, jekk l-imputat huwa emanazzjoni tal-istat, anke jekk mhux gvern ċentrali, xorta jista 'jkun marbut minn direttivi. Fil-Foster V British Gas Plc il-Qorti tal-Ġustizzja ddeċidiet li s-Sinjura Fo"&amp;"ster kellha dritt li ġġib talba ta 'diskriminazzjoni sesswali kontra min iħaddemha, British Gas Plc, li għamlet lin-nisa jirtiraw fl-età ta '60 sena u rġiel ta '65 sena, jekk (1) skond stat Miżura, (2) ipprovda servizz pubbliku, u (3) kellu poteri speċjal"&amp;"i. Dan jista 'jkun minnu wkoll jekk l-intrapriża tkun privatizzata, peress li kienet miżmuma ma' kumpanija tal-ilma li kienet responsabbli għall-provvista bażika tal-ilma.")</f>
        <v>L-ewwel, jekk l-iskadenza ta 'direttiva għall-implimentazzjoni ma tintlaħaqx, l-Istat Membru ma jistax jinforza liġijiet konfliġġenti, u ċittadin jista' jiddependi fuq id-direttiva f'tali azzjoni (hekk imsejjaħ effett dirett "vertikali"). Allura, fil-Pubblico Ministru v Ratti minħabba li l-gvern Taljan naqas milli jimplimenta direttiva 73/173 / KEE fuq l-imballaġġ u l-ittikkettjar tas-solventi sal-iskadenza, ġie estopped mill-infurzar ta 'liġi nazzjonali konfliġġenti mill-1963 kontra s-solvent tas-Sur Ratti u n-negozju tal-verniċ. Stat membru jista '"ma jiddependix, kontra individwi, min-nuqqas tiegħu stess li jwettaq l-obbligi li tinvolvi d-direttiva." It-tieni, ċittadin jew kumpanija jistgħu jinvokaw direttiva, mhux biss f'tilwima ma 'awtorità pubblika, iżda f'tilwima ma' ċittadin jew kumpanija oħra. Allura, fis-CIA Security vs Signalson u Securitel Il-Qorti tal-Ġustizzja ddeċidiet li negozju msejjaħ CIA Securit Notifikat lill-Kummissjoni bħala Direttiva meħtieġa. It-tielet, jekk direttiva tagħti espressjoni lil "prinċipju ġenerali" tal-liġi tal-UE, tista 'tiġi invokata bejn partijiet privati ​​mhux statali qabel l-iskadenza tagħha għall-implimentazzjoni. Dan isegwi minn Kücükdeveci vs Swedex GmbH &amp; Co KG fejn il-Kodiċi Ċivili Ġermaniż §622 iddikjara li s-snin li n-nies ħadmu taħt l-età ta '25 sena ma jgħoddux lejn l-avviż statutorju dejjem jiżdied qabel it-tkeċċija. Is-Sinjura Kücükdeveci ħadmet għal 10 snin, mill-età ta '18 sa 28, għall-Swedex GmbH &amp; Co KG qabel it-tkeċċija tagħha. Hija sostniet li l-liġi li ma tgħoddx is-snin tagħha taħt l-età ta '25 sena kienet diskriminazzjoni illegali fl-età taħt id-Direttiva Qafas ta 'l-Ugwaljanza fl-Impjiegi. Il-Qorti tal-Ġustizzja ddeċidiet li d-direttiva tista 'tiġi invokata minnha minħabba li l-ugwaljanza kienet ukoll prinċipju ġenerali tal-liġi tal-UE. It-tielet, jekk l-imputat huwa emanazzjoni tal-istat, anke jekk mhux gvern ċentrali, xorta jista 'jkun marbut minn direttivi. Fil-Foster V British Gas Plc il-Qorti tal-Ġustizzja ddeċidiet li s-Sinjura Foster kellha dritt li ġġib talba ta 'diskriminazzjoni sesswali kontra min iħaddemha, British Gas Plc, li għamlet lin-nisa jirtiraw fl-età ta '60 sena u rġiel ta '65 sena, jekk (1) skond stat Miżura, (2) ipprovda servizz pubbliku, u (3) kellu poteri speċjali. Dan jista 'jkun minnu wkoll jekk l-intrapriża tkun privatizzata, peress li kienet miżmuma ma' kumpanija tal-ilma li kienet responsabbli għall-provvista bażika tal-ilma.</v>
      </c>
    </row>
    <row r="13564" ht="15.75" customHeight="1">
      <c r="A13564" s="2" t="s">
        <v>13564</v>
      </c>
      <c r="B13564" s="2" t="str">
        <f>IFERROR(__xludf.DUMMYFUNCTION("GOOGLETRANSLATE(A13564, ""en"", ""mt"")"),"Kumitat tas-Senat tal-Istati Uniti dwar il-Kummerċ, ix-Xjenza u t-Trasport")</f>
        <v>Kumitat tas-Senat tal-Istati Uniti dwar il-Kummerċ, ix-Xjenza u t-Trasport</v>
      </c>
    </row>
    <row r="13565" ht="15.75" customHeight="1">
      <c r="A13565" s="2" t="s">
        <v>13565</v>
      </c>
      <c r="B13565" s="2" t="str">
        <f>IFERROR(__xludf.DUMMYFUNCTION("GOOGLETRANSLATE(A13565, ""en"", ""mt"")"),"jgħaddu s-sinjal tagħhom")</f>
        <v>jgħaddu s-sinjal tagħhom</v>
      </c>
    </row>
    <row r="13566" ht="15.75" customHeight="1">
      <c r="A13566" s="2" t="s">
        <v>13566</v>
      </c>
      <c r="B13566" s="2" t="str">
        <f>IFERROR(__xludf.DUMMYFUNCTION("GOOGLETRANSLATE(A13566, ""en"", ""mt"")"),"X’wiċċed it-triq għall-konfessjoni ta ’Augsburg?")</f>
        <v>X’wiċċed it-triq għall-konfessjoni ta ’Augsburg?</v>
      </c>
    </row>
    <row r="13567" ht="15.75" customHeight="1">
      <c r="A13567" s="2" t="s">
        <v>13567</v>
      </c>
      <c r="B13567" s="2" t="str">
        <f>IFERROR(__xludf.DUMMYFUNCTION("GOOGLETRANSLATE(A13567, ""en"", ""mt"")"),"F'liema tip ta 'molekuli jinstabu l-ossiġnu?")</f>
        <v>F'liema tip ta 'molekuli jinstabu l-ossiġnu?</v>
      </c>
    </row>
    <row r="13568" ht="15.75" customHeight="1">
      <c r="A13568" s="2" t="s">
        <v>13568</v>
      </c>
      <c r="B13568" s="2" t="str">
        <f>IFERROR(__xludf.DUMMYFUNCTION("GOOGLETRANSLATE(A13568, ""en"", ""mt"")"),"Edmonton, il-Kanada")</f>
        <v>Edmonton, il-Kanada</v>
      </c>
    </row>
    <row r="13569" ht="15.75" customHeight="1">
      <c r="A13569" s="2" t="s">
        <v>13569</v>
      </c>
      <c r="B13569" s="2" t="str">
        <f>IFERROR(__xludf.DUMMYFUNCTION("GOOGLETRANSLATE(A13569, ""en"", ""mt"")"),"Filamenti")</f>
        <v>Filamenti</v>
      </c>
    </row>
    <row r="13570" ht="15.75" customHeight="1">
      <c r="A13570" s="2" t="s">
        <v>13570</v>
      </c>
      <c r="B13570" s="2" t="str">
        <f>IFERROR(__xludf.DUMMYFUNCTION("GOOGLETRANSLATE(A13570, ""en"", ""mt"")"),"Matul il-Medju Evu, Newcastle kienet il-Fortizza tat-Tramuntana tal-Ingilterra. Inkorporata l-ewwel minn Henry II, il-belt kellha charter ġdid mogħtija minn Elizabeth fl-1589. Ħajt tal-ġebel għoli ta '25 pied (7.6 m) inbena madwar il-belt fis-seklu 13, bi"&amp;"ex jiddefendiha mill-invażuri matul il-gwerra tal-fruntiera kontra l-Iskozja - Ir-re Skoċċiż William l-iljun kien il-ħabs fi Newcastle fl-1174, u Edward jien ġab il-ġebla ta ’Scone u William Wallace South permezz tal-belt. Newcastle ġie ddefenda b'suċċess"&amp;" kontra l-Iskoċċiżi tliet darbiet matul is-seklu 14, u nħoloq korporattiva tal-kontea max-xeriff tagħha stess minn Henry IV fl-1400.")</f>
        <v>Matul il-Medju Evu, Newcastle kienet il-Fortizza tat-Tramuntana tal-Ingilterra. Inkorporata l-ewwel minn Henry II, il-belt kellha charter ġdid mogħtija minn Elizabeth fl-1589. Ħajt tal-ġebel għoli ta '25 pied (7.6 m) inbena madwar il-belt fis-seklu 13, biex jiddefendiha mill-invażuri matul il-gwerra tal-fruntiera kontra l-Iskozja - Ir-re Skoċċiż William l-iljun kien il-ħabs fi Newcastle fl-1174, u Edward jien ġab il-ġebla ta ’Scone u William Wallace South permezz tal-belt. Newcastle ġie ddefenda b'suċċess kontra l-Iskoċċiżi tliet darbiet matul is-seklu 14, u nħoloq korporattiva tal-kontea max-xeriff tagħha stess minn Henry IV fl-1400.</v>
      </c>
    </row>
    <row r="13571" ht="15.75" customHeight="1">
      <c r="A13571" s="2" t="s">
        <v>13571</v>
      </c>
      <c r="B13571" s="2" t="str">
        <f>IFERROR(__xludf.DUMMYFUNCTION("GOOGLETRANSLATE(A13571, ""en"", ""mt"")"),"Gilgamesh ta 'uruk u atilla l-hun")</f>
        <v>Gilgamesh ta 'uruk u atilla l-hun</v>
      </c>
    </row>
    <row r="13572" ht="15.75" customHeight="1">
      <c r="A13572" s="2" t="s">
        <v>13572</v>
      </c>
      <c r="B13572" s="2" t="str">
        <f>IFERROR(__xludf.DUMMYFUNCTION("GOOGLETRANSLATE(A13572, ""en"", ""mt"")"),"Radjazzjoni ultravjola li tħalli impatt fuq molekuli li fihom l-ossiġnu")</f>
        <v>Radjazzjoni ultravjola li tħalli impatt fuq molekuli li fihom l-ossiġnu</v>
      </c>
    </row>
    <row r="13573" ht="15.75" customHeight="1">
      <c r="A13573" s="2" t="s">
        <v>13573</v>
      </c>
      <c r="B13573" s="2" t="str">
        <f>IFERROR(__xludf.DUMMYFUNCTION("GOOGLETRANSLATE(A13573, ""en"", ""mt"")"),"Mohammad Iqbal kien x'tip ta 'missier għall-istat tal-Pakistan?")</f>
        <v>Mohammad Iqbal kien x'tip ta 'missier għall-istat tal-Pakistan?</v>
      </c>
    </row>
    <row r="13574" ht="15.75" customHeight="1">
      <c r="A13574" s="2" t="s">
        <v>13574</v>
      </c>
      <c r="B13574" s="2" t="str">
        <f>IFERROR(__xludf.DUMMYFUNCTION("GOOGLETRANSLATE(A13574, ""en"", ""mt"")"),"HARSHER")</f>
        <v>HARSHER</v>
      </c>
    </row>
    <row r="13575" ht="15.75" customHeight="1">
      <c r="A13575" s="2" t="s">
        <v>13575</v>
      </c>
      <c r="B13575" s="2" t="str">
        <f>IFERROR(__xludf.DUMMYFUNCTION("GOOGLETRANSLATE(A13575, ""en"", ""mt"")"),"Min ippreżenta lill-Mac lill-Parlament Skoċċiż meta kien inizjalment miftuħ?")</f>
        <v>Min ippreżenta lill-Mac lill-Parlament Skoċċiż meta kien inizjalment miftuħ?</v>
      </c>
    </row>
    <row r="13576" ht="15.75" customHeight="1">
      <c r="A13576" s="2" t="s">
        <v>13576</v>
      </c>
      <c r="B13576" s="2" t="str">
        <f>IFERROR(__xludf.DUMMYFUNCTION("GOOGLETRANSLATE(A13576, ""en"", ""mt"")"),"tikkastiga")</f>
        <v>tikkastiga</v>
      </c>
    </row>
    <row r="13577" ht="15.75" customHeight="1">
      <c r="A13577" s="2" t="s">
        <v>13577</v>
      </c>
      <c r="B13577" s="2" t="str">
        <f>IFERROR(__xludf.DUMMYFUNCTION("GOOGLETRANSLATE(A13577, ""en"", ""mt"")"),"Għal liema tip ta 'mużika kien it-tabib li qies pijunier?")</f>
        <v>Għal liema tip ta 'mużika kien it-tabib li qies pijunier?</v>
      </c>
    </row>
    <row r="13578" ht="15.75" customHeight="1">
      <c r="A13578" s="2" t="s">
        <v>13578</v>
      </c>
      <c r="B13578" s="2" t="str">
        <f>IFERROR(__xludf.DUMMYFUNCTION("GOOGLETRANSLATE(A13578, ""en"", ""mt"")"),"Liema kompiti ġodda jieħdu l-prodotti tal-proteina tal-ġeni trasferiti?")</f>
        <v>Liema kompiti ġodda jieħdu l-prodotti tal-proteina tal-ġeni trasferiti?</v>
      </c>
    </row>
    <row r="13579" ht="15.75" customHeight="1">
      <c r="A13579" s="2" t="s">
        <v>13579</v>
      </c>
      <c r="B13579" s="2" t="str">
        <f>IFERROR(__xludf.DUMMYFUNCTION("GOOGLETRANSLATE(A13579, ""en"", ""mt"")"),"X’beda fl-1527 meta Luther introduċa l-Ordni l-Ġdida tal-Qima?")</f>
        <v>X’beda fl-1527 meta Luther introduċa l-Ordni l-Ġdida tal-Qima?</v>
      </c>
    </row>
    <row r="13580" ht="15.75" customHeight="1">
      <c r="A13580" s="2" t="s">
        <v>13580</v>
      </c>
      <c r="B13580" s="2" t="str">
        <f>IFERROR(__xludf.DUMMYFUNCTION("GOOGLETRANSLATE(A13580, ""en"", ""mt"")"),"Seklu 20")</f>
        <v>Seklu 20</v>
      </c>
    </row>
    <row r="13581" ht="15.75" customHeight="1">
      <c r="A13581" s="2" t="s">
        <v>13581</v>
      </c>
      <c r="B13581" s="2" t="str">
        <f>IFERROR(__xludf.DUMMYFUNCTION("GOOGLETRANSLATE(A13581, ""en"", ""mt"")"),"Metodoloġija tar-rotta tal-messaġġi")</f>
        <v>Metodoloġija tar-rotta tal-messaġġi</v>
      </c>
    </row>
    <row r="13582" ht="15.75" customHeight="1">
      <c r="A13582" s="2" t="s">
        <v>13582</v>
      </c>
      <c r="B13582" s="2" t="str">
        <f>IFERROR(__xludf.DUMMYFUNCTION("GOOGLETRANSLATE(A13582, ""en"", ""mt"")"),"X'inhuma l-konsiderazzjonijiet ta 'Malum Projbitu?")</f>
        <v>X'inhuma l-konsiderazzjonijiet ta 'Malum Projbitu?</v>
      </c>
    </row>
    <row r="13583" ht="15.75" customHeight="1">
      <c r="A13583" s="2" t="s">
        <v>13583</v>
      </c>
      <c r="B13583" s="2" t="str">
        <f>IFERROR(__xludf.DUMMYFUNCTION("GOOGLETRANSLATE(A13583, ""en"", ""mt"")"),"X'inhu D-Loop?")</f>
        <v>X'inhu D-Loop?</v>
      </c>
    </row>
    <row r="13584" ht="15.75" customHeight="1">
      <c r="A13584" s="2" t="s">
        <v>13584</v>
      </c>
      <c r="B13584" s="2" t="str">
        <f>IFERROR(__xludf.DUMMYFUNCTION("GOOGLETRANSLATE(A13584, ""en"", ""mt"")"),"farinġi")</f>
        <v>farinġi</v>
      </c>
    </row>
    <row r="13585" ht="15.75" customHeight="1">
      <c r="A13585" s="2" t="s">
        <v>13585</v>
      </c>
      <c r="B13585" s="2" t="str">
        <f>IFERROR(__xludf.DUMMYFUNCTION("GOOGLETRANSLATE(A13585, ""en"", ""mt"")"),"Skritt Mongoljan tradizzjonali")</f>
        <v>Skritt Mongoljan tradizzjonali</v>
      </c>
    </row>
    <row r="13586" ht="15.75" customHeight="1">
      <c r="A13586" s="2" t="s">
        <v>13586</v>
      </c>
      <c r="B13586" s="2" t="str">
        <f>IFERROR(__xludf.DUMMYFUNCTION("GOOGLETRANSLATE(A13586, ""en"", ""mt"")"),"Fuq liema 3 affarijiet jaħdem fuq il-forza tal-ajru")</f>
        <v>Fuq liema 3 affarijiet jaħdem fuq il-forza tal-ajru</v>
      </c>
    </row>
    <row r="13587" ht="15.75" customHeight="1">
      <c r="A13587" s="2" t="s">
        <v>13587</v>
      </c>
      <c r="B13587" s="2" t="str">
        <f>IFERROR(__xludf.DUMMYFUNCTION("GOOGLETRANSLATE(A13587, ""en"", ""mt"")"),"(tip ta '""avvelenament mid-demm""")</f>
        <v>(tip ta '"avvelenament mid-demm"</v>
      </c>
    </row>
    <row r="13588" ht="15.75" customHeight="1">
      <c r="A13588" s="2" t="s">
        <v>13588</v>
      </c>
      <c r="B13588" s="2" t="str">
        <f>IFERROR(__xludf.DUMMYFUNCTION("GOOGLETRANSLATE(A13588, ""en"", ""mt"")"),"Liema daqs huma adulti ctenophora?")</f>
        <v>Liema daqs huma adulti ctenophora?</v>
      </c>
    </row>
    <row r="13589" ht="15.75" customHeight="1">
      <c r="A13589" s="2" t="s">
        <v>13589</v>
      </c>
      <c r="B13589" s="2" t="str">
        <f>IFERROR(__xludf.DUMMYFUNCTION("GOOGLETRANSLATE(A13589, ""en"", ""mt"")"),"Satelliti Pegasus,")</f>
        <v>Satelliti Pegasus,</v>
      </c>
    </row>
    <row r="13590" ht="15.75" customHeight="1">
      <c r="A13590" s="2" t="s">
        <v>13590</v>
      </c>
      <c r="B13590" s="2" t="str">
        <f>IFERROR(__xludf.DUMMYFUNCTION("GOOGLETRANSLATE(A13590, ""en"", ""mt"")"),"dial-up")</f>
        <v>dial-up</v>
      </c>
    </row>
    <row r="13591" ht="15.75" customHeight="1">
      <c r="A13591" s="2" t="s">
        <v>13591</v>
      </c>
      <c r="B13591" s="2" t="str">
        <f>IFERROR(__xludf.DUMMYFUNCTION("GOOGLETRANSLATE(A13591, ""en"", ""mt"")"),"Ikteb l-innijiet tas-salm")</f>
        <v>Ikteb l-innijiet tas-salm</v>
      </c>
    </row>
    <row r="13592" ht="15.75" customHeight="1">
      <c r="A13592" s="2" t="s">
        <v>13592</v>
      </c>
      <c r="B13592" s="2" t="str">
        <f>IFERROR(__xludf.DUMMYFUNCTION("GOOGLETRANSLATE(A13592, ""en"", ""mt"")"),"Kontrolli tal-prezzijiet")</f>
        <v>Kontrolli tal-prezzijiet</v>
      </c>
    </row>
    <row r="13593" ht="15.75" customHeight="1">
      <c r="A13593" s="2" t="s">
        <v>13593</v>
      </c>
      <c r="B13593" s="2" t="str">
        <f>IFERROR(__xludf.DUMMYFUNCTION("GOOGLETRANSLATE(A13593, ""en"", ""mt"")"),"kienu standards miftuħa bi speċifikazzjonijiet ippubblikati, u diversi implimentazzjonijiet ġew żviluppati barra minn DEC, inkluż wieħed għal Linux")</f>
        <v>kienu standards miftuħa bi speċifikazzjonijiet ippubblikati, u diversi implimentazzjonijiet ġew żviluppati barra minn DEC, inkluż wieħed għal Linux</v>
      </c>
    </row>
    <row r="13594" ht="15.75" customHeight="1">
      <c r="A13594" s="2" t="s">
        <v>13594</v>
      </c>
      <c r="B13594" s="2" t="str">
        <f>IFERROR(__xludf.DUMMYFUNCTION("GOOGLETRANSLATE(A13594, ""en"", ""mt"")"),"żoni kbar")</f>
        <v>żoni kbar</v>
      </c>
    </row>
    <row r="13595" ht="15.75" customHeight="1">
      <c r="A13595" s="2" t="s">
        <v>13595</v>
      </c>
      <c r="B13595" s="2" t="str">
        <f>IFERROR(__xludf.DUMMYFUNCTION("GOOGLETRANSLATE(A13595, ""en"", ""mt"")"),"Oċean Paċifiku")</f>
        <v>Oċean Paċifiku</v>
      </c>
    </row>
    <row r="13596" ht="15.75" customHeight="1">
      <c r="A13596" s="2" t="s">
        <v>13596</v>
      </c>
      <c r="B13596" s="2" t="str">
        <f>IFERROR(__xludf.DUMMYFUNCTION("GOOGLETRANSLATE(A13596, ""en"", ""mt"")"),"Rebellion Red Turban")</f>
        <v>Rebellion Red Turban</v>
      </c>
    </row>
    <row r="13597" ht="15.75" customHeight="1">
      <c r="A13597" s="2" t="s">
        <v>13597</v>
      </c>
      <c r="B13597" s="2" t="str">
        <f>IFERROR(__xludf.DUMMYFUNCTION("GOOGLETRANSLATE(A13597, ""en"", ""mt"")"),"il-probabbiltà ta 'ħsara")</f>
        <v>il-probabbiltà ta 'ħsara</v>
      </c>
    </row>
    <row r="13598" ht="15.75" customHeight="1">
      <c r="A13598" s="2" t="s">
        <v>13598</v>
      </c>
      <c r="B13598" s="2" t="str">
        <f>IFERROR(__xludf.DUMMYFUNCTION("GOOGLETRANSLATE(A13598, ""en"", ""mt"")"),"torqod fil-paċi")</f>
        <v>torqod fil-paċi</v>
      </c>
    </row>
    <row r="13599" ht="15.75" customHeight="1">
      <c r="A13599" s="2" t="s">
        <v>13599</v>
      </c>
      <c r="B13599" s="2" t="str">
        <f>IFERROR(__xludf.DUMMYFUNCTION("GOOGLETRANSLATE(A13599, ""en"", ""mt"")"),"inkapaċi għat-tagħlim")</f>
        <v>inkapaċi għat-tagħlim</v>
      </c>
    </row>
    <row r="13600" ht="15.75" customHeight="1">
      <c r="A13600" s="2" t="s">
        <v>13600</v>
      </c>
      <c r="B13600" s="2" t="str">
        <f>IFERROR(__xludf.DUMMYFUNCTION("GOOGLETRANSLATE(A13600, ""en"", ""mt"")"),"Kemm mili t-trab jivvjaġġa fuq l-Oċean Atlantiku?")</f>
        <v>Kemm mili t-trab jivvjaġġa fuq l-Oċean Atlantiku?</v>
      </c>
    </row>
    <row r="13601" ht="15.75" customHeight="1">
      <c r="A13601" s="2" t="s">
        <v>13601</v>
      </c>
      <c r="B13601" s="2" t="str">
        <f>IFERROR(__xludf.DUMMYFUNCTION("GOOGLETRANSLATE(A13601, ""en"", ""mt"")"),"Fil-medda bejn l-1980 u l-1990, x’tagħmlu d-domanda biex tikber?")</f>
        <v>Fil-medda bejn l-1980 u l-1990, x’tagħmlu d-domanda biex tikber?</v>
      </c>
    </row>
    <row r="13602" ht="15.75" customHeight="1">
      <c r="A13602" s="2" t="s">
        <v>13602</v>
      </c>
      <c r="B13602" s="2" t="str">
        <f>IFERROR(__xludf.DUMMYFUNCTION("GOOGLETRANSLATE(A13602, ""en"", ""mt"")"),"48 siegħa")</f>
        <v>48 siegħa</v>
      </c>
    </row>
    <row r="13603" ht="15.75" customHeight="1">
      <c r="A13603" s="2" t="s">
        <v>13603</v>
      </c>
      <c r="B13603" s="2" t="str">
        <f>IFERROR(__xludf.DUMMYFUNCTION("GOOGLETRANSLATE(A13603, ""en"", ""mt"")"),"Meta ġiet ikkanċellata l-għaqda bejn ITT u ABC?")</f>
        <v>Meta ġiet ikkanċellata l-għaqda bejn ITT u ABC?</v>
      </c>
    </row>
    <row r="13604" ht="15.75" customHeight="1">
      <c r="A13604" s="2" t="s">
        <v>13604</v>
      </c>
      <c r="B13604" s="2" t="str">
        <f>IFERROR(__xludf.DUMMYFUNCTION("GOOGLETRANSLATE(A13604, ""en"", ""mt"")"),"X'inhi kritika tal-ispiżeriji onlajn li joħorġu drogi mingħajr riċetta?")</f>
        <v>X'inhi kritika tal-ispiżeriji onlajn li joħorġu drogi mingħajr riċetta?</v>
      </c>
    </row>
    <row r="13605" ht="15.75" customHeight="1">
      <c r="A13605" s="2" t="s">
        <v>13605</v>
      </c>
      <c r="B13605" s="2" t="str">
        <f>IFERROR(__xludf.DUMMYFUNCTION("GOOGLETRANSLATE(A13605, ""en"", ""mt"")"),"għaxar snin")</f>
        <v>għaxar snin</v>
      </c>
    </row>
    <row r="13606" ht="15.75" customHeight="1">
      <c r="A13606" s="2" t="s">
        <v>13606</v>
      </c>
      <c r="B13606" s="2" t="str">
        <f>IFERROR(__xludf.DUMMYFUNCTION("GOOGLETRANSLATE(A13606, ""en"", ""mt"")"),"Mercedes-Benz Superdome ta 'New Orleans, Miami's Sun Life Stadium, u l-istadium Levi tal-Bajja ta' San Francisco Bay")</f>
        <v>Mercedes-Benz Superdome ta 'New Orleans, Miami's Sun Life Stadium, u l-istadium Levi tal-Bajja ta' San Francisco Bay</v>
      </c>
    </row>
    <row r="13607" ht="15.75" customHeight="1">
      <c r="A13607" s="2" t="s">
        <v>13607</v>
      </c>
      <c r="B13607" s="2" t="str">
        <f>IFERROR(__xludf.DUMMYFUNCTION("GOOGLETRANSLATE(A13607, ""en"", ""mt"")"),"Koordinazzjoni ta 'awturi ewlenin")</f>
        <v>Koordinazzjoni ta 'awturi ewlenin</v>
      </c>
    </row>
    <row r="13608" ht="15.75" customHeight="1">
      <c r="A13608" s="2" t="s">
        <v>13608</v>
      </c>
      <c r="B13608" s="2" t="str">
        <f>IFERROR(__xludf.DUMMYFUNCTION("GOOGLETRANSLATE(A13608, ""en"", ""mt"")"),"veloċitajiet tal-mewġ")</f>
        <v>veloċitajiet tal-mewġ</v>
      </c>
    </row>
    <row r="13609" ht="15.75" customHeight="1">
      <c r="A13609" s="2" t="s">
        <v>13609</v>
      </c>
      <c r="B13609" s="2" t="str">
        <f>IFERROR(__xludf.DUMMYFUNCTION("GOOGLETRANSLATE(A13609, ""en"", ""mt"")"),"Twaqqif ta 'Kummissjoni ta' Etika u Kontra l-Korruzzjoni ġdida u indipendenti")</f>
        <v>Twaqqif ta 'Kummissjoni ta' Etika u Kontra l-Korruzzjoni ġdida u indipendenti</v>
      </c>
    </row>
    <row r="13610" ht="15.75" customHeight="1">
      <c r="A13610" s="2" t="s">
        <v>13610</v>
      </c>
      <c r="B13610" s="2" t="str">
        <f>IFERROR(__xludf.DUMMYFUNCTION("GOOGLETRANSLATE(A13610, ""en"", ""mt"")"),"jekk hux se jagħmel iktar ħsara milli ġid.")</f>
        <v>jekk hux se jagħmel iktar ħsara milli ġid.</v>
      </c>
    </row>
    <row r="13611" ht="15.75" customHeight="1">
      <c r="A13611" s="2" t="s">
        <v>13611</v>
      </c>
      <c r="B13611" s="2" t="str">
        <f>IFERROR(__xludf.DUMMYFUNCTION("GOOGLETRANSLATE(A13611, ""en"", ""mt"")"),"Id-djalett ta ’Newcastle huwa magħruf bħala Geordie, u fih ammont kbir ta’ vokabularju u pronunzji distintivi tal-kelma li ma jintużawx f’partijiet oħra tar-Renju Unit. Id-djalett ta 'Geordie għandu ħafna mill-oriġini tiegħu fil-lingwa mitkellma mill-popo"&amp;"lazzjonijiet Anglo-Sassoni li emigraw u ħakmu ħafna mill-Ingilterra wara t-tmiem tal-ħakma imperjali Rumana. Din il-lingwa kienet il-prekursur tal-Ingliż modern; Iżda filwaqt li d-djaletti ta 'reġjuni Ingliżi oħra ġew mibdula ħafna mill-influwenzi ta' lin"&amp;"gwi barranin oħra - partikolarment il-Franċiż Latin u Norman - id-djalett ta 'Geordie jżomm ħafna elementi tal-lingwa l-qadima. Eżempju ta 'dan huwa l-pronunzja ta' ċerti kliem: ""mejta"", ""baqra"", ""dar"" u ""b'saħħitha"" huma ppronunzjati ""att"", ""c"&amp;"oo"", ""hoos"" u ""strang"" - li huma kif ġew ippronunzjati fil-lingwa Anglo-Sassona. Kliem oħra ta 'Geordie b'oriġini Anglo-Sassoni jinkludu: ""Larn"" (mill-Anglo-Sassonu ""Laeran"", li jfisser ""Tgħallem""), ""Burn"" (""Stream"") u ""Gan"" (""Go"").")</f>
        <v>Id-djalett ta ’Newcastle huwa magħruf bħala Geordie, u fih ammont kbir ta’ vokabularju u pronunzji distintivi tal-kelma li ma jintużawx f’partijiet oħra tar-Renju Unit. Id-djalett ta 'Geordie għandu ħafna mill-oriġini tiegħu fil-lingwa mitkellma mill-popolazzjonijiet Anglo-Sassoni li emigraw u ħakmu ħafna mill-Ingilterra wara t-tmiem tal-ħakma imperjali Rumana. Din il-lingwa kienet il-prekursur tal-Ingliż modern; Iżda filwaqt li d-djaletti ta 'reġjuni Ingliżi oħra ġew mibdula ħafna mill-influwenzi ta' lingwi barranin oħra - partikolarment il-Franċiż Latin u Norman - id-djalett ta 'Geordie jżomm ħafna elementi tal-lingwa l-qadima. Eżempju ta 'dan huwa l-pronunzja ta' ċerti kliem: "mejta", "baqra", "dar" u "b'saħħitha" huma ppronunzjati "att", "coo", "hoos" u "strang" - li huma kif ġew ippronunzjati fil-lingwa Anglo-Sassona. Kliem oħra ta 'Geordie b'oriġini Anglo-Sassoni jinkludu: "Larn" (mill-Anglo-Sassonu "Laeran", li jfisser "Tgħallem"), "Burn" ("Stream") u "Gan" ("Go").</v>
      </c>
    </row>
    <row r="13612" ht="15.75" customHeight="1">
      <c r="A13612" s="2" t="s">
        <v>13612</v>
      </c>
      <c r="B13612" s="2" t="str">
        <f>IFERROR(__xludf.DUMMYFUNCTION("GOOGLETRANSLATE(A13612, ""en"", ""mt"")"),"Islam kwietist / mhux politiku")</f>
        <v>Islam kwietist / mhux politiku</v>
      </c>
    </row>
    <row r="13613" ht="15.75" customHeight="1">
      <c r="A13613" s="2" t="s">
        <v>13613</v>
      </c>
      <c r="B13613" s="2" t="str">
        <f>IFERROR(__xludf.DUMMYFUNCTION("GOOGLETRANSLATE(A13613, ""en"", ""mt"")"),"Liema immaġni saret marbuta mat-tabib min?")</f>
        <v>Liema immaġni saret marbuta mat-tabib min?</v>
      </c>
    </row>
    <row r="13614" ht="15.75" customHeight="1">
      <c r="A13614" s="2" t="s">
        <v>13614</v>
      </c>
      <c r="B13614" s="2" t="str">
        <f>IFERROR(__xludf.DUMMYFUNCTION("GOOGLETRANSLATE(A13614, ""en"", ""mt"")"),"Wirjiet tal-Mużew")</f>
        <v>Wirjiet tal-Mużew</v>
      </c>
    </row>
    <row r="13615" ht="15.75" customHeight="1">
      <c r="A13615" s="2" t="s">
        <v>13615</v>
      </c>
      <c r="B13615" s="2" t="str">
        <f>IFERROR(__xludf.DUMMYFUNCTION("GOOGLETRANSLATE(A13615, ""en"", ""mt"")"),"Liema innu kiteb Luther wara l-martirju ta 'Esch u Voes?")</f>
        <v>Liema innu kiteb Luther wara l-martirju ta 'Esch u Voes?</v>
      </c>
    </row>
    <row r="13616" ht="15.75" customHeight="1">
      <c r="A13616" s="2" t="s">
        <v>13616</v>
      </c>
      <c r="B13616" s="2" t="str">
        <f>IFERROR(__xludf.DUMMYFUNCTION("GOOGLETRANSLATE(A13616, ""en"", ""mt"")"),"Mard li jista 'jiġi evitat bħall-malarja, l-HIV / AIDS, il-pnewmonja, id-dijarea u l-malnutrizzjoni")</f>
        <v>Mard li jista 'jiġi evitat bħall-malarja, l-HIV / AIDS, il-pnewmonja, id-dijarea u l-malnutrizzjoni</v>
      </c>
    </row>
    <row r="13617" ht="15.75" customHeight="1">
      <c r="A13617" s="2" t="s">
        <v>13617</v>
      </c>
      <c r="B13617" s="2" t="str">
        <f>IFERROR(__xludf.DUMMYFUNCTION("GOOGLETRANSLATE(A13617, ""en"", ""mt"")"),"L-Imperu Brittaniku")</f>
        <v>L-Imperu Brittaniku</v>
      </c>
    </row>
    <row r="13618" ht="15.75" customHeight="1">
      <c r="A13618" s="2" t="s">
        <v>13618</v>
      </c>
      <c r="B13618" s="2" t="str">
        <f>IFERROR(__xludf.DUMMYFUNCTION("GOOGLETRANSLATE(A13618, ""en"", ""mt"")"),"prinċipali")</f>
        <v>prinċipali</v>
      </c>
    </row>
    <row r="13619" ht="15.75" customHeight="1">
      <c r="A13619" s="2" t="s">
        <v>13619</v>
      </c>
      <c r="B13619" s="2" t="str">
        <f>IFERROR(__xludf.DUMMYFUNCTION("GOOGLETRANSLATE(A13619, ""en"", ""mt"")"),"L-Olanda")</f>
        <v>L-Olanda</v>
      </c>
    </row>
    <row r="13620" ht="15.75" customHeight="1">
      <c r="A13620" s="2" t="s">
        <v>13620</v>
      </c>
      <c r="B13620" s="2" t="str">
        <f>IFERROR(__xludf.DUMMYFUNCTION("GOOGLETRANSLATE(A13620, ""en"", ""mt"")"),"inugwaljanza dejjem tiżdied")</f>
        <v>inugwaljanza dejjem tiżdied</v>
      </c>
    </row>
    <row r="13621" ht="15.75" customHeight="1">
      <c r="A13621" s="2" t="s">
        <v>13621</v>
      </c>
      <c r="B13621" s="2" t="str">
        <f>IFERROR(__xludf.DUMMYFUNCTION("GOOGLETRANSLATE(A13621, ""en"", ""mt"")"),"Demokrazija")</f>
        <v>Demokrazija</v>
      </c>
    </row>
    <row r="13622" ht="15.75" customHeight="1">
      <c r="A13622" s="2" t="s">
        <v>13622</v>
      </c>
      <c r="B13622" s="2" t="str">
        <f>IFERROR(__xludf.DUMMYFUNCTION("GOOGLETRANSLATE(A13622, ""en"", ""mt"")"),"X'inhuma l-phycobilins?")</f>
        <v>X'inhuma l-phycobilins?</v>
      </c>
    </row>
    <row r="13623" ht="15.75" customHeight="1">
      <c r="A13623" s="2" t="s">
        <v>13623</v>
      </c>
      <c r="B13623" s="2" t="str">
        <f>IFERROR(__xludf.DUMMYFUNCTION("GOOGLETRANSLATE(A13623, ""en"", ""mt"")"),"Dawk li jirrifjutaw il-verifika")</f>
        <v>Dawk li jirrifjutaw il-verifika</v>
      </c>
    </row>
    <row r="13624" ht="15.75" customHeight="1">
      <c r="A13624" s="2" t="s">
        <v>13624</v>
      </c>
      <c r="B13624" s="2" t="str">
        <f>IFERROR(__xludf.DUMMYFUNCTION("GOOGLETRANSLATE(A13624, ""en"", ""mt"")"),"Il-logo mill-1973–80")</f>
        <v>Il-logo mill-1973–80</v>
      </c>
    </row>
    <row r="13625" ht="15.75" customHeight="1">
      <c r="A13625" s="2" t="s">
        <v>13625</v>
      </c>
      <c r="B13625" s="2" t="str">
        <f>IFERROR(__xludf.DUMMYFUNCTION("GOOGLETRANSLATE(A13625, ""en"", ""mt"")"),"F'liema parti li fiha l-korp tal-kalċju huwa parti?")</f>
        <v>F'liema parti li fiha l-korp tal-kalċju huwa parti?</v>
      </c>
    </row>
    <row r="13626" ht="15.75" customHeight="1">
      <c r="A13626" s="2" t="s">
        <v>13626</v>
      </c>
      <c r="B13626" s="2" t="str">
        <f>IFERROR(__xludf.DUMMYFUNCTION("GOOGLETRANSLATE(A13626, ""en"", ""mt"")"),"Min kienu tnejn mill-konsulenti Ċiniżi ta 'Kublai?")</f>
        <v>Min kienu tnejn mill-konsulenti Ċiniżi ta 'Kublai?</v>
      </c>
    </row>
    <row r="13627" ht="15.75" customHeight="1">
      <c r="A13627" s="2" t="s">
        <v>13627</v>
      </c>
      <c r="B13627" s="2" t="str">
        <f>IFERROR(__xludf.DUMMYFUNCTION("GOOGLETRANSLATE(A13627, ""en"", ""mt"")"),"Fondazzjoni elettronika tal-fruntiera")</f>
        <v>Fondazzjoni elettronika tal-fruntiera</v>
      </c>
    </row>
    <row r="13628" ht="15.75" customHeight="1">
      <c r="A13628" s="2" t="s">
        <v>13628</v>
      </c>
      <c r="B13628" s="2" t="str">
        <f>IFERROR(__xludf.DUMMYFUNCTION("GOOGLETRANSLATE(A13628, ""en"", ""mt"")"),"Edukattiv")</f>
        <v>Edukattiv</v>
      </c>
    </row>
    <row r="13629" ht="15.75" customHeight="1">
      <c r="A13629" s="2" t="s">
        <v>13629</v>
      </c>
      <c r="B13629" s="2" t="str">
        <f>IFERROR(__xludf.DUMMYFUNCTION("GOOGLETRANSLATE(A13629, ""en"", ""mt"")"),"Meta jseħħu l-plastoglobuli fi gruppi marbuta?")</f>
        <v>Meta jseħħu l-plastoglobuli fi gruppi marbuta?</v>
      </c>
    </row>
    <row r="13630" ht="15.75" customHeight="1">
      <c r="A13630" s="2" t="s">
        <v>13630</v>
      </c>
      <c r="B13630" s="2" t="str">
        <f>IFERROR(__xludf.DUMMYFUNCTION("GOOGLETRANSLATE(A13630, ""en"", ""mt"")"),"Min jista 'jibdel id-data sa xahar, fuq il-proposta tal-PO?")</f>
        <v>Min jista 'jibdel id-data sa xahar, fuq il-proposta tal-PO?</v>
      </c>
    </row>
    <row r="13631" ht="15.75" customHeight="1">
      <c r="A13631" s="2" t="s">
        <v>13631</v>
      </c>
      <c r="B13631" s="2" t="str">
        <f>IFERROR(__xludf.DUMMYFUNCTION("GOOGLETRANSLATE(A13631, ""en"", ""mt"")"),"In-naħa tal-punent ta 'Fresno hija ċ-ċentru ta' liema komunità etnika?")</f>
        <v>In-naħa tal-punent ta 'Fresno hija ċ-ċentru ta' liema komunità etnika?</v>
      </c>
    </row>
    <row r="13632" ht="15.75" customHeight="1">
      <c r="A13632" s="2" t="s">
        <v>13632</v>
      </c>
      <c r="B13632" s="2" t="str">
        <f>IFERROR(__xludf.DUMMYFUNCTION("GOOGLETRANSLATE(A13632, ""en"", ""mt"")"),"X'inhi l-eqdem tapizzerija Ewropea li tibqa 'ħajja fil-kollezzjoni V &amp; A?")</f>
        <v>X'inhi l-eqdem tapizzerija Ewropea li tibqa 'ħajja fil-kollezzjoni V &amp; A?</v>
      </c>
    </row>
    <row r="13633" ht="15.75" customHeight="1">
      <c r="A13633" s="2" t="s">
        <v>13633</v>
      </c>
      <c r="B13633" s="2" t="str">
        <f>IFERROR(__xludf.DUMMYFUNCTION("GOOGLETRANSLATE(A13633, ""en"", ""mt"")"),"Rebeljoni Ċivili")</f>
        <v>Rebeljoni Ċivili</v>
      </c>
    </row>
    <row r="13634" ht="15.75" customHeight="1">
      <c r="A13634" s="2" t="s">
        <v>13634</v>
      </c>
      <c r="B13634" s="2" t="str">
        <f>IFERROR(__xludf.DUMMYFUNCTION("GOOGLETRANSLATE(A13634, ""en"", ""mt"")"),"Liema direzzjoni r-Rumani użaw biex jinżlu permezz tar-Renu?")</f>
        <v>Liema direzzjoni r-Rumani użaw biex jinżlu permezz tar-Renu?</v>
      </c>
    </row>
    <row r="13635" ht="15.75" customHeight="1">
      <c r="A13635" s="2" t="s">
        <v>13635</v>
      </c>
      <c r="B13635" s="2" t="str">
        <f>IFERROR(__xludf.DUMMYFUNCTION("GOOGLETRANSLATE(A13635, ""en"", ""mt"")"),"Liema parti tar-Rhine tgħaddi minn North Rhine-Westphalia?")</f>
        <v>Liema parti tar-Rhine tgħaddi minn North Rhine-Westphalia?</v>
      </c>
    </row>
    <row r="13636" ht="15.75" customHeight="1">
      <c r="A13636" s="2" t="s">
        <v>13636</v>
      </c>
      <c r="B13636" s="2" t="str">
        <f>IFERROR(__xludf.DUMMYFUNCTION("GOOGLETRANSLATE(A13636, ""en"", ""mt"")"),"innifsu u mhux innifsu")</f>
        <v>innifsu u mhux innifsu</v>
      </c>
    </row>
    <row r="13637" ht="15.75" customHeight="1">
      <c r="A13637" s="2" t="s">
        <v>13637</v>
      </c>
      <c r="B13637" s="2" t="str">
        <f>IFERROR(__xludf.DUMMYFUNCTION("GOOGLETRANSLATE(A13637, ""en"", ""mt"")"),"permezz tal-fidi")</f>
        <v>permezz tal-fidi</v>
      </c>
    </row>
    <row r="13638" ht="15.75" customHeight="1">
      <c r="A13638" s="2" t="s">
        <v>13638</v>
      </c>
      <c r="B13638" s="2" t="str">
        <f>IFERROR(__xludf.DUMMYFUNCTION("GOOGLETRANSLATE(A13638, ""en"", ""mt"")"),"Politika ta 'importazzjoni maqbudin")</f>
        <v>Politika ta 'importazzjoni maqbudin</v>
      </c>
    </row>
    <row r="13639" ht="15.75" customHeight="1">
      <c r="A13639" s="2" t="s">
        <v>13639</v>
      </c>
      <c r="B13639" s="2" t="str">
        <f>IFERROR(__xludf.DUMMYFUNCTION("GOOGLETRANSLATE(A13639, ""en"", ""mt"")"),"ħabi Lhudi")</f>
        <v>ħabi Lhudi</v>
      </c>
    </row>
    <row r="13640" ht="15.75" customHeight="1">
      <c r="A13640" s="2" t="s">
        <v>13640</v>
      </c>
      <c r="B13640" s="2" t="str">
        <f>IFERROR(__xludf.DUMMYFUNCTION("GOOGLETRANSLATE(A13640, ""en"", ""mt"")"),"X'inhi l-petroloġija?")</f>
        <v>X'inhi l-petroloġija?</v>
      </c>
    </row>
    <row r="13641" ht="15.75" customHeight="1">
      <c r="A13641" s="2" t="s">
        <v>13641</v>
      </c>
      <c r="B13641" s="2" t="str">
        <f>IFERROR(__xludf.DUMMYFUNCTION("GOOGLETRANSLATE(A13641, ""en"", ""mt"")"),"ħutu tiegħu")</f>
        <v>ħutu tiegħu</v>
      </c>
    </row>
    <row r="13642" ht="15.75" customHeight="1">
      <c r="A13642" s="2" t="s">
        <v>13642</v>
      </c>
      <c r="B13642" s="2" t="str">
        <f>IFERROR(__xludf.DUMMYFUNCTION("GOOGLETRANSLATE(A13642, ""en"", ""mt"")"),"Dak iż-żmien, pajjiżi bħal Spanja ma kellhomx reat kontra xiex?")</f>
        <v>Dak iż-żmien, pajjiżi bħal Spanja ma kellhomx reat kontra xiex?</v>
      </c>
    </row>
    <row r="13643" ht="15.75" customHeight="1">
      <c r="A13643" s="2" t="s">
        <v>13643</v>
      </c>
      <c r="B13643" s="2" t="str">
        <f>IFERROR(__xludf.DUMMYFUNCTION("GOOGLETRANSLATE(A13643, ""en"", ""mt"")"),"Dawn l-istudji ġew ippreżentati b'mod wiesa 'bħala li juru li l-perjodu ta' tisħin attwali huwa eċċezzjonali meta mqabbel ma 'temperaturi bejn 1000 u 1900, u l-graff ibbażat fuq MBH99 jidher fil-pubbliċità. Anke fl-abbozz tal-palk, din is-sejba ġiet ikkon"&amp;"testata mill-kontrarji: f'Mejju 2000 il-Proġett tal-Politika tax-Xjenza u l-Ambjent ta 'Fred Singer kellu avveniment għall-istampa fuq Capitol Hill, Washington, D.C., li fih kummenti dwar il-graff Wibjörn Karlén u Singer argumentaw kontra l-graff Kumitat "&amp;"tas-Senat tal-Istati Uniti dwar is-Smigħ tal-Kummerċ, ix-Xjenza u t-Trasport fit-18 ta 'Lulju 2000. Il-Kontrarju John Lawrence Daly deher verżjoni modifikata tal-IPCC 1990, li huwa identifika ħażin bħala li jidher fir-rapport tal-IPCC 1995, u argumenta li"&amp;" ""qalbu tiegħu Veduta preċedenti fir-rapport tal-1995, l-IPCC ippreżenta l- ""hockey stick"" bħala l-ortodossija l-ġdida li ma tantx tkun apoloġija jew spjegazzjoni għall-U-turn f'daqqa mir-rapport tal-1995 tiegħu "". Il-kritika tar-rikostruzzjoni MBH99 "&amp;"f'karta ta 'reviżjoni, li ġiet skreditata malajr fil-kontroversja dalwaqt u ta' Baliunas, inqabdet mill-amministrazzjoni ta 'Bush, u diskors tas-Senat mis-Senatur Repubblikan Amerikan James Inhofe allega li ""t-tisħin globali magħmul mill-bniedem huwa l-a"&amp;"kbar ingann li qatt kien hemm imwettqa fuq il-poplu Amerikan "". Id-dejta u l-metodoloġija użata biex tipproduċi l- ""Hockey Stick Graph"" ġiet ikkritikata f'karti minn Stephen McIntyre u Ross McKitrick, u mbagħad il-kritika f'dawn il-karti ġew eżaminati "&amp;"minn studji oħra u rifjutati b'mod komprensiv minn Wahl &amp; Ammann 2007, li wrew żbalji fi Il-metodi użati minn McIntyre u McKitrick.")</f>
        <v>Dawn l-istudji ġew ippreżentati b'mod wiesa 'bħala li juru li l-perjodu ta' tisħin attwali huwa eċċezzjonali meta mqabbel ma 'temperaturi bejn 1000 u 1900, u l-graff ibbażat fuq MBH99 jidher fil-pubbliċità. Anke fl-abbozz tal-palk, din is-sejba ġiet ikkontestata mill-kontrarji: f'Mejju 2000 il-Proġett tal-Politika tax-Xjenza u l-Ambjent ta 'Fred Singer kellu avveniment għall-istampa fuq Capitol Hill, Washington, D.C., li fih kummenti dwar il-graff Wibjörn Karlén u Singer argumentaw kontra l-graff Kumitat tas-Senat tal-Istati Uniti dwar is-Smigħ tal-Kummerċ, ix-Xjenza u t-Trasport fit-18 ta 'Lulju 2000. Il-Kontrarju John Lawrence Daly deher verżjoni modifikata tal-IPCC 1990, li huwa identifika ħażin bħala li jidher fir-rapport tal-IPCC 1995, u argumenta li "qalbu tiegħu Veduta preċedenti fir-rapport tal-1995, l-IPCC ippreżenta l- "hockey stick" bħala l-ortodossija l-ġdida li ma tantx tkun apoloġija jew spjegazzjoni għall-U-turn f'daqqa mir-rapport tal-1995 tiegħu ". Il-kritika tar-rikostruzzjoni MBH99 f'karta ta 'reviżjoni, li ġiet skreditata malajr fil-kontroversja dalwaqt u ta' Baliunas, inqabdet mill-amministrazzjoni ta 'Bush, u diskors tas-Senat mis-Senatur Repubblikan Amerikan James Inhofe allega li "t-tisħin globali magħmul mill-bniedem huwa l-akbar ingann li qatt kien hemm imwettqa fuq il-poplu Amerikan ". Id-dejta u l-metodoloġija użata biex tipproduċi l- "Hockey Stick Graph" ġiet ikkritikata f'karti minn Stephen McIntyre u Ross McKitrick, u mbagħad il-kritika f'dawn il-karti ġew eżaminati minn studji oħra u rifjutati b'mod komprensiv minn Wahl &amp; Ammann 2007, li wrew żbalji fi Il-metodi użati minn McIntyre u McKitrick.</v>
      </c>
    </row>
    <row r="13644" ht="15.75" customHeight="1">
      <c r="A13644" s="2" t="s">
        <v>13644</v>
      </c>
      <c r="B13644" s="2" t="str">
        <f>IFERROR(__xludf.DUMMYFUNCTION("GOOGLETRANSLATE(A13644, ""en"", ""mt"")"),"Luther kif wera t-Trinità fil-katekiżmi tiegħu?")</f>
        <v>Luther kif wera t-Trinità fil-katekiżmi tiegħu?</v>
      </c>
    </row>
    <row r="13645" ht="15.75" customHeight="1">
      <c r="A13645" s="2" t="s">
        <v>13645</v>
      </c>
      <c r="B13645" s="2" t="str">
        <f>IFERROR(__xludf.DUMMYFUNCTION("GOOGLETRANSLATE(A13645, ""en"", ""mt"")"),"Operazzjonijiet orjentati lejn il-konnessjoni")</f>
        <v>Operazzjonijiet orjentati lejn il-konnessjoni</v>
      </c>
    </row>
    <row r="13646" ht="15.75" customHeight="1">
      <c r="A13646" s="2" t="s">
        <v>13646</v>
      </c>
      <c r="B13646" s="2" t="str">
        <f>IFERROR(__xludf.DUMMYFUNCTION("GOOGLETRANSLATE(A13646, ""en"", ""mt"")"),"inqas lest li jivvjaġġa jew jirriloka")</f>
        <v>inqas lest li jivvjaġġa jew jirriloka</v>
      </c>
    </row>
    <row r="13647" ht="15.75" customHeight="1">
      <c r="A13647" s="2" t="s">
        <v>13647</v>
      </c>
      <c r="B13647" s="2" t="str">
        <f>IFERROR(__xludf.DUMMYFUNCTION("GOOGLETRANSLATE(A13647, ""en"", ""mt"")"),"Liema organizzazzjoni tmexxi l-iskejjel pubbliċi fir-Rabat?")</f>
        <v>Liema organizzazzjoni tmexxi l-iskejjel pubbliċi fir-Rabat?</v>
      </c>
    </row>
    <row r="13648" ht="15.75" customHeight="1">
      <c r="A13648" s="2" t="s">
        <v>13648</v>
      </c>
      <c r="B13648" s="2" t="str">
        <f>IFERROR(__xludf.DUMMYFUNCTION("GOOGLETRANSLATE(A13648, ""en"", ""mt"")"),"Wara l-konkwista ta 'Dali fl-1253, l-ex-dinastija Duan li kienet inħatret bħala Gvernaturi Ġenerali, rikonoxxuti bħala uffiċjali imperjali mill-gvernijiet tal-era Yuan, Ming, u Qing, prinċipalment fil-provinċja ta' Yunnan. Is-suċċessjoni għad-dinastija Yu"&amp;"an, madankollu, kienet problema intrattabbli, aktar tard li kkawżat ħafna konflitti u ġlieda interna. Dan ħareġ kmieni mit-tmiem tar-renju ta 'Kublai. Kublai oriġinarjament semma lit-tifel il-kbir tiegħu, Zhenjin, bħala l-Prinċep tal-Kuruna, iżda miet qud"&amp;"diem Kublai fl-1285. Għalhekk, it-tielet iben ta 'Zhenjin, bl-appoġġ ta' ommu Kökejin u l-Ministru Bayan, irnexxielu t-tron u ddeċieda bħala Temür Khan, jew L-Imperatur Chengzong, mill-1294 sal-1307. Temür Khan iddeċieda li jżomm u jkompli ħafna mix-xogħo"&amp;"l li beda minn nannuh. Huwa għamel ukoll il-paċi mal-Khanates tal-Mongolja tal-Punent kif ukoll ma 'pajjiżi ġirien bħall-Vjetnam, li rrikonoxxew is-suzerainty nominali tiegħu u għamlu tributi għal ftit għexieren ta' snin. Madankollu, il-korruzzjoni fid-di"&amp;"nastija Yuan bdiet matul ir-renju ta 'Temür Khan.")</f>
        <v>Wara l-konkwista ta 'Dali fl-1253, l-ex-dinastija Duan li kienet inħatret bħala Gvernaturi Ġenerali, rikonoxxuti bħala uffiċjali imperjali mill-gvernijiet tal-era Yuan, Ming, u Qing, prinċipalment fil-provinċja ta' Yunnan. Is-suċċessjoni għad-dinastija Yuan, madankollu, kienet problema intrattabbli, aktar tard li kkawżat ħafna konflitti u ġlieda interna. Dan ħareġ kmieni mit-tmiem tar-renju ta 'Kublai. Kublai oriġinarjament semma lit-tifel il-kbir tiegħu, Zhenjin, bħala l-Prinċep tal-Kuruna, iżda miet quddiem Kublai fl-1285. Għalhekk, it-tielet iben ta 'Zhenjin, bl-appoġġ ta' ommu Kökejin u l-Ministru Bayan, irnexxielu t-tron u ddeċieda bħala Temür Khan, jew L-Imperatur Chengzong, mill-1294 sal-1307. Temür Khan iddeċieda li jżomm u jkompli ħafna mix-xogħol li beda minn nannuh. Huwa għamel ukoll il-paċi mal-Khanates tal-Mongolja tal-Punent kif ukoll ma 'pajjiżi ġirien bħall-Vjetnam, li rrikonoxxew is-suzerainty nominali tiegħu u għamlu tributi għal ftit għexieren ta' snin. Madankollu, il-korruzzjoni fid-dinastija Yuan bdiet matul ir-renju ta 'Temür Khan.</v>
      </c>
    </row>
    <row r="13649" ht="15.75" customHeight="1">
      <c r="A13649" s="2" t="s">
        <v>13649</v>
      </c>
      <c r="B13649" s="2" t="str">
        <f>IFERROR(__xludf.DUMMYFUNCTION("GOOGLETRANSLATE(A13649, ""en"", ""mt"")"),"Għaliex l-operazzjoni Ingliża naqset fl-1755, 56, 57?")</f>
        <v>Għaliex l-operazzjoni Ingliża naqset fl-1755, 56, 57?</v>
      </c>
    </row>
    <row r="13650" ht="15.75" customHeight="1">
      <c r="A13650" s="2" t="s">
        <v>13650</v>
      </c>
      <c r="B13650" s="2" t="str">
        <f>IFERROR(__xludf.DUMMYFUNCTION("GOOGLETRANSLATE(A13650, ""en"", ""mt"")"),"100-150 speċi")</f>
        <v>100-150 speċi</v>
      </c>
    </row>
    <row r="13651" ht="15.75" customHeight="1">
      <c r="A13651" s="2" t="s">
        <v>13651</v>
      </c>
      <c r="B13651" s="2" t="str">
        <f>IFERROR(__xludf.DUMMYFUNCTION("GOOGLETRANSLATE(A13651, ""en"", ""mt"")"),"X'tagħmel il-fosforilazzjoni ossidattiva?")</f>
        <v>X'tagħmel il-fosforilazzjoni ossidattiva?</v>
      </c>
    </row>
    <row r="13652" ht="15.75" customHeight="1">
      <c r="A13652" s="2" t="s">
        <v>13652</v>
      </c>
      <c r="B13652" s="2" t="str">
        <f>IFERROR(__xludf.DUMMYFUNCTION("GOOGLETRANSLATE(A13652, ""en"", ""mt"")"),"l-ammont ta 'ħin li għalih huma permessi jitkellmu")</f>
        <v>l-ammont ta 'ħin li għalih huma permessi jitkellmu</v>
      </c>
    </row>
    <row r="13653" ht="15.75" customHeight="1">
      <c r="A13653" s="2" t="s">
        <v>13653</v>
      </c>
      <c r="B13653" s="2" t="str">
        <f>IFERROR(__xludf.DUMMYFUNCTION("GOOGLETRANSLATE(A13653, ""en"", ""mt"")"),"X'kienet il-gwerra ta 'seba' snin?")</f>
        <v>X'kienet il-gwerra ta 'seba' snin?</v>
      </c>
    </row>
    <row r="13654" ht="15.75" customHeight="1">
      <c r="A13654" s="2" t="s">
        <v>13654</v>
      </c>
      <c r="B13654" s="2" t="str">
        <f>IFERROR(__xludf.DUMMYFUNCTION("GOOGLETRANSLATE(A13654, ""en"", ""mt"")"),"Min għamel lil Ralph Earl?")</f>
        <v>Min għamel lil Ralph Earl?</v>
      </c>
    </row>
    <row r="13655" ht="15.75" customHeight="1">
      <c r="A13655" s="2" t="s">
        <v>13655</v>
      </c>
      <c r="B13655" s="2" t="str">
        <f>IFERROR(__xludf.DUMMYFUNCTION("GOOGLETRANSLATE(A13655, ""en"", ""mt"")"),"mergħa għall-baqar")</f>
        <v>mergħa għall-baqar</v>
      </c>
    </row>
    <row r="13656" ht="15.75" customHeight="1">
      <c r="A13656" s="2" t="s">
        <v>13656</v>
      </c>
      <c r="B13656" s="2" t="str">
        <f>IFERROR(__xludf.DUMMYFUNCTION("GOOGLETRANSLATE(A13656, ""en"", ""mt"")"),"Meta patoġen jittiekel minn fagoċita jinqabad f'liema vesicle?")</f>
        <v>Meta patoġen jittiekel minn fagoċita jinqabad f'liema vesicle?</v>
      </c>
    </row>
    <row r="13657" ht="15.75" customHeight="1">
      <c r="A13657" s="2" t="s">
        <v>13657</v>
      </c>
      <c r="B13657" s="2" t="str">
        <f>IFERROR(__xludf.DUMMYFUNCTION("GOOGLETRANSLATE(A13657, ""en"", ""mt"")"),"F'liema gruppi ta 'żewġ gruppi titnaqqas is-saħħa tas-sistema immunitarja?")</f>
        <v>F'liema gruppi ta 'żewġ gruppi titnaqqas is-saħħa tas-sistema immunitarja?</v>
      </c>
    </row>
    <row r="13658" ht="15.75" customHeight="1">
      <c r="A13658" s="2" t="s">
        <v>13658</v>
      </c>
      <c r="B13658" s="2" t="str">
        <f>IFERROR(__xludf.DUMMYFUNCTION("GOOGLETRANSLATE(A13658, ""en"", ""mt"")"),"Kostruzzjoni residenzjali tista 'tiġġenera dak li mhux ippjanat bir-reqqa?")</f>
        <v>Kostruzzjoni residenzjali tista 'tiġġenera dak li mhux ippjanat bir-reqqa?</v>
      </c>
    </row>
    <row r="13659" ht="15.75" customHeight="1">
      <c r="A13659" s="2" t="s">
        <v>13659</v>
      </c>
      <c r="B13659" s="2" t="str">
        <f>IFERROR(__xludf.DUMMYFUNCTION("GOOGLETRANSLATE(A13659, ""en"", ""mt"")"),"Liema organizzazzjonijiet l-aktar komunement jaqsmu u jippromwovu l-istat?")</f>
        <v>Liema organizzazzjonijiet l-aktar komunement jaqsmu u jippromwovu l-istat?</v>
      </c>
    </row>
    <row r="13660" ht="15.75" customHeight="1">
      <c r="A13660" s="2" t="s">
        <v>13660</v>
      </c>
      <c r="B13660" s="2" t="str">
        <f>IFERROR(__xludf.DUMMYFUNCTION("GOOGLETRANSLATE(A13660, ""en"", ""mt"")"),"Liema problema ta 'l-għeruq tista' tikkawża akkumulazzjoni tal-lamtu?")</f>
        <v>Liema problema ta 'l-għeruq tista' tikkawża akkumulazzjoni tal-lamtu?</v>
      </c>
    </row>
    <row r="13661" ht="15.75" customHeight="1">
      <c r="A13661" s="2" t="s">
        <v>13661</v>
      </c>
      <c r="B13661" s="2" t="str">
        <f>IFERROR(__xludf.DUMMYFUNCTION("GOOGLETRANSLATE(A13661, ""en"", ""mt"")"),"515 miljun sena")</f>
        <v>515 miljun sena</v>
      </c>
    </row>
    <row r="13662" ht="15.75" customHeight="1">
      <c r="A13662" s="2" t="s">
        <v>13662</v>
      </c>
      <c r="B13662" s="2" t="str">
        <f>IFERROR(__xludf.DUMMYFUNCTION("GOOGLETRANSLATE(A13662, ""en"", ""mt"")"),"Subtropikali umda")</f>
        <v>Subtropikali umda</v>
      </c>
    </row>
    <row r="13663" ht="15.75" customHeight="1">
      <c r="A13663" s="2" t="s">
        <v>13663</v>
      </c>
      <c r="B13663" s="2" t="str">
        <f>IFERROR(__xludf.DUMMYFUNCTION("GOOGLETRANSLATE(A13663, ""en"", ""mt"")"),"Ma 'min għexu l-Keelmen f'komunità stretta tal-kavallier fil-lvant ta' Newcastle?")</f>
        <v>Ma 'min għexu l-Keelmen f'komunità stretta tal-kavallier fil-lvant ta' Newcastle?</v>
      </c>
    </row>
    <row r="13664" ht="15.75" customHeight="1">
      <c r="A13664" s="2" t="s">
        <v>13664</v>
      </c>
      <c r="B13664" s="2" t="str">
        <f>IFERROR(__xludf.DUMMYFUNCTION("GOOGLETRANSLATE(A13664, ""en"", ""mt"")"),"Perspettiva Iżlamika qawwija")</f>
        <v>Perspettiva Iżlamika qawwija</v>
      </c>
    </row>
    <row r="13665" ht="15.75" customHeight="1">
      <c r="A13665" s="2" t="s">
        <v>13665</v>
      </c>
      <c r="B13665" s="2" t="str">
        <f>IFERROR(__xludf.DUMMYFUNCTION("GOOGLETRANSLATE(A13665, ""en"", ""mt"")"),"Fil-laboratorju, l-istratigrafiji janalizzaw kampjuni ta 'sezzjonijiet stratigrafiċi li jistgħu jintbagħtu lura mill-qasam, bħal dawk minn qlub tat-tħaffir. Stratigraphers janalizzaw ukoll dejta minn stħarriġ ġeofiżiku li juru l-postijiet ta 'unitajiet st"&amp;"ratigrafiċi fis-sub-wiċċ. Dejta ġeofiżika u zkuk tal-bir jistgħu jiġu kkombinati biex jipproduċu veduta aħjar tas-sub-wiċċ, u l-istratigrafiċi spiss jużaw programmi tal-kompjuter biex jagħmlu dan fi tliet dimensjonijiet. Stratigraphers jistgħu mbagħad już"&amp;"aw din id-dejta biex jibnu mill-ġdid proċessi antiki li jseħħu fuq il-wiċċ tad-dinja, jinterpretaw ambjenti tal-passat, u jsibu żoni għall-ilma, il-faħam u l-estrazzjoni tal-idrokarburi.")</f>
        <v>Fil-laboratorju, l-istratigrafiji janalizzaw kampjuni ta 'sezzjonijiet stratigrafiċi li jistgħu jintbagħtu lura mill-qasam, bħal dawk minn qlub tat-tħaffir. Stratigraphers janalizzaw ukoll dejta minn stħarriġ ġeofiżiku li juru l-postijiet ta 'unitajiet stratigrafiċi fis-sub-wiċċ. Dejta ġeofiżika u zkuk tal-bir jistgħu jiġu kkombinati biex jipproduċu veduta aħjar tas-sub-wiċċ, u l-istratigrafiċi spiss jużaw programmi tal-kompjuter biex jagħmlu dan fi tliet dimensjonijiet. Stratigraphers jistgħu mbagħad jużaw din id-dejta biex jibnu mill-ġdid proċessi antiki li jseħħu fuq il-wiċċ tad-dinja, jinterpretaw ambjenti tal-passat, u jsibu żoni għall-ilma, il-faħam u l-estrazzjoni tal-idrokarburi.</v>
      </c>
    </row>
    <row r="13666" ht="15.75" customHeight="1">
      <c r="A13666" s="2" t="s">
        <v>13666</v>
      </c>
      <c r="B13666" s="2" t="str">
        <f>IFERROR(__xludf.DUMMYFUNCTION("GOOGLETRANSLATE(A13666, ""en"", ""mt"")"),"it-turbina tal-fwar")</f>
        <v>it-turbina tal-fwar</v>
      </c>
    </row>
    <row r="13667" ht="15.75" customHeight="1">
      <c r="A13667" s="2" t="s">
        <v>13667</v>
      </c>
      <c r="B13667" s="2" t="str">
        <f>IFERROR(__xludf.DUMMYFUNCTION("GOOGLETRANSLATE(A13667, ""en"", ""mt"")"),"12–4")</f>
        <v>12–4</v>
      </c>
    </row>
    <row r="13668" ht="15.75" customHeight="1">
      <c r="A13668" s="2" t="s">
        <v>13668</v>
      </c>
      <c r="B13668" s="2" t="str">
        <f>IFERROR(__xludf.DUMMYFUNCTION("GOOGLETRANSLATE(A13668, ""en"", ""mt"")"),"Kif tidher l-inugwaljanza tad-dħul ġeneralment mill-ħaddiema?")</f>
        <v>Kif tidher l-inugwaljanza tad-dħul ġeneralment mill-ħaddiema?</v>
      </c>
    </row>
    <row r="13669" ht="15.75" customHeight="1">
      <c r="A13669" s="2" t="s">
        <v>13669</v>
      </c>
      <c r="B13669" s="2" t="str">
        <f>IFERROR(__xludf.DUMMYFUNCTION("GOOGLETRANSLATE(A13669, ""en"", ""mt"")"),"sat-tieni kwart tas-seklu 19.")</f>
        <v>sat-tieni kwart tas-seklu 19.</v>
      </c>
    </row>
    <row r="13670" ht="15.75" customHeight="1">
      <c r="A13670" s="2" t="s">
        <v>13670</v>
      </c>
      <c r="B13670" s="2" t="str">
        <f>IFERROR(__xludf.DUMMYFUNCTION("GOOGLETRANSLATE(A13670, ""en"", ""mt"")"),"stampi u tpinġijiet arkitettoniċi")</f>
        <v>stampi u tpinġijiet arkitettoniċi</v>
      </c>
    </row>
    <row r="13671" ht="15.75" customHeight="1">
      <c r="A13671" s="2" t="s">
        <v>13671</v>
      </c>
      <c r="B13671" s="2" t="str">
        <f>IFERROR(__xludf.DUMMYFUNCTION("GOOGLETRANSLATE(A13671, ""en"", ""mt"")"),"Matul it-tieni sena ta 'studju tiegħu f'Graz, Tesla żviluppat passjoni għal (u saret profiċjenti ħafna) biljards, ċess u logħob tal-karti, xi kultant tqatta' aktar minn 48 siegħa fi medda fuq mejda tal-logħob.: 43, 301 f'okkażjoni waħda Fil-laboratorju ti"&amp;"egħu, Tesla ħadmet għal perjodu ta '84 siegħa mingħajr irqad jew mistrieħ. Swezey fakkret filgħodu meta Tesla sejħilha fit-3 a.m . Xogħol [ed] barra problema, billi jqabbel teorija waħda ma 'oħra, jikkummenta; u meta ħass li kien wasal għas-soluzzjoni, f'"&amp;"daqqa waħda għalaq it-telefon. """)</f>
        <v>Matul it-tieni sena ta 'studju tiegħu f'Graz, Tesla żviluppat passjoni għal (u saret profiċjenti ħafna) biljards, ċess u logħob tal-karti, xi kultant tqatta' aktar minn 48 siegħa fi medda fuq mejda tal-logħob.: 43, 301 f'okkażjoni waħda Fil-laboratorju tiegħu, Tesla ħadmet għal perjodu ta '84 siegħa mingħajr irqad jew mistrieħ. Swezey fakkret filgħodu meta Tesla sejħilha fit-3 a.m . Xogħol [ed] barra problema, billi jqabbel teorija waħda ma 'oħra, jikkummenta; u meta ħass li kien wasal għas-soluzzjoni, f'daqqa waħda għalaq it-telefon. "</v>
      </c>
    </row>
    <row r="13672" ht="15.75" customHeight="1">
      <c r="A13672" s="2" t="s">
        <v>13672</v>
      </c>
      <c r="B13672" s="2" t="str">
        <f>IFERROR(__xludf.DUMMYFUNCTION("GOOGLETRANSLATE(A13672, ""en"", ""mt"")"),"X'inhu l-proċess li jinbidel is-CO2 f'molekuli organiċi msejħa?")</f>
        <v>X'inhu l-proċess li jinbidel is-CO2 f'molekuli organiċi msejħa?</v>
      </c>
    </row>
    <row r="13673" ht="15.75" customHeight="1">
      <c r="A13673" s="2" t="s">
        <v>13673</v>
      </c>
      <c r="B13673" s="2" t="str">
        <f>IFERROR(__xludf.DUMMYFUNCTION("GOOGLETRANSLATE(A13673, ""en"", ""mt"")"),"imċaħħad milli jaqla 'daqshekk dħul")</f>
        <v>imċaħħad milli jaqla 'daqshekk dħul</v>
      </c>
    </row>
    <row r="13674" ht="15.75" customHeight="1">
      <c r="A13674" s="2" t="s">
        <v>13674</v>
      </c>
      <c r="B13674" s="2" t="str">
        <f>IFERROR(__xludf.DUMMYFUNCTION("GOOGLETRANSLATE(A13674, ""en"", ""mt"")"),"In-Netwerk tax-Xjenza tal-Kompjuter (CSNET) kien netwerk tal-kompjuter iffinanzjat mill-Fondazzjoni Nazzjonali tax-Xjenza tal-Istati Uniti (NSF) li beda jopera fl-1981. L-iskop tagħha kien li jestendi l-benefiċċji tan-netwerking, għad-dipartimenti tax-xje"&amp;"nza tal-kompjuter f'istituzzjonijiet akkademiċi u ta 'riċerka li ma setgħux jiġu konnessi direttament għal arpanet, minħabba l-finanzjament jew il-limitazzjonijiet ta 'awtorizzazzjoni. Huwa kellu rwol sinifikanti fit-tixrid tal-għarfien dwar, u l-aċċess g"&amp;"ħan-netwerking nazzjonali u kien pass importanti fit-triq għall-iżvilupp tal-internet globali.")</f>
        <v>In-Netwerk tax-Xjenza tal-Kompjuter (CSNET) kien netwerk tal-kompjuter iffinanzjat mill-Fondazzjoni Nazzjonali tax-Xjenza tal-Istati Uniti (NSF) li beda jopera fl-1981. L-iskop tagħha kien li jestendi l-benefiċċji tan-netwerking, għad-dipartimenti tax-xjenza tal-kompjuter f'istituzzjonijiet akkademiċi u ta 'riċerka li ma setgħux jiġu konnessi direttament għal arpanet, minħabba l-finanzjament jew il-limitazzjonijiet ta 'awtorizzazzjoni. Huwa kellu rwol sinifikanti fit-tixrid tal-għarfien dwar, u l-aċċess għan-netwerking nazzjonali u kien pass importanti fit-triq għall-iżvilupp tal-internet globali.</v>
      </c>
    </row>
    <row r="13675" ht="15.75" customHeight="1">
      <c r="A13675" s="2" t="s">
        <v>13675</v>
      </c>
      <c r="B13675" s="2" t="str">
        <f>IFERROR(__xludf.DUMMYFUNCTION("GOOGLETRANSLATE(A13675, ""en"", ""mt"")"),"Fejn marret Tesla biex titma 'l-ħamiem kuljum?")</f>
        <v>Fejn marret Tesla biex titma 'l-ħamiem kuljum?</v>
      </c>
    </row>
    <row r="13676" ht="15.75" customHeight="1">
      <c r="A13676" s="2" t="s">
        <v>13676</v>
      </c>
      <c r="B13676" s="2" t="str">
        <f>IFERROR(__xludf.DUMMYFUNCTION("GOOGLETRANSLATE(A13676, ""en"", ""mt"")"),"Mard tal-faqar")</f>
        <v>Mard tal-faqar</v>
      </c>
    </row>
    <row r="13677" ht="15.75" customHeight="1">
      <c r="A13677" s="2" t="s">
        <v>13677</v>
      </c>
      <c r="B13677" s="2" t="str">
        <f>IFERROR(__xludf.DUMMYFUNCTION("GOOGLETRANSLATE(A13677, ""en"", ""mt"")"),"BSKYB meta ħabbar l-intenzjoni li jissostitwixxi l-istazzjonijiet diġitali bla ħlas tiegħu?")</f>
        <v>BSKYB meta ħabbar l-intenzjoni li jissostitwixxi l-istazzjonijiet diġitali bla ħlas tiegħu?</v>
      </c>
    </row>
    <row r="13678" ht="15.75" customHeight="1">
      <c r="A13678" s="2" t="s">
        <v>13678</v>
      </c>
      <c r="B13678" s="2" t="str">
        <f>IFERROR(__xludf.DUMMYFUNCTION("GOOGLETRANSLATE(A13678, ""en"", ""mt"")"),"Spiża tal-kostruzzjoni")</f>
        <v>Spiża tal-kostruzzjoni</v>
      </c>
    </row>
    <row r="13679" ht="15.75" customHeight="1">
      <c r="A13679" s="2" t="s">
        <v>13679</v>
      </c>
      <c r="B13679" s="2" t="str">
        <f>IFERROR(__xludf.DUMMYFUNCTION("GOOGLETRANSLATE(A13679, ""en"", ""mt"")"),"""Belt Ġdida Bold tan-Nofsinhar""")</f>
        <v>"Belt Ġdida Bold tan-Nofsinhar"</v>
      </c>
    </row>
    <row r="13680" ht="15.75" customHeight="1">
      <c r="A13680" s="2" t="s">
        <v>13680</v>
      </c>
      <c r="B13680" s="2" t="str">
        <f>IFERROR(__xludf.DUMMYFUNCTION("GOOGLETRANSLATE(A13680, ""en"", ""mt"")"),"Impatti tal-mikrometeoriti")</f>
        <v>Impatti tal-mikrometeoriti</v>
      </c>
    </row>
    <row r="13681" ht="15.75" customHeight="1">
      <c r="A13681" s="2" t="s">
        <v>13681</v>
      </c>
      <c r="B13681" s="2" t="str">
        <f>IFERROR(__xludf.DUMMYFUNCTION("GOOGLETRANSLATE(A13681, ""en"", ""mt"")"),"Fejn HT naqas milli jneħħi kolp ta 'stat fl-1974?")</f>
        <v>Fejn HT naqas milli jneħħi kolp ta 'stat fl-1974?</v>
      </c>
    </row>
    <row r="13682" ht="15.75" customHeight="1">
      <c r="A13682" s="2" t="s">
        <v>13682</v>
      </c>
      <c r="B13682" s="2" t="str">
        <f>IFERROR(__xludf.DUMMYFUNCTION("GOOGLETRANSLATE(A13682, ""en"", ""mt"")"),"Avvenimenti f'ħajtu")</f>
        <v>Avvenimenti f'ħajtu</v>
      </c>
    </row>
    <row r="13683" ht="15.75" customHeight="1">
      <c r="A13683" s="2" t="s">
        <v>13683</v>
      </c>
      <c r="B13683" s="2" t="str">
        <f>IFERROR(__xludf.DUMMYFUNCTION("GOOGLETRANSLATE(A13683, ""en"", ""mt"")"),"X'inhu kultant impossibbli li timmudella?")</f>
        <v>X'inhu kultant impossibbli li timmudella?</v>
      </c>
    </row>
    <row r="13684" ht="15.75" customHeight="1">
      <c r="A13684" s="2" t="s">
        <v>13684</v>
      </c>
      <c r="B13684" s="2" t="str">
        <f>IFERROR(__xludf.DUMMYFUNCTION("GOOGLETRANSLATE(A13684, ""en"", ""mt"")"),"Ma 'liema sistema Ċiniża għamlet kompromess il-gvern ta' Kublai?")</f>
        <v>Ma 'liema sistema Ċiniża għamlet kompromess il-gvern ta' Kublai?</v>
      </c>
    </row>
    <row r="13685" ht="15.75" customHeight="1">
      <c r="A13685" s="2" t="s">
        <v>13685</v>
      </c>
      <c r="B13685" s="2" t="str">
        <f>IFERROR(__xludf.DUMMYFUNCTION("GOOGLETRANSLATE(A13685, ""en"", ""mt"")"),"F'liema qasam kienu komuni magni ta 'espansjoni doppja u tripla?")</f>
        <v>F'liema qasam kienu komuni magni ta 'espansjoni doppja u tripla?</v>
      </c>
    </row>
    <row r="13686" ht="15.75" customHeight="1">
      <c r="A13686" s="2" t="s">
        <v>13686</v>
      </c>
      <c r="B13686" s="2" t="str">
        <f>IFERROR(__xludf.DUMMYFUNCTION("GOOGLETRANSLATE(A13686, ""en"", ""mt"")"),"Ħsarat normali")</f>
        <v>Ħsarat normali</v>
      </c>
    </row>
    <row r="13687" ht="15.75" customHeight="1">
      <c r="A13687" s="2" t="s">
        <v>13687</v>
      </c>
      <c r="B13687" s="2" t="str">
        <f>IFERROR(__xludf.DUMMYFUNCTION("GOOGLETRANSLATE(A13687, ""en"", ""mt"")"),"Dak li jintroduċi l-inugwaljanza f'pajjiż?")</f>
        <v>Dak li jintroduċi l-inugwaljanza f'pajjiż?</v>
      </c>
    </row>
    <row r="13688" ht="15.75" customHeight="1">
      <c r="A13688" s="2" t="s">
        <v>13688</v>
      </c>
      <c r="B13688" s="2" t="str">
        <f>IFERROR(__xludf.DUMMYFUNCTION("GOOGLETRANSLATE(A13688, ""en"", ""mt"")"),"Supretendent Brittaniku għall-Affarijiet Indjani fir-Reġjun ta 'New York u lil hinn")</f>
        <v>Supretendent Brittaniku għall-Affarijiet Indjani fir-Reġjun ta 'New York u lil hinn</v>
      </c>
    </row>
    <row r="13689" ht="15.75" customHeight="1">
      <c r="A13689" s="2" t="s">
        <v>13689</v>
      </c>
      <c r="B13689" s="2" t="str">
        <f>IFERROR(__xludf.DUMMYFUNCTION("GOOGLETRANSLATE(A13689, ""en"", ""mt"")"),"Liema rebħa fl-isforzi mfixkla tal-vapuri tas-serħan Franċiżi.")</f>
        <v>Liema rebħa fl-isforzi mfixkla tal-vapuri tas-serħan Franċiżi.</v>
      </c>
    </row>
    <row r="13690" ht="15.75" customHeight="1">
      <c r="A13690" s="2" t="s">
        <v>13690</v>
      </c>
      <c r="B13690" s="2" t="str">
        <f>IFERROR(__xludf.DUMMYFUNCTION("GOOGLETRANSLATE(A13690, ""en"", ""mt"")"),"Iż-żieda attwali fit-temperatura kienet qrib it-tarf ta 'fuq tal-firxa mogħtija")</f>
        <v>Iż-żieda attwali fit-temperatura kienet qrib it-tarf ta 'fuq tal-firxa mogħtija</v>
      </c>
    </row>
    <row r="13691" ht="15.75" customHeight="1">
      <c r="A13691" s="2" t="s">
        <v>13691</v>
      </c>
      <c r="B13691" s="2" t="str">
        <f>IFERROR(__xludf.DUMMYFUNCTION("GOOGLETRANSLATE(A13691, ""en"", ""mt"")"),"Franċiż")</f>
        <v>Franċiż</v>
      </c>
    </row>
    <row r="13692" ht="15.75" customHeight="1">
      <c r="A13692" s="2" t="s">
        <v>13692</v>
      </c>
      <c r="B13692" s="2" t="str">
        <f>IFERROR(__xludf.DUMMYFUNCTION("GOOGLETRANSLATE(A13692, ""en"", ""mt"")"),"Kif jitwasslu l-messaġġi tal-forza tal-ajru")</f>
        <v>Kif jitwasslu l-messaġġi tal-forza tal-ajru</v>
      </c>
    </row>
    <row r="13693" ht="15.75" customHeight="1">
      <c r="A13693" s="2" t="s">
        <v>13693</v>
      </c>
      <c r="B13693" s="2" t="str">
        <f>IFERROR(__xludf.DUMMYFUNCTION("GOOGLETRANSLATE(A13693, ""en"", ""mt"")"),"X'inhu isem ieħor biex twieled mill-ġdid?")</f>
        <v>X'inhu isem ieħor biex twieled mill-ġdid?</v>
      </c>
    </row>
    <row r="13694" ht="15.75" customHeight="1">
      <c r="A13694" s="2" t="s">
        <v>13694</v>
      </c>
      <c r="B13694" s="2" t="str">
        <f>IFERROR(__xludf.DUMMYFUNCTION("GOOGLETRANSLATE(A13694, ""en"", ""mt"")"),"Il-kunċett determiniżmu ambjentali serva bħala ġustifikazzjoni morali għad-dominazzjoni ta 'ċerti territorji u popli. Kien maħsub li l-imġieba ta 'ċerta persuna kienu determinati mill-ambjent li kienu jgħixu u b'hekk ivvalidaw il-ħakma tagħhom. Pereżempju"&amp;", nies li jgħixu f'ambjenti tropikali kienu meqjusa bħala ""inqas ċivilizzati"" u għalhekk jiġġustifikaw il-kontroll kolonjali bħala missjoni ċivilizzanti. Madwar it-tliet mewġ ta 'kolonjaliżmu Ewropew (l-ewwel fl-Amerika, it-tieni fl-Asja u fl-aħħar fl-A"&amp;"frika), id-determiniżmu ambjentali ntuża biex ipoġġi kategorikament nies indiġeni f'ġerarkija razzjali. Dan jieħu żewġ forom, l-orjentaliżmu u t-tropiċità.")</f>
        <v>Il-kunċett determiniżmu ambjentali serva bħala ġustifikazzjoni morali għad-dominazzjoni ta 'ċerti territorji u popli. Kien maħsub li l-imġieba ta 'ċerta persuna kienu determinati mill-ambjent li kienu jgħixu u b'hekk ivvalidaw il-ħakma tagħhom. Pereżempju, nies li jgħixu f'ambjenti tropikali kienu meqjusa bħala "inqas ċivilizzati" u għalhekk jiġġustifikaw il-kontroll kolonjali bħala missjoni ċivilizzanti. Madwar it-tliet mewġ ta 'kolonjaliżmu Ewropew (l-ewwel fl-Amerika, it-tieni fl-Asja u fl-aħħar fl-Afrika), id-determiniżmu ambjentali ntuża biex ipoġġi kategorikament nies indiġeni f'ġerarkija razzjali. Dan jieħu żewġ forom, l-orjentaliżmu u t-tropiċità.</v>
      </c>
    </row>
    <row r="13695" ht="15.75" customHeight="1">
      <c r="A13695" s="2" t="s">
        <v>13695</v>
      </c>
      <c r="B13695" s="2" t="str">
        <f>IFERROR(__xludf.DUMMYFUNCTION("GOOGLETRANSLATE(A13695, ""en"", ""mt"")"),"X'kienet skopert aktar tard miktub minn Luther?")</f>
        <v>X'kienet skopert aktar tard miktub minn Luther?</v>
      </c>
    </row>
    <row r="13696" ht="15.75" customHeight="1">
      <c r="A13696" s="2" t="s">
        <v>13696</v>
      </c>
      <c r="B13696" s="2" t="str">
        <f>IFERROR(__xludf.DUMMYFUNCTION("GOOGLETRANSLATE(A13696, ""en"", ""mt"")"),"paddle tal-injam")</f>
        <v>paddle tal-injam</v>
      </c>
    </row>
    <row r="13697" ht="15.75" customHeight="1">
      <c r="A13697" s="2" t="s">
        <v>13697</v>
      </c>
      <c r="B13697" s="2" t="str">
        <f>IFERROR(__xludf.DUMMYFUNCTION("GOOGLETRANSLATE(A13697, ""en"", ""mt"")"),"X’għamel l-Istat Iżlamiku fl-2014?")</f>
        <v>X’għamel l-Istat Iżlamiku fl-2014?</v>
      </c>
    </row>
    <row r="13698" ht="15.75" customHeight="1">
      <c r="A13698" s="2" t="s">
        <v>13698</v>
      </c>
      <c r="B13698" s="2" t="str">
        <f>IFERROR(__xludf.DUMMYFUNCTION("GOOGLETRANSLATE(A13698, ""en"", ""mt"")"),"X'inhi problema waħda bl-ispiżeriji tal-internet?")</f>
        <v>X'inhi problema waħda bl-ispiżeriji tal-internet?</v>
      </c>
    </row>
    <row r="13699" ht="15.75" customHeight="1">
      <c r="A13699" s="2" t="s">
        <v>13699</v>
      </c>
      <c r="B13699" s="2" t="str">
        <f>IFERROR(__xludf.DUMMYFUNCTION("GOOGLETRANSLATE(A13699, ""en"", ""mt"")"),"Il-foresta tropikali tal-Amazon tifforma liema ammont tal-foresti tropikali tad-Dinja?")</f>
        <v>Il-foresta tropikali tal-Amazon tifforma liema ammont tal-foresti tropikali tad-Dinja?</v>
      </c>
    </row>
    <row r="13700" ht="15.75" customHeight="1">
      <c r="A13700" s="2" t="s">
        <v>13700</v>
      </c>
      <c r="B13700" s="2" t="str">
        <f>IFERROR(__xludf.DUMMYFUNCTION("GOOGLETRANSLATE(A13700, ""en"", ""mt"")"),"X'jiġri l-moviment b'veloċità kostanti?")</f>
        <v>X'jiġri l-moviment b'veloċità kostanti?</v>
      </c>
    </row>
    <row r="13701" ht="15.75" customHeight="1">
      <c r="A13701" s="2" t="s">
        <v>13701</v>
      </c>
      <c r="B13701" s="2" t="str">
        <f>IFERROR(__xludf.DUMMYFUNCTION("GOOGLETRANSLATE(A13701, ""en"", ""mt"")"),"Il-Festival tal-Gran Brittanja")</f>
        <v>Il-Festival tal-Gran Brittanja</v>
      </c>
    </row>
    <row r="13702" ht="15.75" customHeight="1">
      <c r="A13702" s="2" t="s">
        <v>13702</v>
      </c>
      <c r="B13702" s="2" t="str">
        <f>IFERROR(__xludf.DUMMYFUNCTION("GOOGLETRANSLATE(A13702, ""en"", ""mt"")"),"Ma 'liema numru ""50"" jiġi plated?")</f>
        <v>Ma 'liema numru "50" jiġi plated?</v>
      </c>
    </row>
    <row r="13703" ht="15.75" customHeight="1">
      <c r="A13703" s="2" t="s">
        <v>13703</v>
      </c>
      <c r="B13703" s="2" t="str">
        <f>IFERROR(__xludf.DUMMYFUNCTION("GOOGLETRANSLATE(A13703, ""en"", ""mt"")"),"Proġetti ewlenin ta 'informazzjoni nazzjonali u internazzjonali tal-pazjenti")</f>
        <v>Proġetti ewlenin ta 'informazzjoni nazzjonali u internazzjonali tal-pazjenti</v>
      </c>
    </row>
    <row r="13704" ht="15.75" customHeight="1">
      <c r="A13704" s="2" t="s">
        <v>13704</v>
      </c>
      <c r="B13704" s="2" t="str">
        <f>IFERROR(__xludf.DUMMYFUNCTION("GOOGLETRANSLATE(A13704, ""en"", ""mt"")"),"Frodi")</f>
        <v>Frodi</v>
      </c>
    </row>
    <row r="13705" ht="15.75" customHeight="1">
      <c r="A13705" s="2" t="s">
        <v>13705</v>
      </c>
      <c r="B13705" s="2" t="str">
        <f>IFERROR(__xludf.DUMMYFUNCTION("GOOGLETRANSLATE(A13705, ""en"", ""mt"")"),"razez tal-ogħla ""effiċjenza soċjali"" """)</f>
        <v>razez tal-ogħla "effiċjenza soċjali" "</v>
      </c>
    </row>
    <row r="13706" ht="15.75" customHeight="1">
      <c r="A13706" s="2" t="s">
        <v>13706</v>
      </c>
      <c r="B13706" s="2" t="str">
        <f>IFERROR(__xludf.DUMMYFUNCTION("GOOGLETRANSLATE(A13706, ""en"", ""mt"")"),"Kemm valvi użat il-magna Corliss?")</f>
        <v>Kemm valvi użat il-magna Corliss?</v>
      </c>
    </row>
    <row r="13707" ht="15.75" customHeight="1">
      <c r="A13707" s="2" t="s">
        <v>13707</v>
      </c>
      <c r="B13707" s="2" t="str">
        <f>IFERROR(__xludf.DUMMYFUNCTION("GOOGLETRANSLATE(A13707, ""en"", ""mt"")"),"In-netwerk ta ’swiċċjar tal-pakketti Cyclades kien netwerk ta’ riċerka Franċiż iddisinjat u dirett minn Louis Pouzin. L-ewwel muri fl-1973, ġie żviluppat biex jesplora alternattivi għad-disinn ta 'Arpanet bikri u biex jappoġġja r-riċerka tan-netwerk ġener"&amp;"alment. Kien l-ewwel netwerk li għamel lill-ospiti responsabbli għat-twassil ta 'data affidabbli, aktar milli n-netwerk innifsu, bl-użu ta' datagrammi mhux affidabbli u mekkaniżmi ta 'protokoll end-to-end assoċjati. Kunċetti ta 'dan in-netwerk influwenzaw"&amp;" aktar tard l-arkitettura ta' Arpanet.")</f>
        <v>In-netwerk ta ’swiċċjar tal-pakketti Cyclades kien netwerk ta’ riċerka Franċiż iddisinjat u dirett minn Louis Pouzin. L-ewwel muri fl-1973, ġie żviluppat biex jesplora alternattivi għad-disinn ta 'Arpanet bikri u biex jappoġġja r-riċerka tan-netwerk ġeneralment. Kien l-ewwel netwerk li għamel lill-ospiti responsabbli għat-twassil ta 'data affidabbli, aktar milli n-netwerk innifsu, bl-użu ta' datagrammi mhux affidabbli u mekkaniżmi ta 'protokoll end-to-end assoċjati. Kunċetti ta 'dan in-netwerk influwenzaw aktar tard l-arkitettura ta' Arpanet.</v>
      </c>
    </row>
    <row r="13708" ht="15.75" customHeight="1">
      <c r="A13708" s="2" t="s">
        <v>13708</v>
      </c>
      <c r="B13708" s="2" t="str">
        <f>IFERROR(__xludf.DUMMYFUNCTION("GOOGLETRANSLATE(A13708, ""en"", ""mt"")"),"il-Lvant Nofsani")</f>
        <v>il-Lvant Nofsani</v>
      </c>
    </row>
    <row r="13709" ht="15.75" customHeight="1">
      <c r="A13709" s="2" t="s">
        <v>13709</v>
      </c>
      <c r="B13709" s="2" t="str">
        <f>IFERROR(__xludf.DUMMYFUNCTION("GOOGLETRANSLATE(A13709, ""en"", ""mt"")"),"Teorija tal-kumplessità tal-komputazzjoni")</f>
        <v>Teorija tal-kumplessità tal-komputazzjoni</v>
      </c>
    </row>
    <row r="13710" ht="15.75" customHeight="1">
      <c r="A13710" s="2" t="s">
        <v>13710</v>
      </c>
      <c r="B13710" s="2" t="str">
        <f>IFERROR(__xludf.DUMMYFUNCTION("GOOGLETRANSLATE(A13710, ""en"", ""mt"")"),"F'liema serje ABC ippreżenta l-adattamenti tal-films tal-1950?")</f>
        <v>F'liema serje ABC ippreżenta l-adattamenti tal-films tal-1950?</v>
      </c>
    </row>
    <row r="13711" ht="15.75" customHeight="1">
      <c r="A13711" s="2" t="s">
        <v>13711</v>
      </c>
      <c r="B13711" s="2" t="str">
        <f>IFERROR(__xludf.DUMMYFUNCTION("GOOGLETRANSLATE(A13711, ""en"", ""mt"")"),"Dak li jagħmel il-frizzjoni statika titla 'jew' l isfel b'rispett biex tikkuntattja l-karatteristiċi bejn oġġett u l-wiċċ li hemm?")</f>
        <v>Dak li jagħmel il-frizzjoni statika titla 'jew' l isfel b'rispett biex tikkuntattja l-karatteristiċi bejn oġġett u l-wiċċ li hemm?</v>
      </c>
    </row>
    <row r="13712" ht="15.75" customHeight="1">
      <c r="A13712" s="2" t="s">
        <v>13712</v>
      </c>
      <c r="B13712" s="2" t="str">
        <f>IFERROR(__xludf.DUMMYFUNCTION("GOOGLETRANSLATE(A13712, ""en"", ""mt"")"),"Lil Luther, x’kienu meqjusa l-insara kollha mgħammdin?")</f>
        <v>Lil Luther, x’kienu meqjusa l-insara kollha mgħammdin?</v>
      </c>
    </row>
    <row r="13713" ht="15.75" customHeight="1">
      <c r="A13713" s="2" t="s">
        <v>13713</v>
      </c>
      <c r="B13713" s="2" t="str">
        <f>IFERROR(__xludf.DUMMYFUNCTION("GOOGLETRANSLATE(A13713, ""en"", ""mt"")"),"Cybermen")</f>
        <v>Cybermen</v>
      </c>
    </row>
    <row r="13714" ht="15.75" customHeight="1">
      <c r="A13714" s="2" t="s">
        <v>13714</v>
      </c>
      <c r="B13714" s="2" t="str">
        <f>IFERROR(__xludf.DUMMYFUNCTION("GOOGLETRANSLATE(A13714, ""en"", ""mt"")"),"nar elettriku")</f>
        <v>nar elettriku</v>
      </c>
    </row>
    <row r="13715" ht="15.75" customHeight="1">
      <c r="A13715" s="2" t="s">
        <v>13715</v>
      </c>
      <c r="B13715" s="2" t="str">
        <f>IFERROR(__xludf.DUMMYFUNCTION("GOOGLETRANSLATE(A13715, ""en"", ""mt"")"),"molekuli awto")</f>
        <v>molekuli awto</v>
      </c>
    </row>
    <row r="13716" ht="15.75" customHeight="1">
      <c r="A13716" s="2" t="s">
        <v>13716</v>
      </c>
      <c r="B13716" s="2" t="str">
        <f>IFERROR(__xludf.DUMMYFUNCTION("GOOGLETRANSLATE(A13716, ""en"", ""mt"")"),"il-moviment tat-tempra")</f>
        <v>il-moviment tat-tempra</v>
      </c>
    </row>
    <row r="13717" ht="15.75" customHeight="1">
      <c r="A13717" s="2" t="s">
        <v>13717</v>
      </c>
      <c r="B13717" s="2" t="str">
        <f>IFERROR(__xludf.DUMMYFUNCTION("GOOGLETRANSLATE(A13717, ""en"", ""mt"")"),"Cnidarians")</f>
        <v>Cnidarians</v>
      </c>
    </row>
    <row r="13718" ht="15.75" customHeight="1">
      <c r="A13718" s="2" t="s">
        <v>13718</v>
      </c>
      <c r="B13718" s="2" t="str">
        <f>IFERROR(__xludf.DUMMYFUNCTION("GOOGLETRANSLATE(A13718, ""en"", ""mt"")"),"BSKYB iġorr xi kontroll fuq kontenut ta 'kanali?")</f>
        <v>BSKYB iġorr xi kontroll fuq kontenut ta 'kanali?</v>
      </c>
    </row>
    <row r="13719" ht="15.75" customHeight="1">
      <c r="A13719" s="2" t="s">
        <v>13719</v>
      </c>
      <c r="B13719" s="2" t="str">
        <f>IFERROR(__xludf.DUMMYFUNCTION("GOOGLETRANSLATE(A13719, ""en"", ""mt"")"),"Verżjoni riveduta tal-logo ABC ġiet introdotta għall-promozzjonijiet għall-istaġun 2013–14 matul il-preżentazzjoni bil-quddiem tan-netwerk fl-14 ta 'Mejju, 2013, u introdotta uffiċjalment fuq l-ajru fis-17 ta' Ġunju (għalkemm xi affiljati implimentaw id-d"&amp;"isinn il-ġdid qabel dakinhar), Bħala parti minn reviżjoni tal-identità ta 'ABC mill-aġenzija tad-disinn Loyalkapar. Il-logo aġġornat iġorr disinn ta 'tleqqija aktar sempliċi mill-verżjoni preċedenti, u fih ittri li jixbħu aktar mill-qrib il-verżjoni oriġi"&amp;"nali ta' Paul Rand tal-logo taċ-ċirku. Il-logo huwa muri fuq l-ajru, onlajn u f'reklamar stampat f'erba 'varjanti li jbaxxu l-kulur rispettiv użat mal-kulur iswed indiġenu tad-disinn taċ-ċirku: verżjoni tad-deheb tintuża primarjament fuq ħwienet orjentati"&amp;" lejn id-divertiment (bħal ABC.com, Watch ABC, u minn ABC Studios) u l-bug fuq l-iskrin; Verżjonijiet tal-azzar blu u griż skur jintużaw primarjament minn ABC News; Verżjoni ħamra tintuża għal ESPN fuq ABC, filwaqt li l-erba 'varjanti kollha jintużaw b'mo"&amp;"d selettiv fir-reklamar u mill-affiljati. Typeface tad-dwana ġdid, ""ABC Modern"" (li kien ispirat mill-logotip), inħoloq ukoll għall-użu fir-reklamar u materjali promozzjonali oħra.")</f>
        <v>Verżjoni riveduta tal-logo ABC ġiet introdotta għall-promozzjonijiet għall-istaġun 2013–14 matul il-preżentazzjoni bil-quddiem tan-netwerk fl-14 ta 'Mejju, 2013, u introdotta uffiċjalment fuq l-ajru fis-17 ta' Ġunju (għalkemm xi affiljati implimentaw id-disinn il-ġdid qabel dakinhar), Bħala parti minn reviżjoni tal-identità ta 'ABC mill-aġenzija tad-disinn Loyalkapar. Il-logo aġġornat iġorr disinn ta 'tleqqija aktar sempliċi mill-verżjoni preċedenti, u fih ittri li jixbħu aktar mill-qrib il-verżjoni oriġinali ta' Paul Rand tal-logo taċ-ċirku. Il-logo huwa muri fuq l-ajru, onlajn u f'reklamar stampat f'erba 'varjanti li jbaxxu l-kulur rispettiv użat mal-kulur iswed indiġenu tad-disinn taċ-ċirku: verżjoni tad-deheb tintuża primarjament fuq ħwienet orjentati lejn id-divertiment (bħal ABC.com, Watch ABC, u minn ABC Studios) u l-bug fuq l-iskrin; Verżjonijiet tal-azzar blu u griż skur jintużaw primarjament minn ABC News; Verżjoni ħamra tintuża għal ESPN fuq ABC, filwaqt li l-erba 'varjanti kollha jintużaw b'mod selettiv fir-reklamar u mill-affiljati. Typeface tad-dwana ġdid, "ABC Modern" (li kien ispirat mill-logotip), inħoloq ukoll għall-użu fir-reklamar u materjali promozzjonali oħra.</v>
      </c>
    </row>
    <row r="13720" ht="15.75" customHeight="1">
      <c r="A13720" s="2" t="s">
        <v>13720</v>
      </c>
      <c r="B13720" s="2" t="str">
        <f>IFERROR(__xludf.DUMMYFUNCTION("GOOGLETRANSLATE(A13720, ""en"", ""mt"")"),"X'inhi l-bażi tal-innu?")</f>
        <v>X'inhi l-bażi tal-innu?</v>
      </c>
    </row>
    <row r="13721" ht="15.75" customHeight="1">
      <c r="A13721" s="2" t="s">
        <v>13721</v>
      </c>
      <c r="B13721" s="2" t="str">
        <f>IFERROR(__xludf.DUMMYFUNCTION("GOOGLETRANSLATE(A13721, ""en"", ""mt"")"),"radjali")</f>
        <v>radjali</v>
      </c>
    </row>
    <row r="13722" ht="15.75" customHeight="1">
      <c r="A13722" s="2" t="s">
        <v>13722</v>
      </c>
      <c r="B13722" s="2" t="str">
        <f>IFERROR(__xludf.DUMMYFUNCTION("GOOGLETRANSLATE(A13722, ""en"", ""mt"")"),"fetaħ il-bibien għall-Mongoli")</f>
        <v>fetaħ il-bibien għall-Mongoli</v>
      </c>
    </row>
    <row r="13723" ht="15.75" customHeight="1">
      <c r="A13723" s="2" t="s">
        <v>13723</v>
      </c>
      <c r="B13723" s="2" t="str">
        <f>IFERROR(__xludf.DUMMYFUNCTION("GOOGLETRANSLATE(A13723, ""en"", ""mt"")"),"adattament tal-massa Latina")</f>
        <v>adattament tal-massa Latina</v>
      </c>
    </row>
    <row r="13724" ht="15.75" customHeight="1">
      <c r="A13724" s="2" t="s">
        <v>13724</v>
      </c>
      <c r="B13724" s="2" t="str">
        <f>IFERROR(__xludf.DUMMYFUNCTION("GOOGLETRANSLATE(A13724, ""en"", ""mt"")"),"miksura fuq libertajiet demokratiċi")</f>
        <v>miksura fuq libertajiet demokratiċi</v>
      </c>
    </row>
    <row r="13725" ht="15.75" customHeight="1">
      <c r="A13725" s="2" t="s">
        <v>13725</v>
      </c>
      <c r="B13725" s="2" t="str">
        <f>IFERROR(__xludf.DUMMYFUNCTION("GOOGLETRANSLATE(A13725, ""en"", ""mt"")"),"strettament kontenut f'P jew daqs p")</f>
        <v>strettament kontenut f'P jew daqs p</v>
      </c>
    </row>
    <row r="13726" ht="15.75" customHeight="1">
      <c r="A13726" s="2" t="s">
        <v>13726</v>
      </c>
      <c r="B13726" s="2" t="str">
        <f>IFERROR(__xludf.DUMMYFUNCTION("GOOGLETRANSLATE(A13726, ""en"", ""mt"")"),"Nukleomorf u barra żewġ membrani")</f>
        <v>Nukleomorf u barra żewġ membrani</v>
      </c>
    </row>
    <row r="13727" ht="15.75" customHeight="1">
      <c r="A13727" s="2" t="s">
        <v>13727</v>
      </c>
      <c r="B13727" s="2" t="str">
        <f>IFERROR(__xludf.DUMMYFUNCTION("GOOGLETRANSLATE(A13727, ""en"", ""mt"")"),"adattattiv")</f>
        <v>adattattiv</v>
      </c>
    </row>
    <row r="13728" ht="15.75" customHeight="1">
      <c r="A13728" s="2" t="s">
        <v>13728</v>
      </c>
      <c r="B13728" s="2" t="str">
        <f>IFERROR(__xludf.DUMMYFUNCTION("GOOGLETRANSLATE(A13728, ""en"", ""mt"")"),"sekwenza")</f>
        <v>sekwenza</v>
      </c>
    </row>
    <row r="13729" ht="15.75" customHeight="1">
      <c r="A13729" s="2" t="s">
        <v>13729</v>
      </c>
      <c r="B13729" s="2" t="str">
        <f>IFERROR(__xludf.DUMMYFUNCTION("GOOGLETRANSLATE(A13729, ""en"", ""mt"")"),"45 miljun persuna")</f>
        <v>45 miljun persuna</v>
      </c>
    </row>
    <row r="13730" ht="15.75" customHeight="1">
      <c r="A13730" s="2" t="s">
        <v>13730</v>
      </c>
      <c r="B13730" s="2" t="str">
        <f>IFERROR(__xludf.DUMMYFUNCTION("GOOGLETRANSLATE(A13730, ""en"", ""mt"")"),"ġustizzja")</f>
        <v>ġustizzja</v>
      </c>
    </row>
    <row r="13731" ht="15.75" customHeight="1">
      <c r="A13731" s="2" t="s">
        <v>13731</v>
      </c>
      <c r="B13731" s="2" t="str">
        <f>IFERROR(__xludf.DUMMYFUNCTION("GOOGLETRANSLATE(A13731, ""en"", ""mt"")"),"Liema magni tal-baħar kienu inqas effiċjenti minn turbini tal-fwar?")</f>
        <v>Liema magni tal-baħar kienu inqas effiċjenti minn turbini tal-fwar?</v>
      </c>
    </row>
    <row r="13732" ht="15.75" customHeight="1">
      <c r="A13732" s="2" t="s">
        <v>13732</v>
      </c>
      <c r="B13732" s="2" t="str">
        <f>IFERROR(__xludf.DUMMYFUNCTION("GOOGLETRANSLATE(A13732, ""en"", ""mt"")"),"kondensazzjoni tal-ġid")</f>
        <v>kondensazzjoni tal-ġid</v>
      </c>
    </row>
    <row r="13733" ht="15.75" customHeight="1">
      <c r="A13733" s="2" t="s">
        <v>13733</v>
      </c>
      <c r="B13733" s="2" t="str">
        <f>IFERROR(__xludf.DUMMYFUNCTION("GOOGLETRANSLATE(A13733, ""en"", ""mt"")"),"F'liema espressjoni wieħed jista 'jistenna li jsib dtime (n)")</f>
        <v>F'liema espressjoni wieħed jista 'jistenna li jsib dtime (n)</v>
      </c>
    </row>
    <row r="13734" ht="15.75" customHeight="1">
      <c r="A13734" s="2" t="s">
        <v>13734</v>
      </c>
      <c r="B13734" s="2" t="str">
        <f>IFERROR(__xludf.DUMMYFUNCTION("GOOGLETRANSLATE(A13734, ""en"", ""mt"")"),"Huwa kien innota film bil-ħsara fil-laboratorju tiegħu f'esperimenti preċedenti")</f>
        <v>Huwa kien innota film bil-ħsara fil-laboratorju tiegħu f'esperimenti preċedenti</v>
      </c>
    </row>
    <row r="13735" ht="15.75" customHeight="1">
      <c r="A13735" s="2" t="s">
        <v>13735</v>
      </c>
      <c r="B13735" s="2" t="str">
        <f>IFERROR(__xludf.DUMMYFUNCTION("GOOGLETRANSLATE(A13735, ""en"", ""mt"")"),"X'tip ta 'midja tista' tinstab referenzi għal Tesla")</f>
        <v>X'tip ta 'midja tista' tinstab referenzi għal Tesla</v>
      </c>
    </row>
    <row r="13736" ht="15.75" customHeight="1">
      <c r="A13736" s="2" t="s">
        <v>13736</v>
      </c>
      <c r="B13736" s="2" t="str">
        <f>IFERROR(__xludf.DUMMYFUNCTION("GOOGLETRANSLATE(A13736, ""en"", ""mt"")"),"Liema membri tipikament jiftħu dibattiti?")</f>
        <v>Liema membri tipikament jiftħu dibattiti?</v>
      </c>
    </row>
    <row r="13737" ht="15.75" customHeight="1">
      <c r="A13737" s="2" t="s">
        <v>13737</v>
      </c>
      <c r="B13737" s="2" t="str">
        <f>IFERROR(__xludf.DUMMYFUNCTION("GOOGLETRANSLATE(A13737, ""en"", ""mt"")"),"biex ma tkellimx ma 'uffiċjali tal-pulizija")</f>
        <v>biex ma tkellimx ma 'uffiċjali tal-pulizija</v>
      </c>
    </row>
    <row r="13738" ht="15.75" customHeight="1">
      <c r="A13738" s="2" t="s">
        <v>13738</v>
      </c>
      <c r="B13738" s="2" t="str">
        <f>IFERROR(__xludf.DUMMYFUNCTION("GOOGLETRANSLATE(A13738, ""en"", ""mt"")"),"Inerzja rotazzjonali tal-pjaneta tad-dinja")</f>
        <v>Inerzja rotazzjonali tal-pjaneta tad-dinja</v>
      </c>
    </row>
    <row r="13739" ht="15.75" customHeight="1">
      <c r="A13739" s="2" t="s">
        <v>13739</v>
      </c>
      <c r="B13739" s="2" t="str">
        <f>IFERROR(__xludf.DUMMYFUNCTION("GOOGLETRANSLATE(A13739, ""en"", ""mt"")"),"Hemm fehmiet konfliġġenti ta 'Genghis Khan fir-Repubblika tal-Poplu taċ-Ċina b'xi wħud jarawh b'mod pożittiv fir-reġjun ta' ġewwa tal-Mongolja fejn hemm monument u bini dwaru u fejn hemm numru konsiderevoli ta 'Mongoli fiż-żona b'popolazzjoni ta' madwar 5"&amp;" Miljun, kważi d-doppju tal-popolazzjoni tal-Mongolja. Filwaqt li Genghis Khan qatt ma ħakem iċ-Ċina kollha, in-neputi tiegħu Kublai Khan temm dik il-konkwista u stabbilixxa d-dinastija Yuan li ħafna drabi hija kkreditata li terġa 'tgħaqqad iċ-Ċina. Kien "&amp;"hemm ħafna xogħol artistiku u letteratura li faħħar lil Genghis bħala mexxej militari kbir u ġenju politiku. Is-snin tad-dinastija Yuan stabbilita mill-Mongolja ħallew marka li ma titħassarx fuq strutturi politiċi u soċjali Ċiniżi għal ġenerazzjonijiet su"&amp;"ssegwenti bil-letteratura matul id-dinastija Jin relattivament inqas. B'mod ġenerali l-wirt ta 'Genghis Khan u s-suċċessuri tiegħu, li temmew il-konkwista taċ-Ċina wara 65 sena ta' ġlieda, jibqa 'suġġett imħallat. [Ċitazzjoni meħtieġa]")</f>
        <v>Hemm fehmiet konfliġġenti ta 'Genghis Khan fir-Repubblika tal-Poplu taċ-Ċina b'xi wħud jarawh b'mod pożittiv fir-reġjun ta' ġewwa tal-Mongolja fejn hemm monument u bini dwaru u fejn hemm numru konsiderevoli ta 'Mongoli fiż-żona b'popolazzjoni ta' madwar 5 Miljun, kważi d-doppju tal-popolazzjoni tal-Mongolja. Filwaqt li Genghis Khan qatt ma ħakem iċ-Ċina kollha, in-neputi tiegħu Kublai Khan temm dik il-konkwista u stabbilixxa d-dinastija Yuan li ħafna drabi hija kkreditata li terġa 'tgħaqqad iċ-Ċina. Kien hemm ħafna xogħol artistiku u letteratura li faħħar lil Genghis bħala mexxej militari kbir u ġenju politiku. Is-snin tad-dinastija Yuan stabbilita mill-Mongolja ħallew marka li ma titħassarx fuq strutturi politiċi u soċjali Ċiniżi għal ġenerazzjonijiet sussegwenti bil-letteratura matul id-dinastija Jin relattivament inqas. B'mod ġenerali l-wirt ta 'Genghis Khan u s-suċċessuri tiegħu, li temmew il-konkwista taċ-Ċina wara 65 sena ta' ġlieda, jibqa 'suġġett imħallat. [Ċitazzjoni meħtieġa]</v>
      </c>
    </row>
    <row r="13740" ht="15.75" customHeight="1">
      <c r="A13740" s="2" t="s">
        <v>13740</v>
      </c>
      <c r="B13740" s="2" t="str">
        <f>IFERROR(__xludf.DUMMYFUNCTION("GOOGLETRANSLATE(A13740, ""en"", ""mt"")"),"Avukat")</f>
        <v>Avukat</v>
      </c>
    </row>
    <row r="13741" ht="15.75" customHeight="1">
      <c r="A13741" s="2" t="s">
        <v>13741</v>
      </c>
      <c r="B13741" s="2" t="str">
        <f>IFERROR(__xludf.DUMMYFUNCTION("GOOGLETRANSLATE(A13741, ""en"", ""mt"")"),"Minħabba l-vantaġġi tagħha f'distanza twila, trasmissjoni ta 'vultaġġ għoli")</f>
        <v>Minħabba l-vantaġġi tagħha f'distanza twila, trasmissjoni ta 'vultaġġ għoli</v>
      </c>
    </row>
    <row r="13742" ht="15.75" customHeight="1">
      <c r="A13742" s="2" t="s">
        <v>13742</v>
      </c>
      <c r="B13742" s="2" t="str">
        <f>IFERROR(__xludf.DUMMYFUNCTION("GOOGLETRANSLATE(A13742, ""en"", ""mt"")"),"Battalja ta 'Jumonville Glen f'Mejju 1754,")</f>
        <v>Battalja ta 'Jumonville Glen f'Mejju 1754,</v>
      </c>
    </row>
    <row r="13743" ht="15.75" customHeight="1">
      <c r="A13743" s="2" t="s">
        <v>13743</v>
      </c>
      <c r="B13743" s="2" t="str">
        <f>IFERROR(__xludf.DUMMYFUNCTION("GOOGLETRANSLATE(A13743, ""en"", ""mt"")"),"X'inhu moħli mid-difett ta 'Rubisco?")</f>
        <v>X'inhu moħli mid-difett ta 'Rubisco?</v>
      </c>
    </row>
    <row r="13744" ht="15.75" customHeight="1">
      <c r="A13744" s="2" t="s">
        <v>13744</v>
      </c>
      <c r="B13744" s="2" t="str">
        <f>IFERROR(__xludf.DUMMYFUNCTION("GOOGLETRANSLATE(A13744, ""en"", ""mt"")"),"Rhine")</f>
        <v>Rhine</v>
      </c>
    </row>
    <row r="13745" ht="15.75" customHeight="1">
      <c r="A13745" s="2" t="s">
        <v>13745</v>
      </c>
      <c r="B13745" s="2" t="str">
        <f>IFERROR(__xludf.DUMMYFUNCTION("GOOGLETRANSLATE(A13745, ""en"", ""mt"")"),"l-Armata l-Ħamra")</f>
        <v>l-Armata l-Ħamra</v>
      </c>
    </row>
    <row r="13746" ht="15.75" customHeight="1">
      <c r="A13746" s="2" t="s">
        <v>13746</v>
      </c>
      <c r="B13746" s="2" t="str">
        <f>IFERROR(__xludf.DUMMYFUNCTION("GOOGLETRANSLATE(A13746, ""en"", ""mt"")"),"it-trattat dwar il-funzjonament tal-Unjoni Ewropea.")</f>
        <v>it-trattat dwar il-funzjonament tal-Unjoni Ewropea.</v>
      </c>
    </row>
    <row r="13747" ht="15.75" customHeight="1">
      <c r="A13747" s="2" t="s">
        <v>13747</v>
      </c>
      <c r="B13747" s="2" t="str">
        <f>IFERROR(__xludf.DUMMYFUNCTION("GOOGLETRANSLATE(A13747, ""en"", ""mt"")"),"F'liema trattament huma deskritti l-forzi mhux konservattivi u konservattivi?")</f>
        <v>F'liema trattament huma deskritti l-forzi mhux konservattivi u konservattivi?</v>
      </c>
    </row>
    <row r="13748" ht="15.75" customHeight="1">
      <c r="A13748" s="2" t="s">
        <v>13748</v>
      </c>
      <c r="B13748" s="2" t="str">
        <f>IFERROR(__xludf.DUMMYFUNCTION("GOOGLETRANSLATE(A13748, ""en"", ""mt"")"),"Eżattament fit-8.10 p.m.")</f>
        <v>Eżattament fit-8.10 p.m.</v>
      </c>
    </row>
    <row r="13749" ht="15.75" customHeight="1">
      <c r="A13749" s="2" t="s">
        <v>13749</v>
      </c>
      <c r="B13749" s="2" t="str">
        <f>IFERROR(__xludf.DUMMYFUNCTION("GOOGLETRANSLATE(A13749, ""en"", ""mt"")"),"Il-Parlament tar-Rabat")</f>
        <v>Il-Parlament tar-Rabat</v>
      </c>
    </row>
    <row r="13750" ht="15.75" customHeight="1">
      <c r="A13750" s="2" t="s">
        <v>13750</v>
      </c>
      <c r="B13750" s="2" t="str">
        <f>IFERROR(__xludf.DUMMYFUNCTION("GOOGLETRANSLATE(A13750, ""en"", ""mt"")"),"Rich")</f>
        <v>Rich</v>
      </c>
    </row>
    <row r="13751" ht="15.75" customHeight="1">
      <c r="A13751" s="2" t="s">
        <v>13751</v>
      </c>
      <c r="B13751" s="2" t="str">
        <f>IFERROR(__xludf.DUMMYFUNCTION("GOOGLETRANSLATE(A13751, ""en"", ""mt"")"),"f'distanzi akbar.")</f>
        <v>f'distanzi akbar.</v>
      </c>
    </row>
    <row r="13752" ht="15.75" customHeight="1">
      <c r="A13752" s="2" t="s">
        <v>13752</v>
      </c>
      <c r="B13752" s="2" t="str">
        <f>IFERROR(__xludf.DUMMYFUNCTION("GOOGLETRANSLATE(A13752, ""en"", ""mt"")"),"X'inhu CSNET")</f>
        <v>X'inhu CSNET</v>
      </c>
    </row>
    <row r="13753" ht="15.75" customHeight="1">
      <c r="A13753" s="2" t="s">
        <v>13753</v>
      </c>
      <c r="B13753" s="2" t="str">
        <f>IFERROR(__xludf.DUMMYFUNCTION("GOOGLETRANSLATE(A13753, ""en"", ""mt"")"),"Kif inkella jistgħu l-petroloġisti jifhmu l-pressjonijiet li fihom jidhru fażijiet minerali differenti?")</f>
        <v>Kif inkella jistgħu l-petroloġisti jifhmu l-pressjonijiet li fihom jidhru fażijiet minerali differenti?</v>
      </c>
    </row>
    <row r="13754" ht="15.75" customHeight="1">
      <c r="A13754" s="2" t="s">
        <v>13754</v>
      </c>
      <c r="B13754" s="2" t="str">
        <f>IFERROR(__xludf.DUMMYFUNCTION("GOOGLETRANSLATE(A13754, ""en"", ""mt"")"),"Meta mqabbel mat-titjib ta 'Smeaton fuq il-magna ta' Newcomen, kemm il-faħam uża l-magna ta 'Watt?")</f>
        <v>Meta mqabbel mat-titjib ta 'Smeaton fuq il-magna ta' Newcomen, kemm il-faħam uża l-magna ta 'Watt?</v>
      </c>
    </row>
    <row r="13755" ht="15.75" customHeight="1">
      <c r="A13755" s="2" t="s">
        <v>13755</v>
      </c>
      <c r="B13755" s="2" t="str">
        <f>IFERROR(__xludf.DUMMYFUNCTION("GOOGLETRANSLATE(A13755, ""en"", ""mt"")"),"Wirit minn kull tifla taċ-ċellula waqt id-diviżjoni taċ-ċellula")</f>
        <v>Wirit minn kull tifla taċ-ċellula waqt id-diviżjoni taċ-ċellula</v>
      </c>
    </row>
    <row r="13756" ht="15.75" customHeight="1">
      <c r="A13756" s="2" t="s">
        <v>13756</v>
      </c>
      <c r="B13756" s="2" t="str">
        <f>IFERROR(__xludf.DUMMYFUNCTION("GOOGLETRANSLATE(A13756, ""en"", ""mt"")"),"Fejn sar l-istudju tal-2000?")</f>
        <v>Fejn sar l-istudju tal-2000?</v>
      </c>
    </row>
    <row r="13757" ht="15.75" customHeight="1">
      <c r="A13757" s="2" t="s">
        <v>13757</v>
      </c>
      <c r="B13757" s="2" t="str">
        <f>IFERROR(__xludf.DUMMYFUNCTION("GOOGLETRANSLATE(A13757, ""en"", ""mt"")"),"ix-xogħol ta 'fiżiċi teoretiċi ewlenin")</f>
        <v>ix-xogħol ta 'fiżiċi teoretiċi ewlenin</v>
      </c>
    </row>
    <row r="13758" ht="15.75" customHeight="1">
      <c r="A13758" s="2" t="s">
        <v>13758</v>
      </c>
      <c r="B13758" s="2" t="str">
        <f>IFERROR(__xludf.DUMMYFUNCTION("GOOGLETRANSLATE(A13758, ""en"", ""mt"")"),"art u akkomodazzjoni")</f>
        <v>art u akkomodazzjoni</v>
      </c>
    </row>
    <row r="13759" ht="15.75" customHeight="1">
      <c r="A13759" s="2" t="s">
        <v>13759</v>
      </c>
      <c r="B13759" s="2" t="str">
        <f>IFERROR(__xludf.DUMMYFUNCTION("GOOGLETRANSLATE(A13759, ""en"", ""mt"")"),"esplorat il-muntanji fil-garb tal-kaċċatur")</f>
        <v>esplorat il-muntanji fil-garb tal-kaċċatur</v>
      </c>
    </row>
    <row r="13760" ht="15.75" customHeight="1">
      <c r="A13760" s="2" t="s">
        <v>13760</v>
      </c>
      <c r="B13760" s="2" t="str">
        <f>IFERROR(__xludf.DUMMYFUNCTION("GOOGLETRANSLATE(A13760, ""en"", ""mt"")"),"wieħed")</f>
        <v>wieħed</v>
      </c>
    </row>
    <row r="13761" ht="15.75" customHeight="1">
      <c r="A13761" s="2" t="s">
        <v>13761</v>
      </c>
      <c r="B13761" s="2" t="str">
        <f>IFERROR(__xludf.DUMMYFUNCTION("GOOGLETRANSLATE(A13761, ""en"", ""mt"")"),"Orjent kontemporanju")</f>
        <v>Orjent kontemporanju</v>
      </c>
    </row>
    <row r="13762" ht="15.75" customHeight="1">
      <c r="A13762" s="2" t="s">
        <v>13762</v>
      </c>
      <c r="B13762" s="2" t="str">
        <f>IFERROR(__xludf.DUMMYFUNCTION("GOOGLETRANSLATE(A13762, ""en"", ""mt"")"),"Molekuli bi tliet karbonji")</f>
        <v>Molekuli bi tliet karbonji</v>
      </c>
    </row>
    <row r="13763" ht="15.75" customHeight="1">
      <c r="A13763" s="2" t="s">
        <v>13763</v>
      </c>
      <c r="B13763" s="2" t="str">
        <f>IFERROR(__xludf.DUMMYFUNCTION("GOOGLETRANSLATE(A13763, ""en"", ""mt"")"),"Impass kostituzzjonali huwa distint minn liema terminu ewlieni?")</f>
        <v>Impass kostituzzjonali huwa distint minn liema terminu ewlieni?</v>
      </c>
    </row>
    <row r="13764" ht="15.75" customHeight="1">
      <c r="A13764" s="2" t="s">
        <v>13764</v>
      </c>
      <c r="B13764" s="2" t="str">
        <f>IFERROR(__xludf.DUMMYFUNCTION("GOOGLETRANSLATE(A13764, ""en"", ""mt"")"),"influwenza")</f>
        <v>influwenza</v>
      </c>
    </row>
    <row r="13765" ht="15.75" customHeight="1">
      <c r="A13765" s="2" t="s">
        <v>13765</v>
      </c>
      <c r="B13765" s="2" t="str">
        <f>IFERROR(__xludf.DUMMYFUNCTION("GOOGLETRANSLATE(A13765, ""en"", ""mt"")"),"Vγ9 / Vδ2")</f>
        <v>Vγ9 / Vδ2</v>
      </c>
    </row>
    <row r="13766" ht="15.75" customHeight="1">
      <c r="A13766" s="2" t="s">
        <v>13766</v>
      </c>
      <c r="B13766" s="2" t="str">
        <f>IFERROR(__xludf.DUMMYFUNCTION("GOOGLETRANSLATE(A13766, ""en"", ""mt"")"),"Forza tal-frizzjoni kinetika")</f>
        <v>Forza tal-frizzjoni kinetika</v>
      </c>
    </row>
    <row r="13767" ht="15.75" customHeight="1">
      <c r="A13767" s="2" t="s">
        <v>13767</v>
      </c>
      <c r="B13767" s="2" t="str">
        <f>IFERROR(__xludf.DUMMYFUNCTION("GOOGLETRANSLATE(A13767, ""en"", ""mt"")"),"il-kleru")</f>
        <v>il-kleru</v>
      </c>
    </row>
    <row r="13768" ht="15.75" customHeight="1">
      <c r="A13768" s="2" t="s">
        <v>13768</v>
      </c>
      <c r="B13768" s="2" t="str">
        <f>IFERROR(__xludf.DUMMYFUNCTION("GOOGLETRANSLATE(A13768, ""en"", ""mt"")"),"Il-lobata għandhom par ta 'lobi, li huma estensjonijiet muskolari u cuplike tal-ġisem li jipproġettaw lil hinn mill-ħalq. It-tentakli li ma jidhrux tagħhom joriġinaw mill-kantunieri tal-ħalq, li jimxu fi skanalaturi konvoluti u jinfirxu fuq il-wiċċ ta 'ġe"&amp;"wwa tal-lobi (aktar milli jimxu' l bogħod lura, bħal fiċ-Cydippida). Bejn il-lobi fuq kull naħa tal-ħalq, ħafna speċi ta 'lobati għandhom erba' arikoli, projezzjonijiet ġelatinużi maħduma b'ċili li jipproduċu kurrenti tal-ilma li jgħinu l-priża mikroskopi"&amp;"ka diretta lejn il-ħalq. Din il-kombinazzjoni ta 'strutturi tippermetti lill-lobati jitimgħu kontinwament fuq priża planktonika sospiża.")</f>
        <v>Il-lobata għandhom par ta 'lobi, li huma estensjonijiet muskolari u cuplike tal-ġisem li jipproġettaw lil hinn mill-ħalq. It-tentakli li ma jidhrux tagħhom joriġinaw mill-kantunieri tal-ħalq, li jimxu fi skanalaturi konvoluti u jinfirxu fuq il-wiċċ ta 'ġewwa tal-lobi (aktar milli jimxu' l bogħod lura, bħal fiċ-Cydippida). Bejn il-lobi fuq kull naħa tal-ħalq, ħafna speċi ta 'lobati għandhom erba' arikoli, projezzjonijiet ġelatinużi maħduma b'ċili li jipproduċu kurrenti tal-ilma li jgħinu l-priża mikroskopika diretta lejn il-ħalq. Din il-kombinazzjoni ta 'strutturi tippermetti lill-lobati jitimgħu kontinwament fuq priża planktonika sospiża.</v>
      </c>
    </row>
    <row r="13769" ht="15.75" customHeight="1">
      <c r="A13769" s="2" t="s">
        <v>13769</v>
      </c>
      <c r="B13769" s="2" t="str">
        <f>IFERROR(__xludf.DUMMYFUNCTION("GOOGLETRANSLATE(A13769, ""en"", ""mt"")"),"Moor Town")</f>
        <v>Moor Town</v>
      </c>
    </row>
    <row r="13770" ht="15.75" customHeight="1">
      <c r="A13770" s="2" t="s">
        <v>13770</v>
      </c>
      <c r="B13770" s="2" t="str">
        <f>IFERROR(__xludf.DUMMYFUNCTION("GOOGLETRANSLATE(A13770, ""en"", ""mt"")"),"L-istrumenti mużikali tal-Punent ġew introdotti biex jarrikkixxu l-arti tal-ispettaklu Ċiniżi. Minn dan il-perjodu tmur il-konverżjoni għall-Iżlam, mill-Musulmani tal-Asja Ċentrali, ta 'numru dejjem jikber ta' Ċiniżi fil-majjistral u fil-Lbiċ. In-Nestorij"&amp;"iżmu u l-Kattoliċiżmu Ruman gawdew ukoll perjodu ta ’tolleranza. Il-Buddiżmu (speċjalment il-Buddiżmu Tibetan) iffjorixxa, għalkemm it-Taoiżmu ġarrab ċerti persekuzzjonijiet favur il-Buddiżmu mill-gvern tal-Yuan. Prattiki governattivi Confucian u eżamijie"&amp;"t ibbażati fuq il-klassiċi, li ma waqgħux fl-użu fit-tramuntana taċ-Ċina matul il-perjodu ta 'diżunità, reġgħu ġew imdaħħla mill-qorti tal-Yuan, probabbilment bit-tama li żżomm l-ordni fuq is-soċjetà Han. L-avvanzi ġew realizzati fl-oqsma tal-letteratura "&amp;"tal-ivvjaġġar, il-kartografija, il-ġeografija, u l-edukazzjoni xjentifika.")</f>
        <v>L-istrumenti mużikali tal-Punent ġew introdotti biex jarrikkixxu l-arti tal-ispettaklu Ċiniżi. Minn dan il-perjodu tmur il-konverżjoni għall-Iżlam, mill-Musulmani tal-Asja Ċentrali, ta 'numru dejjem jikber ta' Ċiniżi fil-majjistral u fil-Lbiċ. In-Nestorijiżmu u l-Kattoliċiżmu Ruman gawdew ukoll perjodu ta ’tolleranza. Il-Buddiżmu (speċjalment il-Buddiżmu Tibetan) iffjorixxa, għalkemm it-Taoiżmu ġarrab ċerti persekuzzjonijiet favur il-Buddiżmu mill-gvern tal-Yuan. Prattiki governattivi Confucian u eżamijiet ibbażati fuq il-klassiċi, li ma waqgħux fl-użu fit-tramuntana taċ-Ċina matul il-perjodu ta 'diżunità, reġgħu ġew imdaħħla mill-qorti tal-Yuan, probabbilment bit-tama li żżomm l-ordni fuq is-soċjetà Han. L-avvanzi ġew realizzati fl-oqsma tal-letteratura tal-ivvjaġġar, il-kartografija, il-ġeografija, u l-edukazzjoni xjentifika.</v>
      </c>
    </row>
    <row r="13771" ht="15.75" customHeight="1">
      <c r="A13771" s="2" t="s">
        <v>13771</v>
      </c>
      <c r="B13771" s="2" t="str">
        <f>IFERROR(__xludf.DUMMYFUNCTION("GOOGLETRANSLATE(A13771, ""en"", ""mt"")"),"Liema kienu l-istrutturi mibnija mis-Sovjetiċi tipiċi?")</f>
        <v>Liema kienu l-istrutturi mibnija mis-Sovjetiċi tipiċi?</v>
      </c>
    </row>
    <row r="13772" ht="15.75" customHeight="1">
      <c r="A13772" s="2" t="s">
        <v>13772</v>
      </c>
      <c r="B13772" s="2" t="str">
        <f>IFERROR(__xludf.DUMMYFUNCTION("GOOGLETRANSLATE(A13772, ""en"", ""mt"")"),"Kif kien jissejjaħ l-apparat ta 'Tesla?")</f>
        <v>Kif kien jissejjaħ l-apparat ta 'Tesla?</v>
      </c>
    </row>
    <row r="13773" ht="15.75" customHeight="1">
      <c r="A13773" s="2" t="s">
        <v>13773</v>
      </c>
      <c r="B13773" s="2" t="str">
        <f>IFERROR(__xludf.DUMMYFUNCTION("GOOGLETRANSLATE(A13773, ""en"", ""mt"")"),"Minbarra vapuri tal-gwerra, liema vapuri tipikament kienu jeħtieġu veloċitajiet għoljin?")</f>
        <v>Minbarra vapuri tal-gwerra, liema vapuri tipikament kienu jeħtieġu veloċitajiet għoljin?</v>
      </c>
    </row>
    <row r="13774" ht="15.75" customHeight="1">
      <c r="A13774" s="2" t="s">
        <v>13774</v>
      </c>
      <c r="B13774" s="2" t="str">
        <f>IFERROR(__xludf.DUMMYFUNCTION("GOOGLETRANSLATE(A13774, ""en"", ""mt"")"),"Il-kummissarji għandhom diversi privileġġi, bħalma huma eżentati mit-taxxi tal-Istat Membru (iżda mhux it-taxxi tal-UE), u għandhom immunità mill-prosekuzzjoni talli għamlu atti uffiċjali. Xi drabi l-kummissarji nstabu li abbużaw mill-uffiċċji tagħhom, pa"&amp;"rtikolarment peress li l-Kummissjoni Santer ġiet iċċensurata mill-Parlament fl-1999, u eventwalment irriżenjaw minħabba allegazzjonijiet ta 'korruzzjoni. Dan irriżulta f'każ ewlieni wieħed, il-Kummissjoni v Edith Cresson fejn il-Qorti Ewropea tal-Ġustizzj"&amp;"a ddeċidiet li kummissarju li jagħti xogħol lid-dentist tagħha, li għalih kien ċar mhux kwalifikat, fil-fatt ma kiser l-ebda liġi. B'kuntrast mal-approċċ rilassat tal-ECJ, kumitat ta 'esperti indipendenti sab li kultura kienet żviluppat fejn ftit kummissa"&amp;"rji kellhom ""anke l-iċken sens ta' responsabbiltà"". Dan wassal għall-ħolqien tal-uffiċċju Ewropew kontra l-frodi. Fl-2012 hija investigat il-Kummissarju Malti għas-Saħħa, John Dalli, li malajr irriżenja wara allegazzjonijiet li rċieva tixħim ta '€ 60m b"&amp;"'rabta ma' direttiva dwar il-Prodotti tat-Tabakk. Lil hinn mill-Kummissjoni, il-Bank Ċentrali Ewropew għandu awtonomija eżekuttiva relattiva fit-tmexxija tiegħu tal-politika monetarja bl-iskop li timmaniġġja l-euro. Għandu bord ta 'sitt persuni maħtur mil"&amp;"l-Kunsill Ewropew, dwar ir-rakkomandazzjoni tal-Kunsill. Il-President tal-Kunsill u Kummissarju jistgħu joqogħdu fil-laqgħat tal-BĊE, iżda m'għandhomx drittijiet tal-vot.")</f>
        <v>Il-kummissarji għandhom diversi privileġġi, bħalma huma eżentati mit-taxxi tal-Istat Membru (iżda mhux it-taxxi tal-UE), u għandhom immunità mill-prosekuzzjoni talli għamlu atti uffiċjali. Xi drabi l-kummissarji nstabu li abbużaw mill-uffiċċji tagħhom, partikolarment peress li l-Kummissjoni Santer ġiet iċċensurata mill-Parlament fl-1999, u eventwalment irriżenjaw minħabba allegazzjonijiet ta 'korruzzjoni. Dan irriżulta f'każ ewlieni wieħed, il-Kummissjoni v Edith Cresson fejn il-Qorti Ewropea tal-Ġustizzja ddeċidiet li kummissarju li jagħti xogħol lid-dentist tagħha, li għalih kien ċar mhux kwalifikat, fil-fatt ma kiser l-ebda liġi. B'kuntrast mal-approċċ rilassat tal-ECJ, kumitat ta 'esperti indipendenti sab li kultura kienet żviluppat fejn ftit kummissarji kellhom "anke l-iċken sens ta' responsabbiltà". Dan wassal għall-ħolqien tal-uffiċċju Ewropew kontra l-frodi. Fl-2012 hija investigat il-Kummissarju Malti għas-Saħħa, John Dalli, li malajr irriżenja wara allegazzjonijiet li rċieva tixħim ta '€ 60m b'rabta ma' direttiva dwar il-Prodotti tat-Tabakk. Lil hinn mill-Kummissjoni, il-Bank Ċentrali Ewropew għandu awtonomija eżekuttiva relattiva fit-tmexxija tiegħu tal-politika monetarja bl-iskop li timmaniġġja l-euro. Għandu bord ta 'sitt persuni maħtur mill-Kunsill Ewropew, dwar ir-rakkomandazzjoni tal-Kunsill. Il-President tal-Kunsill u Kummissarju jistgħu joqogħdu fil-laqgħat tal-BĊE, iżda m'għandhomx drittijiet tal-vot.</v>
      </c>
    </row>
    <row r="13775" ht="15.75" customHeight="1">
      <c r="A13775" s="2" t="s">
        <v>13775</v>
      </c>
      <c r="B13775" s="2" t="str">
        <f>IFERROR(__xludf.DUMMYFUNCTION("GOOGLETRANSLATE(A13775, ""en"", ""mt"")"),"1688–1692")</f>
        <v>1688–1692</v>
      </c>
    </row>
    <row r="13776" ht="15.75" customHeight="1">
      <c r="A13776" s="2" t="s">
        <v>13776</v>
      </c>
      <c r="B13776" s="2" t="str">
        <f>IFERROR(__xludf.DUMMYFUNCTION("GOOGLETRANSLATE(A13776, ""en"", ""mt"")"),"L-Imperu Ottoman ikkontrolla t-territorju fuq tliet kontinenti, l-Afrika, l-Asja u liema oħra?")</f>
        <v>L-Imperu Ottoman ikkontrolla t-territorju fuq tliet kontinenti, l-Afrika, l-Asja u liema oħra?</v>
      </c>
    </row>
    <row r="13777" ht="15.75" customHeight="1">
      <c r="A13777" s="2" t="s">
        <v>13777</v>
      </c>
      <c r="B13777" s="2" t="str">
        <f>IFERROR(__xludf.DUMMYFUNCTION("GOOGLETRANSLATE(A13777, ""en"", ""mt"")"),"Fattur ieħor li jiddependi mill-fotosintesi")</f>
        <v>Fattur ieħor li jiddependi mill-fotosintesi</v>
      </c>
    </row>
    <row r="13778" ht="15.75" customHeight="1">
      <c r="A13778" s="2" t="s">
        <v>13778</v>
      </c>
      <c r="B13778" s="2" t="str">
        <f>IFERROR(__xludf.DUMMYFUNCTION("GOOGLETRANSLATE(A13778, ""en"", ""mt"")"),"Ħsarat Ingliżi fl-Amerika ta ’Fuq, flimkien ma’ fallimenti oħra fl-Ewropa")</f>
        <v>Ħsarat Ingliżi fl-Amerika ta ’Fuq, flimkien ma’ fallimenti oħra fl-Ewropa</v>
      </c>
    </row>
    <row r="13779" ht="15.75" customHeight="1">
      <c r="A13779" s="2" t="s">
        <v>13779</v>
      </c>
      <c r="B13779" s="2" t="str">
        <f>IFERROR(__xludf.DUMMYFUNCTION("GOOGLETRANSLATE(A13779, ""en"", ""mt"")"),"pompa tal-fwar")</f>
        <v>pompa tal-fwar</v>
      </c>
    </row>
    <row r="13780" ht="15.75" customHeight="1">
      <c r="A13780" s="2" t="s">
        <v>13780</v>
      </c>
      <c r="B13780" s="2" t="str">
        <f>IFERROR(__xludf.DUMMYFUNCTION("GOOGLETRANSLATE(A13780, ""en"", ""mt"")"),"glaċier")</f>
        <v>glaċier</v>
      </c>
    </row>
    <row r="13781" ht="15.75" customHeight="1">
      <c r="A13781" s="2" t="s">
        <v>13781</v>
      </c>
      <c r="B13781" s="2" t="str">
        <f>IFERROR(__xludf.DUMMYFUNCTION("GOOGLETRANSLATE(A13781, ""en"", ""mt"")"),"Il-fotosintesi tuża liema enerġija għandha għall-ossiġnu mill-ilma?")</f>
        <v>Il-fotosintesi tuża liema enerġija għandha għall-ossiġnu mill-ilma?</v>
      </c>
    </row>
    <row r="13782" ht="15.75" customHeight="1">
      <c r="A13782" s="2" t="s">
        <v>13782</v>
      </c>
      <c r="B13782" s="2" t="str">
        <f>IFERROR(__xludf.DUMMYFUNCTION("GOOGLETRANSLATE(A13782, ""en"", ""mt"")"),"L-ewwel Newton")</f>
        <v>L-ewwel Newton</v>
      </c>
    </row>
    <row r="13783" ht="15.75" customHeight="1">
      <c r="A13783" s="2" t="s">
        <v>13783</v>
      </c>
      <c r="B13783" s="2" t="str">
        <f>IFERROR(__xludf.DUMMYFUNCTION("GOOGLETRANSLATE(A13783, ""en"", ""mt"")"),"L-imperu waqa '")</f>
        <v>L-imperu waqa '</v>
      </c>
    </row>
    <row r="13784" ht="15.75" customHeight="1">
      <c r="A13784" s="2" t="s">
        <v>13784</v>
      </c>
      <c r="B13784" s="2" t="str">
        <f>IFERROR(__xludf.DUMMYFUNCTION("GOOGLETRANSLATE(A13784, ""en"", ""mt"")"),"Kemm ġew Musulmani minn madwar id-dinja biex jiġġieldu fl-Afganistan?")</f>
        <v>Kemm ġew Musulmani minn madwar id-dinja biex jiġġieldu fl-Afganistan?</v>
      </c>
    </row>
    <row r="13785" ht="15.75" customHeight="1">
      <c r="A13785" s="2" t="s">
        <v>13785</v>
      </c>
      <c r="B13785" s="2" t="str">
        <f>IFERROR(__xludf.DUMMYFUNCTION("GOOGLETRANSLATE(A13785, ""en"", ""mt"")"),"Il-proporzjonalità hija rikonoxxuta waħda mill-prinċipji ġenerali tal-liġi tal-Unjoni Ewropea mill-Qorti Ewropea tal-Ġustizzja mill-ħamsinijiet. Skond il-prinċipju ġenerali ta 'proporzjonalità, il-legalità ta' azzjoni tiddependi fuq jekk kienx xieraq u ne"&amp;"ċessarju li jinkisbu l-għanijiet leġittimament segwiti. Meta jkun hemm għażla bejn diversi miżuri xierqa, l-inqas onerużi għandhom jiġu adottati, u kwalunkwe żvantaġġ ikkawżat m'għandux ikun sproporzjonat għall-għanijiet segwiti. Il-prinċipju tal-proporzj"&amp;"onalità huwa rikonoxxut ukoll fl-Artikolu 5 tat-Trattat tal-KE, li jiddikjara li ""kwalunkwe azzjoni mill-komunità m'għandhiex tmur lil hinn minn dak li hu meħtieġ biex jinkisbu l-għanijiet ta 'dan it-trattat"".")</f>
        <v>Il-proporzjonalità hija rikonoxxuta waħda mill-prinċipji ġenerali tal-liġi tal-Unjoni Ewropea mill-Qorti Ewropea tal-Ġustizzja mill-ħamsinijiet. Skond il-prinċipju ġenerali ta 'proporzjonalità, il-legalità ta' azzjoni tiddependi fuq jekk kienx xieraq u neċessarju li jinkisbu l-għanijiet leġittimament segwiti. Meta jkun hemm għażla bejn diversi miżuri xierqa, l-inqas onerużi għandhom jiġu adottati, u kwalunkwe żvantaġġ ikkawżat m'għandux ikun sproporzjonat għall-għanijiet segwiti. Il-prinċipju tal-proporzjonalità huwa rikonoxxut ukoll fl-Artikolu 5 tat-Trattat tal-KE, li jiddikjara li "kwalunkwe azzjoni mill-komunità m'għandhiex tmur lil hinn minn dak li hu meħtieġ biex jinkisbu l-għanijiet ta 'dan it-trattat".</v>
      </c>
    </row>
    <row r="13786" ht="15.75" customHeight="1">
      <c r="A13786" s="2" t="s">
        <v>13786</v>
      </c>
      <c r="B13786" s="2" t="str">
        <f>IFERROR(__xludf.DUMMYFUNCTION("GOOGLETRANSLATE(A13786, ""en"", ""mt"")"),"Fejn l-ekwipaġġ ta 'Apollo 1 wettaq testijiet fiċ-Ċentru Spazjali Kennedy?")</f>
        <v>Fejn l-ekwipaġġ ta 'Apollo 1 wettaq testijiet fiċ-Ċentru Spazjali Kennedy?</v>
      </c>
    </row>
    <row r="13787" ht="15.75" customHeight="1">
      <c r="A13787" s="2" t="s">
        <v>13787</v>
      </c>
      <c r="B13787" s="2" t="str">
        <f>IFERROR(__xludf.DUMMYFUNCTION("GOOGLETRANSLATE(A13787, ""en"", ""mt"")"),"blat tal-qoxra")</f>
        <v>blat tal-qoxra</v>
      </c>
    </row>
    <row r="13788" ht="15.75" customHeight="1">
      <c r="A13788" s="2" t="s">
        <v>13788</v>
      </c>
      <c r="B13788" s="2" t="str">
        <f>IFERROR(__xludf.DUMMYFUNCTION("GOOGLETRANSLATE(A13788, ""en"", ""mt"")"),"pompa")</f>
        <v>pompa</v>
      </c>
    </row>
    <row r="13789" ht="15.75" customHeight="1">
      <c r="A13789" s="2" t="s">
        <v>13789</v>
      </c>
      <c r="B13789" s="2" t="str">
        <f>IFERROR(__xludf.DUMMYFUNCTION("GOOGLETRANSLATE(A13789, ""en"", ""mt"")"),"X'kienet il-popolazzjoni tal-Kenja fl-2014?")</f>
        <v>X'kienet il-popolazzjoni tal-Kenja fl-2014?</v>
      </c>
    </row>
    <row r="13790" ht="15.75" customHeight="1">
      <c r="A13790" s="2" t="s">
        <v>13790</v>
      </c>
      <c r="B13790" s="2" t="str">
        <f>IFERROR(__xludf.DUMMYFUNCTION("GOOGLETRANSLATE(A13790, ""en"", ""mt"")"),"Wara li rrikonoxxa li t-tneħħija tal-klima bħala kwistjoni ewlenija ta 'żvilupp fil-Viżjoni 2030 kienet sorveljanza")</f>
        <v>Wara li rrikonoxxa li t-tneħħija tal-klima bħala kwistjoni ewlenija ta 'żvilupp fil-Viżjoni 2030 kienet sorveljanza</v>
      </c>
    </row>
    <row r="13791" ht="15.75" customHeight="1">
      <c r="A13791" s="2" t="s">
        <v>13791</v>
      </c>
      <c r="B13791" s="2" t="str">
        <f>IFERROR(__xludf.DUMMYFUNCTION("GOOGLETRANSLATE(A13791, ""en"", ""mt"")"),"X'inhi meqjusa bħala l-Mother Knisja tal-Metodiżmu Amerikan?")</f>
        <v>X'inhi meqjusa bħala l-Mother Knisja tal-Metodiżmu Amerikan?</v>
      </c>
    </row>
    <row r="13792" ht="15.75" customHeight="1">
      <c r="A13792" s="2" t="s">
        <v>13792</v>
      </c>
      <c r="B13792" s="2" t="str">
        <f>IFERROR(__xludf.DUMMYFUNCTION("GOOGLETRANSLATE(A13792, ""en"", ""mt"")"),"1724 sal-1725")</f>
        <v>1724 sal-1725</v>
      </c>
    </row>
    <row r="13793" ht="15.75" customHeight="1">
      <c r="A13793" s="2" t="s">
        <v>13793</v>
      </c>
      <c r="B13793" s="2" t="str">
        <f>IFERROR(__xludf.DUMMYFUNCTION("GOOGLETRANSLATE(A13793, ""en"", ""mt"")"),"X'uża biex tħalli l-kordi tal-ideat jibdlu d-direzzjoni?")</f>
        <v>X'uża biex tħalli l-kordi tal-ideat jibdlu d-direzzjoni?</v>
      </c>
    </row>
    <row r="13794" ht="15.75" customHeight="1">
      <c r="A13794" s="2" t="s">
        <v>13794</v>
      </c>
      <c r="B13794" s="2" t="str">
        <f>IFERROR(__xludf.DUMMYFUNCTION("GOOGLETRANSLATE(A13794, ""en"", ""mt"")"),"bħala li għandhom x'jaqsmu mar-relazzjoni taċ-ċittadin mal-istat u l-liġijiet tiegħu")</f>
        <v>bħala li għandhom x'jaqsmu mar-relazzjoni taċ-ċittadin mal-istat u l-liġijiet tiegħu</v>
      </c>
    </row>
    <row r="13795" ht="15.75" customHeight="1">
      <c r="A13795" s="2" t="s">
        <v>13795</v>
      </c>
      <c r="B13795" s="2" t="str">
        <f>IFERROR(__xludf.DUMMYFUNCTION("GOOGLETRANSLATE(A13795, ""en"", ""mt"")"),"Orbitali molekulari")</f>
        <v>Orbitali molekulari</v>
      </c>
    </row>
    <row r="13796" ht="15.75" customHeight="1">
      <c r="A13796" s="2" t="s">
        <v>13796</v>
      </c>
      <c r="B13796" s="2" t="str">
        <f>IFERROR(__xludf.DUMMYFUNCTION("GOOGLETRANSLATE(A13796, ""en"", ""mt"")"),"Kont epidemjoloġiku")</f>
        <v>Kont epidemjoloġiku</v>
      </c>
    </row>
    <row r="13797" ht="15.75" customHeight="1">
      <c r="A13797" s="2" t="s">
        <v>13797</v>
      </c>
      <c r="B13797" s="2" t="str">
        <f>IFERROR(__xludf.DUMMYFUNCTION("GOOGLETRANSLATE(A13797, ""en"", ""mt"")"),"Mill-1 seklu WK sal-preżent")</f>
        <v>Mill-1 seklu WK sal-preżent</v>
      </c>
    </row>
    <row r="13798" ht="15.75" customHeight="1">
      <c r="A13798" s="2" t="s">
        <v>13798</v>
      </c>
      <c r="B13798" s="2" t="str">
        <f>IFERROR(__xludf.DUMMYFUNCTION("GOOGLETRANSLATE(A13798, ""en"", ""mt"")"),"X'inhu jattira t-turisti lejn il-Kenja?")</f>
        <v>X'inhu jattira t-turisti lejn il-Kenja?</v>
      </c>
    </row>
    <row r="13799" ht="15.75" customHeight="1">
      <c r="A13799" s="2" t="s">
        <v>13799</v>
      </c>
      <c r="B13799" s="2" t="str">
        <f>IFERROR(__xludf.DUMMYFUNCTION("GOOGLETRANSLATE(A13799, ""en"", ""mt"")"),"il-gwerra kollha")</f>
        <v>il-gwerra kollha</v>
      </c>
    </row>
    <row r="13800" ht="15.75" customHeight="1">
      <c r="A13800" s="2" t="s">
        <v>13800</v>
      </c>
      <c r="B13800" s="2" t="str">
        <f>IFERROR(__xludf.DUMMYFUNCTION("GOOGLETRANSLATE(A13800, ""en"", ""mt"")"),"X’ħaseb Luther dwar il-purgatorju?")</f>
        <v>X’ħaseb Luther dwar il-purgatorju?</v>
      </c>
    </row>
    <row r="13801" ht="15.75" customHeight="1">
      <c r="A13801" s="2" t="s">
        <v>13801</v>
      </c>
      <c r="B13801" s="2" t="str">
        <f>IFERROR(__xludf.DUMMYFUNCTION("GOOGLETRANSLATE(A13801, ""en"", ""mt"")"),"Xi jfisser marea għolja qrib artijiet?")</f>
        <v>Xi jfisser marea għolja qrib artijiet?</v>
      </c>
    </row>
    <row r="13802" ht="15.75" customHeight="1">
      <c r="A13802" s="2" t="s">
        <v>13802</v>
      </c>
      <c r="B13802" s="2" t="str">
        <f>IFERROR(__xludf.DUMMYFUNCTION("GOOGLETRANSLATE(A13802, ""en"", ""mt"")"),"Xi tuża Ctenophore biex taqbad il-priża?")</f>
        <v>Xi tuża Ctenophore biex taqbad il-priża?</v>
      </c>
    </row>
    <row r="13803" ht="15.75" customHeight="1">
      <c r="A13803" s="2" t="s">
        <v>13803</v>
      </c>
      <c r="B13803" s="2" t="str">
        <f>IFERROR(__xludf.DUMMYFUNCTION("GOOGLETRANSLATE(A13803, ""en"", ""mt"")"),"maqtula")</f>
        <v>maqtula</v>
      </c>
    </row>
    <row r="13804" ht="15.75" customHeight="1">
      <c r="A13804" s="2" t="s">
        <v>13804</v>
      </c>
      <c r="B13804" s="2" t="str">
        <f>IFERROR(__xludf.DUMMYFUNCTION("GOOGLETRANSLATE(A13804, ""en"", ""mt"")"),"aktar attiva u għex itwal waqt li tieħu n-nifs")</f>
        <v>aktar attiva u għex itwal waqt li tieħu n-nifs</v>
      </c>
    </row>
    <row r="13805" ht="15.75" customHeight="1">
      <c r="A13805" s="2" t="s">
        <v>13805</v>
      </c>
      <c r="B13805" s="2" t="str">
        <f>IFERROR(__xludf.DUMMYFUNCTION("GOOGLETRANSLATE(A13805, ""en"", ""mt"")"),"Fuq xiex tistrieħ il-leġittimità tal-UE?")</f>
        <v>Fuq xiex tistrieħ il-leġittimità tal-UE?</v>
      </c>
    </row>
    <row r="13806" ht="15.75" customHeight="1">
      <c r="A13806" s="2" t="s">
        <v>13806</v>
      </c>
      <c r="B13806" s="2" t="str">
        <f>IFERROR(__xludf.DUMMYFUNCTION("GOOGLETRANSLATE(A13806, ""en"", ""mt"")"),"X'kien il-vantaġġ tas-sistema b'żewġ fażijiet")</f>
        <v>X'kien il-vantaġġ tas-sistema b'żewġ fażijiet</v>
      </c>
    </row>
    <row r="13807" ht="15.75" customHeight="1">
      <c r="A13807" s="2" t="s">
        <v>13807</v>
      </c>
      <c r="B13807" s="2" t="str">
        <f>IFERROR(__xludf.DUMMYFUNCTION("GOOGLETRANSLATE(A13807, ""en"", ""mt"")"),"Franċiż_and_indian_war")</f>
        <v>Franċiż_and_indian_war</v>
      </c>
    </row>
    <row r="13808" ht="15.75" customHeight="1">
      <c r="A13808" s="2" t="s">
        <v>13808</v>
      </c>
      <c r="B13808" s="2" t="str">
        <f>IFERROR(__xludf.DUMMYFUNCTION("GOOGLETRANSLATE(A13808, ""en"", ""mt"")"),"Seklu 17.")</f>
        <v>Seklu 17.</v>
      </c>
    </row>
    <row r="13809" ht="15.75" customHeight="1">
      <c r="A13809" s="2" t="s">
        <v>13809</v>
      </c>
      <c r="B13809" s="2" t="str">
        <f>IFERROR(__xludf.DUMMYFUNCTION("GOOGLETRANSLATE(A13809, ""en"", ""mt"")"),"Luther x’sejjaħ il-ħobż u l-inbid ikkonsagrati?")</f>
        <v>Luther x’sejjaħ il-ħobż u l-inbid ikkonsagrati?</v>
      </c>
    </row>
    <row r="13810" ht="15.75" customHeight="1">
      <c r="A13810" s="2" t="s">
        <v>13810</v>
      </c>
      <c r="B13810" s="2" t="str">
        <f>IFERROR(__xludf.DUMMYFUNCTION("GOOGLETRANSLATE(A13810, ""en"", ""mt"")"),"Kif tissejjaħ meta l-fwar jimbotta ġeneratur turbo bi propulsjoni tal-mutur elettriku?")</f>
        <v>Kif tissejjaħ meta l-fwar jimbotta ġeneratur turbo bi propulsjoni tal-mutur elettriku?</v>
      </c>
    </row>
    <row r="13811" ht="15.75" customHeight="1">
      <c r="A13811" s="2" t="s">
        <v>13811</v>
      </c>
      <c r="B13811" s="2" t="str">
        <f>IFERROR(__xludf.DUMMYFUNCTION("GOOGLETRANSLATE(A13811, ""en"", ""mt"")"),"Żoni rurali fir-Renju Unit")</f>
        <v>Żoni rurali fir-Renju Unit</v>
      </c>
    </row>
    <row r="13812" ht="15.75" customHeight="1">
      <c r="A13812" s="2" t="s">
        <v>13812</v>
      </c>
      <c r="B13812" s="2" t="str">
        <f>IFERROR(__xludf.DUMMYFUNCTION("GOOGLETRANSLATE(A13812, ""en"", ""mt"")"),"Naħal reġina")</f>
        <v>Naħal reġina</v>
      </c>
    </row>
    <row r="13813" ht="15.75" customHeight="1">
      <c r="A13813" s="2" t="s">
        <v>13813</v>
      </c>
      <c r="B13813" s="2" t="str">
        <f>IFERROR(__xludf.DUMMYFUNCTION("GOOGLETRANSLATE(A13813, ""en"", ""mt"")"),"isuqhom quddiem l-armata")</f>
        <v>isuqhom quddiem l-armata</v>
      </c>
    </row>
    <row r="13814" ht="15.75" customHeight="1">
      <c r="A13814" s="2" t="s">
        <v>13814</v>
      </c>
      <c r="B13814" s="2" t="str">
        <f>IFERROR(__xludf.DUMMYFUNCTION("GOOGLETRANSLATE(A13814, ""en"", ""mt"")"),"X'kixef Johannes Agricola li żvela l-Evanġelju ta 'Alla?")</f>
        <v>X'kixef Johannes Agricola li żvela l-Evanġelju ta 'Alla?</v>
      </c>
    </row>
    <row r="13815" ht="15.75" customHeight="1">
      <c r="A13815" s="2" t="s">
        <v>13815</v>
      </c>
      <c r="B13815" s="2" t="str">
        <f>IFERROR(__xludf.DUMMYFUNCTION("GOOGLETRANSLATE(A13815, ""en"", ""mt"")"),"X'inhu l-isem ta 'algoritmu wieħed utli għall-ittestjar b'mod konvenjenti tal-primalità ta' numri kbar?")</f>
        <v>X'inhu l-isem ta 'algoritmu wieħed utli għall-ittestjar b'mod konvenjenti tal-primalità ta' numri kbar?</v>
      </c>
    </row>
    <row r="13816" ht="15.75" customHeight="1">
      <c r="A13816" s="2" t="s">
        <v>13816</v>
      </c>
      <c r="B13816" s="2" t="str">
        <f>IFERROR(__xludf.DUMMYFUNCTION("GOOGLETRANSLATE(A13816, ""en"", ""mt"")"),"il-qoxra u l-parti l-iktar riġida tal-mantell ta 'fuq")</f>
        <v>il-qoxra u l-parti l-iktar riġida tal-mantell ta 'fuq</v>
      </c>
    </row>
    <row r="13817" ht="15.75" customHeight="1">
      <c r="A13817" s="2" t="s">
        <v>13817</v>
      </c>
      <c r="B13817" s="2" t="str">
        <f>IFERROR(__xludf.DUMMYFUNCTION("GOOGLETRANSLATE(A13817, ""en"", ""mt"")"),"Fl-2007, il-gvern tal-Kenja żvela Vision 2030, programm ta 'żvilupp ekonomiku li jittama li jpoġġi lill-pajjiż fl-istess kampjonat bħat-Tigers Ekonomiċi Ażjatiċi sas-sena 2030. Fl-2013, nediet pjan ta' azzjoni nazzjonali dwar it-tibdil fil-klima, wara Il-"&amp;"klima bħala kwistjoni ewlenija ta 'żvilupp fil-Viżjoni 2030 kienet sorveljanza. Il-pjan ta 'azzjoni ta' 200 paġna, żviluppat b'appoġġ min-Netwerk ta 'Għarfien dwar il-Klima u l-Iżvilupp, jistabbilixxi l-viżjoni tal-gvern tal-Kenja għal ""mogħdija ta' żvil"&amp;"upp reżiljenti b'livell baxx ta 'karbonju"". Fit-tnedija f'Marzu 2013, is-Segretarju tal-Ministeru tal-Ippjanar, l-Iżvilupp Nazzjonali u l-Viżjoni 2030 enfasizza li l-klima se tkun kwistjoni ċentrali fil-pjan ta 'terminu medju mġedded li se jitnieda fix-x"&amp;"hur li ġejjin. Dan se joħloq qafas ta 'konsenja dirett u robust għall-pjan ta' azzjoni u jiżgura li t-tibdil fil-klima jiġi ttrattat bħala kwistjoni fl-ekonomija kollha.")</f>
        <v>Fl-2007, il-gvern tal-Kenja żvela Vision 2030, programm ta 'żvilupp ekonomiku li jittama li jpoġġi lill-pajjiż fl-istess kampjonat bħat-Tigers Ekonomiċi Ażjatiċi sas-sena 2030. Fl-2013, nediet pjan ta' azzjoni nazzjonali dwar it-tibdil fil-klima, wara Il-klima bħala kwistjoni ewlenija ta 'żvilupp fil-Viżjoni 2030 kienet sorveljanza. Il-pjan ta 'azzjoni ta' 200 paġna, żviluppat b'appoġġ min-Netwerk ta 'Għarfien dwar il-Klima u l-Iżvilupp, jistabbilixxi l-viżjoni tal-gvern tal-Kenja għal "mogħdija ta' żvilupp reżiljenti b'livell baxx ta 'karbonju". Fit-tnedija f'Marzu 2013, is-Segretarju tal-Ministeru tal-Ippjanar, l-Iżvilupp Nazzjonali u l-Viżjoni 2030 enfasizza li l-klima se tkun kwistjoni ċentrali fil-pjan ta 'terminu medju mġedded li se jitnieda fix-xhur li ġejjin. Dan se joħloq qafas ta 'konsenja dirett u robust għall-pjan ta' azzjoni u jiżgura li t-tibdil fil-klima jiġi ttrattat bħala kwistjoni fl-ekonomija kollha.</v>
      </c>
    </row>
    <row r="13818" ht="15.75" customHeight="1">
      <c r="A13818" s="2" t="s">
        <v>13818</v>
      </c>
      <c r="B13818" s="2" t="str">
        <f>IFERROR(__xludf.DUMMYFUNCTION("GOOGLETRANSLATE(A13818, ""en"", ""mt"")"),"X’tradotta Marlee Matlin?")</f>
        <v>X’tradotta Marlee Matlin?</v>
      </c>
    </row>
    <row r="13819" ht="15.75" customHeight="1">
      <c r="A13819" s="2" t="s">
        <v>13819</v>
      </c>
      <c r="B13819" s="2" t="str">
        <f>IFERROR(__xludf.DUMMYFUNCTION("GOOGLETRANSLATE(A13819, ""en"", ""mt"")"),"Ir-Repubblika Iżlamika")</f>
        <v>Ir-Repubblika Iżlamika</v>
      </c>
    </row>
    <row r="13820" ht="15.75" customHeight="1">
      <c r="A13820" s="2" t="s">
        <v>13820</v>
      </c>
      <c r="B13820" s="2" t="str">
        <f>IFERROR(__xludf.DUMMYFUNCTION("GOOGLETRANSLATE(A13820, ""en"", ""mt"")"),"Meta l-Gran Brittanja tikkolonizza l-Awstralja?")</f>
        <v>Meta l-Gran Brittanja tikkolonizza l-Awstralja?</v>
      </c>
    </row>
    <row r="13821" ht="15.75" customHeight="1">
      <c r="A13821" s="2" t="s">
        <v>13821</v>
      </c>
      <c r="B13821" s="2" t="str">
        <f>IFERROR(__xludf.DUMMYFUNCTION("GOOGLETRANSLATE(A13821, ""en"", ""mt"")"),"il-problema diskreta tal-logaritmu")</f>
        <v>il-problema diskreta tal-logaritmu</v>
      </c>
    </row>
    <row r="13822" ht="15.75" customHeight="1">
      <c r="A13822" s="2" t="s">
        <v>13822</v>
      </c>
      <c r="B13822" s="2" t="str">
        <f>IFERROR(__xludf.DUMMYFUNCTION("GOOGLETRANSLATE(A13822, ""en"", ""mt"")"),"Harvard għandu diversi faċilitajiet atletiċi, bħall-Padiljun Lavietes, arena b'diversi skopijiet u dar għat-timijiet tal-basketball ta 'Harvard. Iċ-Ċentru Atletiku ta 'Malkin, magħruf bħala ""Mac"", iservi kemm bħala l-faċilità ta' rikreazzjoni primarja t"&amp;"al-università kif ukoll bħala post bis-satellita għal diversi sports ta 'varsity. Il-bini b'ħames sulari jinkludi żewġ kmamar kardjo, pixxina ta 'daqs Olimpiku, ġabra iżgħar għall-akwaerobika u attivitajiet oħra, mezzanin, fejn huma miżmuma t-tipi kollha "&amp;"ta' klassijiet, studju ta 'ċikliżmu fuq ġewwa, tliet kmamar tal-piż, u tlieta Qorti tal-ġinnasju tal-qorti biex tilgħab il-baskitbol. Il-Mac joffri trejners personali u klassijiet ta 'speċjalità. Huwa d-dar ta 'Harvard Volleyball, Fencing u Wrestling. L-u"&amp;"ffiċċji ta 'bosta mill-kowċis tal-varsity tal-iskola huma wkoll fil-Mac.")</f>
        <v>Harvard għandu diversi faċilitajiet atletiċi, bħall-Padiljun Lavietes, arena b'diversi skopijiet u dar għat-timijiet tal-basketball ta 'Harvard. Iċ-Ċentru Atletiku ta 'Malkin, magħruf bħala "Mac", iservi kemm bħala l-faċilità ta' rikreazzjoni primarja tal-università kif ukoll bħala post bis-satellita għal diversi sports ta 'varsity. Il-bini b'ħames sulari jinkludi żewġ kmamar kardjo, pixxina ta 'daqs Olimpiku, ġabra iżgħar għall-akwaerobika u attivitajiet oħra, mezzanin, fejn huma miżmuma t-tipi kollha ta' klassijiet, studju ta 'ċikliżmu fuq ġewwa, tliet kmamar tal-piż, u tlieta Qorti tal-ġinnasju tal-qorti biex tilgħab il-baskitbol. Il-Mac joffri trejners personali u klassijiet ta 'speċjalità. Huwa d-dar ta 'Harvard Volleyball, Fencing u Wrestling. L-uffiċċji ta 'bosta mill-kowċis tal-varsity tal-iskola huma wkoll fil-Mac.</v>
      </c>
    </row>
    <row r="13823" ht="15.75" customHeight="1">
      <c r="A13823" s="2" t="s">
        <v>13823</v>
      </c>
      <c r="B13823" s="2" t="str">
        <f>IFERROR(__xludf.DUMMYFUNCTION("GOOGLETRANSLATE(A13823, ""en"", ""mt"")"),"aktar minn 330")</f>
        <v>aktar minn 330</v>
      </c>
    </row>
    <row r="13824" ht="15.75" customHeight="1">
      <c r="A13824" s="2" t="s">
        <v>13824</v>
      </c>
      <c r="B13824" s="2" t="str">
        <f>IFERROR(__xludf.DUMMYFUNCTION("GOOGLETRANSLATE(A13824, ""en"", ""mt"")"),"Kumpanija Edison Kontinentali")</f>
        <v>Kumpanija Edison Kontinentali</v>
      </c>
    </row>
    <row r="13825" ht="15.75" customHeight="1">
      <c r="A13825" s="2" t="s">
        <v>13825</v>
      </c>
      <c r="B13825" s="2" t="str">
        <f>IFERROR(__xludf.DUMMYFUNCTION("GOOGLETRANSLATE(A13825, ""en"", ""mt"")"),"fil-lag")</f>
        <v>fil-lag</v>
      </c>
    </row>
    <row r="13826" ht="15.75" customHeight="1">
      <c r="A13826" s="2" t="s">
        <v>13826</v>
      </c>
      <c r="B13826" s="2" t="str">
        <f>IFERROR(__xludf.DUMMYFUNCTION("GOOGLETRANSLATE(A13826, ""en"", ""mt"")"),"Flussi tal-lava bażaltiċi b'saffi")</f>
        <v>Flussi tal-lava bażaltiċi b'saffi</v>
      </c>
    </row>
    <row r="13827" ht="15.75" customHeight="1">
      <c r="A13827" s="2" t="s">
        <v>13827</v>
      </c>
      <c r="B13827" s="2" t="str">
        <f>IFERROR(__xludf.DUMMYFUNCTION("GOOGLETRANSLATE(A13827, ""en"", ""mt"")"),"Tiġġustifika l-grazzja jew taċċetta grazzja")</f>
        <v>Tiġġustifika l-grazzja jew taċċetta grazzja</v>
      </c>
    </row>
    <row r="13828" ht="15.75" customHeight="1">
      <c r="A13828" s="2" t="s">
        <v>13828</v>
      </c>
      <c r="B13828" s="2" t="str">
        <f>IFERROR(__xludf.DUMMYFUNCTION("GOOGLETRANSLATE(A13828, ""en"", ""mt"")"),"Liema liġi tal-Afrika t'Isfel għarfet żewġ tipi ta 'skejjel?")</f>
        <v>Liema liġi tal-Afrika t'Isfel għarfet żewġ tipi ta 'skejjel?</v>
      </c>
    </row>
    <row r="13829" ht="15.75" customHeight="1">
      <c r="A13829" s="2" t="s">
        <v>13829</v>
      </c>
      <c r="B13829" s="2" t="str">
        <f>IFERROR(__xludf.DUMMYFUNCTION("GOOGLETRANSLATE(A13829, ""en"", ""mt"")"),"Awtorità tal-Istati Uniti ta '' New World '")</f>
        <v>Awtorità tal-Istati Uniti ta '' New World '</v>
      </c>
    </row>
    <row r="13830" ht="15.75" customHeight="1">
      <c r="A13830" s="2" t="s">
        <v>13830</v>
      </c>
      <c r="B13830" s="2" t="str">
        <f>IFERROR(__xludf.DUMMYFUNCTION("GOOGLETRANSLATE(A13830, ""en"", ""mt"")"),"X’għandu jagħmel il-gvern Taljan fi Francovich v l-Italja?")</f>
        <v>X’għandu jagħmel il-gvern Taljan fi Francovich v l-Italja?</v>
      </c>
    </row>
    <row r="13831" ht="15.75" customHeight="1">
      <c r="A13831" s="2" t="s">
        <v>13831</v>
      </c>
      <c r="B13831" s="2" t="str">
        <f>IFERROR(__xludf.DUMMYFUNCTION("GOOGLETRANSLATE(A13831, ""en"", ""mt"")"),"Mejju 1888")</f>
        <v>Mejju 1888</v>
      </c>
    </row>
    <row r="13832" ht="15.75" customHeight="1">
      <c r="A13832" s="2" t="s">
        <v>13832</v>
      </c>
      <c r="B13832" s="2" t="str">
        <f>IFERROR(__xludf.DUMMYFUNCTION("GOOGLETRANSLATE(A13832, ""en"", ""mt"")"),"Fl-1875, Tesla rreġistrat fil-Politeknika Awstrijaka f'Graz, l-Awstrija, fuq borża ta 'fruntiera militari. Matul l-ewwel sena tiegħu, Tesla qatt ma falla taħdita, kiseb l-ogħla gradi possibbli, għadda disa 'eżamijiet (kważi d-doppju tal-bżonn), beda klabb"&amp;" tal-kultura Serb, u saħansitra rċieva ittra ta' tifħir mingħand id-dekan tal-fakultà teknika lil tiegħu Missier, li ddikjara, ""Ibnek huwa stilla tal-ewwel grad."" Tesla sostniet li ħadem mit-3 a.m. sal-11 p.m., l-ebda Ħdud jew vaganzi ħlief. Huwa kien "&amp;"""mortifikat meta [missieru] għamel dawl ta '[dawk] hard rebaħ unuri."" Wara l-mewt ta 'missieru fl-1879, Tesla sabet pakkett ta' ittri mill-professuri tiegħu lil missieru, li wissa li sakemm ma jitneħħax mill-iskola, Tesla kienet tinqatel permezz ta 'xog"&amp;"ħol żejjed. Matul it-tieni sena tiegħu, Tesla daħal f'kunflitt mal-Professur Poeschl fuq il-Gramme Dynamo, meta Tesla ssuġġeriet li l-kommutaturi ma kinux meħtieġa. Fi tmiem it-tieni sena tiegħu, Tesla tilfet il-borża ta ’studju tiegħu u saret dipendenti "&amp;"fuq il-logħob tal-ażżard. Matul it-tielet sena tiegħu, Tesla lagħab l-allowance tiegħu u l-flus tat-tagħlim tiegħu, wara l-logħob lura t-telf inizjali tiegħu u rritorna l-bilanċ lill-familja tiegħu. Tesla qal li hu ""ħakem [il-passjoni] tiegħu allura u he"&amp;"mm,"" iżda aktar tard kien magħruf li jilgħab il-biljard fl-Istati Uniti. Meta wasal il-ħin tal-eżami, Tesla ma kinitx ippreparata u talbet estensjoni biex tistudja, iżda ġiet miċħuda. Hu qatt ma ggradwa mill-università u ma rċieva gradi għall-aħħar semes"&amp;"tru.")</f>
        <v>Fl-1875, Tesla rreġistrat fil-Politeknika Awstrijaka f'Graz, l-Awstrija, fuq borża ta 'fruntiera militari. Matul l-ewwel sena tiegħu, Tesla qatt ma falla taħdita, kiseb l-ogħla gradi possibbli, għadda disa 'eżamijiet (kważi d-doppju tal-bżonn), beda klabb tal-kultura Serb, u saħansitra rċieva ittra ta' tifħir mingħand id-dekan tal-fakultà teknika lil tiegħu Missier, li ddikjara, "Ibnek huwa stilla tal-ewwel grad." Tesla sostniet li ħadem mit-3 a.m. sal-11 p.m., l-ebda Ħdud jew vaganzi ħlief. Huwa kien "mortifikat meta [missieru] għamel dawl ta '[dawk] hard rebaħ unuri." Wara l-mewt ta 'missieru fl-1879, Tesla sabet pakkett ta' ittri mill-professuri tiegħu lil missieru, li wissa li sakemm ma jitneħħax mill-iskola, Tesla kienet tinqatel permezz ta 'xogħol żejjed. Matul it-tieni sena tiegħu, Tesla daħal f'kunflitt mal-Professur Poeschl fuq il-Gramme Dynamo, meta Tesla ssuġġeriet li l-kommutaturi ma kinux meħtieġa. Fi tmiem it-tieni sena tiegħu, Tesla tilfet il-borża ta ’studju tiegħu u saret dipendenti fuq il-logħob tal-ażżard. Matul it-tielet sena tiegħu, Tesla lagħab l-allowance tiegħu u l-flus tat-tagħlim tiegħu, wara l-logħob lura t-telf inizjali tiegħu u rritorna l-bilanċ lill-familja tiegħu. Tesla qal li hu "ħakem [il-passjoni] tiegħu allura u hemm," iżda aktar tard kien magħruf li jilgħab il-biljard fl-Istati Uniti. Meta wasal il-ħin tal-eżami, Tesla ma kinitx ippreparata u talbet estensjoni biex tistudja, iżda ġiet miċħuda. Hu qatt ma ggradwa mill-università u ma rċieva gradi għall-aħħar semestru.</v>
      </c>
    </row>
    <row r="13833" ht="15.75" customHeight="1">
      <c r="A13833" s="2" t="s">
        <v>13833</v>
      </c>
      <c r="B13833" s="2" t="str">
        <f>IFERROR(__xludf.DUMMYFUNCTION("GOOGLETRANSLATE(A13833, ""en"", ""mt"")"),"Kummissjoni v Franza Franċiża")</f>
        <v>Kummissjoni v Franza Franċiża</v>
      </c>
    </row>
    <row r="13834" ht="15.75" customHeight="1">
      <c r="A13834" s="2" t="s">
        <v>13834</v>
      </c>
      <c r="B13834" s="2" t="str">
        <f>IFERROR(__xludf.DUMMYFUNCTION("GOOGLETRANSLATE(A13834, ""en"", ""mt"")"),"Kemm għandu elettorati l-istat ta 'Victoria?")</f>
        <v>Kemm għandu elettorati l-istat ta 'Victoria?</v>
      </c>
    </row>
    <row r="13835" ht="15.75" customHeight="1">
      <c r="A13835" s="2" t="s">
        <v>13835</v>
      </c>
      <c r="B13835" s="2" t="str">
        <f>IFERROR(__xludf.DUMMYFUNCTION("GOOGLETRANSLATE(A13835, ""en"", ""mt"")"),"Edipo")</f>
        <v>Edipo</v>
      </c>
    </row>
    <row r="13836" ht="15.75" customHeight="1">
      <c r="A13836" s="2" t="s">
        <v>13836</v>
      </c>
      <c r="B13836" s="2" t="str">
        <f>IFERROR(__xludf.DUMMYFUNCTION("GOOGLETRANSLATE(A13836, ""en"", ""mt"")"),"m'għandekx drittijiet tal-vot")</f>
        <v>m'għandekx drittijiet tal-vot</v>
      </c>
    </row>
    <row r="13837" ht="15.75" customHeight="1">
      <c r="A13837" s="2" t="s">
        <v>13837</v>
      </c>
      <c r="B13837" s="2" t="str">
        <f>IFERROR(__xludf.DUMMYFUNCTION("GOOGLETRANSLATE(A13837, ""en"", ""mt"")"),"L-IPCC jikkonċentra l-attivitajiet tiegħu fuq il-kompiti allokati għalih mill-Kunsill Eżekuttiv tal-WMO rilevanti u l-UNEP li jirregola r-riżoluzzjonijiet u d-deċiżjonijiet tal-Kunsill kif ukoll fuq azzjonijiet b'appoġġ għall-proċess UNFCCC. Filwaqt li l-"&amp;"preparazzjoni tar-rapporti ta 'valutazzjoni hija funzjoni ewlenija tal-IPCC, hija tappoġġa wkoll attivitajiet oħra, bħaċ-Ċentru tad-Distribuzzjoni tad-Dejta u l-Programm Nazzjonali tal-Inventar tal-Gass serra, meħtieġa taħt l-UNFCCC. Dan jinvolvi l-pubbli"&amp;"kazzjoni ta 'fatturi ta' emissjoni ta 'inadempjenza, li huma fatturi użati biex jiġu derivati ​​stimi ta' emissjonijiet ibbażati fuq il-livelli ta 'konsum ta' fjuwil, produzzjoni industrijali u l-bqija.")</f>
        <v>L-IPCC jikkonċentra l-attivitajiet tiegħu fuq il-kompiti allokati għalih mill-Kunsill Eżekuttiv tal-WMO rilevanti u l-UNEP li jirregola r-riżoluzzjonijiet u d-deċiżjonijiet tal-Kunsill kif ukoll fuq azzjonijiet b'appoġġ għall-proċess UNFCCC. Filwaqt li l-preparazzjoni tar-rapporti ta 'valutazzjoni hija funzjoni ewlenija tal-IPCC, hija tappoġġa wkoll attivitajiet oħra, bħaċ-Ċentru tad-Distribuzzjoni tad-Dejta u l-Programm Nazzjonali tal-Inventar tal-Gass serra, meħtieġa taħt l-UNFCCC. Dan jinvolvi l-pubblikazzjoni ta 'fatturi ta' emissjoni ta 'inadempjenza, li huma fatturi użati biex jiġu derivati ​​stimi ta' emissjonijiet ibbażati fuq il-livelli ta 'konsum ta' fjuwil, produzzjoni industrijali u l-bqija.</v>
      </c>
    </row>
    <row r="13838" ht="15.75" customHeight="1">
      <c r="A13838" s="2" t="s">
        <v>13838</v>
      </c>
      <c r="B13838" s="2" t="str">
        <f>IFERROR(__xludf.DUMMYFUNCTION("GOOGLETRANSLATE(A13838, ""en"", ""mt"")"),"handshake bejn il-partijiet li jikkomunikaw qabel ma jiġu trasmessi xi pakketti tal-utent")</f>
        <v>handshake bejn il-partijiet li jikkomunikaw qabel ma jiġu trasmessi xi pakketti tal-utent</v>
      </c>
    </row>
    <row r="13839" ht="15.75" customHeight="1">
      <c r="A13839" s="2" t="s">
        <v>13839</v>
      </c>
      <c r="B13839" s="2" t="str">
        <f>IFERROR(__xludf.DUMMYFUNCTION("GOOGLETRANSLATE(A13839, ""en"", ""mt"")"),"It-tieni l-akbar produttur globali")</f>
        <v>It-tieni l-akbar produttur globali</v>
      </c>
    </row>
    <row r="13840" ht="15.75" customHeight="1">
      <c r="A13840" s="2" t="s">
        <v>13840</v>
      </c>
      <c r="B13840" s="2" t="str">
        <f>IFERROR(__xludf.DUMMYFUNCTION("GOOGLETRANSLATE(A13840, ""en"", ""mt"")"),"Xi tfisser l-istorja sigrieta tgħid li Genghis Khan kien qed jagħmel meta ġarrab il-ġrieħi mortali tiegħu?")</f>
        <v>Xi tfisser l-istorja sigrieta tgħid li Genghis Khan kien qed jagħmel meta ġarrab il-ġrieħi mortali tiegħu?</v>
      </c>
    </row>
    <row r="13841" ht="15.75" customHeight="1">
      <c r="A13841" s="2" t="s">
        <v>13841</v>
      </c>
      <c r="B13841" s="2" t="str">
        <f>IFERROR(__xludf.DUMMYFUNCTION("GOOGLETRANSLATE(A13841, ""en"", ""mt"")"),"Ċentru Ekonomiku")</f>
        <v>Ċentru Ekonomiku</v>
      </c>
    </row>
    <row r="13842" ht="15.75" customHeight="1">
      <c r="A13842" s="2" t="s">
        <v>13842</v>
      </c>
      <c r="B13842" s="2" t="str">
        <f>IFERROR(__xludf.DUMMYFUNCTION("GOOGLETRANSLATE(A13842, ""en"", ""mt"")"),"Drittijiet Fundamentali (ara d-drittijiet tal-bniedem), proporzjonalità, ċertezza legali, ugwaljanza quddiem il-liġi u s-sussidjarjetà")</f>
        <v>Drittijiet Fundamentali (ara d-drittijiet tal-bniedem), proporzjonalità, ċertezza legali, ugwaljanza quddiem il-liġi u s-sussidjarjetà</v>
      </c>
    </row>
    <row r="13843" ht="15.75" customHeight="1">
      <c r="A13843" s="2" t="s">
        <v>13843</v>
      </c>
      <c r="B13843" s="2" t="str">
        <f>IFERROR(__xludf.DUMMYFUNCTION("GOOGLETRANSLATE(A13843, ""en"", ""mt"")"),"F'Diċembru 1984, Thomas S. Murphy, uffiċjal kap eżekuttiv ta 'Capital Cities Communications, ikkuntattja lil Leonard Goldenson dwar proposta biex jingħaqdu l-kumpaniji rispettivi tagħhom. Fis-16 ta 'Marzu, 1985, il-kumitat eżekuttiv ta' ABC aċċetta l-offe"&amp;"rta ta 'għaqda, li ġiet imħabbra formalment fit-18 ta' Marzu, 1985, bil-Bliet Kapitali jixtru ABC u l-proprjetajiet relatati tagħha għal $ 3.5 biljun u $ 118 għal kull wieħed mill-ishma ta 'ABC kif ukoll garanzija ta' 10 % (jew $ 3) għal total ta '$ 121 k"&amp;"ull sehem. Biex tiffinanzja x-xiri, il-bliet kapitali ssellfu $ 2.1 biljun mingħand konsorzju ta 'banek, li biegħ ċerti assi li l-kapital jikkwota ma setax jakkwista jew iżomm minħabba r-regoli ta' sjieda tal-FCC għal $ 900 miljun ikkombinati u biegħu div"&amp;"ersi sistemi tat-televiżjoni bil-kejbil, li nbiegħu Il-Kumpanija ta ’Washington Post (li tifforma l-kejbil tal-lum). Il-bqija ta '$ 500 miljun ġew mislufa minn Warren Buffett, li wiegħed li l-kumpanija tiegħu Berkshire Hathaway kienet se tixtri $ 3 miljun"&amp;" f'ishma, bi $ 172.50. Minħabba projbizzjoni tal-FCC fuq is-sjieda tal-istess suq ta 'stazzjonijiet tat-televiżjoni u tar-radju minn kumpanija waħda (għalkemm il-ftehim kien ikun ikkonformat ma' regoli ta 'sjieda ġodda implimentati mill-FCC f'Jannar 1985,"&amp;" li ppermettew lix-xandara biex ikollhom massimu ta '12 -il stazzjon televiżiv ), ABC u Bliet Kapitali rispettivament iddeċidew li jbiegħu WXYZ-TV u l-Istazzjon Indipendenti ta 'WFTS-TV lill-Kumpanija E. W. Scripps (għalkemm il-Bliet Kapitali / ABC oriġin"&amp;"arjament kienu maħsuba biex ifittxu rinunzja ta' sjieda biex iżommu l-istazzjonijiet tar-radju WXYZ u bliet kapitali Wjr u whyt).")</f>
        <v>F'Diċembru 1984, Thomas S. Murphy, uffiċjal kap eżekuttiv ta 'Capital Cities Communications, ikkuntattja lil Leonard Goldenson dwar proposta biex jingħaqdu l-kumpaniji rispettivi tagħhom. Fis-16 ta 'Marzu, 1985, il-kumitat eżekuttiv ta' ABC aċċetta l-offerta ta 'għaqda, li ġiet imħabbra formalment fit-18 ta' Marzu, 1985, bil-Bliet Kapitali jixtru ABC u l-proprjetajiet relatati tagħha għal $ 3.5 biljun u $ 118 għal kull wieħed mill-ishma ta 'ABC kif ukoll garanzija ta' 10 % (jew $ 3) għal total ta '$ 121 kull sehem. Biex tiffinanzja x-xiri, il-bliet kapitali ssellfu $ 2.1 biljun mingħand konsorzju ta 'banek, li biegħ ċerti assi li l-kapital jikkwota ma setax jakkwista jew iżomm minħabba r-regoli ta' sjieda tal-FCC għal $ 900 miljun ikkombinati u biegħu diversi sistemi tat-televiżjoni bil-kejbil, li nbiegħu Il-Kumpanija ta ’Washington Post (li tifforma l-kejbil tal-lum). Il-bqija ta '$ 500 miljun ġew mislufa minn Warren Buffett, li wiegħed li l-kumpanija tiegħu Berkshire Hathaway kienet se tixtri $ 3 miljun f'ishma, bi $ 172.50. Minħabba projbizzjoni tal-FCC fuq is-sjieda tal-istess suq ta 'stazzjonijiet tat-televiżjoni u tar-radju minn kumpanija waħda (għalkemm il-ftehim kien ikun ikkonformat ma' regoli ta 'sjieda ġodda implimentati mill-FCC f'Jannar 1985, li ppermettew lix-xandara biex ikollhom massimu ta '12 -il stazzjon televiżiv ), ABC u Bliet Kapitali rispettivament iddeċidew li jbiegħu WXYZ-TV u l-Istazzjon Indipendenti ta 'WFTS-TV lill-Kumpanija E. W. Scripps (għalkemm il-Bliet Kapitali / ABC oriġinarjament kienu maħsuba biex ifittxu rinunzja ta' sjieda biex iżommu l-istazzjonijiet tar-radju WXYZ u bliet kapitali Wjr u whyt).</v>
      </c>
    </row>
    <row r="13844" ht="15.75" customHeight="1">
      <c r="A13844" s="2" t="s">
        <v>13844</v>
      </c>
      <c r="B13844" s="2" t="str">
        <f>IFERROR(__xludf.DUMMYFUNCTION("GOOGLETRANSLATE(A13844, ""en"", ""mt"")"),"X'inhi d-dar tal-marea?")</f>
        <v>X'inhi d-dar tal-marea?</v>
      </c>
    </row>
    <row r="13845" ht="15.75" customHeight="1">
      <c r="A13845" s="2" t="s">
        <v>13845</v>
      </c>
      <c r="B13845" s="2" t="str">
        <f>IFERROR(__xludf.DUMMYFUNCTION("GOOGLETRANSLATE(A13845, ""en"", ""mt"")"),"X'jista 'jinkiseb mingħajr ma tinbena għolja jew teħles minn żoni komuni?")</f>
        <v>X'jista 'jinkiseb mingħajr ma tinbena għolja jew teħles minn żoni komuni?</v>
      </c>
    </row>
    <row r="13846" ht="15.75" customHeight="1">
      <c r="A13846" s="2" t="s">
        <v>13846</v>
      </c>
      <c r="B13846" s="2" t="str">
        <f>IFERROR(__xludf.DUMMYFUNCTION("GOOGLETRANSLATE(A13846, ""en"", ""mt"")"),"X'inhuma assoċjati ma 'forzi normali?")</f>
        <v>X'inhuma assoċjati ma 'forzi normali?</v>
      </c>
    </row>
    <row r="13847" ht="15.75" customHeight="1">
      <c r="A13847" s="2" t="s">
        <v>13847</v>
      </c>
      <c r="B13847" s="2" t="str">
        <f>IFERROR(__xludf.DUMMYFUNCTION("GOOGLETRANSLATE(A13847, ""en"", ""mt"")"),"Meta kienu n-Normanni fin-Normandija?")</f>
        <v>Meta kienu n-Normanni fin-Normandija?</v>
      </c>
    </row>
    <row r="13848" ht="15.75" customHeight="1">
      <c r="A13848" s="2" t="s">
        <v>13848</v>
      </c>
      <c r="B13848" s="2" t="str">
        <f>IFERROR(__xludf.DUMMYFUNCTION("GOOGLETRANSLATE(A13848, ""en"", ""mt"")"),"Torok ""(Musulmani) u Kattoliċi")</f>
        <v>Torok "(Musulmani) u Kattoliċi</v>
      </c>
    </row>
    <row r="13849" ht="15.75" customHeight="1">
      <c r="A13849" s="2" t="s">
        <v>13849</v>
      </c>
      <c r="B13849" s="2" t="str">
        <f>IFERROR(__xludf.DUMMYFUNCTION("GOOGLETRANSLATE(A13849, ""en"", ""mt"")"),"F'liema teorija hija l-idea ta 'numru skambjat ma' dik ta 'ideal?")</f>
        <v>F'liema teorija hija l-idea ta 'numru skambjat ma' dik ta 'ideal?</v>
      </c>
    </row>
    <row r="13850" ht="15.75" customHeight="1">
      <c r="A13850" s="2" t="s">
        <v>13850</v>
      </c>
      <c r="B13850" s="2" t="str">
        <f>IFERROR(__xludf.DUMMYFUNCTION("GOOGLETRANSLATE(A13850, ""en"", ""mt"")"),"Kif ħass William Shirley dwar l-avvanz Franċiż?")</f>
        <v>Kif ħass William Shirley dwar l-avvanz Franċiż?</v>
      </c>
    </row>
    <row r="13851" ht="15.75" customHeight="1">
      <c r="A13851" s="2" t="s">
        <v>13851</v>
      </c>
      <c r="B13851" s="2" t="str">
        <f>IFERROR(__xludf.DUMMYFUNCTION("GOOGLETRANSLATE(A13851, ""en"", ""mt"")"),"L-intestatura tal-pakkett tista 'tkun żgħira, peress li teħtieġ biss li tinkludi dan il-kodiċi u kwalunkwe informazzjoni, bħal tul, timestamp, jew numru tas-sekwenza")</f>
        <v>L-intestatura tal-pakkett tista 'tkun żgħira, peress li teħtieġ biss li tinkludi dan il-kodiċi u kwalunkwe informazzjoni, bħal tul, timestamp, jew numru tas-sekwenza</v>
      </c>
    </row>
    <row r="13852" ht="15.75" customHeight="1">
      <c r="A13852" s="2" t="s">
        <v>13852</v>
      </c>
      <c r="B13852" s="2" t="str">
        <f>IFERROR(__xludf.DUMMYFUNCTION("GOOGLETRANSLATE(A13852, ""en"", ""mt"")"),"Min talab lil Luther biex jirritorna l-belt?")</f>
        <v>Min talab lil Luther biex jirritorna l-belt?</v>
      </c>
    </row>
    <row r="13853" ht="15.75" customHeight="1">
      <c r="A13853" s="2" t="s">
        <v>13853</v>
      </c>
      <c r="B13853" s="2" t="str">
        <f>IFERROR(__xludf.DUMMYFUNCTION("GOOGLETRANSLATE(A13853, ""en"", ""mt"")"),"inugwaljanza bejn is-sessi kontinwa fl-edukazzjoni")</f>
        <v>inugwaljanza bejn is-sessi kontinwa fl-edukazzjoni</v>
      </c>
    </row>
    <row r="13854" ht="15.75" customHeight="1">
      <c r="A13854" s="2" t="s">
        <v>13854</v>
      </c>
      <c r="B13854" s="2" t="str">
        <f>IFERROR(__xludf.DUMMYFUNCTION("GOOGLETRANSLATE(A13854, ""en"", ""mt"")"),"Lipidi u proteini")</f>
        <v>Lipidi u proteini</v>
      </c>
    </row>
    <row r="13855" ht="15.75" customHeight="1">
      <c r="A13855" s="2" t="s">
        <v>13855</v>
      </c>
      <c r="B13855" s="2" t="str">
        <f>IFERROR(__xludf.DUMMYFUNCTION("GOOGLETRANSLATE(A13855, ""en"", ""mt"")"),"X'inhu l-aħħar stadju ta 'abbozz fil-Parlament Skoċċiż?")</f>
        <v>X'inhu l-aħħar stadju ta 'abbozz fil-Parlament Skoċċiż?</v>
      </c>
    </row>
    <row r="13856" ht="15.75" customHeight="1">
      <c r="A13856" s="2" t="s">
        <v>13856</v>
      </c>
      <c r="B13856" s="2" t="str">
        <f>IFERROR(__xludf.DUMMYFUNCTION("GOOGLETRANSLATE(A13856, ""en"", ""mt"")"),"Ħlas ta 'somma f'daqqa ta' $ 216,000")</f>
        <v>Ħlas ta 'somma f'daqqa ta' $ 216,000</v>
      </c>
    </row>
    <row r="13857" ht="15.75" customHeight="1">
      <c r="A13857" s="2" t="s">
        <v>13857</v>
      </c>
      <c r="B13857" s="2" t="str">
        <f>IFERROR(__xludf.DUMMYFUNCTION("GOOGLETRANSLATE(A13857, ""en"", ""mt"")"),"Min lagħbu l-Panthers biex javvanzaw għas-Super Bowl?")</f>
        <v>Min lagħbu l-Panthers biex javvanzaw għas-Super Bowl?</v>
      </c>
    </row>
    <row r="13858" ht="15.75" customHeight="1">
      <c r="A13858" s="2" t="s">
        <v>13858</v>
      </c>
      <c r="B13858" s="2" t="str">
        <f>IFERROR(__xludf.DUMMYFUNCTION("GOOGLETRANSLATE(A13858, ""en"", ""mt"")"),"Skond l-istess statistika, l-età medja ta 'nies li jgħixu fi Newcastle hija 37.8 (il-medja nazzjonali hija 38.6). Ħafna nies fil-belt għandhom antenati Skoċċiżi jew Irlandiżi. Hemm preżenza qawwija ta 'kunjomijiet ta' reiver tal-fruntiera, bħal Armstrong,"&amp;" Charlton, Elliot, Johnstone, Kerr, Hall, Nixon, Little u Robson. Hemm ukoll popolazzjonijiet żgħar iżda sinifikanti Ċiniżi, Lhud u tal-Lvant (Pollakk, Roma Ċeka). Hemm ukoll stmati li huma bejn 500 u 2,000 Bolivjan fi Newcastle, li jiffurmaw sa 1% tal-po"&amp;"polazzjoni - l-akbar persentaġġ bħal dan ta 'kwalunkwe belt tar-Renju Unit.")</f>
        <v>Skond l-istess statistika, l-età medja ta 'nies li jgħixu fi Newcastle hija 37.8 (il-medja nazzjonali hija 38.6). Ħafna nies fil-belt għandhom antenati Skoċċiżi jew Irlandiżi. Hemm preżenza qawwija ta 'kunjomijiet ta' reiver tal-fruntiera, bħal Armstrong, Charlton, Elliot, Johnstone, Kerr, Hall, Nixon, Little u Robson. Hemm ukoll popolazzjonijiet żgħar iżda sinifikanti Ċiniżi, Lhud u tal-Lvant (Pollakk, Roma Ċeka). Hemm ukoll stmati li huma bejn 500 u 2,000 Bolivjan fi Newcastle, li jiffurmaw sa 1% tal-popolazzjoni - l-akbar persentaġġ bħal dan ta 'kwalunkwe belt tar-Renju Unit.</v>
      </c>
    </row>
    <row r="13859" ht="15.75" customHeight="1">
      <c r="A13859" s="2" t="s">
        <v>13859</v>
      </c>
      <c r="B13859" s="2" t="str">
        <f>IFERROR(__xludf.DUMMYFUNCTION("GOOGLETRANSLATE(A13859, ""en"", ""mt"")"),"Żomm il-maġġoranza tas-siġġijiet")</f>
        <v>Żomm il-maġġoranza tas-siġġijiet</v>
      </c>
    </row>
    <row r="13860" ht="15.75" customHeight="1">
      <c r="A13860" s="2" t="s">
        <v>13860</v>
      </c>
      <c r="B13860" s="2" t="str">
        <f>IFERROR(__xludf.DUMMYFUNCTION("GOOGLETRANSLATE(A13860, ""en"", ""mt"")"),"Terrazzi")</f>
        <v>Terrazzi</v>
      </c>
    </row>
    <row r="13861" ht="15.75" customHeight="1">
      <c r="A13861" s="2" t="s">
        <v>13861</v>
      </c>
      <c r="B13861" s="2" t="str">
        <f>IFERROR(__xludf.DUMMYFUNCTION("GOOGLETRANSLATE(A13861, ""en"", ""mt"")"),"L-Avventuri ta ’Ozzie u Harriet")</f>
        <v>L-Avventuri ta ’Ozzie u Harriet</v>
      </c>
    </row>
    <row r="13862" ht="15.75" customHeight="1">
      <c r="A13862" s="2" t="s">
        <v>13862</v>
      </c>
      <c r="B13862" s="2" t="str">
        <f>IFERROR(__xludf.DUMMYFUNCTION("GOOGLETRANSLATE(A13862, ""en"", ""mt"")"),"pjuttost kumpless")</f>
        <v>pjuttost kumpless</v>
      </c>
    </row>
    <row r="13863" ht="15.75" customHeight="1">
      <c r="A13863" s="2" t="s">
        <v>13863</v>
      </c>
      <c r="B13863" s="2" t="str">
        <f>IFERROR(__xludf.DUMMYFUNCTION("GOOGLETRANSLATE(A13863, ""en"", ""mt"")"),"Wara sena sabiħa u għeja għad-dinja matul l-1968, x'tip ta 'tmiem għas-sena pprovdew l-immaġini mill-ispazju?")</f>
        <v>Wara sena sabiħa u għeja għad-dinja matul l-1968, x'tip ta 'tmiem għas-sena pprovdew l-immaġini mill-ispazju?</v>
      </c>
    </row>
    <row r="13864" ht="15.75" customHeight="1">
      <c r="A13864" s="2" t="s">
        <v>13864</v>
      </c>
      <c r="B13864" s="2" t="str">
        <f>IFERROR(__xludf.DUMMYFUNCTION("GOOGLETRANSLATE(A13864, ""en"", ""mt"")"),"Kemm ingħataw kuntratti ta 'studju fil-25 ta' Ottubru?")</f>
        <v>Kemm ingħataw kuntratti ta 'studju fil-25 ta' Ottubru?</v>
      </c>
    </row>
    <row r="13865" ht="15.75" customHeight="1">
      <c r="A13865" s="2" t="s">
        <v>13865</v>
      </c>
      <c r="B13865" s="2" t="str">
        <f>IFERROR(__xludf.DUMMYFUNCTION("GOOGLETRANSLATE(A13865, ""en"", ""mt"")"),"In-negozju tagħhom huwa kronikament sottovalutat")</f>
        <v>In-negozju tagħhom huwa kronikament sottovalutat</v>
      </c>
    </row>
    <row r="13866" ht="15.75" customHeight="1">
      <c r="A13866" s="2" t="s">
        <v>13866</v>
      </c>
      <c r="B13866" s="2" t="str">
        <f>IFERROR(__xludf.DUMMYFUNCTION("GOOGLETRANSLATE(A13866, ""en"", ""mt"")"),"Kemm Protestanti jgħixu fi Franza llum?")</f>
        <v>Kemm Protestanti jgħixu fi Franza llum?</v>
      </c>
    </row>
    <row r="13867" ht="15.75" customHeight="1">
      <c r="A13867" s="2" t="s">
        <v>13867</v>
      </c>
      <c r="B13867" s="2" t="str">
        <f>IFERROR(__xludf.DUMMYFUNCTION("GOOGLETRANSLATE(A13867, ""en"", ""mt"")"),"Ir-revoka pprojbixxa s-Servizzi Protestanti, kien jeħtieġ edukazzjoni tat-tfal bħala Kattoliċi, u emigrat ipprojbit. Irriżulta diżastruż għall-Huguenots u jiswa ħafna flus għal Franza. Huwa ppreċipita t-tixrid tad-demm ċivili, il-kummerċ imħassar, u rriżu"&amp;"lta fit-titjira illegali mill-pajjiż ta 'mijiet ta' eluf ta 'protestanti, li ħafna minnhom saru intellettwali, tobba u mexxejja tan-negozju fil-Gran Brittanja kif ukoll l-Olanda, il-Prussja, u l-Afrika t'Isfel. Erbgħa elf emigraw lejn il-kolonji ta 'l-Ame"&amp;"rika ta' Fuq, fejn stabbilixxew fi New York u Virginia, speċjalment. L-Ingliżi laqgħu r-refuġjati Franċiżi, u pprovdew flus kemm mill-gvern kif ukoll mill-aġenziji privati ​​biex jgħinu r-rilokazzjoni tagħhom. Dawk il-Huguenots li qagħdu fi Franza saru Ka"&amp;"ttoliċi u kienu jissejħu ""konvertiti ġodda"".")</f>
        <v>Ir-revoka pprojbixxa s-Servizzi Protestanti, kien jeħtieġ edukazzjoni tat-tfal bħala Kattoliċi, u emigrat ipprojbit. Irriżulta diżastruż għall-Huguenots u jiswa ħafna flus għal Franza. Huwa ppreċipita t-tixrid tad-demm ċivili, il-kummerċ imħassar, u rriżulta fit-titjira illegali mill-pajjiż ta 'mijiet ta' eluf ta 'protestanti, li ħafna minnhom saru intellettwali, tobba u mexxejja tan-negozju fil-Gran Brittanja kif ukoll l-Olanda, il-Prussja, u l-Afrika t'Isfel. Erbgħa elf emigraw lejn il-kolonji ta 'l-Amerika ta' Fuq, fejn stabbilixxew fi New York u Virginia, speċjalment. L-Ingliżi laqgħu r-refuġjati Franċiżi, u pprovdew flus kemm mill-gvern kif ukoll mill-aġenziji privati ​​biex jgħinu r-rilokazzjoni tagħhom. Dawk il-Huguenots li qagħdu fi Franza saru Kattoliċi u kienu jissejħu "konvertiti ġodda".</v>
      </c>
    </row>
    <row r="13868" ht="15.75" customHeight="1">
      <c r="A13868" s="2" t="s">
        <v>13868</v>
      </c>
      <c r="B13868" s="2" t="str">
        <f>IFERROR(__xludf.DUMMYFUNCTION("GOOGLETRANSLATE(A13868, ""en"", ""mt"")"),"id-difiża tas-San Lawrenz")</f>
        <v>id-difiża tas-San Lawrenz</v>
      </c>
    </row>
    <row r="13869" ht="15.75" customHeight="1">
      <c r="A13869" s="2" t="s">
        <v>13869</v>
      </c>
      <c r="B13869" s="2" t="str">
        <f>IFERROR(__xludf.DUMMYFUNCTION("GOOGLETRANSLATE(A13869, ""en"", ""mt"")"),"Il-prinċipju ta 'relazzjonijiet ta' qtugħ ta 'qtugħ jappartjeni għall-formazzjoni ta' ħsarat u l-età tas-sekwenzi li minnhom jinqatgħu. Ħsarat huma iżgħar mill-blat li qatgħu; Għaldaqstant, jekk jinstab tort li jippenetra xi formazzjonijiet iżda mhux dawk"&amp;" fuqha, allura l-formazzjonijiet li kienu maqtugħin huma eqdem mill-ħsara, u dawk li mhumiex maqtugħin għandhom ikunu iżgħar mill-ħsara. Is-sejba tas-sodda ewlenija f'dawn is-sitwazzjonijiet tista 'tgħin tiddetermina jekk it-tort huwiex difett normali jew"&amp;" tort tal-ġibda.")</f>
        <v>Il-prinċipju ta 'relazzjonijiet ta' qtugħ ta 'qtugħ jappartjeni għall-formazzjoni ta' ħsarat u l-età tas-sekwenzi li minnhom jinqatgħu. Ħsarat huma iżgħar mill-blat li qatgħu; Għaldaqstant, jekk jinstab tort li jippenetra xi formazzjonijiet iżda mhux dawk fuqha, allura l-formazzjonijiet li kienu maqtugħin huma eqdem mill-ħsara, u dawk li mhumiex maqtugħin għandhom ikunu iżgħar mill-ħsara. Is-sejba tas-sodda ewlenija f'dawn is-sitwazzjonijiet tista 'tgħin tiddetermina jekk it-tort huwiex difett normali jew tort tal-ġibda.</v>
      </c>
    </row>
    <row r="13870" ht="15.75" customHeight="1">
      <c r="A13870" s="2" t="s">
        <v>13870</v>
      </c>
      <c r="B13870" s="2" t="str">
        <f>IFERROR(__xludf.DUMMYFUNCTION("GOOGLETRANSLATE(A13870, ""en"", ""mt"")"),"toroq militari lejn iż-żona minn Braddock u Forbes")</f>
        <v>toroq militari lejn iż-żona minn Braddock u Forbes</v>
      </c>
    </row>
    <row r="13871" ht="15.75" customHeight="1">
      <c r="A13871" s="2" t="s">
        <v>13871</v>
      </c>
      <c r="B13871" s="2" t="str">
        <f>IFERROR(__xludf.DUMMYFUNCTION("GOOGLETRANSLATE(A13871, ""en"", ""mt"")"),"Aċċetta l-ħabs b'mod penitenti")</f>
        <v>Aċċetta l-ħabs b'mod penitenti</v>
      </c>
    </row>
    <row r="13872" ht="15.75" customHeight="1">
      <c r="A13872" s="2" t="s">
        <v>13872</v>
      </c>
      <c r="B13872" s="2" t="str">
        <f>IFERROR(__xludf.DUMMYFUNCTION("GOOGLETRANSLATE(A13872, ""en"", ""mt"")"),"ulied u neputijiet")</f>
        <v>ulied u neputijiet</v>
      </c>
    </row>
    <row r="13873" ht="15.75" customHeight="1">
      <c r="A13873" s="2" t="s">
        <v>13873</v>
      </c>
      <c r="B13873" s="2" t="str">
        <f>IFERROR(__xludf.DUMMYFUNCTION("GOOGLETRANSLATE(A13873, ""en"", ""mt"")"),"Luther imiss l-imġieba dwar it-treġġigħ lura jew il-modifika tal-prattiki l-ġodda tal-knisja. Billi jaħdem flimkien mal-awtoritajiet biex jirrestawra l-ordni pubbliku, huwa ta sinjal mill-ġdid tiegħu bħala forza konservattiva fir-riforma. Wara li pprojbix"&amp;"xa l-profeti ta 'Zwickau, issa ffaċċja battalja kontra mhux biss il-knisja stabbilita iżda wkoll ir-riformaturi radikali li heddew l-ordni l-ġdida billi jitrabbew l-inkwiet soċjali u l-vjolenza.")</f>
        <v>Luther imiss l-imġieba dwar it-treġġigħ lura jew il-modifika tal-prattiki l-ġodda tal-knisja. Billi jaħdem flimkien mal-awtoritajiet biex jirrestawra l-ordni pubbliku, huwa ta sinjal mill-ġdid tiegħu bħala forza konservattiva fir-riforma. Wara li pprojbixxa l-profeti ta 'Zwickau, issa ffaċċja battalja kontra mhux biss il-knisja stabbilita iżda wkoll ir-riformaturi radikali li heddew l-ordni l-ġdida billi jitrabbew l-inkwiet soċjali u l-vjolenza.</v>
      </c>
    </row>
    <row r="13874" ht="15.75" customHeight="1">
      <c r="A13874" s="2" t="s">
        <v>13874</v>
      </c>
      <c r="B13874" s="2" t="str">
        <f>IFERROR(__xludf.DUMMYFUNCTION("GOOGLETRANSLATE(A13874, ""en"", ""mt"")"),"Il-Kenja hija attiva f’diversi sports, fosthom cricket, rally, futbol, ​​unjoni tar-rugby u boxing. Il-pajjiż huwa magħruf prinċipalment għad-dominanza tiegħu fl-atletika fuq distanza medja u fuq distanza twila, wara li pproduċa b'mod konsistenti ċ-ċampji"&amp;"ns tal-Logħob Olimpiku u tal-Commonwealth f'diversi avvenimenti mill-bogħod, speċjalment f'800 m, 1,500 m, 3,000 m Steeplechase, 5,000 m, 5,000 m, 10,000 m u maratona. L-atleti Kenjani (partikolarment Kalenjin) ikomplu jiddominaw id-dinja tat-tmexxija mil"&amp;"l-bogħod, għalkemm il-kompetizzjoni mill-Marokk u l-Etjopja naqqset din is-supremazija. L-iktar atleti magħrufa tal-Kenja kienu jinkludu r-rebbieħa tal-Maratona tan-Nisa ta ’Boston u darbtejn Catherine Ndereba, id-detentur tar-rekord dinji ta’ 800m David "&amp;"Rudisha, ex-detentur tad-dinja tad-dinja tal-maratona Paul Tergat, u John Ngugi.")</f>
        <v>Il-Kenja hija attiva f’diversi sports, fosthom cricket, rally, futbol, ​​unjoni tar-rugby u boxing. Il-pajjiż huwa magħruf prinċipalment għad-dominanza tiegħu fl-atletika fuq distanza medja u fuq distanza twila, wara li pproduċa b'mod konsistenti ċ-ċampjins tal-Logħob Olimpiku u tal-Commonwealth f'diversi avvenimenti mill-bogħod, speċjalment f'800 m, 1,500 m, 3,000 m Steeplechase, 5,000 m, 5,000 m, 10,000 m u maratona. L-atleti Kenjani (partikolarment Kalenjin) ikomplu jiddominaw id-dinja tat-tmexxija mill-bogħod, għalkemm il-kompetizzjoni mill-Marokk u l-Etjopja naqqset din is-supremazija. L-iktar atleti magħrufa tal-Kenja kienu jinkludu r-rebbieħa tal-Maratona tan-Nisa ta ’Boston u darbtejn Catherine Ndereba, id-detentur tar-rekord dinji ta’ 800m David Rudisha, ex-detentur tad-dinja tad-dinja tal-maratona Paul Tergat, u John Ngugi.</v>
      </c>
    </row>
    <row r="13875" ht="15.75" customHeight="1">
      <c r="A13875" s="2" t="s">
        <v>13875</v>
      </c>
      <c r="B13875" s="2" t="str">
        <f>IFERROR(__xludf.DUMMYFUNCTION("GOOGLETRANSLATE(A13875, ""en"", ""mt"")"),"pulmun")</f>
        <v>pulmun</v>
      </c>
    </row>
    <row r="13876" ht="15.75" customHeight="1">
      <c r="A13876" s="2" t="s">
        <v>13876</v>
      </c>
      <c r="B13876" s="2" t="str">
        <f>IFERROR(__xludf.DUMMYFUNCTION("GOOGLETRANSLATE(A13876, ""en"", ""mt"")"),"$ 150,000")</f>
        <v>$ 150,000</v>
      </c>
    </row>
    <row r="13877" ht="15.75" customHeight="1">
      <c r="A13877" s="2" t="s">
        <v>13877</v>
      </c>
      <c r="B13877" s="2" t="str">
        <f>IFERROR(__xludf.DUMMYFUNCTION("GOOGLETRANSLATE(A13877, ""en"", ""mt"")"),"Meta seħħew dawn ir-ribelljonijiet?")</f>
        <v>Meta seħħew dawn ir-ribelljonijiet?</v>
      </c>
    </row>
    <row r="13878" ht="15.75" customHeight="1">
      <c r="A13878" s="2" t="s">
        <v>13878</v>
      </c>
      <c r="B13878" s="2" t="str">
        <f>IFERROR(__xludf.DUMMYFUNCTION("GOOGLETRANSLATE(A13878, ""en"", ""mt"")"),"taljoli mobbli")</f>
        <v>taljoli mobbli</v>
      </c>
    </row>
    <row r="13879" ht="15.75" customHeight="1">
      <c r="A13879" s="2" t="s">
        <v>13879</v>
      </c>
      <c r="B13879" s="2" t="str">
        <f>IFERROR(__xludf.DUMMYFUNCTION("GOOGLETRANSLATE(A13879, ""en"", ""mt"")"),"Fejn tinsab il-Forest Bielany?")</f>
        <v>Fejn tinsab il-Forest Bielany?</v>
      </c>
    </row>
    <row r="13880" ht="15.75" customHeight="1">
      <c r="A13880" s="2" t="s">
        <v>13880</v>
      </c>
      <c r="B13880" s="2" t="str">
        <f>IFERROR(__xludf.DUMMYFUNCTION("GOOGLETRANSLATE(A13880, ""en"", ""mt"")"),"Mingħajr l-appoġġ ta 'Luther għar-rewwixta, ħafna ribelli stabbilixxew l-armi tagħhom; Oħrajn ħassewhom ingannati. It-telfa tagħhom mill-Lega Swabjana fil-Battalja ta 'Frankenhausen fil-15 ta' Mejju 1525, segwita mill-eżekuzzjoni ta 'Müntzer, ġabet l-ista"&amp;"dju rivoluzzjonarju tar-riforma. Wara dan, ir-radikaliżmu sab kenn fil-moviment Anabaptist u movimenti reliġjużi oħra, filwaqt li r-riforma ta 'Luther iffjorixxiet taħt il-ġwienaħ tal-poteri sekulari.")</f>
        <v>Mingħajr l-appoġġ ta 'Luther għar-rewwixta, ħafna ribelli stabbilixxew l-armi tagħhom; Oħrajn ħassewhom ingannati. It-telfa tagħhom mill-Lega Swabjana fil-Battalja ta 'Frankenhausen fil-15 ta' Mejju 1525, segwita mill-eżekuzzjoni ta 'Müntzer, ġabet l-istadju rivoluzzjonarju tar-riforma. Wara dan, ir-radikaliżmu sab kenn fil-moviment Anabaptist u movimenti reliġjużi oħra, filwaqt li r-riforma ta 'Luther iffjorixxiet taħt il-ġwienaħ tal-poteri sekulari.</v>
      </c>
    </row>
    <row r="13881" ht="15.75" customHeight="1">
      <c r="A13881" s="2" t="s">
        <v>13881</v>
      </c>
      <c r="B13881" s="2" t="str">
        <f>IFERROR(__xludf.DUMMYFUNCTION("GOOGLETRANSLATE(A13881, ""en"", ""mt"")"),"Dawn il-kloroplasti, li jistgħu jiġu rintraċċati direttament għal antenat ċjanobatteriku, huma magħrufa bħala plastidi primarji (""plastid"" f'dan il-kuntest ifisser kważi l-istess ħaġa bħall-kloroplast). Il-kloroplasti primarji kollha jappartjenu għal wi"&amp;"eħed minn tliet nisel tal-kloroplast - in-nisel tal-kloroplast tal-glaukofit, ir-rodofite, jew in-nisel tal-kloroplast tal-alka ħamra, jew il-kloroplastida, jew il-kloroplast aħdar. It-tieni tnejn huma l-akbar, u n-nisel tal-kloroplast aħdar huwa dak li f"&amp;"ih il-pjanti tal-art.")</f>
        <v>Dawn il-kloroplasti, li jistgħu jiġu rintraċċati direttament għal antenat ċjanobatteriku, huma magħrufa bħala plastidi primarji ("plastid" f'dan il-kuntest ifisser kważi l-istess ħaġa bħall-kloroplast). Il-kloroplasti primarji kollha jappartjenu għal wieħed minn tliet nisel tal-kloroplast - in-nisel tal-kloroplast tal-glaukofit, ir-rodofite, jew in-nisel tal-kloroplast tal-alka ħamra, jew il-kloroplastida, jew il-kloroplast aħdar. It-tieni tnejn huma l-akbar, u n-nisel tal-kloroplast aħdar huwa dak li fih il-pjanti tal-art.</v>
      </c>
    </row>
    <row r="13882" ht="15.75" customHeight="1">
      <c r="A13882" s="2" t="s">
        <v>13882</v>
      </c>
      <c r="B13882" s="2" t="str">
        <f>IFERROR(__xludf.DUMMYFUNCTION("GOOGLETRANSLATE(A13882, ""en"", ""mt"")"),"Baċin tax-Xmara Yangzi")</f>
        <v>Baċin tax-Xmara Yangzi</v>
      </c>
    </row>
    <row r="13883" ht="15.75" customHeight="1">
      <c r="A13883" s="2" t="s">
        <v>13883</v>
      </c>
      <c r="B13883" s="2" t="str">
        <f>IFERROR(__xludf.DUMMYFUNCTION("GOOGLETRANSLATE(A13883, ""en"", ""mt"")"),"Xi nnota Shrewsbury dwar il-pesta?")</f>
        <v>Xi nnota Shrewsbury dwar il-pesta?</v>
      </c>
    </row>
    <row r="13884" ht="15.75" customHeight="1">
      <c r="A13884" s="2" t="s">
        <v>13884</v>
      </c>
      <c r="B13884" s="2" t="str">
        <f>IFERROR(__xludf.DUMMYFUNCTION("GOOGLETRANSLATE(A13884, ""en"", ""mt"")"),"Liema titlu kiseb Newcastle Native Basil Hume?")</f>
        <v>Liema titlu kiseb Newcastle Native Basil Hume?</v>
      </c>
    </row>
    <row r="13885" ht="15.75" customHeight="1">
      <c r="A13885" s="2" t="s">
        <v>13885</v>
      </c>
      <c r="B13885" s="2" t="str">
        <f>IFERROR(__xludf.DUMMYFUNCTION("GOOGLETRANSLATE(A13885, ""en"", ""mt"")"),"Għal definizzjoni preċiża ta 'dak li jfisser li tissolva problema bl-użu ta' ammont ta 'ħin u spazju partikolari, jintuża mudell komputazzjonali bħall-magna deterministika tat-Turing. Il-ħin meħtieġ minn magna tat-turing deterministika M fuq l-input X huw"&amp;"a n-numru totali ta 'transizzjonijiet tal-istat, jew passi, il-magna tagħmel qabel ma tieqaf u toħroġ it-tweġiba (""iva"" jew ""le""). Magna tat-Turing M jingħad li topera fiż-żmien f (n), jekk il-ħin meħtieġ minn M fuq kull input ta 'tul n huwa l-aktar f"&amp;" (n). Problema ta 'deċiżjoni A tista' tissolva fil-ħin f (n) jekk teżisti magna tat-Turing li topera fil-ħin f (n) li ssolvi l-problema. Peress li t-teorija tal-kumplessità hija interessata fil-klassifikazzjoni ta 'problemi bbażati fuq id-diffikultà tagħh"&amp;"om, wieħed jiddefinixxi settijiet ta' problemi bbażati fuq xi kriterji. Pereżempju, is-sett ta 'problemi solvibbli fiż-żmien f (n) fuq magna tat-Turing deterministika huwa mbagħad innotat minn dtime (f (n)).")</f>
        <v>Għal definizzjoni preċiża ta 'dak li jfisser li tissolva problema bl-użu ta' ammont ta 'ħin u spazju partikolari, jintuża mudell komputazzjonali bħall-magna deterministika tat-Turing. Il-ħin meħtieġ minn magna tat-turing deterministika M fuq l-input X huwa n-numru totali ta 'transizzjonijiet tal-istat, jew passi, il-magna tagħmel qabel ma tieqaf u toħroġ it-tweġiba ("iva" jew "le"). Magna tat-Turing M jingħad li topera fiż-żmien f (n), jekk il-ħin meħtieġ minn M fuq kull input ta 'tul n huwa l-aktar f (n). Problema ta 'deċiżjoni A tista' tissolva fil-ħin f (n) jekk teżisti magna tat-Turing li topera fil-ħin f (n) li ssolvi l-problema. Peress li t-teorija tal-kumplessità hija interessata fil-klassifikazzjoni ta 'problemi bbażati fuq id-diffikultà tagħhom, wieħed jiddefinixxi settijiet ta' problemi bbażati fuq xi kriterji. Pereżempju, is-sett ta 'problemi solvibbli fiż-żmien f (n) fuq magna tat-Turing deterministika huwa mbagħad innotat minn dtime (f (n)).</v>
      </c>
    </row>
    <row r="13886" ht="15.75" customHeight="1">
      <c r="A13886" s="2" t="s">
        <v>13886</v>
      </c>
      <c r="B13886" s="2" t="str">
        <f>IFERROR(__xludf.DUMMYFUNCTION("GOOGLETRANSLATE(A13886, ""en"", ""mt"")"),"X'tip ta 'problemi huma wieħed mis-suġġetti ewlenin studjati fit-teorija tal-kumplessità tal-komputazzjoni?")</f>
        <v>X'tip ta 'problemi huma wieħed mis-suġġetti ewlenin studjati fit-teorija tal-kumplessità tal-komputazzjoni?</v>
      </c>
    </row>
    <row r="13887" ht="15.75" customHeight="1">
      <c r="A13887" s="2" t="s">
        <v>13887</v>
      </c>
      <c r="B13887" s="2" t="str">
        <f>IFERROR(__xludf.DUMMYFUNCTION("GOOGLETRANSLATE(A13887, ""en"", ""mt"")"),"L-uffiċċju l-ġdid tal-PM se jkollu l-poter u l-awtorità li jikkoordina u jissorvelja l-funzjonijiet tal-gvern u se jkun okkupat minn membru parlamentari elett li se jkun il-mexxej tal-partit jew tal-koalizzjoni ma 'membri tal-maġġoranza fil-parlament. Id-"&amp;"dinja rat lil Annan u l-bord tiegħu appoġġjat min-NU u l-president tal-Unjoni Afrikana Jakaya Kikwete hekk kif ġabru l-ex rivali għaċ-ċerimonja tal-iffirmar, beaming live fuq it-TV nazzjonali mill-passi tad-dar Harambee ta 'Nairobi. Fid-29 ta 'Frar 2008, "&amp;"rappreżentanti tal-PNU u ODM bdew jaħdmu fuq id-dettalji ifjen tal-ftehim ta' qsim ta 'enerġija. Il-leġislaturi Kenjani approvaw unanimament ftehim ta 'qsim ta' enerġija fit-18 ta 'Marzu 2008, immirat biex isalva pajjiż ġeneralment meqjus bħala wieħed mil"&amp;"l-aktar stabbli u sinjuri fl-Afrika. Il-ftehim ġab l-ODM tal-PNU u Odinga ta 'Kibaki flimkien u ħabbru l-formazzjoni tal-Koalizzjoni Grand, li fiha ż-żewġ partiti politiċi jaqsmu l-poter bl-istess mod.")</f>
        <v>L-uffiċċju l-ġdid tal-PM se jkollu l-poter u l-awtorità li jikkoordina u jissorvelja l-funzjonijiet tal-gvern u se jkun okkupat minn membru parlamentari elett li se jkun il-mexxej tal-partit jew tal-koalizzjoni ma 'membri tal-maġġoranza fil-parlament. Id-dinja rat lil Annan u l-bord tiegħu appoġġjat min-NU u l-president tal-Unjoni Afrikana Jakaya Kikwete hekk kif ġabru l-ex rivali għaċ-ċerimonja tal-iffirmar, beaming live fuq it-TV nazzjonali mill-passi tad-dar Harambee ta 'Nairobi. Fid-29 ta 'Frar 2008, rappreżentanti tal-PNU u ODM bdew jaħdmu fuq id-dettalji ifjen tal-ftehim ta' qsim ta 'enerġija. Il-leġislaturi Kenjani approvaw unanimament ftehim ta 'qsim ta' enerġija fit-18 ta 'Marzu 2008, immirat biex isalva pajjiż ġeneralment meqjus bħala wieħed mill-aktar stabbli u sinjuri fl-Afrika. Il-ftehim ġab l-ODM tal-PNU u Odinga ta 'Kibaki flimkien u ħabbru l-formazzjoni tal-Koalizzjoni Grand, li fiha ż-żewġ partiti politiċi jaqsmu l-poter bl-istess mod.</v>
      </c>
    </row>
    <row r="13888" ht="15.75" customHeight="1">
      <c r="A13888" s="2" t="s">
        <v>13888</v>
      </c>
      <c r="B13888" s="2" t="str">
        <f>IFERROR(__xludf.DUMMYFUNCTION("GOOGLETRANSLATE(A13888, ""en"", ""mt"")"),"X'inhu vantaġġ ewlieni taċ-ċiklu ta 'Rankine?")</f>
        <v>X'inhu vantaġġ ewlieni taċ-ċiklu ta 'Rankine?</v>
      </c>
    </row>
    <row r="13889" ht="15.75" customHeight="1">
      <c r="A13889" s="2" t="s">
        <v>13889</v>
      </c>
      <c r="B13889" s="2" t="str">
        <f>IFERROR(__xludf.DUMMYFUNCTION("GOOGLETRANSLATE(A13889, ""en"", ""mt"")"),"Fejn Varsavja tikklassifika f'termini ta 'popolazzjoni fl-UE?")</f>
        <v>Fejn Varsavja tikklassifika f'termini ta 'popolazzjoni fl-UE?</v>
      </c>
    </row>
    <row r="13890" ht="15.75" customHeight="1">
      <c r="A13890" s="2" t="s">
        <v>13890</v>
      </c>
      <c r="B13890" s="2" t="str">
        <f>IFERROR(__xludf.DUMMYFUNCTION("GOOGLETRANSLATE(A13890, ""en"", ""mt"")"),"widien interni")</f>
        <v>widien interni</v>
      </c>
    </row>
    <row r="13891" ht="15.75" customHeight="1">
      <c r="A13891" s="2" t="s">
        <v>13891</v>
      </c>
      <c r="B13891" s="2" t="str">
        <f>IFERROR(__xludf.DUMMYFUNCTION("GOOGLETRANSLATE(A13891, ""en"", ""mt"")"),"kompletament imnaqqas")</f>
        <v>kompletament imnaqqas</v>
      </c>
    </row>
    <row r="13892" ht="15.75" customHeight="1">
      <c r="A13892" s="2" t="s">
        <v>13892</v>
      </c>
      <c r="B13892" s="2" t="str">
        <f>IFERROR(__xludf.DUMMYFUNCTION("GOOGLETRANSLATE(A13892, ""en"", ""mt"")"),"Liema art ġiet ċedjata lil Spanja?")</f>
        <v>Liema art ġiet ċedjata lil Spanja?</v>
      </c>
    </row>
    <row r="13893" ht="15.75" customHeight="1">
      <c r="A13893" s="2" t="s">
        <v>13893</v>
      </c>
      <c r="B13893" s="2" t="str">
        <f>IFERROR(__xludf.DUMMYFUNCTION("GOOGLETRANSLATE(A13893, ""en"", ""mt"")"),"X'kienet il-V &amp; A preżenti f'Lulju 1973 bħala parti mill-programm ta 'sensibilizzazzjoni taż-żgħażagħ tagħha?")</f>
        <v>X'kienet il-V &amp; A preżenti f'Lulju 1973 bħala parti mill-programm ta 'sensibilizzazzjoni taż-żgħażagħ tagħha?</v>
      </c>
    </row>
    <row r="13894" ht="15.75" customHeight="1">
      <c r="A13894" s="2" t="s">
        <v>13894</v>
      </c>
      <c r="B13894" s="2" t="str">
        <f>IFERROR(__xludf.DUMMYFUNCTION("GOOGLETRANSLATE(A13894, ""en"", ""mt"")"),"Min jispiċċa jkollna aktar mir-riżorsi tal-għalliem f'dan ix-xenarju?")</f>
        <v>Min jispiċċa jkollna aktar mir-riżorsi tal-għalliem f'dan ix-xenarju?</v>
      </c>
    </row>
    <row r="13895" ht="15.75" customHeight="1">
      <c r="A13895" s="2" t="s">
        <v>13895</v>
      </c>
      <c r="B13895" s="2" t="str">
        <f>IFERROR(__xludf.DUMMYFUNCTION("GOOGLETRANSLATE(A13895, ""en"", ""mt"")"),"Il-kostruzzjoni sseħħ fuq il-post għal min?")</f>
        <v>Il-kostruzzjoni sseħħ fuq il-post għal min?</v>
      </c>
    </row>
    <row r="13896" ht="15.75" customHeight="1">
      <c r="A13896" s="2" t="s">
        <v>13896</v>
      </c>
      <c r="B13896" s="2" t="str">
        <f>IFERROR(__xludf.DUMMYFUNCTION("GOOGLETRANSLATE(A13896, ""en"", ""mt"")"),"karbonju")</f>
        <v>karbonju</v>
      </c>
    </row>
    <row r="13897" ht="15.75" customHeight="1">
      <c r="A13897" s="2" t="s">
        <v>13897</v>
      </c>
      <c r="B13897" s="2" t="str">
        <f>IFERROR(__xludf.DUMMYFUNCTION("GOOGLETRANSLATE(A13897, ""en"", ""mt"")"),"Il-kwistjonijiet kollha li mhumiex riservati speċifikament huma awtomatikament devoluti lill-Parlament Skoċċiż")</f>
        <v>Il-kwistjonijiet kollha li mhumiex riservati speċifikament huma awtomatikament devoluti lill-Parlament Skoċċiż</v>
      </c>
    </row>
    <row r="13898" ht="15.75" customHeight="1">
      <c r="A13898" s="2" t="s">
        <v>13898</v>
      </c>
      <c r="B13898" s="2" t="str">
        <f>IFERROR(__xludf.DUMMYFUNCTION("GOOGLETRANSLATE(A13898, ""en"", ""mt"")"),"X'tip ta 'awtorità huma l-ispiżjara tal-kura ambulatorja mogħtija fis-sistema federali tal-kura tas-saħħa ta' l-Istati Uniti?")</f>
        <v>X'tip ta 'awtorità huma l-ispiżjara tal-kura ambulatorja mogħtija fis-sistema federali tal-kura tas-saħħa ta' l-Istati Uniti?</v>
      </c>
    </row>
    <row r="13899" ht="15.75" customHeight="1">
      <c r="A13899" s="2" t="s">
        <v>13899</v>
      </c>
      <c r="B13899" s="2" t="str">
        <f>IFERROR(__xludf.DUMMYFUNCTION("GOOGLETRANSLATE(A13899, ""en"", ""mt"")"),"mhux funzjonali")</f>
        <v>mhux funzjonali</v>
      </c>
    </row>
    <row r="13900" ht="15.75" customHeight="1">
      <c r="A13900" s="2" t="s">
        <v>13900</v>
      </c>
      <c r="B13900" s="2" t="str">
        <f>IFERROR(__xludf.DUMMYFUNCTION("GOOGLETRANSLATE(A13900, ""en"", ""mt"")"),"Radar ta 'apertura sintetika (SAR)")</f>
        <v>Radar ta 'apertura sintetika (SAR)</v>
      </c>
    </row>
    <row r="13901" ht="15.75" customHeight="1">
      <c r="A13901" s="2" t="s">
        <v>13901</v>
      </c>
      <c r="B13901" s="2" t="str">
        <f>IFERROR(__xludf.DUMMYFUNCTION("GOOGLETRANSLATE(A13901, ""en"", ""mt"")"),"Otter, kastur u mijiet ta 'speċi ta' għasafar.")</f>
        <v>Otter, kastur u mijiet ta 'speċi ta' għasafar.</v>
      </c>
    </row>
    <row r="13902" ht="15.75" customHeight="1">
      <c r="A13902" s="2" t="s">
        <v>13902</v>
      </c>
      <c r="B13902" s="2" t="str">
        <f>IFERROR(__xludf.DUMMYFUNCTION("GOOGLETRANSLATE(A13902, ""en"", ""mt"")"),"Rappreżentant Presidenzjali Repubblika Demokratika")</f>
        <v>Rappreżentant Presidenzjali Repubblika Demokratika</v>
      </c>
    </row>
    <row r="13903" ht="15.75" customHeight="1">
      <c r="A13903" s="2" t="s">
        <v>13903</v>
      </c>
      <c r="B13903" s="2" t="str">
        <f>IFERROR(__xludf.DUMMYFUNCTION("GOOGLETRANSLATE(A13903, ""en"", ""mt"")"),"X'inhuma eżempji tad-diversi reliġjonijiet tat-tribujiet Mongoljani?")</f>
        <v>X'inhuma eżempji tad-diversi reliġjonijiet tat-tribujiet Mongoljani?</v>
      </c>
    </row>
    <row r="13904" ht="15.75" customHeight="1">
      <c r="A13904" s="2" t="s">
        <v>13904</v>
      </c>
      <c r="B13904" s="2" t="str">
        <f>IFERROR(__xludf.DUMMYFUNCTION("GOOGLETRANSLATE(A13904, ""en"", ""mt"")"),"ożonu")</f>
        <v>ożonu</v>
      </c>
    </row>
    <row r="13905" ht="15.75" customHeight="1">
      <c r="A13905" s="2" t="s">
        <v>13905</v>
      </c>
      <c r="B13905" s="2" t="str">
        <f>IFERROR(__xludf.DUMMYFUNCTION("GOOGLETRANSLATE(A13905, ""en"", ""mt"")"),"F’mill-inqas xi speċi, il-minorenni huma kapaċi jirriproduċu qabel ma jilħqu d-daqs tal-adult")</f>
        <v>F’mill-inqas xi speċi, il-minorenni huma kapaċi jirriproduċu qabel ma jilħqu d-daqs tal-adult</v>
      </c>
    </row>
    <row r="13906" ht="15.75" customHeight="1">
      <c r="A13906" s="2" t="s">
        <v>13906</v>
      </c>
      <c r="B13906" s="2" t="str">
        <f>IFERROR(__xludf.DUMMYFUNCTION("GOOGLETRANSLATE(A13906, ""en"", ""mt"")"),"Apollo TV")</f>
        <v>Apollo TV</v>
      </c>
    </row>
    <row r="13907" ht="15.75" customHeight="1">
      <c r="A13907" s="2" t="s">
        <v>13907</v>
      </c>
      <c r="B13907" s="2" t="str">
        <f>IFERROR(__xludf.DUMMYFUNCTION("GOOGLETRANSLATE(A13907, ""en"", ""mt"")"),"Imperjalizmu")</f>
        <v>Imperjalizmu</v>
      </c>
    </row>
    <row r="13908" ht="15.75" customHeight="1">
      <c r="A13908" s="2" t="s">
        <v>13908</v>
      </c>
      <c r="B13908" s="2" t="str">
        <f>IFERROR(__xludf.DUMMYFUNCTION("GOOGLETRANSLATE(A13908, ""en"", ""mt"")"),"Qawwa ta 'frekwenza għolja ta' vultaġġ għoli")</f>
        <v>Qawwa ta 'frekwenza għolja ta' vultaġġ għoli</v>
      </c>
    </row>
    <row r="13909" ht="15.75" customHeight="1">
      <c r="A13909" s="2" t="s">
        <v>13909</v>
      </c>
      <c r="B13909" s="2" t="str">
        <f>IFERROR(__xludf.DUMMYFUNCTION("GOOGLETRANSLATE(A13909, ""en"", ""mt"")"),"fidi profetika")</f>
        <v>fidi profetika</v>
      </c>
    </row>
    <row r="13910" ht="15.75" customHeight="1">
      <c r="A13910" s="2" t="s">
        <v>13910</v>
      </c>
      <c r="B13910" s="2" t="str">
        <f>IFERROR(__xludf.DUMMYFUNCTION("GOOGLETRANSLATE(A13910, ""en"", ""mt"")"),"Il-programm Apollo kien maħsub matul l-Amministrazzjoni Eisenhower fil-bidu tal-1960, bħala segwitu għall-Proġett Merkurju. Filwaqt li l-kapsula tal-merkurju tista 'tappoġġja biss astronawt fuq missjoni orbitali tad-Dinja limitata, Apollo kien iġorr tliet"&amp;" astronawti. Missjonijiet possibbli kienu jinkludu l-ekwipaġġi li jbaħħru għal stazzjon spazjali, titjiriet ċirkonar, u ħatt l-art Lunar Eventwali. Il-programm ġie msemmi wara l-alla Grieg tad-Dawl, il-Mużika, u x-Xemx mill-maniġer tan-NASA Abe Silverstei"&amp;"n, li aktar tard qal li ""kont qed issemmi l-vettura spazjali bħalma kont insemmi t-tarbija tiegħi."" Silverstein għażel l-isem id-dar filgħaxija waħda, kmieni fl-1960, għax ħass li ""Apollo riekeb il-karru tiegħu madwar ix-xemx kien xieraq għall-iskala k"&amp;"bira tal-programm propost.""")</f>
        <v>Il-programm Apollo kien maħsub matul l-Amministrazzjoni Eisenhower fil-bidu tal-1960, bħala segwitu għall-Proġett Merkurju. Filwaqt li l-kapsula tal-merkurju tista 'tappoġġja biss astronawt fuq missjoni orbitali tad-Dinja limitata, Apollo kien iġorr tliet astronawti. Missjonijiet possibbli kienu jinkludu l-ekwipaġġi li jbaħħru għal stazzjon spazjali, titjiriet ċirkonar, u ħatt l-art Lunar Eventwali. Il-programm ġie msemmi wara l-alla Grieg tad-Dawl, il-Mużika, u x-Xemx mill-maniġer tan-NASA Abe Silverstein, li aktar tard qal li "kont qed issemmi l-vettura spazjali bħalma kont insemmi t-tarbija tiegħi." Silverstein għażel l-isem id-dar filgħaxija waħda, kmieni fl-1960, għax ħass li "Apollo riekeb il-karru tiegħu madwar ix-xemx kien xieraq għall-iskala kbira tal-programm propost."</v>
      </c>
    </row>
    <row r="13911" ht="15.75" customHeight="1">
      <c r="A13911" s="2" t="s">
        <v>13911</v>
      </c>
      <c r="B13911" s="2" t="str">
        <f>IFERROR(__xludf.DUMMYFUNCTION("GOOGLETRANSLATE(A13911, ""en"", ""mt"")"),"jiffjorixxi fil-baħar l-aħmar")</f>
        <v>jiffjorixxi fil-baħar l-aħmar</v>
      </c>
    </row>
    <row r="13912" ht="15.75" customHeight="1">
      <c r="A13912" s="2" t="s">
        <v>13912</v>
      </c>
      <c r="B13912" s="2" t="str">
        <f>IFERROR(__xludf.DUMMYFUNCTION("GOOGLETRANSLATE(A13912, ""en"", ""mt"")"),"ilma tax-xorb")</f>
        <v>ilma tax-xorb</v>
      </c>
    </row>
    <row r="13913" ht="15.75" customHeight="1">
      <c r="A13913" s="2" t="s">
        <v>13913</v>
      </c>
      <c r="B13913" s="2" t="str">
        <f>IFERROR(__xludf.DUMMYFUNCTION("GOOGLETRANSLATE(A13913, ""en"", ""mt"")"),"X'għandu Newcastle għandu storja kburija?")</f>
        <v>X'għandu Newcastle għandu storja kburija?</v>
      </c>
    </row>
    <row r="13914" ht="15.75" customHeight="1">
      <c r="A13914" s="2" t="s">
        <v>13914</v>
      </c>
      <c r="B13914" s="2" t="str">
        <f>IFERROR(__xludf.DUMMYFUNCTION("GOOGLETRANSLATE(A13914, ""en"", ""mt"")"),"L-Iskandinavja u l-Ewropa tat-Tramuntana")</f>
        <v>L-Iskandinavja u l-Ewropa tat-Tramuntana</v>
      </c>
    </row>
    <row r="13915" ht="15.75" customHeight="1">
      <c r="A13915" s="2" t="s">
        <v>13915</v>
      </c>
      <c r="B13915" s="2" t="str">
        <f>IFERROR(__xludf.DUMMYFUNCTION("GOOGLETRANSLATE(A13915, ""en"", ""mt"")"),"Organizzazzjonijiet professjonali u tax-xogħol")</f>
        <v>Organizzazzjonijiet professjonali u tax-xogħol</v>
      </c>
    </row>
    <row r="13916" ht="15.75" customHeight="1">
      <c r="A13916" s="2" t="s">
        <v>13916</v>
      </c>
      <c r="B13916" s="2" t="str">
        <f>IFERROR(__xludf.DUMMYFUNCTION("GOOGLETRANSLATE(A13916, ""en"", ""mt"")"),"Għaliex l-università rat waqgħa fl-applikanti?")</f>
        <v>Għaliex l-università rat waqgħa fl-applikanti?</v>
      </c>
    </row>
    <row r="13917" ht="15.75" customHeight="1">
      <c r="A13917" s="2" t="s">
        <v>13917</v>
      </c>
      <c r="B13917" s="2" t="str">
        <f>IFERROR(__xludf.DUMMYFUNCTION("GOOGLETRANSLATE(A13917, ""en"", ""mt"")"),"Meta beda l-bug tal-logo jidher matul il-programm kollu għall-wirjiet ABC?")</f>
        <v>Meta beda l-bug tal-logo jidher matul il-programm kollu għall-wirjiet ABC?</v>
      </c>
    </row>
    <row r="13918" ht="15.75" customHeight="1">
      <c r="A13918" s="2" t="s">
        <v>13918</v>
      </c>
      <c r="B13918" s="2" t="str">
        <f>IFERROR(__xludf.DUMMYFUNCTION("GOOGLETRANSLATE(A13918, ""en"", ""mt"")"),"kopertura mnaqqsa tal-veġetazzjoni tropikali niedja mnaqqsa")</f>
        <v>kopertura mnaqqsa tal-veġetazzjoni tropikali niedja mnaqqsa</v>
      </c>
    </row>
    <row r="13919" ht="15.75" customHeight="1">
      <c r="A13919" s="2" t="s">
        <v>13919</v>
      </c>
      <c r="B13919" s="2" t="str">
        <f>IFERROR(__xludf.DUMMYFUNCTION("GOOGLETRANSLATE(A13919, ""en"", ""mt"")"),"ħalq li normalment jista 'jingħalaq mill-muskoli; farinġi (""gerżuma""); żona usa 'fiċ-ċentru li taġixxi bħala stonku; u sistema ta 'kanali interni.")</f>
        <v>ħalq li normalment jista 'jingħalaq mill-muskoli; farinġi ("gerżuma"); żona usa 'fiċ-ċentru li taġixxi bħala stonku; u sistema ta 'kanali interni.</v>
      </c>
    </row>
    <row r="13920" ht="15.75" customHeight="1">
      <c r="A13920" s="2" t="s">
        <v>13920</v>
      </c>
      <c r="B13920" s="2" t="str">
        <f>IFERROR(__xludf.DUMMYFUNCTION("GOOGLETRANSLATE(A13920, ""en"", ""mt"")"),"biex tissottometti l-kastig preskritt mil-liġi")</f>
        <v>biex tissottometti l-kastig preskritt mil-liġi</v>
      </c>
    </row>
    <row r="13921" ht="15.75" customHeight="1">
      <c r="A13921" s="2" t="s">
        <v>13921</v>
      </c>
      <c r="B13921" s="2" t="str">
        <f>IFERROR(__xludf.DUMMYFUNCTION("GOOGLETRANSLATE(A13921, ""en"", ""mt"")"),"L-ikbar ekonomija tal-Lvant u l-Afrika Ċentrali stazzjonat tkabbir tremend fis-settur tas-servizzi, imsaħħa mill-espansjoni rapida fit-telekomunikazzjoni u l-attività finanzjarja matul l-aħħar għaxar snin, u issa [meta?] Tikkontribwixxi 62% tal-PDG. 22% t"&amp;"al-PDG għadu ġej mis-settur agrikolu mhux affidabbli li jimpjega 75% tal-forza tax-xogħol (karatteristika konsistenti ta 'ekonomiji mhux żviluppati li ma laħqux is-sigurtà tal-ikel - katalizzatur importanti tat-tkabbir ekonomiku) porzjon żgħir tal-popolaz"&amp;"zjoni jiddependi fuq Għajnuna għall-ikel. [Ċitazzjoni meħtieġa] Industrija u l-manifattura hija l-iżgħar settur, li jammontaw għal 16% tal-PDG. Is-servizz, l-industrija u s-setturi tal-manifattura jimpjegaw biss 25% tal-forza tax-xogħol iżda jikkontribwix"&amp;"xu 75% tal-PDG.")</f>
        <v>L-ikbar ekonomija tal-Lvant u l-Afrika Ċentrali stazzjonat tkabbir tremend fis-settur tas-servizzi, imsaħħa mill-espansjoni rapida fit-telekomunikazzjoni u l-attività finanzjarja matul l-aħħar għaxar snin, u issa [meta?] Tikkontribwixxi 62% tal-PDG. 22% tal-PDG għadu ġej mis-settur agrikolu mhux affidabbli li jimpjega 75% tal-forza tax-xogħol (karatteristika konsistenti ta 'ekonomiji mhux żviluppati li ma laħqux is-sigurtà tal-ikel - katalizzatur importanti tat-tkabbir ekonomiku) porzjon żgħir tal-popolazzjoni jiddependi fuq Għajnuna għall-ikel. [Ċitazzjoni meħtieġa] Industrija u l-manifattura hija l-iżgħar settur, li jammontaw għal 16% tal-PDG. Is-servizz, l-industrija u s-setturi tal-manifattura jimpjegaw biss 25% tal-forza tax-xogħol iżda jikkontribwixxu 75% tal-PDG.</v>
      </c>
    </row>
    <row r="13922" ht="15.75" customHeight="1">
      <c r="A13922" s="2" t="s">
        <v>13922</v>
      </c>
      <c r="B13922" s="2" t="str">
        <f>IFERROR(__xludf.DUMMYFUNCTION("GOOGLETRANSLATE(A13922, ""en"", ""mt"")"),"Ir-Rhine t'isfel tgħaddi minn North Rhine-Westphalia. Il-banek tagħha huma ġeneralment popolati ħafna u industrijalizzati, b'mod partikolari l-agglomerazzjonijiet Cologne, Düsseldorf u ż-żona ta 'Ruhr. Hawnhekk ir-Rhine joħroġ mill-ikbar konurbazzjoni fil"&amp;"-Ġermanja, ir-reġjun tar-Rhine-Ruhr. Waħda mill-iktar bliet importanti f'dan ir-reġjun hija Duisburg bl-akbar port tax-xmajjar fl-Ewropa (Duisport). Ir-reġjun 'l isfel ta' Duisburg huwa aktar agrikolu. F'Wesel, 30 km 'l isfel minn Duisburg, jinsab it-tarf"&amp;" tal-punent tat-tieni rotta tat-tbaħħir tal-Lvant-Punent, il-Kanal Wesel-Datteln, li jimxi parallel mal-lippe. Bejn Emmerich u Cleves il-Pont ta 'Emmerich Rhine, l-itwal pont ta' sospensjoni fil-Ġermanja, jaqsam ix-xmara wiesgħa ta '400 m. Ħdejn Krefeld, "&amp;"ix-xmara taqsam il-linja Uerdingen, il-linja li tifred iż-żoni fejn jitkellmu Ġermaniż baxx u għoli Ġermaniż.")</f>
        <v>Ir-Rhine t'isfel tgħaddi minn North Rhine-Westphalia. Il-banek tagħha huma ġeneralment popolati ħafna u industrijalizzati, b'mod partikolari l-agglomerazzjonijiet Cologne, Düsseldorf u ż-żona ta 'Ruhr. Hawnhekk ir-Rhine joħroġ mill-ikbar konurbazzjoni fil-Ġermanja, ir-reġjun tar-Rhine-Ruhr. Waħda mill-iktar bliet importanti f'dan ir-reġjun hija Duisburg bl-akbar port tax-xmajjar fl-Ewropa (Duisport). Ir-reġjun 'l isfel ta' Duisburg huwa aktar agrikolu. F'Wesel, 30 km 'l isfel minn Duisburg, jinsab it-tarf tal-punent tat-tieni rotta tat-tbaħħir tal-Lvant-Punent, il-Kanal Wesel-Datteln, li jimxi parallel mal-lippe. Bejn Emmerich u Cleves il-Pont ta 'Emmerich Rhine, l-itwal pont ta' sospensjoni fil-Ġermanja, jaqsam ix-xmara wiesgħa ta '400 m. Ħdejn Krefeld, ix-xmara taqsam il-linja Uerdingen, il-linja li tifred iż-żoni fejn jitkellmu Ġermaniż baxx u għoli Ġermaniż.</v>
      </c>
    </row>
    <row r="13923" ht="15.75" customHeight="1">
      <c r="A13923" s="2" t="s">
        <v>13923</v>
      </c>
      <c r="B13923" s="2" t="str">
        <f>IFERROR(__xludf.DUMMYFUNCTION("GOOGLETRANSLATE(A13923, ""en"", ""mt"")"),"X'naqqsu l-awtoritajiet kolonjali minħabba r-rewwixta ta 'Ballarat?")</f>
        <v>X'naqqsu l-awtoritajiet kolonjali minħabba r-rewwixta ta 'Ballarat?</v>
      </c>
    </row>
    <row r="13924" ht="15.75" customHeight="1">
      <c r="A13924" s="2" t="s">
        <v>13924</v>
      </c>
      <c r="B13924" s="2" t="str">
        <f>IFERROR(__xludf.DUMMYFUNCTION("GOOGLETRANSLATE(A13924, ""en"", ""mt"")"),"Liema kumitat għandu s-setgħa esklussiva li jistabbilixxi s-salarji tar-ragħajja?")</f>
        <v>Liema kumitat għandu s-setgħa esklussiva li jistabbilixxi s-salarji tar-ragħajja?</v>
      </c>
    </row>
    <row r="13925" ht="15.75" customHeight="1">
      <c r="A13925" s="2" t="s">
        <v>13925</v>
      </c>
      <c r="B13925" s="2" t="str">
        <f>IFERROR(__xludf.DUMMYFUNCTION("GOOGLETRANSLATE(A13925, ""en"", ""mt"")"),"entużjażmu dwar l-istudenti")</f>
        <v>entużjażmu dwar l-istudenti</v>
      </c>
    </row>
    <row r="13926" ht="15.75" customHeight="1">
      <c r="A13926" s="2" t="s">
        <v>13926</v>
      </c>
      <c r="B13926" s="2" t="str">
        <f>IFERROR(__xludf.DUMMYFUNCTION("GOOGLETRANSLATE(A13926, ""en"", ""mt"")"),"Melanchthon x’sejjaħ iż-żwieġ?")</f>
        <v>Melanchthon x’sejjaħ iż-żwieġ?</v>
      </c>
    </row>
    <row r="13927" ht="15.75" customHeight="1">
      <c r="A13927" s="2" t="s">
        <v>13927</v>
      </c>
      <c r="B13927" s="2" t="str">
        <f>IFERROR(__xludf.DUMMYFUNCTION("GOOGLETRANSLATE(A13927, ""en"", ""mt"")"),"aktar minn ħamsin")</f>
        <v>aktar minn ħamsin</v>
      </c>
    </row>
    <row r="13928" ht="15.75" customHeight="1">
      <c r="A13928" s="2" t="s">
        <v>13928</v>
      </c>
      <c r="B13928" s="2" t="str">
        <f>IFERROR(__xludf.DUMMYFUNCTION("GOOGLETRANSLATE(A13928, ""en"", ""mt"")"),"permezz ta 'rikombinazzjoni omologa")</f>
        <v>permezz ta 'rikombinazzjoni omologa</v>
      </c>
    </row>
    <row r="13929" ht="15.75" customHeight="1">
      <c r="A13929" s="2" t="s">
        <v>13929</v>
      </c>
      <c r="B13929" s="2" t="str">
        <f>IFERROR(__xludf.DUMMYFUNCTION("GOOGLETRANSLATE(A13929, ""en"", ""mt"")"),"Liema fergħa tal-UE kellha l-iktar influwenza fuq l-iżvilupp tal-liġi tal-UE?")</f>
        <v>Liema fergħa tal-UE kellha l-iktar influwenza fuq l-iżvilupp tal-liġi tal-UE?</v>
      </c>
    </row>
    <row r="13930" ht="15.75" customHeight="1">
      <c r="A13930" s="2" t="s">
        <v>13930</v>
      </c>
      <c r="B13930" s="2" t="str">
        <f>IFERROR(__xludf.DUMMYFUNCTION("GOOGLETRANSLATE(A13930, ""en"", ""mt"")"),"25 minuta")</f>
        <v>25 minuta</v>
      </c>
    </row>
    <row r="13931" ht="15.75" customHeight="1">
      <c r="A13931" s="2" t="s">
        <v>13931</v>
      </c>
      <c r="B13931" s="2" t="str">
        <f>IFERROR(__xludf.DUMMYFUNCTION("GOOGLETRANSLATE(A13931, ""en"", ""mt"")"),"Kien hemm ukoll ħafna referenzi għal Doctor Who fil-kultura popolari u fantaxjenza oħra, inkluż Star Trek: The Next Generation (""The Newtral Zone"") u l-ingranaġġ. Fis-serje Channel 4 Queer bħala Folk (maħluqa mill-produttur eżekuttiv ta 'Doctor Who Russ"&amp;"ell T. Davies), il-karattru ta' Vince kien deskritt bħala fan ta 'Doctor Who, b'referenzi li jidhru ħafna drabi matul il-forma ta' klipps mill-programm. B'mod simili, il-karattru ta 'Oliver fuq l-akkoppjar (maħluq u miktub mir-runner tal-ispettaklu attwal"&amp;"i Steven Moffat) huwa deskritt bħala tabib li kollettur u entużjast. Referenzi għal Doctor Who dehru wkoll fir-rumanzi tal-fantasija adulti żgħażagħ Brisingr u High Wizardry, il-video game rock band, The Soap Opera Eastenders, The Adult Swim Comedy Show R"&amp;"obot Chicken, l-episodji tal-Family Guy ""Blue Harvest"" u ""420"", U l-logħba runescape. Ġie rreferut ukoll biex teqred il-bnedmin kollha! 2, minn persuni ċivili fil-varjazzjoni tal-logħba tal-Ingilterra, u fl-Apollo Justice: Ace Avukat.")</f>
        <v>Kien hemm ukoll ħafna referenzi għal Doctor Who fil-kultura popolari u fantaxjenza oħra, inkluż Star Trek: The Next Generation ("The Newtral Zone") u l-ingranaġġ. Fis-serje Channel 4 Queer bħala Folk (maħluqa mill-produttur eżekuttiv ta 'Doctor Who Russell T. Davies), il-karattru ta' Vince kien deskritt bħala fan ta 'Doctor Who, b'referenzi li jidhru ħafna drabi matul il-forma ta' klipps mill-programm. B'mod simili, il-karattru ta 'Oliver fuq l-akkoppjar (maħluq u miktub mir-runner tal-ispettaklu attwali Steven Moffat) huwa deskritt bħala tabib li kollettur u entużjast. Referenzi għal Doctor Who dehru wkoll fir-rumanzi tal-fantasija adulti żgħażagħ Brisingr u High Wizardry, il-video game rock band, The Soap Opera Eastenders, The Adult Swim Comedy Show Robot Chicken, l-episodji tal-Family Guy "Blue Harvest" u "420", U l-logħba runescape. Ġie rreferut ukoll biex teqred il-bnedmin kollha! 2, minn persuni ċivili fil-varjazzjoni tal-logħba tal-Ingilterra, u fl-Apollo Justice: Ace Avukat.</v>
      </c>
    </row>
    <row r="13932" ht="15.75" customHeight="1">
      <c r="A13932" s="2" t="s">
        <v>13932</v>
      </c>
      <c r="B13932" s="2" t="str">
        <f>IFERROR(__xludf.DUMMYFUNCTION("GOOGLETRANSLATE(A13932, ""en"", ""mt"")"),"Luther kif ried li n-nies iġibu bidla?")</f>
        <v>Luther kif ried li n-nies iġibu bidla?</v>
      </c>
    </row>
    <row r="13933" ht="15.75" customHeight="1">
      <c r="A13933" s="2" t="s">
        <v>13933</v>
      </c>
      <c r="B13933" s="2" t="str">
        <f>IFERROR(__xludf.DUMMYFUNCTION("GOOGLETRANSLATE(A13933, ""en"", ""mt"")"),"Għajnuna tistabbilizza l-kumplament tal-ġenoma tal-kloroplast")</f>
        <v>Għajnuna tistabbilizza l-kumplament tal-ġenoma tal-kloroplast</v>
      </c>
    </row>
    <row r="13934" ht="15.75" customHeight="1">
      <c r="A13934" s="2" t="s">
        <v>13934</v>
      </c>
      <c r="B13934" s="2" t="str">
        <f>IFERROR(__xludf.DUMMYFUNCTION("GOOGLETRANSLATE(A13934, ""en"", ""mt"")"),"X'tip ta 'arkati għandha l-arkitettura Norman?")</f>
        <v>X'tip ta 'arkati għandha l-arkitettura Norman?</v>
      </c>
    </row>
    <row r="13935" ht="15.75" customHeight="1">
      <c r="A13935" s="2" t="s">
        <v>13935</v>
      </c>
      <c r="B13935" s="2" t="str">
        <f>IFERROR(__xludf.DUMMYFUNCTION("GOOGLETRANSLATE(A13935, ""en"", ""mt"")"),"L-akbar sors ta 'investiment dirett barrani")</f>
        <v>L-akbar sors ta 'investiment dirett barrani</v>
      </c>
    </row>
    <row r="13936" ht="15.75" customHeight="1">
      <c r="A13936" s="2" t="s">
        <v>13936</v>
      </c>
      <c r="B13936" s="2" t="str">
        <f>IFERROR(__xludf.DUMMYFUNCTION("GOOGLETRANSLATE(A13936, ""en"", ""mt"")"),"T (n) = o (n2)")</f>
        <v>T (n) = o (n2)</v>
      </c>
    </row>
    <row r="13937" ht="15.75" customHeight="1">
      <c r="A13937" s="2" t="s">
        <v>13937</v>
      </c>
      <c r="B13937" s="2" t="str">
        <f>IFERROR(__xludf.DUMMYFUNCTION("GOOGLETRANSLATE(A13937, ""en"", ""mt"")"),"X'inhi l-akbar librerija indipendenti barra minn Londra?")</f>
        <v>X'inhi l-akbar librerija indipendenti barra minn Londra?</v>
      </c>
    </row>
    <row r="13938" ht="15.75" customHeight="1">
      <c r="A13938" s="2" t="s">
        <v>13938</v>
      </c>
      <c r="B13938" s="2" t="str">
        <f>IFERROR(__xludf.DUMMYFUNCTION("GOOGLETRANSLATE(A13938, ""en"", ""mt"")"),"L-istoriku Frederick W. Mote kiteb li l-użu tat-terminu ""klassijiet soċjali"" għal din is-sistema kien qarrieqi u li l-pożizzjoni ta 'nies fis-sistema ta' erba 'klassi ma kinitx indikazzjoni tal-poter u l-ġid soċjali attwali tagħhom, iżda kienet tinvolvi"&amp;" biss "" gradi ta 'privileġġ ""li għalihom kienu intitolati istituzzjonalment u legalment, u għalhekk il-wieqfa ta' persuna fil-klassijiet ma kinitx garanzija tal-wieqfa tagħha, peress li kien hemm Ċiniżi sinjuri u soċjalment soċjalment waqt li kien hemm "&amp;"inqas sinjuri Mongol u semu milli kien hemm Mongolju u Semu li għex fil-faqar u kien trattat ħażin.")</f>
        <v>L-istoriku Frederick W. Mote kiteb li l-użu tat-terminu "klassijiet soċjali" għal din is-sistema kien qarrieqi u li l-pożizzjoni ta 'nies fis-sistema ta' erba 'klassi ma kinitx indikazzjoni tal-poter u l-ġid soċjali attwali tagħhom, iżda kienet tinvolvi biss " gradi ta 'privileġġ "li għalihom kienu intitolati istituzzjonalment u legalment, u għalhekk il-wieqfa ta' persuna fil-klassijiet ma kinitx garanzija tal-wieqfa tagħha, peress li kien hemm Ċiniżi sinjuri u soċjalment soċjalment waqt li kien hemm inqas sinjuri Mongol u semu milli kien hemm Mongolju u Semu li għex fil-faqar u kien trattat ħażin.</v>
      </c>
    </row>
    <row r="13939" ht="15.75" customHeight="1">
      <c r="A13939" s="2" t="s">
        <v>13939</v>
      </c>
      <c r="B13939" s="2" t="str">
        <f>IFERROR(__xludf.DUMMYFUNCTION("GOOGLETRANSLATE(A13939, ""en"", ""mt"")"),"Biex tevita l-installazzjoni ta 'immaġini pagani fit-tempju f'Ġerusalemm")</f>
        <v>Biex tevita l-installazzjoni ta 'immaġini pagani fit-tempju f'Ġerusalemm</v>
      </c>
    </row>
    <row r="13940" ht="15.75" customHeight="1">
      <c r="A13940" s="2" t="s">
        <v>13940</v>
      </c>
      <c r="B13940" s="2" t="str">
        <f>IFERROR(__xludf.DUMMYFUNCTION("GOOGLETRANSLATE(A13940, ""en"", ""mt"")"),"Bijodiversità")</f>
        <v>Bijodiversità</v>
      </c>
    </row>
    <row r="13941" ht="15.75" customHeight="1">
      <c r="A13941" s="2" t="s">
        <v>13941</v>
      </c>
      <c r="B13941" s="2" t="str">
        <f>IFERROR(__xludf.DUMMYFUNCTION("GOOGLETRANSLATE(A13941, ""en"", ""mt"")"),"Analiżi tal-filoġenija molekulari kkonfermat li ċ-ċidippidi mhumiex xiex?")</f>
        <v>Analiżi tal-filoġenija molekulari kkonfermat li ċ-ċidippidi mhumiex xiex?</v>
      </c>
    </row>
    <row r="13942" ht="15.75" customHeight="1">
      <c r="A13942" s="2" t="s">
        <v>13942</v>
      </c>
      <c r="B13942" s="2" t="str">
        <f>IFERROR(__xludf.DUMMYFUNCTION("GOOGLETRANSLATE(A13942, ""en"", ""mt"")"),"0.2 abitanti")</f>
        <v>0.2 abitanti</v>
      </c>
    </row>
    <row r="13943" ht="15.75" customHeight="1">
      <c r="A13943" s="2" t="s">
        <v>13943</v>
      </c>
      <c r="B13943" s="2" t="str">
        <f>IFERROR(__xludf.DUMMYFUNCTION("GOOGLETRANSLATE(A13943, ""en"", ""mt"")"),"X'inhi l-perfezzjoni Nisranija?")</f>
        <v>X'inhi l-perfezzjoni Nisranija?</v>
      </c>
    </row>
    <row r="13944" ht="15.75" customHeight="1">
      <c r="A13944" s="2" t="s">
        <v>13944</v>
      </c>
      <c r="B13944" s="2" t="str">
        <f>IFERROR(__xludf.DUMMYFUNCTION("GOOGLETRANSLATE(A13944, ""en"", ""mt"")"),"X'inhu l-ekwivalenti tal-forza tat-torque meta mqabbel mal-momentum angolari?")</f>
        <v>X'inhu l-ekwivalenti tal-forza tat-torque meta mqabbel mal-momentum angolari?</v>
      </c>
    </row>
    <row r="13945" ht="15.75" customHeight="1">
      <c r="A13945" s="2" t="s">
        <v>13945</v>
      </c>
      <c r="B13945" s="2" t="str">
        <f>IFERROR(__xludf.DUMMYFUNCTION("GOOGLETRANSLATE(A13945, ""en"", ""mt"")"),"7 ta 'Frar")</f>
        <v>7 ta 'Frar</v>
      </c>
    </row>
    <row r="13946" ht="15.75" customHeight="1">
      <c r="A13946" s="2" t="s">
        <v>13946</v>
      </c>
      <c r="B13946" s="2" t="str">
        <f>IFERROR(__xludf.DUMMYFUNCTION("GOOGLETRANSLATE(A13946, ""en"", ""mt"")"),"L-iskejjel għolja tilfu l-akkreditazzjoni tagħhom")</f>
        <v>L-iskejjel għolja tilfu l-akkreditazzjoni tagħhom</v>
      </c>
    </row>
    <row r="13947" ht="15.75" customHeight="1">
      <c r="A13947" s="2" t="s">
        <v>13947</v>
      </c>
      <c r="B13947" s="2" t="str">
        <f>IFERROR(__xludf.DUMMYFUNCTION("GOOGLETRANSLATE(A13947, ""en"", ""mt"")"),"Kemm ir-riċerkaturi issa jaħsbu li l-livelli tal-baħar se jogħlew mill-1990 sal-2100?")</f>
        <v>Kemm ir-riċerkaturi issa jaħsbu li l-livelli tal-baħar se jogħlew mill-1990 sal-2100?</v>
      </c>
    </row>
    <row r="13948" ht="15.75" customHeight="1">
      <c r="A13948" s="2" t="s">
        <v>13948</v>
      </c>
      <c r="B13948" s="2" t="str">
        <f>IFERROR(__xludf.DUMMYFUNCTION("GOOGLETRANSLATE(A13948, ""en"", ""mt"")"),"Deforestazzjoni u Ecocide")</f>
        <v>Deforestazzjoni u Ecocide</v>
      </c>
    </row>
    <row r="13949" ht="15.75" customHeight="1">
      <c r="A13949" s="2" t="s">
        <v>13949</v>
      </c>
      <c r="B13949" s="2" t="str">
        <f>IFERROR(__xludf.DUMMYFUNCTION("GOOGLETRANSLATE(A13949, ""en"", ""mt"")"),"X'inhu l-isem tal-propjetà li tinnomina numru bħala prim jew le?")</f>
        <v>X'inhu l-isem tal-propjetà li tinnomina numru bħala prim jew le?</v>
      </c>
    </row>
    <row r="13950" ht="15.75" customHeight="1">
      <c r="A13950" s="2" t="s">
        <v>13950</v>
      </c>
      <c r="B13950" s="2" t="str">
        <f>IFERROR(__xludf.DUMMYFUNCTION("GOOGLETRANSLATE(A13950, ""en"", ""mt"")"),"Liema kritika fl-artiklu ta 'NY Times li tħalli impatt fuq il-kwalità tal-edukazzjoni f'Harvard?")</f>
        <v>Liema kritika fl-artiklu ta 'NY Times li tħalli impatt fuq il-kwalità tal-edukazzjoni f'Harvard?</v>
      </c>
    </row>
    <row r="13951" ht="15.75" customHeight="1">
      <c r="A13951" s="2" t="s">
        <v>13951</v>
      </c>
      <c r="B13951" s="2" t="str">
        <f>IFERROR(__xludf.DUMMYFUNCTION("GOOGLETRANSLATE(A13951, ""en"", ""mt"")"),"Qoxra ta 'veġetazzjoni tropikali niedja")</f>
        <v>Qoxra ta 'veġetazzjoni tropikali niedja</v>
      </c>
    </row>
    <row r="13952" ht="15.75" customHeight="1">
      <c r="A13952" s="2" t="s">
        <v>13952</v>
      </c>
      <c r="B13952" s="2" t="str">
        <f>IFERROR(__xludf.DUMMYFUNCTION("GOOGLETRANSLATE(A13952, ""en"", ""mt"")"),"$ 230 miljun")</f>
        <v>$ 230 miljun</v>
      </c>
    </row>
    <row r="13953" ht="15.75" customHeight="1">
      <c r="A13953" s="2" t="s">
        <v>13953</v>
      </c>
      <c r="B13953" s="2" t="str">
        <f>IFERROR(__xludf.DUMMYFUNCTION("GOOGLETRANSLATE(A13953, ""en"", ""mt"")"),"Is-setturi ekonomiċi dominanti fiż-żona tan-nofs tar-Renu huma l-vinikultura u t-turiżmu. Il-Gorge Rhine bejn Rüdesheim Am Rhein u Koblenz huwa elenkat bħala Sit tal-Wirt Dinji tal-UNESCO. Ħdejn Sankt Goarshausen, ir-Rhine joħroġ madwar il-famuż rock lore"&amp;"lei. Bil-monumenti arkitettoniċi pendenti tagħha, l-għoljiet mimlijin dwieli, insedjamenti iffullati fuq ix-xmajjar dojoq u punteġġi ta 'kastelli allinjati tul il-parti ta' fuq tal-għoljiet weqfin, il-Wied tar-Renu Nofsani jista 'jitqies bħala l-epitome t"&amp;"ar-Rhine Romanticism.")</f>
        <v>Is-setturi ekonomiċi dominanti fiż-żona tan-nofs tar-Renu huma l-vinikultura u t-turiżmu. Il-Gorge Rhine bejn Rüdesheim Am Rhein u Koblenz huwa elenkat bħala Sit tal-Wirt Dinji tal-UNESCO. Ħdejn Sankt Goarshausen, ir-Rhine joħroġ madwar il-famuż rock lorelei. Bil-monumenti arkitettoniċi pendenti tagħha, l-għoljiet mimlijin dwieli, insedjamenti iffullati fuq ix-xmajjar dojoq u punteġġi ta 'kastelli allinjati tul il-parti ta' fuq tal-għoljiet weqfin, il-Wied tar-Renu Nofsani jista 'jitqies bħala l-epitome tar-Rhine Romanticism.</v>
      </c>
    </row>
    <row r="13954" ht="15.75" customHeight="1">
      <c r="A13954" s="2" t="s">
        <v>13954</v>
      </c>
      <c r="B13954" s="2" t="str">
        <f>IFERROR(__xludf.DUMMYFUNCTION("GOOGLETRANSLATE(A13954, ""en"", ""mt"")"),"in-nofsinhar")</f>
        <v>in-nofsinhar</v>
      </c>
    </row>
    <row r="13955" ht="15.75" customHeight="1">
      <c r="A13955" s="2" t="s">
        <v>13955</v>
      </c>
      <c r="B13955" s="2" t="str">
        <f>IFERROR(__xludf.DUMMYFUNCTION("GOOGLETRANSLATE(A13955, ""en"", ""mt"")"),"Sultan ta 'Tebes")</f>
        <v>Sultan ta 'Tebes</v>
      </c>
    </row>
    <row r="13956" ht="15.75" customHeight="1">
      <c r="A13956" s="2" t="s">
        <v>13956</v>
      </c>
      <c r="B13956" s="2" t="str">
        <f>IFERROR(__xludf.DUMMYFUNCTION("GOOGLETRANSLATE(A13956, ""en"", ""mt"")"),"restorant li jinsab fi grad")</f>
        <v>restorant li jinsab fi grad</v>
      </c>
    </row>
    <row r="13957" ht="15.75" customHeight="1">
      <c r="A13957" s="2" t="s">
        <v>13957</v>
      </c>
      <c r="B13957" s="2" t="str">
        <f>IFERROR(__xludf.DUMMYFUNCTION("GOOGLETRANSLATE(A13957, ""en"", ""mt"")"),"Hemm evidenza li kien hemm bidliet sinifikanti fil-veġetazzjoni tal-foresta tropikali tal-Amazon matul dawn l-aħħar 21,000 sena sa l-aħħar massimu glaċjali (LGM) u d-deglakjazzjoni sussegwenti. L-analiżi tad-depożiti tas-sedimenti mill-paleolakes tal-baċi"&amp;"n tal-Amazon u mill-fann tal-Amazon jindikaw li x-xita fil-baċin waqt l-LGM kienet inqas minn dik tal-preżent, u dan kien kważi ċertament assoċjat ma 'kopertura ta' veġetazzjoni tropikali niedja mnaqqsa fil-baċin. Hemm dibattitu, madankollu, dwar kemm kie"&amp;"n estensiv dan it-tnaqqis. Xi xjenzati jargumentaw li l-foresta tropikali tnaqqset għal refugia żgħira u iżolata separata mill-foresta miftuħa u l-ħaxix; Xjentisti oħra jargumentaw li l-foresta tropikali baqgħet fil-biċċa l-kbira intatta iżda estiża inqas"&amp;" lejn it-tramuntana, in-nofsinhar u l-lvant milli tidher illum. Dan id-dibattitu wera diffiċli biex jiġi solvut minħabba li l-limitazzjonijiet prattiċi tal-ħidma fil-foresta tropikali jfissru li l-kampjunar tad-dejta huwa preġudikat 'il bogħod miċ-ċentru "&amp;"tal-baċin tal-Amażonja, u ż-żewġ spjegazzjonijiet huma raġonevolment appoġġjati tajjeb mid-dejta disponibbli.")</f>
        <v>Hemm evidenza li kien hemm bidliet sinifikanti fil-veġetazzjoni tal-foresta tropikali tal-Amazon matul dawn l-aħħar 21,000 sena sa l-aħħar massimu glaċjali (LGM) u d-deglakjazzjoni sussegwenti. L-analiżi tad-depożiti tas-sedimenti mill-paleolakes tal-baċin tal-Amazon u mill-fann tal-Amazon jindikaw li x-xita fil-baċin waqt l-LGM kienet inqas minn dik tal-preżent, u dan kien kważi ċertament assoċjat ma 'kopertura ta' veġetazzjoni tropikali niedja mnaqqsa fil-baċin. Hemm dibattitu, madankollu, dwar kemm kien estensiv dan it-tnaqqis. Xi xjenzati jargumentaw li l-foresta tropikali tnaqqset għal refugia żgħira u iżolata separata mill-foresta miftuħa u l-ħaxix; Xjentisti oħra jargumentaw li l-foresta tropikali baqgħet fil-biċċa l-kbira intatta iżda estiża inqas lejn it-tramuntana, in-nofsinhar u l-lvant milli tidher illum. Dan id-dibattitu wera diffiċli biex jiġi solvut minħabba li l-limitazzjonijiet prattiċi tal-ħidma fil-foresta tropikali jfissru li l-kampjunar tad-dejta huwa preġudikat 'il bogħod miċ-ċentru tal-baċin tal-Amażonja, u ż-żewġ spjegazzjonijiet huma raġonevolment appoġġjati tajjeb mid-dejta disponibbli.</v>
      </c>
    </row>
    <row r="13958" ht="15.75" customHeight="1">
      <c r="A13958" s="2" t="s">
        <v>13958</v>
      </c>
      <c r="B13958" s="2" t="str">
        <f>IFERROR(__xludf.DUMMYFUNCTION("GOOGLETRANSLATE(A13958, ""en"", ""mt"")"),"Ħafna klassijiet ewlenin ta 'molekuli organiċi f'organiżmi ħajjin, bħal proteini, aċidi nuklejiċi, karboidrati, u xaħmijiet, fihom ossiġnu, bħalma jagħmlu l-komposti inorganiċi ewlenin li huma kostitwenti ta' qxur ta 'annimali, snien u għadam. Il-biċċa l-"&amp;"kbira tal-massa ta 'organiżmi ħajjin hija ossiġnu peress li hija parti mill-ilma, il-kostitwent ewlieni tal-forom tal-ħajja. L-ossiġenu jintuża fir-respirazzjoni ċellulari u rilaxxat mill-fotosintesi, li juża l-enerġija tad-dawl tax-xemx biex jipproduċi o"&amp;"ssiġnu mill-ilma. Huwa reattiv kimikament wisq li jibqa 'element ħieles fl-arja mingħajr ma jerġa' jimtela mill-ġdid mill-azzjoni fotosintetika ta 'organiżmi ħajjin. Forma oħra (allotrope) ta 'ossiġnu, ożonu (o
3), tassorbi b'mod qawwi r-radjazzjoni UVB u"&amp;" konsegwentement is-saff ta 'l-ożonu ta' altitudni għolja jgħin biex jipproteġi l-bijosfera mir-radjazzjoni ultravjola, iżda huwa tniġġis viċin il-wiċċ fejn huwa prodott sekondarju ta 'smog. F'altitudnijiet ta 'orbita tad-Dinja baxxa saħansitra ogħla, huw"&amp;"a preżenti ossiġenu atomiku suffiċjenti biex jikkawża erożjoni għall-vettura spazjali.")</f>
        <v>Ħafna klassijiet ewlenin ta 'molekuli organiċi f'organiżmi ħajjin, bħal proteini, aċidi nuklejiċi, karboidrati, u xaħmijiet, fihom ossiġnu, bħalma jagħmlu l-komposti inorganiċi ewlenin li huma kostitwenti ta' qxur ta 'annimali, snien u għadam. Il-biċċa l-kbira tal-massa ta 'organiżmi ħajjin hija ossiġnu peress li hija parti mill-ilma, il-kostitwent ewlieni tal-forom tal-ħajja. L-ossiġenu jintuża fir-respirazzjoni ċellulari u rilaxxat mill-fotosintesi, li juża l-enerġija tad-dawl tax-xemx biex jipproduċi ossiġnu mill-ilma. Huwa reattiv kimikament wisq li jibqa 'element ħieles fl-arja mingħajr ma jerġa' jimtela mill-ġdid mill-azzjoni fotosintetika ta 'organiżmi ħajjin. Forma oħra (allotrope) ta 'ossiġnu, ożonu (o
3), tassorbi b'mod qawwi r-radjazzjoni UVB u konsegwentement is-saff ta 'l-ożonu ta' altitudni għolja jgħin biex jipproteġi l-bijosfera mir-radjazzjoni ultravjola, iżda huwa tniġġis viċin il-wiċċ fejn huwa prodott sekondarju ta 'smog. F'altitudnijiet ta 'orbita tad-Dinja baxxa saħansitra ogħla, huwa preżenti ossiġenu atomiku suffiċjenti biex jikkawża erożjoni għall-vettura spazjali.</v>
      </c>
    </row>
    <row r="13959" ht="15.75" customHeight="1">
      <c r="A13959" s="2" t="s">
        <v>13959</v>
      </c>
      <c r="B13959" s="2" t="str">
        <f>IFERROR(__xludf.DUMMYFUNCTION("GOOGLETRANSLATE(A13959, ""en"", ""mt"")"),"Semmi l-mod l-ieħor li l-organizzazzjoni Plowshares ingħalqet temporanjament?")</f>
        <v>Semmi l-mod l-ieħor li l-organizzazzjoni Plowshares ingħalqet temporanjament?</v>
      </c>
    </row>
    <row r="13960" ht="15.75" customHeight="1">
      <c r="A13960" s="2" t="s">
        <v>13960</v>
      </c>
      <c r="B13960" s="2" t="str">
        <f>IFERROR(__xludf.DUMMYFUNCTION("GOOGLETRANSLATE(A13960, ""en"", ""mt"")"),"permezz ta ’mikroskopija elettronika")</f>
        <v>permezz ta ’mikroskopija elettronika</v>
      </c>
    </row>
    <row r="13961" ht="15.75" customHeight="1">
      <c r="A13961" s="2" t="s">
        <v>13961</v>
      </c>
      <c r="B13961" s="2" t="str">
        <f>IFERROR(__xludf.DUMMYFUNCTION("GOOGLETRANSLATE(A13961, ""en"", ""mt"")"),"bond doppju kovalenti")</f>
        <v>bond doppju kovalenti</v>
      </c>
    </row>
    <row r="13962" ht="15.75" customHeight="1">
      <c r="A13962" s="2" t="s">
        <v>13962</v>
      </c>
      <c r="B13962" s="2" t="str">
        <f>IFERROR(__xludf.DUMMYFUNCTION("GOOGLETRANSLATE(A13962, ""en"", ""mt"")"),"Aalane ġiet irtirata u l-pjattaforma l-ġdida tissejjaħ")</f>
        <v>Aalane ġiet irtirata u l-pjattaforma l-ġdida tissejjaħ</v>
      </c>
    </row>
    <row r="13963" ht="15.75" customHeight="1">
      <c r="A13963" s="2" t="s">
        <v>13963</v>
      </c>
      <c r="B13963" s="2" t="str">
        <f>IFERROR(__xludf.DUMMYFUNCTION("GOOGLETRANSLATE(A13963, ""en"", ""mt"")"),"Il-kunċett distribwit blokka ta 'messaġġi ta' swiċċjar")</f>
        <v>Il-kunċett distribwit blokka ta 'messaġġi ta' swiċċjar</v>
      </c>
    </row>
    <row r="13964" ht="15.75" customHeight="1">
      <c r="A13964" s="2" t="s">
        <v>13964</v>
      </c>
      <c r="B13964" s="2" t="str">
        <f>IFERROR(__xludf.DUMMYFUNCTION("GOOGLETRANSLATE(A13964, ""en"", ""mt"")"),"F’liema żona ta ’din il-kolonja Ingliża kienu l-għotjiet tal-art Huguenot?")</f>
        <v>F’liema żona ta ’din il-kolonja Ingliża kienu l-għotjiet tal-art Huguenot?</v>
      </c>
    </row>
    <row r="13965" ht="15.75" customHeight="1">
      <c r="A13965" s="2" t="s">
        <v>13965</v>
      </c>
      <c r="B13965" s="2" t="str">
        <f>IFERROR(__xludf.DUMMYFUNCTION("GOOGLETRANSLATE(A13965, ""en"", ""mt"")"),"Kif jitqassam id-dħul fl-Iżvezja?")</f>
        <v>Kif jitqassam id-dħul fl-Iżvezja?</v>
      </c>
    </row>
    <row r="13966" ht="15.75" customHeight="1">
      <c r="A13966" s="2" t="s">
        <v>13966</v>
      </c>
      <c r="B13966" s="2" t="str">
        <f>IFERROR(__xludf.DUMMYFUNCTION("GOOGLETRANSLATE(A13966, ""en"", ""mt"")"),"Għal liema perjodu ta 'żmien il-ġeoglyphs marru lura?")</f>
        <v>Għal liema perjodu ta 'żmien il-ġeoglyphs marru lura?</v>
      </c>
    </row>
    <row r="13967" ht="15.75" customHeight="1">
      <c r="A13967" s="2" t="s">
        <v>13967</v>
      </c>
      <c r="B13967" s="2" t="str">
        <f>IFERROR(__xludf.DUMMYFUNCTION("GOOGLETRANSLATE(A13967, ""en"", ""mt"")"),"motivazzjoni u attitudnijiet tal-istudenti lejn l-iskola")</f>
        <v>motivazzjoni u attitudnijiet tal-istudenti lejn l-iskola</v>
      </c>
    </row>
    <row r="13968" ht="15.75" customHeight="1">
      <c r="A13968" s="2" t="s">
        <v>13968</v>
      </c>
      <c r="B13968" s="2" t="str">
        <f>IFERROR(__xludf.DUMMYFUNCTION("GOOGLETRANSLATE(A13968, ""en"", ""mt"")"),"Renju Unit")</f>
        <v>Renju Unit</v>
      </c>
    </row>
    <row r="13969" ht="15.75" customHeight="1">
      <c r="A13969" s="2" t="s">
        <v>13969</v>
      </c>
      <c r="B13969" s="2" t="str">
        <f>IFERROR(__xludf.DUMMYFUNCTION("GOOGLETRANSLATE(A13969, ""en"", ""mt"")"),"fergħat sovrani tal-gvern")</f>
        <v>fergħat sovrani tal-gvern</v>
      </c>
    </row>
    <row r="13970" ht="15.75" customHeight="1">
      <c r="A13970" s="2" t="s">
        <v>13970</v>
      </c>
      <c r="B13970" s="2" t="str">
        <f>IFERROR(__xludf.DUMMYFUNCTION("GOOGLETRANSLATE(A13970, ""en"", ""mt"")"),"Il-Maroons jikkompetu f'liema diviżjoni tal-kampjonat?")</f>
        <v>Il-Maroons jikkompetu f'liema diviżjoni tal-kampjonat?</v>
      </c>
    </row>
    <row r="13971" ht="15.75" customHeight="1">
      <c r="A13971" s="2" t="s">
        <v>13971</v>
      </c>
      <c r="B13971" s="2" t="str">
        <f>IFERROR(__xludf.DUMMYFUNCTION("GOOGLETRANSLATE(A13971, ""en"", ""mt"")"),"darbtejn fis-sena")</f>
        <v>darbtejn fis-sena</v>
      </c>
    </row>
    <row r="13972" ht="15.75" customHeight="1">
      <c r="A13972" s="2" t="s">
        <v>13972</v>
      </c>
      <c r="B13972" s="2" t="str">
        <f>IFERROR(__xludf.DUMMYFUNCTION("GOOGLETRANSLATE(A13972, ""en"", ""mt"")"),"Liema vettura tat-tabib li uża għall-ħarba tiegħu minn Gallifrey?")</f>
        <v>Liema vettura tat-tabib li uża għall-ħarba tiegħu minn Gallifrey?</v>
      </c>
    </row>
    <row r="13973" ht="15.75" customHeight="1">
      <c r="A13973" s="2" t="s">
        <v>13973</v>
      </c>
      <c r="B13973" s="2" t="str">
        <f>IFERROR(__xludf.DUMMYFUNCTION("GOOGLETRANSLATE(A13973, ""en"", ""mt"")"),"Fejn jgħixu l-platyctenids minorenni?")</f>
        <v>Fejn jgħixu l-platyctenids minorenni?</v>
      </c>
    </row>
    <row r="13974" ht="15.75" customHeight="1">
      <c r="A13974" s="2" t="s">
        <v>13974</v>
      </c>
      <c r="B13974" s="2" t="str">
        <f>IFERROR(__xludf.DUMMYFUNCTION("GOOGLETRANSLATE(A13974, ""en"", ""mt"")"),"sekulari u sagru")</f>
        <v>sekulari u sagru</v>
      </c>
    </row>
    <row r="13975" ht="15.75" customHeight="1">
      <c r="A13975" s="2" t="s">
        <v>13975</v>
      </c>
      <c r="B13975" s="2" t="str">
        <f>IFERROR(__xludf.DUMMYFUNCTION("GOOGLETRANSLATE(A13975, ""en"", ""mt"")"),"Imperjalizmu kulturali")</f>
        <v>Imperjalizmu kulturali</v>
      </c>
    </row>
    <row r="13976" ht="15.75" customHeight="1">
      <c r="A13976" s="2" t="s">
        <v>13976</v>
      </c>
      <c r="B13976" s="2" t="str">
        <f>IFERROR(__xludf.DUMMYFUNCTION("GOOGLETRANSLATE(A13976, ""en"", ""mt"")"),"Fuq livell internazzjonali, liema pożizzjonijiet kompetittivi tal-industrija huma affettwati?")</f>
        <v>Fuq livell internazzjonali, liema pożizzjonijiet kompetittivi tal-industrija huma affettwati?</v>
      </c>
    </row>
    <row r="13977" ht="15.75" customHeight="1">
      <c r="A13977" s="2" t="s">
        <v>13977</v>
      </c>
      <c r="B13977" s="2" t="str">
        <f>IFERROR(__xludf.DUMMYFUNCTION("GOOGLETRANSLATE(A13977, ""en"", ""mt"")"),"diversifikat")</f>
        <v>diversifikat</v>
      </c>
    </row>
    <row r="13978" ht="15.75" customHeight="1">
      <c r="A13978" s="2" t="s">
        <v>13978</v>
      </c>
      <c r="B13978" s="2" t="str">
        <f>IFERROR(__xludf.DUMMYFUNCTION("GOOGLETRANSLATE(A13978, ""en"", ""mt"")"),"Kemm l-immunità innata kif ukoll dik adatta tiddependi fuq il-kapaċità tas-sistema immunitarja li tiddistingwi bejn molekuli awto u dawk li mhumiex awto. Fl-immunoloġija, l-awto molekuli huma dawk il-komponenti tal-ġisem ta 'organiżmu li jistgħu jiġu dist"&amp;"inti minn sustanzi barranin mis-sistema immuni. Bil-maqlub, molekuli mhux awto huma dawk rikonoxxuti bħala molekuli barranin. Klassi waħda ta 'molekuli mhux awto huma msejħa antiġeni (qosra għall-ġeneraturi tal-antikorpi) u huma definiti bħala sustanzi li"&amp;" jorbtu ma' riċetturi immuni speċifiċi u li jġibu rispons immuni.")</f>
        <v>Kemm l-immunità innata kif ukoll dik adatta tiddependi fuq il-kapaċità tas-sistema immunitarja li tiddistingwi bejn molekuli awto u dawk li mhumiex awto. Fl-immunoloġija, l-awto molekuli huma dawk il-komponenti tal-ġisem ta 'organiżmu li jistgħu jiġu distinti minn sustanzi barranin mis-sistema immuni. Bil-maqlub, molekuli mhux awto huma dawk rikonoxxuti bħala molekuli barranin. Klassi waħda ta 'molekuli mhux awto huma msejħa antiġeni (qosra għall-ġeneraturi tal-antikorpi) u huma definiti bħala sustanzi li jorbtu ma' riċetturi immuni speċifiċi u li jġibu rispons immuni.</v>
      </c>
    </row>
    <row r="13979" ht="15.75" customHeight="1">
      <c r="A13979" s="2" t="s">
        <v>13979</v>
      </c>
      <c r="B13979" s="2" t="str">
        <f>IFERROR(__xludf.DUMMYFUNCTION("GOOGLETRANSLATE(A13979, ""en"", ""mt"")"),"Fondazzjoni żgħira fil-verità")</f>
        <v>Fondazzjoni żgħira fil-verità</v>
      </c>
    </row>
    <row r="13980" ht="15.75" customHeight="1">
      <c r="A13980" s="2" t="s">
        <v>13980</v>
      </c>
      <c r="B13980" s="2" t="str">
        <f>IFERROR(__xludf.DUMMYFUNCTION("GOOGLETRANSLATE(A13980, ""en"", ""mt"")"),"Il-Ġnien Ċentrali ġie ddisinjat mill-ġdid minn Kim Wilkie u nfetaħ bħala l-Ġnien John Makejski, fil-5 ta 'Lulju 2005. Id-disinn huwa taħlita sottili tat-tradizzjonali u modern, it-tqassim huwa formali; Hemm karatteristika tal-ilma ellittika miksija bil-ġe"&amp;"bla b'passi madwar it-tarf li jistgħu jiġu msaffija biex tuża ż-żona għal riċevimenti, laqgħat jew skopijiet ta 'esibizzjoni. Dan huwa quddiem il-bibien tal-bronż li jwasslu għall-kmamar ta 'refreshment, triq ċentrali mwarrba mill-lawns twassal għall-gall"&amp;"erija tal-iskultura; In-naħat tat-tramuntana, tal-lvant u tal-punent għandhom fruntieri erbaċej tul il-ħitan tal-mużew bil-mogħdijiet quddiemhom li jkompli tul il-faċċata tan-nofsinhar; Fiż-żewġ kantunieri mill-faċċata tat-tramuntana hemm tħawwel siġra ta"&amp;"l-ħelu Amerikan; It-truf tan-Nofsinhar, tal-Lvant u tal-Punent tal-lawns għandhom żrigħ tal-ħġieġ li fihom siġar tal-larinġ u tal-lumi fis-sajf, dawn huma sostitwiti minn siġar tal-bajja fix-xitwa.")</f>
        <v>Il-Ġnien Ċentrali ġie ddisinjat mill-ġdid minn Kim Wilkie u nfetaħ bħala l-Ġnien John Makejski, fil-5 ta 'Lulju 2005. Id-disinn huwa taħlita sottili tat-tradizzjonali u modern, it-tqassim huwa formali; Hemm karatteristika tal-ilma ellittika miksija bil-ġebla b'passi madwar it-tarf li jistgħu jiġu msaffija biex tuża ż-żona għal riċevimenti, laqgħat jew skopijiet ta 'esibizzjoni. Dan huwa quddiem il-bibien tal-bronż li jwasslu għall-kmamar ta 'refreshment, triq ċentrali mwarrba mill-lawns twassal għall-gallerija tal-iskultura; In-naħat tat-tramuntana, tal-lvant u tal-punent għandhom fruntieri erbaċej tul il-ħitan tal-mużew bil-mogħdijiet quddiemhom li jkompli tul il-faċċata tan-nofsinhar; Fiż-żewġ kantunieri mill-faċċata tat-tramuntana hemm tħawwel siġra tal-ħelu Amerikan; It-truf tan-Nofsinhar, tal-Lvant u tal-Punent tal-lawns għandhom żrigħ tal-ħġieġ li fihom siġar tal-larinġ u tal-lumi fis-sajf, dawn huma sostitwiti minn siġar tal-bajja fix-xitwa.</v>
      </c>
    </row>
    <row r="13981" ht="15.75" customHeight="1">
      <c r="A13981" s="2" t="s">
        <v>13981</v>
      </c>
      <c r="B13981" s="2" t="str">
        <f>IFERROR(__xludf.DUMMYFUNCTION("GOOGLETRANSLATE(A13981, ""en"", ""mt"")"),"is-sitt")</f>
        <v>is-sitt</v>
      </c>
    </row>
    <row r="13982" ht="15.75" customHeight="1">
      <c r="A13982" s="2" t="s">
        <v>13982</v>
      </c>
      <c r="B13982" s="2" t="str">
        <f>IFERROR(__xludf.DUMMYFUNCTION("GOOGLETRANSLATE(A13982, ""en"", ""mt"")"),"Kemm 'il bogħod mid-dar tal-istat fiċ-ċentru ta' Boston huwa Harvard Yard?")</f>
        <v>Kemm 'il bogħod mid-dar tal-istat fiċ-ċentru ta' Boston huwa Harvard Yard?</v>
      </c>
    </row>
    <row r="13983" ht="15.75" customHeight="1">
      <c r="A13983" s="2" t="s">
        <v>13983</v>
      </c>
      <c r="B13983" s="2" t="str">
        <f>IFERROR(__xludf.DUMMYFUNCTION("GOOGLETRANSLATE(A13983, ""en"", ""mt"")"),"Bureau tal-Affarijiet Buddisti u Tibetani")</f>
        <v>Bureau tal-Affarijiet Buddisti u Tibetani</v>
      </c>
    </row>
    <row r="13984" ht="15.75" customHeight="1">
      <c r="A13984" s="2" t="s">
        <v>13984</v>
      </c>
      <c r="B13984" s="2" t="str">
        <f>IFERROR(__xludf.DUMMYFUNCTION("GOOGLETRANSLATE(A13984, ""en"", ""mt"")"),"fi żminijiet moderni, issir kompletament imnaqqsa")</f>
        <v>fi żminijiet moderni, issir kompletament imnaqqsa</v>
      </c>
    </row>
    <row r="13985" ht="15.75" customHeight="1">
      <c r="A13985" s="2" t="s">
        <v>13985</v>
      </c>
      <c r="B13985" s="2" t="str">
        <f>IFERROR(__xludf.DUMMYFUNCTION("GOOGLETRANSLATE(A13985, ""en"", ""mt"")"),"Linja ta 'ħames stilel irranġati fis-sema")</f>
        <v>Linja ta 'ħames stilel irranġati fis-sema</v>
      </c>
    </row>
    <row r="13986" ht="15.75" customHeight="1">
      <c r="A13986" s="2" t="s">
        <v>13986</v>
      </c>
      <c r="B13986" s="2" t="str">
        <f>IFERROR(__xludf.DUMMYFUNCTION("GOOGLETRANSLATE(A13986, ""en"", ""mt"")"),"X logħob")</f>
        <v>X logħob</v>
      </c>
    </row>
    <row r="13987" ht="15.75" customHeight="1">
      <c r="A13987" s="2" t="s">
        <v>13987</v>
      </c>
      <c r="B13987" s="2" t="str">
        <f>IFERROR(__xludf.DUMMYFUNCTION("GOOGLETRANSLATE(A13987, ""en"", ""mt"")"),"meritokratiku")</f>
        <v>meritokratiku</v>
      </c>
    </row>
    <row r="13988" ht="15.75" customHeight="1">
      <c r="A13988" s="2" t="s">
        <v>13988</v>
      </c>
      <c r="B13988" s="2" t="str">
        <f>IFERROR(__xludf.DUMMYFUNCTION("GOOGLETRANSLATE(A13988, ""en"", ""mt"")"),"Tekniki Musique Concrète")</f>
        <v>Tekniki Musique Concrète</v>
      </c>
    </row>
    <row r="13989" ht="15.75" customHeight="1">
      <c r="A13989" s="2" t="s">
        <v>13989</v>
      </c>
      <c r="B13989" s="2" t="str">
        <f>IFERROR(__xludf.DUMMYFUNCTION("GOOGLETRANSLATE(A13989, ""en"", ""mt"")"),"Stil Art Deco fil-pittura u l-arti")</f>
        <v>Stil Art Deco fil-pittura u l-arti</v>
      </c>
    </row>
    <row r="13990" ht="15.75" customHeight="1">
      <c r="A13990" s="2" t="s">
        <v>13990</v>
      </c>
      <c r="B13990" s="2" t="str">
        <f>IFERROR(__xludf.DUMMYFUNCTION("GOOGLETRANSLATE(A13990, ""en"", ""mt"")"),"Metodu li jalloka minn qabel il-wisa 'tal-banda netwerk iddedikat speċifikament għal kull sessjoni ta' komunikazzjoni")</f>
        <v>Metodu li jalloka minn qabel il-wisa 'tal-banda netwerk iddedikat speċifikament għal kull sessjoni ta' komunikazzjoni</v>
      </c>
    </row>
    <row r="13991" ht="15.75" customHeight="1">
      <c r="A13991" s="2" t="s">
        <v>13991</v>
      </c>
      <c r="B13991" s="2" t="str">
        <f>IFERROR(__xludf.DUMMYFUNCTION("GOOGLETRANSLATE(A13991, ""en"", ""mt"")"),"Kemm fraternitajiet jiffurmaw il-Kunsill tal-Interfraternità tal-Università ta 'Chicago?")</f>
        <v>Kemm fraternitajiet jiffurmaw il-Kunsill tal-Interfraternità tal-Università ta 'Chicago?</v>
      </c>
    </row>
    <row r="13992" ht="15.75" customHeight="1">
      <c r="A13992" s="2" t="s">
        <v>13992</v>
      </c>
      <c r="B13992" s="2" t="str">
        <f>IFERROR(__xludf.DUMMYFUNCTION("GOOGLETRANSLATE(A13992, ""en"", ""mt"")"),"Inżul Lunar")</f>
        <v>Inżul Lunar</v>
      </c>
    </row>
    <row r="13993" ht="15.75" customHeight="1">
      <c r="A13993" s="2" t="s">
        <v>13993</v>
      </c>
      <c r="B13993" s="2" t="str">
        <f>IFERROR(__xludf.DUMMYFUNCTION("GOOGLETRANSLATE(A13993, ""en"", ""mt"")"),"Il-moviment liberu tar-regolament tal-ħaddiema artikoli 1 sa 7 stabbilixxa d-dispożizzjonijiet ewlenin dwar trattament ugwali tal-ħaddiema. L-ewwel, l-Artikoli 1 sa 4 ġeneralment jirrikjedu li l-ħaddiema jistgħu jieħdu impjieg, jikkonkludu kuntratti, u ma"&amp;" jsofrux diskriminazzjoni meta mqabbla ma 'ċittadini ta' l-Istat Membru. F'każ famuż, l-Assoċjazzjoni Belġjana tal-Futbol V Bosman, futboler Belġjan jismu Jean-Marc Bosman iddikjara li għandu jkun jista 'jittrasferixxi minn R.F.C. De Liège lil USL Dunkerq"&amp;"ue meta l-kuntratt tiegħu spiċċa, irrispettivament minn jekk Dunkerque jistax jaffordja li jħallas lil Liège l-miżati tat-trasferiment abitwali. Il-Qorti tal-Ġustizzja għamlet ""ir-regoli ta 'trasferiment jikkostitwixxu [d] ostaklu għall-moviment liberu"""&amp;" u kienu illegali sakemm ma jkunux jistgħu jiġu ġġustifikati fl-interess pubbliku, iżda dan kien improbabbli. Fil-Ministru Groener v għall-Edukazzjoni, il-Qorti tal-Ġustizzja aċċettat li r-rekwiżit li titkellem fil-Galliku biex tgħallem f'kulleġġ tad-disi"&amp;"nn ta 'Dublin jista' jkun iġġustifikat bħala parti mill-politika pubblika tal-promozzjoni tal-lingwa Irlandiża, iżda biss jekk il-miżura ma kinitx sproporzjonata. B'kuntrast fl-Angones v Cassa di Risparmio di Bolzano Spa A Bank f'Bolzano, l-Italja, ma tħa"&amp;"llewx jirrikjedu li s-Sur Angonese jkollu ċertifikat bilingwi li jista 'jinkiseb biss f'Bolzano. Il-Qorti tal-Ġustizzja, li tagħti effett dirett ""orizzontali"" lill-Artikolu 45 tat-TFEU, irraġuna li nies minn pajjiżi oħra ma tantx ikollhom ċans li jakkwi"&amp;"staw iċ-ċertifikat, u minħabba li kien ""impossibbli li tissottometti prova tal-għarfien lingwistiku meħtieġ bi kwalunkwe mezz ieħor"" , il-miżura kienet sproporzjonata. It-tieni, l-Artikolu 7 (2) jirrikjedi trattament ugwali fir-rigward tat-taxxa. Fil-Fi"&amp;"nanzamt Köln Altstadt vs Schumacker, il-Qorti tal-Ġustizzja ddeċidiet li kienet tikser l-Art TFEU 45 biex tiċħad il-benefiċċji tat-taxxa (e.g. għal koppji miżżewġa, u tnaqqis tal-ispejjeż tal-assigurazzjoni soċjali) lil raġel li ħadem fil-Ġermanja, iżda k"&amp;"ien residenti fil-Belġju meta residenti oħra Ġermaniżi sibt il-benefiċċji. B'kuntrast f'Weigel vs Finanzlandesdirektion für Vorarlberg Il-Qorti tal-Ġustizzja ċaħdet it-talba tas-Sur Weigel li ħlas mill-ġdid ta 'reġistrazzjoni meta ressaq il-karozza tiegħu"&amp;" fl-Awstrija kiser id-dritt tiegħu għall-moviment ħieles. Għalkemm it-taxxa kienet ""x'aktarx ikollha effett negattiv fuq id-deċiżjoni tal-ħaddiema migranti li jeżerċitaw id-dritt tagħhom għal-libertà tal-moviment"", minħabba li l-ħlas applika bl-istess m"&amp;"od għall-Awstrijaċi, fin-nuqqas ta 'leġislazzjoni tal-UE dwar il-kwistjoni li kellha titqies bħala ġustifikata bħala ġustifikata - It-tielet, in-nies għandhom jirċievu trattament ugwali rigward ""vantaġġi soċjali"", għalkemm il-qorti approvat perjodi ta '"&amp;"kwalifikazzjoni residenzjali. Fl-Istitut tal-Assigurazzjoni tal-Impjegati Hendrix vs il-Qorti tal-Ġustizzja ddeċidiet li ċittadin Olandiż ma kellux id-dritt li jkompli jirċievi benefiċċji ta 'inkapaċità meta mar il-Belġju, minħabba li l-benefiċċju kien """&amp;"marbut mill-qrib mas-sitwazzjoni soċjo-ekonomika"" tal-Pajjiżi l-Baxxi. Bil-maqlub, f'Geven v Land Nordrhein-Westfalen Il-Qorti tal-Ġustizzja ddeċidiet li mara Olandiża li tgħix fl-Olanda, iżda taħdem bejn 3 u 14-il siegħa fil-ġimgħa fil-Ġermanja, ma kell"&amp;"hiex id-dritt li tirċievi benefiċċji tat-tfal Ġermaniżi, minkejja li l-mara ta 'raġel li ħadem full-time fil-Ġermanja iżda kien residenti fl-Awstrija. Il-ġustifikazzjonijiet ġenerali għall-limitazzjoni tal-moviment liberu fl-Artikolu 45 (3) huma ""politik"&amp;"a pubblika, sigurtà pubblika jew saħħa pubblika"", u hemm ukoll eċċezzjoni ġenerali fl-Artikolu 45 (4) għal ""impjieg fis-servizz pubbliku"".")</f>
        <v>Il-moviment liberu tar-regolament tal-ħaddiema artikoli 1 sa 7 stabbilixxa d-dispożizzjonijiet ewlenin dwar trattament ugwali tal-ħaddiema. L-ewwel, l-Artikoli 1 sa 4 ġeneralment jirrikjedu li l-ħaddiema jistgħu jieħdu impjieg, jikkonkludu kuntratti, u ma jsofrux diskriminazzjoni meta mqabbla ma 'ċittadini ta' l-Istat Membru. F'każ famuż, l-Assoċjazzjoni Belġjana tal-Futbol V Bosman, futboler Belġjan jismu Jean-Marc Bosman iddikjara li għandu jkun jista 'jittrasferixxi minn R.F.C. De Liège lil USL Dunkerque meta l-kuntratt tiegħu spiċċa, irrispettivament minn jekk Dunkerque jistax jaffordja li jħallas lil Liège l-miżati tat-trasferiment abitwali. Il-Qorti tal-Ġustizzja għamlet "ir-regoli ta 'trasferiment jikkostitwixxu [d] ostaklu għall-moviment liberu" u kienu illegali sakemm ma jkunux jistgħu jiġu ġġustifikati fl-interess pubbliku, iżda dan kien improbabbli. Fil-Ministru Groener v għall-Edukazzjoni, il-Qorti tal-Ġustizzja aċċettat li r-rekwiżit li titkellem fil-Galliku biex tgħallem f'kulleġġ tad-disinn ta 'Dublin jista' jkun iġġustifikat bħala parti mill-politika pubblika tal-promozzjoni tal-lingwa Irlandiża, iżda biss jekk il-miżura ma kinitx sproporzjonata. B'kuntrast fl-Angones v Cassa di Risparmio di Bolzano Spa A Bank f'Bolzano, l-Italja, ma tħallewx jirrikjedu li s-Sur Angonese jkollu ċertifikat bilingwi li jista 'jinkiseb biss f'Bolzano. Il-Qorti tal-Ġustizzja, li tagħti effett dirett "orizzontali" lill-Artikolu 45 tat-TFEU, irraġuna li nies minn pajjiżi oħra ma tantx ikollhom ċans li jakkwistaw iċ-ċertifikat, u minħabba li kien "impossibbli li tissottometti prova tal-għarfien lingwistiku meħtieġ bi kwalunkwe mezz ieħor" , il-miżura kienet sproporzjonata. It-tieni, l-Artikolu 7 (2) jirrikjedi trattament ugwali fir-rigward tat-taxxa. Fil-Finanzamt Köln Altstadt vs Schumacker, il-Qorti tal-Ġustizzja ddeċidiet li kienet tikser l-Art TFEU 45 biex tiċħad il-benefiċċji tat-taxxa (e.g. għal koppji miżżewġa, u tnaqqis tal-ispejjeż tal-assigurazzjoni soċjali) lil raġel li ħadem fil-Ġermanja, iżda kien residenti fil-Belġju meta residenti oħra Ġermaniżi sibt il-benefiċċji. B'kuntrast f'Weigel vs Finanzlandesdirektion für Vorarlberg Il-Qorti tal-Ġustizzja ċaħdet it-talba tas-Sur Weigel li ħlas mill-ġdid ta 'reġistrazzjoni meta ressaq il-karozza tiegħu fl-Awstrija kiser id-dritt tiegħu għall-moviment ħieles. Għalkemm it-taxxa kienet "x'aktarx ikollha effett negattiv fuq id-deċiżjoni tal-ħaddiema migranti li jeżerċitaw id-dritt tagħhom għal-libertà tal-moviment", minħabba li l-ħlas applika bl-istess mod għall-Awstrijaċi, fin-nuqqas ta 'leġislazzjoni tal-UE dwar il-kwistjoni li kellha titqies bħala ġustifikata bħala ġustifikata - It-tielet, in-nies għandhom jirċievu trattament ugwali rigward "vantaġġi soċjali", għalkemm il-qorti approvat perjodi ta 'kwalifikazzjoni residenzjali. Fl-Istitut tal-Assigurazzjoni tal-Impjegati Hendrix vs il-Qorti tal-Ġustizzja ddeċidiet li ċittadin Olandiż ma kellux id-dritt li jkompli jirċievi benefiċċji ta 'inkapaċità meta mar il-Belġju, minħabba li l-benefiċċju kien "marbut mill-qrib mas-sitwazzjoni soċjo-ekonomika" tal-Pajjiżi l-Baxxi. Bil-maqlub, f'Geven v Land Nordrhein-Westfalen Il-Qorti tal-Ġustizzja ddeċidiet li mara Olandiża li tgħix fl-Olanda, iżda taħdem bejn 3 u 14-il siegħa fil-ġimgħa fil-Ġermanja, ma kellhiex id-dritt li tirċievi benefiċċji tat-tfal Ġermaniżi, minkejja li l-mara ta 'raġel li ħadem full-time fil-Ġermanja iżda kien residenti fl-Awstrija. Il-ġustifikazzjonijiet ġenerali għall-limitazzjoni tal-moviment liberu fl-Artikolu 45 (3) huma "politika pubblika, sigurtà pubblika jew saħħa pubblika", u hemm ukoll eċċezzjoni ġenerali fl-Artikolu 45 (4) għal "impjieg fis-servizz pubbliku".</v>
      </c>
    </row>
    <row r="13994" ht="15.75" customHeight="1">
      <c r="A13994" s="2" t="s">
        <v>13994</v>
      </c>
      <c r="B13994" s="2" t="str">
        <f>IFERROR(__xludf.DUMMYFUNCTION("GOOGLETRANSLATE(A13994, ""en"", ""mt"")"),"L-aċċess jista 'jkun permezz ta' terminal dial-up ma 'kuxxinett, jew, billi tgħaqqad nodu permanenti X.25 man-netwerk")</f>
        <v>L-aċċess jista 'jkun permezz ta' terminal dial-up ma 'kuxxinett, jew, billi tgħaqqad nodu permanenti X.25 man-netwerk</v>
      </c>
    </row>
    <row r="13995" ht="15.75" customHeight="1">
      <c r="A13995" s="2" t="s">
        <v>13995</v>
      </c>
      <c r="B13995" s="2" t="str">
        <f>IFERROR(__xludf.DUMMYFUNCTION("GOOGLETRANSLATE(A13995, ""en"", ""mt"")"),"Kif inbnew it-Tyneside Flats?")</f>
        <v>Kif inbnew it-Tyneside Flats?</v>
      </c>
    </row>
    <row r="13996" ht="15.75" customHeight="1">
      <c r="A13996" s="2" t="s">
        <v>13996</v>
      </c>
      <c r="B13996" s="2" t="str">
        <f>IFERROR(__xludf.DUMMYFUNCTION("GOOGLETRANSLATE(A13996, ""en"", ""mt"")"),"X'jistgħu jiddubitaw lill-membri lill-ewwel ministru dwar direttament waqt il-ħin tal-mistoqsija tal-ewwel ministru?")</f>
        <v>X'jistgħu jiddubitaw lill-membri lill-ewwel ministru dwar direttament waqt il-ħin tal-mistoqsija tal-ewwel ministru?</v>
      </c>
    </row>
    <row r="13997" ht="15.75" customHeight="1">
      <c r="A13997" s="2" t="s">
        <v>13997</v>
      </c>
      <c r="B13997" s="2" t="str">
        <f>IFERROR(__xludf.DUMMYFUNCTION("GOOGLETRANSLATE(A13997, ""en"", ""mt"")"),"Liema pajjiżi huma d-DVDs tat-Tabib Min huma disponibbli biex jinxtraw?")</f>
        <v>Liema pajjiżi huma d-DVDs tat-Tabib Min huma disponibbli biex jinxtraw?</v>
      </c>
    </row>
    <row r="13998" ht="15.75" customHeight="1">
      <c r="A13998" s="2" t="s">
        <v>13998</v>
      </c>
      <c r="B13998" s="2" t="str">
        <f>IFERROR(__xludf.DUMMYFUNCTION("GOOGLETRANSLATE(A13998, ""en"", ""mt"")"),"X’għamlet il-knisja meta Luther irrifjuta li jiġbed il-kitbiet tiegħu?")</f>
        <v>X’għamlet il-knisja meta Luther irrifjuta li jiġbed il-kitbiet tiegħu?</v>
      </c>
    </row>
    <row r="13999" ht="15.75" customHeight="1">
      <c r="A13999" s="2" t="s">
        <v>13999</v>
      </c>
      <c r="B13999" s="2" t="str">
        <f>IFERROR(__xludf.DUMMYFUNCTION("GOOGLETRANSLATE(A13999, ""en"", ""mt"")"),"Liġi Olandiża qalet li nies biss stabbiliti fl-Olanda jistgħu jagħtu pariri legali")</f>
        <v>Liġi Olandiża qalet li nies biss stabbiliti fl-Olanda jistgħu jagħtu pariri legali</v>
      </c>
    </row>
    <row r="14000" ht="15.75" customHeight="1">
      <c r="A14000" s="2" t="s">
        <v>14000</v>
      </c>
      <c r="B14000" s="2" t="str">
        <f>IFERROR(__xludf.DUMMYFUNCTION("GOOGLETRANSLATE(A14000, ""en"", ""mt"")"),"Ir-realiżmu tas-sens komun ta 'dak il-filosfi Skoċċiżi inkorpora Agassiz fil-fehma doppja tiegħu ta' Knowedge?")</f>
        <v>Ir-realiżmu tas-sens komun ta 'dak il-filosfi Skoċċiżi inkorpora Agassiz fil-fehma doppja tiegħu ta' Knowedge?</v>
      </c>
    </row>
    <row r="14001" ht="15.75" customHeight="1">
      <c r="A14001" s="2" t="s">
        <v>14001</v>
      </c>
      <c r="B14001" s="2" t="str">
        <f>IFERROR(__xludf.DUMMYFUNCTION("GOOGLETRANSLATE(A14001, ""en"", ""mt"")"),"15-il kilometru")</f>
        <v>15-il kilometru</v>
      </c>
    </row>
    <row r="14002" ht="15.75" customHeight="1">
      <c r="A14002" s="2" t="s">
        <v>14002</v>
      </c>
      <c r="B14002" s="2" t="str">
        <f>IFERROR(__xludf.DUMMYFUNCTION("GOOGLETRANSLATE(A14002, ""en"", ""mt"")"),"Tipprevjeni l-kompetizzjoni tal-griżmejn maqtugħin")</f>
        <v>Tipprevjeni l-kompetizzjoni tal-griżmejn maqtugħin</v>
      </c>
    </row>
    <row r="14003" ht="15.75" customHeight="1">
      <c r="A14003" s="2" t="s">
        <v>14003</v>
      </c>
      <c r="B14003" s="2" t="str">
        <f>IFERROR(__xludf.DUMMYFUNCTION("GOOGLETRANSLATE(A14003, ""en"", ""mt"")"),"Biżgħat li jiġu ttikkettjati pedofili jew hebephile")</f>
        <v>Biżgħat li jiġu ttikkettjati pedofili jew hebephile</v>
      </c>
    </row>
    <row r="14004" ht="15.75" customHeight="1">
      <c r="A14004" s="2" t="s">
        <v>14004</v>
      </c>
      <c r="B14004" s="2" t="str">
        <f>IFERROR(__xludf.DUMMYFUNCTION("GOOGLETRANSLATE(A14004, ""en"", ""mt"")"),"It-tielet l-iktar abbundanti")</f>
        <v>It-tielet l-iktar abbundanti</v>
      </c>
    </row>
    <row r="14005" ht="15.75" customHeight="1">
      <c r="A14005" s="2" t="s">
        <v>14005</v>
      </c>
      <c r="B14005" s="2" t="str">
        <f>IFERROR(__xludf.DUMMYFUNCTION("GOOGLETRANSLATE(A14005, ""en"", ""mt"")"),"Dewweb (magma u / jew lava)")</f>
        <v>Dewweb (magma u / jew lava)</v>
      </c>
    </row>
    <row r="14006" ht="15.75" customHeight="1">
      <c r="A14006" s="2" t="s">
        <v>14006</v>
      </c>
      <c r="B14006" s="2" t="str">
        <f>IFERROR(__xludf.DUMMYFUNCTION("GOOGLETRANSLATE(A14006, ""en"", ""mt"")"),"F'konċentrazzjonijiet għoljin ta 'ossiġnu, Rubisco jibda aċċidentalment iżid ossiġnu mal-prekursuri taz-zokkor")</f>
        <v>F'konċentrazzjonijiet għoljin ta 'ossiġnu, Rubisco jibda aċċidentalment iżid ossiġnu mal-prekursuri taz-zokkor</v>
      </c>
    </row>
    <row r="14007" ht="15.75" customHeight="1">
      <c r="A14007" s="2" t="s">
        <v>14007</v>
      </c>
      <c r="B14007" s="2" t="str">
        <f>IFERROR(__xludf.DUMMYFUNCTION("GOOGLETRANSLATE(A14007, ""en"", ""mt"")"),"ugwali fil-kobor")</f>
        <v>ugwali fil-kobor</v>
      </c>
    </row>
    <row r="14008" ht="15.75" customHeight="1">
      <c r="A14008" s="2" t="s">
        <v>14008</v>
      </c>
      <c r="B14008" s="2" t="str">
        <f>IFERROR(__xludf.DUMMYFUNCTION("GOOGLETRANSLATE(A14008, ""en"", ""mt"")"),"differenza")</f>
        <v>differenza</v>
      </c>
    </row>
    <row r="14009" ht="15.75" customHeight="1">
      <c r="A14009" s="2" t="s">
        <v>14009</v>
      </c>
      <c r="B14009" s="2" t="str">
        <f>IFERROR(__xludf.DUMMYFUNCTION("GOOGLETRANSLATE(A14009, ""en"", ""mt"")"),"Il-logħba tad-dating")</f>
        <v>Il-logħba tad-dating</v>
      </c>
    </row>
    <row r="14010" ht="15.75" customHeight="1">
      <c r="A14010" s="2" t="s">
        <v>14010</v>
      </c>
      <c r="B14010" s="2" t="str">
        <f>IFERROR(__xludf.DUMMYFUNCTION("GOOGLETRANSLATE(A14010, ""en"", ""mt"")"),"Fir-rapport dettaljat b'mod estensiv tiegħu, Céloron kiteb, ""Kull ma nista 'ngħid huwa li n-nies ta' dawn il-lokalitajiet huma mormija ħażin ħafna lejn il-Franċiżi, u huma kompletament iddedikati għall-Ingliżi. Ma nafx b'liema mod jistgħu jinġiebu lura ."&amp;" "" Anke qabel ir-ritorn tiegħu lejn Montreal, rapporti dwar is-sitwazzjoni fil-pajjiż ta 'Ohio kienu qed jagħmlu triqthom lejn Londra u Pariġi, kull naħa li tipproponi li tittieħed dik l-azzjoni. William Shirley, il-gvernatur espansjonist tal-provinċja t"&amp;"al-Bajja ta 'Massachusetts, kien partikolarment qawwi, u qal li l-kolonisti Ingliżi ma jkunux siguri sakemm il-Franċiżi kienu preżenti. Kunflitti bejn il-kolonji, imwettqa permezz ta 'partiti li kienu jinkludu alleati Indjani, seħħew għal għexieren ta' sn"&amp;"in, li wasslu għal kummerċ mgħaġġel fil-kaptivi kolonjali Ewropej minn kull naħa.")</f>
        <v>Fir-rapport dettaljat b'mod estensiv tiegħu, Céloron kiteb, "Kull ma nista 'ngħid huwa li n-nies ta' dawn il-lokalitajiet huma mormija ħażin ħafna lejn il-Franċiżi, u huma kompletament iddedikati għall-Ingliżi. Ma nafx b'liema mod jistgħu jinġiebu lura . " Anke qabel ir-ritorn tiegħu lejn Montreal, rapporti dwar is-sitwazzjoni fil-pajjiż ta 'Ohio kienu qed jagħmlu triqthom lejn Londra u Pariġi, kull naħa li tipproponi li tittieħed dik l-azzjoni. William Shirley, il-gvernatur espansjonist tal-provinċja tal-Bajja ta 'Massachusetts, kien partikolarment qawwi, u qal li l-kolonisti Ingliżi ma jkunux siguri sakemm il-Franċiżi kienu preżenti. Kunflitti bejn il-kolonji, imwettqa permezz ta 'partiti li kienu jinkludu alleati Indjani, seħħew għal għexieren ta' snin, li wasslu għal kummerċ mgħaġġel fil-kaptivi kolonjali Ewropej minn kull naħa.</v>
      </c>
    </row>
    <row r="14011" ht="15.75" customHeight="1">
      <c r="A14011" s="2" t="s">
        <v>14011</v>
      </c>
      <c r="B14011" s="2" t="str">
        <f>IFERROR(__xludf.DUMMYFUNCTION("GOOGLETRANSLATE(A14011, ""en"", ""mt"")"),"Meta tikkunsidra magni tat-Turing u varjabbli alternattivi, liema kejl ħalla mhux affettwat mill-konverżjoni bejn il-mudelli tal-magni?")</f>
        <v>Meta tikkunsidra magni tat-Turing u varjabbli alternattivi, liema kejl ħalla mhux affettwat mill-konverżjoni bejn il-mudelli tal-magni?</v>
      </c>
    </row>
    <row r="14012" ht="15.75" customHeight="1">
      <c r="A14012" s="2" t="s">
        <v>14012</v>
      </c>
      <c r="B14012" s="2" t="str">
        <f>IFERROR(__xludf.DUMMYFUNCTION("GOOGLETRANSLATE(A14012, ""en"", ""mt"")"),"ġustizzja u prosperità")</f>
        <v>ġustizzja u prosperità</v>
      </c>
    </row>
    <row r="14013" ht="15.75" customHeight="1">
      <c r="A14013" s="2" t="s">
        <v>14013</v>
      </c>
      <c r="B14013" s="2" t="str">
        <f>IFERROR(__xludf.DUMMYFUNCTION("GOOGLETRANSLATE(A14013, ""en"", ""mt"")"),"Mard ta 'dekompressjoni")</f>
        <v>Mard ta 'dekompressjoni</v>
      </c>
    </row>
    <row r="14014" ht="15.75" customHeight="1">
      <c r="A14014" s="2" t="s">
        <v>14014</v>
      </c>
      <c r="B14014" s="2" t="str">
        <f>IFERROR(__xludf.DUMMYFUNCTION("GOOGLETRANSLATE(A14014, ""en"", ""mt"")"),"Hemm sett ta 'bibien sbieħ intarsjati, datata 1580 mis-Sindku ta' Antwerp, attribwit lil Hans Vredeman de Vries. Waħda mill-ifjen biċċiet ta 'għamara kontinentali fil-kollezzjoni hija l-Kabinett tal-Uffiċċju ta' Rococo Augustus Rex datat C1750 mill-Ġerman"&amp;"ja, bil-marketrija speċjalment fina u l-muntaturi Ormolu. Waħda mill-aktar biċċiet tal-għamara tas-seklu 19 hija l-kabinett Franċiż elaborat ħafna datat 1861-1867 magħmul minn M. Fourdinois, magħmul minn ebony inlaid bil-kaxxa, ġir, holly, lanġas, ġewż u "&amp;"kewba tal-kawba kif ukoll irħam bi carvings indurati - Għamara ddisinjata minn Ernest Gimson, Edward William Godwin, Charles Voysey, Adolf Loos u Otto Wagner huma fost l-aħħar eżempji tas-seklu 19 u l-bidu tas-seklu 20 fil-kollezzjoni. Ix-xogħol tal-moder"&amp;"nisti fil-kollezzjoni jinkludi Le Corbusier, Marcel Breuer, Charles u Ray Eames, u Giò Ponti.")</f>
        <v>Hemm sett ta 'bibien sbieħ intarsjati, datata 1580 mis-Sindku ta' Antwerp, attribwit lil Hans Vredeman de Vries. Waħda mill-ifjen biċċiet ta 'għamara kontinentali fil-kollezzjoni hija l-Kabinett tal-Uffiċċju ta' Rococo Augustus Rex datat C1750 mill-Ġermanja, bil-marketrija speċjalment fina u l-muntaturi Ormolu. Waħda mill-aktar biċċiet tal-għamara tas-seklu 19 hija l-kabinett Franċiż elaborat ħafna datat 1861-1867 magħmul minn M. Fourdinois, magħmul minn ebony inlaid bil-kaxxa, ġir, holly, lanġas, ġewż u kewba tal-kawba kif ukoll irħam bi carvings indurati - Għamara ddisinjata minn Ernest Gimson, Edward William Godwin, Charles Voysey, Adolf Loos u Otto Wagner huma fost l-aħħar eżempji tas-seklu 19 u l-bidu tas-seklu 20 fil-kollezzjoni. Ix-xogħol tal-modernisti fil-kollezzjoni jinkludi Le Corbusier, Marcel Breuer, Charles u Ray Eames, u Giò Ponti.</v>
      </c>
    </row>
    <row r="14015" ht="15.75" customHeight="1">
      <c r="A14015" s="2" t="s">
        <v>14015</v>
      </c>
      <c r="B14015" s="2" t="str">
        <f>IFERROR(__xludf.DUMMYFUNCTION("GOOGLETRANSLATE(A14015, ""en"", ""mt"")"),"X'inhu mnaqqas billi twaqqaf l-espansjoni f'ċilindri multipli?")</f>
        <v>X'inhu mnaqqas billi twaqqaf l-espansjoni f'ċilindri multipli?</v>
      </c>
    </row>
    <row r="14016" ht="15.75" customHeight="1">
      <c r="A14016" s="2" t="s">
        <v>14016</v>
      </c>
      <c r="B14016" s="2" t="str">
        <f>IFERROR(__xludf.DUMMYFUNCTION("GOOGLETRANSLATE(A14016, ""en"", ""mt"")"),"Filwaqt li l-eżistenza ta 'dawn id-dipartimenti tal-gvern ċentrali u s-sitt ministeri (li kienu ġew introdotti mill-dinastiji Sui u Tang) taw immaġni siniċizzata fl-amministrazzjoni tal-wan, il-funzjonijiet attwali ta' dawn il-ministeri rriflettew ukoll k"&amp;"if il-prijoritajiet u l-politiki Mongoljani reġgħu bdew mill-ġdid u reditjaw dawk istituzzjonijiet. Pereżempju, l-awtorità tas-sistema legali tal-wan, il-Ministeru tal-Ġustizzja, ma estendietx għal każijiet legali li jinvolvu Mongoli u Semuren, li kellhom"&amp;" qrati separati tal-ġustizzja. Każijiet li jinvolvu membri ta 'aktar minn grupp etniku wieħed ġew deċiżi minn bord imħallat li jikkonsisti minn Ċiniżi u Mongoli. Eżempju ieħor kien l-insinifikanti tal-Ministeru tal-Gwerra meta mqabbel mad-dinastiji Ċiniżi"&amp;" indiġeni, peress li l-awtorità militari reali fi żminijiet ta 'Yuan kienet toqgħod fil-Kunsill Privat.")</f>
        <v>Filwaqt li l-eżistenza ta 'dawn id-dipartimenti tal-gvern ċentrali u s-sitt ministeri (li kienu ġew introdotti mill-dinastiji Sui u Tang) taw immaġni siniċizzata fl-amministrazzjoni tal-wan, il-funzjonijiet attwali ta' dawn il-ministeri rriflettew ukoll kif il-prijoritajiet u l-politiki Mongoljani reġgħu bdew mill-ġdid u reditjaw dawk istituzzjonijiet. Pereżempju, l-awtorità tas-sistema legali tal-wan, il-Ministeru tal-Ġustizzja, ma estendietx għal każijiet legali li jinvolvu Mongoli u Semuren, li kellhom qrati separati tal-ġustizzja. Każijiet li jinvolvu membri ta 'aktar minn grupp etniku wieħed ġew deċiżi minn bord imħallat li jikkonsisti minn Ċiniżi u Mongoli. Eżempju ieħor kien l-insinifikanti tal-Ministeru tal-Gwerra meta mqabbel mad-dinastiji Ċiniżi indiġeni, peress li l-awtorità militari reali fi żminijiet ta 'Yuan kienet toqgħod fil-Kunsill Privat.</v>
      </c>
    </row>
    <row r="14017" ht="15.75" customHeight="1">
      <c r="A14017" s="2" t="s">
        <v>14017</v>
      </c>
      <c r="B14017" s="2" t="str">
        <f>IFERROR(__xludf.DUMMYFUNCTION("GOOGLETRANSLATE(A14017, ""en"", ""mt"")"),"b'diżabilità tal-propulsjoni tal-vettura spazjali u l-appoġġ tal-ħajja")</f>
        <v>b'diżabilità tal-propulsjoni tal-vettura spazjali u l-appoġġ tal-ħajja</v>
      </c>
    </row>
    <row r="14018" ht="15.75" customHeight="1">
      <c r="A14018" s="2" t="s">
        <v>14018</v>
      </c>
      <c r="B14018" s="2" t="str">
        <f>IFERROR(__xludf.DUMMYFUNCTION("GOOGLETRANSLATE(A14018, ""en"", ""mt"")"),"Liema sigriet qabdu r-rabtiet tal-familja biex iżommu moħbi?")</f>
        <v>Liema sigriet qabdu r-rabtiet tal-familja biex iżommu moħbi?</v>
      </c>
    </row>
    <row r="14019" ht="15.75" customHeight="1">
      <c r="A14019" s="2" t="s">
        <v>14019</v>
      </c>
      <c r="B14019" s="2" t="str">
        <f>IFERROR(__xludf.DUMMYFUNCTION("GOOGLETRANSLATE(A14019, ""en"", ""mt"")"),"labirint ta 'problemi semantiċi")</f>
        <v>labirint ta 'problemi semantiċi</v>
      </c>
    </row>
    <row r="14020" ht="15.75" customHeight="1">
      <c r="A14020" s="2" t="s">
        <v>14020</v>
      </c>
      <c r="B14020" s="2" t="str">
        <f>IFERROR(__xludf.DUMMYFUNCTION("GOOGLETRANSLATE(A14020, ""en"", ""mt"")"),"tirrifletti ""sfida akbar għas-sistema legali li tippermetti li jittieħdu dawk id-deċiżjonijiet")</f>
        <v>tirrifletti "sfida akbar għas-sistema legali li tippermetti li jittieħdu dawk id-deċiżjonijiet</v>
      </c>
    </row>
    <row r="14021" ht="15.75" customHeight="1">
      <c r="A14021" s="2" t="s">
        <v>14021</v>
      </c>
      <c r="B14021" s="2" t="str">
        <f>IFERROR(__xludf.DUMMYFUNCTION("GOOGLETRANSLATE(A14021, ""en"", ""mt"")"),"Fil-Lejl tan-Nar (1939),")</f>
        <v>Fil-Lejl tan-Nar (1939),</v>
      </c>
    </row>
    <row r="14022" ht="15.75" customHeight="1">
      <c r="A14022" s="2" t="s">
        <v>14022</v>
      </c>
      <c r="B14022" s="2" t="str">
        <f>IFERROR(__xludf.DUMMYFUNCTION("GOOGLETRANSLATE(A14022, ""en"", ""mt"")"),"Richard Allen u Absalom Jones kienu liċenzjati minn liema knisja?")</f>
        <v>Richard Allen u Absalom Jones kienu liċenzjati minn liema knisja?</v>
      </c>
    </row>
    <row r="14023" ht="15.75" customHeight="1">
      <c r="A14023" s="2" t="s">
        <v>14023</v>
      </c>
      <c r="B14023" s="2" t="str">
        <f>IFERROR(__xludf.DUMMYFUNCTION("GOOGLETRANSLATE(A14023, ""en"", ""mt"")"),"Bħal ħafna mir-reġjun tal-Atlantiku tan-Nofsinhar ta 'l-Istati Uniti, Jacksonville għandu klima subtropikali umda (Köppen CFA), bi temp ħafif waqt ix-xtiewi u temp sħun u umdu matul is-sjuf. Ix-xita staġjonali hija kkonċentrata fl-iktar xhur sħan minn Mej"&amp;"ju sa Settembru, filwaqt li x-xhur l-aktar niexfa huma minn Novembru sa April. Minħabba l-latitudni baxxa u l-post kostali ta 'Jacksonville, il-belt tara ftit temp kiesaħ, u x-xtiewi huma tipikament ħfief u xemxija. Is-Sjuf jistgħu jkunu sħan u mxarrba, u"&amp;" l-maltempati tas-sajf bi tnaqqis fil-qosor iżda qosra huma komuni.")</f>
        <v>Bħal ħafna mir-reġjun tal-Atlantiku tan-Nofsinhar ta 'l-Istati Uniti, Jacksonville għandu klima subtropikali umda (Köppen CFA), bi temp ħafif waqt ix-xtiewi u temp sħun u umdu matul is-sjuf. Ix-xita staġjonali hija kkonċentrata fl-iktar xhur sħan minn Mejju sa Settembru, filwaqt li x-xhur l-aktar niexfa huma minn Novembru sa April. Minħabba l-latitudni baxxa u l-post kostali ta 'Jacksonville, il-belt tara ftit temp kiesaħ, u x-xtiewi huma tipikament ħfief u xemxija. Is-Sjuf jistgħu jkunu sħan u mxarrba, u l-maltempati tas-sajf bi tnaqqis fil-qosor iżda qosra huma komuni.</v>
      </c>
    </row>
    <row r="14024" ht="15.75" customHeight="1">
      <c r="A14024" s="2" t="s">
        <v>14024</v>
      </c>
      <c r="B14024" s="2" t="str">
        <f>IFERROR(__xludf.DUMMYFUNCTION("GOOGLETRANSLATE(A14024, ""en"", ""mt"")"),"Minn fejn ħarbu l-patrijiet?")</f>
        <v>Minn fejn ħarbu l-patrijiet?</v>
      </c>
    </row>
    <row r="14025" ht="15.75" customHeight="1">
      <c r="A14025" s="2" t="s">
        <v>14025</v>
      </c>
      <c r="B14025" s="2" t="str">
        <f>IFERROR(__xludf.DUMMYFUNCTION("GOOGLETRANSLATE(A14025, ""en"", ""mt"")"),"L-infjammazzjoni hija waħda mill-ewwel tweġibiet tas-sistema immuni għall-infezzjoni. Is-sintomi ta 'infjammazzjoni huma ħmura, nefħa, sħana u uġigħ, li huma kkawżati minn żieda fil-fluss tad-demm fit-tessut. Infjammazzjoni hija prodotta minn ekosanojdi u"&amp;" ċitokini, li huma rilaxxati minn ċelloli midruba jew infettati. L-ekosanojdi jinkludu prostaglandini li jipproduċu d-deni u d-dilatazzjoni ta 'vini tad-demm assoċjati ma' infjammazzjoni, u lewkotrienes li jattiraw ċerti ċelloli bojod tad-demm (lewkoċiti)"&amp;". Ċitokini komuni jinkludu interleukins li huma responsabbli għall-komunikazzjoni bejn iċ-ċelloli bojod tad-demm; kimokini li jippromwovu l-kimotaxis; u interferoni li għandhom effetti anti-virali, bħalma huma l-għeluq tas-sinteżi tal-proteina fiċ-ċellula"&amp;" ospitanti. Fatturi ta 'tkabbir u fatturi ċitotossiċi jistgħu wkoll jiġu rilaxxati. Dawn iċ-ċitokini u kimiċi oħra jirreklutaw ċelloli immuni fis-sit ta 'infezzjoni u jippromwovu l-fejqan ta' kwalunkwe tessut bil-ħsara wara t-tneħħija ta 'patoġeni.")</f>
        <v>L-infjammazzjoni hija waħda mill-ewwel tweġibiet tas-sistema immuni għall-infezzjoni. Is-sintomi ta 'infjammazzjoni huma ħmura, nefħa, sħana u uġigħ, li huma kkawżati minn żieda fil-fluss tad-demm fit-tessut. Infjammazzjoni hija prodotta minn ekosanojdi u ċitokini, li huma rilaxxati minn ċelloli midruba jew infettati. L-ekosanojdi jinkludu prostaglandini li jipproduċu d-deni u d-dilatazzjoni ta 'vini tad-demm assoċjati ma' infjammazzjoni, u lewkotrienes li jattiraw ċerti ċelloli bojod tad-demm (lewkoċiti). Ċitokini komuni jinkludu interleukins li huma responsabbli għall-komunikazzjoni bejn iċ-ċelloli bojod tad-demm; kimokini li jippromwovu l-kimotaxis; u interferoni li għandhom effetti anti-virali, bħalma huma l-għeluq tas-sinteżi tal-proteina fiċ-ċellula ospitanti. Fatturi ta 'tkabbir u fatturi ċitotossiċi jistgħu wkoll jiġu rilaxxati. Dawn iċ-ċitokini u kimiċi oħra jirreklutaw ċelloli immuni fis-sit ta 'infezzjoni u jippromwovu l-fejqan ta' kwalunkwe tessut bil-ħsara wara t-tneħħija ta 'patoġeni.</v>
      </c>
    </row>
    <row r="14026" ht="15.75" customHeight="1">
      <c r="A14026" s="2" t="s">
        <v>14026</v>
      </c>
      <c r="B14026" s="2" t="str">
        <f>IFERROR(__xludf.DUMMYFUNCTION("GOOGLETRANSLATE(A14026, ""en"", ""mt"")"),"F'liema lingwa ngħataw il-klassijiet?")</f>
        <v>F'liema lingwa ngħataw il-klassijiet?</v>
      </c>
    </row>
    <row r="14027" ht="15.75" customHeight="1">
      <c r="A14027" s="2" t="s">
        <v>14027</v>
      </c>
      <c r="B14027" s="2" t="str">
        <f>IFERROR(__xludf.DUMMYFUNCTION("GOOGLETRANSLATE(A14027, ""en"", ""mt"")"),"l-assiomi tal-kumplessità tal-blum")</f>
        <v>l-assiomi tal-kumplessità tal-blum</v>
      </c>
    </row>
    <row r="14028" ht="15.75" customHeight="1">
      <c r="A14028" s="2" t="s">
        <v>14028</v>
      </c>
      <c r="B14028" s="2" t="str">
        <f>IFERROR(__xludf.DUMMYFUNCTION("GOOGLETRANSLATE(A14028, ""en"", ""mt"")"),"Diffikultà biex tistabbilixxi qafas għal klassijiet ta 'kumplessità tista' tkun ikkawżata minn liema varjabbli?")</f>
        <v>Diffikultà biex tistabbilixxi qafas għal klassijiet ta 'kumplessità tista' tkun ikkawżata minn liema varjabbli?</v>
      </c>
    </row>
    <row r="14029" ht="15.75" customHeight="1">
      <c r="A14029" s="2" t="s">
        <v>14029</v>
      </c>
      <c r="B14029" s="2" t="str">
        <f>IFERROR(__xludf.DUMMYFUNCTION("GOOGLETRANSLATE(A14029, ""en"", ""mt"")"),"Il-forza dgħajfa hija dovuta għall-iskambju tal-bosons W u Z tqal. L-iktar effett familjari tiegħu huwa t-tħassir beta (ta 'newtroni fin-nuklei atomiċi) u r-radjuattività assoċjata. Il-kelma ""dgħajfa"" ġejja mill-fatt li s-saħħa tal-qasam hija xi 1013 da"&amp;"rbiet inqas minn dik tal-forza qawwija. Xorta, hija iktar b'saħħitha mill-gravità fuq distanzi qosra. Ġiet żviluppata wkoll teorija tal-elettroweak konsistenti, li turi li l-forzi elettromanjetiċi u l-forza dgħajfa ma jistgħux jintgħarfu f'temperaturi li "&amp;"jaqbżu madwar 1015 Kelvins. Temperaturi bħal dawn ġew sondati fl-aċċeleraturi moderni tal-partikuli u juru l-kundizzjonijiet tal-univers fil-mumenti bikrija tal-Big Bang.")</f>
        <v>Il-forza dgħajfa hija dovuta għall-iskambju tal-bosons W u Z tqal. L-iktar effett familjari tiegħu huwa t-tħassir beta (ta 'newtroni fin-nuklei atomiċi) u r-radjuattività assoċjata. Il-kelma "dgħajfa" ġejja mill-fatt li s-saħħa tal-qasam hija xi 1013 darbiet inqas minn dik tal-forza qawwija. Xorta, hija iktar b'saħħitha mill-gravità fuq distanzi qosra. Ġiet żviluppata wkoll teorija tal-elettroweak konsistenti, li turi li l-forzi elettromanjetiċi u l-forza dgħajfa ma jistgħux jintgħarfu f'temperaturi li jaqbżu madwar 1015 Kelvins. Temperaturi bħal dawn ġew sondati fl-aċċeleraturi moderni tal-partikuli u juru l-kundizzjonijiet tal-univers fil-mumenti bikrija tal-Big Bang.</v>
      </c>
    </row>
    <row r="14030" ht="15.75" customHeight="1">
      <c r="A14030" s="2" t="s">
        <v>14030</v>
      </c>
      <c r="B14030" s="2" t="str">
        <f>IFERROR(__xludf.DUMMYFUNCTION("GOOGLETRANSLATE(A14030, ""en"", ""mt"")"),"Għaliex l-NBC ma setax ixandar l-inkurunazzjoni tar-Reġina Eliżabetta II?")</f>
        <v>Għaliex l-NBC ma setax ixandar l-inkurunazzjoni tar-Reġina Eliżabetta II?</v>
      </c>
    </row>
    <row r="14031" ht="15.75" customHeight="1">
      <c r="A14031" s="2" t="s">
        <v>14031</v>
      </c>
      <c r="B14031" s="2" t="str">
        <f>IFERROR(__xludf.DUMMYFUNCTION("GOOGLETRANSLATE(A14031, ""en"", ""mt"")"),"X'għandek bżonn il-premier ta 'Victoria biex imexxi fl-Assemblea Leġiżlattiva?")</f>
        <v>X'għandek bżonn il-premier ta 'Victoria biex imexxi fl-Assemblea Leġiżlattiva?</v>
      </c>
    </row>
    <row r="14032" ht="15.75" customHeight="1">
      <c r="A14032" s="2" t="s">
        <v>14032</v>
      </c>
      <c r="B14032" s="2" t="str">
        <f>IFERROR(__xludf.DUMMYFUNCTION("GOOGLETRANSLATE(A14032, ""en"", ""mt"")"),"inkwiet soċjali")</f>
        <v>inkwiet soċjali</v>
      </c>
    </row>
    <row r="14033" ht="15.75" customHeight="1">
      <c r="A14033" s="2" t="s">
        <v>14033</v>
      </c>
      <c r="B14033" s="2" t="str">
        <f>IFERROR(__xludf.DUMMYFUNCTION("GOOGLETRANSLATE(A14033, ""en"", ""mt"")"),"It-test tal-primalità tar-rabin Miller-Rabin")</f>
        <v>It-test tal-primalità tar-rabin Miller-Rabin</v>
      </c>
    </row>
    <row r="14034" ht="15.75" customHeight="1">
      <c r="A14034" s="2" t="s">
        <v>14034</v>
      </c>
      <c r="B14034" s="2" t="str">
        <f>IFERROR(__xludf.DUMMYFUNCTION("GOOGLETRANSLATE(A14034, ""en"", ""mt"")"),"X'kien l-iskor finali tas-Super Bowl 50?")</f>
        <v>X'kien l-iskor finali tas-Super Bowl 50?</v>
      </c>
    </row>
    <row r="14035" ht="15.75" customHeight="1">
      <c r="A14035" s="2" t="s">
        <v>14035</v>
      </c>
      <c r="B14035" s="2" t="str">
        <f>IFERROR(__xludf.DUMMYFUNCTION("GOOGLETRANSLATE(A14035, ""en"", ""mt"")"),"X’waqqaf il-Borża ta ’Varsavja?")</f>
        <v>X’waqqaf il-Borża ta ’Varsavja?</v>
      </c>
    </row>
    <row r="14036" ht="15.75" customHeight="1">
      <c r="A14036" s="2" t="s">
        <v>14036</v>
      </c>
      <c r="B14036" s="2" t="str">
        <f>IFERROR(__xludf.DUMMYFUNCTION("GOOGLETRANSLATE(A14036, ""en"", ""mt"")"),"Salute tradizzjonali ta 'kavallier li jirbaħ bout")</f>
        <v>Salute tradizzjonali ta 'kavallier li jirbaħ bout</v>
      </c>
    </row>
    <row r="14037" ht="15.75" customHeight="1">
      <c r="A14037" s="2" t="s">
        <v>14037</v>
      </c>
      <c r="B14037" s="2" t="str">
        <f>IFERROR(__xludf.DUMMYFUNCTION("GOOGLETRANSLATE(A14037, ""en"", ""mt"")"),"""Ipotesi ta 'Huges""")</f>
        <v>"Ipotesi ta 'Huges"</v>
      </c>
    </row>
    <row r="14038" ht="15.75" customHeight="1">
      <c r="A14038" s="2" t="s">
        <v>14038</v>
      </c>
      <c r="B14038" s="2" t="str">
        <f>IFERROR(__xludf.DUMMYFUNCTION("GOOGLETRANSLATE(A14038, ""en"", ""mt"")"),"Arkivji tal-Privattivi")</f>
        <v>Arkivji tal-Privattivi</v>
      </c>
    </row>
    <row r="14039" ht="15.75" customHeight="1">
      <c r="A14039" s="2" t="s">
        <v>14039</v>
      </c>
      <c r="B14039" s="2" t="str">
        <f>IFERROR(__xludf.DUMMYFUNCTION("GOOGLETRANSLATE(A14039, ""en"", ""mt"")"),"Minbarra l-Istati Uniti u l-Gran Brittanja x'kien il-pajjiż ewlieni l-ieħor li Tesla kellha l-privattivi?")</f>
        <v>Minbarra l-Istati Uniti u l-Gran Brittanja x'kien il-pajjiż ewlieni l-ieħor li Tesla kellha l-privattivi?</v>
      </c>
    </row>
    <row r="14040" ht="15.75" customHeight="1">
      <c r="A14040" s="2" t="s">
        <v>14040</v>
      </c>
      <c r="B14040" s="2" t="str">
        <f>IFERROR(__xludf.DUMMYFUNCTION("GOOGLETRANSLATE(A14040, ""en"", ""mt"")"),"proċess ta 'kolonizzazzjoni, influwenza, u annessi partijiet oħra tad-dinja")</f>
        <v>proċess ta 'kolonizzazzjoni, influwenza, u annessi partijiet oħra tad-dinja</v>
      </c>
    </row>
    <row r="14041" ht="15.75" customHeight="1">
      <c r="A14041" s="2" t="s">
        <v>14041</v>
      </c>
      <c r="B14041" s="2" t="str">
        <f>IFERROR(__xludf.DUMMYFUNCTION("GOOGLETRANSLATE(A14041, ""en"", ""mt"")"),"Nisrani")</f>
        <v>Nisrani</v>
      </c>
    </row>
    <row r="14042" ht="15.75" customHeight="1">
      <c r="A14042" s="2" t="s">
        <v>14042</v>
      </c>
      <c r="B14042" s="2" t="str">
        <f>IFERROR(__xludf.DUMMYFUNCTION("GOOGLETRANSLATE(A14042, ""en"", ""mt"")"),"Il-Qorti Ewropea tal-Ġustizzja")</f>
        <v>Il-Qorti Ewropea tal-Ġustizzja</v>
      </c>
    </row>
    <row r="14043" ht="15.75" customHeight="1">
      <c r="A14043" s="2" t="s">
        <v>14043</v>
      </c>
      <c r="B14043" s="2" t="str">
        <f>IFERROR(__xludf.DUMMYFUNCTION("GOOGLETRANSLATE(A14043, ""en"", ""mt"")"),"X'inhi l-firxa ta 'fuq ta' miżati annwali għal studenti li mhumiex abbord fi skejjel pubbliċi Ingliżi?")</f>
        <v>X'inhi l-firxa ta 'fuq ta' miżati annwali għal studenti li mhumiex abbord fi skejjel pubbliċi Ingliżi?</v>
      </c>
    </row>
    <row r="14044" ht="15.75" customHeight="1">
      <c r="A14044" s="2" t="s">
        <v>14044</v>
      </c>
      <c r="B14044" s="2" t="str">
        <f>IFERROR(__xludf.DUMMYFUNCTION("GOOGLETRANSLATE(A14044, ""en"", ""mt"")"),"Pan-Iżlamiżmu Sunni")</f>
        <v>Pan-Iżlamiżmu Sunni</v>
      </c>
    </row>
    <row r="14045" ht="15.75" customHeight="1">
      <c r="A14045" s="2" t="s">
        <v>14045</v>
      </c>
      <c r="B14045" s="2" t="str">
        <f>IFERROR(__xludf.DUMMYFUNCTION("GOOGLETRANSLATE(A14045, ""en"", ""mt"")"),"Stephen Eilmann juri liġi moħbija li tkisser fil-Ġermanja Nażista. Iċ-ċittadin illegalment kien qed jagħmel xiex?")</f>
        <v>Stephen Eilmann juri liġi moħbija li tkisser fil-Ġermanja Nażista. Iċ-ċittadin illegalment kien qed jagħmel xiex?</v>
      </c>
    </row>
    <row r="14046" ht="15.75" customHeight="1">
      <c r="A14046" s="2" t="s">
        <v>14046</v>
      </c>
      <c r="B14046" s="2" t="str">
        <f>IFERROR(__xludf.DUMMYFUNCTION("GOOGLETRANSLATE(A14046, ""en"", ""mt"")"),"Meta nbena l-Katidral ta ’San Ġwann?")</f>
        <v>Meta nbena l-Katidral ta ’San Ġwann?</v>
      </c>
    </row>
    <row r="14047" ht="15.75" customHeight="1">
      <c r="A14047" s="2" t="s">
        <v>14047</v>
      </c>
      <c r="B14047" s="2" t="str">
        <f>IFERROR(__xludf.DUMMYFUNCTION("GOOGLETRANSLATE(A14047, ""en"", ""mt"")"),"Reyners v il-Belġju l-Qorti tal-Ġustizzja")</f>
        <v>Reyners v il-Belġju l-Qorti tal-Ġustizzja</v>
      </c>
    </row>
    <row r="14048" ht="15.75" customHeight="1">
      <c r="A14048" s="2" t="s">
        <v>14048</v>
      </c>
      <c r="B14048" s="2" t="str">
        <f>IFERROR(__xludf.DUMMYFUNCTION("GOOGLETRANSLATE(A14048, ""en"", ""mt"")"),"Indja ħielsa")</f>
        <v>Indja ħielsa</v>
      </c>
    </row>
    <row r="14049" ht="15.75" customHeight="1">
      <c r="A14049" s="2" t="s">
        <v>14049</v>
      </c>
      <c r="B14049" s="2" t="str">
        <f>IFERROR(__xludf.DUMMYFUNCTION("GOOGLETRANSLATE(A14049, ""en"", ""mt"")"),"X'għandhom l-etioplasti minflok il-klorofilla?")</f>
        <v>X'għandhom l-etioplasti minflok il-klorofilla?</v>
      </c>
    </row>
    <row r="14050" ht="15.75" customHeight="1">
      <c r="A14050" s="2" t="s">
        <v>14050</v>
      </c>
      <c r="B14050" s="2" t="str">
        <f>IFERROR(__xludf.DUMMYFUNCTION("GOOGLETRANSLATE(A14050, ""en"", ""mt"")"),"sħun u niexef")</f>
        <v>sħun u niexef</v>
      </c>
    </row>
    <row r="14051" ht="15.75" customHeight="1">
      <c r="A14051" s="2" t="s">
        <v>14051</v>
      </c>
      <c r="B14051" s="2" t="str">
        <f>IFERROR(__xludf.DUMMYFUNCTION("GOOGLETRANSLATE(A14051, ""en"", ""mt"")"),"Kemm nies x'aktarx iżuru lil Justin Herman Plaza matul il-ġimgħa tas-Super Bowl?")</f>
        <v>Kemm nies x'aktarx iżuru lil Justin Herman Plaza matul il-ġimgħa tas-Super Bowl?</v>
      </c>
    </row>
    <row r="14052" ht="15.75" customHeight="1">
      <c r="A14052" s="2" t="s">
        <v>14052</v>
      </c>
      <c r="B14052" s="2" t="str">
        <f>IFERROR(__xludf.DUMMYFUNCTION("GOOGLETRANSLATE(A14052, ""en"", ""mt"")"),"Min jista 'jkun akkużat li jakkredita programmi ta' edukazzjoni tal-għalliema?")</f>
        <v>Min jista 'jkun akkużat li jakkredita programmi ta' edukazzjoni tal-għalliema?</v>
      </c>
    </row>
    <row r="14053" ht="15.75" customHeight="1">
      <c r="A14053" s="2" t="s">
        <v>14053</v>
      </c>
      <c r="B14053" s="2" t="str">
        <f>IFERROR(__xludf.DUMMYFUNCTION("GOOGLETRANSLATE(A14053, ""en"", ""mt"")"),"Mill-ħamsinijiet")</f>
        <v>Mill-ħamsinijiet</v>
      </c>
    </row>
    <row r="14054" ht="15.75" customHeight="1">
      <c r="A14054" s="2" t="s">
        <v>14054</v>
      </c>
      <c r="B14054" s="2" t="str">
        <f>IFERROR(__xludf.DUMMYFUNCTION("GOOGLETRANSLATE(A14054, ""en"", ""mt"")"),"Victoria_and_albert_museum")</f>
        <v>Victoria_and_albert_museum</v>
      </c>
    </row>
    <row r="14055" ht="15.75" customHeight="1">
      <c r="A14055" s="2" t="s">
        <v>14055</v>
      </c>
      <c r="B14055" s="2" t="str">
        <f>IFERROR(__xludf.DUMMYFUNCTION("GOOGLETRANSLATE(A14055, ""en"", ""mt"")"),"biex jgħinu jsaħħu t-talbiet territorjali tagħhom")</f>
        <v>biex jgħinu jsaħħu t-talbiet territorjali tagħhom</v>
      </c>
    </row>
    <row r="14056" ht="15.75" customHeight="1">
      <c r="A14056" s="2" t="s">
        <v>14056</v>
      </c>
      <c r="B14056" s="2" t="str">
        <f>IFERROR(__xludf.DUMMYFUNCTION("GOOGLETRANSLATE(A14056, ""en"", ""mt"")"),"Kif kienet imsejħa veduta simili dwar il-kontinent Asjatiku?")</f>
        <v>Kif kienet imsejħa veduta simili dwar il-kontinent Asjatiku?</v>
      </c>
    </row>
    <row r="14057" ht="15.75" customHeight="1">
      <c r="A14057" s="2" t="s">
        <v>14057</v>
      </c>
      <c r="B14057" s="2" t="str">
        <f>IFERROR(__xludf.DUMMYFUNCTION("GOOGLETRANSLATE(A14057, ""en"", ""mt"")"),"Li huma metodiċi u dettaljati eċċezzjonalment fl-istudju tal-Bibbja tagħhom")</f>
        <v>Li huma metodiċi u dettaljati eċċezzjonalment fl-istudju tal-Bibbja tagħhom</v>
      </c>
    </row>
    <row r="14058" ht="15.75" customHeight="1">
      <c r="A14058" s="2" t="s">
        <v>14058</v>
      </c>
      <c r="B14058" s="2" t="str">
        <f>IFERROR(__xludf.DUMMYFUNCTION("GOOGLETRANSLATE(A14058, ""en"", ""mt"")"),"Skond Tesla dak li kien għadda mill-ħallelin, jew spiji li daħlu fil-kamra tiegħu?")</f>
        <v>Skond Tesla dak li kien għadda mill-ħallelin, jew spiji li daħlu fil-kamra tiegħu?</v>
      </c>
    </row>
    <row r="14059" ht="15.75" customHeight="1">
      <c r="A14059" s="2" t="s">
        <v>14059</v>
      </c>
      <c r="B14059" s="2" t="str">
        <f>IFERROR(__xludf.DUMMYFUNCTION("GOOGLETRANSLATE(A14059, ""en"", ""mt"")"),"Tekniċi anzjani oħra tal-ispiżerija")</f>
        <v>Tekniċi anzjani oħra tal-ispiżerija</v>
      </c>
    </row>
    <row r="14060" ht="15.75" customHeight="1">
      <c r="A14060" s="2" t="s">
        <v>14060</v>
      </c>
      <c r="B14060" s="2" t="str">
        <f>IFERROR(__xludf.DUMMYFUNCTION("GOOGLETRANSLATE(A14060, ""en"", ""mt"")"),"X’bnew it-tliet katidrali kollha fi Newcastle?")</f>
        <v>X’bnew it-tliet katidrali kollha fi Newcastle?</v>
      </c>
    </row>
    <row r="14061" ht="15.75" customHeight="1">
      <c r="A14061" s="2" t="s">
        <v>14061</v>
      </c>
      <c r="B14061" s="2" t="str">
        <f>IFERROR(__xludf.DUMMYFUNCTION("GOOGLETRANSLATE(A14061, ""en"", ""mt"")"),"X'inhu l-iktar qasam li qed jikber malajr fl-industrija farmaċewtika?")</f>
        <v>X'inhu l-iktar qasam li qed jikber malajr fl-industrija farmaċewtika?</v>
      </c>
    </row>
    <row r="14062" ht="15.75" customHeight="1">
      <c r="A14062" s="2" t="s">
        <v>14062</v>
      </c>
      <c r="B14062" s="2" t="str">
        <f>IFERROR(__xludf.DUMMYFUNCTION("GOOGLETRANSLATE(A14062, ""en"", ""mt"")"),"Knisja ta ’Santa Maria Novella f’Firenze, l-Italja")</f>
        <v>Knisja ta ’Santa Maria Novella f’Firenze, l-Italja</v>
      </c>
    </row>
    <row r="14063" ht="15.75" customHeight="1">
      <c r="A14063" s="2" t="s">
        <v>14063</v>
      </c>
      <c r="B14063" s="2" t="str">
        <f>IFERROR(__xludf.DUMMYFUNCTION("GOOGLETRANSLATE(A14063, ""en"", ""mt"")"),"Midalja Rumford")</f>
        <v>Midalja Rumford</v>
      </c>
    </row>
    <row r="14064" ht="15.75" customHeight="1">
      <c r="A14064" s="2" t="s">
        <v>14064</v>
      </c>
      <c r="B14064" s="2" t="str">
        <f>IFERROR(__xludf.DUMMYFUNCTION("GOOGLETRANSLATE(A14064, ""en"", ""mt"")"),"X’kienet il-laqgħa ta ’spiss saret fl-argument?")</f>
        <v>X’kienet il-laqgħa ta ’spiss saret fl-argument?</v>
      </c>
    </row>
    <row r="14065" ht="15.75" customHeight="1">
      <c r="A14065" s="2" t="s">
        <v>14065</v>
      </c>
      <c r="B14065" s="2" t="str">
        <f>IFERROR(__xludf.DUMMYFUNCTION("GOOGLETRANSLATE(A14065, ""en"", ""mt"")"),"Kemm innijiet kiteb Luther ibbażat fuq l-Għaxar Kmandamenti?")</f>
        <v>Kemm innijiet kiteb Luther ibbażat fuq l-Għaxar Kmandamenti?</v>
      </c>
    </row>
    <row r="14066" ht="15.75" customHeight="1">
      <c r="A14066" s="2" t="s">
        <v>14066</v>
      </c>
      <c r="B14066" s="2" t="str">
        <f>IFERROR(__xludf.DUMMYFUNCTION("GOOGLETRANSLATE(A14066, ""en"", ""mt"")"),"inqas minn ħin kwadratiku")</f>
        <v>inqas minn ħin kwadratiku</v>
      </c>
    </row>
    <row r="14067" ht="15.75" customHeight="1">
      <c r="A14067" s="2" t="s">
        <v>14067</v>
      </c>
      <c r="B14067" s="2" t="str">
        <f>IFERROR(__xludf.DUMMYFUNCTION("GOOGLETRANSLATE(A14067, ""en"", ""mt"")"),"il-proprjetarji ta 'dispensarji illegali tal-kannabis mediċi")</f>
        <v>il-proprjetarji ta 'dispensarji illegali tal-kannabis mediċi</v>
      </c>
    </row>
    <row r="14068" ht="15.75" customHeight="1">
      <c r="A14068" s="2" t="s">
        <v>14068</v>
      </c>
      <c r="B14068" s="2" t="str">
        <f>IFERROR(__xludf.DUMMYFUNCTION("GOOGLETRANSLATE(A14068, ""en"", ""mt"")"),"xibka")</f>
        <v>xibka</v>
      </c>
    </row>
    <row r="14069" ht="15.75" customHeight="1">
      <c r="A14069" s="2" t="s">
        <v>14069</v>
      </c>
      <c r="B14069" s="2" t="str">
        <f>IFERROR(__xludf.DUMMYFUNCTION("GOOGLETRANSLATE(A14069, ""en"", ""mt"")"),"Wara l-gwerra Franco-Ġermaniża")</f>
        <v>Wara l-gwerra Franco-Ġermaniża</v>
      </c>
    </row>
    <row r="14070" ht="15.75" customHeight="1">
      <c r="A14070" s="2" t="s">
        <v>14070</v>
      </c>
      <c r="B14070" s="2" t="str">
        <f>IFERROR(__xludf.DUMMYFUNCTION("GOOGLETRANSLATE(A14070, ""en"", ""mt"")"),"Definizzjonijiet operattivi preċiżi")</f>
        <v>Definizzjonijiet operattivi preċiżi</v>
      </c>
    </row>
    <row r="14071" ht="15.75" customHeight="1">
      <c r="A14071" s="2" t="s">
        <v>14071</v>
      </c>
      <c r="B14071" s="2" t="str">
        <f>IFERROR(__xludf.DUMMYFUNCTION("GOOGLETRANSLATE(A14071, ""en"", ""mt"")"),"Ragħaj lokali liċenzjat")</f>
        <v>Ragħaj lokali liċenzjat</v>
      </c>
    </row>
    <row r="14072" ht="15.75" customHeight="1">
      <c r="A14072" s="2" t="s">
        <v>14072</v>
      </c>
      <c r="B14072" s="2" t="str">
        <f>IFERROR(__xludf.DUMMYFUNCTION("GOOGLETRANSLATE(A14072, ""en"", ""mt"")"),"bdiewa itineranti")</f>
        <v>bdiewa itineranti</v>
      </c>
    </row>
    <row r="14073" ht="15.75" customHeight="1">
      <c r="A14073" s="2" t="s">
        <v>14073</v>
      </c>
      <c r="B14073" s="2" t="str">
        <f>IFERROR(__xludf.DUMMYFUNCTION("GOOGLETRANSLATE(A14073, ""en"", ""mt"")"),"4:51")</f>
        <v>4:51</v>
      </c>
    </row>
    <row r="14074" ht="15.75" customHeight="1">
      <c r="A14074" s="2" t="s">
        <v>14074</v>
      </c>
      <c r="B14074" s="2" t="str">
        <f>IFERROR(__xludf.DUMMYFUNCTION("GOOGLETRANSLATE(A14074, ""en"", ""mt"")"),"Ħajja")</f>
        <v>Ħajja</v>
      </c>
    </row>
    <row r="14075" ht="15.75" customHeight="1">
      <c r="A14075" s="2" t="s">
        <v>14075</v>
      </c>
      <c r="B14075" s="2" t="str">
        <f>IFERROR(__xludf.DUMMYFUNCTION("GOOGLETRANSLATE(A14075, ""en"", ""mt"")"),"Amiloplasti tal-ħażna tal-lamtu")</f>
        <v>Amiloplasti tal-ħażna tal-lamtu</v>
      </c>
    </row>
    <row r="14076" ht="15.75" customHeight="1">
      <c r="A14076" s="2" t="s">
        <v>14076</v>
      </c>
      <c r="B14076" s="2" t="str">
        <f>IFERROR(__xludf.DUMMYFUNCTION("GOOGLETRANSLATE(A14076, ""en"", ""mt"")"),"Dak li spiċċa jintuża għat-triq tat-triq fil-post tas-sistema ta 'Tesla?")</f>
        <v>Dak li spiċċa jintuża għat-triq tat-triq fil-post tas-sistema ta 'Tesla?</v>
      </c>
    </row>
    <row r="14077" ht="15.75" customHeight="1">
      <c r="A14077" s="2" t="s">
        <v>14077</v>
      </c>
      <c r="B14077" s="2" t="str">
        <f>IFERROR(__xludf.DUMMYFUNCTION("GOOGLETRANSLATE(A14077, ""en"", ""mt"")"),"Il-kolonjaliżmu bħala politika huwa kkawżat minn finanzjarju u liema raġunijiet oħra?")</f>
        <v>Il-kolonjaliżmu bħala politika huwa kkawżat minn finanzjarju u liema raġunijiet oħra?</v>
      </c>
    </row>
    <row r="14078" ht="15.75" customHeight="1">
      <c r="A14078" s="2" t="s">
        <v>14078</v>
      </c>
      <c r="B14078" s="2" t="str">
        <f>IFERROR(__xludf.DUMMYFUNCTION("GOOGLETRANSLATE(A14078, ""en"", ""mt"")"),"Liema strateġija uża l-armata ta 'Jebe kontra Kuchlug u l-partitarji tiegħu?")</f>
        <v>Liema strateġija uża l-armata ta 'Jebe kontra Kuchlug u l-partitarji tiegħu?</v>
      </c>
    </row>
    <row r="14079" ht="15.75" customHeight="1">
      <c r="A14079" s="2" t="s">
        <v>14079</v>
      </c>
      <c r="B14079" s="2" t="str">
        <f>IFERROR(__xludf.DUMMYFUNCTION("GOOGLETRANSLATE(A14079, ""en"", ""mt"")"),"Gżejjer Channel")</f>
        <v>Gżejjer Channel</v>
      </c>
    </row>
    <row r="14080" ht="15.75" customHeight="1">
      <c r="A14080" s="2" t="s">
        <v>14080</v>
      </c>
      <c r="B14080" s="2" t="str">
        <f>IFERROR(__xludf.DUMMYFUNCTION("GOOGLETRANSLATE(A14080, ""en"", ""mt"")"),"Politiki bħad-Duttrina Monroe")</f>
        <v>Politiki bħad-Duttrina Monroe</v>
      </c>
    </row>
    <row r="14081" ht="15.75" customHeight="1">
      <c r="A14081" s="2" t="s">
        <v>14081</v>
      </c>
      <c r="B14081" s="2" t="str">
        <f>IFERROR(__xludf.DUMMYFUNCTION("GOOGLETRANSLATE(A14081, ""en"", ""mt"")"),"pistun")</f>
        <v>pistun</v>
      </c>
    </row>
    <row r="14082" ht="15.75" customHeight="1">
      <c r="A14082" s="2" t="s">
        <v>14082</v>
      </c>
      <c r="B14082" s="2" t="str">
        <f>IFERROR(__xludf.DUMMYFUNCTION("GOOGLETRANSLATE(A14082, ""en"", ""mt"")"),"Impatt ħafna")</f>
        <v>Impatt ħafna</v>
      </c>
    </row>
    <row r="14083" ht="15.75" customHeight="1">
      <c r="A14083" s="2" t="s">
        <v>14083</v>
      </c>
      <c r="B14083" s="2" t="str">
        <f>IFERROR(__xludf.DUMMYFUNCTION("GOOGLETRANSLATE(A14083, ""en"", ""mt"")"),"Aqta 'kompetizzjoni fil-griżmejn")</f>
        <v>Aqta 'kompetizzjoni fil-griżmejn</v>
      </c>
    </row>
    <row r="14084" ht="15.75" customHeight="1">
      <c r="A14084" s="2" t="s">
        <v>14084</v>
      </c>
      <c r="B14084" s="2" t="str">
        <f>IFERROR(__xludf.DUMMYFUNCTION("GOOGLETRANSLATE(A14084, ""en"", ""mt"")"),"X'inhu meqjus bħala vantaġġ potenzjali għall-ġid għal xi Amerikani?")</f>
        <v>X'inhu meqjus bħala vantaġġ potenzjali għall-ġid għal xi Amerikani?</v>
      </c>
    </row>
    <row r="14085" ht="15.75" customHeight="1">
      <c r="A14085" s="2" t="s">
        <v>14085</v>
      </c>
      <c r="B14085" s="2" t="str">
        <f>IFERROR(__xludf.DUMMYFUNCTION("GOOGLETRANSLATE(A14085, ""en"", ""mt"")"),"X'inhu isem ieħor biex tiddeskrivi x-xjenza tat-tagħlim?")</f>
        <v>X'inhu isem ieħor biex tiddeskrivi x-xjenza tat-tagħlim?</v>
      </c>
    </row>
    <row r="14086" ht="15.75" customHeight="1">
      <c r="A14086" s="2" t="s">
        <v>14086</v>
      </c>
      <c r="B14086" s="2" t="str">
        <f>IFERROR(__xludf.DUMMYFUNCTION("GOOGLETRANSLATE(A14086, ""en"", ""mt"")"),"Ċentru Ekonomiku Maġġuri")</f>
        <v>Ċentru Ekonomiku Maġġuri</v>
      </c>
    </row>
    <row r="14087" ht="15.75" customHeight="1">
      <c r="A14087" s="2" t="s">
        <v>14087</v>
      </c>
      <c r="B14087" s="2" t="str">
        <f>IFERROR(__xludf.DUMMYFUNCTION("GOOGLETRANSLATE(A14087, ""en"", ""mt"")"),"Liema kunċett modern tal-matematika ma ħademx lil Zhu Shijie?")</f>
        <v>Liema kunċett modern tal-matematika ma ħademx lil Zhu Shijie?</v>
      </c>
    </row>
    <row r="14088" ht="15.75" customHeight="1">
      <c r="A14088" s="2" t="s">
        <v>14088</v>
      </c>
      <c r="B14088" s="2" t="str">
        <f>IFERROR(__xludf.DUMMYFUNCTION("GOOGLETRANSLATE(A14088, ""en"", ""mt"")"),"Malli sema 'l-prodott finali, x'kien qed jgħid il-kreatur?")</f>
        <v>Malli sema 'l-prodott finali, x'kien qed jgħid il-kreatur?</v>
      </c>
    </row>
    <row r="14089" ht="15.75" customHeight="1">
      <c r="A14089" s="2" t="s">
        <v>14089</v>
      </c>
      <c r="B14089" s="2" t="str">
        <f>IFERROR(__xludf.DUMMYFUNCTION("GOOGLETRANSLATE(A14089, ""en"", ""mt"")"),"Sistemi ta 'illuminazzjoni bbażati fuq dawl tal-ark elettriku installati ddisinjati minn Tesla")</f>
        <v>Sistemi ta 'illuminazzjoni bbażati fuq dawl tal-ark elettriku installati ddisinjati minn Tesla</v>
      </c>
    </row>
    <row r="14090" ht="15.75" customHeight="1">
      <c r="A14090" s="2" t="s">
        <v>14090</v>
      </c>
      <c r="B14090" s="2" t="str">
        <f>IFERROR(__xludf.DUMMYFUNCTION("GOOGLETRANSLATE(A14090, ""en"", ""mt"")"),"X'tip ta 'sistema tesla ssuġġeriet lil Adams?")</f>
        <v>X'tip ta 'sistema tesla ssuġġeriet lil Adams?</v>
      </c>
    </row>
    <row r="14091" ht="15.75" customHeight="1">
      <c r="A14091" s="2" t="s">
        <v>14091</v>
      </c>
      <c r="B14091" s="2" t="str">
        <f>IFERROR(__xludf.DUMMYFUNCTION("GOOGLETRANSLATE(A14091, ""en"", ""mt"")"),"Debat tas-salvataġġ")</f>
        <v>Debat tas-salvataġġ</v>
      </c>
    </row>
    <row r="14092" ht="15.75" customHeight="1">
      <c r="A14092" s="2" t="s">
        <v>14092</v>
      </c>
      <c r="B14092" s="2" t="str">
        <f>IFERROR(__xludf.DUMMYFUNCTION("GOOGLETRANSLATE(A14092, ""en"", ""mt"")"),"F'liema pajjiż kien il-film Doctor Who ma rnexxa biżżejjed biex ibid serje?")</f>
        <v>F'liema pajjiż kien il-film Doctor Who ma rnexxa biżżejjed biex ibid serje?</v>
      </c>
    </row>
    <row r="14093" ht="15.75" customHeight="1">
      <c r="A14093" s="2" t="s">
        <v>14093</v>
      </c>
      <c r="B14093" s="2" t="str">
        <f>IFERROR(__xludf.DUMMYFUNCTION("GOOGLETRANSLATE(A14093, ""en"", ""mt"")"),"Meta nħoloq Doctor Who?")</f>
        <v>Meta nħoloq Doctor Who?</v>
      </c>
    </row>
    <row r="14094" ht="15.75" customHeight="1">
      <c r="A14094" s="2" t="s">
        <v>14094</v>
      </c>
      <c r="B14094" s="2" t="str">
        <f>IFERROR(__xludf.DUMMYFUNCTION("GOOGLETRANSLATE(A14094, ""en"", ""mt"")"),"20 miljun sena ilu")</f>
        <v>20 miljun sena ilu</v>
      </c>
    </row>
    <row r="14095" ht="15.75" customHeight="1">
      <c r="A14095" s="2" t="s">
        <v>14095</v>
      </c>
      <c r="B14095" s="2" t="str">
        <f>IFERROR(__xludf.DUMMYFUNCTION("GOOGLETRANSLATE(A14095, ""en"", ""mt"")"),"Liema show CBS segwa s-Super Bowl?")</f>
        <v>Liema show CBS segwa s-Super Bowl?</v>
      </c>
    </row>
    <row r="14096" ht="15.75" customHeight="1">
      <c r="A14096" s="2" t="s">
        <v>14096</v>
      </c>
      <c r="B14096" s="2" t="str">
        <f>IFERROR(__xludf.DUMMYFUNCTION("GOOGLETRANSLATE(A14096, ""en"", ""mt"")"),"temperatura tal-għeluq")</f>
        <v>temperatura tal-għeluq</v>
      </c>
    </row>
    <row r="14097" ht="15.75" customHeight="1">
      <c r="A14097" s="2" t="s">
        <v>14097</v>
      </c>
      <c r="B14097" s="2" t="str">
        <f>IFERROR(__xludf.DUMMYFUNCTION("GOOGLETRANSLATE(A14097, ""en"", ""mt"")"),"Ftit truppi Ingliżi")</f>
        <v>Ftit truppi Ingliżi</v>
      </c>
    </row>
    <row r="14098" ht="15.75" customHeight="1">
      <c r="A14098" s="2" t="s">
        <v>14098</v>
      </c>
      <c r="B14098" s="2" t="str">
        <f>IFERROR(__xludf.DUMMYFUNCTION("GOOGLETRANSLATE(A14098, ""en"", ""mt"")"),"L-immunoloġija hija xjenza li teżamina l-istruttura u l-funzjoni tas-sistema immuni. Joriġina mill-mediċina u studji bikrija dwar il-kawżi tal-immunità għall-mard. L-ewwel referenza magħrufa għall-immunità kienet matul il-pesta ta 'Ateni fl-430 QK. Thucyd"&amp;"ides innota li nies li rkupraw minn bout preċedenti tal-marda jistgħu jreddgħu lill-morda mingħajr ma jikkuntrattaw il-marda għat-tieni darba. Fis-seklu 18, Pierre-Louis Moreau de Maupertuis għamel esperimenti bil-velenu tal-iskorpjun u osserva li ċerti k"&amp;"lieb u ġrieden kienu immuni għal dan il-velenu. Dan u osservazzjonijiet oħra ta 'immunità akkwistata ġew sfruttati aktar tard minn Louis Pasteur fl-iżvilupp tiegħu ta' tilqim u t-teorija tal-ġermen proposta tiegħu tal-marda. It-teorija ta 'Pasteur kienet "&amp;"f'oppożizzjoni diretta għat-teoriji kontemporanji tal-mard, bħat-teorija ta' Miasma. Ma kienx il-provi tal-1891 ta 'Robert Koch, li għalihom ingħata Premju Nobel fl-1905, li l-mikro-organiżmi ġew ikkonfermati bħala l-kawża ta' mard infettiv. Il-virus ġew "&amp;"ikkonfermati bħala patoġeni umani fl-1901, bl-iskoperta tal-virus tad-deni isfar minn Walter Reed.")</f>
        <v>L-immunoloġija hija xjenza li teżamina l-istruttura u l-funzjoni tas-sistema immuni. Joriġina mill-mediċina u studji bikrija dwar il-kawżi tal-immunità għall-mard. L-ewwel referenza magħrufa għall-immunità kienet matul il-pesta ta 'Ateni fl-430 QK. Thucydides innota li nies li rkupraw minn bout preċedenti tal-marda jistgħu jreddgħu lill-morda mingħajr ma jikkuntrattaw il-marda għat-tieni darba. Fis-seklu 18, Pierre-Louis Moreau de Maupertuis għamel esperimenti bil-velenu tal-iskorpjun u osserva li ċerti klieb u ġrieden kienu immuni għal dan il-velenu. Dan u osservazzjonijiet oħra ta 'immunità akkwistata ġew sfruttati aktar tard minn Louis Pasteur fl-iżvilupp tiegħu ta' tilqim u t-teorija tal-ġermen proposta tiegħu tal-marda. It-teorija ta 'Pasteur kienet f'oppożizzjoni diretta għat-teoriji kontemporanji tal-mard, bħat-teorija ta' Miasma. Ma kienx il-provi tal-1891 ta 'Robert Koch, li għalihom ingħata Premju Nobel fl-1905, li l-mikro-organiżmi ġew ikkonfermati bħala l-kawża ta' mard infettiv. Il-virus ġew ikkonfermati bħala patoġeni umani fl-1901, bl-iskoperta tal-virus tad-deni isfar minn Walter Reed.</v>
      </c>
    </row>
    <row r="14099" ht="15.75" customHeight="1">
      <c r="A14099" s="2" t="s">
        <v>14099</v>
      </c>
      <c r="B14099" s="2" t="str">
        <f>IFERROR(__xludf.DUMMYFUNCTION("GOOGLETRANSLATE(A14099, ""en"", ""mt"")"),"X'inhi l-espressjoni użata biex tindika kumplessità tal-agħar każ kif espress mill-ħin meħud?")</f>
        <v>X'inhi l-espressjoni użata biex tindika kumplessità tal-agħar każ kif espress mill-ħin meħud?</v>
      </c>
    </row>
    <row r="14100" ht="15.75" customHeight="1">
      <c r="A14100" s="2" t="s">
        <v>14100</v>
      </c>
      <c r="B14100" s="2" t="str">
        <f>IFERROR(__xludf.DUMMYFUNCTION("GOOGLETRANSLATE(A14100, ""en"", ""mt"")"),"Min qatel in-nar tal-kabina tal-ossiġnu taħt pressjoni?")</f>
        <v>Min qatel in-nar tal-kabina tal-ossiġnu taħt pressjoni?</v>
      </c>
    </row>
    <row r="14101" ht="15.75" customHeight="1">
      <c r="A14101" s="2" t="s">
        <v>14101</v>
      </c>
      <c r="B14101" s="2" t="str">
        <f>IFERROR(__xludf.DUMMYFUNCTION("GOOGLETRANSLATE(A14101, ""en"", ""mt"")"),"It-Trattat ta ’Ruma 1957 u t-Trattat Maastricht 1992")</f>
        <v>It-Trattat ta ’Ruma 1957 u t-Trattat Maastricht 1992</v>
      </c>
    </row>
    <row r="14102" ht="15.75" customHeight="1">
      <c r="A14102" s="2" t="s">
        <v>14102</v>
      </c>
      <c r="B14102" s="2" t="str">
        <f>IFERROR(__xludf.DUMMYFUNCTION("GOOGLETRANSLATE(A14102, ""en"", ""mt"")"),"Kanali HD u vidjow fuq talba")</f>
        <v>Kanali HD u vidjow fuq talba</v>
      </c>
    </row>
    <row r="14103" ht="15.75" customHeight="1">
      <c r="A14103" s="2" t="s">
        <v>14103</v>
      </c>
      <c r="B14103" s="2" t="str">
        <f>IFERROR(__xludf.DUMMYFUNCTION("GOOGLETRANSLATE(A14103, ""en"", ""mt"")"),"Bejn il-Franċiżi u l-Ingliżi, żoni kbar kienu ddominati minn tribujiet indiġeni. Fit-tramuntana, il-Mi'kmaq u l-Abenaki kienu involuti fil-gwerra ta 'Patri Le Loutre u għadhom żammew f'partijiet ta' Nova Scotia, Acadia, u l-porzjonijiet tal-Lvant tal-Prov"&amp;"inċja tal-Kanada, kif ukoll ħafna mill-Maine preżenti. Il-Konfederazzjoni Iroquois iddominat ħafna mill-Upstate ta 'New York preżenti u l-pajjiż ta' Ohio, għalkemm dan tal-aħħar kien jinkludi wkoll popolazzjonijiet li jitkellmu Algonquian ta 'Delaware u S"&amp;"hawnee, kif ukoll il-Mingo li jitkellem Iroquoian. Dawn it-tribujiet kienu formalment taħt ir-regola Iroquois, u kienu limitati minnhom fl-awtorità li jagħmlu ftehim.")</f>
        <v>Bejn il-Franċiżi u l-Ingliżi, żoni kbar kienu ddominati minn tribujiet indiġeni. Fit-tramuntana, il-Mi'kmaq u l-Abenaki kienu involuti fil-gwerra ta 'Patri Le Loutre u għadhom żammew f'partijiet ta' Nova Scotia, Acadia, u l-porzjonijiet tal-Lvant tal-Provinċja tal-Kanada, kif ukoll ħafna mill-Maine preżenti. Il-Konfederazzjoni Iroquois iddominat ħafna mill-Upstate ta 'New York preżenti u l-pajjiż ta' Ohio, għalkemm dan tal-aħħar kien jinkludi wkoll popolazzjonijiet li jitkellmu Algonquian ta 'Delaware u Shawnee, kif ukoll il-Mingo li jitkellem Iroquoian. Dawn it-tribujiet kienu formalment taħt ir-regola Iroquois, u kienu limitati minnhom fl-awtorità li jagħmlu ftehim.</v>
      </c>
    </row>
    <row r="14104" ht="15.75" customHeight="1">
      <c r="A14104" s="2" t="s">
        <v>14104</v>
      </c>
      <c r="B14104" s="2" t="str">
        <f>IFERROR(__xludf.DUMMYFUNCTION("GOOGLETRANSLATE(A14104, ""en"", ""mt"")"),"Xi jfisser l-Istat Iżlamiku mill-komunità internazzjonali?")</f>
        <v>Xi jfisser l-Istat Iżlamiku mill-komunità internazzjonali?</v>
      </c>
    </row>
    <row r="14105" ht="15.75" customHeight="1">
      <c r="A14105" s="2" t="s">
        <v>14105</v>
      </c>
      <c r="B14105" s="2" t="str">
        <f>IFERROR(__xludf.DUMMYFUNCTION("GOOGLETRANSLATE(A14105, ""en"", ""mt"")"),"Min għandu potenzjal produttiv limitat meta jiffaċċja inqas aċċess għall-edukazzjoni?")</f>
        <v>Min għandu potenzjal produttiv limitat meta jiffaċċja inqas aċċess għall-edukazzjoni?</v>
      </c>
    </row>
    <row r="14106" ht="15.75" customHeight="1">
      <c r="A14106" s="2" t="s">
        <v>14106</v>
      </c>
      <c r="B14106" s="2" t="str">
        <f>IFERROR(__xludf.DUMMYFUNCTION("GOOGLETRANSLATE(A14106, ""en"", ""mt"")"),"post")</f>
        <v>post</v>
      </c>
    </row>
    <row r="14107" ht="15.75" customHeight="1">
      <c r="A14107" s="2" t="s">
        <v>14107</v>
      </c>
      <c r="B14107" s="2" t="str">
        <f>IFERROR(__xludf.DUMMYFUNCTION("GOOGLETRANSLATE(A14107, ""en"", ""mt"")"),"tlett ijiem.")</f>
        <v>tlett ijiem.</v>
      </c>
    </row>
    <row r="14108" ht="15.75" customHeight="1">
      <c r="A14108" s="2" t="s">
        <v>14108</v>
      </c>
      <c r="B14108" s="2" t="str">
        <f>IFERROR(__xludf.DUMMYFUNCTION("GOOGLETRANSLATE(A14108, ""en"", ""mt"")"),"Roentgen Rays")</f>
        <v>Roentgen Rays</v>
      </c>
    </row>
    <row r="14109" ht="15.75" customHeight="1">
      <c r="A14109" s="2" t="s">
        <v>14109</v>
      </c>
      <c r="B14109" s="2" t="str">
        <f>IFERROR(__xludf.DUMMYFUNCTION("GOOGLETRANSLATE(A14109, ""en"", ""mt"")"),"Gwerra tal-Kurrenti")</f>
        <v>Gwerra tal-Kurrenti</v>
      </c>
    </row>
    <row r="14110" ht="15.75" customHeight="1">
      <c r="A14110" s="2" t="s">
        <v>14110</v>
      </c>
      <c r="B14110" s="2" t="str">
        <f>IFERROR(__xludf.DUMMYFUNCTION("GOOGLETRANSLATE(A14110, ""en"", ""mt"")"),"Peress li l-qamar m'għandux atmosfera, x'inhu prevalenti f'ħafna kampjuni tal-blat tal-qamar miġjuba lura mill-missjonijiet Apollo?")</f>
        <v>Peress li l-qamar m'għandux atmosfera, x'inhu prevalenti f'ħafna kampjuni tal-blat tal-qamar miġjuba lura mill-missjonijiet Apollo?</v>
      </c>
    </row>
    <row r="14111" ht="15.75" customHeight="1">
      <c r="A14111" s="2" t="s">
        <v>14111</v>
      </c>
      <c r="B14111" s="2" t="str">
        <f>IFERROR(__xludf.DUMMYFUNCTION("GOOGLETRANSLATE(A14111, ""en"", ""mt"")"),"jekk hux kien bil-kontenut tagħhom")</f>
        <v>jekk hux kien bil-kontenut tagħhom</v>
      </c>
    </row>
    <row r="14112" ht="15.75" customHeight="1">
      <c r="A14112" s="2" t="s">
        <v>14112</v>
      </c>
      <c r="B14112" s="2" t="str">
        <f>IFERROR(__xludf.DUMMYFUNCTION("GOOGLETRANSLATE(A14112, ""en"", ""mt"")"),"Dak li jagħmel il-pjanti ħodor?")</f>
        <v>Dak li jagħmel il-pjanti ħodor?</v>
      </c>
    </row>
    <row r="14113" ht="15.75" customHeight="1">
      <c r="A14113" s="2" t="s">
        <v>14113</v>
      </c>
      <c r="B14113" s="2" t="str">
        <f>IFERROR(__xludf.DUMMYFUNCTION("GOOGLETRANSLATE(A14113, ""en"", ""mt"")"),"Il-kontijiet kontemporanji kienu esaġerazzjonijiet")</f>
        <v>Il-kontijiet kontemporanji kienu esaġerazzjonijiet</v>
      </c>
    </row>
    <row r="14114" ht="15.75" customHeight="1">
      <c r="A14114" s="2" t="s">
        <v>14114</v>
      </c>
      <c r="B14114" s="2" t="str">
        <f>IFERROR(__xludf.DUMMYFUNCTION("GOOGLETRANSLATE(A14114, ""en"", ""mt"")"),"X'inhu l-iskambju ta 'sħana assoċjat miegħu?")</f>
        <v>X'inhu l-iskambju ta 'sħana assoċjat miegħu?</v>
      </c>
    </row>
    <row r="14115" ht="15.75" customHeight="1">
      <c r="A14115" s="2" t="s">
        <v>14115</v>
      </c>
      <c r="B14115" s="2" t="str">
        <f>IFERROR(__xludf.DUMMYFUNCTION("GOOGLETRANSLATE(A14115, ""en"", ""mt"")"),"1,000 m3 / s (35,000 cu ft / s)")</f>
        <v>1,000 m3 / s (35,000 cu ft / s)</v>
      </c>
    </row>
    <row r="14116" ht="15.75" customHeight="1">
      <c r="A14116" s="2" t="s">
        <v>14116</v>
      </c>
      <c r="B14116" s="2" t="str">
        <f>IFERROR(__xludf.DUMMYFUNCTION("GOOGLETRANSLATE(A14116, ""en"", ""mt"")"),"Għal liema kumpanija ħadmet Tesla fl-1881?")</f>
        <v>Għal liema kumpanija ħadmet Tesla fl-1881?</v>
      </c>
    </row>
    <row r="14117" ht="15.75" customHeight="1">
      <c r="A14117" s="2" t="s">
        <v>14117</v>
      </c>
      <c r="B14117" s="2" t="str">
        <f>IFERROR(__xludf.DUMMYFUNCTION("GOOGLETRANSLATE(A14117, ""en"", ""mt"")"),"X'inhu l-isem tal-baċin li nħoloq minn lag magħluq?")</f>
        <v>X'inhu l-isem tal-baċin li nħoloq minn lag magħluq?</v>
      </c>
    </row>
    <row r="14118" ht="15.75" customHeight="1">
      <c r="A14118" s="2" t="s">
        <v>14118</v>
      </c>
      <c r="B14118" s="2" t="str">
        <f>IFERROR(__xludf.DUMMYFUNCTION("GOOGLETRANSLATE(A14118, ""en"", ""mt"")"),"Taraġ")</f>
        <v>Taraġ</v>
      </c>
    </row>
    <row r="14119" ht="15.75" customHeight="1">
      <c r="A14119" s="2" t="s">
        <v>14119</v>
      </c>
      <c r="B14119" s="2" t="str">
        <f>IFERROR(__xludf.DUMMYFUNCTION("GOOGLETRANSLATE(A14119, ""en"", ""mt"")"),"Caiman iswed")</f>
        <v>Caiman iswed</v>
      </c>
    </row>
    <row r="14120" ht="15.75" customHeight="1">
      <c r="A14120" s="2" t="s">
        <v>14120</v>
      </c>
      <c r="B14120" s="2" t="str">
        <f>IFERROR(__xludf.DUMMYFUNCTION("GOOGLETRANSLATE(A14120, ""en"", ""mt"")"),"X'inhu joħloq kunflitt bejn problema X u problema C fil-kuntest ta 'tnaqqis?")</f>
        <v>X'inhu joħloq kunflitt bejn problema X u problema C fil-kuntest ta 'tnaqqis?</v>
      </c>
    </row>
    <row r="14121" ht="15.75" customHeight="1">
      <c r="A14121" s="2" t="s">
        <v>14121</v>
      </c>
      <c r="B14121" s="2" t="str">
        <f>IFERROR(__xludf.DUMMYFUNCTION("GOOGLETRANSLATE(A14121, ""en"", ""mt"")"),"tard fl-1870s")</f>
        <v>tard fl-1870s</v>
      </c>
    </row>
    <row r="14122" ht="15.75" customHeight="1">
      <c r="A14122" s="2" t="s">
        <v>14122</v>
      </c>
      <c r="B14122" s="2" t="str">
        <f>IFERROR(__xludf.DUMMYFUNCTION("GOOGLETRANSLATE(A14122, ""en"", ""mt"")"),"Harvard ġie ffurmat fl-1636 bil-vot tal-Qorti l-Kbira u Ġenerali tal-Kolonja tal-Bajja ta 'Massachusetts. Fil-bidu kien imsejjaħ ""New College"" jew ""The College fi New Towne"". Fl-1638, il-kulleġġ sar id-dar għall-ewwel stampa tal-istampar magħrufa tal-"&amp;"Amerika ta ’Fuq, imwettqa mill-vapur John of London. Fl-1639, il-kulleġġ ġie msejjaħ Harvard College wara l-kleru mejjet John Harvard, li kien student tal-Università ta ’Cambridge. Huwa kien ħalla l-iskola £ 779 u l-librerija tiegħu ta 'madwar 400 kotba. "&amp;"Il-charter li joħloq il-Korporazzjoni ta ’Harvard ingħata fl-1650.")</f>
        <v>Harvard ġie ffurmat fl-1636 bil-vot tal-Qorti l-Kbira u Ġenerali tal-Kolonja tal-Bajja ta 'Massachusetts. Fil-bidu kien imsejjaħ "New College" jew "The College fi New Towne". Fl-1638, il-kulleġġ sar id-dar għall-ewwel stampa tal-istampar magħrufa tal-Amerika ta ’Fuq, imwettqa mill-vapur John of London. Fl-1639, il-kulleġġ ġie msejjaħ Harvard College wara l-kleru mejjet John Harvard, li kien student tal-Università ta ’Cambridge. Huwa kien ħalla l-iskola £ 779 u l-librerija tiegħu ta 'madwar 400 kotba. Il-charter li joħloq il-Korporazzjoni ta ’Harvard ingħata fl-1650.</v>
      </c>
    </row>
    <row r="14123" ht="15.75" customHeight="1">
      <c r="A14123" s="2" t="s">
        <v>14123</v>
      </c>
      <c r="B14123" s="2" t="str">
        <f>IFERROR(__xludf.DUMMYFUNCTION("GOOGLETRANSLATE(A14123, ""en"", ""mt"")"),"Telenet kien l-ewwel netwerk ta 'dejta pubblika liċenzjata mill-FCC fl-Istati Uniti. Din twaqqfet mill-ex direttur tal-IPTO ARPA Larry Roberts bħala mezz biex tagħmel it-teknoloġija ARPANET pubblika. Huwa kien ipprova jinteressa lil AT&amp;T fix-xiri tat-tekn"&amp;"oloġija, iżda r-reazzjoni tal-monopolju kienet li din kienet inkompatibbli mal-futur tagħhom. Bolt, Beranack u Newman (BBN) ipprovdew il-finanzjament. Fil-bidu uża t-teknoloġija ARPANET iżda biddel l-interface ospitanti għal X.25 u l-interface terminali g"&amp;"ħal X.29. Telenet iddisinja dawn il-protokolli u għenhom jistandardizzahom fis-CCITT. Telenet ġie inkorporat fl-1973 u beda l-operazzjonijiet fl-1975. Huwa sar pubbliku fl-1979 u mbagħad inbiegħ lil GTE.")</f>
        <v>Telenet kien l-ewwel netwerk ta 'dejta pubblika liċenzjata mill-FCC fl-Istati Uniti. Din twaqqfet mill-ex direttur tal-IPTO ARPA Larry Roberts bħala mezz biex tagħmel it-teknoloġija ARPANET pubblika. Huwa kien ipprova jinteressa lil AT&amp;T fix-xiri tat-teknoloġija, iżda r-reazzjoni tal-monopolju kienet li din kienet inkompatibbli mal-futur tagħhom. Bolt, Beranack u Newman (BBN) ipprovdew il-finanzjament. Fil-bidu uża t-teknoloġija ARPANET iżda biddel l-interface ospitanti għal X.25 u l-interface terminali għal X.29. Telenet iddisinja dawn il-protokolli u għenhom jistandardizzahom fis-CCITT. Telenet ġie inkorporat fl-1973 u beda l-operazzjonijiet fl-1975. Huwa sar pubbliku fl-1979 u mbagħad inbiegħ lil GTE.</v>
      </c>
    </row>
    <row r="14124" ht="15.75" customHeight="1">
      <c r="A14124" s="2" t="s">
        <v>14124</v>
      </c>
      <c r="B14124" s="2" t="str">
        <f>IFERROR(__xludf.DUMMYFUNCTION("GOOGLETRANSLATE(A14124, ""en"", ""mt"")"),"Rikostruzzjoni u l-età indurata")</f>
        <v>Rikostruzzjoni u l-età indurata</v>
      </c>
    </row>
    <row r="14125" ht="15.75" customHeight="1">
      <c r="A14125" s="2" t="s">
        <v>14125</v>
      </c>
      <c r="B14125" s="2" t="str">
        <f>IFERROR(__xludf.DUMMYFUNCTION("GOOGLETRANSLATE(A14125, ""en"", ""mt"")"),"Fl-2010 stħarriġ dwar is-salarji żvela d-differenzi fir-rimunerazzjoni bejn rwoli, setturi u postijiet differenti fl-industrija tal-kostruzzjoni u l-ambjent mibnija. Ir-riżultati wrew li żoni ta 'tkabbir partikolarment qawwi fl-industrija tal-kostruzzjoni"&amp;", bħall-Lvant Nofsani, jagħtu salarji medji ogħla milli fir-Renju Unit per eżempju. Il-qligħ medju għal professjonist fl-industrija tal-kostruzzjoni fil-Lvant Nofsani, fis-setturi kollha, tipi ta 'impjiegi u livelli ta' esperjenza, huwa ta '£ 42,090, meta"&amp;" mqabbel ma' £ 26,719 fir-Renju Unit. Din ix-xejra mhix neċessarjament dovuta għall-fatt li huma disponibbli rwoli aktar sinjuri, peress li periti b'14-il sena jew aktar esperjenza li jaħdmu fil-Lvant Nofsani jaqilgħu medja ta '£ 43,389 fis-sena, meta mqa"&amp;"bbla ma' £ 40,000 fir-Renju Unit. Xi ħaddiema tal-kostruzzjoni fl-Istati Uniti / Kanada għamlu aktar minn $ 100,000 kull sena, skont il-kummerċ tagħhom.")</f>
        <v>Fl-2010 stħarriġ dwar is-salarji żvela d-differenzi fir-rimunerazzjoni bejn rwoli, setturi u postijiet differenti fl-industrija tal-kostruzzjoni u l-ambjent mibnija. Ir-riżultati wrew li żoni ta 'tkabbir partikolarment qawwi fl-industrija tal-kostruzzjoni, bħall-Lvant Nofsani, jagħtu salarji medji ogħla milli fir-Renju Unit per eżempju. Il-qligħ medju għal professjonist fl-industrija tal-kostruzzjoni fil-Lvant Nofsani, fis-setturi kollha, tipi ta 'impjiegi u livelli ta' esperjenza, huwa ta '£ 42,090, meta mqabbel ma' £ 26,719 fir-Renju Unit. Din ix-xejra mhix neċessarjament dovuta għall-fatt li huma disponibbli rwoli aktar sinjuri, peress li periti b'14-il sena jew aktar esperjenza li jaħdmu fil-Lvant Nofsani jaqilgħu medja ta '£ 43,389 fis-sena, meta mqabbla ma' £ 40,000 fir-Renju Unit. Xi ħaddiema tal-kostruzzjoni fl-Istati Uniti / Kanada għamlu aktar minn $ 100,000 kull sena, skont il-kummerċ tagħhom.</v>
      </c>
    </row>
    <row r="14126" ht="15.75" customHeight="1">
      <c r="A14126" s="2" t="s">
        <v>14126</v>
      </c>
      <c r="B14126" s="2" t="str">
        <f>IFERROR(__xludf.DUMMYFUNCTION("GOOGLETRANSLATE(A14126, ""en"", ""mt"")"),"Min inħatar bħala s-sostitut għad-Duka Yansheng Kong Duanyou?")</f>
        <v>Min inħatar bħala s-sostitut għad-Duka Yansheng Kong Duanyou?</v>
      </c>
    </row>
    <row r="14127" ht="15.75" customHeight="1">
      <c r="A14127" s="2" t="s">
        <v>14127</v>
      </c>
      <c r="B14127" s="2" t="str">
        <f>IFERROR(__xludf.DUMMYFUNCTION("GOOGLETRANSLATE(A14127, ""en"", ""mt"")"),"Ma 'riċevitur għandu jkun mgħammar biex jara l-kontenut kriptat?")</f>
        <v>Ma 'riċevitur għandu jkun mgħammar biex jara l-kontenut kriptat?</v>
      </c>
    </row>
    <row r="14128" ht="15.75" customHeight="1">
      <c r="A14128" s="2" t="s">
        <v>14128</v>
      </c>
      <c r="B14128" s="2" t="str">
        <f>IFERROR(__xludf.DUMMYFUNCTION("GOOGLETRANSLATE(A14128, ""en"", ""mt"")"),"Kemm nies jgħixu fiż-żona metropolitana akbar?")</f>
        <v>Kemm nies jgħixu fiż-żona metropolitana akbar?</v>
      </c>
    </row>
    <row r="14129" ht="15.75" customHeight="1">
      <c r="A14129" s="2" t="s">
        <v>14129</v>
      </c>
      <c r="B14129" s="2" t="str">
        <f>IFERROR(__xludf.DUMMYFUNCTION("GOOGLETRANSLATE(A14129, ""en"", ""mt"")"),"Is-sistema immunitarja tipproteġi l-organiżmi kontra xiex?")</f>
        <v>Is-sistema immunitarja tipproteġi l-organiżmi kontra xiex?</v>
      </c>
    </row>
    <row r="14130" ht="15.75" customHeight="1">
      <c r="A14130" s="2" t="s">
        <v>14130</v>
      </c>
      <c r="B14130" s="2" t="str">
        <f>IFERROR(__xludf.DUMMYFUNCTION("GOOGLETRANSLATE(A14130, ""en"", ""mt"")"),"l-awtorità aħħarija tal-istati membri, l-impenn fattwali tagħha għad-drittijiet tal-bniedem, u r-rieda demokratika tal-poplu")</f>
        <v>l-awtorità aħħarija tal-istati membri, l-impenn fattwali tagħha għad-drittijiet tal-bniedem, u r-rieda demokratika tal-poplu</v>
      </c>
    </row>
    <row r="14131" ht="15.75" customHeight="1">
      <c r="A14131" s="2" t="s">
        <v>14131</v>
      </c>
      <c r="B14131" s="2" t="str">
        <f>IFERROR(__xludf.DUMMYFUNCTION("GOOGLETRANSLATE(A14131, ""en"", ""mt"")"),"X'tip ta 'destinazzjoni hija ż-żona madwar il-monument ta' Gray?")</f>
        <v>X'tip ta 'destinazzjoni hija ż-żona madwar il-monument ta' Gray?</v>
      </c>
    </row>
    <row r="14132" ht="15.75" customHeight="1">
      <c r="A14132" s="2" t="s">
        <v>14132</v>
      </c>
      <c r="B14132" s="2" t="str">
        <f>IFERROR(__xludf.DUMMYFUNCTION("GOOGLETRANSLATE(A14132, ""en"", ""mt"")"),"Il-Knisja Metodista Magħquda tifhem lilha nnifisha li tkun parti mill-Knisja Kattolika Mqaddsa (jew universali) u tirrikonoxxi l-kredti ekumeniċi storiċi, il-Kredu tal-Appostlu u l-Kredu Nicene; li jintużaw ta ’spiss f’servizzi ta’ qima. Il-Ktieb tad-Dixx"&amp;"iplina jirrikonoxxi wkoll l-importanza tal-Kredu tal-Kalkedonja tal-Kunsill ta ’Chalcedon. Huwa jżomm il-kunċett tal- ""knisja viżibbli u inviżibbli"", fis-sens li dawk kollha li huma verament jemmnu f'kull età jappartjenu lill-Knisja Mqaddsa inviżibbli, "&amp;"filwaqt li l-Knisja Metodista Magħquda hija fergħa tal-knisja viżibbli, li magħha jemmnu kollha għandhom ikunu konnessi Peress li hija l-unika istituzzjoni fejn il-Kelma ta ’Alla hija predikata u s-sagramenti huma amministrati.")</f>
        <v>Il-Knisja Metodista Magħquda tifhem lilha nnifisha li tkun parti mill-Knisja Kattolika Mqaddsa (jew universali) u tirrikonoxxi l-kredti ekumeniċi storiċi, il-Kredu tal-Appostlu u l-Kredu Nicene; li jintużaw ta ’spiss f’servizzi ta’ qima. Il-Ktieb tad-Dixxiplina jirrikonoxxi wkoll l-importanza tal-Kredu tal-Kalkedonja tal-Kunsill ta ’Chalcedon. Huwa jżomm il-kunċett tal- "knisja viżibbli u inviżibbli", fis-sens li dawk kollha li huma verament jemmnu f'kull età jappartjenu lill-Knisja Mqaddsa inviżibbli, filwaqt li l-Knisja Metodista Magħquda hija fergħa tal-knisja viżibbli, li magħha jemmnu kollha għandhom ikunu konnessi Peress li hija l-unika istituzzjoni fejn il-Kelma ta ’Alla hija predikata u s-sagramenti huma amministrati.</v>
      </c>
    </row>
    <row r="14133" ht="15.75" customHeight="1">
      <c r="A14133" s="2" t="s">
        <v>14133</v>
      </c>
      <c r="B14133" s="2" t="str">
        <f>IFERROR(__xludf.DUMMYFUNCTION("GOOGLETRANSLATE(A14133, ""en"", ""mt"")"),"Il-format tas-serje nbidel għall-qawmien mill-ġdid tal-2005, b'kull serje ġeneralment tikkonsisti minn 13-il minuta, episodji li jinsabu fihom infushom (60 minuta b'reklami, fuq stazzjonijiet kummerċjali barranin), u episodju estiż imxandar f'Jum il-Milie"&amp;"d. Kull serje tinkludi diversi stejjer waħedhom u b'ħafna partijiet, marbuta ma 'ark ta' storja maħlula li tirrisolvi fil-finali tas-serje. Bħal fl-era bikrija ""klassika"", kull episodju, kemm jekk waħdu jew parti minn storja akbar, għandu t-titlu tiegħu"&amp;" stess. Kultant, episodji ta 'serje regolari jaqbżu l-ħin ta' tħaddim ta '45 minuta; Notevolment, l-episodji ""Journey's End"" mill-2008 u ""Il-Ħdax-il Siegħa"" mill-2010 qabżu siegħa fit-tul.")</f>
        <v>Il-format tas-serje nbidel għall-qawmien mill-ġdid tal-2005, b'kull serje ġeneralment tikkonsisti minn 13-il minuta, episodji li jinsabu fihom infushom (60 minuta b'reklami, fuq stazzjonijiet kummerċjali barranin), u episodju estiż imxandar f'Jum il-Milied. Kull serje tinkludi diversi stejjer waħedhom u b'ħafna partijiet, marbuta ma 'ark ta' storja maħlula li tirrisolvi fil-finali tas-serje. Bħal fl-era bikrija "klassika", kull episodju, kemm jekk waħdu jew parti minn storja akbar, għandu t-titlu tiegħu stess. Kultant, episodji ta 'serje regolari jaqbżu l-ħin ta' tħaddim ta '45 minuta; Notevolment, l-episodji "Journey's End" mill-2008 u "Il-Ħdax-il Siegħa" mill-2010 qabżu siegħa fit-tul.</v>
      </c>
    </row>
    <row r="14134" ht="15.75" customHeight="1">
      <c r="A14134" s="2" t="s">
        <v>14134</v>
      </c>
      <c r="B14134" s="2" t="str">
        <f>IFERROR(__xludf.DUMMYFUNCTION("GOOGLETRANSLATE(A14134, ""en"", ""mt"")"),"X'ifisser Luther Luther fisser l-istudju tal-liġi?")</f>
        <v>X'ifisser Luther Luther fisser l-istudju tal-liġi?</v>
      </c>
    </row>
    <row r="14135" ht="15.75" customHeight="1">
      <c r="A14135" s="2" t="s">
        <v>14135</v>
      </c>
      <c r="B14135" s="2" t="str">
        <f>IFERROR(__xludf.DUMMYFUNCTION("GOOGLETRANSLATE(A14135, ""en"", ""mt"")"),"Linja ta 'fuq tal-Windows")</f>
        <v>Linja ta 'fuq tal-Windows</v>
      </c>
    </row>
    <row r="14136" ht="15.75" customHeight="1">
      <c r="A14136" s="2" t="s">
        <v>14136</v>
      </c>
      <c r="B14136" s="2" t="str">
        <f>IFERROR(__xludf.DUMMYFUNCTION("GOOGLETRANSLATE(A14136, ""en"", ""mt"")"),"Liema diviżjoni toffri aktar minn fergħa waħda ta 'studji li ma jaqblux ma' l-erbgħa l-oħra?")</f>
        <v>Liema diviżjoni toffri aktar minn fergħa waħda ta 'studji li ma jaqblux ma' l-erbgħa l-oħra?</v>
      </c>
    </row>
    <row r="14137" ht="15.75" customHeight="1">
      <c r="A14137" s="2" t="s">
        <v>14137</v>
      </c>
      <c r="B14137" s="2" t="str">
        <f>IFERROR(__xludf.DUMMYFUNCTION("GOOGLETRANSLATE(A14137, ""en"", ""mt"")"),"Liema Doctor Who Show kien l-akbar simulcast ta 'drama televiżiv?")</f>
        <v>Liema Doctor Who Show kien l-akbar simulcast ta 'drama televiżiv?</v>
      </c>
    </row>
    <row r="14138" ht="15.75" customHeight="1">
      <c r="A14138" s="2" t="s">
        <v>14138</v>
      </c>
      <c r="B14138" s="2" t="str">
        <f>IFERROR(__xludf.DUMMYFUNCTION("GOOGLETRANSLATE(A14138, ""en"", ""mt"")"),"Wara li l-invażjoni Ġermaniża tal-Polonja fl-1 ta 'Settembru 1939 bdiet it-Tieni Gwerra Dinjija, Varsavja ġiet iddefendata sas-27 ta' Settembru. Il-Polonja Ċentrali, inkluż Varsavja, ġiet taħt il-ħakma tal-gvern ġenerali, amministrazzjoni kolonjali Ġerman"&amp;"iża Nażista. L-istituzzjonijiet kollha tal-edukazzjoni għolja ngħalqu immedjatament u l-popolazzjoni Lhudija kollha ta 'Varsavja - bosta mijiet ta' eluf, xi 30% tal-belt - imdaħħlin fil-ghetto ta 'Varsavja. Il-belt kienet issir iċ-ċentru tar-reżistenza ur"&amp;"bana għall-ħakma Nażista fl-Ewropa okkupata. Meta l-ordni waslet biex tbatti l-ghetto bħala parti mis-soluzzjoni finali ta 'Hitler fid-19 ta' April 1943, ġellieda Lhud nedew ir-Rebbiegħa tal-Ghetto ta 'Varsavja. Minkejja li kien ingħata ħafna u nqabad, il"&amp;"-ghetto żamm għal kważi xahar. Meta ntemm il-ġlied, kważi s-superstiti kollha ġew massakrati, bi ftit biss jirnexxilhom jaħarbu jew jinħbew.")</f>
        <v>Wara li l-invażjoni Ġermaniża tal-Polonja fl-1 ta 'Settembru 1939 bdiet it-Tieni Gwerra Dinjija, Varsavja ġiet iddefendata sas-27 ta' Settembru. Il-Polonja Ċentrali, inkluż Varsavja, ġiet taħt il-ħakma tal-gvern ġenerali, amministrazzjoni kolonjali Ġermaniża Nażista. L-istituzzjonijiet kollha tal-edukazzjoni għolja ngħalqu immedjatament u l-popolazzjoni Lhudija kollha ta 'Varsavja - bosta mijiet ta' eluf, xi 30% tal-belt - imdaħħlin fil-ghetto ta 'Varsavja. Il-belt kienet issir iċ-ċentru tar-reżistenza urbana għall-ħakma Nażista fl-Ewropa okkupata. Meta l-ordni waslet biex tbatti l-ghetto bħala parti mis-soluzzjoni finali ta 'Hitler fid-19 ta' April 1943, ġellieda Lhud nedew ir-Rebbiegħa tal-Ghetto ta 'Varsavja. Minkejja li kien ingħata ħafna u nqabad, il-ghetto żamm għal kważi xahar. Meta ntemm il-ġlied, kważi s-superstiti kollha ġew massakrati, bi ftit biss jirnexxilhom jaħarbu jew jinħbew.</v>
      </c>
    </row>
    <row r="14139" ht="15.75" customHeight="1">
      <c r="A14139" s="2" t="s">
        <v>14139</v>
      </c>
      <c r="B14139" s="2" t="str">
        <f>IFERROR(__xludf.DUMMYFUNCTION("GOOGLETRANSLATE(A14139, ""en"", ""mt"")"),"livell tal-baħar")</f>
        <v>livell tal-baħar</v>
      </c>
    </row>
    <row r="14140" ht="15.75" customHeight="1">
      <c r="A14140" s="2" t="s">
        <v>14140</v>
      </c>
      <c r="B14140" s="2" t="str">
        <f>IFERROR(__xludf.DUMMYFUNCTION("GOOGLETRANSLATE(A14140, ""en"", ""mt"")"),"X'kien inkorporat biex jgħin inaqqas id-deċenti tas-CM lura lejn id-Dinja?")</f>
        <v>X'kien inkorporat biex jgħin inaqqas id-deċenti tas-CM lura lejn id-Dinja?</v>
      </c>
    </row>
    <row r="14141" ht="15.75" customHeight="1">
      <c r="A14141" s="2" t="s">
        <v>14141</v>
      </c>
      <c r="B14141" s="2" t="str">
        <f>IFERROR(__xludf.DUMMYFUNCTION("GOOGLETRANSLATE(A14141, ""en"", ""mt"")"),"X'kien l-iskor finali tal-logħba bejn il-Panthers u l-Seahawks?")</f>
        <v>X'kien l-iskor finali tal-logħba bejn il-Panthers u l-Seahawks?</v>
      </c>
    </row>
    <row r="14142" ht="15.75" customHeight="1">
      <c r="A14142" s="2" t="s">
        <v>14142</v>
      </c>
      <c r="B14142" s="2" t="str">
        <f>IFERROR(__xludf.DUMMYFUNCTION("GOOGLETRANSLATE(A14142, ""en"", ""mt"")"),"Kull sentejn")</f>
        <v>Kull sentejn</v>
      </c>
    </row>
    <row r="14143" ht="15.75" customHeight="1">
      <c r="A14143" s="2" t="s">
        <v>14143</v>
      </c>
      <c r="B14143" s="2" t="str">
        <f>IFERROR(__xludf.DUMMYFUNCTION("GOOGLETRANSLATE(A14143, ""en"", ""mt"")"),"Baħar tat-Tramuntana")</f>
        <v>Baħar tat-Tramuntana</v>
      </c>
    </row>
    <row r="14144" ht="15.75" customHeight="1">
      <c r="A14144" s="2" t="s">
        <v>14144</v>
      </c>
      <c r="B14144" s="2" t="str">
        <f>IFERROR(__xludf.DUMMYFUNCTION("GOOGLETRANSLATE(A14144, ""en"", ""mt"")"),"X'inhuma ż-żewġ toroq ewlenin ta 'Sunnyside?")</f>
        <v>X'inhuma ż-żewġ toroq ewlenin ta 'Sunnyside?</v>
      </c>
    </row>
    <row r="14145" ht="15.75" customHeight="1">
      <c r="A14145" s="2" t="s">
        <v>14145</v>
      </c>
      <c r="B14145" s="2" t="str">
        <f>IFERROR(__xludf.DUMMYFUNCTION("GOOGLETRANSLATE(A14145, ""en"", ""mt"")"),"Spiżeriji ta 'speċjalità jfornu spiża għolja injettabbli, orali, infuża, jew inalata mediċini li jintużaw għal stati ta' mard kroniku u kumpless bħal kanċer, epatite, u artrite rewmatojde. B'differenza mill-ispiżerija tal-komunità tradizzjonali fejn il-pr"&amp;"eskrizzjonijiet għal kwalunkwe medikazzjoni komuni jistgħu jinġiebu u jimtlew, l-ispiżeriji speċjalizzati jġorru mediċini ġodda li jeħtieġu li jinħażnu sewwa, jiġu amministrati, immonitorjati bir-reqqa, u ġestiti klinikament. Minbarra li jfornu dawn il-me"&amp;"diċini, l-ispiżeriji ta 'speċjalità jipprovdu wkoll monitoraġġ tal-laboratorju, pariri ta' aderenza, u jgħinu lill-pazjenti bi strateġiji ta 'l-ispejjeż meħtieġa biex jiksbu l-mediċini speċjalizzati tagħhom. Bħalissa huwa s-settur li qed jikber bl-iktar m"&amp;"għaġġel ta 'l-industrija farmaċewtika b'19 minn 28 mediċini approvati mill-FDA li għadhom kemm ġew approvati fl-2013 li huma mediċini speċjalizzati.")</f>
        <v>Spiżeriji ta 'speċjalità jfornu spiża għolja injettabbli, orali, infuża, jew inalata mediċini li jintużaw għal stati ta' mard kroniku u kumpless bħal kanċer, epatite, u artrite rewmatojde. B'differenza mill-ispiżerija tal-komunità tradizzjonali fejn il-preskrizzjonijiet għal kwalunkwe medikazzjoni komuni jistgħu jinġiebu u jimtlew, l-ispiżeriji speċjalizzati jġorru mediċini ġodda li jeħtieġu li jinħażnu sewwa, jiġu amministrati, immonitorjati bir-reqqa, u ġestiti klinikament. Minbarra li jfornu dawn il-mediċini, l-ispiżeriji ta 'speċjalità jipprovdu wkoll monitoraġġ tal-laboratorju, pariri ta' aderenza, u jgħinu lill-pazjenti bi strateġiji ta 'l-ispejjeż meħtieġa biex jiksbu l-mediċini speċjalizzati tagħhom. Bħalissa huwa s-settur li qed jikber bl-iktar mgħaġġel ta 'l-industrija farmaċewtika b'19 minn 28 mediċini approvati mill-FDA li għadhom kemm ġew approvati fl-2013 li huma mediċini speċjalizzati.</v>
      </c>
    </row>
    <row r="14146" ht="15.75" customHeight="1">
      <c r="A14146" s="2" t="s">
        <v>14146</v>
      </c>
      <c r="B14146" s="2" t="str">
        <f>IFERROR(__xludf.DUMMYFUNCTION("GOOGLETRANSLATE(A14146, ""en"", ""mt"")"),"Preżenza personali u kelma ħajja")</f>
        <v>Preżenza personali u kelma ħajja</v>
      </c>
    </row>
    <row r="14147" ht="15.75" customHeight="1">
      <c r="A14147" s="2" t="s">
        <v>14147</v>
      </c>
      <c r="B14147" s="2" t="str">
        <f>IFERROR(__xludf.DUMMYFUNCTION("GOOGLETRANSLATE(A14147, ""en"", ""mt"")"),"jisraq")</f>
        <v>jisraq</v>
      </c>
    </row>
    <row r="14148" ht="15.75" customHeight="1">
      <c r="A14148" s="2" t="s">
        <v>14148</v>
      </c>
      <c r="B14148" s="2" t="str">
        <f>IFERROR(__xludf.DUMMYFUNCTION("GOOGLETRANSLATE(A14148, ""en"", ""mt"")"),"Liema żewġ komposti al-MuwaffAQ iddifferenzjaw bejniethom?")</f>
        <v>Liema żewġ komposti al-MuwaffAQ iddifferenzjaw bejniethom?</v>
      </c>
    </row>
    <row r="14149" ht="15.75" customHeight="1">
      <c r="A14149" s="2" t="s">
        <v>14149</v>
      </c>
      <c r="B14149" s="2" t="str">
        <f>IFERROR(__xludf.DUMMYFUNCTION("GOOGLETRANSLATE(A14149, ""en"", ""mt"")"),"Liema figura tal-awtorità hija nominata għall-iskeda u tistabbilixxi x-xogħol tal-UE?")</f>
        <v>Liema figura tal-awtorità hija nominata għall-iskeda u tistabbilixxi x-xogħol tal-UE?</v>
      </c>
    </row>
    <row r="14150" ht="15.75" customHeight="1">
      <c r="A14150" s="2" t="s">
        <v>14150</v>
      </c>
      <c r="B14150" s="2" t="str">
        <f>IFERROR(__xludf.DUMMYFUNCTION("GOOGLETRANSLATE(A14150, ""en"", ""mt"")"),"Il-biċċa l-kbira tal-ispeċi huma ermafroditi - annimal wieħed jista 'jipproduċi kemm bajd kif ukoll sperma, li jfisser li jista' fertilize l-bajd tiegħu stess, u m'għandux bżonn sieħeb. Uħud huma ermafroditi simultanji, li jistgħu jipproduċu kemm bajd kif"&amp;" ukoll sperma fl-istess ħin. Oħrajn huma ermafroditi sekwenzjali, li fihom il-bajd u l-isperma jimmaturaw fi żminijiet differenti. Il-fertilizzazzjoni hija ġeneralment esterna, għalkemm il-bajd tal-platyctenids huma fertilizzati ġewwa ġisimhom u jinżammu "&amp;"hemm sakemm ifaqqsu. Iż-żgħażagħ ġeneralment huma planktoniċi u fil-biċċa l-kbira tal-ispeċi jidhru bħal ċidippidi żgħar, li jinbidlu gradwalment fil-forom adulti tagħhom hekk kif jikbru. L-eċċezzjonijiet huma l-Beroids, li ż-żgħażagħ tagħhom huma beroids"&amp;" minjatura b'ħalq kbir u mingħajr tentakli, u l-platyctenids, li ż-żgħażagħ tagħhom jgħixu bħala plankton bħal Cydippid sakemm jilħqu d-daqs kważi adult, iżda mbagħad jegħrqu sal-qiegħ u malajr metamorfose fl-adult forma. F’mill-inqas xi speċi, il-minoren"&amp;"ni huma kapaċi jirriproduċu qabel ma jilħqu d-daqs u l-għamla tal-adulti. Il-kombinazzjoni ta 'ermafroditiżmu u riproduzzjoni bikrija tippermetti lill-popolazzjonijiet żgħar jikbru b'rata splussiva.")</f>
        <v>Il-biċċa l-kbira tal-ispeċi huma ermafroditi - annimal wieħed jista 'jipproduċi kemm bajd kif ukoll sperma, li jfisser li jista' fertilize l-bajd tiegħu stess, u m'għandux bżonn sieħeb. Uħud huma ermafroditi simultanji, li jistgħu jipproduċu kemm bajd kif ukoll sperma fl-istess ħin. Oħrajn huma ermafroditi sekwenzjali, li fihom il-bajd u l-isperma jimmaturaw fi żminijiet differenti. Il-fertilizzazzjoni hija ġeneralment esterna, għalkemm il-bajd tal-platyctenids huma fertilizzati ġewwa ġisimhom u jinżammu hemm sakemm ifaqqsu. Iż-żgħażagħ ġeneralment huma planktoniċi u fil-biċċa l-kbira tal-ispeċi jidhru bħal ċidippidi żgħar, li jinbidlu gradwalment fil-forom adulti tagħhom hekk kif jikbru. L-eċċezzjonijiet huma l-Beroids, li ż-żgħażagħ tagħhom huma beroids minjatura b'ħalq kbir u mingħajr tentakli, u l-platyctenids, li ż-żgħażagħ tagħhom jgħixu bħala plankton bħal Cydippid sakemm jilħqu d-daqs kważi adult, iżda mbagħad jegħrqu sal-qiegħ u malajr metamorfose fl-adult forma. F’mill-inqas xi speċi, il-minorenni huma kapaċi jirriproduċu qabel ma jilħqu d-daqs u l-għamla tal-adulti. Il-kombinazzjoni ta 'ermafroditiżmu u riproduzzjoni bikrija tippermetti lill-popolazzjonijiet żgħar jikbru b'rata splussiva.</v>
      </c>
    </row>
    <row r="14151" ht="15.75" customHeight="1">
      <c r="A14151" s="2" t="s">
        <v>14151</v>
      </c>
      <c r="B14151" s="2" t="str">
        <f>IFERROR(__xludf.DUMMYFUNCTION("GOOGLETRANSLATE(A14151, ""en"", ""mt"")"),"kuntrattur ewlieni")</f>
        <v>kuntrattur ewlieni</v>
      </c>
    </row>
    <row r="14152" ht="15.75" customHeight="1">
      <c r="A14152" s="2" t="s">
        <v>14152</v>
      </c>
      <c r="B14152" s="2" t="str">
        <f>IFERROR(__xludf.DUMMYFUNCTION("GOOGLETRANSLATE(A14152, ""en"", ""mt"")"),"L-ewwel sett ta 'avvenimenti endosimbijotiċi")</f>
        <v>L-ewwel sett ta 'avvenimenti endosimbijotiċi</v>
      </c>
    </row>
    <row r="14153" ht="15.75" customHeight="1">
      <c r="A14153" s="2" t="s">
        <v>14153</v>
      </c>
      <c r="B14153" s="2" t="str">
        <f>IFERROR(__xludf.DUMMYFUNCTION("GOOGLETRANSLATE(A14153, ""en"", ""mt"")"),"Liema raġuni qed tingħata li għandek tipprotesta wkoll kumpaniji pubbliċi?")</f>
        <v>Liema raġuni qed tingħata li għandek tipprotesta wkoll kumpaniji pubbliċi?</v>
      </c>
    </row>
    <row r="14154" ht="15.75" customHeight="1">
      <c r="A14154" s="2" t="s">
        <v>14154</v>
      </c>
      <c r="B14154" s="2" t="str">
        <f>IFERROR(__xludf.DUMMYFUNCTION("GOOGLETRANSLATE(A14154, ""en"", ""mt"")"),"Fejn normalment jinstab il-kloroplast periferali tar-retikolu?")</f>
        <v>Fejn normalment jinstab il-kloroplast periferali tar-retikolu?</v>
      </c>
    </row>
    <row r="14155" ht="15.75" customHeight="1">
      <c r="A14155" s="2" t="s">
        <v>14155</v>
      </c>
      <c r="B14155" s="2" t="str">
        <f>IFERROR(__xludf.DUMMYFUNCTION("GOOGLETRANSLATE(A14155, ""en"", ""mt"")"),"Ottubru 1948")</f>
        <v>Ottubru 1948</v>
      </c>
    </row>
    <row r="14156" ht="15.75" customHeight="1">
      <c r="A14156" s="2" t="s">
        <v>14156</v>
      </c>
      <c r="B14156" s="2" t="str">
        <f>IFERROR(__xludf.DUMMYFUNCTION("GOOGLETRANSLATE(A14156, ""en"", ""mt"")"),"Biegħ mediċini bir-riċetta")</f>
        <v>Biegħ mediċini bir-riċetta</v>
      </c>
    </row>
    <row r="14157" ht="15.75" customHeight="1">
      <c r="A14157" s="2" t="s">
        <v>14157</v>
      </c>
      <c r="B14157" s="2" t="str">
        <f>IFERROR(__xludf.DUMMYFUNCTION("GOOGLETRANSLATE(A14157, ""en"", ""mt"")"),"Liema arċidjoċesi hija s-sede ta 'Varsavja?")</f>
        <v>Liema arċidjoċesi hija s-sede ta 'Varsavja?</v>
      </c>
    </row>
    <row r="14158" ht="15.75" customHeight="1">
      <c r="A14158" s="2" t="s">
        <v>14158</v>
      </c>
      <c r="B14158" s="2" t="str">
        <f>IFERROR(__xludf.DUMMYFUNCTION("GOOGLETRANSLATE(A14158, ""en"", ""mt"")"),"X'inhuma l-partiċelli skambjati mbassra mill-mudell standard?")</f>
        <v>X'inhuma l-partiċelli skambjati mbassra mill-mudell standard?</v>
      </c>
    </row>
    <row r="14159" ht="15.75" customHeight="1">
      <c r="A14159" s="2" t="s">
        <v>14159</v>
      </c>
      <c r="B14159" s="2" t="str">
        <f>IFERROR(__xludf.DUMMYFUNCTION("GOOGLETRANSLATE(A14159, ""en"", ""mt"")"),"inqas minn 10 impjegati")</f>
        <v>inqas minn 10 impjegati</v>
      </c>
    </row>
    <row r="14160" ht="15.75" customHeight="1">
      <c r="A14160" s="2" t="s">
        <v>14160</v>
      </c>
      <c r="B14160" s="2" t="str">
        <f>IFERROR(__xludf.DUMMYFUNCTION("GOOGLETRANSLATE(A14160, ""en"", ""mt"")"),"Kompressar u Tkessiħ")</f>
        <v>Kompressar u Tkessiħ</v>
      </c>
    </row>
    <row r="14161" ht="15.75" customHeight="1">
      <c r="A14161" s="2" t="s">
        <v>14161</v>
      </c>
      <c r="B14161" s="2" t="str">
        <f>IFERROR(__xludf.DUMMYFUNCTION("GOOGLETRANSLATE(A14161, ""en"", ""mt"")"),"Atletika fuq distanza tan-nofs u distanza twila")</f>
        <v>Atletika fuq distanza tan-nofs u distanza twila</v>
      </c>
    </row>
    <row r="14162" ht="15.75" customHeight="1">
      <c r="A14162" s="2" t="s">
        <v>14162</v>
      </c>
      <c r="B14162" s="2" t="str">
        <f>IFERROR(__xludf.DUMMYFUNCTION("GOOGLETRANSLATE(A14162, ""en"", ""mt"")"),"Longes Mother")</f>
        <v>Longes Mother</v>
      </c>
    </row>
    <row r="14163" ht="15.75" customHeight="1">
      <c r="A14163" s="2" t="s">
        <v>14163</v>
      </c>
      <c r="B14163" s="2" t="str">
        <f>IFERROR(__xludf.DUMMYFUNCTION("GOOGLETRANSLATE(A14163, ""en"", ""mt"")"),"ippubblikat l-ewwel")</f>
        <v>ippubblikat l-ewwel</v>
      </c>
    </row>
    <row r="14164" ht="15.75" customHeight="1">
      <c r="A14164" s="2" t="s">
        <v>14164</v>
      </c>
      <c r="B14164" s="2" t="str">
        <f>IFERROR(__xludf.DUMMYFUNCTION("GOOGLETRANSLATE(A14164, ""en"", ""mt"")"),"Biża 'ta' Ħajjithom")</f>
        <v>Biża 'ta' Ħajjithom</v>
      </c>
    </row>
    <row r="14165" ht="15.75" customHeight="1">
      <c r="A14165" s="2" t="s">
        <v>14165</v>
      </c>
      <c r="B14165" s="2" t="str">
        <f>IFERROR(__xludf.DUMMYFUNCTION("GOOGLETRANSLATE(A14165, ""en"", ""mt"")"),"Kibaki għalaq id-distakk u mbagħad għadda lill-avversarju tiegħu b'marġni sostanzjali wara li l-voti mill-fortizza tiegħu waslu aktar tard")</f>
        <v>Kibaki għalaq id-distakk u mbagħad għadda lill-avversarju tiegħu b'marġni sostanzjali wara li l-voti mill-fortizza tiegħu waslu aktar tard</v>
      </c>
    </row>
    <row r="14166" ht="15.75" customHeight="1">
      <c r="A14166" s="2" t="s">
        <v>14166</v>
      </c>
      <c r="B14166" s="2" t="str">
        <f>IFERROR(__xludf.DUMMYFUNCTION("GOOGLETRANSLATE(A14166, ""en"", ""mt"")"),"Moviment tat-Temperanza")</f>
        <v>Moviment tat-Temperanza</v>
      </c>
    </row>
    <row r="14167" ht="15.75" customHeight="1">
      <c r="A14167" s="2" t="s">
        <v>14167</v>
      </c>
      <c r="B14167" s="2" t="str">
        <f>IFERROR(__xludf.DUMMYFUNCTION("GOOGLETRANSLATE(A14167, ""en"", ""mt"")"),"Harris School of Public Policy Studies")</f>
        <v>Harris School of Public Policy Studies</v>
      </c>
    </row>
    <row r="14168" ht="15.75" customHeight="1">
      <c r="A14168" s="2" t="s">
        <v>14168</v>
      </c>
      <c r="B14168" s="2" t="str">
        <f>IFERROR(__xludf.DUMMYFUNCTION("GOOGLETRANSLATE(A14168, ""en"", ""mt"")"),"Konferenzi privati")</f>
        <v>Konferenzi privati</v>
      </c>
    </row>
    <row r="14169" ht="15.75" customHeight="1">
      <c r="A14169" s="2" t="s">
        <v>14169</v>
      </c>
      <c r="B14169" s="2" t="str">
        <f>IFERROR(__xludf.DUMMYFUNCTION("GOOGLETRANSLATE(A14169, ""en"", ""mt"")"),"Tnedija mill-ġdid l-ispettaklu")</f>
        <v>Tnedija mill-ġdid l-ispettaklu</v>
      </c>
    </row>
    <row r="14170" ht="15.75" customHeight="1">
      <c r="A14170" s="2" t="s">
        <v>14170</v>
      </c>
      <c r="B14170" s="2" t="str">
        <f>IFERROR(__xludf.DUMMYFUNCTION("GOOGLETRANSLATE(A14170, ""en"", ""mt"")"),"komponenti indipendenti")</f>
        <v>komponenti indipendenti</v>
      </c>
    </row>
    <row r="14171" ht="15.75" customHeight="1">
      <c r="A14171" s="2" t="s">
        <v>14171</v>
      </c>
      <c r="B14171" s="2" t="str">
        <f>IFERROR(__xludf.DUMMYFUNCTION("GOOGLETRANSLATE(A14171, ""en"", ""mt"")"),"X'inhu użat biex tikkalkula l-erja tas-sezzjoni trasversali fil-volum ta 'oġġett?")</f>
        <v>X'inhu użat biex tikkalkula l-erja tas-sezzjoni trasversali fil-volum ta 'oġġett?</v>
      </c>
    </row>
    <row r="14172" ht="15.75" customHeight="1">
      <c r="A14172" s="2" t="s">
        <v>14172</v>
      </c>
      <c r="B14172" s="2" t="str">
        <f>IFERROR(__xludf.DUMMYFUNCTION("GOOGLETRANSLATE(A14172, ""en"", ""mt"")"),"Teħid qawwi ta 'proprjetà")</f>
        <v>Teħid qawwi ta 'proprjetà</v>
      </c>
    </row>
    <row r="14173" ht="15.75" customHeight="1">
      <c r="A14173" s="2" t="s">
        <v>14173</v>
      </c>
      <c r="B14173" s="2" t="str">
        <f>IFERROR(__xludf.DUMMYFUNCTION("GOOGLETRANSLATE(A14173, ""en"", ""mt"")"),"ditti tas-servizz")</f>
        <v>ditti tas-servizz</v>
      </c>
    </row>
    <row r="14174" ht="15.75" customHeight="1">
      <c r="A14174" s="2" t="s">
        <v>14174</v>
      </c>
      <c r="B14174" s="2" t="str">
        <f>IFERROR(__xludf.DUMMYFUNCTION("GOOGLETRANSLATE(A14174, ""en"", ""mt"")"),"X'qed isir malajr ir-rugby ma 'skejjel għolja?")</f>
        <v>X'qed isir malajr ir-rugby ma 'skejjel għolja?</v>
      </c>
    </row>
    <row r="14175" ht="15.75" customHeight="1">
      <c r="A14175" s="2" t="s">
        <v>14175</v>
      </c>
      <c r="B14175" s="2" t="str">
        <f>IFERROR(__xludf.DUMMYFUNCTION("GOOGLETRANSLATE(A14175, ""en"", ""mt"")"),"Rikonċiljazzjoni tal-medikazzjoni u l-edukazzjoni tal-pazjent li tirriżulta f'żieda fir-riżultati tas-saħħa tal-pazjent u tnaqqis fl-ispejjeż għas-sistema tal-kura tas-saħħa")</f>
        <v>Rikonċiljazzjoni tal-medikazzjoni u l-edukazzjoni tal-pazjent li tirriżulta f'żieda fir-riżultati tas-saħħa tal-pazjent u tnaqqis fl-ispejjeż għas-sistema tal-kura tas-saħħa</v>
      </c>
    </row>
    <row r="14176" ht="15.75" customHeight="1">
      <c r="A14176" s="2" t="s">
        <v>14176</v>
      </c>
      <c r="B14176" s="2" t="str">
        <f>IFERROR(__xludf.DUMMYFUNCTION("GOOGLETRANSLATE(A14176, ""en"", ""mt"")"),"siġar oranġjo u lumi")</f>
        <v>siġar oranġjo u lumi</v>
      </c>
    </row>
    <row r="14177" ht="15.75" customHeight="1">
      <c r="A14177" s="2" t="s">
        <v>14177</v>
      </c>
      <c r="B14177" s="2" t="str">
        <f>IFERROR(__xludf.DUMMYFUNCTION("GOOGLETRANSLATE(A14177, ""en"", ""mt"")"),"Perossidi, nitrati u dikromati huma eżempji ta 'liema tip ta' komposti?")</f>
        <v>Perossidi, nitrati u dikromati huma eżempji ta 'liema tip ta' komposti?</v>
      </c>
    </row>
    <row r="14178" ht="15.75" customHeight="1">
      <c r="A14178" s="2" t="s">
        <v>14178</v>
      </c>
      <c r="B14178" s="2" t="str">
        <f>IFERROR(__xludf.DUMMYFUNCTION("GOOGLETRANSLATE(A14178, ""en"", ""mt"")"),"tagħmilha diffiċli ħafna għall-predaturi li jevolvu li jistgħu jispeċjalizzaw bħala predaturi")</f>
        <v>tagħmilha diffiċli ħafna għall-predaturi li jevolvu li jistgħu jispeċjalizzaw bħala predaturi</v>
      </c>
    </row>
    <row r="14179" ht="15.75" customHeight="1">
      <c r="A14179" s="2" t="s">
        <v>14179</v>
      </c>
      <c r="B14179" s="2" t="str">
        <f>IFERROR(__xludf.DUMMYFUNCTION("GOOGLETRANSLATE(A14179, ""en"", ""mt"")"),"aktar minn 19,000")</f>
        <v>aktar minn 19,000</v>
      </c>
    </row>
    <row r="14180" ht="15.75" customHeight="1">
      <c r="A14180" s="2" t="s">
        <v>14180</v>
      </c>
      <c r="B14180" s="2" t="str">
        <f>IFERROR(__xludf.DUMMYFUNCTION("GOOGLETRANSLATE(A14180, ""en"", ""mt"")"),"Dak li għen lill-Lama jiddetermina li jerġa 'jinbena?")</f>
        <v>Dak li għen lill-Lama jiddetermina li jerġa 'jinbena?</v>
      </c>
    </row>
    <row r="14181" ht="15.75" customHeight="1">
      <c r="A14181" s="2" t="s">
        <v>14181</v>
      </c>
      <c r="B14181" s="2" t="str">
        <f>IFERROR(__xludf.DUMMYFUNCTION("GOOGLETRANSLATE(A14181, ""en"", ""mt"")"),"Kif Luther Tfaħħlu 12-il sorijiet barra minn kunvent waqt ir-ribelljoni?")</f>
        <v>Kif Luther Tfaħħlu 12-il sorijiet barra minn kunvent waqt ir-ribelljoni?</v>
      </c>
    </row>
    <row r="14182" ht="15.75" customHeight="1">
      <c r="A14182" s="2" t="s">
        <v>14182</v>
      </c>
      <c r="B14182" s="2" t="str">
        <f>IFERROR(__xludf.DUMMYFUNCTION("GOOGLETRANSLATE(A14182, ""en"", ""mt"")"),"Tesla tista 'tkun ħarxa xi drabi u esprimiet b'mod miftuħ id-diżgust għal nies li għandhom piż żejjed, bħal meta spara segretarju minħabba l-piż tagħha. F’diversi okkażjonijiet, Tesla dderieġa subordinat biex tmur id-dar u tbiddel il-libsa tagħha.")</f>
        <v>Tesla tista 'tkun ħarxa xi drabi u esprimiet b'mod miftuħ id-diżgust għal nies li għandhom piż żejjed, bħal meta spara segretarju minħabba l-piż tagħha. F’diversi okkażjonijiet, Tesla dderieġa subordinat biex tmur id-dar u tbiddel il-libsa tagħha.</v>
      </c>
    </row>
    <row r="14183" ht="15.75" customHeight="1">
      <c r="A14183" s="2" t="s">
        <v>14183</v>
      </c>
      <c r="B14183" s="2" t="str">
        <f>IFERROR(__xludf.DUMMYFUNCTION("GOOGLETRANSLATE(A14183, ""en"", ""mt"")"),"Ċiniż tan-Nofsinhar")</f>
        <v>Ċiniż tan-Nofsinhar</v>
      </c>
    </row>
    <row r="14184" ht="15.75" customHeight="1">
      <c r="A14184" s="2" t="s">
        <v>14184</v>
      </c>
      <c r="B14184" s="2" t="str">
        <f>IFERROR(__xludf.DUMMYFUNCTION("GOOGLETRANSLATE(A14184, ""en"", ""mt"")"),"X'inhuma l-punti ta 'oġġetti alġebro-ġeometriċi?")</f>
        <v>X'inhuma l-punti ta 'oġġetti alġebro-ġeometriċi?</v>
      </c>
    </row>
    <row r="14185" ht="15.75" customHeight="1">
      <c r="A14185" s="2" t="s">
        <v>14185</v>
      </c>
      <c r="B14185" s="2" t="str">
        <f>IFERROR(__xludf.DUMMYFUNCTION("GOOGLETRANSLATE(A14185, ""en"", ""mt"")"),"Normalment huwa rikonoxxut li t-tfassil tal-liġi, jekk ma jsirx pubblikament, għall-inqas irid jitħabbar pubblikament sabiex jikkostitwixxi diżubbidjenza ċivili. Iżda Stephen Eilmann jargumenta li jekk huwa meħtieġ li ma jobdux ir-regoli ta 'dak il-morali"&amp;"tà, nistgħu nistaqsu għaliex id-diżubbidjenza għandha tieħu l-forma ta' diżubbidjenza ċivili pubblika aktar milli sempliċement tkompli l-liġi. Jekk avukat jixtieq jgħin lil klijent jegħleb l-ostakli legali biex jiżgura d-drittijiet naturali tiegħu jew tie"&amp;"għu, huwa jista ', pereżempju, isib li l-assistenza fil-fabbrikazzjoni ta' evidenza jew li tikkommetti sperġur ​​hija aktar effettiva minn diżubbidjenza miftuħa. Dan jassumi li l-moralità komuni m'għandhiex projbizzjoni fuq l-ingann f'sitwazzjonijiet bħal"&amp;" dawn. Il-pubblikazzjoni tal-assoċjazzjoni tal-ġurija infurmata bis-sħiħ ""A Primer For Prospettivi"" tinnota, ""aħseb dwar id-dilemma li tiffaċċja ċittadini Ġermaniżi meta l-pulizija sigrieta ta 'Hitler talbet biex tkun taf jekk kinux qed jaħbu Lhudi fid"&amp;"-dar tagħhom."" Permezz ta 'din id-definizzjoni, id-diżubbidjenza ċivili tista' tiġi rintraċċata għall-Ktieb ta 'l-Eżodu, fejn Shiphrah u Puah irrifjutaw ordni diretta tal-Fargħun iżda rrappreżentaw ħażin kif għamlu dan. (Eżodu 1: 15-19)")</f>
        <v>Normalment huwa rikonoxxut li t-tfassil tal-liġi, jekk ma jsirx pubblikament, għall-inqas irid jitħabbar pubblikament sabiex jikkostitwixxi diżubbidjenza ċivili. Iżda Stephen Eilmann jargumenta li jekk huwa meħtieġ li ma jobdux ir-regoli ta 'dak il-moralità, nistgħu nistaqsu għaliex id-diżubbidjenza għandha tieħu l-forma ta' diżubbidjenza ċivili pubblika aktar milli sempliċement tkompli l-liġi. Jekk avukat jixtieq jgħin lil klijent jegħleb l-ostakli legali biex jiżgura d-drittijiet naturali tiegħu jew tiegħu, huwa jista ', pereżempju, isib li l-assistenza fil-fabbrikazzjoni ta' evidenza jew li tikkommetti sperġur ​​hija aktar effettiva minn diżubbidjenza miftuħa. Dan jassumi li l-moralità komuni m'għandhiex projbizzjoni fuq l-ingann f'sitwazzjonijiet bħal dawn. Il-pubblikazzjoni tal-assoċjazzjoni tal-ġurija infurmata bis-sħiħ "A Primer For Prospettivi" tinnota, "aħseb dwar id-dilemma li tiffaċċja ċittadini Ġermaniżi meta l-pulizija sigrieta ta 'Hitler talbet biex tkun taf jekk kinux qed jaħbu Lhudi fid-dar tagħhom." Permezz ta 'din id-definizzjoni, id-diżubbidjenza ċivili tista' tiġi rintraċċata għall-Ktieb ta 'l-Eżodu, fejn Shiphrah u Puah irrifjutaw ordni diretta tal-Fargħun iżda rrappreżentaw ħażin kif għamlu dan. (Eżodu 1: 15-19)</v>
      </c>
    </row>
    <row r="14186" ht="15.75" customHeight="1">
      <c r="A14186" s="2" t="s">
        <v>14186</v>
      </c>
      <c r="B14186" s="2" t="str">
        <f>IFERROR(__xludf.DUMMYFUNCTION("GOOGLETRANSLATE(A14186, ""en"", ""mt"")"),"Fil-bidu tal-gwerra, l-ebda truppi tal-Armata Regolari Franċiżi ma kienu stazzjonati fl-Amerika ta ’Fuq, u ftit truppi Ingliżi. Ġdid Franza ġie difiż minn madwar 3,000 truppa de la Marine, kumpaniji ta 'regolari kolonjali (li wħud minnhom kellhom esperjen"&amp;"za ta' ġlieda kontra l-imsaġar sinifikanti). Il-gvern kolonjali rrekluta l-appoġġ tal-milizja meta jkun meħtieġ. Il-biċċa l-kbira tal-kolonji Ingliżi ġabru kumpaniji tal-milizja lokali, ġeneralment imħarrġa morda u disponibbli biss għal perjodi qosra, bie"&amp;"x jittrattaw theddid indiġenu, iżda ma kellhom l-ebda forzi permanenti.")</f>
        <v>Fil-bidu tal-gwerra, l-ebda truppi tal-Armata Regolari Franċiżi ma kienu stazzjonati fl-Amerika ta ’Fuq, u ftit truppi Ingliżi. Ġdid Franza ġie difiż minn madwar 3,000 truppa de la Marine, kumpaniji ta 'regolari kolonjali (li wħud minnhom kellhom esperjenza ta' ġlieda kontra l-imsaġar sinifikanti). Il-gvern kolonjali rrekluta l-appoġġ tal-milizja meta jkun meħtieġ. Il-biċċa l-kbira tal-kolonji Ingliżi ġabru kumpaniji tal-milizja lokali, ġeneralment imħarrġa morda u disponibbli biss għal perjodi qosra, biex jittrattaw theddid indiġenu, iżda ma kellhom l-ebda forzi permanenti.</v>
      </c>
    </row>
    <row r="14187" ht="15.75" customHeight="1">
      <c r="A14187" s="2" t="s">
        <v>14187</v>
      </c>
      <c r="B14187" s="2" t="str">
        <f>IFERROR(__xludf.DUMMYFUNCTION("GOOGLETRANSLATE(A14187, ""en"", ""mt"")"),"Liema kostruzzjoni soċjali refuġjati Huguenot fil-prattika ta 'Canterbury?")</f>
        <v>Liema kostruzzjoni soċjali refuġjati Huguenot fil-prattika ta 'Canterbury?</v>
      </c>
    </row>
    <row r="14188" ht="15.75" customHeight="1">
      <c r="A14188" s="2" t="s">
        <v>14188</v>
      </c>
      <c r="B14188" s="2" t="str">
        <f>IFERROR(__xludf.DUMMYFUNCTION("GOOGLETRANSLATE(A14188, ""en"", ""mt"")"),"Liema Speċjalitajiet tat-Televiżjoni ABC akkwistaw id-drittijiet fl-2000?")</f>
        <v>Liema Speċjalitajiet tat-Televiżjoni ABC akkwistaw id-drittijiet fl-2000?</v>
      </c>
    </row>
    <row r="14189" ht="15.75" customHeight="1">
      <c r="A14189" s="2" t="s">
        <v>14189</v>
      </c>
      <c r="B14189" s="2" t="str">
        <f>IFERROR(__xludf.DUMMYFUNCTION("GOOGLETRANSLATE(A14189, ""en"", ""mt"")"),"Il-bidu tat-televiżjoni diġitali ppermettew liema affiljat f'Wheing, Virginia tal-Punent jibda jixxandar il-programmi ABC b'mod diġitali?")</f>
        <v>Il-bidu tat-televiżjoni diġitali ppermettew liema affiljat f'Wheing, Virginia tal-Punent jibda jixxandar il-programmi ABC b'mod diġitali?</v>
      </c>
    </row>
    <row r="14190" ht="15.75" customHeight="1">
      <c r="A14190" s="2" t="s">
        <v>14190</v>
      </c>
      <c r="B14190" s="2" t="str">
        <f>IFERROR(__xludf.DUMMYFUNCTION("GOOGLETRANSLATE(A14190, ""en"", ""mt"")"),"Fil-Knisja tal-Ingilterra")</f>
        <v>Fil-Knisja tal-Ingilterra</v>
      </c>
    </row>
    <row r="14191" ht="15.75" customHeight="1">
      <c r="A14191" s="2" t="s">
        <v>14191</v>
      </c>
      <c r="B14191" s="2" t="str">
        <f>IFERROR(__xludf.DUMMYFUNCTION("GOOGLETRANSLATE(A14191, ""en"", ""mt"")"),"In-Netwerk tal-Fondazzjoni Nazzjonali tax-Xjenza")</f>
        <v>In-Netwerk tal-Fondazzjoni Nazzjonali tax-Xjenza</v>
      </c>
    </row>
    <row r="14192" ht="15.75" customHeight="1">
      <c r="A14192" s="2" t="s">
        <v>14192</v>
      </c>
      <c r="B14192" s="2" t="str">
        <f>IFERROR(__xludf.DUMMYFUNCTION("GOOGLETRANSLATE(A14192, ""en"", ""mt"")"),"Tingħaqad tribujiet tal-gwerra")</f>
        <v>Tingħaqad tribujiet tal-gwerra</v>
      </c>
    </row>
    <row r="14193" ht="15.75" customHeight="1">
      <c r="A14193" s="2" t="s">
        <v>14193</v>
      </c>
      <c r="B14193" s="2" t="str">
        <f>IFERROR(__xludf.DUMMYFUNCTION("GOOGLETRANSLATE(A14193, ""en"", ""mt"")"),"funzjoni ta 'appoġġ")</f>
        <v>funzjoni ta 'appoġġ</v>
      </c>
    </row>
    <row r="14194" ht="15.75" customHeight="1">
      <c r="A14194" s="2" t="s">
        <v>14194</v>
      </c>
      <c r="B14194" s="2" t="str">
        <f>IFERROR(__xludf.DUMMYFUNCTION("GOOGLETRANSLATE(A14194, ""en"", ""mt"")"),"Meta ġie sfurzat Time Warner Cable biex jirrestawra l-istazzjonijiet ABC għas-swieq affettwati?")</f>
        <v>Meta ġie sfurzat Time Warner Cable biex jirrestawra l-istazzjonijiet ABC għas-swieq affettwati?</v>
      </c>
    </row>
    <row r="14195" ht="15.75" customHeight="1">
      <c r="A14195" s="2" t="s">
        <v>14195</v>
      </c>
      <c r="B14195" s="2" t="str">
        <f>IFERROR(__xludf.DUMMYFUNCTION("GOOGLETRANSLATE(A14195, ""en"", ""mt"")"),"kompletament iddedikat għall-Lhud obdurate, li kienet kwistjoni ta 'urġenza kbira li tkeċċi mit-territorju Ġermaniż kollu,")</f>
        <v>kompletament iddedikat għall-Lhud obdurate, li kienet kwistjoni ta 'urġenza kbira li tkeċċi mit-territorju Ġermaniż kollu,</v>
      </c>
    </row>
    <row r="14196" ht="15.75" customHeight="1">
      <c r="A14196" s="2" t="s">
        <v>14196</v>
      </c>
      <c r="B14196" s="2" t="str">
        <f>IFERROR(__xludf.DUMMYFUNCTION("GOOGLETRANSLATE(A14196, ""en"", ""mt"")"),"F'liema għandha d-duttrina ta 'l-aspettattivi leġittimi?")</f>
        <v>F'liema għandha d-duttrina ta 'l-aspettattivi leġittimi?</v>
      </c>
    </row>
    <row r="14197" ht="15.75" customHeight="1">
      <c r="A14197" s="2" t="s">
        <v>14197</v>
      </c>
      <c r="B14197" s="2" t="str">
        <f>IFERROR(__xludf.DUMMYFUNCTION("GOOGLETRANSLATE(A14197, ""en"", ""mt"")"),"Fl-Ewropa, it-Teatru tal-Amerika ta ’Fuq tas-seba’ snin tal-gwerra ġeneralment ma jingħatax isem separat. Il-kunflitt internazzjonali kollu huwa magħruf bħala l-gwerra tas-seba 'snin. ""Seba 'Snin"" tirreferi għal avvenimenti fl-Ewropa, mid-dikjarazzjoni "&amp;"uffiċjali tal-gwerra fl-1756 għall-iffirmar tat-Trattat ta' Paċi fl-1763. Dawn id-dati ma jikkorrispondux mal-ġlied fuq l-Amerika ta 'Fuq, fejn il-ġlied bejn iż-żewġ poteri kolonjali kien Konkluż fil-biċċa l-kbira f’sitt snin, mill-battalja ta ’Jumonville"&amp;" Glen fl-1754 sal-qbid ta’ Montreal fl-1760.")</f>
        <v>Fl-Ewropa, it-Teatru tal-Amerika ta ’Fuq tas-seba’ snin tal-gwerra ġeneralment ma jingħatax isem separat. Il-kunflitt internazzjonali kollu huwa magħruf bħala l-gwerra tas-seba 'snin. "Seba 'Snin" tirreferi għal avvenimenti fl-Ewropa, mid-dikjarazzjoni uffiċjali tal-gwerra fl-1756 għall-iffirmar tat-Trattat ta' Paċi fl-1763. Dawn id-dati ma jikkorrispondux mal-ġlied fuq l-Amerika ta 'Fuq, fejn il-ġlied bejn iż-żewġ poteri kolonjali kien Konkluż fil-biċċa l-kbira f’sitt snin, mill-battalja ta ’Jumonville Glen fl-1754 sal-qbid ta’ Montreal fl-1760.</v>
      </c>
    </row>
    <row r="14198" ht="15.75" customHeight="1">
      <c r="A14198" s="2" t="s">
        <v>14198</v>
      </c>
      <c r="B14198" s="2" t="str">
        <f>IFERROR(__xludf.DUMMYFUNCTION("GOOGLETRANSLATE(A14198, ""en"", ""mt"")"),"Unità duttrinali")</f>
        <v>Unità duttrinali</v>
      </c>
    </row>
    <row r="14199" ht="15.75" customHeight="1">
      <c r="A14199" s="2" t="s">
        <v>14199</v>
      </c>
      <c r="B14199" s="2" t="str">
        <f>IFERROR(__xludf.DUMMYFUNCTION("GOOGLETRANSLATE(A14199, ""en"", ""mt"")"),"Apertura sintetika")</f>
        <v>Apertura sintetika</v>
      </c>
    </row>
    <row r="14200" ht="15.75" customHeight="1">
      <c r="A14200" s="2" t="s">
        <v>14200</v>
      </c>
      <c r="B14200" s="2" t="str">
        <f>IFERROR(__xludf.DUMMYFUNCTION("GOOGLETRANSLATE(A14200, ""en"", ""mt"")"),"Ewropej li kienu bbażati fil-Gran Brittanja")</f>
        <v>Ewropej li kienu bbażati fil-Gran Brittanja</v>
      </c>
    </row>
    <row r="14201" ht="15.75" customHeight="1">
      <c r="A14201" s="2" t="s">
        <v>14201</v>
      </c>
      <c r="B14201" s="2" t="str">
        <f>IFERROR(__xludf.DUMMYFUNCTION("GOOGLETRANSLATE(A14201, ""en"", ""mt"")"),"Solventi organiċi")</f>
        <v>Solventi organiċi</v>
      </c>
    </row>
    <row r="14202" ht="15.75" customHeight="1">
      <c r="A14202" s="2" t="s">
        <v>14202</v>
      </c>
      <c r="B14202" s="2" t="str">
        <f>IFERROR(__xludf.DUMMYFUNCTION("GOOGLETRANSLATE(A14202, ""en"", ""mt"")"),"X'inhu s-settur tal-forza tax-xogħol żgħir?")</f>
        <v>X'inhu s-settur tal-forza tax-xogħol żgħir?</v>
      </c>
    </row>
    <row r="14203" ht="15.75" customHeight="1">
      <c r="A14203" s="2" t="s">
        <v>14203</v>
      </c>
      <c r="B14203" s="2" t="str">
        <f>IFERROR(__xludf.DUMMYFUNCTION("GOOGLETRANSLATE(A14203, ""en"", ""mt"")"),"Netwerking avvanzat ta 'riċerka u edukazzjoni fl-Istati Uniti")</f>
        <v>Netwerking avvanzat ta 'riċerka u edukazzjoni fl-Istati Uniti</v>
      </c>
    </row>
    <row r="14204" ht="15.75" customHeight="1">
      <c r="A14204" s="2" t="s">
        <v>14204</v>
      </c>
      <c r="B14204" s="2" t="str">
        <f>IFERROR(__xludf.DUMMYFUNCTION("GOOGLETRANSLATE(A14204, ""en"", ""mt"")"),"Il-litosfera timxi fuq liema mantell n-teorija tat-tettonika tal-pjanċa?")</f>
        <v>Il-litosfera timxi fuq liema mantell n-teorija tat-tettonika tal-pjanċa?</v>
      </c>
    </row>
    <row r="14205" ht="15.75" customHeight="1">
      <c r="A14205" s="2" t="s">
        <v>14205</v>
      </c>
      <c r="B14205" s="2" t="str">
        <f>IFERROR(__xludf.DUMMYFUNCTION("GOOGLETRANSLATE(A14205, ""en"", ""mt"")"),"Fresno (/ ˈfrɛznoʊ / Frez-Noh), is-sede tal-kontea tal-Kontea ta 'Fresno, hija belt fl-Istat ta' l-Istati Uniti ta 'California. Mill-2015, il-popolazzjoni tal-belt kienet ta '520,159, u għamilha l-ħames l-akbar belt f'Kalifornja, l-akbar belt interna f'Ka"&amp;"lifornja u l-34 l-akbar livell fin-nazzjon. Fresno jinsab fiċ-ċentru tal-Wied ta 'San Joaquin u huwa l-akbar belt fil-Wied Ċentrali, li fiha l-Wied ta' San Joaquin. Huwa madwar 220 mil (350 km) fil-majjistral ta 'Los Angeles, 170 mil (270 km) fin-nofsinha"&amp;"r tal-kapitali tal-istat, Sacramento, jew 185 mil (300 km) fin-nofsinhar ta' San Francisco. L-isem Fresno jfisser ""siġra tal-irmied"" bl-Ispanjol, u weraq tal-irmied jidher fuq il-bandiera tal-belt.")</f>
        <v>Fresno (/ ˈfrɛznoʊ / Frez-Noh), is-sede tal-kontea tal-Kontea ta 'Fresno, hija belt fl-Istat ta' l-Istati Uniti ta 'California. Mill-2015, il-popolazzjoni tal-belt kienet ta '520,159, u għamilha l-ħames l-akbar belt f'Kalifornja, l-akbar belt interna f'Kalifornja u l-34 l-akbar livell fin-nazzjon. Fresno jinsab fiċ-ċentru tal-Wied ta 'San Joaquin u huwa l-akbar belt fil-Wied Ċentrali, li fiha l-Wied ta' San Joaquin. Huwa madwar 220 mil (350 km) fil-majjistral ta 'Los Angeles, 170 mil (270 km) fin-nofsinhar tal-kapitali tal-istat, Sacramento, jew 185 mil (300 km) fin-nofsinhar ta' San Francisco. L-isem Fresno jfisser "siġra tal-irmied" bl-Ispanjol, u weraq tal-irmied jidher fuq il-bandiera tal-belt.</v>
      </c>
    </row>
    <row r="14206" ht="15.75" customHeight="1">
      <c r="A14206" s="2" t="s">
        <v>14206</v>
      </c>
      <c r="B14206" s="2" t="str">
        <f>IFERROR(__xludf.DUMMYFUNCTION("GOOGLETRANSLATE(A14206, ""en"", ""mt"")"),"Ħakkiema Khitan")</f>
        <v>Ħakkiema Khitan</v>
      </c>
    </row>
    <row r="14207" ht="15.75" customHeight="1">
      <c r="A14207" s="2" t="s">
        <v>14207</v>
      </c>
      <c r="B14207" s="2" t="str">
        <f>IFERROR(__xludf.DUMMYFUNCTION("GOOGLETRANSLATE(A14207, ""en"", ""mt"")"),"kitba ta 'traduzzjoni bl-Ingliż")</f>
        <v>kitba ta 'traduzzjoni bl-Ingliż</v>
      </c>
    </row>
    <row r="14208" ht="15.75" customHeight="1">
      <c r="A14208" s="2" t="s">
        <v>14208</v>
      </c>
      <c r="B14208" s="2" t="str">
        <f>IFERROR(__xludf.DUMMYFUNCTION("GOOGLETRANSLATE(A14208, ""en"", ""mt"")"),"Ċentrali")</f>
        <v>Ċentrali</v>
      </c>
    </row>
    <row r="14209" ht="15.75" customHeight="1">
      <c r="A14209" s="2" t="s">
        <v>14209</v>
      </c>
      <c r="B14209" s="2" t="str">
        <f>IFERROR(__xludf.DUMMYFUNCTION("GOOGLETRANSLATE(A14209, ""en"", ""mt"")"),"Ngħinu lil Adolf Hitler L-Iż-Żieda għall-Qawwa")</f>
        <v>Ngħinu lil Adolf Hitler L-Iż-Żieda għall-Qawwa</v>
      </c>
    </row>
    <row r="14210" ht="15.75" customHeight="1">
      <c r="A14210" s="2" t="s">
        <v>14210</v>
      </c>
      <c r="B14210" s="2" t="str">
        <f>IFERROR(__xludf.DUMMYFUNCTION("GOOGLETRANSLATE(A14210, ""en"", ""mt"")"),"kuntratti ta 'relazzjoni")</f>
        <v>kuntratti ta 'relazzjoni</v>
      </c>
    </row>
    <row r="14211" ht="15.75" customHeight="1">
      <c r="A14211" s="2" t="s">
        <v>14211</v>
      </c>
      <c r="B14211" s="2" t="str">
        <f>IFERROR(__xludf.DUMMYFUNCTION("GOOGLETRANSLATE(A14211, ""en"", ""mt"")"),"Minn Diċembru 1539, Luther sar implikat fil-bigamy ta 'Filippu I, Landgrave ta' Hesse, li ried jiżżewweġ waħda mill-onorevoli ta 'martu fl-istennija. Philip talab l-approvazzjoni ta 'Luther, Melanchthon, u Bucer, billi kkwota bħala preċedent il-poligamija"&amp;" tal-Patrijarki. It-teologi ma kinux lesti li jagħmlu sentenza ġenerali, u qalbu ta parir lill-landgrave li jekk kien determinat, huwa għandu jiżżewweġ b'mod sigriet u jżomm kwiet dwar il-kwistjoni. Bħala riżultat, fl-4 ta 'Marzu 1540, Philip iżżewweġ it-"&amp;"tieni mara, Margarethe von der Saale, ma' Melanchthon u Bucer fost ix-xhieda. Madankollu, Filippu ma setax iżomm iż-żwieġ sigriet, u huwa hedded li jagħmel il-parir ta 'Luther pubbliku. Luther qallu biex ""tgħid gidba tajba u b'saħħitha"" u tiċħad iż-żwie"&amp;"ġ kompletament, li Filippu għamel waqt il-kontroversja pubblika sussegwenti. Fil-fehma tal-bijografu ta 'Luther Martin Brecht, ""l-għoti ta' pariri konfessjonali għal Philip ta 'Hesse kien wieħed mill-agħar żbalji li għamel Luther, u, ħdejn il-Landgrave i"&amp;"nnifsu, li kien direttament responsabbli għalih, l-istorja prinċipalment iżżomm lil Luther responsabbli"". Brecht jargumenta li l-iżball ta 'Luther ma kienx li ta parir pastorali privat, iżda li huwa kkalkula ħażin l-implikazzjonijiet politiċi. L-affari k"&amp;"kawżat ħsara dejjiema lir-reputazzjoni ta 'Luther.")</f>
        <v>Minn Diċembru 1539, Luther sar implikat fil-bigamy ta 'Filippu I, Landgrave ta' Hesse, li ried jiżżewweġ waħda mill-onorevoli ta 'martu fl-istennija. Philip talab l-approvazzjoni ta 'Luther, Melanchthon, u Bucer, billi kkwota bħala preċedent il-poligamija tal-Patrijarki. It-teologi ma kinux lesti li jagħmlu sentenza ġenerali, u qalbu ta parir lill-landgrave li jekk kien determinat, huwa għandu jiżżewweġ b'mod sigriet u jżomm kwiet dwar il-kwistjoni. Bħala riżultat, fl-4 ta 'Marzu 1540, Philip iżżewweġ it-tieni mara, Margarethe von der Saale, ma' Melanchthon u Bucer fost ix-xhieda. Madankollu, Filippu ma setax iżomm iż-żwieġ sigriet, u huwa hedded li jagħmel il-parir ta 'Luther pubbliku. Luther qallu biex "tgħid gidba tajba u b'saħħitha" u tiċħad iż-żwieġ kompletament, li Filippu għamel waqt il-kontroversja pubblika sussegwenti. Fil-fehma tal-bijografu ta 'Luther Martin Brecht, "l-għoti ta' pariri konfessjonali għal Philip ta 'Hesse kien wieħed mill-agħar żbalji li għamel Luther, u, ħdejn il-Landgrave innifsu, li kien direttament responsabbli għalih, l-istorja prinċipalment iżżomm lil Luther responsabbli". Brecht jargumenta li l-iżball ta 'Luther ma kienx li ta parir pastorali privat, iżda li huwa kkalkula ħażin l-implikazzjonijiet politiċi. L-affari kkawżat ħsara dejjiema lir-reputazzjoni ta 'Luther.</v>
      </c>
    </row>
    <row r="14212" ht="15.75" customHeight="1">
      <c r="A14212" s="2" t="s">
        <v>14212</v>
      </c>
      <c r="B14212" s="2" t="str">
        <f>IFERROR(__xludf.DUMMYFUNCTION("GOOGLETRANSLATE(A14212, ""en"", ""mt"")"),"Alga")</f>
        <v>Alga</v>
      </c>
    </row>
    <row r="14213" ht="15.75" customHeight="1">
      <c r="A14213" s="2" t="s">
        <v>14213</v>
      </c>
      <c r="B14213" s="2" t="str">
        <f>IFERROR(__xludf.DUMMYFUNCTION("GOOGLETRANSLATE(A14213, ""en"", ""mt"")"),"B'liema mezzi ġeneralment ikun amministrat l-imperjalizmu?")</f>
        <v>B'liema mezzi ġeneralment ikun amministrat l-imperjalizmu?</v>
      </c>
    </row>
    <row r="14214" ht="15.75" customHeight="1">
      <c r="A14214" s="2" t="s">
        <v>14214</v>
      </c>
      <c r="B14214" s="2" t="str">
        <f>IFERROR(__xludf.DUMMYFUNCTION("GOOGLETRANSLATE(A14214, ""en"", ""mt"")"),"X’sar għar-replika tal-kolonna ta ’Trajan biex toqgħod taħt il-limitu?")</f>
        <v>X’sar għar-replika tal-kolonna ta ’Trajan biex toqgħod taħt il-limitu?</v>
      </c>
    </row>
    <row r="14215" ht="15.75" customHeight="1">
      <c r="A14215" s="2" t="s">
        <v>14215</v>
      </c>
      <c r="B14215" s="2" t="str">
        <f>IFERROR(__xludf.DUMMYFUNCTION("GOOGLETRANSLATE(A14215, ""en"", ""mt"")"),"temporanju")</f>
        <v>temporanju</v>
      </c>
    </row>
    <row r="14216" ht="15.75" customHeight="1">
      <c r="A14216" s="2" t="s">
        <v>14216</v>
      </c>
      <c r="B14216" s="2" t="str">
        <f>IFERROR(__xludf.DUMMYFUNCTION("GOOGLETRANSLATE(A14216, ""en"", ""mt"")"),"tjieb sew")</f>
        <v>tjieb sew</v>
      </c>
    </row>
    <row r="14217" ht="15.75" customHeight="1">
      <c r="A14217" s="2" t="s">
        <v>14217</v>
      </c>
      <c r="B14217" s="2" t="str">
        <f>IFERROR(__xludf.DUMMYFUNCTION("GOOGLETRANSLATE(A14217, ""en"", ""mt"")"),"Il-foresta tropikali tnaqqset għal refugia żgħira u iżolata separata minn foresta miftuħa u ħaxix")</f>
        <v>Il-foresta tropikali tnaqqset għal refugia żgħira u iżolata separata minn foresta miftuħa u ħaxix</v>
      </c>
    </row>
    <row r="14218" ht="15.75" customHeight="1">
      <c r="A14218" s="2" t="s">
        <v>14218</v>
      </c>
      <c r="B14218" s="2" t="str">
        <f>IFERROR(__xludf.DUMMYFUNCTION("GOOGLETRANSLATE(A14218, ""en"", ""mt"")"),"Fil-Filippini, is-settur privat kien fornitur ewlieni ta ’servizzi edukattivi, li jammonta għal madwar 7.5% tal-iskrizzjoni primarja, 32% tal-iskrizzjoni sekondarja u madwar 80% tal-iskrizzjoni terzjarja. L-iskejjel privati ​​wrew li huma effiċjenti fl-uż"&amp;"u tar-riżorsi. Għal kull unità ta 'spejjeż fi skejjel privati ​​huma ġeneralment aktar baxxi meta mqabbla ma' skejjel pubbliċi. Din is-sitwazzjoni hija iktar evidenti fil-livell terzjarju. Ir-regolamenti tal-Gvern taw lill-edukazzjoni privata aktar flessi"&amp;"bilità u awtonomija f'dawn l-aħħar snin, l-aktar billi jneħħu l-moratorju fuq applikazzjonijiet għal korsijiet ġodda, skejjel ġodda u konverżjonijiet, billi liberalizzaw il-politika ta 'miżata ta' tagħlim għal skejjel privati, billi ħadu post l-edukazzjon"&amp;"i tal-valuri għat-tielet u r-raba 'snin bl-Ingliż , il-matematika u x-xjenza naturali fl-għażla tal-iskola, u billi joħorġu l-manwal rivedut tar-regolamenti għal skejjel privati ​​f'Awwissu 1992.")</f>
        <v>Fil-Filippini, is-settur privat kien fornitur ewlieni ta ’servizzi edukattivi, li jammonta għal madwar 7.5% tal-iskrizzjoni primarja, 32% tal-iskrizzjoni sekondarja u madwar 80% tal-iskrizzjoni terzjarja. L-iskejjel privati ​​wrew li huma effiċjenti fl-użu tar-riżorsi. Għal kull unità ta 'spejjeż fi skejjel privati ​​huma ġeneralment aktar baxxi meta mqabbla ma' skejjel pubbliċi. Din is-sitwazzjoni hija iktar evidenti fil-livell terzjarju. Ir-regolamenti tal-Gvern taw lill-edukazzjoni privata aktar flessibilità u awtonomija f'dawn l-aħħar snin, l-aktar billi jneħħu l-moratorju fuq applikazzjonijiet għal korsijiet ġodda, skejjel ġodda u konverżjonijiet, billi liberalizzaw il-politika ta 'miżata ta' tagħlim għal skejjel privati, billi ħadu post l-edukazzjoni tal-valuri għat-tielet u r-raba 'snin bl-Ingliż , il-matematika u x-xjenza naturali fl-għażla tal-iskola, u billi joħorġu l-manwal rivedut tar-regolamenti għal skejjel privati ​​f'Awwissu 1992.</v>
      </c>
    </row>
    <row r="14219" ht="15.75" customHeight="1">
      <c r="A14219" s="2" t="s">
        <v>14219</v>
      </c>
      <c r="B14219" s="2" t="str">
        <f>IFERROR(__xludf.DUMMYFUNCTION("GOOGLETRANSLATE(A14219, ""en"", ""mt"")"),"forza netta")</f>
        <v>forza netta</v>
      </c>
    </row>
    <row r="14220" ht="15.75" customHeight="1">
      <c r="A14220" s="2" t="s">
        <v>14220</v>
      </c>
      <c r="B14220" s="2" t="str">
        <f>IFERROR(__xludf.DUMMYFUNCTION("GOOGLETRANSLATE(A14220, ""en"", ""mt"")"),"$ 170 biljun")</f>
        <v>$ 170 biljun</v>
      </c>
    </row>
    <row r="14221" ht="15.75" customHeight="1">
      <c r="A14221" s="2" t="s">
        <v>14221</v>
      </c>
      <c r="B14221" s="2" t="str">
        <f>IFERROR(__xludf.DUMMYFUNCTION("GOOGLETRANSLATE(A14221, ""en"", ""mt"")"),"is-settur privat, in-negozji u l-isponsors")</f>
        <v>is-settur privat, in-negozji u l-isponsors</v>
      </c>
    </row>
    <row r="14222" ht="15.75" customHeight="1">
      <c r="A14222" s="2" t="s">
        <v>14222</v>
      </c>
      <c r="B14222" s="2" t="str">
        <f>IFERROR(__xludf.DUMMYFUNCTION("GOOGLETRANSLATE(A14222, ""en"", ""mt"")"),"Fi żminijiet moderni, id-ditti jistgħu joffru lilhom infushom bħala dak għal proġett ta 'kostruzzjoni?")</f>
        <v>Fi żminijiet moderni, id-ditti jistgħu joffru lilhom infushom bħala dak għal proġett ta 'kostruzzjoni?</v>
      </c>
    </row>
    <row r="14223" ht="15.75" customHeight="1">
      <c r="A14223" s="2" t="s">
        <v>14223</v>
      </c>
      <c r="B14223" s="2" t="str">
        <f>IFERROR(__xludf.DUMMYFUNCTION("GOOGLETRANSLATE(A14223, ""en"", ""mt"")"),"Konferenza tal-Futbol Amerikan")</f>
        <v>Konferenza tal-Futbol Amerikan</v>
      </c>
    </row>
    <row r="14224" ht="15.75" customHeight="1">
      <c r="A14224" s="2" t="s">
        <v>14224</v>
      </c>
      <c r="B14224" s="2" t="str">
        <f>IFERROR(__xludf.DUMMYFUNCTION("GOOGLETRANSLATE(A14224, ""en"", ""mt"")"),"Avvenimenti partikolari f'ħajtu")</f>
        <v>Avvenimenti partikolari f'ħajtu</v>
      </c>
    </row>
    <row r="14225" ht="15.75" customHeight="1">
      <c r="A14225" s="2" t="s">
        <v>14225</v>
      </c>
      <c r="B14225" s="2" t="str">
        <f>IFERROR(__xludf.DUMMYFUNCTION("GOOGLETRANSLATE(A14225, ""en"", ""mt"")"),"Xi tfisser it-terrazzin mgħarrqa bħalissa?")</f>
        <v>Xi tfisser it-terrazzin mgħarrqa bħalissa?</v>
      </c>
    </row>
    <row r="14226" ht="15.75" customHeight="1">
      <c r="A14226" s="2" t="s">
        <v>14226</v>
      </c>
      <c r="B14226" s="2" t="str">
        <f>IFERROR(__xludf.DUMMYFUNCTION("GOOGLETRANSLATE(A14226, ""en"", ""mt"")"),"konnessi permezz ta 'konnessjonijiet dial-up jew konnessjonijiet async iddedikati")</f>
        <v>konnessi permezz ta 'konnessjonijiet dial-up jew konnessjonijiet async iddedikati</v>
      </c>
    </row>
    <row r="14227" ht="15.75" customHeight="1">
      <c r="A14227" s="2" t="s">
        <v>14227</v>
      </c>
      <c r="B14227" s="2" t="str">
        <f>IFERROR(__xludf.DUMMYFUNCTION("GOOGLETRANSLATE(A14227, ""en"", ""mt"")"),"Teatru ħaj")</f>
        <v>Teatru ħaj</v>
      </c>
    </row>
    <row r="14228" ht="15.75" customHeight="1">
      <c r="A14228" s="2" t="s">
        <v>14228</v>
      </c>
      <c r="B14228" s="2" t="str">
        <f>IFERROR(__xludf.DUMMYFUNCTION("GOOGLETRANSLATE(A14228, ""en"", ""mt"")"),"L-Iskola tal-Għarfien")</f>
        <v>L-Iskola tal-Għarfien</v>
      </c>
    </row>
    <row r="14229" ht="15.75" customHeight="1">
      <c r="A14229" s="2" t="s">
        <v>14229</v>
      </c>
      <c r="B14229" s="2" t="str">
        <f>IFERROR(__xludf.DUMMYFUNCTION("GOOGLETRANSLATE(A14229, ""en"", ""mt"")"),"Fis-snin bikrin il-kulleġġ ħarreġ bosta ministri Puritani. [Ċitazzjoni meħtieġa] (pubblikazzjoni tal-1643 qalet li l-iskop tal-iskola kien ""li javvanza t-tagħlim u jipperpetwah għall-posterità, jibża 'li jħalli ministeru illitterat lill-knejjes meta l-mi"&amp;"nistri preżenti tagħna għandhom ikunu It-trab "".) Huwa offra kurrikulu klassiku fuq il-mudell tal-università Ingliża - ħafna mexxejja fil-kolonja attendew l-Università ta 'Cambridge - iżda konformi Puritaniżmu. Qatt ma kien affiljat ma 'xi denominazzjoni"&amp;" partikolari, iżda ħafna mill-ewwel gradwati tagħha komplew isiru kleru fil-knejjes kongregazzjonali u unitarji.")</f>
        <v>Fis-snin bikrin il-kulleġġ ħarreġ bosta ministri Puritani. [Ċitazzjoni meħtieġa] (pubblikazzjoni tal-1643 qalet li l-iskop tal-iskola kien "li javvanza t-tagħlim u jipperpetwah għall-posterità, jibża 'li jħalli ministeru illitterat lill-knejjes meta l-ministri preżenti tagħna għandhom ikunu It-trab ".) Huwa offra kurrikulu klassiku fuq il-mudell tal-università Ingliża - ħafna mexxejja fil-kolonja attendew l-Università ta 'Cambridge - iżda konformi Puritaniżmu. Qatt ma kien affiljat ma 'xi denominazzjoni partikolari, iżda ħafna mill-ewwel gradwati tagħha komplew isiru kleru fil-knejjes kongregazzjonali u unitarji.</v>
      </c>
    </row>
    <row r="14230" ht="15.75" customHeight="1">
      <c r="A14230" s="2" t="s">
        <v>14230</v>
      </c>
      <c r="B14230" s="2" t="str">
        <f>IFERROR(__xludf.DUMMYFUNCTION("GOOGLETRANSLATE(A14230, ""en"", ""mt"")"),"William ta 'Montreuil")</f>
        <v>William ta 'Montreuil</v>
      </c>
    </row>
    <row r="14231" ht="15.75" customHeight="1">
      <c r="A14231" s="2" t="s">
        <v>14231</v>
      </c>
      <c r="B14231" s="2" t="str">
        <f>IFERROR(__xludf.DUMMYFUNCTION("GOOGLETRANSLATE(A14231, ""en"", ""mt"")"),"klima")</f>
        <v>klima</v>
      </c>
    </row>
    <row r="14232" ht="15.75" customHeight="1">
      <c r="A14232" s="2" t="s">
        <v>14232</v>
      </c>
      <c r="B14232" s="2" t="str">
        <f>IFERROR(__xludf.DUMMYFUNCTION("GOOGLETRANSLATE(A14232, ""en"", ""mt"")"),"il-moviment tal-Pakistan")</f>
        <v>il-moviment tal-Pakistan</v>
      </c>
    </row>
    <row r="14233" ht="15.75" customHeight="1">
      <c r="A14233" s="2" t="s">
        <v>14233</v>
      </c>
      <c r="B14233" s="2" t="str">
        <f>IFERROR(__xludf.DUMMYFUNCTION("GOOGLETRANSLATE(A14233, ""en"", ""mt"")"),"aktar b'saħħithom")</f>
        <v>aktar b'saħħithom</v>
      </c>
    </row>
    <row r="14234" ht="15.75" customHeight="1">
      <c r="A14234" s="2" t="s">
        <v>14234</v>
      </c>
      <c r="B14234" s="2" t="str">
        <f>IFERROR(__xludf.DUMMYFUNCTION("GOOGLETRANSLATE(A14234, ""en"", ""mt"")"),"Kmieni fis-seklu 11")</f>
        <v>Kmieni fis-seklu 11</v>
      </c>
    </row>
    <row r="14235" ht="15.75" customHeight="1">
      <c r="A14235" s="2" t="s">
        <v>14235</v>
      </c>
      <c r="B14235" s="2" t="str">
        <f>IFERROR(__xludf.DUMMYFUNCTION("GOOGLETRANSLATE(A14235, ""en"", ""mt"")"),"Fuq liema kantuniera jinsab iċ-ċentru tax-xiri?")</f>
        <v>Fuq liema kantuniera jinsab iċ-ċentru tax-xiri?</v>
      </c>
    </row>
    <row r="14236" ht="15.75" customHeight="1">
      <c r="A14236" s="2" t="s">
        <v>14236</v>
      </c>
      <c r="B14236" s="2" t="str">
        <f>IFERROR(__xludf.DUMMYFUNCTION("GOOGLETRANSLATE(A14236, ""en"", ""mt"")"),"Minn liema parti hija parti l-President Kibaki?")</f>
        <v>Minn liema parti hija parti l-President Kibaki?</v>
      </c>
    </row>
    <row r="14237" ht="15.75" customHeight="1">
      <c r="A14237" s="2" t="s">
        <v>14237</v>
      </c>
      <c r="B14237" s="2" t="str">
        <f>IFERROR(__xludf.DUMMYFUNCTION("GOOGLETRANSLATE(A14237, ""en"", ""mt"")"),"kanalizzata moderna")</f>
        <v>kanalizzata moderna</v>
      </c>
    </row>
    <row r="14238" ht="15.75" customHeight="1">
      <c r="A14238" s="2" t="s">
        <v>14238</v>
      </c>
      <c r="B14238" s="2" t="str">
        <f>IFERROR(__xludf.DUMMYFUNCTION("GOOGLETRANSLATE(A14238, ""en"", ""mt"")"),"Chinghiz, Chinghis, u Chingiz")</f>
        <v>Chinghiz, Chinghis, u Chingiz</v>
      </c>
    </row>
    <row r="14239" ht="15.75" customHeight="1">
      <c r="A14239" s="2" t="s">
        <v>14239</v>
      </c>
      <c r="B14239" s="2" t="str">
        <f>IFERROR(__xludf.DUMMYFUNCTION("GOOGLETRANSLATE(A14239, ""en"", ""mt"")"),"sodisfazzjon u hena madwar il-popolazzjoni")</f>
        <v>sodisfazzjon u hena madwar il-popolazzjoni</v>
      </c>
    </row>
    <row r="14240" ht="15.75" customHeight="1">
      <c r="A14240" s="2" t="s">
        <v>14240</v>
      </c>
      <c r="B14240" s="2" t="str">
        <f>IFERROR(__xludf.DUMMYFUNCTION("GOOGLETRANSLATE(A14240, ""en"", ""mt"")"),"Il-mezzi tiegħu biex jaħtfu l-poter")</f>
        <v>Il-mezzi tiegħu biex jaħtfu l-poter</v>
      </c>
    </row>
    <row r="14241" ht="15.75" customHeight="1">
      <c r="A14241" s="2" t="s">
        <v>14241</v>
      </c>
      <c r="B14241" s="2" t="str">
        <f>IFERROR(__xludf.DUMMYFUNCTION("GOOGLETRANSLATE(A14241, ""en"", ""mt"")"),"l-inqas preġudikat lejn il-Lhud")</f>
        <v>l-inqas preġudikat lejn il-Lhud</v>
      </c>
    </row>
    <row r="14242" ht="15.75" customHeight="1">
      <c r="A14242" s="2" t="s">
        <v>14242</v>
      </c>
      <c r="B14242" s="2" t="str">
        <f>IFERROR(__xludf.DUMMYFUNCTION("GOOGLETRANSLATE(A14242, ""en"", ""mt"")"),"Fl-1881, Tesla marret tgħix f'Budapest biex taħdem taħt Ferenc Puskás f'kumpanija tat-telegrafija, l-iskambju tat-telefon Budapest. Mal-wasla, Tesla rrealizzat li l-kumpanija, imbagħad taħt kostruzzjoni, ma kinitx funzjonali, u għalhekk ħadem bħala rappor"&amp;"teur fl-Uffiċċju tat-Telegrafu Ċentrali minflok. Fi ftit xhur, l-iskambju tat-telefon Budapest sar funzjonali u Tesla ġiet allokata l-pożizzjoni ewlenija tal-elettriċista. Matul l-impjieg tiegħu, Tesla għamlet ħafna titjib fit-tagħmir tal-istazzjon ċentra"&amp;"li u ddikjarat li pperfezzjonat ripetitur jew amplifikatur tat-telefon, li qatt ma kien brevettat u lanqas deskritt pubblikament.")</f>
        <v>Fl-1881, Tesla marret tgħix f'Budapest biex taħdem taħt Ferenc Puskás f'kumpanija tat-telegrafija, l-iskambju tat-telefon Budapest. Mal-wasla, Tesla rrealizzat li l-kumpanija, imbagħad taħt kostruzzjoni, ma kinitx funzjonali, u għalhekk ħadem bħala rapporteur fl-Uffiċċju tat-Telegrafu Ċentrali minflok. Fi ftit xhur, l-iskambju tat-telefon Budapest sar funzjonali u Tesla ġiet allokata l-pożizzjoni ewlenija tal-elettriċista. Matul l-impjieg tiegħu, Tesla għamlet ħafna titjib fit-tagħmir tal-istazzjon ċentrali u ddikjarat li pperfezzjonat ripetitur jew amplifikatur tat-telefon, li qatt ma kien brevettat u lanqas deskritt pubblikament.</v>
      </c>
    </row>
    <row r="14243" ht="15.75" customHeight="1">
      <c r="A14243" s="2" t="s">
        <v>14243</v>
      </c>
      <c r="B14243" s="2" t="str">
        <f>IFERROR(__xludf.DUMMYFUNCTION("GOOGLETRANSLATE(A14243, ""en"", ""mt"")"),"Mill-Italja, il-marda nfirxet lejn il-majjistral madwar l-Ewropa, li tolqot Franza, Spanja, il-Portugall u l-Ingilterra sa Ġunju 1348, imbagħad inbidlet u nfirxet lejn il-Lvant mill-Ġermanja u l-Iskandinavja mill-1348 sal-1350. Ġie introdott fin-Norveġja "&amp;"fl-1349 meta vapur żbarka f'Askøy, Imbagħad infirex għal Bjørgvin (modern Bergen) u l-Islanda. Fl-aħħarnett infirex lejn il-majjistral tar-Russja fl-1351. Il-pesta kienet kemmxejn inqas komuni f'partijiet tal-Ewropa li kellhom relazzjonijiet kummerċjali i"&amp;"żgħar mal-ġirien tagħhom, inkluż ir-Renju tal-Polonja, il-maġġoranza tal-pajjiż Bask, partijiet iżolati tal-Belġju u l-Olanda, u Irħula alpini iżolati madwar il-kontinent.")</f>
        <v>Mill-Italja, il-marda nfirxet lejn il-majjistral madwar l-Ewropa, li tolqot Franza, Spanja, il-Portugall u l-Ingilterra sa Ġunju 1348, imbagħad inbidlet u nfirxet lejn il-Lvant mill-Ġermanja u l-Iskandinavja mill-1348 sal-1350. Ġie introdott fin-Norveġja fl-1349 meta vapur żbarka f'Askøy, Imbagħad infirex għal Bjørgvin (modern Bergen) u l-Islanda. Fl-aħħarnett infirex lejn il-majjistral tar-Russja fl-1351. Il-pesta kienet kemmxejn inqas komuni f'partijiet tal-Ewropa li kellhom relazzjonijiet kummerċjali iżgħar mal-ġirien tagħhom, inkluż ir-Renju tal-Polonja, il-maġġoranza tal-pajjiż Bask, partijiet iżolati tal-Belġju u l-Olanda, u Irħula alpini iżolati madwar il-kontinent.</v>
      </c>
    </row>
    <row r="14244" ht="15.75" customHeight="1">
      <c r="A14244" s="2" t="s">
        <v>14244</v>
      </c>
      <c r="B14244" s="2" t="str">
        <f>IFERROR(__xludf.DUMMYFUNCTION("GOOGLETRANSLATE(A14244, ""en"", ""mt"")"),"Din espandiet")</f>
        <v>Din espandiet</v>
      </c>
    </row>
    <row r="14245" ht="15.75" customHeight="1">
      <c r="A14245" s="2" t="s">
        <v>14245</v>
      </c>
      <c r="B14245" s="2" t="str">
        <f>IFERROR(__xludf.DUMMYFUNCTION("GOOGLETRANSLATE(A14245, ""en"", ""mt"")"),"Fis-7 ta 'Jannar 1900, Tesla telqet minn Colorado Springs. [Ċitazzjoni meħtieġa] Il-laboratorju tiegħu ġie mqatta' fl-1904, u l-kontenut tiegħu nbiegħ sentejn wara biex jissodisfa d-dejn.")</f>
        <v>Fis-7 ta 'Jannar 1900, Tesla telqet minn Colorado Springs. [Ċitazzjoni meħtieġa] Il-laboratorju tiegħu ġie mqatta' fl-1904, u l-kontenut tiegħu nbiegħ sentejn wara biex jissodisfa d-dejn.</v>
      </c>
    </row>
    <row r="14246" ht="15.75" customHeight="1">
      <c r="A14246" s="2" t="s">
        <v>14246</v>
      </c>
      <c r="B14246" s="2" t="str">
        <f>IFERROR(__xludf.DUMMYFUNCTION("GOOGLETRANSLATE(A14246, ""en"", ""mt"")"),"maġġoranza tas-siġġijiet")</f>
        <v>maġġoranza tas-siġġijiet</v>
      </c>
    </row>
    <row r="14247" ht="15.75" customHeight="1">
      <c r="A14247" s="2" t="s">
        <v>14247</v>
      </c>
      <c r="B14247" s="2" t="str">
        <f>IFERROR(__xludf.DUMMYFUNCTION("GOOGLETRANSLATE(A14247, ""en"", ""mt"")"),"Meta l-attakki fuq l-għalliema kienu l-ogħla?")</f>
        <v>Meta l-attakki fuq l-għalliema kienu l-ogħla?</v>
      </c>
    </row>
    <row r="14248" ht="15.75" customHeight="1">
      <c r="A14248" s="2" t="s">
        <v>14248</v>
      </c>
      <c r="B14248" s="2" t="str">
        <f>IFERROR(__xludf.DUMMYFUNCTION("GOOGLETRANSLATE(A14248, ""en"", ""mt"")"),"Trofew Vince Lombardi")</f>
        <v>Trofew Vince Lombardi</v>
      </c>
    </row>
    <row r="14249" ht="15.75" customHeight="1">
      <c r="A14249" s="2" t="s">
        <v>14249</v>
      </c>
      <c r="B14249" s="2" t="str">
        <f>IFERROR(__xludf.DUMMYFUNCTION("GOOGLETRANSLATE(A14249, ""en"", ""mt"")"),"il-Qorti Ewropea tal-Ġustizzja u l-ogħla qrati nazzjonali")</f>
        <v>il-Qorti Ewropea tal-Ġustizzja u l-ogħla qrati nazzjonali</v>
      </c>
    </row>
    <row r="14250" ht="15.75" customHeight="1">
      <c r="A14250" s="2" t="s">
        <v>14250</v>
      </c>
      <c r="B14250" s="2" t="str">
        <f>IFERROR(__xludf.DUMMYFUNCTION("GOOGLETRANSLATE(A14250, ""en"", ""mt"")"),"Flimkien mas-sorsi tal-fjuwil, liema tħassib ikkontribwixxa għall-iżvilupp tal-moviment tal-fwar avvanzat?")</f>
        <v>Flimkien mas-sorsi tal-fjuwil, liema tħassib ikkontribwixxa għall-iżvilupp tal-moviment tal-fwar avvanzat?</v>
      </c>
    </row>
    <row r="14251" ht="15.75" customHeight="1">
      <c r="A14251" s="2" t="s">
        <v>14251</v>
      </c>
      <c r="B14251" s="2" t="str">
        <f>IFERROR(__xludf.DUMMYFUNCTION("GOOGLETRANSLATE(A14251, ""en"", ""mt"")"),"Raġunijiet Bibliċi")</f>
        <v>Raġunijiet Bibliċi</v>
      </c>
    </row>
    <row r="14252" ht="15.75" customHeight="1">
      <c r="A14252" s="2" t="s">
        <v>14252</v>
      </c>
      <c r="B14252" s="2" t="str">
        <f>IFERROR(__xludf.DUMMYFUNCTION("GOOGLETRANSLATE(A14252, ""en"", ""mt"")"),"Meta huma stabbiliti kumitati tas-suġġetti?")</f>
        <v>Meta huma stabbiliti kumitati tas-suġġetti?</v>
      </c>
    </row>
    <row r="14253" ht="15.75" customHeight="1">
      <c r="A14253" s="2" t="s">
        <v>14253</v>
      </c>
      <c r="B14253" s="2" t="str">
        <f>IFERROR(__xludf.DUMMYFUNCTION("GOOGLETRANSLATE(A14253, ""en"", ""mt"")"),"Fejn xi kultant jinstabu l-kloroplasti?")</f>
        <v>Fejn xi kultant jinstabu l-kloroplasti?</v>
      </c>
    </row>
    <row r="14254" ht="15.75" customHeight="1">
      <c r="A14254" s="2" t="s">
        <v>14254</v>
      </c>
      <c r="B14254" s="2" t="str">
        <f>IFERROR(__xludf.DUMMYFUNCTION("GOOGLETRANSLATE(A14254, ""en"", ""mt"")"),"Aħbi l-fatt li waqa 'mill-iskola")</f>
        <v>Aħbi l-fatt li waqa 'mill-iskola</v>
      </c>
    </row>
    <row r="14255" ht="15.75" customHeight="1">
      <c r="A14255" s="2" t="s">
        <v>14255</v>
      </c>
      <c r="B14255" s="2" t="str">
        <f>IFERROR(__xludf.DUMMYFUNCTION("GOOGLETRANSLATE(A14255, ""en"", ""mt"")"),"Għal xiex huma akkużati l-poteri kolonjali?")</f>
        <v>Għal xiex huma akkużati l-poteri kolonjali?</v>
      </c>
    </row>
    <row r="14256" ht="15.75" customHeight="1">
      <c r="A14256" s="2" t="s">
        <v>14256</v>
      </c>
      <c r="B14256" s="2" t="str">
        <f>IFERROR(__xludf.DUMMYFUNCTION("GOOGLETRANSLATE(A14256, ""en"", ""mt"")"),"Magazin SFX")</f>
        <v>Magazin SFX</v>
      </c>
    </row>
    <row r="14257" ht="15.75" customHeight="1">
      <c r="A14257" s="2" t="s">
        <v>14257</v>
      </c>
      <c r="B14257" s="2" t="str">
        <f>IFERROR(__xludf.DUMMYFUNCTION("GOOGLETRANSLATE(A14257, ""en"", ""mt"")"),"X’sar magħrufa bħala Herr Gott, Dich Loben Wir?")</f>
        <v>X’sar magħrufa bħala Herr Gott, Dich Loben Wir?</v>
      </c>
    </row>
    <row r="14258" ht="15.75" customHeight="1">
      <c r="A14258" s="2" t="s">
        <v>14258</v>
      </c>
      <c r="B14258" s="2" t="str">
        <f>IFERROR(__xludf.DUMMYFUNCTION("GOOGLETRANSLATE(A14258, ""en"", ""mt"")"),"Kemm-il darba iktar in-nazzjonijiet l-oħra kellhom iħallsu għaż-żejt wara l-attakk ta 'sorpriża?")</f>
        <v>Kemm-il darba iktar in-nazzjonijiet l-oħra kellhom iħallsu għaż-żejt wara l-attakk ta 'sorpriża?</v>
      </c>
    </row>
    <row r="14259" ht="15.75" customHeight="1">
      <c r="A14259" s="2" t="s">
        <v>14259</v>
      </c>
      <c r="B14259" s="2" t="str">
        <f>IFERROR(__xludf.DUMMYFUNCTION("GOOGLETRANSLATE(A14259, ""en"", ""mt"")"),"fihom muskolu strijat")</f>
        <v>fihom muskolu strijat</v>
      </c>
    </row>
    <row r="14260" ht="15.75" customHeight="1">
      <c r="A14260" s="2" t="s">
        <v>14260</v>
      </c>
      <c r="B14260" s="2" t="str">
        <f>IFERROR(__xludf.DUMMYFUNCTION("GOOGLETRANSLATE(A14260, ""en"", ""mt"")"),"Minn ~ 3000 yr bp (= snin qabel il-preżent), l-impatt tal-bniedem jidher fid-delta. Bħala riżultat taż-żieda fit-tneħħija tal-art (l-agrikoltura tal-Età tal-Bronż), fiż-żoni tal-art (il-Ġermanja Ċentrali), it-tagħbija tas-sediment tar-Renu żdiedet bil-qaw"&amp;"wa u t-tkabbir tad-delta ħaffef. Dan ikkawża żieda fl-għargħar u s-sedimentazzjoni, li tispiċċa l-formazzjoni tal-pit fid-delta. Iċ-ċaqliq tal-kanali tax-xmajjar għal postijiet ġodda, fuq il-pjan ta 'l-għargħar (imsejjaħ avulżjoni), kien il-proċess ewlien"&amp;"i li jqassam is-sediment madwar id-delta subrekenti. Matul l-aħħar 6000 sena, seħħew madwar 80 avulsjoni. L-impatt dirett tal-bniedem fid-delta beda bil-minjieri tal-pit, għall-melħ u l-fjuwil, minn żminijiet Rumani 'l quddiem. Dan kien segwit minn moll, "&amp;"tad-distributuri ewlenin u d-damming ta 'distributarji minuri, li seħħew fis-seklu 11-13 WK. Wara dan, il-kanali ġew imħaffra, il-liwjiet kienu maqtugħin qosra u nbnew groynes, biex ma jħallux il-kanali tax-xmara milli jemigraw jew jitilqu.")</f>
        <v>Minn ~ 3000 yr bp (= snin qabel il-preżent), l-impatt tal-bniedem jidher fid-delta. Bħala riżultat taż-żieda fit-tneħħija tal-art (l-agrikoltura tal-Età tal-Bronż), fiż-żoni tal-art (il-Ġermanja Ċentrali), it-tagħbija tas-sediment tar-Renu żdiedet bil-qawwa u t-tkabbir tad-delta ħaffef. Dan ikkawża żieda fl-għargħar u s-sedimentazzjoni, li tispiċċa l-formazzjoni tal-pit fid-delta. Iċ-ċaqliq tal-kanali tax-xmajjar għal postijiet ġodda, fuq il-pjan ta 'l-għargħar (imsejjaħ avulżjoni), kien il-proċess ewlieni li jqassam is-sediment madwar id-delta subrekenti. Matul l-aħħar 6000 sena, seħħew madwar 80 avulsjoni. L-impatt dirett tal-bniedem fid-delta beda bil-minjieri tal-pit, għall-melħ u l-fjuwil, minn żminijiet Rumani 'l quddiem. Dan kien segwit minn moll, tad-distributuri ewlenin u d-damming ta 'distributarji minuri, li seħħew fis-seklu 11-13 WK. Wara dan, il-kanali ġew imħaffra, il-liwjiet kienu maqtugħin qosra u nbnew groynes, biex ma jħallux il-kanali tax-xmara milli jemigraw jew jitilqu.</v>
      </c>
    </row>
    <row r="14261" ht="15.75" customHeight="1">
      <c r="A14261" s="2" t="s">
        <v>14261</v>
      </c>
      <c r="B14261" s="2" t="str">
        <f>IFERROR(__xludf.DUMMYFUNCTION("GOOGLETRANSLATE(A14261, ""en"", ""mt"")"),"Ħsara fotoossidattiva")</f>
        <v>Ħsara fotoossidattiva</v>
      </c>
    </row>
    <row r="14262" ht="15.75" customHeight="1">
      <c r="A14262" s="2" t="s">
        <v>14262</v>
      </c>
      <c r="B14262" s="2" t="str">
        <f>IFERROR(__xludf.DUMMYFUNCTION("GOOGLETRANSLATE(A14262, ""en"", ""mt"")"),"Meta kienu qed jintużaw immaġini biex jippromwovu t-tixrid tal-Luteraniżmu?")</f>
        <v>Meta kienu qed jintużaw immaġini biex jippromwovu t-tixrid tal-Luteraniżmu?</v>
      </c>
    </row>
    <row r="14263" ht="15.75" customHeight="1">
      <c r="A14263" s="2" t="s">
        <v>14263</v>
      </c>
      <c r="B14263" s="2" t="str">
        <f>IFERROR(__xludf.DUMMYFUNCTION("GOOGLETRANSLATE(A14263, ""en"", ""mt"")"),"Xi ngħidu dwar Luther naqas hekk kif żdied l-antisemitiżmu tiegħu?")</f>
        <v>Xi ngħidu dwar Luther naqas hekk kif żdied l-antisemitiżmu tiegħu?</v>
      </c>
    </row>
    <row r="14264" ht="15.75" customHeight="1">
      <c r="A14264" s="2" t="s">
        <v>14264</v>
      </c>
      <c r="B14264" s="2" t="str">
        <f>IFERROR(__xludf.DUMMYFUNCTION("GOOGLETRANSLATE(A14264, ""en"", ""mt"")"),"Komunikazzjonijiet tal-Bliet Kapitali")</f>
        <v>Komunikazzjonijiet tal-Bliet Kapitali</v>
      </c>
    </row>
    <row r="14265" ht="15.75" customHeight="1">
      <c r="A14265" s="2" t="s">
        <v>14265</v>
      </c>
      <c r="B14265" s="2" t="str">
        <f>IFERROR(__xludf.DUMMYFUNCTION("GOOGLETRANSLATE(A14265, ""en"", ""mt"")"),"L-ewwel żewġ serje")</f>
        <v>L-ewwel żewġ serje</v>
      </c>
    </row>
    <row r="14266" ht="15.75" customHeight="1">
      <c r="A14266" s="2" t="s">
        <v>14266</v>
      </c>
      <c r="B14266" s="2" t="str">
        <f>IFERROR(__xludf.DUMMYFUNCTION("GOOGLETRANSLATE(A14266, ""en"", ""mt"")"),"X’beda Luther fl-1536?")</f>
        <v>X’beda Luther fl-1536?</v>
      </c>
    </row>
    <row r="14267" ht="15.75" customHeight="1">
      <c r="A14267" s="2" t="s">
        <v>14267</v>
      </c>
      <c r="B14267" s="2" t="str">
        <f>IFERROR(__xludf.DUMMYFUNCTION("GOOGLETRANSLATE(A14267, ""en"", ""mt"")"),"mhux riservat speċifikament")</f>
        <v>mhux riservat speċifikament</v>
      </c>
    </row>
    <row r="14268" ht="15.75" customHeight="1">
      <c r="A14268" s="2" t="s">
        <v>14268</v>
      </c>
      <c r="B14268" s="2" t="str">
        <f>IFERROR(__xludf.DUMMYFUNCTION("GOOGLETRANSLATE(A14268, ""en"", ""mt"")"),"Xi wħud iġġeneralizzaw it-tifsira tal-kelma imperjalizmu għal skopijiet ġenerali?")</f>
        <v>Xi wħud iġġeneralizzaw it-tifsira tal-kelma imperjalizmu għal skopijiet ġenerali?</v>
      </c>
    </row>
    <row r="14269" ht="15.75" customHeight="1">
      <c r="A14269" s="2" t="s">
        <v>14269</v>
      </c>
      <c r="B14269" s="2" t="str">
        <f>IFERROR(__xludf.DUMMYFUNCTION("GOOGLETRANSLATE(A14269, ""en"", ""mt"")"),"Anticlines u sinklini")</f>
        <v>Anticlines u sinklini</v>
      </c>
    </row>
    <row r="14270" ht="15.75" customHeight="1">
      <c r="A14270" s="2" t="s">
        <v>14270</v>
      </c>
      <c r="B14270" s="2" t="str">
        <f>IFERROR(__xludf.DUMMYFUNCTION("GOOGLETRANSLATE(A14270, ""en"", ""mt"")"),"nieqsa minn tentakli")</f>
        <v>nieqsa minn tentakli</v>
      </c>
    </row>
    <row r="14271" ht="15.75" customHeight="1">
      <c r="A14271" s="2" t="s">
        <v>14271</v>
      </c>
      <c r="B14271" s="2" t="str">
        <f>IFERROR(__xludf.DUMMYFUNCTION("GOOGLETRANSLATE(A14271, ""en"", ""mt"")"),"Isqfijiet tal-Knisja)")</f>
        <v>Isqfijiet tal-Knisja)</v>
      </c>
    </row>
    <row r="14272" ht="15.75" customHeight="1">
      <c r="A14272" s="2" t="s">
        <v>14272</v>
      </c>
      <c r="B14272" s="2" t="str">
        <f>IFERROR(__xludf.DUMMYFUNCTION("GOOGLETRANSLATE(A14272, ""en"", ""mt"")"),"Fuq liema tip ta 'dħul tiddependi l-maġġoranza l-kbira tal-popolazzjoni?")</f>
        <v>Fuq liema tip ta 'dħul tiddependi l-maġġoranza l-kbira tal-popolazzjoni?</v>
      </c>
    </row>
    <row r="14273" ht="15.75" customHeight="1">
      <c r="A14273" s="2" t="s">
        <v>14273</v>
      </c>
      <c r="B14273" s="2" t="str">
        <f>IFERROR(__xludf.DUMMYFUNCTION("GOOGLETRANSLATE(A14273, ""en"", ""mt"")"),"Għaliex in-nodu huwa meħtieġ biex tfittex")</f>
        <v>Għaliex in-nodu huwa meħtieġ biex tfittex</v>
      </c>
    </row>
    <row r="14274" ht="15.75" customHeight="1">
      <c r="A14274" s="2" t="s">
        <v>14274</v>
      </c>
      <c r="B14274" s="2" t="str">
        <f>IFERROR(__xludf.DUMMYFUNCTION("GOOGLETRANSLATE(A14274, ""en"", ""mt"")"),"Biex tirrendi ċerti liġijiet ineffettivi,")</f>
        <v>Biex tirrendi ċerti liġijiet ineffettivi,</v>
      </c>
    </row>
    <row r="14275" ht="15.75" customHeight="1">
      <c r="A14275" s="2" t="s">
        <v>14275</v>
      </c>
      <c r="B14275" s="2" t="str">
        <f>IFERROR(__xludf.DUMMYFUNCTION("GOOGLETRANSLATE(A14275, ""en"", ""mt"")"),"Xi jfisser l-element tal-ħin fil-kostruzzjoni?")</f>
        <v>Xi jfisser l-element tal-ħin fil-kostruzzjoni?</v>
      </c>
    </row>
    <row r="14276" ht="15.75" customHeight="1">
      <c r="A14276" s="2" t="s">
        <v>14276</v>
      </c>
      <c r="B14276" s="2" t="str">
        <f>IFERROR(__xludf.DUMMYFUNCTION("GOOGLETRANSLATE(A14276, ""en"", ""mt"")"),"Kemm kienu jeżistu ditti fl-2005?")</f>
        <v>Kemm kienu jeżistu ditti fl-2005?</v>
      </c>
    </row>
    <row r="14277" ht="15.75" customHeight="1">
      <c r="A14277" s="2" t="s">
        <v>14277</v>
      </c>
      <c r="B14277" s="2" t="str">
        <f>IFERROR(__xludf.DUMMYFUNCTION("GOOGLETRANSLATE(A14277, ""en"", ""mt"")"),"Xi jfisser id-domanda għat-trasport u l-ħażna għas-sigurtà fit-trattament tal-ossiġnu?")</f>
        <v>Xi jfisser id-domanda għat-trasport u l-ħażna għas-sigurtà fit-trattament tal-ossiġnu?</v>
      </c>
    </row>
    <row r="14278" ht="15.75" customHeight="1">
      <c r="A14278" s="2" t="s">
        <v>14278</v>
      </c>
      <c r="B14278" s="2" t="str">
        <f>IFERROR(__xludf.DUMMYFUNCTION("GOOGLETRANSLATE(A14278, ""en"", ""mt"")"),"Lorraine t'isfel")</f>
        <v>Lorraine t'isfel</v>
      </c>
    </row>
    <row r="14279" ht="15.75" customHeight="1">
      <c r="A14279" s="2" t="s">
        <v>14279</v>
      </c>
      <c r="B14279" s="2" t="str">
        <f>IFERROR(__xludf.DUMMYFUNCTION("GOOGLETRANSLATE(A14279, ""en"", ""mt"")"),"Kultant imsejħa alka blu-aħdar")</f>
        <v>Kultant imsejħa alka blu-aħdar</v>
      </c>
    </row>
    <row r="14280" ht="15.75" customHeight="1">
      <c r="A14280" s="2" t="s">
        <v>14280</v>
      </c>
      <c r="B14280" s="2" t="str">
        <f>IFERROR(__xludf.DUMMYFUNCTION("GOOGLETRANSLATE(A14280, ""en"", ""mt"")"),"Wilson's Geographer.")</f>
        <v>Wilson's Geographer.</v>
      </c>
    </row>
    <row r="14281" ht="15.75" customHeight="1">
      <c r="A14281" s="2" t="s">
        <v>14281</v>
      </c>
      <c r="B14281" s="2" t="str">
        <f>IFERROR(__xludf.DUMMYFUNCTION("GOOGLETRANSLATE(A14281, ""en"", ""mt"")"),"X'jiġri mit-tkabbir tal-PDG ta 'pajjiż jekk is-sehem tad-dħul tal-aqwa 20 fil-mija jiżdied, skond l-ekonomisti tal-persunal tal-FMI?")</f>
        <v>X'jiġri mit-tkabbir tal-PDG ta 'pajjiż jekk is-sehem tad-dħul tal-aqwa 20 fil-mija jiżdied, skond l-ekonomisti tal-persunal tal-FMI?</v>
      </c>
    </row>
    <row r="14282" ht="15.75" customHeight="1">
      <c r="A14282" s="2" t="s">
        <v>14282</v>
      </c>
      <c r="B14282" s="2" t="str">
        <f>IFERROR(__xludf.DUMMYFUNCTION("GOOGLETRANSLATE(A14282, ""en"", ""mt"")"),"X'inhi l-popolazzjoni tar-reġjun ta 'ġewwa tal-Mongolja taċ-Ċina?")</f>
        <v>X'inhi l-popolazzjoni tar-reġjun ta 'ġewwa tal-Mongolja taċ-Ċina?</v>
      </c>
    </row>
    <row r="14283" ht="15.75" customHeight="1">
      <c r="A14283" s="2" t="s">
        <v>14283</v>
      </c>
      <c r="B14283" s="2" t="str">
        <f>IFERROR(__xludf.DUMMYFUNCTION("GOOGLETRANSLATE(A14283, ""en"", ""mt"")"),"L-ikbar divisor komuni tagħhom huwa wieħed")</f>
        <v>L-ikbar divisor komuni tagħhom huwa wieħed</v>
      </c>
    </row>
    <row r="14284" ht="15.75" customHeight="1">
      <c r="A14284" s="2" t="s">
        <v>14284</v>
      </c>
      <c r="B14284" s="2" t="str">
        <f>IFERROR(__xludf.DUMMYFUNCTION("GOOGLETRANSLATE(A14284, ""en"", ""mt"")"),"Il-magna tal-fwar ikkontribwiet ħafna għall-iżvilupp tat-teorija termodinamika; Madankollu, l-uniċi applikazzjonijiet tat-teorija xjentifika li influwenzaw il-magna tal-fwar kienu l-kunċetti oriġinali ta 'l-użu tal-qawwa tal-fwar u tal-pressjoni atmosferi"&amp;"ka u l-għarfien tal-proprjetajiet tas-sħana u tal-fwar. Il-kejl sperimentali magħmul minn Watt fuq mudell tal-magna tal-fwar wassal għall-iżvilupp tal-kondensatur separat. Watt skopra b'mod indipendenti s-sħana moħbija, li ġiet ikkonfermata mill-iskoperta"&amp;"ur oriġinali Joseph Black, li wkoll ta parir lil Watt dwar proċeduri sperimentali. Watt kien konxju wkoll tal-bidla fil-punt tat-togħlija tal-ilma bi pressjoni. Inkella, it-titjib fil-magna nnifisha kien ta ’natura iktar mekkanika. Il-kunċetti termodinami"&amp;"ċi taċ-ċiklu ta 'Rankine taw lill-inġiniera l-fehim meħtieġ biex tikkalkula l-effiċjenza li għenet l-iżvilupp ta' bojlers moderni ta 'pressjoni għolja u temperatura u t-turbina tal-fwar.")</f>
        <v>Il-magna tal-fwar ikkontribwiet ħafna għall-iżvilupp tat-teorija termodinamika; Madankollu, l-uniċi applikazzjonijiet tat-teorija xjentifika li influwenzaw il-magna tal-fwar kienu l-kunċetti oriġinali ta 'l-użu tal-qawwa tal-fwar u tal-pressjoni atmosferika u l-għarfien tal-proprjetajiet tas-sħana u tal-fwar. Il-kejl sperimentali magħmul minn Watt fuq mudell tal-magna tal-fwar wassal għall-iżvilupp tal-kondensatur separat. Watt skopra b'mod indipendenti s-sħana moħbija, li ġiet ikkonfermata mill-iskopertaur oriġinali Joseph Black, li wkoll ta parir lil Watt dwar proċeduri sperimentali. Watt kien konxju wkoll tal-bidla fil-punt tat-togħlija tal-ilma bi pressjoni. Inkella, it-titjib fil-magna nnifisha kien ta ’natura iktar mekkanika. Il-kunċetti termodinamiċi taċ-ċiklu ta 'Rankine taw lill-inġiniera l-fehim meħtieġ biex tikkalkula l-effiċjenza li għenet l-iżvilupp ta' bojlers moderni ta 'pressjoni għolja u temperatura u t-turbina tal-fwar.</v>
      </c>
    </row>
    <row r="14285" ht="15.75" customHeight="1">
      <c r="A14285" s="2" t="s">
        <v>14285</v>
      </c>
      <c r="B14285" s="2" t="str">
        <f>IFERROR(__xludf.DUMMYFUNCTION("GOOGLETRANSLATE(A14285, ""en"", ""mt"")"),"madwar 1.7 miljun vittma")</f>
        <v>madwar 1.7 miljun vittma</v>
      </c>
    </row>
    <row r="14286" ht="15.75" customHeight="1">
      <c r="A14286" s="2" t="s">
        <v>14286</v>
      </c>
      <c r="B14286" s="2" t="str">
        <f>IFERROR(__xludf.DUMMYFUNCTION("GOOGLETRANSLATE(A14286, ""en"", ""mt"")"),"Edukazzjoni u Taħriġ Speċjalizzat")</f>
        <v>Edukazzjoni u Taħriġ Speċjalizzat</v>
      </c>
    </row>
    <row r="14287" ht="15.75" customHeight="1">
      <c r="A14287" s="2" t="s">
        <v>14287</v>
      </c>
      <c r="B14287" s="2" t="str">
        <f>IFERROR(__xludf.DUMMYFUNCTION("GOOGLETRANSLATE(A14287, ""en"", ""mt"")"),"Immunità passiva")</f>
        <v>Immunità passiva</v>
      </c>
    </row>
    <row r="14288" ht="15.75" customHeight="1">
      <c r="A14288" s="2" t="s">
        <v>14288</v>
      </c>
      <c r="B14288" s="2" t="str">
        <f>IFERROR(__xludf.DUMMYFUNCTION("GOOGLETRANSLATE(A14288, ""en"", ""mt"")"),"Telespettaturi tad-dar li għamlu tejp reġistrazzjonijiet tal-ispettaklu")</f>
        <v>Telespettaturi tad-dar li għamlu tejp reġistrazzjonijiet tal-ispettaklu</v>
      </c>
    </row>
    <row r="14289" ht="15.75" customHeight="1">
      <c r="A14289" s="2" t="s">
        <v>14289</v>
      </c>
      <c r="B14289" s="2" t="str">
        <f>IFERROR(__xludf.DUMMYFUNCTION("GOOGLETRANSLATE(A14289, ""en"", ""mt"")"),"Bejn l-2005 u l-2010")</f>
        <v>Bejn l-2005 u l-2010</v>
      </c>
    </row>
    <row r="14290" ht="15.75" customHeight="1">
      <c r="A14290" s="2" t="s">
        <v>14290</v>
      </c>
      <c r="B14290" s="2" t="str">
        <f>IFERROR(__xludf.DUMMYFUNCTION("GOOGLETRANSLATE(A14290, ""en"", ""mt"")"),"L-ewwel iżda, l-ewwel u, l-ewwel jekk, imma l-ewwel perjodu")</f>
        <v>L-ewwel iżda, l-ewwel u, l-ewwel jekk, imma l-ewwel perjodu</v>
      </c>
    </row>
    <row r="14291" ht="15.75" customHeight="1">
      <c r="A14291" s="2" t="s">
        <v>14291</v>
      </c>
      <c r="B14291" s="2" t="str">
        <f>IFERROR(__xludf.DUMMYFUNCTION("GOOGLETRANSLATE(A14291, ""en"", ""mt"")"),"Fejn il-forzi ta 'Jebe l-ewwel telfa lil Kuchlug?")</f>
        <v>Fejn il-forzi ta 'Jebe l-ewwel telfa lil Kuchlug?</v>
      </c>
    </row>
    <row r="14292" ht="15.75" customHeight="1">
      <c r="A14292" s="2" t="s">
        <v>14292</v>
      </c>
      <c r="B14292" s="2" t="str">
        <f>IFERROR(__xludf.DUMMYFUNCTION("GOOGLETRANSLATE(A14292, ""en"", ""mt"")"),"X'inhu t-tieni livell ta 'diviżjoni territorjali fil-Polonja?")</f>
        <v>X'inhu t-tieni livell ta 'diviżjoni territorjali fil-Polonja?</v>
      </c>
    </row>
    <row r="14293" ht="15.75" customHeight="1">
      <c r="A14293" s="2" t="s">
        <v>14293</v>
      </c>
      <c r="B14293" s="2" t="str">
        <f>IFERROR(__xludf.DUMMYFUNCTION("GOOGLETRANSLATE(A14293, ""en"", ""mt"")"),"Qawwa tal-komputazzjoni")</f>
        <v>Qawwa tal-komputazzjoni</v>
      </c>
    </row>
    <row r="14294" ht="15.75" customHeight="1">
      <c r="A14294" s="2" t="s">
        <v>14294</v>
      </c>
      <c r="B14294" s="2" t="str">
        <f>IFERROR(__xludf.DUMMYFUNCTION("GOOGLETRANSLATE(A14294, ""en"", ""mt"")"),"Min rebaħ il-battalja tal-Lag George?")</f>
        <v>Min rebaħ il-battalja tal-Lag George?</v>
      </c>
    </row>
    <row r="14295" ht="15.75" customHeight="1">
      <c r="A14295" s="2" t="s">
        <v>14295</v>
      </c>
      <c r="B14295" s="2" t="str">
        <f>IFERROR(__xludf.DUMMYFUNCTION("GOOGLETRANSLATE(A14295, ""en"", ""mt"")"),"It-Triq tal-Ħarir")</f>
        <v>It-Triq tal-Ħarir</v>
      </c>
    </row>
    <row r="14296" ht="15.75" customHeight="1">
      <c r="A14296" s="2" t="s">
        <v>14296</v>
      </c>
      <c r="B14296" s="2" t="str">
        <f>IFERROR(__xludf.DUMMYFUNCTION("GOOGLETRANSLATE(A14296, ""en"", ""mt"")"),"L-Awtorità tal-Pulizija Metropolitana")</f>
        <v>L-Awtorità tal-Pulizija Metropolitana</v>
      </c>
    </row>
    <row r="14297" ht="15.75" customHeight="1">
      <c r="A14297" s="2" t="s">
        <v>14297</v>
      </c>
      <c r="B14297" s="2" t="str">
        <f>IFERROR(__xludf.DUMMYFUNCTION("GOOGLETRANSLATE(A14297, ""en"", ""mt"")"),"patoġeni")</f>
        <v>patoġeni</v>
      </c>
    </row>
    <row r="14298" ht="15.75" customHeight="1">
      <c r="A14298" s="2" t="s">
        <v>14298</v>
      </c>
      <c r="B14298" s="2" t="str">
        <f>IFERROR(__xludf.DUMMYFUNCTION("GOOGLETRANSLATE(A14298, ""en"", ""mt"")"),"Minbarra l-Steamboat, liema forma moderna ta 'vjaġġar ġabet viżitaturi fi Florida?")</f>
        <v>Minbarra l-Steamboat, liema forma moderna ta 'vjaġġar ġabet viżitaturi fi Florida?</v>
      </c>
    </row>
    <row r="14299" ht="15.75" customHeight="1">
      <c r="A14299" s="2" t="s">
        <v>14299</v>
      </c>
      <c r="B14299" s="2" t="str">
        <f>IFERROR(__xludf.DUMMYFUNCTION("GOOGLETRANSLATE(A14299, ""en"", ""mt"")"),"Il-funzjoni fotosintetika kollha")</f>
        <v>Il-funzjoni fotosintetika kollha</v>
      </c>
    </row>
    <row r="14300" ht="15.75" customHeight="1">
      <c r="A14300" s="2" t="s">
        <v>14300</v>
      </c>
      <c r="B14300" s="2" t="str">
        <f>IFERROR(__xludf.DUMMYFUNCTION("GOOGLETRANSLATE(A14300, ""en"", ""mt"")"),"Verżjonijiet tat- ""tema tad-Doctor Who"" ġew rilaxxati wkoll bħala mużika pop matul is-snin. Fil-bidu tas-snin sebgħin, Jon Pertwee, li kien lagħab it-Tielet Tabib, irreġistra verżjoni tat-tema tad-Doctor Who bil-lirika mitkellma, intitolata, ""Who Is Th"&amp;"e Doctor"". [Nota 6] Fl-1978 ġiet rilaxxata verżjoni disco tat-tema Fir-Renju Unit, id-Danimarka u l-Awstralja mill-grupp tal-bniedem, li laħaq in-numru 24 fit-tabelli tar-Renju Unit. Fl-1988 il-banda The Justified Ancients of Mu Mu (aktar tard magħrufa b"&amp;"ħala l-KLF) ħarġet is-single ""Doctorin 'the Tardis"" taħt l-isem The TimeLords, li laħqet in-Nru 1 fir-Renju Unit u Nru 2 fl-Awstralja; Din il-verżjoni inkorporat bosta kanzunetti oħra, inklużi ""Rock and Roll Part 2"" minn Gary Glitter (li rreġistra vok"&amp;"ali għal uħud mill-verżjonijiet CD-Single Remix ta '""DoctorIn' The Tardis""). Oħrajn li koprew jew interpretaw mill-ġdid it-tema jinkludu Orbital, Pink Floyd, The Australian String Ensemble Fourplay, New Zealand Punk Band Blam Blam Blam, The Pogues, Thin"&amp;" Lizzy, Dub Syndicate, u l-kummidjanti Bill Bailey u Mitch Benn. Kemm it-tema kif ukoll il-fannijiet ossessivi ġew satirizzati fuq il-gwerra ta 'Chaser fuq kollox. L-intonazzjoni tat-tema dehret ukoll fuq bosta CDs tal-kumpilazzjoni, u għamlet triqtu fir-"&amp;"ringtones tal-mowbajl. Fannijiet ipproduċew u qassmu wkoll it-temi tagħhom stess tat-tema. F'Jannar 2011 il-verżjoni tal-bniedem ġiet rilaxxata bħala tniżżil diġitali fl-album Gallifrey u Beyond.")</f>
        <v>Verżjonijiet tat- "tema tad-Doctor Who" ġew rilaxxati wkoll bħala mużika pop matul is-snin. Fil-bidu tas-snin sebgħin, Jon Pertwee, li kien lagħab it-Tielet Tabib, irreġistra verżjoni tat-tema tad-Doctor Who bil-lirika mitkellma, intitolata, "Who Is The Doctor". [Nota 6] Fl-1978 ġiet rilaxxata verżjoni disco tat-tema Fir-Renju Unit, id-Danimarka u l-Awstralja mill-grupp tal-bniedem, li laħaq in-numru 24 fit-tabelli tar-Renju Unit. Fl-1988 il-banda The Justified Ancients of Mu Mu (aktar tard magħrufa bħala l-KLF) ħarġet is-single "Doctorin 'the Tardis" taħt l-isem The TimeLords, li laħqet in-Nru 1 fir-Renju Unit u Nru 2 fl-Awstralja; Din il-verżjoni inkorporat bosta kanzunetti oħra, inklużi "Rock and Roll Part 2" minn Gary Glitter (li rreġistra vokali għal uħud mill-verżjonijiet CD-Single Remix ta '"DoctorIn' The Tardis"). Oħrajn li koprew jew interpretaw mill-ġdid it-tema jinkludu Orbital, Pink Floyd, The Australian String Ensemble Fourplay, New Zealand Punk Band Blam Blam Blam, The Pogues, Thin Lizzy, Dub Syndicate, u l-kummidjanti Bill Bailey u Mitch Benn. Kemm it-tema kif ukoll il-fannijiet ossessivi ġew satirizzati fuq il-gwerra ta 'Chaser fuq kollox. L-intonazzjoni tat-tema dehret ukoll fuq bosta CDs tal-kumpilazzjoni, u għamlet triqtu fir-ringtones tal-mowbajl. Fannijiet ipproduċew u qassmu wkoll it-temi tagħhom stess tat-tema. F'Jannar 2011 il-verżjoni tal-bniedem ġiet rilaxxata bħala tniżżil diġitali fl-album Gallifrey u Beyond.</v>
      </c>
    </row>
    <row r="14301" ht="15.75" customHeight="1">
      <c r="A14301" s="2" t="s">
        <v>14301</v>
      </c>
      <c r="B14301" s="2" t="str">
        <f>IFERROR(__xludf.DUMMYFUNCTION("GOOGLETRANSLATE(A14301, ""en"", ""mt"")"),"Kemm speċi ta 'insetti huma magħrufa fir-reġjun?")</f>
        <v>Kemm speċi ta 'insetti huma magħrufa fir-reġjun?</v>
      </c>
    </row>
    <row r="14302" ht="15.75" customHeight="1">
      <c r="A14302" s="2" t="s">
        <v>14302</v>
      </c>
      <c r="B14302" s="2" t="str">
        <f>IFERROR(__xludf.DUMMYFUNCTION("GOOGLETRANSLATE(A14302, ""en"", ""mt"")"),"formola tal-frieket tar-replikazzjoni")</f>
        <v>formola tal-frieket tar-replikazzjoni</v>
      </c>
    </row>
    <row r="14303" ht="15.75" customHeight="1">
      <c r="A14303" s="2" t="s">
        <v>14303</v>
      </c>
      <c r="B14303" s="2" t="str">
        <f>IFERROR(__xludf.DUMMYFUNCTION("GOOGLETRANSLATE(A14303, ""en"", ""mt"")"),"Numru żgħir ta 'MSPs")</f>
        <v>Numru żgħir ta 'MSPs</v>
      </c>
    </row>
    <row r="14304" ht="15.75" customHeight="1">
      <c r="A14304" s="2" t="s">
        <v>14304</v>
      </c>
      <c r="B14304" s="2" t="str">
        <f>IFERROR(__xludf.DUMMYFUNCTION("GOOGLETRANSLATE(A14304, ""en"", ""mt"")"),"Awwissu 2010")</f>
        <v>Awwissu 2010</v>
      </c>
    </row>
    <row r="14305" ht="15.75" customHeight="1">
      <c r="A14305" s="2" t="s">
        <v>14305</v>
      </c>
      <c r="B14305" s="2" t="str">
        <f>IFERROR(__xludf.DUMMYFUNCTION("GOOGLETRANSLATE(A14305, ""en"", ""mt"")"),"Il-membrana tal-kloroplast ta 'ġewwa")</f>
        <v>Il-membrana tal-kloroplast ta 'ġewwa</v>
      </c>
    </row>
    <row r="14306" ht="15.75" customHeight="1">
      <c r="A14306" s="2" t="s">
        <v>14306</v>
      </c>
      <c r="B14306" s="2" t="str">
        <f>IFERROR(__xludf.DUMMYFUNCTION("GOOGLETRANSLATE(A14306, ""en"", ""mt"")"),"minn kulħadd")</f>
        <v>minn kulħadd</v>
      </c>
    </row>
    <row r="14307" ht="15.75" customHeight="1">
      <c r="A14307" s="2" t="s">
        <v>14307</v>
      </c>
      <c r="B14307" s="2" t="str">
        <f>IFERROR(__xludf.DUMMYFUNCTION("GOOGLETRANSLATE(A14307, ""en"", ""mt"")"),"kompetizzjoni bejn min iħaddem għall-impjegati")</f>
        <v>kompetizzjoni bejn min iħaddem għall-impjegati</v>
      </c>
    </row>
    <row r="14308" ht="15.75" customHeight="1">
      <c r="A14308" s="2" t="s">
        <v>14308</v>
      </c>
      <c r="B14308" s="2" t="str">
        <f>IFERROR(__xludf.DUMMYFUNCTION("GOOGLETRANSLATE(A14308, ""en"", ""mt"")"),"żewġ katekiżmi.")</f>
        <v>żewġ katekiżmi.</v>
      </c>
    </row>
    <row r="14309" ht="15.75" customHeight="1">
      <c r="A14309" s="2" t="s">
        <v>14309</v>
      </c>
      <c r="B14309" s="2" t="str">
        <f>IFERROR(__xludf.DUMMYFUNCTION("GOOGLETRANSLATE(A14309, ""en"", ""mt"")"),"Prinċipju ta 'esklużjoni ta' Pauli")</f>
        <v>Prinċipju ta 'esklużjoni ta' Pauli</v>
      </c>
    </row>
    <row r="14310" ht="15.75" customHeight="1">
      <c r="A14310" s="2" t="s">
        <v>14310</v>
      </c>
      <c r="B14310" s="2" t="str">
        <f>IFERROR(__xludf.DUMMYFUNCTION("GOOGLETRANSLATE(A14310, ""en"", ""mt"")"),"$ 20.4 biljun")</f>
        <v>$ 20.4 biljun</v>
      </c>
    </row>
    <row r="14311" ht="15.75" customHeight="1">
      <c r="A14311" s="2" t="s">
        <v>14311</v>
      </c>
      <c r="B14311" s="2" t="str">
        <f>IFERROR(__xludf.DUMMYFUNCTION("GOOGLETRANSLATE(A14311, ""en"", ""mt"")"),"Fejn saru t-tapizzeriji tal-kaċċa ta 'Devonshire?")</f>
        <v>Fejn saru t-tapizzeriji tal-kaċċa ta 'Devonshire?</v>
      </c>
    </row>
    <row r="14312" ht="15.75" customHeight="1">
      <c r="A14312" s="2" t="s">
        <v>14312</v>
      </c>
      <c r="B14312" s="2" t="str">
        <f>IFERROR(__xludf.DUMMYFUNCTION("GOOGLETRANSLATE(A14312, ""en"", ""mt"")"),"Għaliex il-Viżjoni 2030 żiedet il-NCCAP?")</f>
        <v>Għaliex il-Viżjoni 2030 żiedet il-NCCAP?</v>
      </c>
    </row>
    <row r="14313" ht="15.75" customHeight="1">
      <c r="A14313" s="2" t="s">
        <v>14313</v>
      </c>
      <c r="B14313" s="2" t="str">
        <f>IFERROR(__xludf.DUMMYFUNCTION("GOOGLETRANSLATE(A14313, ""en"", ""mt"")"),"Diversifikat ħafna")</f>
        <v>Diversifikat ħafna</v>
      </c>
    </row>
    <row r="14314" ht="15.75" customHeight="1">
      <c r="A14314" s="2" t="s">
        <v>14314</v>
      </c>
      <c r="B14314" s="2" t="str">
        <f>IFERROR(__xludf.DUMMYFUNCTION("GOOGLETRANSLATE(A14314, ""en"", ""mt"")"),"tagħti tfittxija ta 'kunsens")</f>
        <v>tagħti tfittxija ta 'kunsens</v>
      </c>
    </row>
    <row r="14315" ht="15.75" customHeight="1">
      <c r="A14315" s="2" t="s">
        <v>14315</v>
      </c>
      <c r="B14315" s="2" t="str">
        <f>IFERROR(__xludf.DUMMYFUNCTION("GOOGLETRANSLATE(A14315, ""en"", ""mt"")"),"Fis-seklu 19, il-bini tal-vapuri u l-inġinerija tqila kienu ċentrali għall-prosperità tal-belt; u l-belt kienet powerhouse tar-rivoluzzjoni industrijali. Din ir-rivoluzzjoni rriżultat fl-urbanizzazzjoni tal-belt. Fl-1817 il-Kumpanija Maling, f'ħin minnhom"&amp;" l-akbar kumpanija tal-fuħħar fid-dinja, marret tgħix il-belt. Ir-Rivoluzzjoni Industrijali Vittorjana ġabet strutturi industrijali li inkludew it-tunnellar tar-Rabat ta '2 1⁄2-il mil (4.0 km), mibnija fl-1842, li pprovdiet modi ta' vagun taħt l-art lill-"&amp;"istati. Fit-3 ta 'Frar 1879, Triq Mosley fil-belt, kienet l-ewwel triq pubblika fid-dinja li kienet mixgħula mill-bozza tad-dawl inkandexxenti. Newcastle kienet waħda mill-ewwel bliet fid-dinja li kienet mixgħula bid-dawl elettriku. L-innovazzjonijiet fi "&amp;"Newcastle u ż-żoni tal-madwar kienu jinkludu l-iżvilupp ta 'lampi ta' sigurtà, ir-rokit ta 'Stephenson, l-artillerija ta' Lord Armstrong, id-dqiq tar-ro, il-bozoz tad-dawl elettriku ta 'Joseph Swan, u l-invenzjoni ta' Charles Parsons tat-turbina tal-fwar,"&amp;" li wasslu għar-rivoluzzjoni tal-propulsjoni tal-baħar u il-produzzjoni ta 'elettriku irħis. Fl-1882, Newcastle saret is-sede ta 'djoċesi Anglikana, bil-Knisja ta' San Nikola ssir il-katidral tagħha.")</f>
        <v>Fis-seklu 19, il-bini tal-vapuri u l-inġinerija tqila kienu ċentrali għall-prosperità tal-belt; u l-belt kienet powerhouse tar-rivoluzzjoni industrijali. Din ir-rivoluzzjoni rriżultat fl-urbanizzazzjoni tal-belt. Fl-1817 il-Kumpanija Maling, f'ħin minnhom l-akbar kumpanija tal-fuħħar fid-dinja, marret tgħix il-belt. Ir-Rivoluzzjoni Industrijali Vittorjana ġabet strutturi industrijali li inkludew it-tunnellar tar-Rabat ta '2 1⁄2-il mil (4.0 km), mibnija fl-1842, li pprovdiet modi ta' vagun taħt l-art lill-istati. Fit-3 ta 'Frar 1879, Triq Mosley fil-belt, kienet l-ewwel triq pubblika fid-dinja li kienet mixgħula mill-bozza tad-dawl inkandexxenti. Newcastle kienet waħda mill-ewwel bliet fid-dinja li kienet mixgħula bid-dawl elettriku. L-innovazzjonijiet fi Newcastle u ż-żoni tal-madwar kienu jinkludu l-iżvilupp ta 'lampi ta' sigurtà, ir-rokit ta 'Stephenson, l-artillerija ta' Lord Armstrong, id-dqiq tar-ro, il-bozoz tad-dawl elettriku ta 'Joseph Swan, u l-invenzjoni ta' Charles Parsons tat-turbina tal-fwar, li wasslu għar-rivoluzzjoni tal-propulsjoni tal-baħar u il-produzzjoni ta 'elettriku irħis. Fl-1882, Newcastle saret is-sede ta 'djoċesi Anglikana, bil-Knisja ta' San Nikola ssir il-katidral tagħha.</v>
      </c>
    </row>
    <row r="14316" ht="15.75" customHeight="1">
      <c r="A14316" s="2" t="s">
        <v>14316</v>
      </c>
      <c r="B14316" s="2" t="str">
        <f>IFERROR(__xludf.DUMMYFUNCTION("GOOGLETRANSLATE(A14316, ""en"", ""mt"")"),"bejn l-1859 u l-1865")</f>
        <v>bejn l-1859 u l-1865</v>
      </c>
    </row>
    <row r="14317" ht="15.75" customHeight="1">
      <c r="A14317" s="2" t="s">
        <v>14317</v>
      </c>
      <c r="B14317" s="2" t="str">
        <f>IFERROR(__xludf.DUMMYFUNCTION("GOOGLETRANSLATE(A14317, ""en"", ""mt"")"),"orjentat lejn it-teknoloġija")</f>
        <v>orjentat lejn it-teknoloġija</v>
      </c>
    </row>
    <row r="14318" ht="15.75" customHeight="1">
      <c r="A14318" s="2" t="s">
        <v>14318</v>
      </c>
      <c r="B14318" s="2" t="str">
        <f>IFERROR(__xludf.DUMMYFUNCTION("GOOGLETRANSLATE(A14318, ""en"", ""mt"")"),"Is-sħana meħtieġa għat-togħlija tal-ilma u l-forniment tal-fwar tista 'tiġi derivata minn sorsi varji, l-iktar komunement minn ħruq ta' materjali kombustibbli b'forniment xieraq ta 'arja fi spazju magħluq (imsejjaħ kamra tal-kombustjoni varjament, firebox"&amp;"). F’xi każijiet is-sors tas-sħana huwa reattur nukleari, enerġija ġeotermali, enerġija solari jew sħana tal-iskart minn magna ta ’kombustjoni interna jew proċess industrijali. Fil-każ ta 'magni tal-fwar tal-mudell jew tal-ġugarell, is-sors tas-sħana jist"&amp;"a' jkun element ta 'tisħin elettriku.")</f>
        <v>Is-sħana meħtieġa għat-togħlija tal-ilma u l-forniment tal-fwar tista 'tiġi derivata minn sorsi varji, l-iktar komunement minn ħruq ta' materjali kombustibbli b'forniment xieraq ta 'arja fi spazju magħluq (imsejjaħ kamra tal-kombustjoni varjament, firebox). F’xi każijiet is-sors tas-sħana huwa reattur nukleari, enerġija ġeotermali, enerġija solari jew sħana tal-iskart minn magna ta ’kombustjoni interna jew proċess industrijali. Fil-każ ta 'magni tal-fwar tal-mudell jew tal-ġugarell, is-sors tas-sħana jista' jkun element ta 'tisħin elettriku.</v>
      </c>
    </row>
    <row r="14319" ht="15.75" customHeight="1">
      <c r="A14319" s="2" t="s">
        <v>14319</v>
      </c>
      <c r="B14319" s="2" t="str">
        <f>IFERROR(__xludf.DUMMYFUNCTION("GOOGLETRANSLATE(A14319, ""en"", ""mt"")"),"Assemblea Skoċċiża eletta direttament")</f>
        <v>Assemblea Skoċċiża eletta direttament</v>
      </c>
    </row>
    <row r="14320" ht="15.75" customHeight="1">
      <c r="A14320" s="2" t="s">
        <v>14320</v>
      </c>
      <c r="B14320" s="2" t="str">
        <f>IFERROR(__xludf.DUMMYFUNCTION("GOOGLETRANSLATE(A14320, ""en"", ""mt"")"),"Għaliex il-karotenojdi jagħmlu l-weraq jibdlu l-kulur fil-ħarifa?")</f>
        <v>Għaliex il-karotenojdi jagħmlu l-weraq jibdlu l-kulur fil-ħarifa?</v>
      </c>
    </row>
    <row r="14321" ht="15.75" customHeight="1">
      <c r="A14321" s="2" t="s">
        <v>14321</v>
      </c>
      <c r="B14321" s="2" t="str">
        <f>IFERROR(__xludf.DUMMYFUNCTION("GOOGLETRANSLATE(A14321, ""en"", ""mt"")"),"mistenni li jsir aktar integrali fis-sistema tal-kura tas-saħħa")</f>
        <v>mistenni li jsir aktar integrali fis-sistema tal-kura tas-saħħa</v>
      </c>
    </row>
    <row r="14322" ht="15.75" customHeight="1">
      <c r="A14322" s="2" t="s">
        <v>14322</v>
      </c>
      <c r="B14322" s="2" t="str">
        <f>IFERROR(__xludf.DUMMYFUNCTION("GOOGLETRANSLATE(A14322, ""en"", ""mt"")"),"Ċittadin jew kumpanija jistgħu jinvokaw direttiva, mhux biss f’tilwima ma ’awtorità pubblika, iżda f’tilwima ma’ ċittadin jew kumpanija oħra")</f>
        <v>Ċittadin jew kumpanija jistgħu jinvokaw direttiva, mhux biss f’tilwima ma ’awtorità pubblika, iżda f’tilwima ma’ ċittadin jew kumpanija oħra</v>
      </c>
    </row>
    <row r="14323" ht="15.75" customHeight="1">
      <c r="A14323" s="2" t="s">
        <v>14323</v>
      </c>
      <c r="B14323" s="2" t="str">
        <f>IFERROR(__xludf.DUMMYFUNCTION("GOOGLETRANSLATE(A14323, ""en"", ""mt"")"),"diżubbidjenza ġenerali")</f>
        <v>diżubbidjenza ġenerali</v>
      </c>
    </row>
    <row r="14324" ht="15.75" customHeight="1">
      <c r="A14324" s="2" t="s">
        <v>14324</v>
      </c>
      <c r="B14324" s="2" t="str">
        <f>IFERROR(__xludf.DUMMYFUNCTION("GOOGLETRANSLATE(A14324, ""en"", ""mt"")"),"X'għamel oriġinarjament Decnet")</f>
        <v>X'għamel oriġinarjament Decnet</v>
      </c>
    </row>
    <row r="14325" ht="15.75" customHeight="1">
      <c r="A14325" s="2" t="s">
        <v>14325</v>
      </c>
      <c r="B14325" s="2" t="str">
        <f>IFERROR(__xludf.DUMMYFUNCTION("GOOGLETRANSLATE(A14325, ""en"", ""mt"")"),"Modulu ta 'servizz ċilindriku (SM) appoġġa l-modulu ta' kmand, b'magna ta 'propulsjoni ta' servizz u RCs bi propellanti, u sistema ta 'ġenerazzjoni ta' enerġija taċ-ċellula tal-fjuwil b'idroġenu likwidu u reattanti ta 'ossiġnu likwidu. Antenna ta 'faxxa S"&amp;" ta' qligħ għoli ntużat għal komunikazzjonijiet fuq distanza twila fuq it-titjiriet Lunar. Fuq il-missjonijiet lunari estiżi, inġarr pakkett ta 'strumenti xjentifiċi orbitali. Il-modulu tas-servizz ġie mormi eżatt qabel id-dħul mill-ġdid. Il-modulu kien t"&amp;"wil 24.6 pied (7.5 m) u 12.83 pied (3.91 m) dijametru. Il-verżjoni inizjali tat-titjira Lunar kienet tiżen madwar 51,300 libbra (23,300 kg) kompletament imsawra, filwaqt li verżjoni aktar tard iddisinjata biex iġġorr pakkett ta 'strumenti xjentifiċi ta' o"&amp;"rbita lunari tiżen ftit aktar minn 54,000 lira (24,000 kg).")</f>
        <v>Modulu ta 'servizz ċilindriku (SM) appoġġa l-modulu ta' kmand, b'magna ta 'propulsjoni ta' servizz u RCs bi propellanti, u sistema ta 'ġenerazzjoni ta' enerġija taċ-ċellula tal-fjuwil b'idroġenu likwidu u reattanti ta 'ossiġnu likwidu. Antenna ta 'faxxa S ta' qligħ għoli ntużat għal komunikazzjonijiet fuq distanza twila fuq it-titjiriet Lunar. Fuq il-missjonijiet lunari estiżi, inġarr pakkett ta 'strumenti xjentifiċi orbitali. Il-modulu tas-servizz ġie mormi eżatt qabel id-dħul mill-ġdid. Il-modulu kien twil 24.6 pied (7.5 m) u 12.83 pied (3.91 m) dijametru. Il-verżjoni inizjali tat-titjira Lunar kienet tiżen madwar 51,300 libbra (23,300 kg) kompletament imsawra, filwaqt li verżjoni aktar tard iddisinjata biex iġġorr pakkett ta 'strumenti xjentifiċi ta' orbita lunari tiżen ftit aktar minn 54,000 lira (24,000 kg).</v>
      </c>
    </row>
    <row r="14326" ht="15.75" customHeight="1">
      <c r="A14326" s="2" t="s">
        <v>14326</v>
      </c>
      <c r="B14326" s="2" t="str">
        <f>IFERROR(__xludf.DUMMYFUNCTION("GOOGLETRANSLATE(A14326, ""en"", ""mt"")"),"tniġġis")</f>
        <v>tniġġis</v>
      </c>
    </row>
    <row r="14327" ht="15.75" customHeight="1">
      <c r="A14327" s="2" t="s">
        <v>14327</v>
      </c>
      <c r="B14327" s="2" t="str">
        <f>IFERROR(__xludf.DUMMYFUNCTION("GOOGLETRANSLATE(A14327, ""en"", ""mt"")"),"Manifattura fuq skala żgħira")</f>
        <v>Manifattura fuq skala żgħira</v>
      </c>
    </row>
    <row r="14328" ht="15.75" customHeight="1">
      <c r="A14328" s="2" t="s">
        <v>14328</v>
      </c>
      <c r="B14328" s="2" t="str">
        <f>IFERROR(__xludf.DUMMYFUNCTION("GOOGLETRANSLATE(A14328, ""en"", ""mt"")"),"Apollo Mount Telescope")</f>
        <v>Apollo Mount Telescope</v>
      </c>
    </row>
    <row r="14329" ht="15.75" customHeight="1">
      <c r="A14329" s="2" t="s">
        <v>14329</v>
      </c>
      <c r="B14329" s="2" t="str">
        <f>IFERROR(__xludf.DUMMYFUNCTION("GOOGLETRANSLATE(A14329, ""en"", ""mt"")"),"Al-Qaeda u t-Taliban")</f>
        <v>Al-Qaeda u t-Taliban</v>
      </c>
    </row>
    <row r="14330" ht="15.75" customHeight="1">
      <c r="A14330" s="2" t="s">
        <v>14330</v>
      </c>
      <c r="B14330" s="2" t="str">
        <f>IFERROR(__xludf.DUMMYFUNCTION("GOOGLETRANSLATE(A14330, ""en"", ""mt"")"),"X'inhu metodu wieħed biex jinkiseb konsum ta 'aspirazzjoni?")</f>
        <v>X'inhu metodu wieħed biex jinkiseb konsum ta 'aspirazzjoni?</v>
      </c>
    </row>
    <row r="14331" ht="15.75" customHeight="1">
      <c r="A14331" s="2" t="s">
        <v>14331</v>
      </c>
      <c r="B14331" s="2" t="str">
        <f>IFERROR(__xludf.DUMMYFUNCTION("GOOGLETRANSLATE(A14331, ""en"", ""mt"")"),"Meta jiġri fotorespirazzjoni?")</f>
        <v>Meta jiġri fotorespirazzjoni?</v>
      </c>
    </row>
    <row r="14332" ht="15.75" customHeight="1">
      <c r="A14332" s="2" t="s">
        <v>14332</v>
      </c>
      <c r="B14332" s="2" t="str">
        <f>IFERROR(__xludf.DUMMYFUNCTION("GOOGLETRANSLATE(A14332, ""en"", ""mt"")"),"Il-klima se tkun kwistjoni ċentrali fil-pjan imġedded ta 'terminu medju li se jitnieda fix-xhur li ġejjin")</f>
        <v>Il-klima se tkun kwistjoni ċentrali fil-pjan imġedded ta 'terminu medju li se jitnieda fix-xhur li ġejjin</v>
      </c>
    </row>
    <row r="14333" ht="15.75" customHeight="1">
      <c r="A14333" s="2" t="s">
        <v>14333</v>
      </c>
      <c r="B14333" s="2" t="str">
        <f>IFERROR(__xludf.DUMMYFUNCTION("GOOGLETRANSLATE(A14333, ""en"", ""mt"")"),"X'kienet ir-risposta ta 'Brittaniku l-Qadim għal Celeron?")</f>
        <v>X'kienet ir-risposta ta 'Brittaniku l-Qadim għal Celeron?</v>
      </c>
    </row>
    <row r="14334" ht="15.75" customHeight="1">
      <c r="A14334" s="2" t="s">
        <v>14334</v>
      </c>
      <c r="B14334" s="2" t="str">
        <f>IFERROR(__xludf.DUMMYFUNCTION("GOOGLETRANSLATE(A14334, ""en"", ""mt"")"),"X'kienet l-unika drama estiża għat-tieni staġun għall-iskeda 2010-11?")</f>
        <v>X'kienet l-unika drama estiża għat-tieni staġun għall-iskeda 2010-11?</v>
      </c>
    </row>
    <row r="14335" ht="15.75" customHeight="1">
      <c r="A14335" s="2" t="s">
        <v>14335</v>
      </c>
      <c r="B14335" s="2" t="str">
        <f>IFERROR(__xludf.DUMMYFUNCTION("GOOGLETRANSLATE(A14335, ""en"", ""mt"")"),"Min imexxi l-Istat Iżlamiku?")</f>
        <v>Min imexxi l-Istat Iżlamiku?</v>
      </c>
    </row>
    <row r="14336" ht="15.75" customHeight="1">
      <c r="A14336" s="2" t="s">
        <v>14336</v>
      </c>
      <c r="B14336" s="2" t="str">
        <f>IFERROR(__xludf.DUMMYFUNCTION("GOOGLETRANSLATE(A14336, ""en"", ""mt"")"),"madwar terz")</f>
        <v>madwar terz</v>
      </c>
    </row>
    <row r="14337" ht="15.75" customHeight="1">
      <c r="A14337" s="2" t="s">
        <v>14337</v>
      </c>
      <c r="B14337" s="2" t="str">
        <f>IFERROR(__xludf.DUMMYFUNCTION("GOOGLETRANSLATE(A14337, ""en"", ""mt"")"),"L-ekonomija neoklassika ta 'fehmiet inugwaljanzi fid-distribuzzjoni tad-dħul bħala li jirriżultaw minn differenzi fil-valur miżjud mix-xogħol, il-kapital u l-art. Fi ħdan id-distribuzzjoni tad-dħul tax-xogħol hija dovuta għal differenzi fil-valur miżjud m"&amp;"inn klassifikazzjonijiet differenti tal-ħaddiema. F'din il-perspettiva, il-pagi u l-profitti huma ddeterminati mill-valur miżjud marġinali ta 'kull attur ekonomiku (ħaddiem, kapitalist / sid tan-negozju, sid). Għalhekk, f'ekonomija tas-suq, l-inugwaljanza"&amp;" hija riflessjoni tad-distakk fil-produttività bejn professjonijiet imħallsa ħafna u professjonijiet b'paga baxxa.")</f>
        <v>L-ekonomija neoklassika ta 'fehmiet inugwaljanzi fid-distribuzzjoni tad-dħul bħala li jirriżultaw minn differenzi fil-valur miżjud mix-xogħol, il-kapital u l-art. Fi ħdan id-distribuzzjoni tad-dħul tax-xogħol hija dovuta għal differenzi fil-valur miżjud minn klassifikazzjonijiet differenti tal-ħaddiema. F'din il-perspettiva, il-pagi u l-profitti huma ddeterminati mill-valur miżjud marġinali ta 'kull attur ekonomiku (ħaddiem, kapitalist / sid tan-negozju, sid). Għalhekk, f'ekonomija tas-suq, l-inugwaljanza hija riflessjoni tad-distakk fil-produttività bejn professjonijiet imħallsa ħafna u professjonijiet b'paga baxxa.</v>
      </c>
    </row>
    <row r="14338" ht="15.75" customHeight="1">
      <c r="A14338" s="2" t="s">
        <v>14338</v>
      </c>
      <c r="B14338" s="2" t="str">
        <f>IFERROR(__xludf.DUMMYFUNCTION("GOOGLETRANSLATE(A14338, ""en"", ""mt"")"),"X'inhu l-iktar rwol importanti tal-kloroplasti?")</f>
        <v>X'inhu l-iktar rwol importanti tal-kloroplasti?</v>
      </c>
    </row>
    <row r="14339" ht="15.75" customHeight="1">
      <c r="A14339" s="2" t="s">
        <v>14339</v>
      </c>
      <c r="B14339" s="2" t="str">
        <f>IFERROR(__xludf.DUMMYFUNCTION("GOOGLETRANSLATE(A14339, ""en"", ""mt"")"),"Liema problema kellha xi dejta dwar iċ-ċirku tas-siġar?")</f>
        <v>Liema problema kellha xi dejta dwar iċ-ċirku tas-siġar?</v>
      </c>
    </row>
    <row r="14340" ht="15.75" customHeight="1">
      <c r="A14340" s="2" t="s">
        <v>14340</v>
      </c>
      <c r="B14340" s="2" t="str">
        <f>IFERROR(__xludf.DUMMYFUNCTION("GOOGLETRANSLATE(A14340, ""en"", ""mt"")"),"Hemm diversi modi kif itaffu l-perikli fuq ix-xogħol tat-tagħlim. Interventi organizzattivi, bħall-iskedi tal-għalliema li jinbidlu, jipprovdu netwerks ta 'appoġġ u mentoring, jibdlu l-ambjent tax-xogħol, u joffru promozzjonijiet u bonusijiet, jistgħu jku"&amp;"nu effettivi biex jgħinu biex jitnaqqsu l-istress fuq ix-xogħol fost l-għalliema. Interventi fuq livell individwali, inkluż taħriġ u pariri dwar il-ġestjoni tal-istress, jintużaw ukoll biex itaffu l-istress fuq ix-xogħol fost l-għalliema.")</f>
        <v>Hemm diversi modi kif itaffu l-perikli fuq ix-xogħol tat-tagħlim. Interventi organizzattivi, bħall-iskedi tal-għalliema li jinbidlu, jipprovdu netwerks ta 'appoġġ u mentoring, jibdlu l-ambjent tax-xogħol, u joffru promozzjonijiet u bonusijiet, jistgħu jkunu effettivi biex jgħinu biex jitnaqqsu l-istress fuq ix-xogħol fost l-għalliema. Interventi fuq livell individwali, inkluż taħriġ u pariri dwar il-ġestjoni tal-istress, jintużaw ukoll biex itaffu l-istress fuq ix-xogħol fost l-għalliema.</v>
      </c>
    </row>
    <row r="14341" ht="15.75" customHeight="1">
      <c r="A14341" s="2" t="s">
        <v>14341</v>
      </c>
      <c r="B14341" s="2" t="str">
        <f>IFERROR(__xludf.DUMMYFUNCTION("GOOGLETRANSLATE(A14341, ""en"", ""mt"")"),"""mentalità isterika u demonizzanti"" dwar il-Lhud")</f>
        <v>"mentalità isterika u demonizzanti" dwar il-Lhud</v>
      </c>
    </row>
    <row r="14342" ht="15.75" customHeight="1">
      <c r="A14342" s="2" t="s">
        <v>14342</v>
      </c>
      <c r="B14342" s="2" t="str">
        <f>IFERROR(__xludf.DUMMYFUNCTION("GOOGLETRANSLATE(A14342, ""en"", ""mt"")"),"15 ta 'Awwissu, 1971")</f>
        <v>15 ta 'Awwissu, 1971</v>
      </c>
    </row>
    <row r="14343" ht="15.75" customHeight="1">
      <c r="A14343" s="2" t="s">
        <v>14343</v>
      </c>
      <c r="B14343" s="2" t="str">
        <f>IFERROR(__xludf.DUMMYFUNCTION("GOOGLETRANSLATE(A14343, ""en"", ""mt"")"),"Fejn jistgħu jinstabu ċ-ctenophores f'ammonti kbar?")</f>
        <v>Fejn jistgħu jinstabu ċ-ctenophores f'ammonti kbar?</v>
      </c>
    </row>
    <row r="14344" ht="15.75" customHeight="1">
      <c r="A14344" s="2" t="s">
        <v>14344</v>
      </c>
      <c r="B14344" s="2" t="str">
        <f>IFERROR(__xludf.DUMMYFUNCTION("GOOGLETRANSLATE(A14344, ""en"", ""mt"")"),"Ċentru tat-Titjira Spazjali Marshall")</f>
        <v>Ċentru tat-Titjira Spazjali Marshall</v>
      </c>
    </row>
    <row r="14345" ht="15.75" customHeight="1">
      <c r="A14345" s="2" t="s">
        <v>14345</v>
      </c>
      <c r="B14345" s="2" t="str">
        <f>IFERROR(__xludf.DUMMYFUNCTION("GOOGLETRANSLATE(A14345, ""en"", ""mt"")"),"L-Istati Uniti hija maqsuma f'kemm ġurisdizzjonijiet?")</f>
        <v>L-Istati Uniti hija maqsuma f'kemm ġurisdizzjonijiet?</v>
      </c>
    </row>
    <row r="14346" ht="15.75" customHeight="1">
      <c r="A14346" s="2" t="s">
        <v>14346</v>
      </c>
      <c r="B14346" s="2" t="str">
        <f>IFERROR(__xludf.DUMMYFUNCTION("GOOGLETRANSLATE(A14346, ""en"", ""mt"")"),"iżotermiku")</f>
        <v>iżotermiku</v>
      </c>
    </row>
    <row r="14347" ht="15.75" customHeight="1">
      <c r="A14347" s="2" t="s">
        <v>14347</v>
      </c>
      <c r="B14347" s="2" t="str">
        <f>IFERROR(__xludf.DUMMYFUNCTION("GOOGLETRANSLATE(A14347, ""en"", ""mt"")"),"Forzi mhux konservattivi")</f>
        <v>Forzi mhux konservattivi</v>
      </c>
    </row>
    <row r="14348" ht="15.75" customHeight="1">
      <c r="A14348" s="2" t="s">
        <v>14348</v>
      </c>
      <c r="B14348" s="2" t="str">
        <f>IFERROR(__xludf.DUMMYFUNCTION("GOOGLETRANSLATE(A14348, ""en"", ""mt"")"),"Kunsinna ta 'dawn il-messaġġi bil-maħżen u l-iswiċċjar' il quddiem")</f>
        <v>Kunsinna ta 'dawn il-messaġġi bil-maħżen u l-iswiċċjar' il quddiem</v>
      </c>
    </row>
    <row r="14349" ht="15.75" customHeight="1">
      <c r="A14349" s="2" t="s">
        <v>14349</v>
      </c>
      <c r="B14349" s="2" t="str">
        <f>IFERROR(__xludf.DUMMYFUNCTION("GOOGLETRANSLATE(A14349, ""en"", ""mt"")"),"Tnax-il attur intitolaw is-serje bħala t-tabib. It-tranżizzjoni minn attur għal ieħor hija miktuba fil-plott tal-ispettaklu, kif ukoll l-approċċ differenti għar-rwol li kull wieħed iġib, taħt il-kunċett ta 'riġenerazzjoni f'inkarnazzjoni ġdida. Il-premess"&amp;"a tal-ispettaklu hija li dan huwa proċess ta 'ħajja ta' Lords Time li permezz tiegħu l-karattru tat-tabib jieħu korp ġdid u, sa ċertu punt, personalità ġdida, li sseħħ wara li sostniet korriment li jkun fatali għal ħafna speċi oħra. Ir-ritratt ta 'kull at"&amp;"tur huwa differenti, iżda huma kollha maħsuba biex ikunu aspetti tal-istess karattru u jiffurmaw parti mill-istess trama. In-natura li tivvjaġġa fil-ħin tal-plott tfisser li, okkażjoni, tobba differenti ltaqgħu ma 'xulxin. Peter Capaldi ħa r-rwol wara l-ħ"&amp;"ruġ ta 'Matt Smith fl-ispeċjal tal-Milied tal-2013 ""The Time of the Doctor"".")</f>
        <v>Tnax-il attur intitolaw is-serje bħala t-tabib. It-tranżizzjoni minn attur għal ieħor hija miktuba fil-plott tal-ispettaklu, kif ukoll l-approċċ differenti għar-rwol li kull wieħed iġib, taħt il-kunċett ta 'riġenerazzjoni f'inkarnazzjoni ġdida. Il-premessa tal-ispettaklu hija li dan huwa proċess ta 'ħajja ta' Lords Time li permezz tiegħu l-karattru tat-tabib jieħu korp ġdid u, sa ċertu punt, personalità ġdida, li sseħħ wara li sostniet korriment li jkun fatali għal ħafna speċi oħra. Ir-ritratt ta 'kull attur huwa differenti, iżda huma kollha maħsuba biex ikunu aspetti tal-istess karattru u jiffurmaw parti mill-istess trama. In-natura li tivvjaġġa fil-ħin tal-plott tfisser li, okkażjoni, tobba differenti ltaqgħu ma 'xulxin. Peter Capaldi ħa r-rwol wara l-ħruġ ta 'Matt Smith fl-ispeċjal tal-Milied tal-2013 "The Time of the Doctor".</v>
      </c>
    </row>
    <row r="14350" ht="15.75" customHeight="1">
      <c r="A14350" s="2" t="s">
        <v>14350</v>
      </c>
      <c r="B14350" s="2" t="str">
        <f>IFERROR(__xludf.DUMMYFUNCTION("GOOGLETRANSLATE(A14350, ""en"", ""mt"")"),"rivoluzzjoni jew invażjoni")</f>
        <v>rivoluzzjoni jew invażjoni</v>
      </c>
    </row>
    <row r="14351" ht="15.75" customHeight="1">
      <c r="A14351" s="2" t="s">
        <v>14351</v>
      </c>
      <c r="B14351" s="2" t="str">
        <f>IFERROR(__xludf.DUMMYFUNCTION("GOOGLETRANSLATE(A14351, ""en"", ""mt"")"),"Regolamenti tal-Awtorità tal-Bini lokali u kodiċi ta 'prattika")</f>
        <v>Regolamenti tal-Awtorità tal-Bini lokali u kodiċi ta 'prattika</v>
      </c>
    </row>
    <row r="14352" ht="15.75" customHeight="1">
      <c r="A14352" s="2" t="s">
        <v>14352</v>
      </c>
      <c r="B14352" s="2" t="str">
        <f>IFERROR(__xludf.DUMMYFUNCTION("GOOGLETRANSLATE(A14352, ""en"", ""mt"")"),"Il-galleriji ewlenin tal-ħġieġ u l-gallerija ewlenija tal-fidda")</f>
        <v>Il-galleriji ewlenin tal-ħġieġ u l-gallerija ewlenija tal-fidda</v>
      </c>
    </row>
    <row r="14353" ht="15.75" customHeight="1">
      <c r="A14353" s="2" t="s">
        <v>14353</v>
      </c>
      <c r="B14353" s="2" t="str">
        <f>IFERROR(__xludf.DUMMYFUNCTION("GOOGLETRANSLATE(A14353, ""en"", ""mt"")"),"Xi jfisser il-mostru tal-baħar ma 'parti ta' fuq tal-ġisem femminili fid-dwiefer tagħha?")</f>
        <v>Xi jfisser il-mostru tal-baħar ma 'parti ta' fuq tal-ġisem femminili fid-dwiefer tagħha?</v>
      </c>
    </row>
    <row r="14354" ht="15.75" customHeight="1">
      <c r="A14354" s="2" t="s">
        <v>14354</v>
      </c>
      <c r="B14354" s="2" t="str">
        <f>IFERROR(__xludf.DUMMYFUNCTION("GOOGLETRANSLATE(A14354, ""en"", ""mt"")"),"F'liema data ġiet iddikjarata Victoria indipendenti minn New South Wales?")</f>
        <v>F'liema data ġiet iddikjarata Victoria indipendenti minn New South Wales?</v>
      </c>
    </row>
    <row r="14355" ht="15.75" customHeight="1">
      <c r="A14355" s="2" t="s">
        <v>14355</v>
      </c>
      <c r="B14355" s="2" t="str">
        <f>IFERROR(__xludf.DUMMYFUNCTION("GOOGLETRANSLATE(A14355, ""en"", ""mt"")"),"enerġija kimika")</f>
        <v>enerġija kimika</v>
      </c>
    </row>
    <row r="14356" ht="15.75" customHeight="1">
      <c r="A14356" s="2" t="s">
        <v>14356</v>
      </c>
      <c r="B14356" s="2" t="str">
        <f>IFERROR(__xludf.DUMMYFUNCTION("GOOGLETRANSLATE(A14356, ""en"", ""mt"")"),"Xi jfisser ħafna ħaddiema lesti li jaħdmu għal ħafna ħin jikkompetu għal xogħol li jirrikjedi biss li ftit ħaddiema jirriżultaw?")</f>
        <v>Xi jfisser ħafna ħaddiema lesti li jaħdmu għal ħafna ħin jikkompetu għal xogħol li jirrikjedi biss li ftit ħaddiema jirriżultaw?</v>
      </c>
    </row>
    <row r="14357" ht="15.75" customHeight="1">
      <c r="A14357" s="2" t="s">
        <v>14357</v>
      </c>
      <c r="B14357" s="2" t="str">
        <f>IFERROR(__xludf.DUMMYFUNCTION("GOOGLETRANSLATE(A14357, ""en"", ""mt"")"),"X'inhu żżid ir-rati ta 'intraprenditorija fil-livell individwali?")</f>
        <v>X'inhu żżid ir-rati ta 'intraprenditorija fil-livell individwali?</v>
      </c>
    </row>
    <row r="14358" ht="15.75" customHeight="1">
      <c r="A14358" s="2" t="s">
        <v>14358</v>
      </c>
      <c r="B14358" s="2" t="str">
        <f>IFERROR(__xludf.DUMMYFUNCTION("GOOGLETRANSLATE(A14358, ""en"", ""mt"")"),"Kif kien possibbli dan")</f>
        <v>Kif kien possibbli dan</v>
      </c>
    </row>
    <row r="14359" ht="15.75" customHeight="1">
      <c r="A14359" s="2" t="s">
        <v>14359</v>
      </c>
      <c r="B14359" s="2" t="str">
        <f>IFERROR(__xludf.DUMMYFUNCTION("GOOGLETRANSLATE(A14359, ""en"", ""mt"")"),"Downtown Riverside")</f>
        <v>Downtown Riverside</v>
      </c>
    </row>
    <row r="14360" ht="15.75" customHeight="1">
      <c r="A14360" s="2" t="s">
        <v>14360</v>
      </c>
      <c r="B14360" s="2" t="str">
        <f>IFERROR(__xludf.DUMMYFUNCTION("GOOGLETRANSLATE(A14360, ""en"", ""mt"")"),"X'jista 'jintuża biex jimmudella l-forzi tat-tensjoni?")</f>
        <v>X'jista 'jintuża biex jimmudella l-forzi tat-tensjoni?</v>
      </c>
    </row>
    <row r="14361" ht="15.75" customHeight="1">
      <c r="A14361" s="2" t="s">
        <v>14361</v>
      </c>
      <c r="B14361" s="2" t="str">
        <f>IFERROR(__xludf.DUMMYFUNCTION("GOOGLETRANSLATE(A14361, ""en"", ""mt"")"),"Meta l-Ġermanja bdiet tibni l-imperu kolonjali tagħha stess")</f>
        <v>Meta l-Ġermanja bdiet tibni l-imperu kolonjali tagħha stess</v>
      </c>
    </row>
    <row r="14362" ht="15.75" customHeight="1">
      <c r="A14362" s="2" t="s">
        <v>14362</v>
      </c>
      <c r="B14362" s="2" t="str">
        <f>IFERROR(__xludf.DUMMYFUNCTION("GOOGLETRANSLATE(A14362, ""en"", ""mt"")"),"Lawbreakers tal-Kuxjenza")</f>
        <v>Lawbreakers tal-Kuxjenza</v>
      </c>
    </row>
    <row r="14363" ht="15.75" customHeight="1">
      <c r="A14363" s="2" t="s">
        <v>14363</v>
      </c>
      <c r="B14363" s="2" t="str">
        <f>IFERROR(__xludf.DUMMYFUNCTION("GOOGLETRANSLATE(A14363, ""en"", ""mt"")"),"inugwaljanza fil-ġid u d-dħul")</f>
        <v>inugwaljanza fil-ġid u d-dħul</v>
      </c>
    </row>
    <row r="14364" ht="15.75" customHeight="1">
      <c r="A14364" s="2" t="s">
        <v>14364</v>
      </c>
      <c r="B14364" s="2" t="str">
        <f>IFERROR(__xludf.DUMMYFUNCTION("GOOGLETRANSLATE(A14364, ""en"", ""mt"")"),"X'inhu l-uniku divisor minbarra 1 li numru ewlieni jista 'jkollu?")</f>
        <v>X'inhu l-uniku divisor minbarra 1 li numru ewlieni jista 'jkollu?</v>
      </c>
    </row>
    <row r="14365" ht="15.75" customHeight="1">
      <c r="A14365" s="2" t="s">
        <v>14365</v>
      </c>
      <c r="B14365" s="2" t="str">
        <f>IFERROR(__xludf.DUMMYFUNCTION("GOOGLETRANSLATE(A14365, ""en"", ""mt"")"),"qoxra baxxa")</f>
        <v>qoxra baxxa</v>
      </c>
    </row>
    <row r="14366" ht="15.75" customHeight="1">
      <c r="A14366" s="2" t="s">
        <v>14366</v>
      </c>
      <c r="B14366" s="2" t="str">
        <f>IFERROR(__xludf.DUMMYFUNCTION("GOOGLETRANSLATE(A14366, ""en"", ""mt"")"),"tkabbir ekonomiku sussegwenti fit-tul")</f>
        <v>tkabbir ekonomiku sussegwenti fit-tul</v>
      </c>
    </row>
    <row r="14367" ht="15.75" customHeight="1">
      <c r="A14367" s="2" t="s">
        <v>14367</v>
      </c>
      <c r="B14367" s="2" t="str">
        <f>IFERROR(__xludf.DUMMYFUNCTION("GOOGLETRANSLATE(A14367, ""en"", ""mt"")"),"Liema direzzjoni r-Rhine ħareġ matul l-aħħar fażi kiesħa?")</f>
        <v>Liema direzzjoni r-Rhine ħareġ matul l-aħħar fażi kiesħa?</v>
      </c>
    </row>
    <row r="14368" ht="15.75" customHeight="1">
      <c r="A14368" s="2" t="s">
        <v>14368</v>
      </c>
      <c r="B14368" s="2" t="str">
        <f>IFERROR(__xludf.DUMMYFUNCTION("GOOGLETRANSLATE(A14368, ""en"", ""mt"")"),"Liema episodju ta 'Star Trek għandu ħaqq lil Doctor Who?")</f>
        <v>Liema episodju ta 'Star Trek għandu ħaqq lil Doctor Who?</v>
      </c>
    </row>
    <row r="14369" ht="15.75" customHeight="1">
      <c r="A14369" s="2" t="s">
        <v>14369</v>
      </c>
      <c r="B14369" s="2" t="str">
        <f>IFERROR(__xludf.DUMMYFUNCTION("GOOGLETRANSLATE(A14369, ""en"", ""mt"")"),"L-ożonu ġġenerat f'kuntatt mal-ġilda")</f>
        <v>L-ożonu ġġenerat f'kuntatt mal-ġilda</v>
      </c>
    </row>
    <row r="14370" ht="15.75" customHeight="1">
      <c r="A14370" s="2" t="s">
        <v>14370</v>
      </c>
      <c r="B14370" s="2" t="str">
        <f>IFERROR(__xludf.DUMMYFUNCTION("GOOGLETRANSLATE(A14370, ""en"", ""mt"")"),"30 ta ’Novembru 1963")</f>
        <v>30 ta ’Novembru 1963</v>
      </c>
    </row>
    <row r="14371" ht="15.75" customHeight="1">
      <c r="A14371" s="2" t="s">
        <v>14371</v>
      </c>
      <c r="B14371" s="2" t="str">
        <f>IFERROR(__xludf.DUMMYFUNCTION("GOOGLETRANSLATE(A14371, ""en"", ""mt"")"),"Liema dokumentarju ntwera dwar Doctor Who?")</f>
        <v>Liema dokumentarju ntwera dwar Doctor Who?</v>
      </c>
    </row>
    <row r="14372" ht="15.75" customHeight="1">
      <c r="A14372" s="2" t="s">
        <v>14372</v>
      </c>
      <c r="B14372" s="2" t="str">
        <f>IFERROR(__xludf.DUMMYFUNCTION("GOOGLETRANSLATE(A14372, ""en"", ""mt"")"),"kloroplasti ta 'xi hornworts u alka")</f>
        <v>kloroplasti ta 'xi hornworts u alka</v>
      </c>
    </row>
    <row r="14373" ht="15.75" customHeight="1">
      <c r="A14373" s="2" t="s">
        <v>14373</v>
      </c>
      <c r="B14373" s="2" t="str">
        <f>IFERROR(__xludf.DUMMYFUNCTION("GOOGLETRANSLATE(A14373, ""en"", ""mt"")"),"Liema partijiet ta 'magna tal-fwar reċiprokanti konvenzjonali jistgħu jiġu sostitwiti b'magna li jdur mingħajr piston?")</f>
        <v>Liema partijiet ta 'magna tal-fwar reċiprokanti konvenzjonali jistgħu jiġu sostitwiti b'magna li jdur mingħajr piston?</v>
      </c>
    </row>
    <row r="14374" ht="15.75" customHeight="1">
      <c r="A14374" s="2" t="s">
        <v>14374</v>
      </c>
      <c r="B14374" s="2" t="str">
        <f>IFERROR(__xludf.DUMMYFUNCTION("GOOGLETRANSLATE(A14374, ""en"", ""mt"")"),"Aristokrazija")</f>
        <v>Aristokrazija</v>
      </c>
    </row>
    <row r="14375" ht="15.75" customHeight="1">
      <c r="A14375" s="2" t="s">
        <v>14375</v>
      </c>
      <c r="B14375" s="2" t="str">
        <f>IFERROR(__xludf.DUMMYFUNCTION("GOOGLETRANSLATE(A14375, ""en"", ""mt"")"),"ħafna staġuni ċċelebrati.")</f>
        <v>ħafna staġuni ċċelebrati.</v>
      </c>
    </row>
    <row r="14376" ht="15.75" customHeight="1">
      <c r="A14376" s="2" t="s">
        <v>14376</v>
      </c>
      <c r="B14376" s="2" t="str">
        <f>IFERROR(__xludf.DUMMYFUNCTION("GOOGLETRANSLATE(A14376, ""en"", ""mt"")"),"Aktar tard instabet biċċa karta li fuqha Luther kiteb l-aħħar dikjarazzjoni tiegħu. L-istqarrija kienet bil-Latin, apparti minn ""We Are Beggars,"" li kienet bil-Ġermaniż.")</f>
        <v>Aktar tard instabet biċċa karta li fuqha Luther kiteb l-aħħar dikjarazzjoni tiegħu. L-istqarrija kienet bil-Latin, apparti minn "We Are Beggars," li kienet bil-Ġermaniż.</v>
      </c>
    </row>
    <row r="14377" ht="15.75" customHeight="1">
      <c r="A14377" s="2" t="s">
        <v>14377</v>
      </c>
      <c r="B14377" s="2" t="str">
        <f>IFERROR(__xludf.DUMMYFUNCTION("GOOGLETRANSLATE(A14377, ""en"", ""mt"")"),"inċitament rewwixta interna")</f>
        <v>inċitament rewwixta interna</v>
      </c>
    </row>
    <row r="14378" ht="15.75" customHeight="1">
      <c r="A14378" s="2" t="s">
        <v>14378</v>
      </c>
      <c r="B14378" s="2" t="str">
        <f>IFERROR(__xludf.DUMMYFUNCTION("GOOGLETRANSLATE(A14378, ""en"", ""mt"")"),"Conant iddisinja programmi")</f>
        <v>Conant iddisinja programmi</v>
      </c>
    </row>
    <row r="14379" ht="15.75" customHeight="1">
      <c r="A14379" s="2" t="s">
        <v>14379</v>
      </c>
      <c r="B14379" s="2" t="str">
        <f>IFERROR(__xludf.DUMMYFUNCTION("GOOGLETRANSLATE(A14379, ""en"", ""mt"")"),"Kumitati differenti għandhom dak li stipulaw b’modi differenti?")</f>
        <v>Kumitati differenti għandhom dak li stipulaw b’modi differenti?</v>
      </c>
    </row>
    <row r="14380" ht="15.75" customHeight="1">
      <c r="A14380" s="2" t="s">
        <v>14380</v>
      </c>
      <c r="B14380" s="2" t="str">
        <f>IFERROR(__xludf.DUMMYFUNCTION("GOOGLETRANSLATE(A14380, ""en"", ""mt"")"),"X'inhu l-livell ta 'inugwaljanza f'pajjiżi sottożviluppati?")</f>
        <v>X'inhu l-livell ta 'inugwaljanza f'pajjiżi sottożviluppati?</v>
      </c>
    </row>
    <row r="14381" ht="15.75" customHeight="1">
      <c r="A14381" s="2" t="s">
        <v>14381</v>
      </c>
      <c r="B14381" s="2" t="str">
        <f>IFERROR(__xludf.DUMMYFUNCTION("GOOGLETRANSLATE(A14381, ""en"", ""mt"")"),"Liema direzzjoni joħroġ żewġ terzi tar-Renu barra l-Ġermanja?")</f>
        <v>Liema direzzjoni joħroġ żewġ terzi tar-Renu barra l-Ġermanja?</v>
      </c>
    </row>
    <row r="14382" ht="15.75" customHeight="1">
      <c r="A14382" s="2" t="s">
        <v>14382</v>
      </c>
      <c r="B14382" s="2" t="str">
        <f>IFERROR(__xludf.DUMMYFUNCTION("GOOGLETRANSLATE(A14382, ""en"", ""mt"")"),"A jew μ")</f>
        <v>A jew μ</v>
      </c>
    </row>
    <row r="14383" ht="15.75" customHeight="1">
      <c r="A14383" s="2" t="s">
        <v>14383</v>
      </c>
      <c r="B14383" s="2" t="str">
        <f>IFERROR(__xludf.DUMMYFUNCTION("GOOGLETRANSLATE(A14383, ""en"", ""mt"")"),"Liema monarkija protetti t-truppi tal-Punent?")</f>
        <v>Liema monarkija protetti t-truppi tal-Punent?</v>
      </c>
    </row>
    <row r="14384" ht="15.75" customHeight="1">
      <c r="A14384" s="2" t="s">
        <v>14384</v>
      </c>
      <c r="B14384" s="2" t="str">
        <f>IFERROR(__xludf.DUMMYFUNCTION("GOOGLETRANSLATE(A14384, ""en"", ""mt"")"),"X'kienu t-talbiet ta 'korruzzjoni fil-forzi armati?")</f>
        <v>X'kienu t-talbiet ta 'korruzzjoni fil-forzi armati?</v>
      </c>
    </row>
    <row r="14385" ht="15.75" customHeight="1">
      <c r="A14385" s="2" t="s">
        <v>14385</v>
      </c>
      <c r="B14385" s="2" t="str">
        <f>IFERROR(__xludf.DUMMYFUNCTION("GOOGLETRANSLATE(A14385, ""en"", ""mt"")"),"B'liema proċess isir l-ossiġnu singlet fit-tropophere?")</f>
        <v>B'liema proċess isir l-ossiġnu singlet fit-tropophere?</v>
      </c>
    </row>
    <row r="14386" ht="15.75" customHeight="1">
      <c r="A14386" s="2" t="s">
        <v>14386</v>
      </c>
      <c r="B14386" s="2" t="str">
        <f>IFERROR(__xludf.DUMMYFUNCTION("GOOGLETRANSLATE(A14386, ""en"", ""mt"")"),"Emissjonijiet relatati mal-karbonju")</f>
        <v>Emissjonijiet relatati mal-karbonju</v>
      </c>
    </row>
    <row r="14387" ht="15.75" customHeight="1">
      <c r="A14387" s="2" t="s">
        <v>14387</v>
      </c>
      <c r="B14387" s="2" t="str">
        <f>IFERROR(__xludf.DUMMYFUNCTION("GOOGLETRANSLATE(A14387, ""en"", ""mt"")"),"Fkieren Ninja Mutanti Teenage")</f>
        <v>Fkieren Ninja Mutanti Teenage</v>
      </c>
    </row>
    <row r="14388" ht="15.75" customHeight="1">
      <c r="A14388" s="2" t="s">
        <v>14388</v>
      </c>
      <c r="B14388" s="2" t="str">
        <f>IFERROR(__xludf.DUMMYFUNCTION("GOOGLETRANSLATE(A14388, ""en"", ""mt"")"),"X'inhu l-festival ta 'l-ikel u x-xorb magħruf bħala?")</f>
        <v>X'inhu l-festival ta 'l-ikel u x-xorb magħruf bħala?</v>
      </c>
    </row>
    <row r="14389" ht="15.75" customHeight="1">
      <c r="A14389" s="2" t="s">
        <v>14389</v>
      </c>
      <c r="B14389" s="2" t="str">
        <f>IFERROR(__xludf.DUMMYFUNCTION("GOOGLETRANSLATE(A14389, ""en"", ""mt"")"),"superjorità teknoloġika,")</f>
        <v>superjorità teknoloġika,</v>
      </c>
    </row>
    <row r="14390" ht="15.75" customHeight="1">
      <c r="A14390" s="2" t="s">
        <v>14390</v>
      </c>
      <c r="B14390" s="2" t="str">
        <f>IFERROR(__xludf.DUMMYFUNCTION("GOOGLETRANSLATE(A14390, ""en"", ""mt"")"),"X'inhi l-bażi termodinamika tal-magna tal-fwar?")</f>
        <v>X'inhi l-bażi termodinamika tal-magna tal-fwar?</v>
      </c>
    </row>
    <row r="14391" ht="15.75" customHeight="1">
      <c r="A14391" s="2" t="s">
        <v>14391</v>
      </c>
      <c r="B14391" s="2" t="str">
        <f>IFERROR(__xludf.DUMMYFUNCTION("GOOGLETRANSLATE(A14391, ""en"", ""mt"")"),"Il-Parlament ma jistax jibda leġislazzjoni kontra x-xewqat tal-kummissjoni")</f>
        <v>Il-Parlament ma jistax jibda leġislazzjoni kontra x-xewqat tal-kummissjoni</v>
      </c>
    </row>
    <row r="14392" ht="15.75" customHeight="1">
      <c r="A14392" s="2" t="s">
        <v>14392</v>
      </c>
      <c r="B14392" s="2" t="str">
        <f>IFERROR(__xludf.DUMMYFUNCTION("GOOGLETRANSLATE(A14392, ""en"", ""mt"")"),"Liema fruntiera testendi l-megaregion?")</f>
        <v>Liema fruntiera testendi l-megaregion?</v>
      </c>
    </row>
    <row r="14393" ht="15.75" customHeight="1">
      <c r="A14393" s="2" t="s">
        <v>14393</v>
      </c>
      <c r="B14393" s="2" t="str">
        <f>IFERROR(__xludf.DUMMYFUNCTION("GOOGLETRANSLATE(A14393, ""en"", ""mt"")"),"F'liema seklu saret il-mekkanika kwantistika?")</f>
        <v>F'liema seklu saret il-mekkanika kwantistika?</v>
      </c>
    </row>
    <row r="14394" ht="15.75" customHeight="1">
      <c r="A14394" s="2" t="s">
        <v>14394</v>
      </c>
      <c r="B14394" s="2" t="str">
        <f>IFERROR(__xludf.DUMMYFUNCTION("GOOGLETRANSLATE(A14394, ""en"", ""mt"")"),"Foresta ta 'Broadleaf niedja")</f>
        <v>Foresta ta 'Broadleaf niedja</v>
      </c>
    </row>
    <row r="14395" ht="15.75" customHeight="1">
      <c r="A14395" s="2" t="s">
        <v>14395</v>
      </c>
      <c r="B14395" s="2" t="str">
        <f>IFERROR(__xludf.DUMMYFUNCTION("GOOGLETRANSLATE(A14395, ""en"", ""mt"")"),"in-nar tal-element klassiku")</f>
        <v>in-nar tal-element klassiku</v>
      </c>
    </row>
    <row r="14396" ht="15.75" customHeight="1">
      <c r="A14396" s="2" t="s">
        <v>14396</v>
      </c>
      <c r="B14396" s="2" t="str">
        <f>IFERROR(__xludf.DUMMYFUNCTION("GOOGLETRANSLATE(A14396, ""en"", ""mt"")"),"X’tpej lill-Tesla li setgħet tittrasmetti?")</f>
        <v>X’tpej lill-Tesla li setgħet tittrasmetti?</v>
      </c>
    </row>
    <row r="14397" ht="15.75" customHeight="1">
      <c r="A14397" s="2" t="s">
        <v>14397</v>
      </c>
      <c r="B14397" s="2" t="str">
        <f>IFERROR(__xludf.DUMMYFUNCTION("GOOGLETRANSLATE(A14397, ""en"", ""mt"")"),"qodma")</f>
        <v>qodma</v>
      </c>
    </row>
    <row r="14398" ht="15.75" customHeight="1">
      <c r="A14398" s="2" t="s">
        <v>14398</v>
      </c>
      <c r="B14398" s="2" t="str">
        <f>IFERROR(__xludf.DUMMYFUNCTION("GOOGLETRANSLATE(A14398, ""en"", ""mt"")"),"Il-leġġenda l-iktar magħrufa")</f>
        <v>Il-leġġenda l-iktar magħrufa</v>
      </c>
    </row>
    <row r="14399" ht="15.75" customHeight="1">
      <c r="A14399" s="2" t="s">
        <v>14399</v>
      </c>
      <c r="B14399" s="2" t="str">
        <f>IFERROR(__xludf.DUMMYFUNCTION("GOOGLETRANSLATE(A14399, ""en"", ""mt"")"),"Soċjaliżmu f’pajjiż wieħed")</f>
        <v>Soċjaliżmu f’pajjiż wieħed</v>
      </c>
    </row>
    <row r="14400" ht="15.75" customHeight="1">
      <c r="A14400" s="2" t="s">
        <v>14400</v>
      </c>
      <c r="B14400" s="2" t="str">
        <f>IFERROR(__xludf.DUMMYFUNCTION("GOOGLETRANSLATE(A14400, ""en"", ""mt"")"),"Forza radjali (ċentripetali)")</f>
        <v>Forza radjali (ċentripetali)</v>
      </c>
    </row>
    <row r="14401" ht="15.75" customHeight="1">
      <c r="A14401" s="2" t="s">
        <v>14401</v>
      </c>
      <c r="B14401" s="2" t="str">
        <f>IFERROR(__xludf.DUMMYFUNCTION("GOOGLETRANSLATE(A14401, ""en"", ""mt"")"),"667,000 ditta")</f>
        <v>667,000 ditta</v>
      </c>
    </row>
    <row r="14402" ht="15.75" customHeight="1">
      <c r="A14402" s="2" t="s">
        <v>14402</v>
      </c>
      <c r="B14402" s="2" t="str">
        <f>IFERROR(__xludf.DUMMYFUNCTION("GOOGLETRANSLATE(A14402, ""en"", ""mt"")"),"X’tost Thoreau dwar il-maġġoranza?")</f>
        <v>X’tost Thoreau dwar il-maġġoranza?</v>
      </c>
    </row>
    <row r="14403" ht="15.75" customHeight="1">
      <c r="A14403" s="2" t="s">
        <v>14403</v>
      </c>
      <c r="B14403" s="2" t="str">
        <f>IFERROR(__xludf.DUMMYFUNCTION("GOOGLETRANSLATE(A14403, ""en"", ""mt"")"),"Il-Kamra tad-Dibattitu tal-Kunsill Reġjonali ta 'Strathclyde Ex-Strathclyde")</f>
        <v>Il-Kamra tad-Dibattitu tal-Kunsill Reġjonali ta 'Strathclyde Ex-Strathclyde</v>
      </c>
    </row>
    <row r="14404" ht="15.75" customHeight="1">
      <c r="A14404" s="2" t="s">
        <v>14404</v>
      </c>
      <c r="B14404" s="2" t="str">
        <f>IFERROR(__xludf.DUMMYFUNCTION("GOOGLETRANSLATE(A14404, ""en"", ""mt"")"),"Il-partit kif waqqa 'l-gvern elett fl-1989?")</f>
        <v>Il-partit kif waqqa 'l-gvern elett fl-1989?</v>
      </c>
    </row>
    <row r="14405" ht="15.75" customHeight="1">
      <c r="A14405" s="2" t="s">
        <v>14405</v>
      </c>
      <c r="B14405" s="2" t="str">
        <f>IFERROR(__xludf.DUMMYFUNCTION("GOOGLETRANSLATE(A14405, ""en"", ""mt"")"),"X'ġara lid-Dynamos fil-Power Station?")</f>
        <v>X'ġara lid-Dynamos fil-Power Station?</v>
      </c>
    </row>
    <row r="14406" ht="15.75" customHeight="1">
      <c r="A14406" s="2" t="s">
        <v>14406</v>
      </c>
      <c r="B14406" s="2" t="str">
        <f>IFERROR(__xludf.DUMMYFUNCTION("GOOGLETRANSLATE(A14406, ""en"", ""mt"")"),"Għeruq imdawwra")</f>
        <v>Għeruq imdawwra</v>
      </c>
    </row>
    <row r="14407" ht="15.75" customHeight="1">
      <c r="A14407" s="2" t="s">
        <v>14407</v>
      </c>
      <c r="B14407" s="2" t="str">
        <f>IFERROR(__xludf.DUMMYFUNCTION("GOOGLETRANSLATE(A14407, ""en"", ""mt"")"),"Ossiġnu")</f>
        <v>Ossiġnu</v>
      </c>
    </row>
    <row r="14408" ht="15.75" customHeight="1">
      <c r="A14408" s="2" t="s">
        <v>14408</v>
      </c>
      <c r="B14408" s="2" t="str">
        <f>IFERROR(__xludf.DUMMYFUNCTION("GOOGLETRANSLATE(A14408, ""en"", ""mt"")"),"Danubju")</f>
        <v>Danubju</v>
      </c>
    </row>
    <row r="14409" ht="15.75" customHeight="1">
      <c r="A14409" s="2" t="s">
        <v>14409</v>
      </c>
      <c r="B14409" s="2" t="str">
        <f>IFERROR(__xludf.DUMMYFUNCTION("GOOGLETRANSLATE(A14409, ""en"", ""mt"")"),"Kosmoloġija")</f>
        <v>Kosmoloġija</v>
      </c>
    </row>
    <row r="14410" ht="15.75" customHeight="1">
      <c r="A14410" s="2" t="s">
        <v>14410</v>
      </c>
      <c r="B14410" s="2" t="str">
        <f>IFERROR(__xludf.DUMMYFUNCTION("GOOGLETRANSLATE(A14410, ""en"", ""mt"")"),"Għal żmien twil, kien maħsub li l-foresta tropikali tal-Amażonja kienet biss ippopolata ftit, peress li kien impossibbli li ssostni popolazzjoni kbira permezz tal-agrikoltura minħabba l-ħamrija fqira. L-arkeologu Betty Meggers kienet proponent prominenti "&amp;"ta 'din l-idea, kif deskritt fil-ktieb tagħha Amazonia: Man and Culture in a Fals Paradise. Hija sostniet li densità ta 'popolazzjoni ta' 0.2 abitanti għal kull kilometru kwadru (0.52 / sq mi) hija l-massimu li jista 'jiġi sostnut fil-foresta tropikali pe"&amp;"rmezz tal-kaċċa, bl-agrikoltura meħtieġa biex tospita popolazzjoni akbar. Madankollu, sejbiet antropoloġiċi reċenti ssuġġerew li r-reġjun kien attwalment popolat densament. Xi 5 miljun persuna setgħu għexu fir-reġjun tal-Amażonja fl-1500 AD, maqsuma bejn "&amp;"insedjamenti kostali densi, bħal dak f'Marijó, u dawk li joqogħdu interni. Sal-1900 il-popolazzjoni kienet naqset għal 1 miljun u sal-bidu tas-snin 1980 kienet inqas minn 200,000.")</f>
        <v>Għal żmien twil, kien maħsub li l-foresta tropikali tal-Amażonja kienet biss ippopolata ftit, peress li kien impossibbli li ssostni popolazzjoni kbira permezz tal-agrikoltura minħabba l-ħamrija fqira. L-arkeologu Betty Meggers kienet proponent prominenti ta 'din l-idea, kif deskritt fil-ktieb tagħha Amazonia: Man and Culture in a Fals Paradise. Hija sostniet li densità ta 'popolazzjoni ta' 0.2 abitanti għal kull kilometru kwadru (0.52 / sq mi) hija l-massimu li jista 'jiġi sostnut fil-foresta tropikali permezz tal-kaċċa, bl-agrikoltura meħtieġa biex tospita popolazzjoni akbar. Madankollu, sejbiet antropoloġiċi reċenti ssuġġerew li r-reġjun kien attwalment popolat densament. Xi 5 miljun persuna setgħu għexu fir-reġjun tal-Amażonja fl-1500 AD, maqsuma bejn insedjamenti kostali densi, bħal dak f'Marijó, u dawk li joqogħdu interni. Sal-1900 il-popolazzjoni kienet naqset għal 1 miljun u sal-bidu tas-snin 1980 kienet inqas minn 200,000.</v>
      </c>
    </row>
    <row r="14411" ht="15.75" customHeight="1">
      <c r="A14411" s="2" t="s">
        <v>14411</v>
      </c>
      <c r="B14411" s="2" t="str">
        <f>IFERROR(__xludf.DUMMYFUNCTION("GOOGLETRANSLATE(A14411, ""en"", ""mt"")"),"Jacksonville sofra inqas ħsara mill-uragani mill-biċċa l-kbira tal-bliet l-oħra tal-Kosta tal-Lvant, għalkemm it-theddida teżisti għal suċċess dirett minn uragan ewlieni. Il-belt irċeviet biss suċċess dirett minn uragan mill-1871; Madankollu, Jacksonville"&amp;" esperjenza kundizzjonijiet ta 'uragan jew kważi-uragan aktar minn tużżana darbiet minħabba maltempati li jaqsmu l-istat mill-Golf tal-Messiku lejn l-Oċean Atlantiku, jew li għaddiet lejn it-tramuntana jew fin-nofsinhar fl-Atlantiku u tfarfar iż-żona. L-i"&amp;"ktar effett qawwi fuq Jacksonville kien mill-Uragan Dora fl-1964, l-unika maltempata rreġistrata li laqat l-ewwel kosta bl-irjiħat tal-forza tal-uragan sostnuti. L-għajn qasmet lil Santu Wistin bi rjieħ li kienu għadhom kemm naqas għal 110 mph (180 km / h"&amp;"), u dan jagħmilha kategorija qawwija 2 fuq l-iskala Saffir-Simpson. Jacksonville sofra wkoll ħsara mill-maltempata tropikali tal-2008 li qabdet l-istat, u ġabet partijiet minn Jacksonville taħt id-dlam għal erbat ijiem. Bl-istess mod, erba 'snin qabel da"&amp;"n, Jacksonville ġie mgħarbel mill-Uragan Frances u l-Uragan Jeanne, li għamlu l-art fin-nofsinhar taż-żona. Dawn iċ-ċikloni tropikali kienu l-aktar spejjeż indiretti għal Jacksonville. L-Uragan Floyd fl-1999 ikkawża ħsara prinċipalment lil Jacksonville Be"&amp;"ach. Matul Floyd, il-moll tal-bajja ta 'Jacksonville kien bil-ħsara kbira, u aktar tard imwaqqa'. Il-moll mibni mill-ġdid aktar tard ġie bil-ħsara minn Fay, iżda mhux meqrud. Storm Tropikali Bonnie jikkawża ħsara minuri fl-2004, li jġib tornado minuri fil"&amp;"-proċess. Fit-28 ta 'Mejju, 2012, Jacksonville intlaqat minn Tropical Storm Beryl, li jippakkja rjiħat sa 70 mil fis-siegħa (113 km / h) li għamel l-art qrib Jacksonville Beach.")</f>
        <v>Jacksonville sofra inqas ħsara mill-uragani mill-biċċa l-kbira tal-bliet l-oħra tal-Kosta tal-Lvant, għalkemm it-theddida teżisti għal suċċess dirett minn uragan ewlieni. Il-belt irċeviet biss suċċess dirett minn uragan mill-1871; Madankollu, Jacksonville esperjenza kundizzjonijiet ta 'uragan jew kważi-uragan aktar minn tużżana darbiet minħabba maltempati li jaqsmu l-istat mill-Golf tal-Messiku lejn l-Oċean Atlantiku, jew li għaddiet lejn it-tramuntana jew fin-nofsinhar fl-Atlantiku u tfarfar iż-żona. L-iktar effett qawwi fuq Jacksonville kien mill-Uragan Dora fl-1964, l-unika maltempata rreġistrata li laqat l-ewwel kosta bl-irjiħat tal-forza tal-uragan sostnuti. L-għajn qasmet lil Santu Wistin bi rjieħ li kienu għadhom kemm naqas għal 110 mph (180 km / h), u dan jagħmilha kategorija qawwija 2 fuq l-iskala Saffir-Simpson. Jacksonville sofra wkoll ħsara mill-maltempata tropikali tal-2008 li qabdet l-istat, u ġabet partijiet minn Jacksonville taħt id-dlam għal erbat ijiem. Bl-istess mod, erba 'snin qabel dan, Jacksonville ġie mgħarbel mill-Uragan Frances u l-Uragan Jeanne, li għamlu l-art fin-nofsinhar taż-żona. Dawn iċ-ċikloni tropikali kienu l-aktar spejjeż indiretti għal Jacksonville. L-Uragan Floyd fl-1999 ikkawża ħsara prinċipalment lil Jacksonville Beach. Matul Floyd, il-moll tal-bajja ta 'Jacksonville kien bil-ħsara kbira, u aktar tard imwaqqa'. Il-moll mibni mill-ġdid aktar tard ġie bil-ħsara minn Fay, iżda mhux meqrud. Storm Tropikali Bonnie jikkawża ħsara minuri fl-2004, li jġib tornado minuri fil-proċess. Fit-28 ta 'Mejju, 2012, Jacksonville intlaqat minn Tropical Storm Beryl, li jippakkja rjiħat sa 70 mil fis-siegħa (113 km / h) li għamel l-art qrib Jacksonville Beach.</v>
      </c>
    </row>
    <row r="14412" ht="15.75" customHeight="1">
      <c r="A14412" s="2" t="s">
        <v>14412</v>
      </c>
      <c r="B14412" s="2" t="str">
        <f>IFERROR(__xludf.DUMMYFUNCTION("GOOGLETRANSLATE(A14412, ""en"", ""mt"")"),"Il-livell tal-litteriżmu tal-pajjiż huwa ta '85% tal-popolazzjoni kollha. Preschool, li jimmira lejn tfal minn tlieta sa ħamsa, huwa komponent integrali tas-sistema edukattiva u huwa rekwiżit ewlieni għall-ammissjoni għall-istandard wieħed (l-ewwel grad)."&amp;" Fi tmiem l-edukazzjoni primarja, l-istudenti joqogħdu ċ-Ċertifikat tal-Edukazzjoni Primarja tal-Kenja (KCPE), li jiddetermina dawk li jipproċedu għall-iskola sekondarja jew taħriġ vokazzjonali. Ir-riżultat ta 'dan l-eżami huwa meħtieġ għat-tqegħid fl-isk"&amp;"ola sekondarja. L-età tal-iskola primarja hija 6 / 7-13 / 14-il sena. Għal dawk li jipproċedu għal-livell sekondarju, hemm eżami nazzjonali fi tmiem il-Formola Erba '- iċ-Ċertifikat tal-Edukazzjoni Sekondarja tal-Kenja (KCSE), li jiddetermina dawk li jipp"&amp;"roċedu għall-universitajiet, taħriġ professjonali ieħor jew impjieg. L-istudenti joqogħdu eżamijiet fi tmien suġġetti tal-għażla tagħhom. Madankollu, l-Ingliż, il-Kiswahili (lingwi) u l-matematika huma suġġetti obbligatorji.")</f>
        <v>Il-livell tal-litteriżmu tal-pajjiż huwa ta '85% tal-popolazzjoni kollha. Preschool, li jimmira lejn tfal minn tlieta sa ħamsa, huwa komponent integrali tas-sistema edukattiva u huwa rekwiżit ewlieni għall-ammissjoni għall-istandard wieħed (l-ewwel grad). Fi tmiem l-edukazzjoni primarja, l-istudenti joqogħdu ċ-Ċertifikat tal-Edukazzjoni Primarja tal-Kenja (KCPE), li jiddetermina dawk li jipproċedu għall-iskola sekondarja jew taħriġ vokazzjonali. Ir-riżultat ta 'dan l-eżami huwa meħtieġ għat-tqegħid fl-iskola sekondarja. L-età tal-iskola primarja hija 6 / 7-13 / 14-il sena. Għal dawk li jipproċedu għal-livell sekondarju, hemm eżami nazzjonali fi tmiem il-Formola Erba '- iċ-Ċertifikat tal-Edukazzjoni Sekondarja tal-Kenja (KCSE), li jiddetermina dawk li jipproċedu għall-universitajiet, taħriġ professjonali ieħor jew impjieg. L-istudenti joqogħdu eżamijiet fi tmien suġġetti tal-għażla tagħhom. Madankollu, l-Ingliż, il-Kiswahili (lingwi) u l-matematika huma suġġetti obbligatorji.</v>
      </c>
    </row>
    <row r="14413" ht="15.75" customHeight="1">
      <c r="A14413" s="2" t="s">
        <v>14413</v>
      </c>
      <c r="B14413" s="2" t="str">
        <f>IFERROR(__xludf.DUMMYFUNCTION("GOOGLETRANSLATE(A14413, ""en"", ""mt"")"),"eżempju problema")</f>
        <v>eżempju problema</v>
      </c>
    </row>
    <row r="14414" ht="15.75" customHeight="1">
      <c r="A14414" s="2" t="s">
        <v>14414</v>
      </c>
      <c r="B14414" s="2" t="str">
        <f>IFERROR(__xludf.DUMMYFUNCTION("GOOGLETRANSLATE(A14414, ""en"", ""mt"")"),"Mikroorganiżmi")</f>
        <v>Mikroorganiżmi</v>
      </c>
    </row>
    <row r="14415" ht="15.75" customHeight="1">
      <c r="A14415" s="2" t="s">
        <v>14415</v>
      </c>
      <c r="B14415" s="2" t="str">
        <f>IFERROR(__xludf.DUMMYFUNCTION("GOOGLETRANSLATE(A14415, ""en"", ""mt"")"),"X'inhu l-iktar tip importanti ta 'arti Norman ippreservata fil-knejjes?")</f>
        <v>X'inhu l-iktar tip importanti ta 'arti Norman ippreservata fil-knejjes?</v>
      </c>
    </row>
    <row r="14416" ht="15.75" customHeight="1">
      <c r="A14416" s="2" t="s">
        <v>14416</v>
      </c>
      <c r="B14416" s="2" t="str">
        <f>IFERROR(__xludf.DUMMYFUNCTION("GOOGLETRANSLATE(A14416, ""en"", ""mt"")"),"Sit tal-Wirt Dinji tal-UNESCO")</f>
        <v>Sit tal-Wirt Dinji tal-UNESCO</v>
      </c>
    </row>
    <row r="14417" ht="15.75" customHeight="1">
      <c r="A14417" s="2" t="s">
        <v>14417</v>
      </c>
      <c r="B14417" s="2" t="str">
        <f>IFERROR(__xludf.DUMMYFUNCTION("GOOGLETRANSLATE(A14417, ""en"", ""mt"")"),"Liema skejjel tal-pajjiż għandhom kodiċi ta 'mġieba li huma stretti ħafna?")</f>
        <v>Liema skejjel tal-pajjiż għandhom kodiċi ta 'mġieba li huma stretti ħafna?</v>
      </c>
    </row>
    <row r="14418" ht="15.75" customHeight="1">
      <c r="A14418" s="2" t="s">
        <v>14418</v>
      </c>
      <c r="B14418" s="2" t="str">
        <f>IFERROR(__xludf.DUMMYFUNCTION("GOOGLETRANSLATE(A14418, ""en"", ""mt"")"),"L-Ewwel Gwerra Dinjija.")</f>
        <v>L-Ewwel Gwerra Dinjija.</v>
      </c>
    </row>
    <row r="14419" ht="15.75" customHeight="1">
      <c r="A14419" s="2" t="s">
        <v>14419</v>
      </c>
      <c r="B14419" s="2" t="str">
        <f>IFERROR(__xludf.DUMMYFUNCTION("GOOGLETRANSLATE(A14419, ""en"", ""mt"")"),"Flimkien ma 'trusts, liema profitti oħra huma permessi li jmexxu skejjel fl-Indja?")</f>
        <v>Flimkien ma 'trusts, liema profitti oħra huma permessi li jmexxu skejjel fl-Indja?</v>
      </c>
    </row>
    <row r="14420" ht="15.75" customHeight="1">
      <c r="A14420" s="2" t="s">
        <v>14420</v>
      </c>
      <c r="B14420" s="2" t="str">
        <f>IFERROR(__xludf.DUMMYFUNCTION("GOOGLETRANSLATE(A14420, ""en"", ""mt"")"),"Twaqqif ta '""Fruntieri Naturali""")</f>
        <v>Twaqqif ta '"Fruntieri Naturali"</v>
      </c>
    </row>
    <row r="14421" ht="15.75" customHeight="1">
      <c r="A14421" s="2" t="s">
        <v>14421</v>
      </c>
      <c r="B14421" s="2" t="str">
        <f>IFERROR(__xludf.DUMMYFUNCTION("GOOGLETRANSLATE(A14421, ""en"", ""mt"")"),"X'inhi waħda mill-ewwel tweġibiet li s-sistema immuni għandha l-infezzjoni?")</f>
        <v>X'inhi waħda mill-ewwel tweġibiet li s-sistema immuni għandha l-infezzjoni?</v>
      </c>
    </row>
    <row r="14422" ht="15.75" customHeight="1">
      <c r="A14422" s="2" t="s">
        <v>14422</v>
      </c>
      <c r="B14422" s="2" t="str">
        <f>IFERROR(__xludf.DUMMYFUNCTION("GOOGLETRANSLATE(A14422, ""en"", ""mt"")"),"Luther kiteb ""aus tiefer mhux schrei ich zu dir"" (""Mill-fond ta 'gwaj i cry to you"") fl-1523 bħala verżjoni hymnic ta' Salm 130 u bagħatha bħala kampjun biex tħeġġeġ lill-kollegi evanġeliċi biex jiktbu l-innijiet tas-salm għall-użu fi Qima Ġermaniża. "&amp;"F'kollaborazzjoni ma 'Paul Speratus, dan u seba' innijiet oħra ġew ippubblikati f'The Achtliederbuch, l-ewwel innu Luteran. Fl-1524 Luther żviluppa l-parafrażi oriġinali tiegħu ta 'erba' stanza f'innu ta 'riforma ta' ħames stanza li żviluppa t-tema ta '"""&amp;"Grace waħdu"" b'mod aktar sħiħ. Minħabba li esprima d-duttrina ta 'riformazzjoni essenzjali, din il-verżjoni estiża ta' ""Aus Tiefer Not"" ġiet innominata bħala komponent regolari ta 'bosta liturġiji reġjonali tal-Luterani u kienet użata ħafna fil-funeral"&amp;", inkluż Luther's stess. Flimkien mal-verżjoni innu ta 'Erhart Hegenwalt ta' Salm 51, l-innu estiż ta 'Luther ġie adottat ukoll għall-użu mal-ħames parti tal-katekiżmu ta' Luther, li jikkonċerna l-konfessjoni.")</f>
        <v>Luther kiteb "aus tiefer mhux schrei ich zu dir" ("Mill-fond ta 'gwaj i cry to you") fl-1523 bħala verżjoni hymnic ta' Salm 130 u bagħatha bħala kampjun biex tħeġġeġ lill-kollegi evanġeliċi biex jiktbu l-innijiet tas-salm għall-użu fi Qima Ġermaniża. F'kollaborazzjoni ma 'Paul Speratus, dan u seba' innijiet oħra ġew ippubblikati f'The Achtliederbuch, l-ewwel innu Luteran. Fl-1524 Luther żviluppa l-parafrażi oriġinali tiegħu ta 'erba' stanza f'innu ta 'riforma ta' ħames stanza li żviluppa t-tema ta '"Grace waħdu" b'mod aktar sħiħ. Minħabba li esprima d-duttrina ta 'riformazzjoni essenzjali, din il-verżjoni estiża ta' "Aus Tiefer Not" ġiet innominata bħala komponent regolari ta 'bosta liturġiji reġjonali tal-Luterani u kienet użata ħafna fil-funeral, inkluż Luther's stess. Flimkien mal-verżjoni innu ta 'Erhart Hegenwalt ta' Salm 51, l-innu estiż ta 'Luther ġie adottat ukoll għall-użu mal-ħames parti tal-katekiżmu ta' Luther, li jikkonċerna l-konfessjoni.</v>
      </c>
    </row>
    <row r="14423" ht="15.75" customHeight="1">
      <c r="A14423" s="2" t="s">
        <v>14423</v>
      </c>
      <c r="B14423" s="2" t="str">
        <f>IFERROR(__xludf.DUMMYFUNCTION("GOOGLETRANSLATE(A14423, ""en"", ""mt"")"),"Iffirmar tat-Trattat ta 'Pariġi fl-10 ta' Frar 1763")</f>
        <v>Iffirmar tat-Trattat ta 'Pariġi fl-10 ta' Frar 1763</v>
      </c>
    </row>
    <row r="14424" ht="15.75" customHeight="1">
      <c r="A14424" s="2" t="s">
        <v>14424</v>
      </c>
      <c r="B14424" s="2" t="str">
        <f>IFERROR(__xludf.DUMMYFUNCTION("GOOGLETRANSLATE(A14424, ""en"", ""mt"")"),"il-ħalq u l-farinġi")</f>
        <v>il-ħalq u l-farinġi</v>
      </c>
    </row>
    <row r="14425" ht="15.75" customHeight="1">
      <c r="A14425" s="2" t="s">
        <v>14425</v>
      </c>
      <c r="B14425" s="2" t="str">
        <f>IFERROR(__xludf.DUMMYFUNCTION("GOOGLETRANSLATE(A14425, ""en"", ""mt"")"),"Arkitettura Neoklassika")</f>
        <v>Arkitettura Neoklassika</v>
      </c>
    </row>
    <row r="14426" ht="15.75" customHeight="1">
      <c r="A14426" s="2" t="s">
        <v>14426</v>
      </c>
      <c r="B14426" s="2" t="str">
        <f>IFERROR(__xludf.DUMMYFUNCTION("GOOGLETRANSLATE(A14426, ""en"", ""mt"")"),"Katekiżmu")</f>
        <v>Katekiżmu</v>
      </c>
    </row>
    <row r="14427" ht="15.75" customHeight="1">
      <c r="A14427" s="2" t="s">
        <v>14427</v>
      </c>
      <c r="B14427" s="2" t="str">
        <f>IFERROR(__xludf.DUMMYFUNCTION("GOOGLETRANSLATE(A14427, ""en"", ""mt"")"),"Kif tirreplika l-biċċa l-kbira tal-pjanti tal-pjanti?")</f>
        <v>Kif tirreplika l-biċċa l-kbira tal-pjanti tal-pjanti?</v>
      </c>
    </row>
    <row r="14428" ht="15.75" customHeight="1">
      <c r="A14428" s="2" t="s">
        <v>14428</v>
      </c>
      <c r="B14428" s="2" t="str">
        <f>IFERROR(__xludf.DUMMYFUNCTION("GOOGLETRANSLATE(A14428, ""en"", ""mt"")"),"ir-rieda tal-politiċi elite")</f>
        <v>ir-rieda tal-politiċi elite</v>
      </c>
    </row>
    <row r="14429" ht="15.75" customHeight="1">
      <c r="A14429" s="2" t="s">
        <v>14429</v>
      </c>
      <c r="B14429" s="2" t="str">
        <f>IFERROR(__xludf.DUMMYFUNCTION("GOOGLETRANSLATE(A14429, ""en"", ""mt"")"),"Għaliex Luther ikkundanna l-voti ta 'ċelibat?")</f>
        <v>Għaliex Luther ikkundanna l-voti ta 'ċelibat?</v>
      </c>
    </row>
    <row r="14430" ht="15.75" customHeight="1">
      <c r="A14430" s="2" t="s">
        <v>14430</v>
      </c>
      <c r="B14430" s="2" t="str">
        <f>IFERROR(__xludf.DUMMYFUNCTION("GOOGLETRANSLATE(A14430, ""en"", ""mt"")"),"Kien il-pjan għall-missjoni Langlades?")</f>
        <v>Kien il-pjan għall-missjoni Langlades?</v>
      </c>
    </row>
    <row r="14431" ht="15.75" customHeight="1">
      <c r="A14431" s="2" t="s">
        <v>14431</v>
      </c>
      <c r="B14431" s="2" t="str">
        <f>IFERROR(__xludf.DUMMYFUNCTION("GOOGLETRANSLATE(A14431, ""en"", ""mt"")"),"Teorema ta 'tħaffif")</f>
        <v>Teorema ta 'tħaffif</v>
      </c>
    </row>
    <row r="14432" ht="15.75" customHeight="1">
      <c r="A14432" s="2" t="s">
        <v>14432</v>
      </c>
      <c r="B14432" s="2" t="str">
        <f>IFERROR(__xludf.DUMMYFUNCTION("GOOGLETRANSLATE(A14432, ""en"", ""mt"")"),"l-aktar sempliċi")</f>
        <v>l-aktar sempliċi</v>
      </c>
    </row>
    <row r="14433" ht="15.75" customHeight="1">
      <c r="A14433" s="2" t="s">
        <v>14433</v>
      </c>
      <c r="B14433" s="2" t="str">
        <f>IFERROR(__xludf.DUMMYFUNCTION("GOOGLETRANSLATE(A14433, ""en"", ""mt"")"),"Iqbal inkwetat li l-popolazzjoni l-aktar hindu tal-Indja tagħmel dak li l-wirt u l-kultura Musulmana?")</f>
        <v>Iqbal inkwetat li l-popolazzjoni l-aktar hindu tal-Indja tagħmel dak li l-wirt u l-kultura Musulmana?</v>
      </c>
    </row>
    <row r="14434" ht="15.75" customHeight="1">
      <c r="A14434" s="2" t="s">
        <v>14434</v>
      </c>
      <c r="B14434" s="2" t="str">
        <f>IFERROR(__xludf.DUMMYFUNCTION("GOOGLETRANSLATE(A14434, ""en"", ""mt"")"),"Il-bozza tad-dawl inkandexxenti")</f>
        <v>Il-bozza tad-dawl inkandexxenti</v>
      </c>
    </row>
    <row r="14435" ht="15.75" customHeight="1">
      <c r="A14435" s="2" t="s">
        <v>14435</v>
      </c>
      <c r="B14435" s="2" t="str">
        <f>IFERROR(__xludf.DUMMYFUNCTION("GOOGLETRANSLATE(A14435, ""en"", ""mt"")"),"prekursur tal-klorofilla isfar")</f>
        <v>prekursur tal-klorofilla isfar</v>
      </c>
    </row>
    <row r="14436" ht="15.75" customHeight="1">
      <c r="A14436" s="2" t="s">
        <v>14436</v>
      </c>
      <c r="B14436" s="2" t="str">
        <f>IFERROR(__xludf.DUMMYFUNCTION("GOOGLETRANSLATE(A14436, ""en"", ""mt"")"),"Liġi tal-Iswed")</f>
        <v>Liġi tal-Iswed</v>
      </c>
    </row>
    <row r="14437" ht="15.75" customHeight="1">
      <c r="A14437" s="2" t="s">
        <v>14437</v>
      </c>
      <c r="B14437" s="2" t="str">
        <f>IFERROR(__xludf.DUMMYFUNCTION("GOOGLETRANSLATE(A14437, ""en"", ""mt"")"),"X'kienet Davies riedet tibni")</f>
        <v>X'kienet Davies riedet tibni</v>
      </c>
    </row>
    <row r="14438" ht="15.75" customHeight="1">
      <c r="A14438" s="2" t="s">
        <v>14438</v>
      </c>
      <c r="B14438" s="2" t="str">
        <f>IFERROR(__xludf.DUMMYFUNCTION("GOOGLETRANSLATE(A14438, ""en"", ""mt"")"),"Liema bini kienet l-esperjenza tal-NFL li saret għal Super Bowl 50?")</f>
        <v>Liema bini kienet l-esperjenza tal-NFL li saret għal Super Bowl 50?</v>
      </c>
    </row>
    <row r="14439" ht="15.75" customHeight="1">
      <c r="A14439" s="2" t="s">
        <v>14439</v>
      </c>
      <c r="B14439" s="2" t="str">
        <f>IFERROR(__xludf.DUMMYFUNCTION("GOOGLETRANSLATE(A14439, ""en"", ""mt"")"),"Meta l-kumpaniji tal-karozzi Amerikani ħarġu bil-karozzi sostituti domestiċi tagħhom, liema politika ntemmet?")</f>
        <v>Meta l-kumpaniji tal-karozzi Amerikani ħarġu bil-karozzi sostituti domestiċi tagħhom, liema politika ntemmet?</v>
      </c>
    </row>
    <row r="14440" ht="15.75" customHeight="1">
      <c r="A14440" s="2" t="s">
        <v>14440</v>
      </c>
      <c r="B14440" s="2" t="str">
        <f>IFERROR(__xludf.DUMMYFUNCTION("GOOGLETRANSLATE(A14440, ""en"", ""mt"")"),"Iċ-ċirkwit tiegħu u apparat li jipproduċi r-raġġi X b'node wieħed")</f>
        <v>Iċ-ċirkwit tiegħu u apparat li jipproduċi r-raġġi X b'node wieħed</v>
      </c>
    </row>
    <row r="14441" ht="15.75" customHeight="1">
      <c r="A14441" s="2" t="s">
        <v>14441</v>
      </c>
      <c r="B14441" s="2" t="str">
        <f>IFERROR(__xludf.DUMMYFUNCTION("GOOGLETRANSLATE(A14441, ""en"", ""mt"")"),"il-qerda ta 'Iżrael")</f>
        <v>il-qerda ta 'Iżrael</v>
      </c>
    </row>
    <row r="14442" ht="15.75" customHeight="1">
      <c r="A14442" s="2" t="s">
        <v>14442</v>
      </c>
      <c r="B14442" s="2" t="str">
        <f>IFERROR(__xludf.DUMMYFUNCTION("GOOGLETRANSLATE(A14442, ""en"", ""mt"")"),"L-Iskola tal-Amministrazzjoni tas-Servizz Soċjali tal-Università")</f>
        <v>L-Iskola tal-Amministrazzjoni tas-Servizz Soċjali tal-Università</v>
      </c>
    </row>
    <row r="14443" ht="15.75" customHeight="1">
      <c r="A14443" s="2" t="s">
        <v>14443</v>
      </c>
      <c r="B14443" s="2" t="str">
        <f>IFERROR(__xludf.DUMMYFUNCTION("GOOGLETRANSLATE(A14443, ""en"", ""mt"")"),"Effett Pulfrich")</f>
        <v>Effett Pulfrich</v>
      </c>
    </row>
    <row r="14444" ht="15.75" customHeight="1">
      <c r="A14444" s="2" t="s">
        <v>14444</v>
      </c>
      <c r="B14444" s="2" t="str">
        <f>IFERROR(__xludf.DUMMYFUNCTION("GOOGLETRANSLATE(A14444, ""en"", ""mt"")"),"Evalwazzjoni tal-adegwatezza tat-terapija tal-mediċina")</f>
        <v>Evalwazzjoni tal-adegwatezza tat-terapija tal-mediċina</v>
      </c>
    </row>
    <row r="14445" ht="15.75" customHeight="1">
      <c r="A14445" s="2" t="s">
        <v>14445</v>
      </c>
      <c r="B14445" s="2" t="str">
        <f>IFERROR(__xludf.DUMMYFUNCTION("GOOGLETRANSLATE(A14445, ""en"", ""mt"")"),"Madwar kemm hemm tpinġijiet tal-perit Taljan Andrea Palladio fil-kollezzjoni RIBA?")</f>
        <v>Madwar kemm hemm tpinġijiet tal-perit Taljan Andrea Palladio fil-kollezzjoni RIBA?</v>
      </c>
    </row>
    <row r="14446" ht="15.75" customHeight="1">
      <c r="A14446" s="2" t="s">
        <v>14446</v>
      </c>
      <c r="B14446" s="2" t="str">
        <f>IFERROR(__xludf.DUMMYFUNCTION("GOOGLETRANSLATE(A14446, ""en"", ""mt"")"),"Kemm hemm nisel tal-kloroplast?")</f>
        <v>Kemm hemm nisel tal-kloroplast?</v>
      </c>
    </row>
    <row r="14447" ht="15.75" customHeight="1">
      <c r="A14447" s="2" t="s">
        <v>14447</v>
      </c>
      <c r="B14447" s="2" t="str">
        <f>IFERROR(__xludf.DUMMYFUNCTION("GOOGLETRANSLATE(A14447, ""en"", ""mt"")"),"Konsorzju mmexxi mill-Istitut Internazzjonali tar-Riċerka dwar l-Uċuħ għat-Tropiċi semi-aridi (ICRISAT) kellu xi suċċess biex jgħin lill-bdiewa jikbru varjetajiet ġodda tal-piżelli tal-ħamiem, minflok il-qamħirrum, f'żoni partikolarment niexfa. Il-piżelli"&amp;" tal-ħamiem huma reżistenti għan-nixfa ħafna, u għalhekk jistgħu jitkabbru f'żoni b'inqas minn 650 mm xita annwali. Proġetti suċċessivi ħeġġew il-kummerċjalizzazzjoni tal-legumi, billi stimulaw it-tkabbir tal-produzzjoni lokali taż-żerriegħa u n-netwerks "&amp;"agro-negozjanti għad-distribuzzjoni u l-kummerċjalizzazzjoni. Dan ix-xogħol, li kien jinkludi l-konnessjoni tal-produtturi ma 'bejjiegħa bl-ingrossa, għen biex jiżdiedu l-prezzijiet tal-produtturi lokali b'20-25% f'Nairobi u Mombasa. Il-kummerċjalizzazzjo"&amp;"ni tal-piżelli tal-ħamiem issa tippermetti lil xi bdiewa jixtru assi, li jvarjaw minn telefowns ċellulari għal art produttiva u bhejjem, u qed tiftaħ mogħdijiet biex dawn joħorġu mill-faqar.")</f>
        <v>Konsorzju mmexxi mill-Istitut Internazzjonali tar-Riċerka dwar l-Uċuħ għat-Tropiċi semi-aridi (ICRISAT) kellu xi suċċess biex jgħin lill-bdiewa jikbru varjetajiet ġodda tal-piżelli tal-ħamiem, minflok il-qamħirrum, f'żoni partikolarment niexfa. Il-piżelli tal-ħamiem huma reżistenti għan-nixfa ħafna, u għalhekk jistgħu jitkabbru f'żoni b'inqas minn 650 mm xita annwali. Proġetti suċċessivi ħeġġew il-kummerċjalizzazzjoni tal-legumi, billi stimulaw it-tkabbir tal-produzzjoni lokali taż-żerriegħa u n-netwerks agro-negozjanti għad-distribuzzjoni u l-kummerċjalizzazzjoni. Dan ix-xogħol, li kien jinkludi l-konnessjoni tal-produtturi ma 'bejjiegħa bl-ingrossa, għen biex jiżdiedu l-prezzijiet tal-produtturi lokali b'20-25% f'Nairobi u Mombasa. Il-kummerċjalizzazzjoni tal-piżelli tal-ħamiem issa tippermetti lil xi bdiewa jixtru assi, li jvarjaw minn telefowns ċellulari għal art produttiva u bhejjem, u qed tiftaħ mogħdijiet biex dawn joħorġu mill-faqar.</v>
      </c>
    </row>
    <row r="14448" ht="15.75" customHeight="1">
      <c r="A14448" s="2" t="s">
        <v>14448</v>
      </c>
      <c r="B14448" s="2" t="str">
        <f>IFERROR(__xludf.DUMMYFUNCTION("GOOGLETRANSLATE(A14448, ""en"", ""mt"")"),"L-Unjoni Nazzjonali Afrikana tal-Kenja (Kanu) ta 'Jomo Kenyatta")</f>
        <v>L-Unjoni Nazzjonali Afrikana tal-Kenja (Kanu) ta 'Jomo Kenyatta</v>
      </c>
    </row>
    <row r="14449" ht="15.75" customHeight="1">
      <c r="A14449" s="2" t="s">
        <v>14449</v>
      </c>
      <c r="B14449" s="2" t="str">
        <f>IFERROR(__xludf.DUMMYFUNCTION("GOOGLETRANSLATE(A14449, ""en"", ""mt"")"),"Jacksonville hija l-iktar belt popolata fi Florida, u t-tnax-il belt l-iktar popolata fl-Istati Uniti. Mill-2010 [aġġornament], kien hemm 821.784 persuna u 366,273 djar fil-belt. Jacksonville għandu l-għaxar l-akbar popolazzjoni Għarbija tal-pajjiż, b'pop"&amp;"olazzjoni totali ta '5,751 skond iċ-Ċensiment ta' l-Istati Uniti ta 'l-2000. Jacksonville għandu l-akbar komunità Amerikana Filippina ta 'Florida, b'25,033 fiż-żona metropolitana miċ-ċensiment tal-2010. Ħafna mill-komunità Filippina ta 'Jacksonville serva"&amp;" jew għandha rabtiet man-Navy ta' l-Istati Uniti.")</f>
        <v>Jacksonville hija l-iktar belt popolata fi Florida, u t-tnax-il belt l-iktar popolata fl-Istati Uniti. Mill-2010 [aġġornament], kien hemm 821.784 persuna u 366,273 djar fil-belt. Jacksonville għandu l-għaxar l-akbar popolazzjoni Għarbija tal-pajjiż, b'popolazzjoni totali ta '5,751 skond iċ-Ċensiment ta' l-Istati Uniti ta 'l-2000. Jacksonville għandu l-akbar komunità Amerikana Filippina ta 'Florida, b'25,033 fiż-żona metropolitana miċ-ċensiment tal-2010. Ħafna mill-komunità Filippina ta 'Jacksonville serva jew għandha rabtiet man-Navy ta' l-Istati Uniti.</v>
      </c>
    </row>
    <row r="14450" ht="15.75" customHeight="1">
      <c r="A14450" s="2" t="s">
        <v>14450</v>
      </c>
      <c r="B14450" s="2" t="str">
        <f>IFERROR(__xludf.DUMMYFUNCTION("GOOGLETRANSLATE(A14450, ""en"", ""mt"")"),"Ir-Renu huwa l-itwal xmara f'liema pajjiż?")</f>
        <v>Ir-Renu huwa l-itwal xmara f'liema pajjiż?</v>
      </c>
    </row>
    <row r="14451" ht="15.75" customHeight="1">
      <c r="A14451" s="2" t="s">
        <v>14451</v>
      </c>
      <c r="B14451" s="2" t="str">
        <f>IFERROR(__xludf.DUMMYFUNCTION("GOOGLETRANSLATE(A14451, ""en"", ""mt"")"),"Teleskopju Solari")</f>
        <v>Teleskopju Solari</v>
      </c>
    </row>
    <row r="14452" ht="15.75" customHeight="1">
      <c r="A14452" s="2" t="s">
        <v>14452</v>
      </c>
      <c r="B14452" s="2" t="str">
        <f>IFERROR(__xludf.DUMMYFUNCTION("GOOGLETRANSLATE(A14452, ""en"", ""mt"")"),"il-piż tal-oġġett")</f>
        <v>il-piż tal-oġġett</v>
      </c>
    </row>
    <row r="14453" ht="15.75" customHeight="1">
      <c r="A14453" s="2" t="s">
        <v>14453</v>
      </c>
      <c r="B14453" s="2" t="str">
        <f>IFERROR(__xludf.DUMMYFUNCTION("GOOGLETRANSLATE(A14453, ""en"", ""mt"")"),"X'tip ta 'mozzjoni pproduċiet kontinwament il-magna tal-fwar ta' Watt?")</f>
        <v>X'tip ta 'mozzjoni pproduċiet kontinwament il-magna tal-fwar ta' Watt?</v>
      </c>
    </row>
    <row r="14454" ht="15.75" customHeight="1">
      <c r="A14454" s="2" t="s">
        <v>14454</v>
      </c>
      <c r="B14454" s="2" t="str">
        <f>IFERROR(__xludf.DUMMYFUNCTION("GOOGLETRANSLATE(A14454, ""en"", ""mt"")"),"Karta tal-flus tal-benesseri")</f>
        <v>Karta tal-flus tal-benesseri</v>
      </c>
    </row>
    <row r="14455" ht="15.75" customHeight="1">
      <c r="A14455" s="2" t="s">
        <v>14455</v>
      </c>
      <c r="B14455" s="2" t="str">
        <f>IFERROR(__xludf.DUMMYFUNCTION("GOOGLETRANSLATE(A14455, ""en"", ""mt"")"),"L-ispejjeż żejda bi proġetti tal-gvern seħħew meta l-kuntrattur għamel xiex?")</f>
        <v>L-ispejjeż żejda bi proġetti tal-gvern seħħew meta l-kuntrattur għamel xiex?</v>
      </c>
    </row>
    <row r="14456" ht="15.75" customHeight="1">
      <c r="A14456" s="2" t="s">
        <v>14456</v>
      </c>
      <c r="B14456" s="2" t="str">
        <f>IFERROR(__xludf.DUMMYFUNCTION("GOOGLETRANSLATE(A14456, ""en"", ""mt"")"),"X’għamlu x-xrar għall-insulazzjoni?")</f>
        <v>X’għamlu x-xrar għall-insulazzjoni?</v>
      </c>
    </row>
    <row r="14457" ht="15.75" customHeight="1">
      <c r="A14457" s="2" t="s">
        <v>14457</v>
      </c>
      <c r="B14457" s="2" t="str">
        <f>IFERROR(__xludf.DUMMYFUNCTION("GOOGLETRANSLATE(A14457, ""en"", ""mt"")"),"X'inhu l-innu magħruf bħala bl-Ingliż?")</f>
        <v>X'inhu l-innu magħruf bħala bl-Ingliż?</v>
      </c>
    </row>
    <row r="14458" ht="15.75" customHeight="1">
      <c r="A14458" s="2" t="s">
        <v>14458</v>
      </c>
      <c r="B14458" s="2" t="str">
        <f>IFERROR(__xludf.DUMMYFUNCTION("GOOGLETRANSLATE(A14458, ""en"", ""mt"")"),"Sky + HD Box")</f>
        <v>Sky + HD Box</v>
      </c>
    </row>
    <row r="14459" ht="15.75" customHeight="1">
      <c r="A14459" s="2" t="s">
        <v>14459</v>
      </c>
      <c r="B14459" s="2" t="str">
        <f>IFERROR(__xludf.DUMMYFUNCTION("GOOGLETRANSLATE(A14459, ""en"", ""mt"")"),"X'kien l-iskop ta 'csnet")</f>
        <v>X'kien l-iskop ta 'csnet</v>
      </c>
    </row>
    <row r="14460" ht="15.75" customHeight="1">
      <c r="A14460" s="2" t="s">
        <v>14460</v>
      </c>
      <c r="B14460" s="2" t="str">
        <f>IFERROR(__xludf.DUMMYFUNCTION("GOOGLETRANSLATE(A14460, ""en"", ""mt"")"),"mmejla u ħruq")</f>
        <v>mmejla u ħruq</v>
      </c>
    </row>
    <row r="14461" ht="15.75" customHeight="1">
      <c r="A14461" s="2" t="s">
        <v>14461</v>
      </c>
      <c r="B14461" s="2" t="str">
        <f>IFERROR(__xludf.DUMMYFUNCTION("GOOGLETRANSLATE(A14461, ""en"", ""mt"")"),"Chen's")</f>
        <v>Chen's</v>
      </c>
    </row>
    <row r="14462" ht="15.75" customHeight="1">
      <c r="A14462" s="2" t="s">
        <v>14462</v>
      </c>
      <c r="B14462" s="2" t="str">
        <f>IFERROR(__xludf.DUMMYFUNCTION("GOOGLETRANSLATE(A14462, ""en"", ""mt"")"),"X'inhuma żewġ klassijiet ta 'kumplessità bejn L u P?")</f>
        <v>X'inhuma żewġ klassijiet ta 'kumplessità bejn L u P?</v>
      </c>
    </row>
    <row r="14463" ht="15.75" customHeight="1">
      <c r="A14463" s="2" t="s">
        <v>14463</v>
      </c>
      <c r="B14463" s="2" t="str">
        <f>IFERROR(__xludf.DUMMYFUNCTION("GOOGLETRANSLATE(A14463, ""en"", ""mt"")"),"korp ta 'trattati u leġislazzjoni")</f>
        <v>korp ta 'trattati u leġislazzjoni</v>
      </c>
    </row>
    <row r="14464" ht="15.75" customHeight="1">
      <c r="A14464" s="2" t="s">
        <v>14464</v>
      </c>
      <c r="B14464" s="2" t="str">
        <f>IFERROR(__xludf.DUMMYFUNCTION("GOOGLETRANSLATE(A14464, ""en"", ""mt"")"),"Huwa stmat 25 miljun")</f>
        <v>Huwa stmat 25 miljun</v>
      </c>
    </row>
    <row r="14465" ht="15.75" customHeight="1">
      <c r="A14465" s="2" t="s">
        <v>14465</v>
      </c>
      <c r="B14465" s="2" t="str">
        <f>IFERROR(__xludf.DUMMYFUNCTION("GOOGLETRANSLATE(A14465, ""en"", ""mt"")"),"182 miljun")</f>
        <v>182 miljun</v>
      </c>
    </row>
    <row r="14466" ht="15.75" customHeight="1">
      <c r="A14466" s="2" t="s">
        <v>14466</v>
      </c>
      <c r="B14466" s="2" t="str">
        <f>IFERROR(__xludf.DUMMYFUNCTION("GOOGLETRANSLATE(A14466, ""en"", ""mt"")"),"biex jibgħatlu l-aqwa skola tal-inġinerija")</f>
        <v>biex jibgħatlu l-aqwa skola tal-inġinerija</v>
      </c>
    </row>
    <row r="14467" ht="15.75" customHeight="1">
      <c r="A14467" s="2" t="s">
        <v>14467</v>
      </c>
      <c r="B14467" s="2" t="str">
        <f>IFERROR(__xludf.DUMMYFUNCTION("GOOGLETRANSLATE(A14467, ""en"", ""mt"")"),"rikonoxximent")</f>
        <v>rikonoxximent</v>
      </c>
    </row>
    <row r="14468" ht="15.75" customHeight="1">
      <c r="A14468" s="2" t="s">
        <v>14468</v>
      </c>
      <c r="B14468" s="2" t="str">
        <f>IFERROR(__xludf.DUMMYFUNCTION("GOOGLETRANSLATE(A14468, ""en"", ""mt"")"),"Flimkien ma 'l-għoti ta' min wettaq ""id-deżerti biss"" tiegħu, il-kisba tal-kontroll tal-kriminalità permezz ta 'inkapaċità u deterrenza hija għan ewlieni ta' piena kriminali. Brownlee jargumenta, ""li ddaħħal id-deterrenza fil-livell ta 'ġustifikazzjoni"&amp;" tnaqqas mill-impenn tal-liġi fi djalogu morali ma' min wettaq ir-reat bħala persuna razzjonali minħabba li tiffoka l-attenzjoni fuq it-theddida ta 'kastig u mhux ir-raġunijiet morali biex issegwi din il-liġi."" Leonard Hubert Hoffmann jikteb, ""Meta jidd"&amp;"eċiedi jekk jimponix kastig jew le, l-iktar konsiderazzjoni importanti tkun jekk tagħmilx iktar ħsara milli ġid. Dan ifisser li l-Objettur m'għandux dritt li ma jiġix ikkastigat. Hija kwistjoni għall-Istat (inklużi l-imħallfin) biex tiddeċiedi għal raġuni"&amp;"jiet utilitarji jekk jagħmlux hekk jew le. """)</f>
        <v>Flimkien ma 'l-għoti ta' min wettaq "id-deżerti biss" tiegħu, il-kisba tal-kontroll tal-kriminalità permezz ta 'inkapaċità u deterrenza hija għan ewlieni ta' piena kriminali. Brownlee jargumenta, "li ddaħħal id-deterrenza fil-livell ta 'ġustifikazzjoni tnaqqas mill-impenn tal-liġi fi djalogu morali ma' min wettaq ir-reat bħala persuna razzjonali minħabba li tiffoka l-attenzjoni fuq it-theddida ta 'kastig u mhux ir-raġunijiet morali biex issegwi din il-liġi." Leonard Hubert Hoffmann jikteb, "Meta jiddeċiedi jekk jimponix kastig jew le, l-iktar konsiderazzjoni importanti tkun jekk tagħmilx iktar ħsara milli ġid. Dan ifisser li l-Objettur m'għandux dritt li ma jiġix ikkastigat. Hija kwistjoni għall-Istat (inklużi l-imħallfin) biex tiddeċiedi għal raġunijiet utilitarji jekk jagħmlux hekk jew le. "</v>
      </c>
    </row>
    <row r="14469" ht="15.75" customHeight="1">
      <c r="A14469" s="2" t="s">
        <v>14469</v>
      </c>
      <c r="B14469" s="2" t="str">
        <f>IFERROR(__xludf.DUMMYFUNCTION("GOOGLETRANSLATE(A14469, ""en"", ""mt"")"),"X'tip ta 'arti iffjorixxew fil-wan?")</f>
        <v>X'tip ta 'arti iffjorixxew fil-wan?</v>
      </c>
    </row>
    <row r="14470" ht="15.75" customHeight="1">
      <c r="A14470" s="2" t="s">
        <v>14470</v>
      </c>
      <c r="B14470" s="2" t="str">
        <f>IFERROR(__xludf.DUMMYFUNCTION("GOOGLETRANSLATE(A14470, ""en"", ""mt"")"),"Għal ċerti xenarji fiżiċi, huwa impossibbli li l-forzi jimmudellaw bħala dovuti għal gradjent tal-potenzjal. Dan ħafna drabi huwa dovut għal kunsiderazzjonijiet makrofiżiċi li jrendu l-forzi bħala li jirriżultaw minn medja statistika makroskopika ta 'mikr"&amp;"ostati. Pereżempju, il-frizzjoni hija kkawżata mill-gradjenti ta 'bosta potenzjal elettrostatiku bejn l-atomi, iżda timmanifesta bħala mudell ta' forza li huwa indipendenti minn kwalunkwe vettur tal-pożizzjoni makroskala. Forzi mhux konservattivi għajr il"&amp;"-frizzjoni jinkludu forzi oħra ta 'kuntatt, tensjoni, kompressjoni u tkaxkir. Madankollu, għal kwalunkwe deskrizzjoni dettaljata biżżejjed, dawn il-forzi kollha huma r-riżultati ta 'dawk konservattivi peress li kull waħda minn dawn il-forzi makroskopiċi h"&amp;"uma r-riżultati netti tal-gradjenti tal-potenzjal mikroskopiku.")</f>
        <v>Għal ċerti xenarji fiżiċi, huwa impossibbli li l-forzi jimmudellaw bħala dovuti għal gradjent tal-potenzjal. Dan ħafna drabi huwa dovut għal kunsiderazzjonijiet makrofiżiċi li jrendu l-forzi bħala li jirriżultaw minn medja statistika makroskopika ta 'mikrostati. Pereżempju, il-frizzjoni hija kkawżata mill-gradjenti ta 'bosta potenzjal elettrostatiku bejn l-atomi, iżda timmanifesta bħala mudell ta' forza li huwa indipendenti minn kwalunkwe vettur tal-pożizzjoni makroskala. Forzi mhux konservattivi għajr il-frizzjoni jinkludu forzi oħra ta 'kuntatt, tensjoni, kompressjoni u tkaxkir. Madankollu, għal kwalunkwe deskrizzjoni dettaljata biżżejjed, dawn il-forzi kollha huma r-riżultati ta 'dawk konservattivi peress li kull waħda minn dawn il-forzi makroskopiċi huma r-riżultati netti tal-gradjenti tal-potenzjal mikroskopiku.</v>
      </c>
    </row>
    <row r="14471" ht="15.75" customHeight="1">
      <c r="A14471" s="2" t="s">
        <v>14471</v>
      </c>
      <c r="B14471" s="2" t="str">
        <f>IFERROR(__xludf.DUMMYFUNCTION("GOOGLETRANSLATE(A14471, ""en"", ""mt"")"),"X'inhu l-isem ta 'algoritmu ieħor utli għall-ittestjar b'mod konvenjenti tal-primalità ta' numri kbar?")</f>
        <v>X'inhu l-isem ta 'algoritmu ieħor utli għall-ittestjar b'mod konvenjenti tal-primalità ta' numri kbar?</v>
      </c>
    </row>
    <row r="14472" ht="15.75" customHeight="1">
      <c r="A14472" s="2" t="s">
        <v>14472</v>
      </c>
      <c r="B14472" s="2" t="str">
        <f>IFERROR(__xludf.DUMMYFUNCTION("GOOGLETRANSLATE(A14472, ""en"", ""mt"")"),"Marzu 1879")</f>
        <v>Marzu 1879</v>
      </c>
    </row>
    <row r="14473" ht="15.75" customHeight="1">
      <c r="A14473" s="2" t="s">
        <v>14473</v>
      </c>
      <c r="B14473" s="2" t="str">
        <f>IFERROR(__xludf.DUMMYFUNCTION("GOOGLETRANSLATE(A14473, ""en"", ""mt"")"),"Fil-biċċa l-kbira tal-magni tal-pistuni reċiprokanti, il-fwar ireġġa 'lura d-direzzjoni tal-fluss tiegħu f'kull puplesija (kontro-fluss), li jidħol u jeżawrixxi miċ-ċilindru mill-istess port. Iċ-ċiklu komplet tal-magna jokkupa rotazzjoni waħda tal-krank u"&amp;" żewġ puplesiji tal-pistuni; Iċ-ċiklu jinkludi wkoll erba 'avvenimenti - ammissjoni, espansjoni, exhaust, kompressjoni. Dawn l-avvenimenti huma kkontrollati minn valvi li spiss jaħdmu ġewwa sider tal-fwar biswit iċ-ċilindru; Il-valvi jqassmu l-fwar billi "&amp;"jiftħu u jagħlqu l-portijiet tal-fwar li jikkomunikaw mat-tarf (i) taċ-ċilindru u huma mmexxija mill-irkaptu tal-valv, li minnhom hemm ħafna tipi. [Ċitazzjoni meħtieġa]")</f>
        <v>Fil-biċċa l-kbira tal-magni tal-pistuni reċiprokanti, il-fwar ireġġa 'lura d-direzzjoni tal-fluss tiegħu f'kull puplesija (kontro-fluss), li jidħol u jeżawrixxi miċ-ċilindru mill-istess port. Iċ-ċiklu komplet tal-magna jokkupa rotazzjoni waħda tal-krank u żewġ puplesiji tal-pistuni; Iċ-ċiklu jinkludi wkoll erba 'avvenimenti - ammissjoni, espansjoni, exhaust, kompressjoni. Dawn l-avvenimenti huma kkontrollati minn valvi li spiss jaħdmu ġewwa sider tal-fwar biswit iċ-ċilindru; Il-valvi jqassmu l-fwar billi jiftħu u jagħlqu l-portijiet tal-fwar li jikkomunikaw mat-tarf (i) taċ-ċilindru u huma mmexxija mill-irkaptu tal-valv, li minnhom hemm ħafna tipi. [Ċitazzjoni meħtieġa]</v>
      </c>
    </row>
    <row r="14474" ht="15.75" customHeight="1">
      <c r="A14474" s="2" t="s">
        <v>14474</v>
      </c>
      <c r="B14474" s="2" t="str">
        <f>IFERROR(__xludf.DUMMYFUNCTION("GOOGLETRANSLATE(A14474, ""en"", ""mt"")"),"settur privat")</f>
        <v>settur privat</v>
      </c>
    </row>
    <row r="14475" ht="15.75" customHeight="1">
      <c r="A14475" s="2" t="s">
        <v>14475</v>
      </c>
      <c r="B14475" s="2" t="str">
        <f>IFERROR(__xludf.DUMMYFUNCTION("GOOGLETRANSLATE(A14475, ""en"", ""mt"")"),"Persuni li kuxjenzjalment jopponu l-gwerra kollha")</f>
        <v>Persuni li kuxjenzjalment jopponu l-gwerra kollha</v>
      </c>
    </row>
    <row r="14476" ht="15.75" customHeight="1">
      <c r="A14476" s="2" t="s">
        <v>14476</v>
      </c>
      <c r="B14476" s="2" t="str">
        <f>IFERROR(__xludf.DUMMYFUNCTION("GOOGLETRANSLATE(A14476, ""en"", ""mt"")"),"nofs is-seklu 20")</f>
        <v>nofs is-seklu 20</v>
      </c>
    </row>
    <row r="14477" ht="15.75" customHeight="1">
      <c r="A14477" s="2" t="s">
        <v>14477</v>
      </c>
      <c r="B14477" s="2" t="str">
        <f>IFERROR(__xludf.DUMMYFUNCTION("GOOGLETRANSLATE(A14477, ""en"", ""mt"")"),"Gruppi tat-Turiżmu Reġjonali")</f>
        <v>Gruppi tat-Turiżmu Reġjonali</v>
      </c>
    </row>
    <row r="14478" ht="15.75" customHeight="1">
      <c r="A14478" s="2" t="s">
        <v>14478</v>
      </c>
      <c r="B14478" s="2" t="str">
        <f>IFERROR(__xludf.DUMMYFUNCTION("GOOGLETRANSLATE(A14478, ""en"", ""mt"")"),"Ibda hawn")</f>
        <v>Ibda hawn</v>
      </c>
    </row>
    <row r="14479" ht="15.75" customHeight="1">
      <c r="A14479" s="2" t="s">
        <v>14479</v>
      </c>
      <c r="B14479" s="2" t="str">
        <f>IFERROR(__xludf.DUMMYFUNCTION("GOOGLETRANSLATE(A14479, ""en"", ""mt"")"),"X'inhi l-motivazzjoni tal-istudenti dwar l-iskola marbuta magħha?")</f>
        <v>X'inhi l-motivazzjoni tal-istudenti dwar l-iskola marbuta magħha?</v>
      </c>
    </row>
    <row r="14480" ht="15.75" customHeight="1">
      <c r="A14480" s="2" t="s">
        <v>14480</v>
      </c>
      <c r="B14480" s="2" t="str">
        <f>IFERROR(__xludf.DUMMYFUNCTION("GOOGLETRANSLATE(A14480, ""en"", ""mt"")"),"X'jista 'x-xiri tal-Programm ta' Assistenza Nutrizzjonali Supplimentari?")</f>
        <v>X'jista 'x-xiri tal-Programm ta' Assistenza Nutrizzjonali Supplimentari?</v>
      </c>
    </row>
    <row r="14481" ht="15.75" customHeight="1">
      <c r="A14481" s="2" t="s">
        <v>14481</v>
      </c>
      <c r="B14481" s="2" t="str">
        <f>IFERROR(__xludf.DUMMYFUNCTION("GOOGLETRANSLATE(A14481, ""en"", ""mt"")"),"Djoċli ta 'Carystus")</f>
        <v>Djoċli ta 'Carystus</v>
      </c>
    </row>
    <row r="14482" ht="15.75" customHeight="1">
      <c r="A14482" s="2" t="s">
        <v>14482</v>
      </c>
      <c r="B14482" s="2" t="str">
        <f>IFERROR(__xludf.DUMMYFUNCTION("GOOGLETRANSLATE(A14482, ""en"", ""mt"")"),"awtomazzjoni")</f>
        <v>awtomazzjoni</v>
      </c>
    </row>
    <row r="14483" ht="15.75" customHeight="1">
      <c r="A14483" s="2" t="s">
        <v>14483</v>
      </c>
      <c r="B14483" s="2" t="str">
        <f>IFERROR(__xludf.DUMMYFUNCTION("GOOGLETRANSLATE(A14483, ""en"", ""mt"")"),"Minbarra l-Afrika, fejn il-Ġermanja kellha interessi imperjali?")</f>
        <v>Minbarra l-Afrika, fejn il-Ġermanja kellha interessi imperjali?</v>
      </c>
    </row>
    <row r="14484" ht="15.75" customHeight="1">
      <c r="A14484" s="2" t="s">
        <v>14484</v>
      </c>
      <c r="B14484" s="2" t="str">
        <f>IFERROR(__xludf.DUMMYFUNCTION("GOOGLETRANSLATE(A14484, ""en"", ""mt"")"),"Ma 'xiex jikkorrelataw il-moviment tax-xogħol dgħajjef?")</f>
        <v>Ma 'xiex jikkorrelataw il-moviment tax-xogħol dgħajjef?</v>
      </c>
    </row>
    <row r="14485" ht="15.75" customHeight="1">
      <c r="A14485" s="2" t="s">
        <v>14485</v>
      </c>
      <c r="B14485" s="2" t="str">
        <f>IFERROR(__xludf.DUMMYFUNCTION("GOOGLETRANSLATE(A14485, ""en"", ""mt"")"),"Kif jgħumu ċ-ċestidi?")</f>
        <v>Kif jgħumu ċ-ċestidi?</v>
      </c>
    </row>
    <row r="14486" ht="15.75" customHeight="1">
      <c r="A14486" s="2" t="s">
        <v>14486</v>
      </c>
      <c r="B14486" s="2" t="str">
        <f>IFERROR(__xludf.DUMMYFUNCTION("GOOGLETRANSLATE(A14486, ""en"", ""mt"")"),"Iċ-ċifra ta 'ħbieb - ġeneralment bniedem - kienet karatteristika kostanti fit-Tabib Min mill-bidu tal-programm fl-1963. Wieħed mir-rwoli tal-ħbieb huwa li jfakkar lit-tabib tad- ""dmir morali"" tiegħu. L-ewwel kumpanji tat-tabib li dehru fuq l-iskrin kien"&amp;"u n-neputija tiegħu Susan Foreman (Carole Ann Ford) u l-għalliema tagħha Barbara Wright (Jacqueline Hill) u Ian Chesterton (William Russell). Dawn il-karattri kienu maħsuba biex jaġixxu bħala sostituti tal-udjenza, li permezz tagħhom l-udjenza tiskopri in"&amp;"formazzjoni dwar it-tabib li kellu jaġixxi bħala figura misterjuża tal-missier. L-unika storja mis-serje oriġinali li fiha t-tabib jivvjaġġa waħdu huwa l-assassin fatali. Kumpannji notevoli mis-serje preċedenti kienu jinkludu Romana (Mary Tamm u Lalla War"&amp;"d), mara ta ’żmien; Sarah Jane Smith (Elisabeth Sladen); u Jo Grant (Katy Manning). Dramatikament, dawn il-karattri jipprovdu figura li magħha l-udjenza tista 'tidentifika, u sservi biex tkompli l-istorja billi titlob espożizzjoni mingħand it-tabib u timm"&amp;"anifattura l-periklu għat-tabib biex issolvi. It-tabib regolarment jikseb kumpanji ġodda u jitlef dawk qodma; Kultant jirritornaw id-dar jew isibu kawżi ġodda - jew iħobb - fuq dinjiet li żaru. Uħud mietu matul is-serje. Il-kumpanji huma ġeneralment umani"&amp;", jew aljeni umanojdi.")</f>
        <v>Iċ-ċifra ta 'ħbieb - ġeneralment bniedem - kienet karatteristika kostanti fit-Tabib Min mill-bidu tal-programm fl-1963. Wieħed mir-rwoli tal-ħbieb huwa li jfakkar lit-tabib tad- "dmir morali" tiegħu. L-ewwel kumpanji tat-tabib li dehru fuq l-iskrin kienu n-neputija tiegħu Susan Foreman (Carole Ann Ford) u l-għalliema tagħha Barbara Wright (Jacqueline Hill) u Ian Chesterton (William Russell). Dawn il-karattri kienu maħsuba biex jaġixxu bħala sostituti tal-udjenza, li permezz tagħhom l-udjenza tiskopri informazzjoni dwar it-tabib li kellu jaġixxi bħala figura misterjuża tal-missier. L-unika storja mis-serje oriġinali li fiha t-tabib jivvjaġġa waħdu huwa l-assassin fatali. Kumpannji notevoli mis-serje preċedenti kienu jinkludu Romana (Mary Tamm u Lalla Ward), mara ta ’żmien; Sarah Jane Smith (Elisabeth Sladen); u Jo Grant (Katy Manning). Dramatikament, dawn il-karattri jipprovdu figura li magħha l-udjenza tista 'tidentifika, u sservi biex tkompli l-istorja billi titlob espożizzjoni mingħand it-tabib u timmanifattura l-periklu għat-tabib biex issolvi. It-tabib regolarment jikseb kumpanji ġodda u jitlef dawk qodma; Kultant jirritornaw id-dar jew isibu kawżi ġodda - jew iħobb - fuq dinjiet li żaru. Uħud mietu matul is-serje. Il-kumpanji huma ġeneralment umani, jew aljeni umanojdi.</v>
      </c>
    </row>
    <row r="14487" ht="15.75" customHeight="1">
      <c r="A14487" s="2" t="s">
        <v>14487</v>
      </c>
      <c r="B14487" s="2" t="str">
        <f>IFERROR(__xludf.DUMMYFUNCTION("GOOGLETRANSLATE(A14487, ""en"", ""mt"")"),"Duttrina Monroe")</f>
        <v>Duttrina Monroe</v>
      </c>
    </row>
    <row r="14488" ht="15.75" customHeight="1">
      <c r="A14488" s="2" t="s">
        <v>14488</v>
      </c>
      <c r="B14488" s="2" t="str">
        <f>IFERROR(__xludf.DUMMYFUNCTION("GOOGLETRANSLATE(A14488, ""en"", ""mt"")"),"mitluba mill-gvernijiet.")</f>
        <v>mitluba mill-gvernijiet.</v>
      </c>
    </row>
    <row r="14489" ht="15.75" customHeight="1">
      <c r="A14489" s="2" t="s">
        <v>14489</v>
      </c>
      <c r="B14489" s="2" t="str">
        <f>IFERROR(__xludf.DUMMYFUNCTION("GOOGLETRANSLATE(A14489, ""en"", ""mt"")"),"It-Trattat ta ’Ruma 1957 u t-Trattat ta’ Maastricht 1992 (issa: TFEU)")</f>
        <v>It-Trattat ta ’Ruma 1957 u t-Trattat ta’ Maastricht 1992 (issa: TFEU)</v>
      </c>
    </row>
    <row r="14490" ht="15.75" customHeight="1">
      <c r="A14490" s="2" t="s">
        <v>14490</v>
      </c>
      <c r="B14490" s="2" t="str">
        <f>IFERROR(__xludf.DUMMYFUNCTION("GOOGLETRANSLATE(A14490, ""en"", ""mt"")"),"fiċ-Ċentru Moscone")</f>
        <v>fiċ-Ċentru Moscone</v>
      </c>
    </row>
    <row r="14491" ht="15.75" customHeight="1">
      <c r="A14491" s="2" t="s">
        <v>14491</v>
      </c>
      <c r="B14491" s="2" t="str">
        <f>IFERROR(__xludf.DUMMYFUNCTION("GOOGLETRANSLATE(A14491, ""en"", ""mt"")"),"Ingredjenti għall-mediċini, mibjugħa mediċini tat-tabakk u tal-privattivi")</f>
        <v>Ingredjenti għall-mediċini, mibjugħa mediċini tat-tabakk u tal-privattivi</v>
      </c>
    </row>
    <row r="14492" ht="15.75" customHeight="1">
      <c r="A14492" s="2" t="s">
        <v>14492</v>
      </c>
      <c r="B14492" s="2" t="str">
        <f>IFERROR(__xludf.DUMMYFUNCTION("GOOGLETRANSLATE(A14492, ""en"", ""mt"")"),"Brittanja u Olanda")</f>
        <v>Brittanja u Olanda</v>
      </c>
    </row>
    <row r="14493" ht="15.75" customHeight="1">
      <c r="A14493" s="2" t="s">
        <v>14493</v>
      </c>
      <c r="B14493" s="2" t="str">
        <f>IFERROR(__xludf.DUMMYFUNCTION("GOOGLETRANSLATE(A14493, ""en"", ""mt"")"),"Is-snin 1960 ikunu mmarkati miż-żieda ta 'serje orjentata lejn il-familja f'attentat minn ABC biex jikkontrolla l-kompetituri stabbiliti tagħha, iżda d-deċennju kien ikkaratterizzat ukoll mit-tranżizzjoni gradwali tan-netwerk għall-kulur. Fit-30 ta 'Sette"&amp;"mbru, 1960, ABC premiered The Flintstones, eżempju ieħor ta' kontrotragramma; Għalkemm is-serje animata minn William Hanna u Joseph Barbera kienet iffilmjata bil-kulur mill-bidu, inizjalment kienet imxandra bl-iswed u bl-abjad, peress li ABC ma kinitx għa"&amp;"mlet l-aġġornamenti tekniċi meħtieġa biex ixandru l-ipprogrammar tagħha bil-kulur dak iż-żmien. Il-Flintstones ippermetta lil ABC jippreżenta novità, dik tal-ipprogrammar animat tal-ħin ewlieni, iżda ppermettiet ukoll in-netwerk biex jibda jimla t-toqba m"&amp;"iftuħa mill-konklużjoni tas-Sħubija Disney billi ġġorr programmazzjoni orjentata lejn il-familja minn produtturi oħra.")</f>
        <v>Is-snin 1960 ikunu mmarkati miż-żieda ta 'serje orjentata lejn il-familja f'attentat minn ABC biex jikkontrolla l-kompetituri stabbiliti tagħha, iżda d-deċennju kien ikkaratterizzat ukoll mit-tranżizzjoni gradwali tan-netwerk għall-kulur. Fit-30 ta 'Settembru, 1960, ABC premiered The Flintstones, eżempju ieħor ta' kontrotragramma; Għalkemm is-serje animata minn William Hanna u Joseph Barbera kienet iffilmjata bil-kulur mill-bidu, inizjalment kienet imxandra bl-iswed u bl-abjad, peress li ABC ma kinitx għamlet l-aġġornamenti tekniċi meħtieġa biex ixandru l-ipprogrammar tagħha bil-kulur dak iż-żmien. Il-Flintstones ippermetta lil ABC jippreżenta novità, dik tal-ipprogrammar animat tal-ħin ewlieni, iżda ppermettiet ukoll in-netwerk biex jibda jimla t-toqba miftuħa mill-konklużjoni tas-Sħubija Disney billi ġġorr programmazzjoni orjentata lejn il-familja minn produtturi oħra.</v>
      </c>
    </row>
    <row r="14494" ht="15.75" customHeight="1">
      <c r="A14494" s="2" t="s">
        <v>14494</v>
      </c>
      <c r="B14494" s="2" t="str">
        <f>IFERROR(__xludf.DUMMYFUNCTION("GOOGLETRANSLATE(A14494, ""en"", ""mt"")"),"Hija tagħti diskors li jħawwad li fih tgħidlu li hi trid tobdi l-kuxjenza tagħha aktar milli l-liġi umana")</f>
        <v>Hija tagħti diskors li jħawwad li fih tgħidlu li hi trid tobdi l-kuxjenza tagħha aktar milli l-liġi umana</v>
      </c>
    </row>
    <row r="14495" ht="15.75" customHeight="1">
      <c r="A14495" s="2" t="s">
        <v>14495</v>
      </c>
      <c r="B14495" s="2" t="str">
        <f>IFERROR(__xludf.DUMMYFUNCTION("GOOGLETRANSLATE(A14495, ""en"", ""mt"")"),"Denver Broncos")</f>
        <v>Denver Broncos</v>
      </c>
    </row>
    <row r="14496" ht="15.75" customHeight="1">
      <c r="A14496" s="2" t="s">
        <v>14496</v>
      </c>
      <c r="B14496" s="2" t="str">
        <f>IFERROR(__xludf.DUMMYFUNCTION("GOOGLETRANSLATE(A14496, ""en"", ""mt"")"),"Żona ġeografika li tkopri kif ukoll il-frekwenza tal-laqgħa. Il-kleru huma membri tal-konferenza annwali tagħhom aktar milli ta 'xi kongregazzjoni lokali,")</f>
        <v>Żona ġeografika li tkopri kif ukoll il-frekwenza tal-laqgħa. Il-kleru huma membri tal-konferenza annwali tagħhom aktar milli ta 'xi kongregazzjoni lokali,</v>
      </c>
    </row>
    <row r="14497" ht="15.75" customHeight="1">
      <c r="A14497" s="2" t="s">
        <v>14497</v>
      </c>
      <c r="B14497" s="2" t="str">
        <f>IFERROR(__xludf.DUMMYFUNCTION("GOOGLETRANSLATE(A14497, ""en"", ""mt"")"),"Liema proprjetajiet huma analizzati b'lenti konoskopika minn petrologi?")</f>
        <v>Liema proprjetajiet huma analizzati b'lenti konoskopika minn petrologi?</v>
      </c>
    </row>
    <row r="14498" ht="15.75" customHeight="1">
      <c r="A14498" s="2" t="s">
        <v>14498</v>
      </c>
      <c r="B14498" s="2" t="str">
        <f>IFERROR(__xludf.DUMMYFUNCTION("GOOGLETRANSLATE(A14498, ""en"", ""mt"")"),"Il-Ġermanja bdiet tibni l-imperu kolonjali tagħha stess")</f>
        <v>Il-Ġermanja bdiet tibni l-imperu kolonjali tagħha stess</v>
      </c>
    </row>
    <row r="14499" ht="15.75" customHeight="1">
      <c r="A14499" s="2" t="s">
        <v>14499</v>
      </c>
      <c r="B14499" s="2" t="str">
        <f>IFERROR(__xludf.DUMMYFUNCTION("GOOGLETRANSLATE(A14499, ""en"", ""mt"")"),"Kap tal-Istat u Kap tal-Gvern")</f>
        <v>Kap tal-Istat u Kap tal-Gvern</v>
      </c>
    </row>
    <row r="14500" ht="15.75" customHeight="1">
      <c r="A14500" s="2" t="s">
        <v>14500</v>
      </c>
      <c r="B14500" s="2" t="str">
        <f>IFERROR(__xludf.DUMMYFUNCTION("GOOGLETRANSLATE(A14500, ""en"", ""mt"")"),"1421 sa 1904")</f>
        <v>1421 sa 1904</v>
      </c>
    </row>
    <row r="14501" ht="15.75" customHeight="1">
      <c r="A14501" s="2" t="s">
        <v>14501</v>
      </c>
      <c r="B14501" s="2" t="str">
        <f>IFERROR(__xludf.DUMMYFUNCTION("GOOGLETRANSLATE(A14501, ""en"", ""mt"")"),"Sistemi tad-dawl")</f>
        <v>Sistemi tad-dawl</v>
      </c>
    </row>
    <row r="14502" ht="15.75" customHeight="1">
      <c r="A14502" s="2" t="s">
        <v>14502</v>
      </c>
      <c r="B14502" s="2" t="str">
        <f>IFERROR(__xludf.DUMMYFUNCTION("GOOGLETRANSLATE(A14502, ""en"", ""mt"")"),"L-Interi Gaussjani Z [i]")</f>
        <v>L-Interi Gaussjani Z [i]</v>
      </c>
    </row>
    <row r="14503" ht="15.75" customHeight="1">
      <c r="A14503" s="2" t="s">
        <v>14503</v>
      </c>
      <c r="B14503" s="2" t="str">
        <f>IFERROR(__xludf.DUMMYFUNCTION("GOOGLETRANSLATE(A14503, ""en"", ""mt"")"),"Pesta Justinian")</f>
        <v>Pesta Justinian</v>
      </c>
    </row>
    <row r="14504" ht="15.75" customHeight="1">
      <c r="A14504" s="2" t="s">
        <v>14504</v>
      </c>
      <c r="B14504" s="2" t="str">
        <f>IFERROR(__xludf.DUMMYFUNCTION("GOOGLETRANSLATE(A14504, ""en"", ""mt"")"),"Fiċ-ċentru ta 'Basel, l-ewwel belt ewlenija matul il-fluss, tinsab l- ""irkoppa tar-Rhine""; Din hija liwja kbira, fejn id-direzzjoni ġenerali tar-Renu tinbidel mill-punent għal tramuntana. Hawnhekk ir-Rhine Għoli jintemm. Legalment, il-pont ċentrali huwa"&amp;" l-konfini bejn ir-Renu għoli u dak ta 'fuq. Ix-xmara issa tgħaddi lejn it-tramuntana bħala r-Renu ta ’Fuq mill-pjanura ta’ fuq tar-Renu, li hija twila madwar 300 km u sa 40 km wiesgħa. L-iktar tributarji importanti f'dan il-qasam huma l-morda taħt Strasb"&amp;"urgu, l-għonq f'Mannheim u l-main minn Mainz. F'Mainz, ir-Renu jħalli l-wied tar-Renu ta 'fuq u joħroġ mill-baċin ta' Mainz.")</f>
        <v>Fiċ-ċentru ta 'Basel, l-ewwel belt ewlenija matul il-fluss, tinsab l- "irkoppa tar-Rhine"; Din hija liwja kbira, fejn id-direzzjoni ġenerali tar-Renu tinbidel mill-punent għal tramuntana. Hawnhekk ir-Rhine Għoli jintemm. Legalment, il-pont ċentrali huwa l-konfini bejn ir-Renu għoli u dak ta 'fuq. Ix-xmara issa tgħaddi lejn it-tramuntana bħala r-Renu ta ’Fuq mill-pjanura ta’ fuq tar-Renu, li hija twila madwar 300 km u sa 40 km wiesgħa. L-iktar tributarji importanti f'dan il-qasam huma l-morda taħt Strasburgu, l-għonq f'Mannheim u l-main minn Mainz. F'Mainz, ir-Renu jħalli l-wied tar-Renu ta 'fuq u joħroġ mill-baċin ta' Mainz.</v>
      </c>
    </row>
    <row r="14505" ht="15.75" customHeight="1">
      <c r="A14505" s="2" t="s">
        <v>14505</v>
      </c>
      <c r="B14505" s="2" t="str">
        <f>IFERROR(__xludf.DUMMYFUNCTION("GOOGLETRANSLATE(A14505, ""en"", ""mt"")"),"Saraċens")</f>
        <v>Saraċens</v>
      </c>
    </row>
    <row r="14506" ht="15.75" customHeight="1">
      <c r="A14506" s="2" t="s">
        <v>14506</v>
      </c>
      <c r="B14506" s="2" t="str">
        <f>IFERROR(__xludf.DUMMYFUNCTION("GOOGLETRANSLATE(A14506, ""en"", ""mt"")"),"Id-dawl intwera li huwa rekwiżit għad-diviżjoni tal-kloroplast. Il-kloroplasti jistgħu jikbru u jimxu 'l quddiem minn uħud mill-istadji ta' restrizzjoni taħt dawl aħdar ta 'kwalità ħażina, iżda huma bil-mod biex jitlestew id-diviżjoni - jeħtieġu esponimen"&amp;"t għal dawl abjad jgħajjat ​​biex tlesti d-diviżjoni. Il-weraq tal-ispinaċi mkabbra taħt dawl aħdar ġew osservati li fihom ħafna kloroplasti kbar b'forma ta 'dumbbell. L-esponiment għal dawl abjad jista 'jistimula dawn il-kloroplasti biex jinqasmu u jnaqq"&amp;"su l-popolazzjoni ta' kloroplasti b'forma ta 'dumbbell.")</f>
        <v>Id-dawl intwera li huwa rekwiżit għad-diviżjoni tal-kloroplast. Il-kloroplasti jistgħu jikbru u jimxu 'l quddiem minn uħud mill-istadji ta' restrizzjoni taħt dawl aħdar ta 'kwalità ħażina, iżda huma bil-mod biex jitlestew id-diviżjoni - jeħtieġu esponiment għal dawl abjad jgħajjat ​​biex tlesti d-diviżjoni. Il-weraq tal-ispinaċi mkabbra taħt dawl aħdar ġew osservati li fihom ħafna kloroplasti kbar b'forma ta 'dumbbell. L-esponiment għal dawl abjad jista 'jistimula dawn il-kloroplasti biex jinqasmu u jnaqqsu l-popolazzjoni ta' kloroplasti b'forma ta 'dumbbell.</v>
      </c>
    </row>
    <row r="14507" ht="15.75" customHeight="1">
      <c r="A14507" s="2" t="s">
        <v>14507</v>
      </c>
      <c r="B14507" s="2" t="str">
        <f>IFERROR(__xludf.DUMMYFUNCTION("GOOGLETRANSLATE(A14507, ""en"", ""mt"")"),"Dak li kien Telenet")</f>
        <v>Dak li kien Telenet</v>
      </c>
    </row>
    <row r="14508" ht="15.75" customHeight="1">
      <c r="A14508" s="2" t="s">
        <v>14508</v>
      </c>
      <c r="B14508" s="2" t="str">
        <f>IFERROR(__xludf.DUMMYFUNCTION("GOOGLETRANSLATE(A14508, ""en"", ""mt"")"),"Meta ġew involuti Luther u l-għarusa prospettiva tiegħu?")</f>
        <v>Meta ġew involuti Luther u l-għarusa prospettiva tiegħu?</v>
      </c>
    </row>
    <row r="14509" ht="15.75" customHeight="1">
      <c r="A14509" s="2" t="s">
        <v>14509</v>
      </c>
      <c r="B14509" s="2" t="str">
        <f>IFERROR(__xludf.DUMMYFUNCTION("GOOGLETRANSLATE(A14509, ""en"", ""mt"")"),"Minbarra ż-żona metropolitana ta 'San Diego, ma' liema żona oħra huma l-komunitajiet tul l-istati 15 u 215 konnessi?")</f>
        <v>Minbarra ż-żona metropolitana ta 'San Diego, ma' liema żona oħra huma l-komunitajiet tul l-istati 15 u 215 konnessi?</v>
      </c>
    </row>
    <row r="14510" ht="15.75" customHeight="1">
      <c r="A14510" s="2" t="s">
        <v>14510</v>
      </c>
      <c r="B14510" s="2" t="str">
        <f>IFERROR(__xludf.DUMMYFUNCTION("GOOGLETRANSLATE(A14510, ""en"", ""mt"")"),"Ċentru Moscone")</f>
        <v>Ċentru Moscone</v>
      </c>
    </row>
    <row r="14511" ht="15.75" customHeight="1">
      <c r="A14511" s="2" t="s">
        <v>14511</v>
      </c>
      <c r="B14511" s="2" t="str">
        <f>IFERROR(__xludf.DUMMYFUNCTION("GOOGLETRANSLATE(A14511, ""en"", ""mt"")"),"Liema żona fl-Afrika t'Isfel aċċettat kolonisti Huguenot?")</f>
        <v>Liema żona fl-Afrika t'Isfel aċċettat kolonisti Huguenot?</v>
      </c>
    </row>
    <row r="14512" ht="15.75" customHeight="1">
      <c r="A14512" s="2" t="s">
        <v>14512</v>
      </c>
      <c r="B14512" s="2" t="str">
        <f>IFERROR(__xludf.DUMMYFUNCTION("GOOGLETRANSLATE(A14512, ""en"", ""mt"")"),"X'inhu eżaminat ta 'xogħol li magna tal-fwar mgħammra mill-gvernatur ċentrifugali ma kinitx xierqa?")</f>
        <v>X'inhu eżaminat ta 'xogħol li magna tal-fwar mgħammra mill-gvernatur ċentrifugali ma kinitx xierqa?</v>
      </c>
    </row>
    <row r="14513" ht="15.75" customHeight="1">
      <c r="A14513" s="2" t="s">
        <v>14513</v>
      </c>
      <c r="B14513" s="2" t="str">
        <f>IFERROR(__xludf.DUMMYFUNCTION("GOOGLETRANSLATE(A14513, ""en"", ""mt"")"),"Il-Kriżi Finanzjarja tal-2007–08")</f>
        <v>Il-Kriżi Finanzjarja tal-2007–08</v>
      </c>
    </row>
    <row r="14514" ht="15.75" customHeight="1">
      <c r="A14514" s="2" t="s">
        <v>14514</v>
      </c>
      <c r="B14514" s="2" t="str">
        <f>IFERROR(__xludf.DUMMYFUNCTION("GOOGLETRANSLATE(A14514, ""en"", ""mt"")"),"Mard relatat ma 'Apicomplexan")</f>
        <v>Mard relatat ma 'Apicomplexan</v>
      </c>
    </row>
    <row r="14515" ht="15.75" customHeight="1">
      <c r="A14515" s="2" t="s">
        <v>14515</v>
      </c>
      <c r="B14515" s="2" t="str">
        <f>IFERROR(__xludf.DUMMYFUNCTION("GOOGLETRANSLATE(A14515, ""en"", ""mt"")"),"Tesla meta saret ħbieb ma 'Viereck?")</f>
        <v>Tesla meta saret ħbieb ma 'Viereck?</v>
      </c>
    </row>
    <row r="14516" ht="15.75" customHeight="1">
      <c r="A14516" s="2" t="s">
        <v>14516</v>
      </c>
      <c r="B14516" s="2" t="str">
        <f>IFERROR(__xludf.DUMMYFUNCTION("GOOGLETRANSLATE(A14516, ""en"", ""mt"")"),"Kummissjoni v Franza")</f>
        <v>Kummissjoni v Franza</v>
      </c>
    </row>
    <row r="14517" ht="15.75" customHeight="1">
      <c r="A14517" s="2" t="s">
        <v>14517</v>
      </c>
      <c r="B14517" s="2" t="str">
        <f>IFERROR(__xludf.DUMMYFUNCTION("GOOGLETRANSLATE(A14517, ""en"", ""mt"")"),"Carboxysome")</f>
        <v>Carboxysome</v>
      </c>
    </row>
    <row r="14518" ht="15.75" customHeight="1">
      <c r="A14518" s="2" t="s">
        <v>14518</v>
      </c>
      <c r="B14518" s="2" t="str">
        <f>IFERROR(__xludf.DUMMYFUNCTION("GOOGLETRANSLATE(A14518, ""en"", ""mt"")"),"Kemm huma ħoxnin il-kloroplasti fil-pjanti tal-art?")</f>
        <v>Kemm huma ħoxnin il-kloroplasti fil-pjanti tal-art?</v>
      </c>
    </row>
    <row r="14519" ht="15.75" customHeight="1">
      <c r="A14519" s="2" t="s">
        <v>14519</v>
      </c>
      <c r="B14519" s="2" t="str">
        <f>IFERROR(__xludf.DUMMYFUNCTION("GOOGLETRANSLATE(A14519, ""en"", ""mt"")"),"Inizjattivi tal-Finanzi Privati ​​(PFIS)")</f>
        <v>Inizjattivi tal-Finanzi Privati ​​(PFIS)</v>
      </c>
    </row>
    <row r="14520" ht="15.75" customHeight="1">
      <c r="A14520" s="2" t="s">
        <v>14520</v>
      </c>
      <c r="B14520" s="2" t="str">
        <f>IFERROR(__xludf.DUMMYFUNCTION("GOOGLETRANSLATE(A14520, ""en"", ""mt"")"),"Ir-Renju Unit")</f>
        <v>Ir-Renju Unit</v>
      </c>
    </row>
    <row r="14521" ht="15.75" customHeight="1">
      <c r="A14521" s="2" t="s">
        <v>14521</v>
      </c>
      <c r="B14521" s="2" t="str">
        <f>IFERROR(__xludf.DUMMYFUNCTION("GOOGLETRANSLATE(A14521, ""en"", ""mt"")"),"Fejn hi r-Renu?")</f>
        <v>Fejn hi r-Renu?</v>
      </c>
    </row>
    <row r="14522" ht="15.75" customHeight="1">
      <c r="A14522" s="2" t="s">
        <v>14522</v>
      </c>
      <c r="B14522" s="2" t="str">
        <f>IFERROR(__xludf.DUMMYFUNCTION("GOOGLETRANSLATE(A14522, ""en"", ""mt"")"),"sa nofs")</f>
        <v>sa nofs</v>
      </c>
    </row>
    <row r="14523" ht="15.75" customHeight="1">
      <c r="A14523" s="2" t="s">
        <v>14523</v>
      </c>
      <c r="B14523" s="2" t="str">
        <f>IFERROR(__xludf.DUMMYFUNCTION("GOOGLETRANSLATE(A14523, ""en"", ""mt"")"),"X'inhu l-premju offrut biex tinstab soluzzjoni għal P = NP?")</f>
        <v>X'inhu l-premju offrut biex tinstab soluzzjoni għal P = NP?</v>
      </c>
    </row>
    <row r="14524" ht="15.75" customHeight="1">
      <c r="A14524" s="2" t="s">
        <v>14524</v>
      </c>
      <c r="B14524" s="2" t="str">
        <f>IFERROR(__xludf.DUMMYFUNCTION("GOOGLETRANSLATE(A14524, ""en"", ""mt"")"),"Tubu li fih l-istroma")</f>
        <v>Tubu li fih l-istroma</v>
      </c>
    </row>
    <row r="14525" ht="15.75" customHeight="1">
      <c r="A14525" s="2" t="s">
        <v>14525</v>
      </c>
      <c r="B14525" s="2" t="str">
        <f>IFERROR(__xludf.DUMMYFUNCTION("GOOGLETRANSLATE(A14525, ""en"", ""mt"")"),"F'liema sportivi huma attivi l-Kenjani?")</f>
        <v>F'liema sportivi huma attivi l-Kenjani?</v>
      </c>
    </row>
    <row r="14526" ht="15.75" customHeight="1">
      <c r="A14526" s="2" t="s">
        <v>14526</v>
      </c>
      <c r="B14526" s="2" t="str">
        <f>IFERROR(__xludf.DUMMYFUNCTION("GOOGLETRANSLATE(A14526, ""en"", ""mt"")"),"Juris Hartmanis u Richard Stearns")</f>
        <v>Juris Hartmanis u Richard Stearns</v>
      </c>
    </row>
    <row r="14527" ht="15.75" customHeight="1">
      <c r="A14527" s="2" t="s">
        <v>14527</v>
      </c>
      <c r="B14527" s="2" t="str">
        <f>IFERROR(__xludf.DUMMYFUNCTION("GOOGLETRANSLATE(A14527, ""en"", ""mt"")"),"Liema klabb rebaħ 118 tournaments u 15-il kampjonat nazzjonali?")</f>
        <v>Liema klabb rebaħ 118 tournaments u 15-il kampjonat nazzjonali?</v>
      </c>
    </row>
    <row r="14528" ht="15.75" customHeight="1">
      <c r="A14528" s="2" t="s">
        <v>14528</v>
      </c>
      <c r="B14528" s="2" t="str">
        <f>IFERROR(__xludf.DUMMYFUNCTION("GOOGLETRANSLATE(A14528, ""en"", ""mt"")"),"Immunità umoristika kontra immunità medjata miċ-ċelloli")</f>
        <v>Immunità umoristika kontra immunità medjata miċ-ċelloli</v>
      </c>
    </row>
    <row r="14529" ht="15.75" customHeight="1">
      <c r="A14529" s="2" t="s">
        <v>14529</v>
      </c>
      <c r="B14529" s="2" t="str">
        <f>IFERROR(__xludf.DUMMYFUNCTION("GOOGLETRANSLATE(A14529, ""en"", ""mt"")"),"Liema organizzazzjoni sabet Harvard fl-1900?")</f>
        <v>Liema organizzazzjoni sabet Harvard fl-1900?</v>
      </c>
    </row>
    <row r="14530" ht="15.75" customHeight="1">
      <c r="A14530" s="2" t="s">
        <v>14530</v>
      </c>
      <c r="B14530" s="2" t="str">
        <f>IFERROR(__xludf.DUMMYFUNCTION("GOOGLETRANSLATE(A14530, ""en"", ""mt"")"),"Alka ħamra")</f>
        <v>Alka ħamra</v>
      </c>
    </row>
    <row r="14531" ht="15.75" customHeight="1">
      <c r="A14531" s="2" t="s">
        <v>14531</v>
      </c>
      <c r="B14531" s="2" t="str">
        <f>IFERROR(__xludf.DUMMYFUNCTION("GOOGLETRANSLATE(A14531, ""en"", ""mt"")"),"100-150 speċi ġew ivvalidati")</f>
        <v>100-150 speċi ġew ivvalidati</v>
      </c>
    </row>
    <row r="14532" ht="15.75" customHeight="1">
      <c r="A14532" s="2" t="s">
        <v>14532</v>
      </c>
      <c r="B14532" s="2" t="str">
        <f>IFERROR(__xludf.DUMMYFUNCTION("GOOGLETRANSLATE(A14532, ""en"", ""mt"")"),"Xi jeħtieġu biex jaraw xi xandiriet kriptati?")</f>
        <v>Xi jeħtieġu biex jaraw xi xandiriet kriptati?</v>
      </c>
    </row>
    <row r="14533" ht="15.75" customHeight="1">
      <c r="A14533" s="2" t="s">
        <v>14533</v>
      </c>
      <c r="B14533" s="2" t="str">
        <f>IFERROR(__xludf.DUMMYFUNCTION("GOOGLETRANSLATE(A14533, ""en"", ""mt"")"),"Jaqbad tliet negozjanti u joqtol 14-il persuna tan-nazzjon ta 'Miami, inkluż il-Brittaniku l-Qadim")</f>
        <v>Jaqbad tliet negozjanti u joqtol 14-il persuna tan-nazzjon ta 'Miami, inkluż il-Brittaniku l-Qadim</v>
      </c>
    </row>
    <row r="14534" ht="15.75" customHeight="1">
      <c r="A14534" s="2" t="s">
        <v>14534</v>
      </c>
      <c r="B14534" s="2" t="str">
        <f>IFERROR(__xludf.DUMMYFUNCTION("GOOGLETRANSLATE(A14534, ""en"", ""mt"")"),"Wirja elettrika")</f>
        <v>Wirja elettrika</v>
      </c>
    </row>
    <row r="14535" ht="15.75" customHeight="1">
      <c r="A14535" s="2" t="s">
        <v>14535</v>
      </c>
      <c r="B14535" s="2" t="str">
        <f>IFERROR(__xludf.DUMMYFUNCTION("GOOGLETRANSLATE(A14535, ""en"", ""mt"")"),"X'kienet il-magna tal-fwar komponent importanti?")</f>
        <v>X'kienet il-magna tal-fwar komponent importanti?</v>
      </c>
    </row>
    <row r="14536" ht="15.75" customHeight="1">
      <c r="A14536" s="2" t="s">
        <v>14536</v>
      </c>
      <c r="B14536" s="2" t="str">
        <f>IFERROR(__xludf.DUMMYFUNCTION("GOOGLETRANSLATE(A14536, ""en"", ""mt"")"),"Żoni kklerjati mill-foresta")</f>
        <v>Żoni kklerjati mill-foresta</v>
      </c>
    </row>
    <row r="14537" ht="15.75" customHeight="1">
      <c r="A14537" s="2" t="s">
        <v>14537</v>
      </c>
      <c r="B14537" s="2" t="str">
        <f>IFERROR(__xludf.DUMMYFUNCTION("GOOGLETRANSLATE(A14537, ""en"", ""mt"")"),"X'inhi l-klassifikazzjoni tal-forzi militari f'Jacksonville?")</f>
        <v>X'inhi l-klassifikazzjoni tal-forzi militari f'Jacksonville?</v>
      </c>
    </row>
    <row r="14538" ht="15.75" customHeight="1">
      <c r="A14538" s="2" t="s">
        <v>14538</v>
      </c>
      <c r="B14538" s="2" t="str">
        <f>IFERROR(__xludf.DUMMYFUNCTION("GOOGLETRANSLATE(A14538, ""en"", ""mt"")"),"Għal liema tip ta 'djar huwa magħruf Fresno?")</f>
        <v>Għal liema tip ta 'djar huwa magħruf Fresno?</v>
      </c>
    </row>
    <row r="14539" ht="15.75" customHeight="1">
      <c r="A14539" s="2" t="s">
        <v>14539</v>
      </c>
      <c r="B14539" s="2" t="str">
        <f>IFERROR(__xludf.DUMMYFUNCTION("GOOGLETRANSLATE(A14539, ""en"", ""mt"")"),"Il-limitazzjonijiet tal-finanzjament ippermettew li s-CSNET ikun dak")</f>
        <v>Il-limitazzjonijiet tal-finanzjament ippermettew li s-CSNET ikun dak</v>
      </c>
    </row>
    <row r="14540" ht="15.75" customHeight="1">
      <c r="A14540" s="2" t="s">
        <v>14540</v>
      </c>
      <c r="B14540" s="2" t="str">
        <f>IFERROR(__xludf.DUMMYFUNCTION("GOOGLETRANSLATE(A14540, ""en"", ""mt"")"),"Meta ċ-ċelloli B u ċ-ċelloli T huma attivati ​​u jibdew jirreplikaw, uħud mill-frieħ tagħhom isiru ċelloli tal-memorja b'ħajja twila. Matul il-ħajja ta 'annimal, dawn iċ-ċelloli tal-memorja jiftakru kull patoġen speċifiku li jiltaqa' magħhom u jistgħu jin"&amp;"tramaw rispons qawwi jekk il-patoġen jerġa 'jinstab. Dan huwa ""adattiv"" għaliex iseħħ matul il-ħajja ta 'individwu bħala adattament għall-infezzjoni ma' dak il-patoġen u jipprepara s-sistema immunitarja għal sfidi futuri. Memorja immunoloġika tista 'tku"&amp;"n fil-forma ta' memorja għal żmien qasir passiv jew memorja attiva fit-tul.")</f>
        <v>Meta ċ-ċelloli B u ċ-ċelloli T huma attivati ​​u jibdew jirreplikaw, uħud mill-frieħ tagħhom isiru ċelloli tal-memorja b'ħajja twila. Matul il-ħajja ta 'annimal, dawn iċ-ċelloli tal-memorja jiftakru kull patoġen speċifiku li jiltaqa' magħhom u jistgħu jintramaw rispons qawwi jekk il-patoġen jerġa 'jinstab. Dan huwa "adattiv" għaliex iseħħ matul il-ħajja ta 'individwu bħala adattament għall-infezzjoni ma' dak il-patoġen u jipprepara s-sistema immunitarja għal sfidi futuri. Memorja immunoloġika tista 'tkun fil-forma ta' memorja għal żmien qasir passiv jew memorja attiva fit-tul.</v>
      </c>
    </row>
    <row r="14541" ht="15.75" customHeight="1">
      <c r="A14541" s="2" t="s">
        <v>14541</v>
      </c>
      <c r="B14541" s="2" t="str">
        <f>IFERROR(__xludf.DUMMYFUNCTION("GOOGLETRANSLATE(A14541, ""en"", ""mt"")"),"Riżoluzzjoni 43/53")</f>
        <v>Riżoluzzjoni 43/53</v>
      </c>
    </row>
    <row r="14542" ht="15.75" customHeight="1">
      <c r="A14542" s="2" t="s">
        <v>14542</v>
      </c>
      <c r="B14542" s="2" t="str">
        <f>IFERROR(__xludf.DUMMYFUNCTION("GOOGLETRANSLATE(A14542, ""en"", ""mt"")"),"Il-Ħamas kompla jkun attur ewlieni fil-Palestina. Mill-2000 sal-2007 qatel 542 persuna f'140 bombi suwiċida jew ""operazzjonijiet ta 'martirju"". Fl-elezzjoni leġiżlattiva ta 'Jannar 2006 - l-ewwel inkwiet tagħha fil-proċess politiku - rebaħ il-maġġoranza"&amp;" tas-siġġijiet, u fl-2007 huwa mexxa l-PLO barra minn Gaża. Il-Ħamas ġie mfaħħar mill-Musulmani talli jsuq lil Iżrael barra mill-istrixxa ta 'Gaża, iżda kkritika għan-nuqqas li jinkisbu t-talbiet tiegħu fil-gwerer ta' Gaża 2008-9 u 2014 minkejja qerda qaw"&amp;"wija u telf sinifikanti ta 'ħajja.")</f>
        <v>Il-Ħamas kompla jkun attur ewlieni fil-Palestina. Mill-2000 sal-2007 qatel 542 persuna f'140 bombi suwiċida jew "operazzjonijiet ta 'martirju". Fl-elezzjoni leġiżlattiva ta 'Jannar 2006 - l-ewwel inkwiet tagħha fil-proċess politiku - rebaħ il-maġġoranza tas-siġġijiet, u fl-2007 huwa mexxa l-PLO barra minn Gaża. Il-Ħamas ġie mfaħħar mill-Musulmani talli jsuq lil Iżrael barra mill-istrixxa ta 'Gaża, iżda kkritika għan-nuqqas li jinkisbu t-talbiet tiegħu fil-gwerer ta' Gaża 2008-9 u 2014 minkejja qerda qawwija u telf sinifikanti ta 'ħajja.</v>
      </c>
    </row>
    <row r="14543" ht="15.75" customHeight="1">
      <c r="A14543" s="2" t="s">
        <v>14543</v>
      </c>
      <c r="B14543" s="2" t="str">
        <f>IFERROR(__xludf.DUMMYFUNCTION("GOOGLETRANSLATE(A14543, ""en"", ""mt"")"),"L-interrogazzjoni sussegwenti wasslet għal fehim aħjar tal-istruttura tal-kmand ta 'Mau Mau")</f>
        <v>L-interrogazzjoni sussegwenti wasslet għal fehim aħjar tal-istruttura tal-kmand ta 'Mau Mau</v>
      </c>
    </row>
    <row r="14544" ht="15.75" customHeight="1">
      <c r="A14544" s="2" t="s">
        <v>14544</v>
      </c>
      <c r="B14544" s="2" t="str">
        <f>IFERROR(__xludf.DUMMYFUNCTION("GOOGLETRANSLATE(A14544, ""en"", ""mt"")"),"Is-sistema immuni intrinsika tirrispondi b'mod ġeneriku, fis-sens li hu?")</f>
        <v>Is-sistema immuni intrinsika tirrispondi b'mod ġeneriku, fis-sens li hu?</v>
      </c>
    </row>
    <row r="14545" ht="15.75" customHeight="1">
      <c r="A14545" s="2" t="s">
        <v>14545</v>
      </c>
      <c r="B14545" s="2" t="str">
        <f>IFERROR(__xludf.DUMMYFUNCTION("GOOGLETRANSLATE(A14545, ""en"", ""mt"")"),"B'mod ċar, xi tumuri jevadu s-sistema immuni u jkomplu jsiru kanċer. Iċ-ċelloli tat-tumur spiss ikollhom numru imnaqqas ta 'molekuli tal-klassi I MHC fuq il-wiċċ tagħhom, u b'hekk jevitaw is-sejbien minn ċelloli T qattiel. Xi ċelloli tat-tumur jirrilaxxaw"&amp;" ukoll prodotti li jinibixxu r-rispons immuni; Pereżempju billi tnixxi ċ-ċitokina TGF-β, li trażżan l-attività ta 'makrofaġi u limfoċiti. Barra minn hekk, it-tolleranza immunoloġika tista 'tiżviluppa kontra antiġeni tat-tumur, u għalhekk is-sistema immuni"&amp;"tarja ma tibqax tattakka ċ-ċelloli tat-tumur.")</f>
        <v>B'mod ċar, xi tumuri jevadu s-sistema immuni u jkomplu jsiru kanċer. Iċ-ċelloli tat-tumur spiss ikollhom numru imnaqqas ta 'molekuli tal-klassi I MHC fuq il-wiċċ tagħhom, u b'hekk jevitaw is-sejbien minn ċelloli T qattiel. Xi ċelloli tat-tumur jirrilaxxaw ukoll prodotti li jinibixxu r-rispons immuni; Pereżempju billi tnixxi ċ-ċitokina TGF-β, li trażżan l-attività ta 'makrofaġi u limfoċiti. Barra minn hekk, it-tolleranza immunoloġika tista 'tiżviluppa kontra antiġeni tat-tumur, u għalhekk is-sistema immunitarja ma tibqax tattakka ċ-ċelloli tat-tumur.</v>
      </c>
    </row>
    <row r="14546" ht="15.75" customHeight="1">
      <c r="A14546" s="2" t="s">
        <v>14546</v>
      </c>
      <c r="B14546" s="2" t="str">
        <f>IFERROR(__xludf.DUMMYFUNCTION("GOOGLETRANSLATE(A14546, ""en"", ""mt"")"),"Il-kontrolli u s-sistema tal-bilanċi tal-Istati Uniti u ta ’ħafna gvernijiet oħra.")</f>
        <v>Il-kontrolli u s-sistema tal-bilanċi tal-Istati Uniti u ta ’ħafna gvernijiet oħra.</v>
      </c>
    </row>
    <row r="14547" ht="15.75" customHeight="1">
      <c r="A14547" s="2" t="s">
        <v>14547</v>
      </c>
      <c r="B14547" s="2" t="str">
        <f>IFERROR(__xludf.DUMMYFUNCTION("GOOGLETRANSLATE(A14547, ""en"", ""mt"")"),"Ipersensittività tat-Tip II")</f>
        <v>Ipersensittività tat-Tip II</v>
      </c>
    </row>
    <row r="14548" ht="15.75" customHeight="1">
      <c r="A14548" s="2" t="s">
        <v>14548</v>
      </c>
      <c r="B14548" s="2" t="str">
        <f>IFERROR(__xludf.DUMMYFUNCTION("GOOGLETRANSLATE(A14548, ""en"", ""mt"")"),"ikollok membrani addizzjonali barra mit-tnejn oriġinali")</f>
        <v>ikollok membrani addizzjonali barra mit-tnejn oriġinali</v>
      </c>
    </row>
    <row r="14549" ht="15.75" customHeight="1">
      <c r="A14549" s="2" t="s">
        <v>14549</v>
      </c>
      <c r="B14549" s="2" t="str">
        <f>IFERROR(__xludf.DUMMYFUNCTION("GOOGLETRANSLATE(A14549, ""en"", ""mt"")"),"innifsek")</f>
        <v>innifsek</v>
      </c>
    </row>
    <row r="14550" ht="15.75" customHeight="1">
      <c r="A14550" s="2" t="s">
        <v>14550</v>
      </c>
      <c r="B14550" s="2" t="str">
        <f>IFERROR(__xludf.DUMMYFUNCTION("GOOGLETRANSLATE(A14550, ""en"", ""mt"")"),"f'nofs is-seklu 14")</f>
        <v>f'nofs is-seklu 14</v>
      </c>
    </row>
    <row r="14551" ht="15.75" customHeight="1">
      <c r="A14551" s="2" t="s">
        <v>14551</v>
      </c>
      <c r="B14551" s="2" t="str">
        <f>IFERROR(__xludf.DUMMYFUNCTION("GOOGLETRANSLATE(A14551, ""en"", ""mt"")"),"Liema għargħar kellu impatt fuq il-meuse?")</f>
        <v>Liema għargħar kellu impatt fuq il-meuse?</v>
      </c>
    </row>
    <row r="14552" ht="15.75" customHeight="1">
      <c r="A14552" s="2" t="s">
        <v>14552</v>
      </c>
      <c r="B14552" s="2" t="str">
        <f>IFERROR(__xludf.DUMMYFUNCTION("GOOGLETRANSLATE(A14552, ""en"", ""mt"")"),"1500 u 1850")</f>
        <v>1500 u 1850</v>
      </c>
    </row>
    <row r="14553" ht="15.75" customHeight="1">
      <c r="A14553" s="2" t="s">
        <v>14553</v>
      </c>
      <c r="B14553" s="2" t="str">
        <f>IFERROR(__xludf.DUMMYFUNCTION("GOOGLETRANSLATE(A14553, ""en"", ""mt"")"),"Ir-risponsi immuni żejda jinkludu t-tarf l-ieħor ta 'disfunzjoni immuni, partikolarment id-disturbi awtoimmuni. Hawnhekk, is-sistema immunitarja tonqos milli tiddistingwi sew bejn l-awto u dawk li mhumiex self, u tattakka parti mill-ġisem. Taħt ċirkostanz"&amp;"i normali, ħafna ċelloli T u antikorpi jirreaġixxu ma 'peptidi ""awto"". Waħda mill-funzjonijiet ta 'ċelloli speċjalizzati (li jinsabu fit-timu u l-mudullun) hija li tippreżenta limfoċiti żgħażagħ b'antiġeni awto prodotti madwar il-ġisem u li telimina daw"&amp;"k iċ-ċelloli li jirrikonoxxu l-awto-antiġeni, li jipprevjenu l-awtoimmunità.")</f>
        <v>Ir-risponsi immuni żejda jinkludu t-tarf l-ieħor ta 'disfunzjoni immuni, partikolarment id-disturbi awtoimmuni. Hawnhekk, is-sistema immunitarja tonqos milli tiddistingwi sew bejn l-awto u dawk li mhumiex self, u tattakka parti mill-ġisem. Taħt ċirkostanzi normali, ħafna ċelloli T u antikorpi jirreaġixxu ma 'peptidi "awto". Waħda mill-funzjonijiet ta 'ċelloli speċjalizzati (li jinsabu fit-timu u l-mudullun) hija li tippreżenta limfoċiti żgħażagħ b'antiġeni awto prodotti madwar il-ġisem u li telimina dawk iċ-ċelloli li jirrikonoxxu l-awto-antiġeni, li jipprevjenu l-awtoimmunità.</v>
      </c>
    </row>
    <row r="14554" ht="15.75" customHeight="1">
      <c r="A14554" s="2" t="s">
        <v>14554</v>
      </c>
      <c r="B14554" s="2" t="str">
        <f>IFERROR(__xludf.DUMMYFUNCTION("GOOGLETRANSLATE(A14554, ""en"", ""mt"")"),"nies qaddisa")</f>
        <v>nies qaddisa</v>
      </c>
    </row>
    <row r="14555" ht="15.75" customHeight="1">
      <c r="A14555" s="2" t="s">
        <v>14555</v>
      </c>
      <c r="B14555" s="2" t="str">
        <f>IFERROR(__xludf.DUMMYFUNCTION("GOOGLETRANSLATE(A14555, ""en"", ""mt"")"),"F'liema każ il-Qorti tal-Ġustizzja ddikjarat li r-rifjut li jammetti avukat fil-bar Belġjan għax ma kellux wirt Belġjan ma setax ikun ġustifikat?")</f>
        <v>F'liema każ il-Qorti tal-Ġustizzja ddikjarat li r-rifjut li jammetti avukat fil-bar Belġjan għax ma kellux wirt Belġjan ma setax ikun ġustifikat?</v>
      </c>
    </row>
    <row r="14556" ht="15.75" customHeight="1">
      <c r="A14556" s="2" t="s">
        <v>14556</v>
      </c>
      <c r="B14556" s="2" t="str">
        <f>IFERROR(__xludf.DUMMYFUNCTION("GOOGLETRANSLATE(A14556, ""en"", ""mt"")"),"ħamrija fqira")</f>
        <v>ħamrija fqira</v>
      </c>
    </row>
    <row r="14557" ht="15.75" customHeight="1">
      <c r="A14557" s="2" t="s">
        <v>14557</v>
      </c>
      <c r="B14557" s="2" t="str">
        <f>IFERROR(__xludf.DUMMYFUNCTION("GOOGLETRANSLATE(A14557, ""en"", ""mt"")"),"Iċ-Ċiniżi Han, Khitans, Jurchens, Mongols, u Buddisti Tibetani")</f>
        <v>Iċ-Ċiniżi Han, Khitans, Jurchens, Mongols, u Buddisti Tibetani</v>
      </c>
    </row>
    <row r="14558" ht="15.75" customHeight="1">
      <c r="A14558" s="2" t="s">
        <v>14558</v>
      </c>
      <c r="B14558" s="2" t="str">
        <f>IFERROR(__xludf.DUMMYFUNCTION("GOOGLETRANSLATE(A14558, ""en"", ""mt"")"),"Liema assoċjazzjoni Tesla wriet it-teoriji tal-mewġ tar-radju tiegħu?")</f>
        <v>Liema assoċjazzjoni Tesla wriet it-teoriji tal-mewġ tar-radju tiegħu?</v>
      </c>
    </row>
    <row r="14559" ht="15.75" customHeight="1">
      <c r="A14559" s="2" t="s">
        <v>14559</v>
      </c>
      <c r="B14559" s="2" t="str">
        <f>IFERROR(__xludf.DUMMYFUNCTION("GOOGLETRANSLATE(A14559, ""en"", ""mt"")"),"L’glise du Saint-Esprit")</f>
        <v>L’glise du Saint-Esprit</v>
      </c>
    </row>
    <row r="14560" ht="15.75" customHeight="1">
      <c r="A14560" s="2" t="s">
        <v>14560</v>
      </c>
      <c r="B14560" s="2" t="str">
        <f>IFERROR(__xludf.DUMMYFUNCTION("GOOGLETRANSLATE(A14560, ""en"", ""mt"")"),"F'dan id-dijossiġnu, iż-żewġ atomi ta 'ossiġnu huma marbuta kimikament ma' xulxin. Il-bond jista 'jiġi deskritt b'mod varju abbażi ta' livell ta 'teorija, iżda huwa raġonevolment u sempliċement deskritt bħala rabta doppja kovalenti li tirriżulta mill-mili"&amp;" ta' orbitali molekulari ffurmati mill-orbitali atomiċi ta 'l-atomi ta' ossiġenu individwali, li l-mili tagħhom jirriżulta f'rabta Ordni ta 'tnejn. B'mod iktar speċifiku, il-bond doppju huwa r-riżultat ta 'enerġija sekwenzjali, baxxa għal għolja, jew Aufb"&amp;"au, mili ta' orbitali, u l-kanċellazzjoni li tirriżulta ta 'kontribuzzjonijiet mill-elettroni 2S, wara mili sekwenzjali tal-orbital σ u σ *; σ sovrappożizzjoni taż-żewġ orbitali atomiċi 2p li jinsabu tul l-assi molekulari O-O u l-koinċidenza π ta 'żewġ pa"&amp;"ri ta' orbitali 2P atomiċi perpendikulari mal-assi molekulari O-O, u mbagħad il-kanċellazzjoni tal-kontribuzzjonijiet mis-sitt tnejn mill-elettroni parzjali wara l-mili parzjali tagħhom wara l-mili parzjali tagħhom wara l-mili parzjali tagħhom ta 'l-inqas"&amp;" π u π * orbitali.")</f>
        <v>F'dan id-dijossiġnu, iż-żewġ atomi ta 'ossiġnu huma marbuta kimikament ma' xulxin. Il-bond jista 'jiġi deskritt b'mod varju abbażi ta' livell ta 'teorija, iżda huwa raġonevolment u sempliċement deskritt bħala rabta doppja kovalenti li tirriżulta mill-mili ta' orbitali molekulari ffurmati mill-orbitali atomiċi ta 'l-atomi ta' ossiġenu individwali, li l-mili tagħhom jirriżulta f'rabta Ordni ta 'tnejn. B'mod iktar speċifiku, il-bond doppju huwa r-riżultat ta 'enerġija sekwenzjali, baxxa għal għolja, jew Aufbau, mili ta' orbitali, u l-kanċellazzjoni li tirriżulta ta 'kontribuzzjonijiet mill-elettroni 2S, wara mili sekwenzjali tal-orbital σ u σ *; σ sovrappożizzjoni taż-żewġ orbitali atomiċi 2p li jinsabu tul l-assi molekulari O-O u l-koinċidenza π ta 'żewġ pari ta' orbitali 2P atomiċi perpendikulari mal-assi molekulari O-O, u mbagħad il-kanċellazzjoni tal-kontribuzzjonijiet mis-sitt tnejn mill-elettroni parzjali wara l-mili parzjali tagħhom wara l-mili parzjali tagħhom wara l-mili parzjali tagħhom ta 'l-inqas π u π * orbitali.</v>
      </c>
    </row>
    <row r="14561" ht="15.75" customHeight="1">
      <c r="A14561" s="2" t="s">
        <v>14561</v>
      </c>
      <c r="B14561" s="2" t="str">
        <f>IFERROR(__xludf.DUMMYFUNCTION("GOOGLETRANSLATE(A14561, ""en"", ""mt"")"),"$ 5,000,000")</f>
        <v>$ 5,000,000</v>
      </c>
    </row>
    <row r="14562" ht="15.75" customHeight="1">
      <c r="A14562" s="2" t="s">
        <v>14562</v>
      </c>
      <c r="B14562" s="2" t="str">
        <f>IFERROR(__xludf.DUMMYFUNCTION("GOOGLETRANSLATE(A14562, ""en"", ""mt"")"),"X'inhuma magħrufa bħala Ctenophora?")</f>
        <v>X'inhuma magħrufa bħala Ctenophora?</v>
      </c>
    </row>
    <row r="14563" ht="15.75" customHeight="1">
      <c r="A14563" s="2" t="s">
        <v>14563</v>
      </c>
      <c r="B14563" s="2" t="str">
        <f>IFERROR(__xludf.DUMMYFUNCTION("GOOGLETRANSLATE(A14563, ""en"", ""mt"")"),"L-artijiet għoljin fertili")</f>
        <v>L-artijiet għoljin fertili</v>
      </c>
    </row>
    <row r="14564" ht="15.75" customHeight="1">
      <c r="A14564" s="2" t="s">
        <v>14564</v>
      </c>
      <c r="B14564" s="2" t="str">
        <f>IFERROR(__xludf.DUMMYFUNCTION("GOOGLETRANSLATE(A14564, ""en"", ""mt"")"),"permezz tal-pori fl-epidermide")</f>
        <v>permezz tal-pori fl-epidermide</v>
      </c>
    </row>
    <row r="14565" ht="15.75" customHeight="1">
      <c r="A14565" s="2" t="s">
        <v>14565</v>
      </c>
      <c r="B14565" s="2" t="str">
        <f>IFERROR(__xludf.DUMMYFUNCTION("GOOGLETRANSLATE(A14565, ""en"", ""mt"")"),"Magnetophon")</f>
        <v>Magnetophon</v>
      </c>
    </row>
    <row r="14566" ht="15.75" customHeight="1">
      <c r="A14566" s="2" t="s">
        <v>14566</v>
      </c>
      <c r="B14566" s="2" t="str">
        <f>IFERROR(__xludf.DUMMYFUNCTION("GOOGLETRANSLATE(A14566, ""en"", ""mt"")"),"teqred")</f>
        <v>teqred</v>
      </c>
    </row>
    <row r="14567" ht="15.75" customHeight="1">
      <c r="A14567" s="2" t="s">
        <v>14567</v>
      </c>
      <c r="B14567" s="2" t="str">
        <f>IFERROR(__xludf.DUMMYFUNCTION("GOOGLETRANSLATE(A14567, ""en"", ""mt"")"),"Meta ivaün Temür miet f'Shangdu fl-1328, Tugh Temür ġie mfakkar lil Khanbaliq mill-kmandant tal-Qipchaq El Temür. Huwa ġie installat bħala l-Imperatur (l-Imperatur Wenzong) f'Khanbaliq, filwaqt li t-tifel ta 'Yesün Temür Ragibagh irnexxielu fit-tron f'Sha"&amp;"ngdu bl-appoġġ ta' Yesün Temür's Favorit Retainer Dawlat Shah. Meta kiseb appoġġ minn prinċpijiet u uffiċjali fit-tramuntana taċ-Ċina u xi partijiet oħra tad-dinastija, Tugh Temür ibbażat fuq Khanbaliq eventwalment rebaħ il-gwerra ċivili kontra Ragibagh m"&amp;"agħrufa bħala l-gwerra taż-żewġ kapitali. Wara, Tugh Temür abdika favur lil ħuh Kusala, li kien appoġġjat minn Chagatai Khan Eljigidey, u ħabbar l-intenzjoni ta 'Khanbaliq li jilqa'h. Madankollu, Kusala miet f'daqqa erbat ijiem biss wara banquet ma 'Tugh "&amp;"Temür. Huwa allegatament inqatel bil-velenu minn El Temür, u Tugh Temür imbagħad ressaq it-tron. Tugh Temür irnexxielu wkoll jibgħat delegati lill-Khanates tal-Mongolja tal-Punent bħal Golden Horde u Ilkhanate biex jiġu aċċettati bħala s-suzerain tad-dinj"&amp;"a tal-Mongolja. Madankollu, huwa kien prinċipalment pupazz tal-uffiċjal qawwi El Temür matul ir-renju tal-aħħar tliet snin tiegħu. El Temür xejjen uffiċjali pro-Kusala u ġabu l-poter lill-kmandanti tal-gwerra, li l-ħakma despotika tagħha mmarkat b'mod ċar"&amp;" it-tnaqqis tad-dinastija.")</f>
        <v>Meta ivaün Temür miet f'Shangdu fl-1328, Tugh Temür ġie mfakkar lil Khanbaliq mill-kmandant tal-Qipchaq El Temür. Huwa ġie installat bħala l-Imperatur (l-Imperatur Wenzong) f'Khanbaliq, filwaqt li t-tifel ta 'Yesün Temür Ragibagh irnexxielu fit-tron f'Shangdu bl-appoġġ ta' Yesün Temür's Favorit Retainer Dawlat Shah. Meta kiseb appoġġ minn prinċpijiet u uffiċjali fit-tramuntana taċ-Ċina u xi partijiet oħra tad-dinastija, Tugh Temür ibbażat fuq Khanbaliq eventwalment rebaħ il-gwerra ċivili kontra Ragibagh magħrufa bħala l-gwerra taż-żewġ kapitali. Wara, Tugh Temür abdika favur lil ħuh Kusala, li kien appoġġjat minn Chagatai Khan Eljigidey, u ħabbar l-intenzjoni ta 'Khanbaliq li jilqa'h. Madankollu, Kusala miet f'daqqa erbat ijiem biss wara banquet ma 'Tugh Temür. Huwa allegatament inqatel bil-velenu minn El Temür, u Tugh Temür imbagħad ressaq it-tron. Tugh Temür irnexxielu wkoll jibgħat delegati lill-Khanates tal-Mongolja tal-Punent bħal Golden Horde u Ilkhanate biex jiġu aċċettati bħala s-suzerain tad-dinja tal-Mongolja. Madankollu, huwa kien prinċipalment pupazz tal-uffiċjal qawwi El Temür matul ir-renju tal-aħħar tliet snin tiegħu. El Temür xejjen uffiċjali pro-Kusala u ġabu l-poter lill-kmandanti tal-gwerra, li l-ħakma despotika tagħha mmarkat b'mod ċar it-tnaqqis tad-dinastija.</v>
      </c>
    </row>
    <row r="14568" ht="15.75" customHeight="1">
      <c r="A14568" s="2" t="s">
        <v>14568</v>
      </c>
      <c r="B14568" s="2" t="str">
        <f>IFERROR(__xludf.DUMMYFUNCTION("GOOGLETRANSLATE(A14568, ""en"", ""mt"")"),"Għal liema korp huma ċerti poteri speċifikati espliċitament bħala riservati?")</f>
        <v>Għal liema korp huma ċerti poteri speċifikati espliċitament bħala riservati?</v>
      </c>
    </row>
    <row r="14569" ht="15.75" customHeight="1">
      <c r="A14569" s="2" t="s">
        <v>14569</v>
      </c>
      <c r="B14569" s="2" t="str">
        <f>IFERROR(__xludf.DUMMYFUNCTION("GOOGLETRANSLATE(A14569, ""en"", ""mt"")"),"Kloroplast")</f>
        <v>Kloroplast</v>
      </c>
    </row>
    <row r="14570" ht="15.75" customHeight="1">
      <c r="A14570" s="2" t="s">
        <v>14570</v>
      </c>
      <c r="B14570" s="2" t="str">
        <f>IFERROR(__xludf.DUMMYFUNCTION("GOOGLETRANSLATE(A14570, ""en"", ""mt"")"),"X’jilimitaw it-trattati ġeneralment?")</f>
        <v>X’jilimitaw it-trattati ġeneralment?</v>
      </c>
    </row>
    <row r="14571" ht="15.75" customHeight="1">
      <c r="A14571" s="2" t="s">
        <v>14571</v>
      </c>
      <c r="B14571" s="2" t="str">
        <f>IFERROR(__xludf.DUMMYFUNCTION("GOOGLETRANSLATE(A14571, ""en"", ""mt"")"),"Liġi tal-UE")</f>
        <v>Liġi tal-UE</v>
      </c>
    </row>
    <row r="14572" ht="15.75" customHeight="1">
      <c r="A14572" s="2" t="s">
        <v>14572</v>
      </c>
      <c r="B14572" s="2" t="str">
        <f>IFERROR(__xludf.DUMMYFUNCTION("GOOGLETRANSLATE(A14572, ""en"", ""mt"")"),"Release malajr, bieb tal-ftuħ 'il barra")</f>
        <v>Release malajr, bieb tal-ftuħ 'il barra</v>
      </c>
    </row>
    <row r="14573" ht="15.75" customHeight="1">
      <c r="A14573" s="2" t="s">
        <v>14573</v>
      </c>
      <c r="B14573" s="2" t="str">
        <f>IFERROR(__xludf.DUMMYFUNCTION("GOOGLETRANSLATE(A14573, ""en"", ""mt"")"),"Il-qrati mitfugħa juru kasti tal-ġibs ta 'liema oġġetti?")</f>
        <v>Il-qrati mitfugħa juru kasti tal-ġibs ta 'liema oġġetti?</v>
      </c>
    </row>
    <row r="14574" ht="15.75" customHeight="1">
      <c r="A14574" s="2" t="s">
        <v>14574</v>
      </c>
      <c r="B14574" s="2" t="str">
        <f>IFERROR(__xludf.DUMMYFUNCTION("GOOGLETRANSLATE(A14574, ""en"", ""mt"")"),"X'irrappreżentat Lempicka aħjar minn ħaddieħor?")</f>
        <v>X'irrappreżentat Lempicka aħjar minn ħaddieħor?</v>
      </c>
    </row>
    <row r="14575" ht="15.75" customHeight="1">
      <c r="A14575" s="2" t="s">
        <v>14575</v>
      </c>
      <c r="B14575" s="2" t="str">
        <f>IFERROR(__xludf.DUMMYFUNCTION("GOOGLETRANSLATE(A14575, ""en"", ""mt"")"),"Tqassim nervuż")</f>
        <v>Tqassim nervuż</v>
      </c>
    </row>
    <row r="14576" ht="15.75" customHeight="1">
      <c r="A14576" s="2" t="s">
        <v>14576</v>
      </c>
      <c r="B14576" s="2" t="str">
        <f>IFERROR(__xludf.DUMMYFUNCTION("GOOGLETRANSLATE(A14576, ""en"", ""mt"")"),"Kemm qed jintefqu flus fuq avvenimenti oħra relatati mas-Super Bowl?")</f>
        <v>Kemm qed jintefqu flus fuq avvenimenti oħra relatati mas-Super Bowl?</v>
      </c>
    </row>
    <row r="14577" ht="15.75" customHeight="1">
      <c r="A14577" s="2" t="s">
        <v>14577</v>
      </c>
      <c r="B14577" s="2" t="str">
        <f>IFERROR(__xludf.DUMMYFUNCTION("GOOGLETRANSLATE(A14577, ""en"", ""mt"")"),"Semmi test li jista 'jintuża minn għalliem reliġjuż biex jgħallem.")</f>
        <v>Semmi test li jista 'jintuża minn għalliem reliġjuż biex jgħallem.</v>
      </c>
    </row>
    <row r="14578" ht="15.75" customHeight="1">
      <c r="A14578" s="2" t="s">
        <v>14578</v>
      </c>
      <c r="B14578" s="2" t="str">
        <f>IFERROR(__xludf.DUMMYFUNCTION("GOOGLETRANSLATE(A14578, ""en"", ""mt"")"),"Groove ciliary")</f>
        <v>Groove ciliary</v>
      </c>
    </row>
    <row r="14579" ht="15.75" customHeight="1">
      <c r="A14579" s="2" t="s">
        <v>14579</v>
      </c>
      <c r="B14579" s="2" t="str">
        <f>IFERROR(__xludf.DUMMYFUNCTION("GOOGLETRANSLATE(A14579, ""en"", ""mt"")"),"12 ta ’Mejju 1191")</f>
        <v>12 ta ’Mejju 1191</v>
      </c>
    </row>
    <row r="14580" ht="15.75" customHeight="1">
      <c r="A14580" s="2" t="s">
        <v>14580</v>
      </c>
      <c r="B14580" s="2" t="str">
        <f>IFERROR(__xludf.DUMMYFUNCTION("GOOGLETRANSLATE(A14580, ""en"", ""mt"")"),"Li tillimita l-qatla halal u prattiki Iżlamiċi oħra bħaċ-ċirkonċiżjoni")</f>
        <v>Li tillimita l-qatla halal u prattiki Iżlamiċi oħra bħaċ-ċirkonċiżjoni</v>
      </c>
    </row>
    <row r="14581" ht="15.75" customHeight="1">
      <c r="A14581" s="2" t="s">
        <v>14581</v>
      </c>
      <c r="B14581" s="2" t="str">
        <f>IFERROR(__xludf.DUMMYFUNCTION("GOOGLETRANSLATE(A14581, ""en"", ""mt"")"),"Tesla x'nota l-perikli li jaħdmu magħhom?")</f>
        <v>Tesla x'nota l-perikli li jaħdmu magħhom?</v>
      </c>
    </row>
    <row r="14582" ht="15.75" customHeight="1">
      <c r="A14582" s="2" t="s">
        <v>14582</v>
      </c>
      <c r="B14582" s="2" t="str">
        <f>IFERROR(__xludf.DUMMYFUNCTION("GOOGLETRANSLATE(A14582, ""en"", ""mt"")"),"Bħala norma, liema jum tal-ġimgħa hija l-ġurnata tal-midja tradizzjonali li saret qabel Super Bowl?")</f>
        <v>Bħala norma, liema jum tal-ġimgħa hija l-ġurnata tal-midja tradizzjonali li saret qabel Super Bowl?</v>
      </c>
    </row>
    <row r="14583" ht="15.75" customHeight="1">
      <c r="A14583" s="2" t="s">
        <v>14583</v>
      </c>
      <c r="B14583" s="2" t="str">
        <f>IFERROR(__xludf.DUMMYFUNCTION("GOOGLETRANSLATE(A14583, ""en"", ""mt"")"),"X'inhi varjabbli waħda li fuqha jista 'jkun il-ħin ta' tħaddim?")</f>
        <v>X'inhi varjabbli waħda li fuqha jista 'jkun il-ħin ta' tħaddim?</v>
      </c>
    </row>
    <row r="14584" ht="15.75" customHeight="1">
      <c r="A14584" s="2" t="s">
        <v>14584</v>
      </c>
      <c r="B14584" s="2" t="str">
        <f>IFERROR(__xludf.DUMMYFUNCTION("GOOGLETRANSLATE(A14584, ""en"", ""mt"")"),"xahrejn")</f>
        <v>xahrejn</v>
      </c>
    </row>
    <row r="14585" ht="15.75" customHeight="1">
      <c r="A14585" s="2" t="s">
        <v>14585</v>
      </c>
      <c r="B14585" s="2" t="str">
        <f>IFERROR(__xludf.DUMMYFUNCTION("GOOGLETRANSLATE(A14585, ""en"", ""mt"")"),"Tliet azzjonijiet offensivi ewlenin li jinvolvu numru kbir ta 'truppi regolari")</f>
        <v>Tliet azzjonijiet offensivi ewlenin li jinvolvu numru kbir ta 'truppi regolari</v>
      </c>
    </row>
    <row r="14586" ht="15.75" customHeight="1">
      <c r="A14586" s="2" t="s">
        <v>14586</v>
      </c>
      <c r="B14586" s="2" t="str">
        <f>IFERROR(__xludf.DUMMYFUNCTION("GOOGLETRANSLATE(A14586, ""en"", ""mt"")"),"Mistoqsija Lothian tal-Punent")</f>
        <v>Mistoqsija Lothian tal-Punent</v>
      </c>
    </row>
    <row r="14587" ht="15.75" customHeight="1">
      <c r="A14587" s="2" t="s">
        <v>14587</v>
      </c>
      <c r="B14587" s="2" t="str">
        <f>IFERROR(__xludf.DUMMYFUNCTION("GOOGLETRANSLATE(A14587, ""en"", ""mt"")"),"Bejn l-1991 u l-2000, l-erja totali tal-foresta mitlufa fl-Amażonja telgħet minn 415,000 għal 587,000 kilometru kwadru (160,000 għal 227,000 sq mi), bil-biċċa l-kbira tal-foresta mitlufa ssir mergħa għall-baqar. Sebgħin fil-mija tal-art li qabel kienet fo"&amp;"restata fl-Amażonja, u 91% tal-art deforestata mill-1970, hija użata għall-mergħa tal-bhejjem. Bħalissa, il-Brażil huwa t-tieni l-akbar produttur globali tas-sojja wara l-Istati Uniti. Riċerka ġdida madankollu, immexxija minn Leydimere Oliveira et al., Ur"&amp;"iet li l-aktar foresta tropikali tkun illoggjata fl-Amażonja, inqas il-preċipitazzjoni tilħaq iż-żona u għalhekk iktar ikun baxx ir-rendiment għal kull ettaru. Allura minkejja l-perċezzjoni popolari, ma kien hemm l-ebda vantaġġ ekonomiku għall-Brażil minn"&amp;" żoni ta 'foresti tropikali u kkonvertiti dawn f'għelieqi pastorali.")</f>
        <v>Bejn l-1991 u l-2000, l-erja totali tal-foresta mitlufa fl-Amażonja telgħet minn 415,000 għal 587,000 kilometru kwadru (160,000 għal 227,000 sq mi), bil-biċċa l-kbira tal-foresta mitlufa ssir mergħa għall-baqar. Sebgħin fil-mija tal-art li qabel kienet forestata fl-Amażonja, u 91% tal-art deforestata mill-1970, hija użata għall-mergħa tal-bhejjem. Bħalissa, il-Brażil huwa t-tieni l-akbar produttur globali tas-sojja wara l-Istati Uniti. Riċerka ġdida madankollu, immexxija minn Leydimere Oliveira et al., Uriet li l-aktar foresta tropikali tkun illoggjata fl-Amażonja, inqas il-preċipitazzjoni tilħaq iż-żona u għalhekk iktar ikun baxx ir-rendiment għal kull ettaru. Allura minkejja l-perċezzjoni popolari, ma kien hemm l-ebda vantaġġ ekonomiku għall-Brażil minn żoni ta 'foresti tropikali u kkonvertiti dawn f'għelieqi pastorali.</v>
      </c>
    </row>
    <row r="14588" ht="15.75" customHeight="1">
      <c r="A14588" s="2" t="s">
        <v>14588</v>
      </c>
      <c r="B14588" s="2" t="str">
        <f>IFERROR(__xludf.DUMMYFUNCTION("GOOGLETRANSLATE(A14588, ""en"", ""mt"")"),"Jekk problema x hija f'c u iebsa għal C, allura X jingħad li huwa komplut għal C. Dan ifisser li X hija l-iktar problema diffiċli f'C. (Peress li ħafna problemi jistgħu jkunu daqstant diffiċli, wieħed jista 'jgħid li X huwa wieħed L-agħar problemi f'C) Għ"&amp;"alhekk il-klassi ta 'problemi kompluti NP fiha l-aktar problemi diffiċli f'NP, fis-sens li huma dawk li x'aktarx ma jkunux f'P. Minħabba li l-problema P = NP mhix solvuta, li tkun Kapaċi tnaqqas problema magħrufa ta 'NP-kompluta, π2, għal problema oħra, π"&amp;"1, tindika li m'hemm l-ebda soluzzjoni magħrufa ta' ħin polinomju għal π1. Dan minħabba li soluzzjoni ta 'ħin polinomjali għal π1 tagħti soluzzjoni ta' ħin polinomjali għal π2. Bl-istess mod, minħabba li l-problemi kollha tal-NP jistgħu jitnaqqsu għas-set"&amp;"t, is-sejba ta 'problema kompluta NP li tista' tissolva fi żmien polinomjali tkun tfisser li P = NP.")</f>
        <v>Jekk problema x hija f'c u iebsa għal C, allura X jingħad li huwa komplut għal C. Dan ifisser li X hija l-iktar problema diffiċli f'C. (Peress li ħafna problemi jistgħu jkunu daqstant diffiċli, wieħed jista 'jgħid li X huwa wieħed L-agħar problemi f'C) Għalhekk il-klassi ta 'problemi kompluti NP fiha l-aktar problemi diffiċli f'NP, fis-sens li huma dawk li x'aktarx ma jkunux f'P. Minħabba li l-problema P = NP mhix solvuta, li tkun Kapaċi tnaqqas problema magħrufa ta 'NP-kompluta, π2, għal problema oħra, π1, tindika li m'hemm l-ebda soluzzjoni magħrufa ta' ħin polinomju għal π1. Dan minħabba li soluzzjoni ta 'ħin polinomjali għal π1 tagħti soluzzjoni ta' ħin polinomjali għal π2. Bl-istess mod, minħabba li l-problemi kollha tal-NP jistgħu jitnaqqsu għas-sett, is-sejba ta 'problema kompluta NP li tista' tissolva fi żmien polinomjali tkun tfisser li P = NP.</v>
      </c>
    </row>
    <row r="14589" ht="15.75" customHeight="1">
      <c r="A14589" s="2" t="s">
        <v>14589</v>
      </c>
      <c r="B14589" s="2" t="str">
        <f>IFERROR(__xludf.DUMMYFUNCTION("GOOGLETRANSLATE(A14589, ""en"", ""mt"")"),"unjoni doganali, u l-prinċipju ta 'nuqqas ta' diskriminazzjoni")</f>
        <v>unjoni doganali, u l-prinċipju ta 'nuqqas ta' diskriminazzjoni</v>
      </c>
    </row>
    <row r="14590" ht="15.75" customHeight="1">
      <c r="A14590" s="2" t="s">
        <v>14590</v>
      </c>
      <c r="B14590" s="2" t="str">
        <f>IFERROR(__xludf.DUMMYFUNCTION("GOOGLETRANSLATE(A14590, ""en"", ""mt"")"),"Portugiż")</f>
        <v>Portugiż</v>
      </c>
    </row>
    <row r="14591" ht="15.75" customHeight="1">
      <c r="A14591" s="2" t="s">
        <v>14591</v>
      </c>
      <c r="B14591" s="2" t="str">
        <f>IFERROR(__xludf.DUMMYFUNCTION("GOOGLETRANSLATE(A14591, ""en"", ""mt"")"),"Kenneth Swezey,")</f>
        <v>Kenneth Swezey,</v>
      </c>
    </row>
    <row r="14592" ht="15.75" customHeight="1">
      <c r="A14592" s="2" t="s">
        <v>14592</v>
      </c>
      <c r="B14592" s="2" t="str">
        <f>IFERROR(__xludf.DUMMYFUNCTION("GOOGLETRANSLATE(A14592, ""en"", ""mt"")"),"Ir-raġġi X kienu mewġ lonġitudinali")</f>
        <v>Ir-raġġi X kienu mewġ lonġitudinali</v>
      </c>
    </row>
    <row r="14593" ht="15.75" customHeight="1">
      <c r="A14593" s="2" t="s">
        <v>14593</v>
      </c>
      <c r="B14593" s="2" t="str">
        <f>IFERROR(__xludf.DUMMYFUNCTION("GOOGLETRANSLATE(A14593, ""en"", ""mt"")"),"Liema mill-faċilitajiet ta 'produzzjoni ewlenin ta' ABC tinsab f'Hollywood, CA?")</f>
        <v>Liema mill-faċilitajiet ta 'produzzjoni ewlenin ta' ABC tinsab f'Hollywood, CA?</v>
      </c>
    </row>
    <row r="14594" ht="15.75" customHeight="1">
      <c r="A14594" s="2" t="s">
        <v>14594</v>
      </c>
      <c r="B14594" s="2" t="str">
        <f>IFERROR(__xludf.DUMMYFUNCTION("GOOGLETRANSLATE(A14594, ""en"", ""mt"")"),"Liema Orbiter tan-NASA fotografat evidenza ta 'kull sit fuq il-qamar li seħħet inżul ta' missjoni Apollo bl-ekwipaġġ?")</f>
        <v>Liema Orbiter tan-NASA fotografat evidenza ta 'kull sit fuq il-qamar li seħħet inżul ta' missjoni Apollo bl-ekwipaġġ?</v>
      </c>
    </row>
    <row r="14595" ht="15.75" customHeight="1">
      <c r="A14595" s="2" t="s">
        <v>14595</v>
      </c>
      <c r="B14595" s="2" t="str">
        <f>IFERROR(__xludf.DUMMYFUNCTION("GOOGLETRANSLATE(A14595, ""en"", ""mt"")"),"Orbiter ta 'għarfien")</f>
        <v>Orbiter ta 'għarfien</v>
      </c>
    </row>
    <row r="14596" ht="15.75" customHeight="1">
      <c r="A14596" s="2" t="s">
        <v>14596</v>
      </c>
      <c r="B14596" s="2" t="str">
        <f>IFERROR(__xludf.DUMMYFUNCTION("GOOGLETRANSLATE(A14596, ""en"", ""mt"")"),"L-iktar offerent effiċjenti fl-infiq")</f>
        <v>L-iktar offerent effiċjenti fl-infiq</v>
      </c>
    </row>
    <row r="14597" ht="15.75" customHeight="1">
      <c r="A14597" s="2" t="s">
        <v>14597</v>
      </c>
      <c r="B14597" s="2" t="str">
        <f>IFERROR(__xludf.DUMMYFUNCTION("GOOGLETRANSLATE(A14597, ""en"", ""mt"")"),"1562 sal-1598")</f>
        <v>1562 sal-1598</v>
      </c>
    </row>
    <row r="14598" ht="15.75" customHeight="1">
      <c r="A14598" s="2" t="s">
        <v>14598</v>
      </c>
      <c r="B14598" s="2" t="str">
        <f>IFERROR(__xludf.DUMMYFUNCTION("GOOGLETRANSLATE(A14598, ""en"", ""mt"")"),"Liema pajjiżu jitla 'fin-nofsinhar tal-Kenja?")</f>
        <v>Liema pajjiżu jitla 'fin-nofsinhar tal-Kenja?</v>
      </c>
    </row>
    <row r="14599" ht="15.75" customHeight="1">
      <c r="A14599" s="2" t="s">
        <v>14599</v>
      </c>
      <c r="B14599" s="2" t="str">
        <f>IFERROR(__xludf.DUMMYFUNCTION("GOOGLETRANSLATE(A14599, ""en"", ""mt"")"),"Liema ċiviltà kienet l-ewwel magħrufa li studja b'mod ċar in-numri ewlenin?")</f>
        <v>Liema ċiviltà kienet l-ewwel magħrufa li studja b'mod ċar in-numri ewlenin?</v>
      </c>
    </row>
    <row r="14600" ht="15.75" customHeight="1">
      <c r="A14600" s="2" t="s">
        <v>14600</v>
      </c>
      <c r="B14600" s="2" t="str">
        <f>IFERROR(__xludf.DUMMYFUNCTION("GOOGLETRANSLATE(A14600, ""en"", ""mt"")"),"Dak li jippermetti lill-Parlament Skoċċiż jiskrutinja lill-gvern?")</f>
        <v>Dak li jippermetti lill-Parlament Skoċċiż jiskrutinja lill-gvern?</v>
      </c>
    </row>
    <row r="14601" ht="15.75" customHeight="1">
      <c r="A14601" s="2" t="s">
        <v>14601</v>
      </c>
      <c r="B14601" s="2" t="str">
        <f>IFERROR(__xludf.DUMMYFUNCTION("GOOGLETRANSLATE(A14601, ""en"", ""mt"")"),"X’ma jikkostitwixxix bħala diżubbidjenza ċivili?")</f>
        <v>X’ma jikkostitwixxix bħala diżubbidjenza ċivili?</v>
      </c>
    </row>
    <row r="14602" ht="15.75" customHeight="1">
      <c r="A14602" s="2" t="s">
        <v>14602</v>
      </c>
      <c r="B14602" s="2" t="str">
        <f>IFERROR(__xludf.DUMMYFUNCTION("GOOGLETRANSLATE(A14602, ""en"", ""mt"")"),"Temüjin beda t-tlugħ tiegħu għall-poter billi joffri lilu nnifsu bħala alleat (jew, skond sorsi oħra, vassall) għall-Anda ta 'missieru (ħu ġuramentat jew ħu d-demm) Toghrul, li kien Khan tal-Keraites, u huwa magħruf aħjar miċ-Ċiniżi Titlu ""Wang Khan"", l"&amp;"i d-dinastija Jurchen Jin tah fl-1197. Din ir-relazzjoni ġiet imsaħħa l-ewwel meta Börte ġie maqbud mill-Merkits. Temüjin daru lejn Toghrul għall-appoġġ, u bi tweġiba, Toghrul offra l-vassall tiegħu 20,000 mill-ġellieda Keraite tiegħu u ssuġġerixxa li jin"&amp;"volvi wkoll il-ħabib tat-tfulija tiegħu Jamukha, li kien innifsu sar Khan (ħakkiem) tat-tribù tiegħu stess, il-Jadaran.")</f>
        <v>Temüjin beda t-tlugħ tiegħu għall-poter billi joffri lilu nnifsu bħala alleat (jew, skond sorsi oħra, vassall) għall-Anda ta 'missieru (ħu ġuramentat jew ħu d-demm) Toghrul, li kien Khan tal-Keraites, u huwa magħruf aħjar miċ-Ċiniżi Titlu "Wang Khan", li d-dinastija Jurchen Jin tah fl-1197. Din ir-relazzjoni ġiet imsaħħa l-ewwel meta Börte ġie maqbud mill-Merkits. Temüjin daru lejn Toghrul għall-appoġġ, u bi tweġiba, Toghrul offra l-vassall tiegħu 20,000 mill-ġellieda Keraite tiegħu u ssuġġerixxa li jinvolvi wkoll il-ħabib tat-tfulija tiegħu Jamukha, li kien innifsu sar Khan (ħakkiem) tat-tribù tiegħu stess, il-Jadaran.</v>
      </c>
    </row>
    <row r="14603" ht="15.75" customHeight="1">
      <c r="A14603" s="2" t="s">
        <v>14603</v>
      </c>
      <c r="B14603" s="2" t="str">
        <f>IFERROR(__xludf.DUMMYFUNCTION("GOOGLETRANSLATE(A14603, ""en"", ""mt"")"),"Ħafna mill-istess deċiżjonijiet u prinċipji li japplikaw f'investigazzjonijiet kriminali oħra")</f>
        <v>Ħafna mill-istess deċiżjonijiet u prinċipji li japplikaw f'investigazzjonijiet kriminali oħra</v>
      </c>
    </row>
    <row r="14604" ht="15.75" customHeight="1">
      <c r="A14604" s="2" t="s">
        <v>14604</v>
      </c>
      <c r="B14604" s="2" t="str">
        <f>IFERROR(__xludf.DUMMYFUNCTION("GOOGLETRANSLATE(A14604, ""en"", ""mt"")"),"L-awtorità ta 'pajjiż wieħed fuq numru ta' oħrajn jikkostitwixxi l-pajjiż oriġinali?")</f>
        <v>L-awtorità ta 'pajjiż wieħed fuq numru ta' oħrajn jikkostitwixxi l-pajjiż oriġinali?</v>
      </c>
    </row>
    <row r="14605" ht="15.75" customHeight="1">
      <c r="A14605" s="2" t="s">
        <v>14605</v>
      </c>
      <c r="B14605" s="2" t="str">
        <f>IFERROR(__xludf.DUMMYFUNCTION("GOOGLETRANSLATE(A14605, ""en"", ""mt"")"),"Meta l-università ddeċidiet li tibda proġetti ta 'espansjoni ta' diversi miljun dollaru?")</f>
        <v>Meta l-università ddeċidiet li tibda proġetti ta 'espansjoni ta' diversi miljun dollaru?</v>
      </c>
    </row>
    <row r="14606" ht="15.75" customHeight="1">
      <c r="A14606" s="2" t="s">
        <v>14606</v>
      </c>
      <c r="B14606" s="2" t="str">
        <f>IFERROR(__xludf.DUMMYFUNCTION("GOOGLETRANSLATE(A14606, ""en"", ""mt"")"),"X'tip ta 'rwol ta' parenting jieħu għalliem?")</f>
        <v>X'tip ta 'rwol ta' parenting jieħu għalliem?</v>
      </c>
    </row>
    <row r="14607" ht="15.75" customHeight="1">
      <c r="A14607" s="2" t="s">
        <v>14607</v>
      </c>
      <c r="B14607" s="2" t="str">
        <f>IFERROR(__xludf.DUMMYFUNCTION("GOOGLETRANSLATE(A14607, ""en"", ""mt"")"),"Cyanobacterium fotosintetiku")</f>
        <v>Cyanobacterium fotosintetiku</v>
      </c>
    </row>
    <row r="14608" ht="15.75" customHeight="1">
      <c r="A14608" s="2" t="s">
        <v>14608</v>
      </c>
      <c r="B14608" s="2" t="str">
        <f>IFERROR(__xludf.DUMMYFUNCTION("GOOGLETRANSLATE(A14608, ""en"", ""mt"")"),"Għal liema tip ta 'għajnuna għall-istudenti barra mill-belt hija magħrufa l-Fratellanza Musulmana?")</f>
        <v>Għal liema tip ta 'għajnuna għall-istudenti barra mill-belt hija magħrufa l-Fratellanza Musulmana?</v>
      </c>
    </row>
    <row r="14609" ht="15.75" customHeight="1">
      <c r="A14609" s="2" t="s">
        <v>14609</v>
      </c>
      <c r="B14609" s="2" t="str">
        <f>IFERROR(__xludf.DUMMYFUNCTION("GOOGLETRANSLATE(A14609, ""en"", ""mt"")"),"F'liema ġurnata jseħħ ħin ta 'mistoqsija ġenerali?")</f>
        <v>F'liema ġurnata jseħħ ħin ta 'mistoqsija ġenerali?</v>
      </c>
    </row>
    <row r="14610" ht="15.75" customHeight="1">
      <c r="A14610" s="2" t="s">
        <v>14610</v>
      </c>
      <c r="B14610" s="2" t="str">
        <f>IFERROR(__xludf.DUMMYFUNCTION("GOOGLETRANSLATE(A14610, ""en"", ""mt"")"),"Gżejjer żgħar billi jippreċipitaw is-sedimenti")</f>
        <v>Gżejjer żgħar billi jippreċipitaw is-sedimenti</v>
      </c>
    </row>
    <row r="14611" ht="15.75" customHeight="1">
      <c r="A14611" s="2" t="s">
        <v>14611</v>
      </c>
      <c r="B14611" s="2" t="str">
        <f>IFERROR(__xludf.DUMMYFUNCTION("GOOGLETRANSLATE(A14611, ""en"", ""mt"")"),"Liema użu ġie ssuġġerit għas-sistema")</f>
        <v>Liema użu ġie ssuġġerit għas-sistema</v>
      </c>
    </row>
    <row r="14612" ht="15.75" customHeight="1">
      <c r="A14612" s="2" t="s">
        <v>14612</v>
      </c>
      <c r="B14612" s="2" t="str">
        <f>IFERROR(__xludf.DUMMYFUNCTION("GOOGLETRANSLATE(A14612, ""en"", ""mt"")"),"Wieħed (jew aktar")</f>
        <v>Wieħed (jew aktar</v>
      </c>
    </row>
    <row r="14613" ht="15.75" customHeight="1">
      <c r="A14613" s="2" t="s">
        <v>14613</v>
      </c>
      <c r="B14613" s="2" t="str">
        <f>IFERROR(__xludf.DUMMYFUNCTION("GOOGLETRANSLATE(A14613, ""en"", ""mt"")"),"Għaliex il-bini fuq ilsna Spital huwa magħruf bħala l-Palazz Pink?")</f>
        <v>Għaliex il-bini fuq ilsna Spital huwa magħruf bħala l-Palazz Pink?</v>
      </c>
    </row>
    <row r="14614" ht="15.75" customHeight="1">
      <c r="A14614" s="2" t="s">
        <v>14614</v>
      </c>
      <c r="B14614" s="2" t="str">
        <f>IFERROR(__xludf.DUMMYFUNCTION("GOOGLETRANSLATE(A14614, ""en"", ""mt"")"),"Fejn kienet Tesla bit-tama li tattendi l-klassijiet fi Praga?")</f>
        <v>Fejn kienet Tesla bit-tama li tattendi l-klassijiet fi Praga?</v>
      </c>
    </row>
    <row r="14615" ht="15.75" customHeight="1">
      <c r="A14615" s="2" t="s">
        <v>14615</v>
      </c>
      <c r="B14615" s="2" t="str">
        <f>IFERROR(__xludf.DUMMYFUNCTION("GOOGLETRANSLATE(A14615, ""en"", ""mt"")"),"Ippjanar effettiv")</f>
        <v>Ippjanar effettiv</v>
      </c>
    </row>
    <row r="14616" ht="15.75" customHeight="1">
      <c r="A14616" s="2" t="s">
        <v>14616</v>
      </c>
      <c r="B14616" s="2" t="str">
        <f>IFERROR(__xludf.DUMMYFUNCTION("GOOGLETRANSLATE(A14616, ""en"", ""mt"")"),"Eżempju partikolarment sempliċi ta 'test probabilistiku huwa t-test tal-primalità Fermat, li jiddependi fuq il-fatt (it-teorema ftit ta' Fermat) li NP≡N (mod P) għal kwalunkwe n jekk p huwa numru ewlieni. Jekk għandna numru B li rridu nittestjaw għall-pri"&amp;"malità, allura naħdmu NB (Mod B) għal valur każwali ta 'N bħala t-test tagħna. Difett ma 'dan it-test huwa li hemm xi numri komposti (in-numri ta' Carmichael) li jissodisfaw l-identità Fermat minkejja li mhumiex ewlenin, u għalhekk it-test m'għandu l-ebda"&amp;" mod li jiddistingwi bejn numri ewlenin u numri ta 'Carmichael. In-numri ta 'Carmichael huma sostanzjalment aktar rari minn numri ewlenin, għalkemm dan it-test jista' jkun utli għal skopijiet prattiċi. Estensjonijiet aktar qawwija tat-test tal-primalità t"&amp;"al-Fermat, bħalma huma t-testijiet Baillie-PSW, Miller-Rabin u Solovay-Strassen, huma garantiti li jonqsu mill-inqas ftit mill-ħin meta jiġu applikati għal numru kompost.")</f>
        <v>Eżempju partikolarment sempliċi ta 'test probabilistiku huwa t-test tal-primalità Fermat, li jiddependi fuq il-fatt (it-teorema ftit ta' Fermat) li NP≡N (mod P) għal kwalunkwe n jekk p huwa numru ewlieni. Jekk għandna numru B li rridu nittestjaw għall-primalità, allura naħdmu NB (Mod B) għal valur każwali ta 'N bħala t-test tagħna. Difett ma 'dan it-test huwa li hemm xi numri komposti (in-numri ta' Carmichael) li jissodisfaw l-identità Fermat minkejja li mhumiex ewlenin, u għalhekk it-test m'għandu l-ebda mod li jiddistingwi bejn numri ewlenin u numri ta 'Carmichael. In-numri ta 'Carmichael huma sostanzjalment aktar rari minn numri ewlenin, għalkemm dan it-test jista' jkun utli għal skopijiet prattiċi. Estensjonijiet aktar qawwija tat-test tal-primalità tal-Fermat, bħalma huma t-testijiet Baillie-PSW, Miller-Rabin u Solovay-Strassen, huma garantiti li jonqsu mill-inqas ftit mill-ħin meta jiġu applikati għal numru kompost.</v>
      </c>
    </row>
    <row r="14617" ht="15.75" customHeight="1">
      <c r="A14617" s="2" t="s">
        <v>14617</v>
      </c>
      <c r="B14617" s="2" t="str">
        <f>IFERROR(__xludf.DUMMYFUNCTION("GOOGLETRANSLATE(A14617, ""en"", ""mt"")"),"Ir-ribelljoni hija ħafna iktar distruttiva")</f>
        <v>Ir-ribelljoni hija ħafna iktar distruttiva</v>
      </c>
    </row>
    <row r="14618" ht="15.75" customHeight="1">
      <c r="A14618" s="2" t="s">
        <v>14618</v>
      </c>
      <c r="B14618" s="2" t="str">
        <f>IFERROR(__xludf.DUMMYFUNCTION("GOOGLETRANSLATE(A14618, ""en"", ""mt"")"),"L-iktar qawwa ta 'x'tip hija ġġenerata minn turbini tal-fwar illum?")</f>
        <v>L-iktar qawwa ta 'x'tip hija ġġenerata minn turbini tal-fwar illum?</v>
      </c>
    </row>
    <row r="14619" ht="15.75" customHeight="1">
      <c r="A14619" s="2" t="s">
        <v>14619</v>
      </c>
      <c r="B14619" s="2" t="str">
        <f>IFERROR(__xludf.DUMMYFUNCTION("GOOGLETRANSLATE(A14619, ""en"", ""mt"")"),"L-ossiġnu jikkondensa f'90.20 K (−182.95 ° C, −297.31 ° F), u jiffriża f'54.36 K (−218.79 ° C, −361.82 ° F). Kemm likwidu kif ukoll solidu o
2 huma sustanzi ċari b'kulur ċar blu-sema kkawżat minn assorbiment fl-aħmar (b'kuntrast mal-kulur blu tas-sema, li"&amp;" huwa dovut għat-tifrix ta 'rayleigh ta' dawl blu). Likwidu ta 'purità għolja o
2 ġeneralment jinkiseb bid-distillazzjoni frazzjonali ta 'l-arja likwifikata. L-ossiġnu likwidu jista 'jkun prodott ukoll minn kondensazzjoni barra mill-arja, bl-użu ta' nitro"&amp;"ġenu likwidu bħala likwidu li jkessaħ. Hija sustanza reattiva ħafna u għandha tkun segregata minn materjali kombustibbli.")</f>
        <v>L-ossiġnu jikkondensa f'90.20 K (−182.95 ° C, −297.31 ° F), u jiffriża f'54.36 K (−218.79 ° C, −361.82 ° F). Kemm likwidu kif ukoll solidu o
2 huma sustanzi ċari b'kulur ċar blu-sema kkawżat minn assorbiment fl-aħmar (b'kuntrast mal-kulur blu tas-sema, li huwa dovut għat-tifrix ta 'rayleigh ta' dawl blu). Likwidu ta 'purità għolja o
2 ġeneralment jinkiseb bid-distillazzjoni frazzjonali ta 'l-arja likwifikata. L-ossiġnu likwidu jista 'jkun prodott ukoll minn kondensazzjoni barra mill-arja, bl-użu ta' nitroġenu likwidu bħala likwidu li jkessaħ. Hija sustanza reattiva ħafna u għandha tkun segregata minn materjali kombustibbli.</v>
      </c>
    </row>
    <row r="14620" ht="15.75" customHeight="1">
      <c r="A14620" s="2" t="s">
        <v>14620</v>
      </c>
      <c r="B14620" s="2" t="str">
        <f>IFERROR(__xludf.DUMMYFUNCTION("GOOGLETRANSLATE(A14620, ""en"", ""mt"")"),"F'Lulju 2013, il-Qorti Għolja tal-Ġustizzja Ingliża sabet li l-użu ta 'Microsoft tat-terminu ""SkyDrive"" kiser id-dritt ta' Sky għat-trademark ""Sky"". Fil-31 ta 'Lulju 2013, BSKYB u Microsoft ħabbru s-saldu tagħhom, li fih Microsoft ma jappellawx id-deċ"&amp;"iżjoni, u jerġgħu jibdew is-servizz ta' ħażna tas-sħab skydrive tagħha wara ""perjodu raġonevoli ta 'żmien biex jippermettu tranżizzjoni ordnata għal marka ġdida,"" ""Termini finanzjarji u oħrajn, li d-dettalji tagħhom huma kunfidenzjali"". Fis-27 ta 'Jan"&amp;"nar 2014, Microsoft ħabbret ""li SkyDrive dalwaqt se ssir OneDrive"" u ""SkyDrive Pro"" isir ""OneDrive for Business"".")</f>
        <v>F'Lulju 2013, il-Qorti Għolja tal-Ġustizzja Ingliża sabet li l-użu ta 'Microsoft tat-terminu "SkyDrive" kiser id-dritt ta' Sky għat-trademark "Sky". Fil-31 ta 'Lulju 2013, BSKYB u Microsoft ħabbru s-saldu tagħhom, li fih Microsoft ma jappellawx id-deċiżjoni, u jerġgħu jibdew is-servizz ta' ħażna tas-sħab skydrive tagħha wara "perjodu raġonevoli ta 'żmien biex jippermettu tranżizzjoni ordnata għal marka ġdida," "Termini finanzjarji u oħrajn, li d-dettalji tagħhom huma kunfidenzjali". Fis-27 ta 'Jannar 2014, Microsoft ħabbret "li SkyDrive dalwaqt se ssir OneDrive" u "SkyDrive Pro" isir "OneDrive for Business".</v>
      </c>
    </row>
    <row r="14621" ht="15.75" customHeight="1">
      <c r="A14621" s="2" t="s">
        <v>14621</v>
      </c>
      <c r="B14621" s="2" t="str">
        <f>IFERROR(__xludf.DUMMYFUNCTION("GOOGLETRANSLATE(A14621, ""en"", ""mt"")"),"Saint-Pierre kif wieġeb għal Washington?")</f>
        <v>Saint-Pierre kif wieġeb għal Washington?</v>
      </c>
    </row>
    <row r="14622" ht="15.75" customHeight="1">
      <c r="A14622" s="2" t="s">
        <v>14622</v>
      </c>
      <c r="B14622" s="2" t="str">
        <f>IFERROR(__xludf.DUMMYFUNCTION("GOOGLETRANSLATE(A14622, ""en"", ""mt"")"),"X'tip ta 'moviment hija l-Fratellanza Musulmana?")</f>
        <v>X'tip ta 'moviment hija l-Fratellanza Musulmana?</v>
      </c>
    </row>
    <row r="14623" ht="15.75" customHeight="1">
      <c r="A14623" s="2" t="s">
        <v>14623</v>
      </c>
      <c r="B14623" s="2" t="str">
        <f>IFERROR(__xludf.DUMMYFUNCTION("GOOGLETRANSLATE(A14623, ""en"", ""mt"")"),"Bejn wieħed u ieħor kemm hemm osservanti l-Knisja Metodista Magħquda madwar id-dinja?")</f>
        <v>Bejn wieħed u ieħor kemm hemm osservanti l-Knisja Metodista Magħquda madwar id-dinja?</v>
      </c>
    </row>
    <row r="14624" ht="15.75" customHeight="1">
      <c r="A14624" s="2" t="s">
        <v>14624</v>
      </c>
      <c r="B14624" s="2" t="str">
        <f>IFERROR(__xludf.DUMMYFUNCTION("GOOGLETRANSLATE(A14624, ""en"", ""mt"")"),"Ġenna Eterna")</f>
        <v>Ġenna Eterna</v>
      </c>
    </row>
    <row r="14625" ht="15.75" customHeight="1">
      <c r="A14625" s="2" t="s">
        <v>14625</v>
      </c>
      <c r="B14625" s="2" t="str">
        <f>IFERROR(__xludf.DUMMYFUNCTION("GOOGLETRANSLATE(A14625, ""en"", ""mt"")"),"Kemm-il darba ġie mkeċċi l-quarterback tal-Panthers?")</f>
        <v>Kemm-il darba ġie mkeċċi l-quarterback tal-Panthers?</v>
      </c>
    </row>
    <row r="14626" ht="15.75" customHeight="1">
      <c r="A14626" s="2" t="s">
        <v>14626</v>
      </c>
      <c r="B14626" s="2" t="str">
        <f>IFERROR(__xludf.DUMMYFUNCTION("GOOGLETRANSLATE(A14626, ""en"", ""mt"")"),"Orbiter ta 'għarfien Lunar")</f>
        <v>Orbiter ta 'għarfien Lunar</v>
      </c>
    </row>
    <row r="14627" ht="15.75" customHeight="1">
      <c r="A14627" s="2" t="s">
        <v>14627</v>
      </c>
      <c r="B14627" s="2" t="str">
        <f>IFERROR(__xludf.DUMMYFUNCTION("GOOGLETRANSLATE(A14627, ""en"", ""mt"")"),"Tensor tal-istress")</f>
        <v>Tensor tal-istress</v>
      </c>
    </row>
    <row r="14628" ht="15.75" customHeight="1">
      <c r="A14628" s="2" t="s">
        <v>14628</v>
      </c>
      <c r="B14628" s="2" t="str">
        <f>IFERROR(__xludf.DUMMYFUNCTION("GOOGLETRANSLATE(A14628, ""en"", ""mt"")"),"Is-serje mqajma rċeviet rikonoxximent mill-kritiċi u mill-pubbliku, f’diversi ċerimonji ta ’premjijiet. Huwa rebaħ ħames premjijiet tat-TV BAFTA, inklużi l-Aħjar Drama Series, il-premju televiżiv Brittaniku bl-ogħla profil u l-iktar prestiġjuż li għalih i"&amp;"s-serje qatt ġiet innominata. Kien popolari ħafna fil-Premjijiet BAFTA CYMRU, b'25 rebħiet ġenerali inklużi l-Aħjar Drama Series (darbtejn), l-Aħjar Screenplay / Screenwriter (tliet darbiet) u l-Aħjar Attur. Ġie nominat ukoll għal 7 Premjijiet Saturn, li "&amp;"rebaħ l-unika l-aqwa serje internazzjonali fl-istorja taċ-ċerimonja. Fl-2009, Doctor Who ġie vvutat it-3 l-akbar wirja tas-snin 2000 minn Channel 4, wara Top Gear u The Apprentice. L-episodju ""Vincent and the Doctor"" ġie elenkat għal Mind Award fil-Prem"&amp;"jijiet tal-Midja Mentali tal-Moħħ 2010 għar-ritratt ""li jmissu"" tiegħu ta 'Vincent Van Gogh.")</f>
        <v>Is-serje mqajma rċeviet rikonoxximent mill-kritiċi u mill-pubbliku, f’diversi ċerimonji ta ’premjijiet. Huwa rebaħ ħames premjijiet tat-TV BAFTA, inklużi l-Aħjar Drama Series, il-premju televiżiv Brittaniku bl-ogħla profil u l-iktar prestiġjuż li għalih is-serje qatt ġiet innominata. Kien popolari ħafna fil-Premjijiet BAFTA CYMRU, b'25 rebħiet ġenerali inklużi l-Aħjar Drama Series (darbtejn), l-Aħjar Screenplay / Screenwriter (tliet darbiet) u l-Aħjar Attur. Ġie nominat ukoll għal 7 Premjijiet Saturn, li rebaħ l-unika l-aqwa serje internazzjonali fl-istorja taċ-ċerimonja. Fl-2009, Doctor Who ġie vvutat it-3 l-akbar wirja tas-snin 2000 minn Channel 4, wara Top Gear u The Apprentice. L-episodju "Vincent and the Doctor" ġie elenkat għal Mind Award fil-Premjijiet tal-Midja Mentali tal-Moħħ 2010 għar-ritratt "li jmissu" tiegħu ta 'Vincent Van Gogh.</v>
      </c>
    </row>
    <row r="14629" ht="15.75" customHeight="1">
      <c r="A14629" s="2" t="s">
        <v>14629</v>
      </c>
      <c r="B14629" s="2" t="str">
        <f>IFERROR(__xludf.DUMMYFUNCTION("GOOGLETRANSLATE(A14629, ""en"", ""mt"")"),"Il-pitturi mogħtija minn John Sheepshanks kienu minn artisti ta ’liema nazzjonalità?")</f>
        <v>Il-pitturi mogħtija minn John Sheepshanks kienu minn artisti ta ’liema nazzjonalità?</v>
      </c>
    </row>
    <row r="14630" ht="15.75" customHeight="1">
      <c r="A14630" s="2" t="s">
        <v>14630</v>
      </c>
      <c r="B14630" s="2" t="str">
        <f>IFERROR(__xludf.DUMMYFUNCTION("GOOGLETRANSLATE(A14630, ""en"", ""mt"")"),"thylakoid jew ma 'plastoglobulus ieħor imwaħħal ma' thylakoid")</f>
        <v>thylakoid jew ma 'plastoglobulus ieħor imwaħħal ma' thylakoid</v>
      </c>
    </row>
    <row r="14631" ht="15.75" customHeight="1">
      <c r="A14631" s="2" t="s">
        <v>14631</v>
      </c>
      <c r="B14631" s="2" t="str">
        <f>IFERROR(__xludf.DUMMYFUNCTION("GOOGLETRANSLATE(A14631, ""en"", ""mt"")"),"Liema lezzjoni kienet Johann von Staupitz tgħallem l-indiema ta 'Luther?")</f>
        <v>Liema lezzjoni kienet Johann von Staupitz tgħallem l-indiema ta 'Luther?</v>
      </c>
    </row>
    <row r="14632" ht="15.75" customHeight="1">
      <c r="A14632" s="2" t="s">
        <v>14632</v>
      </c>
      <c r="B14632" s="2" t="str">
        <f>IFERROR(__xludf.DUMMYFUNCTION("GOOGLETRANSLATE(A14632, ""en"", ""mt"")"),"Id-diversi gruppi etniċi tal-Kenja tipikament jitkellmu bil-lingwa materna tagħhom fil-komunitajiet tagħhom stess. Iż-żewġ lingwi uffiċjali, l-Ingliż u s-Swaħili, jintużaw fi gradi differenti ta 'ħeffa għall-komunikazzjoni ma' popolazzjonijiet oħra. L-Ing"&amp;"liż huwa mitkellem ħafna fil-kummerċ, l-iskola u l-gvern. L-abitanti peri-urbani u rurali huma inqas multilingwi, b'ħafna f'żoni rurali jitkellmu biss il-lingwi nattivi tagħhom. L-Ingliż Brittaniku jintuża primarjament fil-pajjiż. Barra minn hekk, djalett"&amp;" lokali distint, Ingliż Kenjan, huwa użat minn xi komunitajiet u individwi fil-pajjiż, u fih karatteristiċi uniċi għaliha li kienu ġejjin minn lingwi lokali Bantu, bħas-Swaħili u Kikuyu. Ilha tiżviluppa mill-kolonizzazzjoni u fiha wkoll ċerti elementi tal"&amp;"-Ingliż Amerikan. Sheng huwa cant ibbażat fuq is-Swaħili f'xi żoni urbani. Prinċipalment jikkonsisti f'taħlita ta 'Swaħili u l-Ingliż, huwa eżempju ta' swiċċ tal-kodiċi lingwistiku.")</f>
        <v>Id-diversi gruppi etniċi tal-Kenja tipikament jitkellmu bil-lingwa materna tagħhom fil-komunitajiet tagħhom stess. Iż-żewġ lingwi uffiċjali, l-Ingliż u s-Swaħili, jintużaw fi gradi differenti ta 'ħeffa għall-komunikazzjoni ma' popolazzjonijiet oħra. L-Ingliż huwa mitkellem ħafna fil-kummerċ, l-iskola u l-gvern. L-abitanti peri-urbani u rurali huma inqas multilingwi, b'ħafna f'żoni rurali jitkellmu biss il-lingwi nattivi tagħhom. L-Ingliż Brittaniku jintuża primarjament fil-pajjiż. Barra minn hekk, djalett lokali distint, Ingliż Kenjan, huwa użat minn xi komunitajiet u individwi fil-pajjiż, u fih karatteristiċi uniċi għaliha li kienu ġejjin minn lingwi lokali Bantu, bħas-Swaħili u Kikuyu. Ilha tiżviluppa mill-kolonizzazzjoni u fiha wkoll ċerti elementi tal-Ingliż Amerikan. Sheng huwa cant ibbażat fuq is-Swaħili f'xi żoni urbani. Prinċipalment jikkonsisti f'taħlita ta 'Swaħili u l-Ingliż, huwa eżempju ta' swiċċ tal-kodiċi lingwistiku.</v>
      </c>
    </row>
    <row r="14633" ht="15.75" customHeight="1">
      <c r="A14633" s="2" t="s">
        <v>14633</v>
      </c>
      <c r="B14633" s="2" t="str">
        <f>IFERROR(__xludf.DUMMYFUNCTION("GOOGLETRANSLATE(A14633, ""en"", ""mt"")"),"Rhine-kilometri")</f>
        <v>Rhine-kilometri</v>
      </c>
    </row>
    <row r="14634" ht="15.75" customHeight="1">
      <c r="A14634" s="2" t="s">
        <v>14634</v>
      </c>
      <c r="B14634" s="2" t="str">
        <f>IFERROR(__xludf.DUMMYFUNCTION("GOOGLETRANSLATE(A14634, ""en"", ""mt"")"),"X'inhu l-isem tal-alfabett l-iktar użat f'istanza ta 'problema?")</f>
        <v>X'inhu l-isem tal-alfabett l-iktar użat f'istanza ta 'problema?</v>
      </c>
    </row>
    <row r="14635" ht="15.75" customHeight="1">
      <c r="A14635" s="2" t="s">
        <v>14635</v>
      </c>
      <c r="B14635" s="2" t="str">
        <f>IFERROR(__xludf.DUMMYFUNCTION("GOOGLETRANSLATE(A14635, ""en"", ""mt"")"),"Kemm-il sena kien John Fox il-kowċ ewlieni tad-Denver Broncos?")</f>
        <v>Kemm-il sena kien John Fox il-kowċ ewlieni tad-Denver Broncos?</v>
      </c>
    </row>
    <row r="14636" ht="15.75" customHeight="1">
      <c r="A14636" s="2" t="s">
        <v>14636</v>
      </c>
      <c r="B14636" s="2" t="str">
        <f>IFERROR(__xludf.DUMMYFUNCTION("GOOGLETRANSLATE(A14636, ""en"", ""mt"")"),"mitluba miż-żewġ naħat")</f>
        <v>mitluba miż-żewġ naħat</v>
      </c>
    </row>
    <row r="14637" ht="15.75" customHeight="1">
      <c r="A14637" s="2" t="s">
        <v>14637</v>
      </c>
      <c r="B14637" s="2" t="str">
        <f>IFERROR(__xludf.DUMMYFUNCTION("GOOGLETRANSLATE(A14637, ""en"", ""mt"")"),"membru tal-Ordni tal-Konferenza Annwali tagħhom tal-Anzjani.")</f>
        <v>membru tal-Ordni tal-Konferenza Annwali tagħhom tal-Anzjani.</v>
      </c>
    </row>
    <row r="14638" ht="15.75" customHeight="1">
      <c r="A14638" s="2" t="s">
        <v>14638</v>
      </c>
      <c r="B14638" s="2" t="str">
        <f>IFERROR(__xludf.DUMMYFUNCTION("GOOGLETRANSLATE(A14638, ""en"", ""mt"")"),"F'liema tip ta 'postijiet jintużaw torrijiet tat-tkessiħ niexef?")</f>
        <v>F'liema tip ta 'postijiet jintużaw torrijiet tat-tkessiħ niexef?</v>
      </c>
    </row>
    <row r="14639" ht="15.75" customHeight="1">
      <c r="A14639" s="2" t="s">
        <v>14639</v>
      </c>
      <c r="B14639" s="2" t="str">
        <f>IFERROR(__xludf.DUMMYFUNCTION("GOOGLETRANSLATE(A14639, ""en"", ""mt"")"),"Kemm fumbles forza Von Miller?")</f>
        <v>Kemm fumbles forza Von Miller?</v>
      </c>
    </row>
    <row r="14640" ht="15.75" customHeight="1">
      <c r="A14640" s="2" t="s">
        <v>14640</v>
      </c>
      <c r="B14640" s="2" t="str">
        <f>IFERROR(__xludf.DUMMYFUNCTION("GOOGLETRANSLATE(A14640, ""en"", ""mt"")"),"Ossidi tas-silikon")</f>
        <v>Ossidi tas-silikon</v>
      </c>
    </row>
    <row r="14641" ht="15.75" customHeight="1">
      <c r="A14641" s="2" t="s">
        <v>14641</v>
      </c>
      <c r="B14641" s="2" t="str">
        <f>IFERROR(__xludf.DUMMYFUNCTION("GOOGLETRANSLATE(A14641, ""en"", ""mt"")"),"individwu")</f>
        <v>individwu</v>
      </c>
    </row>
    <row r="14642" ht="15.75" customHeight="1">
      <c r="A14642" s="2" t="s">
        <v>14642</v>
      </c>
      <c r="B14642" s="2" t="str">
        <f>IFERROR(__xludf.DUMMYFUNCTION("GOOGLETRANSLATE(A14642, ""en"", ""mt"")"),"X'jista 'jagħmel Hermaphrodite simultanju?")</f>
        <v>X'jista 'jagħmel Hermaphrodite simultanju?</v>
      </c>
    </row>
    <row r="14643" ht="15.75" customHeight="1">
      <c r="A14643" s="2" t="s">
        <v>14643</v>
      </c>
      <c r="B14643" s="2" t="str">
        <f>IFERROR(__xludf.DUMMYFUNCTION("GOOGLETRANSLATE(A14643, ""en"", ""mt"")"),"Min kien ir-rivali ta 'Guy?")</f>
        <v>Min kien ir-rivali ta 'Guy?</v>
      </c>
    </row>
    <row r="14644" ht="15.75" customHeight="1">
      <c r="A14644" s="2" t="s">
        <v>14644</v>
      </c>
      <c r="B14644" s="2" t="str">
        <f>IFERROR(__xludf.DUMMYFUNCTION("GOOGLETRANSLATE(A14644, ""en"", ""mt"")"),"Semmi mod wieħed kif persuna tista 'ssir membru li jistqarru?")</f>
        <v>Semmi mod wieħed kif persuna tista 'ssir membru li jistqarru?</v>
      </c>
    </row>
    <row r="14645" ht="15.75" customHeight="1">
      <c r="A14645" s="2" t="s">
        <v>14645</v>
      </c>
      <c r="B14645" s="2" t="str">
        <f>IFERROR(__xludf.DUMMYFUNCTION("GOOGLETRANSLATE(A14645, ""en"", ""mt"")"),"Kif wieġeb Luther wara li ġie mistoqsi jekk il-kotba kinux tiegħu?")</f>
        <v>Kif wieġeb Luther wara li ġie mistoqsi jekk il-kotba kinux tiegħu?</v>
      </c>
    </row>
    <row r="14646" ht="15.75" customHeight="1">
      <c r="A14646" s="2" t="s">
        <v>14646</v>
      </c>
      <c r="B14646" s="2" t="str">
        <f>IFERROR(__xludf.DUMMYFUNCTION("GOOGLETRANSLATE(A14646, ""en"", ""mt"")"),"Xi jfisser Paramylon Store?")</f>
        <v>Xi jfisser Paramylon Store?</v>
      </c>
    </row>
    <row r="14647" ht="15.75" customHeight="1">
      <c r="A14647" s="2" t="s">
        <v>14647</v>
      </c>
      <c r="B14647" s="2" t="str">
        <f>IFERROR(__xludf.DUMMYFUNCTION("GOOGLETRANSLATE(A14647, ""en"", ""mt"")"),"Hemm ħafna xebh u differenzi fost l-għalliema madwar id-dinja. Fi kważi l-pajjiżi l-għalliema huma edukati f'università jew kulleġġ. Il-gvernijiet jistgħu jeħtieġu ċertifikazzjoni minn korp rikonoxxut qabel ma jkunu jistgħu jgħallmu fi skola. F’ħafna pajj"&amp;"iżi, ċertifikat ta ’edukazzjoni skolastika elementari jinkiseb wara t-tlestija tal-iskola għolja. L-istudent tal-iskola sekondarja jsegwi track ta 'speċjalità ta' edukazzjoni, jikseb il-prerekwiżit ta '""studenti"" ħin, u jirċievi diploma speċjali biex ji"&amp;"bda jgħallem wara l-gradwazzjoni. Minbarra ċ-ċertifikazzjoni, ħafna istituzzjonijiet edukattivi speċjalment fl-Istati Uniti, jirrikjedu li l-għalliema prospettivi jgħaddu kontroll tal-isfond u evalwazzjoni psikjatrika biex ikunu jistgħu jgħallmu fil-klass"&amp;"i. Dan mhux dejjem il-każ ma 'istituzzjonijiet ta' tagħlim ulterjuri għall-adulti iżda qed isir malajr in-norma f'ħafna pajjiżi hekk kif tikber it-tħassib dwar is-sigurtà.")</f>
        <v>Hemm ħafna xebh u differenzi fost l-għalliema madwar id-dinja. Fi kważi l-pajjiżi l-għalliema huma edukati f'università jew kulleġġ. Il-gvernijiet jistgħu jeħtieġu ċertifikazzjoni minn korp rikonoxxut qabel ma jkunu jistgħu jgħallmu fi skola. F’ħafna pajjiżi, ċertifikat ta ’edukazzjoni skolastika elementari jinkiseb wara t-tlestija tal-iskola għolja. L-istudent tal-iskola sekondarja jsegwi track ta 'speċjalità ta' edukazzjoni, jikseb il-prerekwiżit ta '"studenti" ħin, u jirċievi diploma speċjali biex jibda jgħallem wara l-gradwazzjoni. Minbarra ċ-ċertifikazzjoni, ħafna istituzzjonijiet edukattivi speċjalment fl-Istati Uniti, jirrikjedu li l-għalliema prospettivi jgħaddu kontroll tal-isfond u evalwazzjoni psikjatrika biex ikunu jistgħu jgħallmu fil-klassi. Dan mhux dejjem il-każ ma 'istituzzjonijiet ta' tagħlim ulterjuri għall-adulti iżda qed isir malajr in-norma f'ħafna pajjiżi hekk kif tikber it-tħassib dwar is-sigurtà.</v>
      </c>
    </row>
    <row r="14648" ht="15.75" customHeight="1">
      <c r="A14648" s="2" t="s">
        <v>14648</v>
      </c>
      <c r="B14648" s="2" t="str">
        <f>IFERROR(__xludf.DUMMYFUNCTION("GOOGLETRANSLATE(A14648, ""en"", ""mt"")"),"l-ispirall,")</f>
        <v>l-ispirall,</v>
      </c>
    </row>
    <row r="14649" ht="15.75" customHeight="1">
      <c r="A14649" s="2" t="s">
        <v>14649</v>
      </c>
      <c r="B14649" s="2" t="str">
        <f>IFERROR(__xludf.DUMMYFUNCTION("GOOGLETRANSLATE(A14649, ""en"", ""mt"")"),"L-għaqda bejn l-ABC u l-Bliet Kapitali rċeviet l-approvazzjoni federali fil-5 ta 'Settembru, 1985. Wara li l-għaqda ABC / Capital Cities ġiet iffinalizzata fit-3 ta' Jannar, 1986, il-kumpanija kkombinata - li saret magħrufa bħala Capital Cities / ABC, Inc"&amp;". - żiedet erba 'televiżjoni Stazzjonijiet (WPVI-TV / Philadelphia, KTRK-TV / Houston, KFSN-TV / Fresno u WTVD / Raleigh) u diversi stazzjonijiet tar-radju għall-portafoll tax-xandir tal-ABC, u inkludew ukoll pubblikazzjonijiet Fairchild u erba 'gazzetti "&amp;"(inklużi l-Kansas City Star u Fort Wort Star-Telegram). Beda wkoll diversi bidliet fil-ġestjoni tiegħu: Frederick S. Pierce ġie msemmi president tad-Diviżjoni tax-Xandir ta 'ABC; Michael P. Milladi sar viċi president ta 'ABC Broadcasting, u l-President ta"&amp;"' ABC proprjetà ta 'Stazzjonijiet u ABC Video Enterprises; John B. Sias inħatar President tan-Netwerk tat-Televiżjoni ABC; Brandon Stoddard sar president ta 'ABC Entertainment (pożizzjoni li kien inħatar f'Novembru 1985); U Roone Arledge sar president ta "&amp;"'ABC News u ABC Sports. Fi Frar tal-1986, Thomas S. Murphy, li kien ilu jservi bħala CEO tal-Bliet Kapitali mill-1964, inħatar President u CEO Emeritus ta ’ABC. Jim Duffy niżel bħala president tat-televiżjoni ABC għal pożizzjoni ta 'tmexxija f'ABC Communi"&amp;"cations, sussidjarja li speċjalizzata fl-ipprogrammar tas-servizz tal-komunità, inklużi wirjiet relatati mal-edukazzjoni letterarja.")</f>
        <v>L-għaqda bejn l-ABC u l-Bliet Kapitali rċeviet l-approvazzjoni federali fil-5 ta 'Settembru, 1985. Wara li l-għaqda ABC / Capital Cities ġiet iffinalizzata fit-3 ta' Jannar, 1986, il-kumpanija kkombinata - li saret magħrufa bħala Capital Cities / ABC, Inc. - żiedet erba 'televiżjoni Stazzjonijiet (WPVI-TV / Philadelphia, KTRK-TV / Houston, KFSN-TV / Fresno u WTVD / Raleigh) u diversi stazzjonijiet tar-radju għall-portafoll tax-xandir tal-ABC, u inkludew ukoll pubblikazzjonijiet Fairchild u erba 'gazzetti (inklużi l-Kansas City Star u Fort Wort Star-Telegram). Beda wkoll diversi bidliet fil-ġestjoni tiegħu: Frederick S. Pierce ġie msemmi president tad-Diviżjoni tax-Xandir ta 'ABC; Michael P. Milladi sar viċi president ta 'ABC Broadcasting, u l-President ta' ABC proprjetà ta 'Stazzjonijiet u ABC Video Enterprises; John B. Sias inħatar President tan-Netwerk tat-Televiżjoni ABC; Brandon Stoddard sar president ta 'ABC Entertainment (pożizzjoni li kien inħatar f'Novembru 1985); U Roone Arledge sar president ta 'ABC News u ABC Sports. Fi Frar tal-1986, Thomas S. Murphy, li kien ilu jservi bħala CEO tal-Bliet Kapitali mill-1964, inħatar President u CEO Emeritus ta ’ABC. Jim Duffy niżel bħala president tat-televiżjoni ABC għal pożizzjoni ta 'tmexxija f'ABC Communications, sussidjarja li speċjalizzata fl-ipprogrammar tas-servizz tal-komunità, inklużi wirjiet relatati mal-edukazzjoni letterarja.</v>
      </c>
    </row>
    <row r="14650" ht="15.75" customHeight="1">
      <c r="A14650" s="2" t="s">
        <v>14650</v>
      </c>
      <c r="B14650" s="2" t="str">
        <f>IFERROR(__xludf.DUMMYFUNCTION("GOOGLETRANSLATE(A14650, ""en"", ""mt"")"),"Is-Segretarjat Ċentrali")</f>
        <v>Is-Segretarjat Ċentrali</v>
      </c>
    </row>
    <row r="14651" ht="15.75" customHeight="1">
      <c r="A14651" s="2" t="s">
        <v>14651</v>
      </c>
      <c r="B14651" s="2" t="str">
        <f>IFERROR(__xludf.DUMMYFUNCTION("GOOGLETRANSLATE(A14651, ""en"", ""mt"")"),"Depressurizzazzjoni tal-kabina")</f>
        <v>Depressurizzazzjoni tal-kabina</v>
      </c>
    </row>
    <row r="14652" ht="15.75" customHeight="1">
      <c r="A14652" s="2" t="s">
        <v>14652</v>
      </c>
      <c r="B14652" s="2" t="str">
        <f>IFERROR(__xludf.DUMMYFUNCTION("GOOGLETRANSLATE(A14652, ""en"", ""mt"")"),"Assemblea Skoċċiża eletta direttament")</f>
        <v>Assemblea Skoċċiża eletta direttament</v>
      </c>
    </row>
    <row r="14653" ht="15.75" customHeight="1">
      <c r="A14653" s="2" t="s">
        <v>14653</v>
      </c>
      <c r="B14653" s="2" t="str">
        <f>IFERROR(__xludf.DUMMYFUNCTION("GOOGLETRANSLATE(A14653, ""en"", ""mt"")"),"Il-korp akkademiku tal-università huwa magħmul minn kemm hemm skejjel professjonali?")</f>
        <v>Il-korp akkademiku tal-università huwa magħmul minn kemm hemm skejjel professjonali?</v>
      </c>
    </row>
    <row r="14654" ht="15.75" customHeight="1">
      <c r="A14654" s="2" t="s">
        <v>14654</v>
      </c>
      <c r="B14654" s="2" t="str">
        <f>IFERROR(__xludf.DUMMYFUNCTION("GOOGLETRANSLATE(A14654, ""en"", ""mt"")"),"Meta kien l-aħħar episodju tas-serje oriġinali?")</f>
        <v>Meta kien l-aħħar episodju tas-serje oriġinali?</v>
      </c>
    </row>
    <row r="14655" ht="15.75" customHeight="1">
      <c r="A14655" s="2" t="s">
        <v>14655</v>
      </c>
      <c r="B14655" s="2" t="str">
        <f>IFERROR(__xludf.DUMMYFUNCTION("GOOGLETRANSLATE(A14655, ""en"", ""mt"")"),"akkwista endosimbiont ċjanobatteriku fotosintetiku aktar reċentement")</f>
        <v>akkwista endosimbiont ċjanobatteriku fotosintetiku aktar reċentement</v>
      </c>
    </row>
    <row r="14656" ht="15.75" customHeight="1">
      <c r="A14656" s="2" t="s">
        <v>14656</v>
      </c>
      <c r="B14656" s="2" t="str">
        <f>IFERROR(__xludf.DUMMYFUNCTION("GOOGLETRANSLATE(A14656, ""en"", ""mt"")"),"L-Aħjar Pjan ta 'Jacksonville")</f>
        <v>L-Aħjar Pjan ta 'Jacksonville</v>
      </c>
    </row>
    <row r="14657" ht="15.75" customHeight="1">
      <c r="A14657" s="2" t="s">
        <v>14657</v>
      </c>
      <c r="B14657" s="2" t="str">
        <f>IFERROR(__xludf.DUMMYFUNCTION("GOOGLETRANSLATE(A14657, ""en"", ""mt"")"),"Teorija tar-Relatività")</f>
        <v>Teorija tar-Relatività</v>
      </c>
    </row>
    <row r="14658" ht="15.75" customHeight="1">
      <c r="A14658" s="2" t="s">
        <v>14658</v>
      </c>
      <c r="B14658" s="2" t="str">
        <f>IFERROR(__xludf.DUMMYFUNCTION("GOOGLETRANSLATE(A14658, ""en"", ""mt"")"),"biex jippermettu lin-nies isegwu l-għanijiet tal-ħajja tagħhom fi kwalunkwe pajjiż permezz tal-moviment liberu")</f>
        <v>biex jippermettu lin-nies isegwu l-għanijiet tal-ħajja tagħhom fi kwalunkwe pajjiż permezz tal-moviment liberu</v>
      </c>
    </row>
    <row r="14659" ht="15.75" customHeight="1">
      <c r="A14659" s="2" t="s">
        <v>14659</v>
      </c>
      <c r="B14659" s="2" t="str">
        <f>IFERROR(__xludf.DUMMYFUNCTION("GOOGLETRANSLATE(A14659, ""en"", ""mt"")"),"il-web")</f>
        <v>il-web</v>
      </c>
    </row>
    <row r="14660" ht="15.75" customHeight="1">
      <c r="A14660" s="2" t="s">
        <v>14660</v>
      </c>
      <c r="B14660" s="2" t="str">
        <f>IFERROR(__xludf.DUMMYFUNCTION("GOOGLETRANSLATE(A14660, ""en"", ""mt"")"),"Miċ-Ċensiment tal-Istati Uniti tal-2010, in-Nofsinhar tal-Kalifornja għandha popolazzjoni ta '22, 680,010. Minkejja reputazzjoni għal rati ta 'tkabbir għoljin, ir-rata tan-Nofsinhar ta' California kibret inqas mill-medja tal-istat ta '10.0% fis-snin 2000 "&amp;"hekk kif it-tkabbir ta' California sar ikkonċentrat fil-parti tat-tramuntana ta 'l-istat minħabba ekonomija aktar b'saħħitha u orjentata lejn it-teknoloġija fiż-żona tal-bajja u Reġjun ta 'Sacramento Greater Emerging.")</f>
        <v>Miċ-Ċensiment tal-Istati Uniti tal-2010, in-Nofsinhar tal-Kalifornja għandha popolazzjoni ta '22, 680,010. Minkejja reputazzjoni għal rati ta 'tkabbir għoljin, ir-rata tan-Nofsinhar ta' California kibret inqas mill-medja tal-istat ta '10.0% fis-snin 2000 hekk kif it-tkabbir ta' California sar ikkonċentrat fil-parti tat-tramuntana ta 'l-istat minħabba ekonomija aktar b'saħħitha u orjentata lejn it-teknoloġija fiż-żona tal-bajja u Reġjun ta 'Sacramento Greater Emerging.</v>
      </c>
    </row>
    <row r="14661" ht="15.75" customHeight="1">
      <c r="A14661" s="2" t="s">
        <v>14661</v>
      </c>
      <c r="B14661" s="2" t="str">
        <f>IFERROR(__xludf.DUMMYFUNCTION("GOOGLETRANSLATE(A14661, ""en"", ""mt"")"),"René-Robert Cavelier, Sieur de la Salle esplora l-pajjiż ta 'Ohio")</f>
        <v>René-Robert Cavelier, Sieur de la Salle esplora l-pajjiż ta 'Ohio</v>
      </c>
    </row>
    <row r="14662" ht="15.75" customHeight="1">
      <c r="A14662" s="2" t="s">
        <v>14662</v>
      </c>
      <c r="B14662" s="2" t="str">
        <f>IFERROR(__xludf.DUMMYFUNCTION("GOOGLETRANSLATE(A14662, ""en"", ""mt"")"),"Fl-1785 James Hutton ippreżenta liema dokument lis-Soċjetà Irjali ta 'Edinburgh?")</f>
        <v>Fl-1785 James Hutton ippreżenta liema dokument lis-Soċjetà Irjali ta 'Edinburgh?</v>
      </c>
    </row>
    <row r="14663" ht="15.75" customHeight="1">
      <c r="A14663" s="2" t="s">
        <v>14663</v>
      </c>
      <c r="B14663" s="2" t="str">
        <f>IFERROR(__xludf.DUMMYFUNCTION("GOOGLETRANSLATE(A14663, ""en"", ""mt"")"),"jonqos")</f>
        <v>jonqos</v>
      </c>
    </row>
    <row r="14664" ht="15.75" customHeight="1">
      <c r="A14664" s="2" t="s">
        <v>14664</v>
      </c>
      <c r="B14664" s="2" t="str">
        <f>IFERROR(__xludf.DUMMYFUNCTION("GOOGLETRANSLATE(A14664, ""en"", ""mt"")"),"Peter Davison, Colin Baker u Sylvester McCoy")</f>
        <v>Peter Davison, Colin Baker u Sylvester McCoy</v>
      </c>
    </row>
    <row r="14665" ht="15.75" customHeight="1">
      <c r="A14665" s="2" t="s">
        <v>14665</v>
      </c>
      <c r="B14665" s="2" t="str">
        <f>IFERROR(__xludf.DUMMYFUNCTION("GOOGLETRANSLATE(A14665, ""en"", ""mt"")"),"il-gastrodermis")</f>
        <v>il-gastrodermis</v>
      </c>
    </row>
    <row r="14666" ht="15.75" customHeight="1">
      <c r="A14666" s="2" t="s">
        <v>14666</v>
      </c>
      <c r="B14666" s="2" t="str">
        <f>IFERROR(__xludf.DUMMYFUNCTION("GOOGLETRANSLATE(A14666, ""en"", ""mt"")"),"Steam Avvanzat")</f>
        <v>Steam Avvanzat</v>
      </c>
    </row>
    <row r="14667" ht="15.75" customHeight="1">
      <c r="A14667" s="2" t="s">
        <v>14667</v>
      </c>
      <c r="B14667" s="2" t="str">
        <f>IFERROR(__xludf.DUMMYFUNCTION("GOOGLETRANSLATE(A14667, ""en"", ""mt"")"),"bidla estrema")</f>
        <v>bidla estrema</v>
      </c>
    </row>
    <row r="14668" ht="15.75" customHeight="1">
      <c r="A14668" s="2" t="s">
        <v>14668</v>
      </c>
      <c r="B14668" s="2" t="str">
        <f>IFERROR(__xludf.DUMMYFUNCTION("GOOGLETRANSLATE(A14668, ""en"", ""mt"")"),"X'inhu l-akbar pont ta 'sospensjoni fil-Ġermanja?")</f>
        <v>X'inhu l-akbar pont ta 'sospensjoni fil-Ġermanja?</v>
      </c>
    </row>
    <row r="14669" ht="15.75" customHeight="1">
      <c r="A14669" s="2" t="s">
        <v>14669</v>
      </c>
      <c r="B14669" s="2" t="str">
        <f>IFERROR(__xludf.DUMMYFUNCTION("GOOGLETRANSLATE(A14669, ""en"", ""mt"")"),"45 minuta")</f>
        <v>45 minuta</v>
      </c>
    </row>
    <row r="14670" ht="15.75" customHeight="1">
      <c r="A14670" s="2" t="s">
        <v>14670</v>
      </c>
      <c r="B14670" s="2" t="str">
        <f>IFERROR(__xludf.DUMMYFUNCTION("GOOGLETRANSLATE(A14670, ""en"", ""mt"")"),"B'mod ġenerali, filwaqt li l-istati membri kollha jirrikonoxxu li l-liġi tal-UE tieħu l-preminenza fuq il-liġi nazzjonali fejn din qablu fit-trattati, huma ma jaċċettawx li l-Qorti tal-Ġustizzja għandha l-aħħar kelma dwar mistoqsijiet kostituzzjonali fund"&amp;"amentali li jaffettwaw id-demokrazija u d-drittijiet tal-bniedem. Fir-Renju Unit, il-prinċipju bażiku huwa li l-Parlament, bħala l-espressjoni sovrana tal-leġittimità demokratika, jista 'jiddeċiedi jekk jixtieqx jilleġiżla espressament kontra l-liġi tal-U"&amp;"E. Dan, madankollu, iseħħ biss fil-każ ta 'xewqa espressa tan-nies li jirtiraw mill-UE. Inżamm f'R (Factortame Ltd) v Segretarju ta 'l-Istat għat-Trasport li ""tkun xi tkun il-limitazzjoni tal-Parlament tas-Sovranità tagħha aċċettata meta ppromulgat l-Att"&amp;" dwar il-Komunitajiet Ewropej tal-1972 kien kompletament volontarju"" u għalhekk ""dejjem kien ċar"" li l-qrati tar-Renju Unit għandhom dmir ""li twarrab kwalunkwe regola tad-dritt nazzjonali li tinstab f'kunflitt ma 'kwalunkwe regola direttament infurzab"&amp;"bli tal-liġi tal-komunità."" Aktar reċentement il-Qorti Suprema tar-Renju Unit innotat li f'R (HS2 Action Alliance Ltd) v Segretarju ta 'l-Istat għat-Trasport, għalkemm il-Kostituzzjoni tar-Renju Unit mhix ikkodifikata, jista' jkun hemm ""prinċipji fundam"&amp;"entali"" tal-liġi komuni, u l-Parlament ""ma kkontemplax jew jawtorizza L-abrogazzjoni ""ta 'dawk il-prinċipji meta ppromulgat l-Att dwar il-Komunitajiet Ewropej 1972. Il-fehma tal-Qorti Kostituzzjonali Ġermaniża mid-deċiżjonijiet ta' Solange I u Solange "&amp;"II hija li jekk l-UE ma tikkonformax mad-drittijiet u l-prinċipji kostituzzjonali bażiċi tagħha (partikolarment id-demokrazija, l-istat tad-dritt u l-prinċipji tal-istat soċjali) allura ma jistax jwarrab il-liġi Ġermaniża. Madankollu, hekk kif imorru l-la"&amp;"qmijiet tas-sentenzi, ""sakemm"" l-UE taħdem lejn id-demokratizzazzjoni tal-istituzzjonijiet tagħha, u għandha qafas li jipproteġi d-drittijiet fundamentali tal-bniedem, ma jirrevedix il-leġislazzjoni tal-UE għall-kompatibilità mal-prinċipji kostituzzjona"&amp;"li Ġermaniżi. Ħafna mill-Istati Membri l-oħra esprimew riservi simili. Dan jissuġġerixxi li l-leġittimità tal-UE tistrieħ fuq l-awtorità aħħarija tal-istati membri, l-impenn fattwali tagħha għad-drittijiet tal-bniedem, u r-rieda demokratika tal-poplu.")</f>
        <v>B'mod ġenerali, filwaqt li l-istati membri kollha jirrikonoxxu li l-liġi tal-UE tieħu l-preminenza fuq il-liġi nazzjonali fejn din qablu fit-trattati, huma ma jaċċettawx li l-Qorti tal-Ġustizzja għandha l-aħħar kelma dwar mistoqsijiet kostituzzjonali fundamentali li jaffettwaw id-demokrazija u d-drittijiet tal-bniedem. Fir-Renju Unit, il-prinċipju bażiku huwa li l-Parlament, bħala l-espressjoni sovrana tal-leġittimità demokratika, jista 'jiddeċiedi jekk jixtieqx jilleġiżla espressament kontra l-liġi tal-UE. Dan, madankollu, iseħħ biss fil-każ ta 'xewqa espressa tan-nies li jirtiraw mill-UE. Inżamm f'R (Factortame Ltd) v Segretarju ta 'l-Istat għat-Trasport li "tkun xi tkun il-limitazzjoni tal-Parlament tas-Sovranità tagħha aċċettata meta ppromulgat l-Att dwar il-Komunitajiet Ewropej tal-1972 kien kompletament volontarju" u għalhekk "dejjem kien ċar" li l-qrati tar-Renju Unit għandhom dmir "li twarrab kwalunkwe regola tad-dritt nazzjonali li tinstab f'kunflitt ma 'kwalunkwe regola direttament infurzabbli tal-liġi tal-komunità." Aktar reċentement il-Qorti Suprema tar-Renju Unit innotat li f'R (HS2 Action Alliance Ltd) v Segretarju ta 'l-Istat għat-Trasport, għalkemm il-Kostituzzjoni tar-Renju Unit mhix ikkodifikata, jista' jkun hemm "prinċipji fundamentali" tal-liġi komuni, u l-Parlament "ma kkontemplax jew jawtorizza L-abrogazzjoni "ta 'dawk il-prinċipji meta ppromulgat l-Att dwar il-Komunitajiet Ewropej 1972. Il-fehma tal-Qorti Kostituzzjonali Ġermaniża mid-deċiżjonijiet ta' Solange I u Solange II hija li jekk l-UE ma tikkonformax mad-drittijiet u l-prinċipji kostituzzjonali bażiċi tagħha (partikolarment id-demokrazija, l-istat tad-dritt u l-prinċipji tal-istat soċjali) allura ma jistax jwarrab il-liġi Ġermaniża. Madankollu, hekk kif imorru l-laqmijiet tas-sentenzi, "sakemm" l-UE taħdem lejn id-demokratizzazzjoni tal-istituzzjonijiet tagħha, u għandha qafas li jipproteġi d-drittijiet fundamentali tal-bniedem, ma jirrevedix il-leġislazzjoni tal-UE għall-kompatibilità mal-prinċipji kostituzzjonali Ġermaniżi. Ħafna mill-Istati Membri l-oħra esprimew riservi simili. Dan jissuġġerixxi li l-leġittimità tal-UE tistrieħ fuq l-awtorità aħħarija tal-istati membri, l-impenn fattwali tagħha għad-drittijiet tal-bniedem, u r-rieda demokratika tal-poplu.</v>
      </c>
    </row>
    <row r="14671" ht="15.75" customHeight="1">
      <c r="A14671" s="2" t="s">
        <v>14671</v>
      </c>
      <c r="B14671" s="2" t="str">
        <f>IFERROR(__xludf.DUMMYFUNCTION("GOOGLETRANSLATE(A14671, ""en"", ""mt"")"),"Liema teorema tiddefinixxi r-rwol ewlieni tal-primes fit-teorija tan-numri?")</f>
        <v>Liema teorema tiddefinixxi r-rwol ewlieni tal-primes fit-teorija tan-numri?</v>
      </c>
    </row>
    <row r="14672" ht="15.75" customHeight="1">
      <c r="A14672" s="2" t="s">
        <v>14672</v>
      </c>
      <c r="B14672" s="2" t="str">
        <f>IFERROR(__xludf.DUMMYFUNCTION("GOOGLETRANSLATE(A14672, ""en"", ""mt"")"),"Manifatturi u negozjanti Ċiniżi privati ​​tan-Nofsinhar")</f>
        <v>Manifatturi u negozjanti Ċiniżi privati ​​tan-Nofsinhar</v>
      </c>
    </row>
    <row r="14673" ht="15.75" customHeight="1">
      <c r="A14673" s="2" t="s">
        <v>14673</v>
      </c>
      <c r="B14673" s="2" t="str">
        <f>IFERROR(__xludf.DUMMYFUNCTION("GOOGLETRANSLATE(A14673, ""en"", ""mt"")"),"Mount Kenja,")</f>
        <v>Mount Kenja,</v>
      </c>
    </row>
    <row r="14674" ht="15.75" customHeight="1">
      <c r="A14674" s="2" t="s">
        <v>14674</v>
      </c>
      <c r="B14674" s="2" t="str">
        <f>IFERROR(__xludf.DUMMYFUNCTION("GOOGLETRANSLATE(A14674, ""en"", ""mt"")"),"Ħalq ix-Xmara Monongahela")</f>
        <v>Ħalq ix-Xmara Monongahela</v>
      </c>
    </row>
    <row r="14675" ht="15.75" customHeight="1">
      <c r="A14675" s="2" t="s">
        <v>14675</v>
      </c>
      <c r="B14675" s="2" t="str">
        <f>IFERROR(__xludf.DUMMYFUNCTION("GOOGLETRANSLATE(A14675, ""en"", ""mt"")"),"Kif tissejjaħ l-ewwel liwja ewlenija fir-Renu?")</f>
        <v>Kif tissejjaħ l-ewwel liwja ewlenija fir-Renu?</v>
      </c>
    </row>
    <row r="14676" ht="15.75" customHeight="1">
      <c r="A14676" s="2" t="s">
        <v>14676</v>
      </c>
      <c r="B14676" s="2" t="str">
        <f>IFERROR(__xludf.DUMMYFUNCTION("GOOGLETRANSLATE(A14676, ""en"", ""mt"")"),"It-teorema fundamentali tal-aritmetika tkompli żżomm f'oqsma uniċi ta 'fatturizzazzjoni. Eżempju ta 'dominju bħal dan huwa l-Integers Gaussjani Z [i], jiġifieri, is-sett ta' numri kumplessi tal-forma A + Bi fejn nindika l-unità immaġinarja u A u B huma nu"&amp;"mri interi arbitrarji. L-elementi ewlenin tagħha huma magħrufa bħala primes Gaussjani. Mhux kull prim (f'Z) huwa prim Gaussjan: fiċ-ċirku ikbar z [i], 2 fatturi fil-prodott taż-żewġ primes Gaussjani (1 + I) u (1 - i). Primes razzjonali (i.e. elementi ewle"&amp;"nin f'Z) tal-Formola 4K + 3 huma primes Gaussjani, filwaqt li l-primes razzjonali tal-Formola 4K + 1 mhumiex.")</f>
        <v>It-teorema fundamentali tal-aritmetika tkompli żżomm f'oqsma uniċi ta 'fatturizzazzjoni. Eżempju ta 'dominju bħal dan huwa l-Integers Gaussjani Z [i], jiġifieri, is-sett ta' numri kumplessi tal-forma A + Bi fejn nindika l-unità immaġinarja u A u B huma numri interi arbitrarji. L-elementi ewlenin tagħha huma magħrufa bħala primes Gaussjani. Mhux kull prim (f'Z) huwa prim Gaussjan: fiċ-ċirku ikbar z [i], 2 fatturi fil-prodott taż-żewġ primes Gaussjani (1 + I) u (1 - i). Primes razzjonali (i.e. elementi ewlenin f'Z) tal-Formola 4K + 3 huma primes Gaussjani, filwaqt li l-primes razzjonali tal-Formola 4K + 1 mhumiex.</v>
      </c>
    </row>
    <row r="14677" ht="15.75" customHeight="1">
      <c r="A14677" s="2" t="s">
        <v>14677</v>
      </c>
      <c r="B14677" s="2" t="str">
        <f>IFERROR(__xludf.DUMMYFUNCTION("GOOGLETRANSLATE(A14677, ""en"", ""mt"")"),"X'għamel Thoreau lil ċifra pubblika li jagħmel it-taxman?")</f>
        <v>X'għamel Thoreau lil ċifra pubblika li jagħmel it-taxman?</v>
      </c>
    </row>
    <row r="14678" ht="15.75" customHeight="1">
      <c r="A14678" s="2" t="s">
        <v>14678</v>
      </c>
      <c r="B14678" s="2" t="str">
        <f>IFERROR(__xludf.DUMMYFUNCTION("GOOGLETRANSLATE(A14678, ""en"", ""mt"")"),"9.00 a.m. sas-6.00 p.m")</f>
        <v>9.00 a.m. sas-6.00 p.m</v>
      </c>
    </row>
    <row r="14679" ht="15.75" customHeight="1">
      <c r="A14679" s="2" t="s">
        <v>14679</v>
      </c>
      <c r="B14679" s="2" t="str">
        <f>IFERROR(__xludf.DUMMYFUNCTION("GOOGLETRANSLATE(A14679, ""en"", ""mt"")"),"mewt")</f>
        <v>mewt</v>
      </c>
    </row>
    <row r="14680" ht="15.75" customHeight="1">
      <c r="A14680" s="2" t="s">
        <v>14680</v>
      </c>
      <c r="B14680" s="2" t="str">
        <f>IFERROR(__xludf.DUMMYFUNCTION("GOOGLETRANSLATE(A14680, ""en"", ""mt"")"),"fl-Università Charles-Ferdinand")</f>
        <v>fl-Università Charles-Ferdinand</v>
      </c>
    </row>
    <row r="14681" ht="15.75" customHeight="1">
      <c r="A14681" s="2" t="s">
        <v>14681</v>
      </c>
      <c r="B14681" s="2" t="str">
        <f>IFERROR(__xludf.DUMMYFUNCTION("GOOGLETRANSLATE(A14681, ""en"", ""mt"")"),"Meta Varsavja saret il-kapitali tar-Renju tal-Polonja?")</f>
        <v>Meta Varsavja saret il-kapitali tar-Renju tal-Polonja?</v>
      </c>
    </row>
    <row r="14682" ht="15.75" customHeight="1">
      <c r="A14682" s="2" t="s">
        <v>14682</v>
      </c>
      <c r="B14682" s="2" t="str">
        <f>IFERROR(__xludf.DUMMYFUNCTION("GOOGLETRANSLATE(A14682, ""en"", ""mt"")"),"X'inhu l-isem mogħti lil-librerija ewlenija tal-università?")</f>
        <v>X'inhu l-isem mogħti lil-librerija ewlenija tal-università?</v>
      </c>
    </row>
    <row r="14683" ht="15.75" customHeight="1">
      <c r="A14683" s="2" t="s">
        <v>14683</v>
      </c>
      <c r="B14683" s="2" t="str">
        <f>IFERROR(__xludf.DUMMYFUNCTION("GOOGLETRANSLATE(A14683, ""en"", ""mt"")"),"X’argumentaw Kuznets irriżultaw minn stadji ta ’żvilupp?")</f>
        <v>X’argumentaw Kuznets irriżultaw minn stadji ta ’żvilupp?</v>
      </c>
    </row>
    <row r="14684" ht="15.75" customHeight="1">
      <c r="A14684" s="2" t="s">
        <v>14684</v>
      </c>
      <c r="B14684" s="2" t="str">
        <f>IFERROR(__xludf.DUMMYFUNCTION("GOOGLETRANSLATE(A14684, ""en"", ""mt"")"),"Kull sentejn meta t-timijiet ta 'Harvard u Yale Track and Field jingħaqdu biex jikkompetu kontra Tim tal-Università ta' Oxford u Cambridge magħquda")</f>
        <v>Kull sentejn meta t-timijiet ta 'Harvard u Yale Track and Field jingħaqdu biex jikkompetu kontra Tim tal-Università ta' Oxford u Cambridge magħquda</v>
      </c>
    </row>
    <row r="14685" ht="15.75" customHeight="1">
      <c r="A14685" s="2" t="s">
        <v>14685</v>
      </c>
      <c r="B14685" s="2" t="str">
        <f>IFERROR(__xludf.DUMMYFUNCTION("GOOGLETRANSLATE(A14685, ""en"", ""mt"")"),"Kemm titqassam Terra Preta fuq il-foresta tal-Amażonja?")</f>
        <v>Kemm titqassam Terra Preta fuq il-foresta tal-Amażonja?</v>
      </c>
    </row>
    <row r="14686" ht="15.75" customHeight="1">
      <c r="A14686" s="2" t="s">
        <v>14686</v>
      </c>
      <c r="B14686" s="2" t="str">
        <f>IFERROR(__xludf.DUMMYFUNCTION("GOOGLETRANSLATE(A14686, ""en"", ""mt"")"),"L-antiġeni jorbtu ma 'dak li jġib tweġiba tas-sistema immuni?")</f>
        <v>L-antiġeni jorbtu ma 'dak li jġib tweġiba tas-sistema immuni?</v>
      </c>
    </row>
    <row r="14687" ht="15.75" customHeight="1">
      <c r="A14687" s="2" t="s">
        <v>14687</v>
      </c>
      <c r="B14687" s="2" t="str">
        <f>IFERROR(__xludf.DUMMYFUNCTION("GOOGLETRANSLATE(A14687, ""en"", ""mt"")"),"Martin_Luther")</f>
        <v>Martin_Luther</v>
      </c>
    </row>
    <row r="14688" ht="15.75" customHeight="1">
      <c r="A14688" s="2" t="s">
        <v>14688</v>
      </c>
      <c r="B14688" s="2" t="str">
        <f>IFERROR(__xludf.DUMMYFUNCTION("GOOGLETRANSLATE(A14688, ""en"", ""mt"")"),"Spazjali Apollo Ġdid")</f>
        <v>Spazjali Apollo Ġdid</v>
      </c>
    </row>
    <row r="14689" ht="15.75" customHeight="1">
      <c r="A14689" s="2" t="s">
        <v>14689</v>
      </c>
      <c r="B14689" s="2" t="str">
        <f>IFERROR(__xludf.DUMMYFUNCTION("GOOGLETRANSLATE(A14689, ""en"", ""mt"")"),"l-iktar żoni iżolati")</f>
        <v>l-iktar żoni iżolati</v>
      </c>
    </row>
    <row r="14690" ht="15.75" customHeight="1">
      <c r="A14690" s="2" t="s">
        <v>14690</v>
      </c>
      <c r="B14690" s="2" t="str">
        <f>IFERROR(__xludf.DUMMYFUNCTION("GOOGLETRANSLATE(A14690, ""en"", ""mt"")"),"Il-Yuan wettaq xogħlijiet pubbliċi estensivi. Fost l-aqwa inġiniera u xjenzati ta 'Kublai Khan kien l-astronomu Guo Shoujing, li kien inkarigat b'ħafna proġetti ta' xogħlijiet pubbliċi u għen lill-wan jirriforma l-kalendarju lunisolari biex jipprovdi eżat"&amp;"tezza ta '365.2425 ġurnata tas-sena, li kienet biss 26 sekonda barra mill-kalendarju modern Gregorjan kejl. Il-komunikazzjonijiet fit-toroq u l-ilma ġew riorganizzati u mtejba. Biex jipprovdu kontra l-ġuħ possibbli, il-granari ġew ordnati mibnija fl-imper"&amp;"u kollu. Il-belt ta 'Beijing inbniet mill-ġdid ma' raġunijiet tal-palazz ġodda li kienu jinkludu lagi artifiċjali, għoljiet u muntanji, u parks. Matul il-perjodu tal-wan, Beijing sar it-terminus tal-Gran Kanal taċ-Ċina, li ġie rinnovat kompletament. Dan i"&amp;"t-titjib orjentat kummerċjalment inkoraġġixxa l-kummerċ fuq l-art u l-marittimu madwar l-Asja u ffaċilita l-kuntatti diretti Ċiniżi mal-Ewropa. Vjaġġaturi Ċiniżi lejn il-Punent setgħu jipprovdu għajnuna f'oqsma bħal inġinerija idrawlika. Kuntatti mal-Pune"&amp;"nt ġabu wkoll l-introduzzjoni fiċ-Ċina ta 'uċuħ ewlenin tal-ikel, sorgu, flimkien ma' prodotti oħra tal-ikel barranin u metodi ta 'preparazzjoni.")</f>
        <v>Il-Yuan wettaq xogħlijiet pubbliċi estensivi. Fost l-aqwa inġiniera u xjenzati ta 'Kublai Khan kien l-astronomu Guo Shoujing, li kien inkarigat b'ħafna proġetti ta' xogħlijiet pubbliċi u għen lill-wan jirriforma l-kalendarju lunisolari biex jipprovdi eżattezza ta '365.2425 ġurnata tas-sena, li kienet biss 26 sekonda barra mill-kalendarju modern Gregorjan kejl. Il-komunikazzjonijiet fit-toroq u l-ilma ġew riorganizzati u mtejba. Biex jipprovdu kontra l-ġuħ possibbli, il-granari ġew ordnati mibnija fl-imperu kollu. Il-belt ta 'Beijing inbniet mill-ġdid ma' raġunijiet tal-palazz ġodda li kienu jinkludu lagi artifiċjali, għoljiet u muntanji, u parks. Matul il-perjodu tal-wan, Beijing sar it-terminus tal-Gran Kanal taċ-Ċina, li ġie rinnovat kompletament. Dan it-titjib orjentat kummerċjalment inkoraġġixxa l-kummerċ fuq l-art u l-marittimu madwar l-Asja u ffaċilita l-kuntatti diretti Ċiniżi mal-Ewropa. Vjaġġaturi Ċiniżi lejn il-Punent setgħu jipprovdu għajnuna f'oqsma bħal inġinerija idrawlika. Kuntatti mal-Punent ġabu wkoll l-introduzzjoni fiċ-Ċina ta 'uċuħ ewlenin tal-ikel, sorgu, flimkien ma' prodotti oħra tal-ikel barranin u metodi ta 'preparazzjoni.</v>
      </c>
    </row>
    <row r="14691" ht="15.75" customHeight="1">
      <c r="A14691" s="2" t="s">
        <v>14691</v>
      </c>
      <c r="B14691" s="2" t="str">
        <f>IFERROR(__xludf.DUMMYFUNCTION("GOOGLETRANSLATE(A14691, ""en"", ""mt"")"),"Amazonia: raġel u kultura fi ġenna ffalsifikata")</f>
        <v>Amazonia: raġel u kultura fi ġenna ffalsifikata</v>
      </c>
    </row>
    <row r="14692" ht="15.75" customHeight="1">
      <c r="A14692" s="2" t="s">
        <v>14692</v>
      </c>
      <c r="B14692" s="2" t="str">
        <f>IFERROR(__xludf.DUMMYFUNCTION("GOOGLETRANSLATE(A14692, ""en"", ""mt"")"),"Kif in-Nisrani għandu jgħix")</f>
        <v>Kif in-Nisrani għandu jgħix</v>
      </c>
    </row>
    <row r="14693" ht="15.75" customHeight="1">
      <c r="A14693" s="2" t="s">
        <v>14693</v>
      </c>
      <c r="B14693" s="2" t="str">
        <f>IFERROR(__xludf.DUMMYFUNCTION("GOOGLETRANSLATE(A14693, ""en"", ""mt"")"),"Huma juru dimorfiżmu distint tal-kloroplast")</f>
        <v>Huma juru dimorfiżmu distint tal-kloroplast</v>
      </c>
    </row>
    <row r="14694" ht="15.75" customHeight="1">
      <c r="A14694" s="2" t="s">
        <v>14694</v>
      </c>
      <c r="B14694" s="2" t="str">
        <f>IFERROR(__xludf.DUMMYFUNCTION("GOOGLETRANSLATE(A14694, ""en"", ""mt"")"),"il-kontribut kulturali tiegħu")</f>
        <v>il-kontribut kulturali tiegħu</v>
      </c>
    </row>
    <row r="14695" ht="15.75" customHeight="1">
      <c r="A14695" s="2" t="s">
        <v>14695</v>
      </c>
      <c r="B14695" s="2" t="str">
        <f>IFERROR(__xludf.DUMMYFUNCTION("GOOGLETRANSLATE(A14695, ""en"", ""mt"")"),"X'ina fittxew it-trattati li jippermettu mill-fondazzjoni tagħha?")</f>
        <v>X'ina fittxew it-trattati li jippermettu mill-fondazzjoni tagħha?</v>
      </c>
    </row>
    <row r="14696" ht="15.75" customHeight="1">
      <c r="A14696" s="2" t="s">
        <v>14696</v>
      </c>
      <c r="B14696" s="2" t="str">
        <f>IFERROR(__xludf.DUMMYFUNCTION("GOOGLETRANSLATE(A14696, ""en"", ""mt"")"),"L-allotrope komuni ta 'ossiġenu elementari fid-Dinja tissejjaħ dioxygen, o
2. Hija l-forma li hija parti ewlenija fl-atmosfera tad-Dinja (ara l-okkorrenza). O2 għandu tul ta 'bond ta' 121 pm u enerġija ta 'bond ta' 498 kJ · mol - 1, li hija iżgħar mill-en"&amp;"erġija ta 'bonds doppji oħra jew pari ta' bonds singoli fil-bijosfera u responsabbli għar-reazzjoni eżotermika ta 'O2 bi kwalunkwe molekula organika - Minħabba l-kontenut ta 'enerġija tiegħu, O2 jintuża minn forom kumplessi ta' ħajja, bħal annimali, fir-r"&amp;"espirazzjoni ċellulari (ara r-rwol bijoloġiku). Aspetti oħra ta 'O
2 huma koperti fil-bqija ta 'dan l-artikolu.")</f>
        <v>L-allotrope komuni ta 'ossiġenu elementari fid-Dinja tissejjaħ dioxygen, o
2. Hija l-forma li hija parti ewlenija fl-atmosfera tad-Dinja (ara l-okkorrenza). O2 għandu tul ta 'bond ta' 121 pm u enerġija ta 'bond ta' 498 kJ · mol - 1, li hija iżgħar mill-enerġija ta 'bonds doppji oħra jew pari ta' bonds singoli fil-bijosfera u responsabbli għar-reazzjoni eżotermika ta 'O2 bi kwalunkwe molekula organika - Minħabba l-kontenut ta 'enerġija tiegħu, O2 jintuża minn forom kumplessi ta' ħajja, bħal annimali, fir-respirazzjoni ċellulari (ara r-rwol bijoloġiku). Aspetti oħra ta 'O
2 huma koperti fil-bqija ta 'dan l-artikolu.</v>
      </c>
    </row>
    <row r="14697" ht="15.75" customHeight="1">
      <c r="A14697" s="2" t="s">
        <v>14697</v>
      </c>
      <c r="B14697" s="2" t="str">
        <f>IFERROR(__xludf.DUMMYFUNCTION("GOOGLETRANSLATE(A14697, ""en"", ""mt"")"),"Liema pajjiż għandu problema bid-dixxiplina tal-klassi, minkejja li l-punteġġi fuq it-testijiet huma għoljin?")</f>
        <v>Liema pajjiż għandu problema bid-dixxiplina tal-klassi, minkejja li l-punteġġi fuq it-testijiet huma għoljin?</v>
      </c>
    </row>
    <row r="14698" ht="15.75" customHeight="1">
      <c r="A14698" s="2" t="s">
        <v>14698</v>
      </c>
      <c r="B14698" s="2" t="str">
        <f>IFERROR(__xludf.DUMMYFUNCTION("GOOGLETRANSLATE(A14698, ""en"", ""mt"")"),"Kemm il-liġi Daniża kienet teħtieġ li tibda kumpanija?")</f>
        <v>Kemm il-liġi Daniża kienet teħtieġ li tibda kumpanija?</v>
      </c>
    </row>
    <row r="14699" ht="15.75" customHeight="1">
      <c r="A14699" s="2" t="s">
        <v>14699</v>
      </c>
      <c r="B14699" s="2" t="str">
        <f>IFERROR(__xludf.DUMMYFUNCTION("GOOGLETRANSLATE(A14699, ""en"", ""mt"")"),"Għal kemm żmien Huguenots kompla juża ismijiet Franċiżi?")</f>
        <v>Għal kemm żmien Huguenots kompla juża ismijiet Franċiżi?</v>
      </c>
    </row>
    <row r="14700" ht="15.75" customHeight="1">
      <c r="A14700" s="2" t="s">
        <v>14700</v>
      </c>
      <c r="B14700" s="2" t="str">
        <f>IFERROR(__xludf.DUMMYFUNCTION("GOOGLETRANSLATE(A14700, ""en"", ""mt"")"),"X'kien il-gvernatur ċentrifugali li ma jistax jagħmel?")</f>
        <v>X'kien il-gvernatur ċentrifugali li ma jistax jagħmel?</v>
      </c>
    </row>
    <row r="14701" ht="15.75" customHeight="1">
      <c r="A14701" s="2" t="s">
        <v>14701</v>
      </c>
      <c r="B14701" s="2" t="str">
        <f>IFERROR(__xludf.DUMMYFUNCTION("GOOGLETRANSLATE(A14701, ""en"", ""mt"")"),"X'inhu l-proċess tal-kostruzzjoni ta 'bini jew infrastruttura?")</f>
        <v>X'inhu l-proċess tal-kostruzzjoni ta 'bini jew infrastruttura?</v>
      </c>
    </row>
    <row r="14702" ht="15.75" customHeight="1">
      <c r="A14702" s="2" t="s">
        <v>14702</v>
      </c>
      <c r="B14702" s="2" t="str">
        <f>IFERROR(__xludf.DUMMYFUNCTION("GOOGLETRANSLATE(A14702, ""en"", ""mt"")"),"Liema anniversarju mill-franchise Pokémon ġie ċċelebrat matul is-Super Bowl?")</f>
        <v>Liema anniversarju mill-franchise Pokémon ġie ċċelebrat matul is-Super Bowl?</v>
      </c>
    </row>
    <row r="14703" ht="15.75" customHeight="1">
      <c r="A14703" s="2" t="s">
        <v>14703</v>
      </c>
      <c r="B14703" s="2" t="str">
        <f>IFERROR(__xludf.DUMMYFUNCTION("GOOGLETRANSLATE(A14703, ""en"", ""mt"")"),"Tiġġustifika l-grazzja")</f>
        <v>Tiġġustifika l-grazzja</v>
      </c>
    </row>
    <row r="14704" ht="15.75" customHeight="1">
      <c r="A14704" s="2" t="s">
        <v>14704</v>
      </c>
      <c r="B14704" s="2" t="str">
        <f>IFERROR(__xludf.DUMMYFUNCTION("GOOGLETRANSLATE(A14704, ""en"", ""mt"")"),"X'għandu l-ittestjar reċenti tat-teorija tal-Kuznets b'data superjuri?")</f>
        <v>X'għandu l-ittestjar reċenti tat-teorija tal-Kuznets b'data superjuri?</v>
      </c>
    </row>
    <row r="14705" ht="15.75" customHeight="1">
      <c r="A14705" s="2" t="s">
        <v>14705</v>
      </c>
      <c r="B14705" s="2" t="str">
        <f>IFERROR(__xludf.DUMMYFUNCTION("GOOGLETRANSLATE(A14705, ""en"", ""mt"")"),"kitbiet u kummenti.")</f>
        <v>kitbiet u kummenti.</v>
      </c>
    </row>
    <row r="14706" ht="15.75" customHeight="1">
      <c r="A14706" s="2" t="s">
        <v>14706</v>
      </c>
      <c r="B14706" s="2" t="str">
        <f>IFERROR(__xludf.DUMMYFUNCTION("GOOGLETRANSLATE(A14706, ""en"", ""mt"")"),"kabina li tiffjamma u materjali tal-libsa tal-ispazju.")</f>
        <v>kabina li tiffjamma u materjali tal-libsa tal-ispazju.</v>
      </c>
    </row>
    <row r="14707" ht="15.75" customHeight="1">
      <c r="A14707" s="2" t="s">
        <v>14707</v>
      </c>
      <c r="B14707" s="2" t="str">
        <f>IFERROR(__xludf.DUMMYFUNCTION("GOOGLETRANSLATE(A14707, ""en"", ""mt"")"),"dawl abjad")</f>
        <v>dawl abjad</v>
      </c>
    </row>
    <row r="14708" ht="15.75" customHeight="1">
      <c r="A14708" s="2" t="s">
        <v>14708</v>
      </c>
      <c r="B14708" s="2" t="str">
        <f>IFERROR(__xludf.DUMMYFUNCTION("GOOGLETRANSLATE(A14708, ""en"", ""mt"")"),"Min kienu l-analisti tal-kulur tal-Westwood One?")</f>
        <v>Min kienu l-analisti tal-kulur tal-Westwood One?</v>
      </c>
    </row>
    <row r="14709" ht="15.75" customHeight="1">
      <c r="A14709" s="2" t="s">
        <v>14709</v>
      </c>
      <c r="B14709" s="2" t="str">
        <f>IFERROR(__xludf.DUMMYFUNCTION("GOOGLETRANSLATE(A14709, ""en"", ""mt"")"),"Qrar privat")</f>
        <v>Qrar privat</v>
      </c>
    </row>
    <row r="14710" ht="15.75" customHeight="1">
      <c r="A14710" s="2" t="s">
        <v>14710</v>
      </c>
      <c r="B14710" s="2" t="str">
        <f>IFERROR(__xludf.DUMMYFUNCTION("GOOGLETRANSLATE(A14710, ""en"", ""mt"")"),"emissjonijiet għal kull persuna")</f>
        <v>emissjonijiet għal kull persuna</v>
      </c>
    </row>
    <row r="14711" ht="15.75" customHeight="1">
      <c r="A14711" s="2" t="s">
        <v>14711</v>
      </c>
      <c r="B14711" s="2" t="str">
        <f>IFERROR(__xludf.DUMMYFUNCTION("GOOGLETRANSLATE(A14711, ""en"", ""mt"")"),"pittura")</f>
        <v>pittura</v>
      </c>
    </row>
    <row r="14712" ht="15.75" customHeight="1">
      <c r="A14712" s="2" t="s">
        <v>14712</v>
      </c>
      <c r="B14712" s="2" t="str">
        <f>IFERROR(__xludf.DUMMYFUNCTION("GOOGLETRANSLATE(A14712, ""en"", ""mt"")"),"Magni ta 'kombustjoni esterna")</f>
        <v>Magni ta 'kombustjoni esterna</v>
      </c>
    </row>
    <row r="14713" ht="15.75" customHeight="1">
      <c r="A14713" s="2" t="s">
        <v>14713</v>
      </c>
      <c r="B14713" s="2" t="str">
        <f>IFERROR(__xludf.DUMMYFUNCTION("GOOGLETRANSLATE(A14713, ""en"", ""mt"")"),"Xi tfisser 'Pax Mongolica'?")</f>
        <v>Xi tfisser 'Pax Mongolica'?</v>
      </c>
    </row>
    <row r="14714" ht="15.75" customHeight="1">
      <c r="A14714" s="2" t="s">
        <v>14714</v>
      </c>
      <c r="B14714" s="2" t="str">
        <f>IFERROR(__xludf.DUMMYFUNCTION("GOOGLETRANSLATE(A14714, ""en"", ""mt"")"),"Ruma")</f>
        <v>Ruma</v>
      </c>
    </row>
    <row r="14715" ht="15.75" customHeight="1">
      <c r="A14715" s="2" t="s">
        <v>14715</v>
      </c>
      <c r="B14715" s="2" t="str">
        <f>IFERROR(__xludf.DUMMYFUNCTION("GOOGLETRANSLATE(A14715, ""en"", ""mt"")"),"Motifs għar-Rikonoxximent tas-Sekwenza Shine-Dalgarno")</f>
        <v>Motifs għar-Rikonoxximent tas-Sekwenza Shine-Dalgarno</v>
      </c>
    </row>
    <row r="14716" ht="15.75" customHeight="1">
      <c r="A14716" s="2" t="s">
        <v>14716</v>
      </c>
      <c r="B14716" s="2" t="str">
        <f>IFERROR(__xludf.DUMMYFUNCTION("GOOGLETRANSLATE(A14716, ""en"", ""mt"")"),"Għaliex is-suġġetti vokazzjonali kienu l-iktar importanti?")</f>
        <v>Għaliex is-suġġetti vokazzjonali kienu l-iktar importanti?</v>
      </c>
    </row>
    <row r="14717" ht="15.75" customHeight="1">
      <c r="A14717" s="2" t="s">
        <v>14717</v>
      </c>
      <c r="B14717" s="2" t="str">
        <f>IFERROR(__xludf.DUMMYFUNCTION("GOOGLETRANSLATE(A14717, ""en"", ""mt"")"),"L-assassin fatali")</f>
        <v>L-assassin fatali</v>
      </c>
    </row>
    <row r="14718" ht="15.75" customHeight="1">
      <c r="A14718" s="2" t="s">
        <v>14718</v>
      </c>
      <c r="B14718" s="2" t="str">
        <f>IFERROR(__xludf.DUMMYFUNCTION("GOOGLETRANSLATE(A14718, ""en"", ""mt"")"),"Porzjon żgħir tal-popolazzjoni jgħix dħul mill-proprjetà mhux mistħoqq")</f>
        <v>Porzjon żgħir tal-popolazzjoni jgħix dħul mill-proprjetà mhux mistħoqq</v>
      </c>
    </row>
    <row r="14719" ht="15.75" customHeight="1">
      <c r="A14719" s="2" t="s">
        <v>14719</v>
      </c>
      <c r="B14719" s="2" t="str">
        <f>IFERROR(__xludf.DUMMYFUNCTION("GOOGLETRANSLATE(A14719, ""en"", ""mt"")"),"Il-marda tal-pesta, ikkawżata minn Yersinia pestis, hija enzootika (komunement preżenti) f'popolazzjonijiet ta 'briegħed li jinġarru minn annimali gerriema mitħuna, inklużi marmots, f'diversi żoni inklużi l-Asja Ċentrali, il-Kurdistan, l-Asja tal-Punent, "&amp;"l-Asja tal-Punent, l-Indja tat-Tramuntana u l-Uganda. L-oqbra Nestorjani li jmorru għal 1338–39 ħdejn il-Lag Issyk Kul fil-Kirgiżistan għandhom skrizzjonijiet li jirreferu għall-pesta u huma maħsuba minn ħafna epidemjologi biex jimmarkaw it-tifqigħa tal-e"&amp;"pidemija, li minnha setgħet tinfirex faċilment lejn iċ-Ċina u l-Indja. F’Ottubru 2010, ġenetiċi mediċi ssuġġerew li t-tlieta mill-mewġ il-kbir tal-pesta oriġinaw fiċ-Ċina. Fiċ-Ċina, il-konkwista Mongolla tas-seklu 13 ikkawżat tnaqqis fil-biedja u l-kummer"&amp;"ċ. Madankollu, l-irkupru ekonomiku kien osservat fil-bidu tas-seklu 14. Fis-1330, numru kbir ta 'diżastri u pesti naturali wasslu għal ġuħ mifrux, li jibda fl-1331, b'pesta fatali li tasal ftit wara. Epidemiji li setgħu inkludew il-pesta qatlu madwar 25 m"&amp;"iljun Ċiniż u Asjatiċi oħra matul il-15-il sena qabel ma waslu Kostantinopli fl-1347.")</f>
        <v>Il-marda tal-pesta, ikkawżata minn Yersinia pestis, hija enzootika (komunement preżenti) f'popolazzjonijiet ta 'briegħed li jinġarru minn annimali gerriema mitħuna, inklużi marmots, f'diversi żoni inklużi l-Asja Ċentrali, il-Kurdistan, l-Asja tal-Punent, l-Asja tal-Punent, l-Indja tat-Tramuntana u l-Uganda. L-oqbra Nestorjani li jmorru għal 1338–39 ħdejn il-Lag Issyk Kul fil-Kirgiżistan għandhom skrizzjonijiet li jirreferu għall-pesta u huma maħsuba minn ħafna epidemjologi biex jimmarkaw it-tifqigħa tal-epidemija, li minnha setgħet tinfirex faċilment lejn iċ-Ċina u l-Indja. F’Ottubru 2010, ġenetiċi mediċi ssuġġerew li t-tlieta mill-mewġ il-kbir tal-pesta oriġinaw fiċ-Ċina. Fiċ-Ċina, il-konkwista Mongolla tas-seklu 13 ikkawżat tnaqqis fil-biedja u l-kummerċ. Madankollu, l-irkupru ekonomiku kien osservat fil-bidu tas-seklu 14. Fis-1330, numru kbir ta 'diżastri u pesti naturali wasslu għal ġuħ mifrux, li jibda fl-1331, b'pesta fatali li tasal ftit wara. Epidemiji li setgħu inkludew il-pesta qatlu madwar 25 miljun Ċiniż u Asjatiċi oħra matul il-15-il sena qabel ma waslu Kostantinopli fl-1347.</v>
      </c>
    </row>
    <row r="14720" ht="15.75" customHeight="1">
      <c r="A14720" s="2" t="s">
        <v>14720</v>
      </c>
      <c r="B14720" s="2" t="str">
        <f>IFERROR(__xludf.DUMMYFUNCTION("GOOGLETRANSLATE(A14720, ""en"", ""mt"")"),"Għaliex ABC ġie mġiegħel ibiegħ l-interessi tiegħu f'netwerks internazzjonali fis-snin 70?")</f>
        <v>Għaliex ABC ġie mġiegħel ibiegħ l-interessi tiegħu f'netwerks internazzjonali fis-snin 70?</v>
      </c>
    </row>
    <row r="14721" ht="15.75" customHeight="1">
      <c r="A14721" s="2" t="s">
        <v>14721</v>
      </c>
      <c r="B14721" s="2" t="str">
        <f>IFERROR(__xludf.DUMMYFUNCTION("GOOGLETRANSLATE(A14721, ""en"", ""mt"")"),"Spazju ta 'ħażna ġdid għall-kotba fil-librerija tal-arti")</f>
        <v>Spazju ta 'ħażna ġdid għall-kotba fil-librerija tal-arti</v>
      </c>
    </row>
    <row r="14722" ht="15.75" customHeight="1">
      <c r="A14722" s="2" t="s">
        <v>14722</v>
      </c>
      <c r="B14722" s="2" t="str">
        <f>IFERROR(__xludf.DUMMYFUNCTION("GOOGLETRANSLATE(A14722, ""en"", ""mt"")"),"L-ossiġenu huwa t-tielet l-iktar element abbundanti fl-univers, wara l-idroġenu u l-elju")</f>
        <v>L-ossiġenu huwa t-tielet l-iktar element abbundanti fl-univers, wara l-idroġenu u l-elju</v>
      </c>
    </row>
    <row r="14723" ht="15.75" customHeight="1">
      <c r="A14723" s="2" t="s">
        <v>14723</v>
      </c>
      <c r="B14723" s="2" t="str">
        <f>IFERROR(__xludf.DUMMYFUNCTION("GOOGLETRANSLATE(A14723, ""en"", ""mt"")"),"Überseering bv v construction nordic gmbH")</f>
        <v>Überseering bv v construction nordic gmbH</v>
      </c>
    </row>
    <row r="14724" ht="15.75" customHeight="1">
      <c r="A14724" s="2" t="s">
        <v>14724</v>
      </c>
      <c r="B14724" s="2" t="str">
        <f>IFERROR(__xludf.DUMMYFUNCTION("GOOGLETRANSLATE(A14724, ""en"", ""mt"")"),"Kif differenti l-iskejjel privati ​​fl-Irlanda huma differenti mill-biċċa l-kbira?")</f>
        <v>Kif differenti l-iskejjel privati ​​fl-Irlanda huma differenti mill-biċċa l-kbira?</v>
      </c>
    </row>
    <row r="14725" ht="15.75" customHeight="1">
      <c r="A14725" s="2" t="s">
        <v>14725</v>
      </c>
      <c r="B14725" s="2" t="str">
        <f>IFERROR(__xludf.DUMMYFUNCTION("GOOGLETRANSLATE(A14725, ""en"", ""mt"")"),"X'kien isir test ta 'plugs-out biex jissimula fuq l-LC-34?")</f>
        <v>X'kien isir test ta 'plugs-out biex jissimula fuq l-LC-34?</v>
      </c>
    </row>
    <row r="14726" ht="15.75" customHeight="1">
      <c r="A14726" s="2" t="s">
        <v>14726</v>
      </c>
      <c r="B14726" s="2" t="str">
        <f>IFERROR(__xludf.DUMMYFUNCTION("GOOGLETRANSLATE(A14726, ""en"", ""mt"")"),"Il-kumplessità tal-problemi ħafna drabi tiddependi fuq xiex?")</f>
        <v>Il-kumplessità tal-problemi ħafna drabi tiddependi fuq xiex?</v>
      </c>
    </row>
    <row r="14727" ht="15.75" customHeight="1">
      <c r="A14727" s="2" t="s">
        <v>14727</v>
      </c>
      <c r="B14727" s="2" t="str">
        <f>IFERROR(__xludf.DUMMYFUNCTION("GOOGLETRANSLATE(A14727, ""en"", ""mt"")"),"Kublai reġa 'rrifjuta l-moviment tal-kapitali Mongolja minn Karakorum fil-Mongolja għal Khanbaliq fl-1264, billi bena belt ġdida qrib il-kapital ta' Jurchen Zhongdu, issa moderna ta 'Beijing, fl-1266. Fl-1271, Kublai formalment iddikjara l-mandat tas-sema"&amp;" u ddikjara li 1272 kien L-ewwel sena tal-Yuan il-Kbir (Ċiniż: 大 大) fl-istil ta 'dinastija Ċiniża tradizzjonali. L-isem tad-dinastija oriġina mill-I Ching u jiddeskrivi l- ""oriġini tal-univers"" jew ""forza primarja"". Kublai ipproklama Khanbaliq il- ""k"&amp;"apitali kbira"" jew daidu (Dadu, Ċiniż: 大都 biċ-Ċiniż) tad-dinastija. L-isem tal-era nbidel għal Zhiyuan għal Herald era ġdida tal-istorja Ċiniża. L-adozzjoni ta 'isem dinastiku leġittimizzat regola Mongoljana billi tintegra l-gvern fin-narrattiva tas-suċċ"&amp;"essjoni politika tradizzjonali Ċiniża. Khublai evoka l-immaġni pubblika tiegħu bħala imperatur tas-salvja billi segwa r-ritwali tal-propjetà Confucian u l-venerazzjoni tal-antenati, filwaqt li fl-istess ħin żamm l-għeruq tiegħu bħala mexxej mill-Steppes.")</f>
        <v>Kublai reġa 'rrifjuta l-moviment tal-kapitali Mongolja minn Karakorum fil-Mongolja għal Khanbaliq fl-1264, billi bena belt ġdida qrib il-kapital ta' Jurchen Zhongdu, issa moderna ta 'Beijing, fl-1266. Fl-1271, Kublai formalment iddikjara l-mandat tas-sema u ddikjara li 1272 kien L-ewwel sena tal-Yuan il-Kbir (Ċiniż: 大 大) fl-istil ta 'dinastija Ċiniża tradizzjonali. L-isem tad-dinastija oriġina mill-I Ching u jiddeskrivi l- "oriġini tal-univers" jew "forza primarja". Kublai ipproklama Khanbaliq il- "kapitali kbira" jew daidu (Dadu, Ċiniż: 大都 biċ-Ċiniż) tad-dinastija. L-isem tal-era nbidel għal Zhiyuan għal Herald era ġdida tal-istorja Ċiniża. L-adozzjoni ta 'isem dinastiku leġittimizzat regola Mongoljana billi tintegra l-gvern fin-narrattiva tas-suċċessjoni politika tradizzjonali Ċiniża. Khublai evoka l-immaġni pubblika tiegħu bħala imperatur tas-salvja billi segwa r-ritwali tal-propjetà Confucian u l-venerazzjoni tal-antenati, filwaqt li fl-istess ħin żamm l-għeruq tiegħu bħala mexxej mill-Steppes.</v>
      </c>
    </row>
    <row r="14728" ht="15.75" customHeight="1">
      <c r="A14728" s="2" t="s">
        <v>14728</v>
      </c>
      <c r="B14728" s="2" t="str">
        <f>IFERROR(__xludf.DUMMYFUNCTION("GOOGLETRANSLATE(A14728, ""en"", ""mt"")"),"Ċentru tal-passaġġ tal-kurva.")</f>
        <v>Ċentru tal-passaġġ tal-kurva.</v>
      </c>
    </row>
    <row r="14729" ht="15.75" customHeight="1">
      <c r="A14729" s="2" t="s">
        <v>14729</v>
      </c>
      <c r="B14729" s="2" t="str">
        <f>IFERROR(__xludf.DUMMYFUNCTION("GOOGLETRANSLATE(A14729, ""en"", ""mt"")"),"Jippermetti tluq mill-iskejjel fil-livelli kollha jew biex ikunu jaħdmu għal rashom jew biex jassiguraw impjieg")</f>
        <v>Jippermetti tluq mill-iskejjel fil-livelli kollha jew biex ikunu jaħdmu għal rashom jew biex jassiguraw impjieg</v>
      </c>
    </row>
    <row r="14730" ht="15.75" customHeight="1">
      <c r="A14730" s="2" t="s">
        <v>14730</v>
      </c>
      <c r="B14730" s="2" t="str">
        <f>IFERROR(__xludf.DUMMYFUNCTION("GOOGLETRANSLATE(A14730, ""en"", ""mt"")"),"riċetturi ta 'immunoglobulina taċ-ċelloli qattiel (KIR)")</f>
        <v>riċetturi ta 'immunoglobulina taċ-ċelloli qattiel (KIR)</v>
      </c>
    </row>
    <row r="14731" ht="15.75" customHeight="1">
      <c r="A14731" s="2" t="s">
        <v>14731</v>
      </c>
      <c r="B14731" s="2" t="str">
        <f>IFERROR(__xludf.DUMMYFUNCTION("GOOGLETRANSLATE(A14731, ""en"", ""mt"")"),"Matul liema perjodu rnexxielha Fresno downtown?")</f>
        <v>Matul liema perjodu rnexxielha Fresno downtown?</v>
      </c>
    </row>
    <row r="14732" ht="15.75" customHeight="1">
      <c r="A14732" s="2" t="s">
        <v>14732</v>
      </c>
      <c r="B14732" s="2" t="str">
        <f>IFERROR(__xludf.DUMMYFUNCTION("GOOGLETRANSLATE(A14732, ""en"", ""mt"")"),"X'inhuma l-perjodi ta 'tkabbir itwal assoċjati magħhom?")</f>
        <v>X'inhuma l-perjodi ta 'tkabbir itwal assoċjati magħhom?</v>
      </c>
    </row>
    <row r="14733" ht="15.75" customHeight="1">
      <c r="A14733" s="2" t="s">
        <v>14733</v>
      </c>
      <c r="B14733" s="2" t="str">
        <f>IFERROR(__xludf.DUMMYFUNCTION("GOOGLETRANSLATE(A14733, ""en"", ""mt"")"),"Għal liema pubblikazzjoni ħadem Philip Howard?")</f>
        <v>Għal liema pubblikazzjoni ħadem Philip Howard?</v>
      </c>
    </row>
    <row r="14734" ht="15.75" customHeight="1">
      <c r="A14734" s="2" t="s">
        <v>14734</v>
      </c>
      <c r="B14734" s="2" t="str">
        <f>IFERROR(__xludf.DUMMYFUNCTION("GOOGLETRANSLATE(A14734, ""en"", ""mt"")"),"50–140 cm")</f>
        <v>50–140 cm</v>
      </c>
    </row>
    <row r="14735" ht="15.75" customHeight="1">
      <c r="A14735" s="2" t="s">
        <v>14735</v>
      </c>
      <c r="B14735" s="2" t="str">
        <f>IFERROR(__xludf.DUMMYFUNCTION("GOOGLETRANSLATE(A14735, ""en"", ""mt"")"),"Wara l-avveniment ta 'estinzjoni tal-Kretaċeju-Paleogene, l-estinzjoni tad-dinosawri u l-klima aktar mxarrba setgħu ppermettew lill-foresta tropikali tropikali tinfirex madwar il-kontinent. Minn 66-34 MYA, il-foresta tropikali estendiet sa 45 °. Il-varjaz"&amp;"zjonijiet fil-klima matul l-aħħar 34 miljun sena ppermettew lir-reġjuni ta 'Savanna jespandu fit-tropiċi. Matul l-Oligocene, pereżempju, il-foresta tropikali mifruxa faxxa relattivament dejqa. Hija espandiet mill-ġdid matul il-Miocene tan-nofs, imbagħad t"&amp;"inġibed għal formazzjoni l-aktar interna fl-aħħar massimu glaċjali. Madankollu, il-foresta tropikali xorta rnexxielha tiffjorixxi matul dawn il-perjodi glaċjali, li tippermetti s-sopravivenza u l-evoluzzjoni ta 'diversità wiesgħa ta' speċi.")</f>
        <v>Wara l-avveniment ta 'estinzjoni tal-Kretaċeju-Paleogene, l-estinzjoni tad-dinosawri u l-klima aktar mxarrba setgħu ppermettew lill-foresta tropikali tropikali tinfirex madwar il-kontinent. Minn 66-34 MYA, il-foresta tropikali estendiet sa 45 °. Il-varjazzjonijiet fil-klima matul l-aħħar 34 miljun sena ppermettew lir-reġjuni ta 'Savanna jespandu fit-tropiċi. Matul l-Oligocene, pereżempju, il-foresta tropikali mifruxa faxxa relattivament dejqa. Hija espandiet mill-ġdid matul il-Miocene tan-nofs, imbagħad tinġibed għal formazzjoni l-aktar interna fl-aħħar massimu glaċjali. Madankollu, il-foresta tropikali xorta rnexxielha tiffjorixxi matul dawn il-perjodi glaċjali, li tippermetti s-sopravivenza u l-evoluzzjoni ta 'diversità wiesgħa ta' speċi.</v>
      </c>
    </row>
    <row r="14736" ht="15.75" customHeight="1">
      <c r="A14736" s="2" t="s">
        <v>14736</v>
      </c>
      <c r="B14736" s="2" t="str">
        <f>IFERROR(__xludf.DUMMYFUNCTION("GOOGLETRANSLATE(A14736, ""en"", ""mt"")"),"X'irrakkomanda standard u fqir biex tħaffef l-irkupru tal-ekonomija?")</f>
        <v>X'irrakkomanda standard u fqir biex tħaffef l-irkupru tal-ekonomija?</v>
      </c>
    </row>
    <row r="14737" ht="15.75" customHeight="1">
      <c r="A14737" s="2" t="s">
        <v>14737</v>
      </c>
      <c r="B14737" s="2" t="str">
        <f>IFERROR(__xludf.DUMMYFUNCTION("GOOGLETRANSLATE(A14737, ""en"", ""mt"")"),"Liema post tan-NASA wasal l-aħħar għall-idea tal-LOR?")</f>
        <v>Liema post tan-NASA wasal l-aħħar għall-idea tal-LOR?</v>
      </c>
    </row>
    <row r="14738" ht="15.75" customHeight="1">
      <c r="A14738" s="2" t="s">
        <v>14738</v>
      </c>
      <c r="B14738" s="2" t="str">
        <f>IFERROR(__xludf.DUMMYFUNCTION("GOOGLETRANSLATE(A14738, ""en"", ""mt"")"),"Min żied mal-ktieb ta 'Dioscorides fl-Età tad-Deheb Iżlamika?")</f>
        <v>Min żied mal-ktieb ta 'Dioscorides fl-Età tad-Deheb Iżlamika?</v>
      </c>
    </row>
    <row r="14739" ht="15.75" customHeight="1">
      <c r="A14739" s="2" t="s">
        <v>14739</v>
      </c>
      <c r="B14739" s="2" t="str">
        <f>IFERROR(__xludf.DUMMYFUNCTION("GOOGLETRANSLATE(A14739, ""en"", ""mt"")"),"Fost l-MSPs eletti")</f>
        <v>Fost l-MSPs eletti</v>
      </c>
    </row>
    <row r="14740" ht="15.75" customHeight="1">
      <c r="A14740" s="2" t="s">
        <v>14740</v>
      </c>
      <c r="B14740" s="2" t="str">
        <f>IFERROR(__xludf.DUMMYFUNCTION("GOOGLETRANSLATE(A14740, ""en"", ""mt"")"),"Torque żbilanċjat")</f>
        <v>Torque żbilanċjat</v>
      </c>
    </row>
    <row r="14741" ht="15.75" customHeight="1">
      <c r="A14741" s="2" t="s">
        <v>14741</v>
      </c>
      <c r="B14741" s="2" t="str">
        <f>IFERROR(__xludf.DUMMYFUNCTION("GOOGLETRANSLATE(A14741, ""en"", ""mt"")"),"It-trattati japplikaw malli jidħlu fis-seħħ")</f>
        <v>It-trattati japplikaw malli jidħlu fis-seħħ</v>
      </c>
    </row>
    <row r="14742" ht="15.75" customHeight="1">
      <c r="A14742" s="2" t="s">
        <v>14742</v>
      </c>
      <c r="B14742" s="2" t="str">
        <f>IFERROR(__xludf.DUMMYFUNCTION("GOOGLETRANSLATE(A14742, ""en"", ""mt"")"),"Kleru Protestant biex jiżżewweġ.")</f>
        <v>Kleru Protestant biex jiżżewweġ.</v>
      </c>
    </row>
    <row r="14743" ht="15.75" customHeight="1">
      <c r="A14743" s="2" t="s">
        <v>14743</v>
      </c>
      <c r="B14743" s="2" t="str">
        <f>IFERROR(__xludf.DUMMYFUNCTION("GOOGLETRANSLATE(A14743, ""en"", ""mt"")"),"X'kien il-ħin fuq l-arloġġ meta Carolina kisbu l-ballun għal-linja ta '24-tarzna tagħhom fir-raba' kwart?")</f>
        <v>X'kien il-ħin fuq l-arloġġ meta Carolina kisbu l-ballun għal-linja ta '24-tarzna tagħhom fir-raba' kwart?</v>
      </c>
    </row>
    <row r="14744" ht="15.75" customHeight="1">
      <c r="A14744" s="2" t="s">
        <v>14744</v>
      </c>
      <c r="B14744" s="2" t="str">
        <f>IFERROR(__xludf.DUMMYFUNCTION("GOOGLETRANSLATE(A14744, ""en"", ""mt"")"),"Xi tfisser Warszawa fil-Pollakk?")</f>
        <v>Xi tfisser Warszawa fil-Pollakk?</v>
      </c>
    </row>
    <row r="14745" ht="15.75" customHeight="1">
      <c r="A14745" s="2" t="s">
        <v>14745</v>
      </c>
      <c r="B14745" s="2" t="str">
        <f>IFERROR(__xludf.DUMMYFUNCTION("GOOGLETRANSLATE(A14745, ""en"", ""mt"")"),"Numru ewlieni (jew prim) huwa numru naturali akbar minn 1 li m'għandux diviżor pożittiv minbarra 1 u nnifsu. Numru naturali akbar minn 1 li mhux numru ewlieni jissejjaħ numru kompost. Pereżempju, 5 hija primarja minħabba li 1 u 5 huma l-uniċi fatturi numr"&amp;"u sħiħ pożittiv tagħha, filwaqt li 6 huwa kompost minħabba li għandu d-diviżuri 2 u 3 minbarra 1 u 6. It-teorema fundamentali tal-aritmetika tistabbilixxi r-rwol ċentrali tal-primes fit-teorija tan-numri : Kull numru sħiħ akbar minn 1 jista 'jiġi espress "&amp;"bħala prodott ta' primes li huwa uniku biex tordna. L-uniċità f'dan it-teorema teħtieġ li tiġi eskluża 1 bħala prim minħabba li wieħed jista 'jinkludi b'mod arbitrarju ħafna każijiet ta' 1 fi kwalunkwe fatturizzazzjoni, e.g., 3, 1 · 3, 1 · 1 · 3, eċċ. Hum"&amp;"a kollha fatturi ta '3.")</f>
        <v>Numru ewlieni (jew prim) huwa numru naturali akbar minn 1 li m'għandux diviżor pożittiv minbarra 1 u nnifsu. Numru naturali akbar minn 1 li mhux numru ewlieni jissejjaħ numru kompost. Pereżempju, 5 hija primarja minħabba li 1 u 5 huma l-uniċi fatturi numru sħiħ pożittiv tagħha, filwaqt li 6 huwa kompost minħabba li għandu d-diviżuri 2 u 3 minbarra 1 u 6. It-teorema fundamentali tal-aritmetika tistabbilixxi r-rwol ċentrali tal-primes fit-teorija tan-numri : Kull numru sħiħ akbar minn 1 jista 'jiġi espress bħala prodott ta' primes li huwa uniku biex tordna. L-uniċità f'dan it-teorema teħtieġ li tiġi eskluża 1 bħala prim minħabba li wieħed jista 'jinkludi b'mod arbitrarju ħafna każijiet ta' 1 fi kwalunkwe fatturizzazzjoni, e.g., 3, 1 · 3, 1 · 1 · 3, eċċ. Huma kollha fatturi ta '3.</v>
      </c>
    </row>
    <row r="14746" ht="15.75" customHeight="1">
      <c r="A14746" s="2" t="s">
        <v>14746</v>
      </c>
      <c r="B14746" s="2" t="str">
        <f>IFERROR(__xludf.DUMMYFUNCTION("GOOGLETRANSLATE(A14746, ""en"", ""mt"")"),"Il-Qorti tal-Kontea ta 'Fresno oriġinali (imwaqqa), il-Librerija Pubblika ta' Fresno Carnegie (imwaqqa)")</f>
        <v>Il-Qorti tal-Kontea ta 'Fresno oriġinali (imwaqqa), il-Librerija Pubblika ta' Fresno Carnegie (imwaqqa)</v>
      </c>
    </row>
    <row r="14747" ht="15.75" customHeight="1">
      <c r="A14747" s="2" t="s">
        <v>14747</v>
      </c>
      <c r="B14747" s="2" t="str">
        <f>IFERROR(__xludf.DUMMYFUNCTION("GOOGLETRANSLATE(A14747, ""en"", ""mt"")"),"Ċaħda tal-kapaċità")</f>
        <v>Ċaħda tal-kapaċità</v>
      </c>
    </row>
    <row r="14748" ht="15.75" customHeight="1">
      <c r="A14748" s="2" t="s">
        <v>14748</v>
      </c>
      <c r="B14748" s="2" t="str">
        <f>IFERROR(__xludf.DUMMYFUNCTION("GOOGLETRANSLATE(A14748, ""en"", ""mt"")"),"It-tieni liġi")</f>
        <v>It-tieni liġi</v>
      </c>
    </row>
    <row r="14749" ht="15.75" customHeight="1">
      <c r="A14749" s="2" t="s">
        <v>14749</v>
      </c>
      <c r="B14749" s="2" t="str">
        <f>IFERROR(__xludf.DUMMYFUNCTION("GOOGLETRANSLATE(A14749, ""en"", ""mt"")"),"X'inhi ċellola tal-klorenchyma?")</f>
        <v>X'inhi ċellola tal-klorenchyma?</v>
      </c>
    </row>
    <row r="14750" ht="15.75" customHeight="1">
      <c r="A14750" s="2" t="s">
        <v>14750</v>
      </c>
      <c r="B14750" s="2" t="str">
        <f>IFERROR(__xludf.DUMMYFUNCTION("GOOGLETRANSLATE(A14750, ""en"", ""mt"")"),"Il-Kbira North Run")</f>
        <v>Il-Kbira North Run</v>
      </c>
    </row>
    <row r="14751" ht="15.75" customHeight="1">
      <c r="A14751" s="2" t="s">
        <v>14751</v>
      </c>
      <c r="B14751" s="2" t="str">
        <f>IFERROR(__xludf.DUMMYFUNCTION("GOOGLETRANSLATE(A14751, ""en"", ""mt"")"),"15–1")</f>
        <v>15–1</v>
      </c>
    </row>
    <row r="14752" ht="15.75" customHeight="1">
      <c r="A14752" s="2" t="s">
        <v>14752</v>
      </c>
      <c r="B14752" s="2" t="str">
        <f>IFERROR(__xludf.DUMMYFUNCTION("GOOGLETRANSLATE(A14752, ""en"", ""mt"")"),"Madwar 15-il kilometru")</f>
        <v>Madwar 15-il kilometru</v>
      </c>
    </row>
    <row r="14753" ht="15.75" customHeight="1">
      <c r="A14753" s="2" t="s">
        <v>14753</v>
      </c>
      <c r="B14753" s="2" t="str">
        <f>IFERROR(__xludf.DUMMYFUNCTION("GOOGLETRANSLATE(A14753, ""en"", ""mt"")"),"Petrolju")</f>
        <v>Petrolju</v>
      </c>
    </row>
    <row r="14754" ht="15.75" customHeight="1">
      <c r="A14754" s="2" t="s">
        <v>14754</v>
      </c>
      <c r="B14754" s="2" t="str">
        <f>IFERROR(__xludf.DUMMYFUNCTION("GOOGLETRANSLATE(A14754, ""en"", ""mt"")"),"Jekk nassumu li P huwa prim ieħor għajr 2 jew 5, allura, skond it-teorema ta 'Fermat, x'tip ta' deċimali se jkun dejjem?")</f>
        <v>Jekk nassumu li P huwa prim ieħor għajr 2 jew 5, allura, skond it-teorema ta 'Fermat, x'tip ta' deċimali se jkun dejjem?</v>
      </c>
    </row>
    <row r="14755" ht="15.75" customHeight="1">
      <c r="A14755" s="2" t="s">
        <v>14755</v>
      </c>
      <c r="B14755" s="2" t="str">
        <f>IFERROR(__xludf.DUMMYFUNCTION("GOOGLETRANSLATE(A14755, ""en"", ""mt"")"),"għoli")</f>
        <v>għoli</v>
      </c>
    </row>
    <row r="14756" ht="15.75" customHeight="1">
      <c r="A14756" s="2" t="s">
        <v>14756</v>
      </c>
      <c r="B14756" s="2" t="str">
        <f>IFERROR(__xludf.DUMMYFUNCTION("GOOGLETRANSLATE(A14756, ""en"", ""mt"")"),"Liema forma hija l-kloroplasti ta 'Chlamydomonas?")</f>
        <v>Liema forma hija l-kloroplasti ta 'Chlamydomonas?</v>
      </c>
    </row>
    <row r="14757" ht="15.75" customHeight="1">
      <c r="A14757" s="2" t="s">
        <v>14757</v>
      </c>
      <c r="B14757" s="2" t="str">
        <f>IFERROR(__xludf.DUMMYFUNCTION("GOOGLETRANSLATE(A14757, ""en"", ""mt"")"),"Ħsara dejjiema")</f>
        <v>Ħsara dejjiema</v>
      </c>
    </row>
    <row r="14758" ht="15.75" customHeight="1">
      <c r="A14758" s="2" t="s">
        <v>14758</v>
      </c>
      <c r="B14758" s="2" t="str">
        <f>IFERROR(__xludf.DUMMYFUNCTION("GOOGLETRANSLATE(A14758, ""en"", ""mt"")"),"Il-partit, jew il-partijiet, li jżommu l-maġġoranza tas-siġġijiet fil-Parlament jiffurmaw il-gvern Skoċċiż. B'kuntrast ma 'ħafna sistemi parlamentari oħra, il-Parlament jeleġġi l-ewwel ministru minn numru ta' kandidati fil-bidu ta 'kull terminu parlamenta"&amp;"ri (wara elezzjoni ġenerali). Kull membru jista 'jressaq isimhom biex ikun l-ewwel ministru, u jittieħed vot mill-membri kollha tal-Parlament. Normalment, il-mexxej tal-akbar partit jiġi rritornat bħala l-Ewwel Ministru, u l-Kap tal-Gvern Skoċċiż. Teoreti"&amp;"kament, il-Parlament jagħżel ukoll il-ministri Skoċċiżi li jiffurmaw il-gvern tal-Iskozja u joqogħdu fil-kabinett Skoċċiż, iżda dawn il-ministri huma, fil-prattika, maħtura għar-rwoli tagħhom mill-Ewwel Ministru. Il-ministri tal-Junior, li ma jattendux il"&amp;"-kabinett, huma wkoll maħtura biex jgħinu lill-ministri Skoċċiżi fid-dipartimenti tagħhom. Il-biċċa l-kbira tal-ministri u l-juniors tagħhom huma meħuda minn fost l-MSPs eletti, bl-eċċezzjoni tal-uffiċjali ewlenin tal-liġi tal-Iskozja: l-Avukat tal-Mulej "&amp;"u l-avukat ġenerali. Filwaqt li l-ewwel ministru jagħżel il-ministri - u jista 'jiddeċiedi li jneħħihom fi kwalunkwe ħin - il-ħatra formali jew it-tkeċċija ssir mis-sovran.")</f>
        <v>Il-partit, jew il-partijiet, li jżommu l-maġġoranza tas-siġġijiet fil-Parlament jiffurmaw il-gvern Skoċċiż. B'kuntrast ma 'ħafna sistemi parlamentari oħra, il-Parlament jeleġġi l-ewwel ministru minn numru ta' kandidati fil-bidu ta 'kull terminu parlamentari (wara elezzjoni ġenerali). Kull membru jista 'jressaq isimhom biex ikun l-ewwel ministru, u jittieħed vot mill-membri kollha tal-Parlament. Normalment, il-mexxej tal-akbar partit jiġi rritornat bħala l-Ewwel Ministru, u l-Kap tal-Gvern Skoċċiż. Teoretikament, il-Parlament jagħżel ukoll il-ministri Skoċċiżi li jiffurmaw il-gvern tal-Iskozja u joqogħdu fil-kabinett Skoċċiż, iżda dawn il-ministri huma, fil-prattika, maħtura għar-rwoli tagħhom mill-Ewwel Ministru. Il-ministri tal-Junior, li ma jattendux il-kabinett, huma wkoll maħtura biex jgħinu lill-ministri Skoċċiżi fid-dipartimenti tagħhom. Il-biċċa l-kbira tal-ministri u l-juniors tagħhom huma meħuda minn fost l-MSPs eletti, bl-eċċezzjoni tal-uffiċjali ewlenin tal-liġi tal-Iskozja: l-Avukat tal-Mulej u l-avukat ġenerali. Filwaqt li l-ewwel ministru jagħżel il-ministri - u jista 'jiddeċiedi li jneħħihom fi kwalunkwe ħin - il-ħatra formali jew it-tkeċċija ssir mis-sovran.</v>
      </c>
    </row>
    <row r="14759" ht="15.75" customHeight="1">
      <c r="A14759" s="2" t="s">
        <v>14759</v>
      </c>
      <c r="B14759" s="2" t="str">
        <f>IFERROR(__xludf.DUMMYFUNCTION("GOOGLETRANSLATE(A14759, ""en"", ""mt"")"),"Ir-riżorsi huma limitati minn teoremi tal-ġerarkija biex jipproduċu xiex?")</f>
        <v>Ir-riżorsi huma limitati minn teoremi tal-ġerarkija biex jipproduċu xiex?</v>
      </c>
    </row>
    <row r="14760" ht="15.75" customHeight="1">
      <c r="A14760" s="2" t="s">
        <v>14760</v>
      </c>
      <c r="B14760" s="2" t="str">
        <f>IFERROR(__xludf.DUMMYFUNCTION("GOOGLETRANSLATE(A14760, ""en"", ""mt"")"),"X'tip ta 'gradjenti huma ffurmati minn difetti u proċessi oħra ta' deformazzjoni?")</f>
        <v>X'tip ta 'gradjenti huma ffurmati minn difetti u proċessi oħra ta' deformazzjoni?</v>
      </c>
    </row>
    <row r="14761" ht="15.75" customHeight="1">
      <c r="A14761" s="2" t="s">
        <v>14761</v>
      </c>
      <c r="B14761" s="2" t="str">
        <f>IFERROR(__xludf.DUMMYFUNCTION("GOOGLETRANSLATE(A14761, ""en"", ""mt"")"),"Alka ħadra")</f>
        <v>Alka ħadra</v>
      </c>
    </row>
    <row r="14762" ht="15.75" customHeight="1">
      <c r="A14762" s="2" t="s">
        <v>14762</v>
      </c>
      <c r="B14762" s="2" t="str">
        <f>IFERROR(__xludf.DUMMYFUNCTION("GOOGLETRANSLATE(A14762, ""en"", ""mt"")"),"Alpi")</f>
        <v>Alpi</v>
      </c>
    </row>
    <row r="14763" ht="15.75" customHeight="1">
      <c r="A14763" s="2" t="s">
        <v>14763</v>
      </c>
      <c r="B14763" s="2" t="str">
        <f>IFERROR(__xludf.DUMMYFUNCTION("GOOGLETRANSLATE(A14763, ""en"", ""mt"")"),"Letteratura, Kartografija, Ġeografija, u Edukazzjoni Xjentifika")</f>
        <v>Letteratura, Kartografija, Ġeografija, u Edukazzjoni Xjentifika</v>
      </c>
    </row>
    <row r="14764" ht="15.75" customHeight="1">
      <c r="A14764" s="2" t="s">
        <v>14764</v>
      </c>
      <c r="B14764" s="2" t="str">
        <f>IFERROR(__xludf.DUMMYFUNCTION("GOOGLETRANSLATE(A14764, ""en"", ""mt"")"),"F'soċjetà morali ideali, minn xiex ikunu ħielsa ċ-ċittadini kollha?")</f>
        <v>F'soċjetà morali ideali, minn xiex ikunu ħielsa ċ-ċittadini kollha?</v>
      </c>
    </row>
    <row r="14765" ht="15.75" customHeight="1">
      <c r="A14765" s="2" t="s">
        <v>14765</v>
      </c>
      <c r="B14765" s="2" t="str">
        <f>IFERROR(__xludf.DUMMYFUNCTION("GOOGLETRANSLATE(A14765, ""en"", ""mt"")"),"X'inhu l-kunċett tal-knisja viżibbli u inviżibbli?")</f>
        <v>X'inhu l-kunċett tal-knisja viżibbli u inviżibbli?</v>
      </c>
    </row>
    <row r="14766" ht="15.75" customHeight="1">
      <c r="A14766" s="2" t="s">
        <v>14766</v>
      </c>
      <c r="B14766" s="2" t="str">
        <f>IFERROR(__xludf.DUMMYFUNCTION("GOOGLETRANSLATE(A14766, ""en"", ""mt"")"),"Liema kanzunetta kkollaboraw Coldplay u Beyoncé fuq l-ispettaklu tas-Super Bowl 50 f'ħin il-mistrieħ?")</f>
        <v>Liema kanzunetta kkollaboraw Coldplay u Beyoncé fuq l-ispettaklu tas-Super Bowl 50 f'ħin il-mistrieħ?</v>
      </c>
    </row>
    <row r="14767" ht="15.75" customHeight="1">
      <c r="A14767" s="2" t="s">
        <v>14767</v>
      </c>
      <c r="B14767" s="2" t="str">
        <f>IFERROR(__xludf.DUMMYFUNCTION("GOOGLETRANSLATE(A14767, ""en"", ""mt"")"),"tagħlim")</f>
        <v>tagħlim</v>
      </c>
    </row>
    <row r="14768" ht="15.75" customHeight="1">
      <c r="A14768" s="2" t="s">
        <v>14768</v>
      </c>
      <c r="B14768" s="2" t="str">
        <f>IFERROR(__xludf.DUMMYFUNCTION("GOOGLETRANSLATE(A14768, ""en"", ""mt"")"),"It-test Lucas-Lehmer")</f>
        <v>It-test Lucas-Lehmer</v>
      </c>
    </row>
    <row r="14769" ht="15.75" customHeight="1">
      <c r="A14769" s="2" t="s">
        <v>14769</v>
      </c>
      <c r="B14769" s="2" t="str">
        <f>IFERROR(__xludf.DUMMYFUNCTION("GOOGLETRANSLATE(A14769, ""en"", ""mt"")"),"Applikazzjoni tal-elettriku")</f>
        <v>Applikazzjoni tal-elettriku</v>
      </c>
    </row>
    <row r="14770" ht="15.75" customHeight="1">
      <c r="A14770" s="2" t="s">
        <v>14770</v>
      </c>
      <c r="B14770" s="2" t="str">
        <f>IFERROR(__xludf.DUMMYFUNCTION("GOOGLETRANSLATE(A14770, ""en"", ""mt"")"),"(provvista għolja) li jikkompetu għal xogħol li ftit jeħtieġu (domanda baxxa)")</f>
        <v>(provvista għolja) li jikkompetu għal xogħol li ftit jeħtieġu (domanda baxxa)</v>
      </c>
    </row>
    <row r="14771" ht="15.75" customHeight="1">
      <c r="A14771" s="2" t="s">
        <v>14771</v>
      </c>
      <c r="B14771" s="2" t="str">
        <f>IFERROR(__xludf.DUMMYFUNCTION("GOOGLETRANSLATE(A14771, ""en"", ""mt"")"),"primarjament tul il-fruntieri bejn Franza l-ġdida u l-kolonji Ingliżi")</f>
        <v>primarjament tul il-fruntieri bejn Franza l-ġdida u l-kolonji Ingliżi</v>
      </c>
    </row>
    <row r="14772" ht="15.75" customHeight="1">
      <c r="A14772" s="2" t="s">
        <v>14772</v>
      </c>
      <c r="B14772" s="2" t="str">
        <f>IFERROR(__xludf.DUMMYFUNCTION("GOOGLETRANSLATE(A14772, ""en"", ""mt"")"),"X'tip ta 'sistema immuni għandhom batterji?")</f>
        <v>X'tip ta 'sistema immuni għandhom batterji?</v>
      </c>
    </row>
    <row r="14773" ht="15.75" customHeight="1">
      <c r="A14773" s="2" t="s">
        <v>14773</v>
      </c>
      <c r="B14773" s="2" t="str">
        <f>IFERROR(__xludf.DUMMYFUNCTION("GOOGLETRANSLATE(A14773, ""en"", ""mt"")"),"Tfal ta 'Genghis Khan")</f>
        <v>Tfal ta 'Genghis Khan</v>
      </c>
    </row>
    <row r="14774" ht="15.75" customHeight="1">
      <c r="A14774" s="2" t="s">
        <v>14774</v>
      </c>
      <c r="B14774" s="2" t="str">
        <f>IFERROR(__xludf.DUMMYFUNCTION("GOOGLETRANSLATE(A14774, ""en"", ""mt"")"),"strett, konservattiv")</f>
        <v>strett, konservattiv</v>
      </c>
    </row>
    <row r="14775" ht="15.75" customHeight="1">
      <c r="A14775" s="2" t="s">
        <v>14775</v>
      </c>
      <c r="B14775" s="2" t="str">
        <f>IFERROR(__xludf.DUMMYFUNCTION("GOOGLETRANSLATE(A14775, ""en"", ""mt"")"),"Kemm touchdowns Manning tarmi fil-logħba?")</f>
        <v>Kemm touchdowns Manning tarmi fil-logħba?</v>
      </c>
    </row>
    <row r="14776" ht="15.75" customHeight="1">
      <c r="A14776" s="2" t="s">
        <v>14776</v>
      </c>
      <c r="B14776" s="2" t="str">
        <f>IFERROR(__xludf.DUMMYFUNCTION("GOOGLETRANSLATE(A14776, ""en"", ""mt"")"),"termini ta 'pressjoni")</f>
        <v>termini ta 'pressjoni</v>
      </c>
    </row>
    <row r="14777" ht="15.75" customHeight="1">
      <c r="A14777" s="2" t="s">
        <v>14777</v>
      </c>
      <c r="B14777" s="2" t="str">
        <f>IFERROR(__xludf.DUMMYFUNCTION("GOOGLETRANSLATE(A14777, ""en"", ""mt"")"),"Bejgħ ta 'indulġenzi")</f>
        <v>Bejgħ ta 'indulġenzi</v>
      </c>
    </row>
    <row r="14778" ht="15.75" customHeight="1">
      <c r="A14778" s="2" t="s">
        <v>14778</v>
      </c>
      <c r="B14778" s="2" t="str">
        <f>IFERROR(__xludf.DUMMYFUNCTION("GOOGLETRANSLATE(A14778, ""en"", ""mt"")"),"Minbarra Firebox, x'inhu isem ieħor għall-ispazju li fih materjal kombustibbli jinħaraq fil-magna?")</f>
        <v>Minbarra Firebox, x'inhu isem ieħor għall-ispazju li fih materjal kombustibbli jinħaraq fil-magna?</v>
      </c>
    </row>
    <row r="14779" ht="15.75" customHeight="1">
      <c r="A14779" s="2" t="s">
        <v>14779</v>
      </c>
      <c r="B14779" s="2" t="str">
        <f>IFERROR(__xludf.DUMMYFUNCTION("GOOGLETRANSLATE(A14779, ""en"", ""mt"")"),"Ta 'liema tul huma avvenimenti taċ-ċiklu tal-magna meta jintużaw l-irkapti tal-valv l-aktar sempliċi?")</f>
        <v>Ta 'liema tul huma avvenimenti taċ-ċiklu tal-magna meta jintużaw l-irkapti tal-valv l-aktar sempliċi?</v>
      </c>
    </row>
    <row r="14780" ht="15.75" customHeight="1">
      <c r="A14780" s="2" t="s">
        <v>14780</v>
      </c>
      <c r="B14780" s="2" t="str">
        <f>IFERROR(__xludf.DUMMYFUNCTION("GOOGLETRANSLATE(A14780, ""en"", ""mt"")"),"Kodiċi taihō")</f>
        <v>Kodiċi taihō</v>
      </c>
    </row>
    <row r="14781" ht="15.75" customHeight="1">
      <c r="A14781" s="2" t="s">
        <v>14781</v>
      </c>
      <c r="B14781" s="2" t="str">
        <f>IFERROR(__xludf.DUMMYFUNCTION("GOOGLETRANSLATE(A14781, ""en"", ""mt"")"),"jottimizza l-użu tal-medikazzjoni u jippromwovi s-saħħa, il-benessri, u l-prevenzjoni tal-mard")</f>
        <v>jottimizza l-użu tal-medikazzjoni u jippromwovi s-saħħa, il-benessri, u l-prevenzjoni tal-mard</v>
      </c>
    </row>
    <row r="14782" ht="15.75" customHeight="1">
      <c r="A14782" s="2" t="s">
        <v>14782</v>
      </c>
      <c r="B14782" s="2" t="str">
        <f>IFERROR(__xludf.DUMMYFUNCTION("GOOGLETRANSLATE(A14782, ""en"", ""mt"")"),"Liema problemi kellha d-dinastija Yuan qrib it-tmiem tagħha?")</f>
        <v>Liema problemi kellha d-dinastija Yuan qrib it-tmiem tagħha?</v>
      </c>
    </row>
    <row r="14783" ht="15.75" customHeight="1">
      <c r="A14783" s="2" t="s">
        <v>14783</v>
      </c>
      <c r="B14783" s="2" t="str">
        <f>IFERROR(__xludf.DUMMYFUNCTION("GOOGLETRANSLATE(A14783, ""en"", ""mt"")"),"Mexxejja Bolshevik")</f>
        <v>Mexxejja Bolshevik</v>
      </c>
    </row>
    <row r="14784" ht="15.75" customHeight="1">
      <c r="A14784" s="2" t="s">
        <v>14784</v>
      </c>
      <c r="B14784" s="2" t="str">
        <f>IFERROR(__xludf.DUMMYFUNCTION("GOOGLETRANSLATE(A14784, ""en"", ""mt"")"),"Kienu ċ-ċentri ta 'profitt")</f>
        <v>Kienu ċ-ċentri ta 'profitt</v>
      </c>
    </row>
    <row r="14785" ht="15.75" customHeight="1">
      <c r="A14785" s="2" t="s">
        <v>14785</v>
      </c>
      <c r="B14785" s="2" t="str">
        <f>IFERROR(__xludf.DUMMYFUNCTION("GOOGLETRANSLATE(A14785, ""en"", ""mt"")"),"livelli ta 'inugwaljanza ekonomika")</f>
        <v>livelli ta 'inugwaljanza ekonomika</v>
      </c>
    </row>
    <row r="14786" ht="15.75" customHeight="1">
      <c r="A14786" s="2" t="s">
        <v>14786</v>
      </c>
      <c r="B14786" s="2" t="str">
        <f>IFERROR(__xludf.DUMMYFUNCTION("GOOGLETRANSLATE(A14786, ""en"", ""mt"")"),"Dokumenti li jakkumpanjaw - Noti ta 'Spjegazzjoni")</f>
        <v>Dokumenti li jakkumpanjaw - Noti ta 'Spjegazzjoni</v>
      </c>
    </row>
    <row r="14787" ht="15.75" customHeight="1">
      <c r="A14787" s="2" t="s">
        <v>14787</v>
      </c>
      <c r="B14787" s="2" t="str">
        <f>IFERROR(__xludf.DUMMYFUNCTION("GOOGLETRANSLATE(A14787, ""en"", ""mt"")"),"Serje 1,")</f>
        <v>Serje 1,</v>
      </c>
    </row>
    <row r="14788" ht="15.75" customHeight="1">
      <c r="A14788" s="2" t="s">
        <v>14788</v>
      </c>
      <c r="B14788" s="2" t="str">
        <f>IFERROR(__xludf.DUMMYFUNCTION("GOOGLETRANSLATE(A14788, ""en"", ""mt"")"),"Ersatzschulen huma skejjel primarji jew sekondarji ordinarji, li huma mmexxija minn individwi privati, organizzazzjonijiet privati ​​jew gruppi reliġjużi. Dawn l-iskejjel joffru l-istess tipi ta ’diplomi bħall-iskejjel pubbliċi. Ersatzschulen m'għandux il"&amp;"-libertà li jopera kompletament barra mir-regolament tal-gvern. L-għalliema fl-Ersatzschulen irid ikollhom mill-inqas l-istess edukazzjoni u għall-inqas l-istess pagi bħall-għalliema fl-iskejjel pubbliċi, ersatzschule għandu jkollhom mill-inqas l-istess s"&amp;"tandards akkademiċi bħal skola pubblika u l-Artikolu 7, paragrafu 4 tal-Grundgesetz, jipprojbixxi wkoll is-segregazzjoni ta ' studenti skont il-mezzi tal-ġenituri tagħhom (l-hekk imsejħa Sonderungsverbot). Għalhekk, il-biċċa l-kbira tal-ersatzschulen għan"&amp;"dhom ħlasijiet ta 'tagħlim baxxi ħafna u / jew joffru boroż ta' studju, meta mqabbla ma 'ħafna pajjiżi oħra tal-Ewropa tal-Punent. Madankollu, mhuwiex possibbli li dawn l-iskejjel jiffinanzjaw bi ħlasijiet ta 'tagħlim daqshekk baxxi, u huwa għalhekk li l-"&amp;"ersatzschulen Ġermaniż kollu huwa ffinanzjat ukoll b'fondi pubbliċi. Il-perċentwali tal-flus pubbliċi jistgħu jilħqu 100% tan-nefqiet tal-persunal. Madankollu, l-iskejjel privati ​​saru insolventi fil-passat fil-Ġermanja.")</f>
        <v>Ersatzschulen huma skejjel primarji jew sekondarji ordinarji, li huma mmexxija minn individwi privati, organizzazzjonijiet privati ​​jew gruppi reliġjużi. Dawn l-iskejjel joffru l-istess tipi ta ’diplomi bħall-iskejjel pubbliċi. Ersatzschulen m'għandux il-libertà li jopera kompletament barra mir-regolament tal-gvern. L-għalliema fl-Ersatzschulen irid ikollhom mill-inqas l-istess edukazzjoni u għall-inqas l-istess pagi bħall-għalliema fl-iskejjel pubbliċi, ersatzschule għandu jkollhom mill-inqas l-istess standards akkademiċi bħal skola pubblika u l-Artikolu 7, paragrafu 4 tal-Grundgesetz, jipprojbixxi wkoll is-segregazzjoni ta ' studenti skont il-mezzi tal-ġenituri tagħhom (l-hekk imsejħa Sonderungsverbot). Għalhekk, il-biċċa l-kbira tal-ersatzschulen għandhom ħlasijiet ta 'tagħlim baxxi ħafna u / jew joffru boroż ta' studju, meta mqabbla ma 'ħafna pajjiżi oħra tal-Ewropa tal-Punent. Madankollu, mhuwiex possibbli li dawn l-iskejjel jiffinanzjaw bi ħlasijiet ta 'tagħlim daqshekk baxxi, u huwa għalhekk li l-ersatzschulen Ġermaniż kollu huwa ffinanzjat ukoll b'fondi pubbliċi. Il-perċentwali tal-flus pubbliċi jistgħu jilħqu 100% tan-nefqiet tal-persunal. Madankollu, l-iskejjel privati ​​saru insolventi fil-passat fil-Ġermanja.</v>
      </c>
    </row>
    <row r="14789" ht="15.75" customHeight="1">
      <c r="A14789" s="2" t="s">
        <v>14789</v>
      </c>
      <c r="B14789" s="2" t="str">
        <f>IFERROR(__xludf.DUMMYFUNCTION("GOOGLETRANSLATE(A14789, ""en"", ""mt"")"),"it-tieni stadju")</f>
        <v>it-tieni stadju</v>
      </c>
    </row>
    <row r="14790" ht="15.75" customHeight="1">
      <c r="A14790" s="2" t="s">
        <v>14790</v>
      </c>
      <c r="B14790" s="2" t="str">
        <f>IFERROR(__xludf.DUMMYFUNCTION("GOOGLETRANSLATE(A14790, ""en"", ""mt"")"),"Membri tal-Knisja Metodista Magħquda")</f>
        <v>Membri tal-Knisja Metodista Magħquda</v>
      </c>
    </row>
    <row r="14791" ht="15.75" customHeight="1">
      <c r="A14791" s="2" t="s">
        <v>14791</v>
      </c>
      <c r="B14791" s="2" t="str">
        <f>IFERROR(__xludf.DUMMYFUNCTION("GOOGLETRANSLATE(A14791, ""en"", ""mt"")"),"Mudelli matematiċi")</f>
        <v>Mudelli matematiċi</v>
      </c>
    </row>
    <row r="14792" ht="15.75" customHeight="1">
      <c r="A14792" s="2" t="s">
        <v>14792</v>
      </c>
      <c r="B14792" s="2" t="str">
        <f>IFERROR(__xludf.DUMMYFUNCTION("GOOGLETRANSLATE(A14792, ""en"", ""mt"")"),"X'kien l-isem tal-Ispecial tal-Milied tal-2007?")</f>
        <v>X'kien l-isem tal-Ispecial tal-Milied tal-2007?</v>
      </c>
    </row>
    <row r="14793" ht="15.75" customHeight="1">
      <c r="A14793" s="2" t="s">
        <v>14793</v>
      </c>
      <c r="B14793" s="2" t="str">
        <f>IFERROR(__xludf.DUMMYFUNCTION("GOOGLETRANSLATE(A14793, ""en"", ""mt"")"),"Xi jiddetermina l-KCPE?")</f>
        <v>Xi jiddetermina l-KCPE?</v>
      </c>
    </row>
    <row r="14794" ht="15.75" customHeight="1">
      <c r="A14794" s="2" t="s">
        <v>14794</v>
      </c>
      <c r="B14794" s="2" t="str">
        <f>IFERROR(__xludf.DUMMYFUNCTION("GOOGLETRANSLATE(A14794, ""en"", ""mt"")"),"impossibbli")</f>
        <v>impossibbli</v>
      </c>
    </row>
    <row r="14795" ht="15.75" customHeight="1">
      <c r="A14795" s="2" t="s">
        <v>14795</v>
      </c>
      <c r="B14795" s="2" t="str">
        <f>IFERROR(__xludf.DUMMYFUNCTION("GOOGLETRANSLATE(A14795, ""en"", ""mt"")"),"L-awtorità ta 'min opponi t-teoloġija ta' Luther?")</f>
        <v>L-awtorità ta 'min opponi t-teoloġija ta' Luther?</v>
      </c>
    </row>
    <row r="14796" ht="15.75" customHeight="1">
      <c r="A14796" s="2" t="s">
        <v>14796</v>
      </c>
      <c r="B14796" s="2" t="str">
        <f>IFERROR(__xludf.DUMMYFUNCTION("GOOGLETRANSLATE(A14796, ""en"", ""mt"")"),"Il-liġi primarja tal-UE tikkonsisti prinċipalment fit-trattati fundaturi, it-trattati ""ewlenin"" huma t-Trattat dwar l-Unjoni Ewropea (TEU) u t-Trattat dwar il-Funzjonament tal-Unjoni Ewropea (TFEU). It-trattati fihom dispożizzjonijiet formali u sostanti"&amp;"vi, li jiffurmaw politiki tal-istituzzjonijiet tal-Unjoni Ewropea u jiddeterminaw id-diviżjoni tal-kompetenzi bejn l-Unjoni Ewropea u l-istati membri tagħha. It-TEU jistabbilixxi li l-liġi tal-Unjoni Ewropea tapplika għat-territorji metropolitani tal-Ista"&amp;"ti Membri, kif ukoll għal ċerti gżejjer u territorji barranin, inklużi Madeira, il-Gżejjer Kanarji u d-dipartimenti barranin Franċiżi. Il-liġi tal-Unjoni Ewropea tapplika wkoll f'territorji fejn Stat Membru huwa responsabbli għar-relazzjonijiet esterni, p"&amp;"ereżempju Ġibiltà u l-Gżejjer Åland. It-TEU jippermetti lill-Kunsill Ewropew jagħmel dispożizzjonijiet speċifiċi għar-reġjuni, bħal pereżempju magħmul għal kwistjonijiet doganali f'Ġibiltà u Saint-Pierre-et-Miquelon. It-TEU teskludi speċifikament ċerti re"&amp;"ġjuni, pereżempju l-Gżejjer Faroe, mill-ġurisdizzjoni tal-liġi tal-Unjoni Ewropea. It-trattati japplikaw malli jidħlu fis-seħħ, sakemm ma jingħadx mod ieħor, u ġeneralment jiġu konklużi għal perjodu illimitat. It-TEU jipprovdi li l-impenji mdaħħla mill-is"&amp;"tati membri bejniethom qabel ma ġie ffirmat it-trattat ma jibqgħux japplikaw. [Vag] L-istati membri kollha tal-UE huma meqjusa bħala soġġetti għall-obbligu ġenerali tal-prinċipju ta 'kooperazzjoni, kif intqal fit-TEU, fejn L-istati membri huma obbligati l"&amp;"i ma jieħdu miżura li tista 'tipperikola l-kisba tal-għanijiet tat-TEU. Il-Qorti tal-Ġustizzja tal-Unjoni Ewropea tista 'tinterpreta t-trattati, iżda ma tistax tiddeċiedi fuq il-validità tagħhom, li hija soġġetta għal-liġi internazzjonali. L-individwi jis"&amp;"tgħu jiddependu fuq il-liġi primarja fil-Qorti tal-Ġustizzja tal-Unjoni Ewropea jekk id-dispożizzjonijiet tat-trattati jkollhom effett dirett u huma ċari biżżejjed, preċiżi u inkondizzjonati.")</f>
        <v>Il-liġi primarja tal-UE tikkonsisti prinċipalment fit-trattati fundaturi, it-trattati "ewlenin" huma t-Trattat dwar l-Unjoni Ewropea (TEU) u t-Trattat dwar il-Funzjonament tal-Unjoni Ewropea (TFEU). It-trattati fihom dispożizzjonijiet formali u sostantivi, li jiffurmaw politiki tal-istituzzjonijiet tal-Unjoni Ewropea u jiddeterminaw id-diviżjoni tal-kompetenzi bejn l-Unjoni Ewropea u l-istati membri tagħha. It-TEU jistabbilixxi li l-liġi tal-Unjoni Ewropea tapplika għat-territorji metropolitani tal-Istati Membri, kif ukoll għal ċerti gżejjer u territorji barranin, inklużi Madeira, il-Gżejjer Kanarji u d-dipartimenti barranin Franċiżi. Il-liġi tal-Unjoni Ewropea tapplika wkoll f'territorji fejn Stat Membru huwa responsabbli għar-relazzjonijiet esterni, pereżempju Ġibiltà u l-Gżejjer Åland. It-TEU jippermetti lill-Kunsill Ewropew jagħmel dispożizzjonijiet speċifiċi għar-reġjuni, bħal pereżempju magħmul għal kwistjonijiet doganali f'Ġibiltà u Saint-Pierre-et-Miquelon. It-TEU teskludi speċifikament ċerti reġjuni, pereżempju l-Gżejjer Faroe, mill-ġurisdizzjoni tal-liġi tal-Unjoni Ewropea. It-trattati japplikaw malli jidħlu fis-seħħ, sakemm ma jingħadx mod ieħor, u ġeneralment jiġu konklużi għal perjodu illimitat. It-TEU jipprovdi li l-impenji mdaħħla mill-istati membri bejniethom qabel ma ġie ffirmat it-trattat ma jibqgħux japplikaw. [Vag] L-istati membri kollha tal-UE huma meqjusa bħala soġġetti għall-obbligu ġenerali tal-prinċipju ta 'kooperazzjoni, kif intqal fit-TEU, fejn L-istati membri huma obbligati li ma jieħdu miżura li tista 'tipperikola l-kisba tal-għanijiet tat-TEU. Il-Qorti tal-Ġustizzja tal-Unjoni Ewropea tista 'tinterpreta t-trattati, iżda ma tistax tiddeċiedi fuq il-validità tagħhom, li hija soġġetta għal-liġi internazzjonali. L-individwi jistgħu jiddependu fuq il-liġi primarja fil-Qorti tal-Ġustizzja tal-Unjoni Ewropea jekk id-dispożizzjonijiet tat-trattati jkollhom effett dirett u huma ċari biżżejjed, preċiżi u inkondizzjonati.</v>
      </c>
    </row>
    <row r="14797" ht="15.75" customHeight="1">
      <c r="A14797" s="2" t="s">
        <v>14797</v>
      </c>
      <c r="B14797" s="2" t="str">
        <f>IFERROR(__xludf.DUMMYFUNCTION("GOOGLETRANSLATE(A14797, ""en"", ""mt"")"),"ċelloli fagoċitiċi")</f>
        <v>ċelloli fagoċitiċi</v>
      </c>
    </row>
    <row r="14798" ht="15.75" customHeight="1">
      <c r="A14798" s="2" t="s">
        <v>14798</v>
      </c>
      <c r="B14798" s="2" t="str">
        <f>IFERROR(__xludf.DUMMYFUNCTION("GOOGLETRANSLATE(A14798, ""en"", ""mt"")"),"Kif evolviet id-diżubbidjenza ċivili fiż-żminijiet attwali?")</f>
        <v>Kif evolviet id-diżubbidjenza ċivili fiż-żminijiet attwali?</v>
      </c>
    </row>
    <row r="14799" ht="15.75" customHeight="1">
      <c r="A14799" s="2" t="s">
        <v>14799</v>
      </c>
      <c r="B14799" s="2" t="str">
        <f>IFERROR(__xludf.DUMMYFUNCTION("GOOGLETRANSLATE(A14799, ""en"", ""mt"")"),"kanċer, epatite, u artrite rewmatojde")</f>
        <v>kanċer, epatite, u artrite rewmatojde</v>
      </c>
    </row>
    <row r="14800" ht="15.75" customHeight="1">
      <c r="A14800" s="2" t="s">
        <v>14800</v>
      </c>
      <c r="B14800" s="2" t="str">
        <f>IFERROR(__xludf.DUMMYFUNCTION("GOOGLETRANSLATE(A14800, ""en"", ""mt"")"),"Jidher li jidher li t-tibdil fil-klima huwa iktar serju billi jeverti l-impatt")</f>
        <v>Jidher li jidher li t-tibdil fil-klima huwa iktar serju billi jeverti l-impatt</v>
      </c>
    </row>
    <row r="14801" ht="15.75" customHeight="1">
      <c r="A14801" s="2" t="s">
        <v>14801</v>
      </c>
      <c r="B14801" s="2" t="str">
        <f>IFERROR(__xludf.DUMMYFUNCTION("GOOGLETRANSLATE(A14801, ""en"", ""mt"")"),"X'irrakkomanda r-rapport ta 'Kllbrandon fl-1973?")</f>
        <v>X'irrakkomanda r-rapport ta 'Kllbrandon fl-1973?</v>
      </c>
    </row>
    <row r="14802" ht="15.75" customHeight="1">
      <c r="A14802" s="2" t="s">
        <v>14802</v>
      </c>
      <c r="B14802" s="2" t="str">
        <f>IFERROR(__xludf.DUMMYFUNCTION("GOOGLETRANSLATE(A14802, ""en"", ""mt"")"),"Supretendent tal-Iskejjel tal-Belt ta ’New York")</f>
        <v>Supretendent tal-Iskejjel tal-Belt ta ’New York</v>
      </c>
    </row>
    <row r="14803" ht="15.75" customHeight="1">
      <c r="A14803" s="2" t="s">
        <v>14803</v>
      </c>
      <c r="B14803" s="2" t="str">
        <f>IFERROR(__xludf.DUMMYFUNCTION("GOOGLETRANSLATE(A14803, ""en"", ""mt"")"),"Il-ħamsa u disgħin teżi.")</f>
        <v>Il-ħamsa u disgħin teżi.</v>
      </c>
    </row>
    <row r="14804" ht="15.75" customHeight="1">
      <c r="A14804" s="2" t="s">
        <v>14804</v>
      </c>
      <c r="B14804" s="2" t="str">
        <f>IFERROR(__xludf.DUMMYFUNCTION("GOOGLETRANSLATE(A14804, ""en"", ""mt"")"),"X'kien ippjanat għal Luther minn Frederick III wara l-laqgħa?")</f>
        <v>X'kien ippjanat għal Luther minn Frederick III wara l-laqgħa?</v>
      </c>
    </row>
    <row r="14805" ht="15.75" customHeight="1">
      <c r="A14805" s="2" t="s">
        <v>14805</v>
      </c>
      <c r="B14805" s="2" t="str">
        <f>IFERROR(__xludf.DUMMYFUNCTION("GOOGLETRANSLATE(A14805, ""en"", ""mt"")"),"Oneida Carry")</f>
        <v>Oneida Carry</v>
      </c>
    </row>
    <row r="14806" ht="15.75" customHeight="1">
      <c r="A14806" s="2" t="s">
        <v>14806</v>
      </c>
      <c r="B14806" s="2" t="str">
        <f>IFERROR(__xludf.DUMMYFUNCTION("GOOGLETRANSLATE(A14806, ""en"", ""mt"")"),"Bħal knejjes Kristjani storiċi oħra, il-Knisja Metodista Magħquda għandha liturġiji uffiċjali għal servizzi ta ’Tqarbina Mqaddsa, Magħmudija, Tieġ, Funeral, Ordinazzjoni, Duqa tas-Servizzi ta’ Talb tal-Uffiċċju Morda u ta ’Kuljum. Xi kleru joffri servizzi"&amp;" ta ’fejqan, filwaqt li l-eżorċiżmu huwa prattika okkażjonali minn xi kleru fil-Knisja Metodista Magħquda fl-Afrika. Dawn is-servizzi jinvolvu t-tqegħid ta 'l-idejn u d-dilka biż-żejt. Flimkien ma 'dawn, hemm ukoll servizzi speċjali għal jiem qaddisa bħal"&amp;" Jum il-Qaddisin Kollha, l-Erbgħa ta' l-Irmied, il-Ħamis Maundy, il-Ġimgħa l-Kbira, u l-Velja tal-Għid. Dawn is-servizzi jinsabu fl-Innu Metodist Magħqud u fil-Ktieb tal-Adorazzjoni Metodista Magħquda (1992). Ħafna minn dawn il-liturġiji huma derivati ​​m"&amp;"ill-ktieb tat-talb komuni tat-tradizzjoni Anglikana. Fil-biċċa l-kbira tal-każijiet, il-kongregazzjonijiet jużaw ukoll elementi oħra ta 'qima liturġika, bħal xemgħat, ħwejjeġ, paramenti, bandalori, u arti liturġika.")</f>
        <v>Bħal knejjes Kristjani storiċi oħra, il-Knisja Metodista Magħquda għandha liturġiji uffiċjali għal servizzi ta ’Tqarbina Mqaddsa, Magħmudija, Tieġ, Funeral, Ordinazzjoni, Duqa tas-Servizzi ta’ Talb tal-Uffiċċju Morda u ta ’Kuljum. Xi kleru joffri servizzi ta ’fejqan, filwaqt li l-eżorċiżmu huwa prattika okkażjonali minn xi kleru fil-Knisja Metodista Magħquda fl-Afrika. Dawn is-servizzi jinvolvu t-tqegħid ta 'l-idejn u d-dilka biż-żejt. Flimkien ma 'dawn, hemm ukoll servizzi speċjali għal jiem qaddisa bħal Jum il-Qaddisin Kollha, l-Erbgħa ta' l-Irmied, il-Ħamis Maundy, il-Ġimgħa l-Kbira, u l-Velja tal-Għid. Dawn is-servizzi jinsabu fl-Innu Metodist Magħqud u fil-Ktieb tal-Adorazzjoni Metodista Magħquda (1992). Ħafna minn dawn il-liturġiji huma derivati ​​mill-ktieb tat-talb komuni tat-tradizzjoni Anglikana. Fil-biċċa l-kbira tal-każijiet, il-kongregazzjonijiet jużaw ukoll elementi oħra ta 'qima liturġika, bħal xemgħat, ħwejjeġ, paramenti, bandalori, u arti liturġika.</v>
      </c>
    </row>
    <row r="14807" ht="15.75" customHeight="1">
      <c r="A14807" s="2" t="s">
        <v>14807</v>
      </c>
      <c r="B14807" s="2" t="str">
        <f>IFERROR(__xludf.DUMMYFUNCTION("GOOGLETRANSLATE(A14807, ""en"", ""mt"")"),"10 ta 'te (chai ya saa nne) u 4 pm tè")</f>
        <v>10 ta 'te (chai ya saa nne) u 4 pm tè</v>
      </c>
    </row>
    <row r="14808" ht="15.75" customHeight="1">
      <c r="A14808" s="2" t="s">
        <v>14808</v>
      </c>
      <c r="B14808" s="2" t="str">
        <f>IFERROR(__xludf.DUMMYFUNCTION("GOOGLETRANSLATE(A14808, ""en"", ""mt"")"),"X'forma l-Merwede-Oute Maas ma 'Waal u Lek?")</f>
        <v>X'forma l-Merwede-Oute Maas ma 'Waal u Lek?</v>
      </c>
    </row>
    <row r="14809" ht="15.75" customHeight="1">
      <c r="A14809" s="2" t="s">
        <v>14809</v>
      </c>
      <c r="B14809" s="2" t="str">
        <f>IFERROR(__xludf.DUMMYFUNCTION("GOOGLETRANSLATE(A14809, ""en"", ""mt"")"),"X'inhi l-akbar denominazzjoni fi ħdan il-moviment Metodist usa '?")</f>
        <v>X'inhi l-akbar denominazzjoni fi ħdan il-moviment Metodist usa '?</v>
      </c>
    </row>
    <row r="14810" ht="15.75" customHeight="1">
      <c r="A14810" s="2" t="s">
        <v>14810</v>
      </c>
      <c r="B14810" s="2" t="str">
        <f>IFERROR(__xludf.DUMMYFUNCTION("GOOGLETRANSLATE(A14810, ""en"", ""mt"")"),"X'kienet l-iktar skoperta importanti li wasslet għall-fehim li l-litosfera tad-Dinja hija separata fi pjanċi tettoniċi?")</f>
        <v>X'kienet l-iktar skoperta importanti li wasslet għall-fehim li l-litosfera tad-Dinja hija separata fi pjanċi tettoniċi?</v>
      </c>
    </row>
    <row r="14811" ht="15.75" customHeight="1">
      <c r="A14811" s="2" t="s">
        <v>14811</v>
      </c>
      <c r="B14811" s="2" t="str">
        <f>IFERROR(__xludf.DUMMYFUNCTION("GOOGLETRANSLATE(A14811, ""en"", ""mt"")"),"L-UMC Pro-Life jew Pro-Choice?")</f>
        <v>L-UMC Pro-Life jew Pro-Choice?</v>
      </c>
    </row>
    <row r="14812" ht="15.75" customHeight="1">
      <c r="A14812" s="2" t="s">
        <v>14812</v>
      </c>
      <c r="B14812" s="2" t="str">
        <f>IFERROR(__xludf.DUMMYFUNCTION("GOOGLETRANSLATE(A14812, ""en"", ""mt"")"),"3.5 miljun")</f>
        <v>3.5 miljun</v>
      </c>
    </row>
    <row r="14813" ht="15.75" customHeight="1">
      <c r="A14813" s="2" t="s">
        <v>14813</v>
      </c>
      <c r="B14813" s="2" t="str">
        <f>IFERROR(__xludf.DUMMYFUNCTION("GOOGLETRANSLATE(A14813, ""en"", ""mt"")"),"Tim tal-Università tat-Tramuntana tal-Florida")</f>
        <v>Tim tal-Università tat-Tramuntana tal-Florida</v>
      </c>
    </row>
    <row r="14814" ht="15.75" customHeight="1">
      <c r="A14814" s="2" t="s">
        <v>14814</v>
      </c>
      <c r="B14814" s="2" t="str">
        <f>IFERROR(__xludf.DUMMYFUNCTION("GOOGLETRANSLATE(A14814, ""en"", ""mt"")"),"Edinburgh")</f>
        <v>Edinburgh</v>
      </c>
    </row>
    <row r="14815" ht="15.75" customHeight="1">
      <c r="A14815" s="2" t="s">
        <v>14815</v>
      </c>
      <c r="B14815" s="2" t="str">
        <f>IFERROR(__xludf.DUMMYFUNCTION("GOOGLETRANSLATE(A14815, ""en"", ""mt"")"),"wiċċ tal-logħob ġdid")</f>
        <v>wiċċ tal-logħob ġdid</v>
      </c>
    </row>
    <row r="14816" ht="15.75" customHeight="1">
      <c r="A14816" s="2" t="s">
        <v>14816</v>
      </c>
      <c r="B14816" s="2" t="str">
        <f>IFERROR(__xludf.DUMMYFUNCTION("GOOGLETRANSLATE(A14816, ""en"", ""mt"")"),"Liema klassifikazzjoni f'termini ta 'ajruporti l-aktar traffikużi mill-volum internazzjonali tal-passiġġieri huwa l-Ajruport Internazzjonali ta' Los Angeles?")</f>
        <v>Liema klassifikazzjoni f'termini ta 'ajruporti l-aktar traffikużi mill-volum internazzjonali tal-passiġġieri huwa l-Ajruport Internazzjonali ta' Los Angeles?</v>
      </c>
    </row>
    <row r="14817" ht="15.75" customHeight="1">
      <c r="A14817" s="2" t="s">
        <v>14817</v>
      </c>
      <c r="B14817" s="2" t="str">
        <f>IFERROR(__xludf.DUMMYFUNCTION("GOOGLETRANSLATE(A14817, ""en"", ""mt"")"),"Thomas Vasey u Richard Whatcoat.")</f>
        <v>Thomas Vasey u Richard Whatcoat.</v>
      </c>
    </row>
    <row r="14818" ht="15.75" customHeight="1">
      <c r="A14818" s="2" t="s">
        <v>14818</v>
      </c>
      <c r="B14818" s="2" t="str">
        <f>IFERROR(__xludf.DUMMYFUNCTION("GOOGLETRANSLATE(A14818, ""en"", ""mt"")"),"Edukazzjoni meħtieġa tat-tfal bħala Kattoliċi")</f>
        <v>Edukazzjoni meħtieġa tat-tfal bħala Kattoliċi</v>
      </c>
    </row>
    <row r="14819" ht="15.75" customHeight="1">
      <c r="A14819" s="2" t="s">
        <v>14819</v>
      </c>
      <c r="B14819" s="2" t="str">
        <f>IFERROR(__xludf.DUMMYFUNCTION("GOOGLETRANSLATE(A14819, ""en"", ""mt"")"),"L-istess forza tal-gravità jekk l-aċċellerazzjoni minħabba l-gravità naqset bħala liġi kwadra inversa.")</f>
        <v>L-istess forza tal-gravità jekk l-aċċellerazzjoni minħabba l-gravità naqset bħala liġi kwadra inversa.</v>
      </c>
    </row>
    <row r="14820" ht="15.75" customHeight="1">
      <c r="A14820" s="2" t="s">
        <v>14820</v>
      </c>
      <c r="B14820" s="2" t="str">
        <f>IFERROR(__xludf.DUMMYFUNCTION("GOOGLETRANSLATE(A14820, ""en"", ""mt"")"),"Liema titlu kienet il-Karta Soċjali stabbilita biex tiġi inkluża fit-Trattat ta 'Maastricht?")</f>
        <v>Liema titlu kienet il-Karta Soċjali stabbilita biex tiġi inkluża fit-Trattat ta 'Maastricht?</v>
      </c>
    </row>
    <row r="14821" ht="15.75" customHeight="1">
      <c r="A14821" s="2" t="s">
        <v>14821</v>
      </c>
      <c r="B14821" s="2" t="str">
        <f>IFERROR(__xludf.DUMMYFUNCTION("GOOGLETRANSLATE(A14821, ""en"", ""mt"")"),"aktar minn 4 kilometri")</f>
        <v>aktar minn 4 kilometri</v>
      </c>
    </row>
    <row r="14822" ht="15.75" customHeight="1">
      <c r="A14822" s="2" t="s">
        <v>14822</v>
      </c>
      <c r="B14822" s="2" t="str">
        <f>IFERROR(__xludf.DUMMYFUNCTION("GOOGLETRANSLATE(A14822, ""en"", ""mt"")"),"Lucas - Lehmer")</f>
        <v>Lucas - Lehmer</v>
      </c>
    </row>
    <row r="14823" ht="15.75" customHeight="1">
      <c r="A14823" s="2" t="s">
        <v>14823</v>
      </c>
      <c r="B14823" s="2" t="str">
        <f>IFERROR(__xludf.DUMMYFUNCTION("GOOGLETRANSLATE(A14823, ""en"", ""mt"")"),"Ossidu Merkuriku")</f>
        <v>Ossidu Merkuriku</v>
      </c>
    </row>
    <row r="14824" ht="15.75" customHeight="1">
      <c r="A14824" s="2" t="s">
        <v>14824</v>
      </c>
      <c r="B14824" s="2" t="str">
        <f>IFERROR(__xludf.DUMMYFUNCTION("GOOGLETRANSLATE(A14824, ""en"", ""mt"")"),"Il-mard tal-faqar jikkorrelata direttament mal-prestazzjoni ekonomika tal-pajjiż u d-distribuzzjoni tal-ġid: nofs il-Kenjani jgħixu taħt il-livell tal-faqar. Mard li jista 'jiġi evitat bħall-malarja, l-HIV / AIDS, il-pnewmonja, id-dijarea u l-malnutrizzjo"&amp;"ni huma l-akbar piż, qattiel tat-tfal maġġuri, u responsabbli għal ħafna morbidità; Politiki dgħajfa, korruzzjoni, ħaddiema tas-saħħa inadegwati, ġestjoni dgħajfa u tmexxija ħażina fis-settur tas-saħħa pubblika huma fil-biċċa l-kbira tagħhom. Skond l-isti"&amp;"mi tal-2009, il-prevalenza tal-HIV hija madwar 6.3% tal-popolazzjoni adulta. Madankollu, ir-rapport tal-UNAIDS tal-2011 jissuġġerixxi li l-epidemija tal-HIV tista 'titjieb fil-Kenja, billi l-prevalenza tal-HIV qed tonqos fost iż-żgħażagħ (bejn il-15 u l-2"&amp;"4 sena) u n-nisa tqal. Il-Kenja kellha stima ta ’15 -il miljun każ ta ’malarja fl-2006.")</f>
        <v>Il-mard tal-faqar jikkorrelata direttament mal-prestazzjoni ekonomika tal-pajjiż u d-distribuzzjoni tal-ġid: nofs il-Kenjani jgħixu taħt il-livell tal-faqar. Mard li jista 'jiġi evitat bħall-malarja, l-HIV / AIDS, il-pnewmonja, id-dijarea u l-malnutrizzjoni huma l-akbar piż, qattiel tat-tfal maġġuri, u responsabbli għal ħafna morbidità; Politiki dgħajfa, korruzzjoni, ħaddiema tas-saħħa inadegwati, ġestjoni dgħajfa u tmexxija ħażina fis-settur tas-saħħa pubblika huma fil-biċċa l-kbira tagħhom. Skond l-istimi tal-2009, il-prevalenza tal-HIV hija madwar 6.3% tal-popolazzjoni adulta. Madankollu, ir-rapport tal-UNAIDS tal-2011 jissuġġerixxi li l-epidemija tal-HIV tista 'titjieb fil-Kenja, billi l-prevalenza tal-HIV qed tonqos fost iż-żgħażagħ (bejn il-15 u l-24 sena) u n-nisa tqal. Il-Kenja kellha stima ta ’15 -il miljun każ ta ’malarja fl-2006.</v>
      </c>
    </row>
    <row r="14825" ht="15.75" customHeight="1">
      <c r="A14825" s="2" t="s">
        <v>14825</v>
      </c>
      <c r="B14825" s="2" t="str">
        <f>IFERROR(__xludf.DUMMYFUNCTION("GOOGLETRANSLATE(A14825, ""en"", ""mt"")"),"il-belt l-iktar storbjuża fir-Renju Unit kollha")</f>
        <v>il-belt l-iktar storbjuża fir-Renju Unit kollha</v>
      </c>
    </row>
    <row r="14826" ht="15.75" customHeight="1">
      <c r="A14826" s="2" t="s">
        <v>14826</v>
      </c>
      <c r="B14826" s="2" t="str">
        <f>IFERROR(__xludf.DUMMYFUNCTION("GOOGLETRANSLATE(A14826, ""en"", ""mt"")"),"Bajjiet kostali u r-riservi tal-logħob,")</f>
        <v>Bajjiet kostali u r-riservi tal-logħob,</v>
      </c>
    </row>
    <row r="14827" ht="15.75" customHeight="1">
      <c r="A14827" s="2" t="s">
        <v>14827</v>
      </c>
      <c r="B14827" s="2" t="str">
        <f>IFERROR(__xludf.DUMMYFUNCTION("GOOGLETRANSLATE(A14827, ""en"", ""mt"")"),"Għal phylum bi speċi relattivament ftit, ctenophores għandhom firxa wiesgħa ta 'pjanijiet tal-ġisem. L-ispeċi kostali jeħtieġ li jkunu iebsa biżżejjed biex jifilħu l-mewġ u jdawru partiċelli tas-sediment, filwaqt li xi speċi oċeaniċi huma daqshekk fraġli "&amp;"li huwa diffiċli ħafna li jaqbduhom intatti għall-istudju. Barra minn hekk l-ispeċi oċeaniċi ma jippreservawx sew, u huma magħrufa prinċipalment minn ritratti u minn noti ta 'osservaturi. Għalhekk il-biċċa l-kbira tal-attenzjoni sa ftit ilu kkonċentrat fu"&amp;"q tliet ġeneri kostali - Pleurobrachia, Beroe u Mnemiopsis. Mill-inqas żewġ kotba jibbażaw id-deskrizzjonijiet tagħhom ta 'ctenophores fuq il-pleurobrachia cydippid.")</f>
        <v>Għal phylum bi speċi relattivament ftit, ctenophores għandhom firxa wiesgħa ta 'pjanijiet tal-ġisem. L-ispeċi kostali jeħtieġ li jkunu iebsa biżżejjed biex jifilħu l-mewġ u jdawru partiċelli tas-sediment, filwaqt li xi speċi oċeaniċi huma daqshekk fraġli li huwa diffiċli ħafna li jaqbduhom intatti għall-istudju. Barra minn hekk l-ispeċi oċeaniċi ma jippreservawx sew, u huma magħrufa prinċipalment minn ritratti u minn noti ta 'osservaturi. Għalhekk il-biċċa l-kbira tal-attenzjoni sa ftit ilu kkonċentrat fuq tliet ġeneri kostali - Pleurobrachia, Beroe u Mnemiopsis. Mill-inqas żewġ kotba jibbażaw id-deskrizzjonijiet tagħhom ta 'ctenophores fuq il-pleurobrachia cydippid.</v>
      </c>
    </row>
    <row r="14828" ht="15.75" customHeight="1">
      <c r="A14828" s="2" t="s">
        <v>14828</v>
      </c>
      <c r="B14828" s="2" t="str">
        <f>IFERROR(__xludf.DUMMYFUNCTION("GOOGLETRANSLATE(A14828, ""en"", ""mt"")"),"Il-kriżi tal-enerġija wasslet għal interess akbar fl-enerġija rinnovabbli, l-enerġija nukleari u l-fjuwils fossili domestiċi. Hemm kritika li l-politiki tal-enerġija Amerikani mill-kriżi ġew iddominati mill-ħsieb tal-mentalità tal-kriżi, li jippromwovu so"&amp;"luzzjonijiet ta 'malajr għaljin u soluzzjonijiet ta' sparatura waħda li jinjoraw ir-realtajiet tas-suq u tat-teknoloġija. Minflok ma jipprovdu regoli stabbli li jappoġġjaw riċerka bażika filwaqt li jħallu ħafna ambitu għall-intraprenditorija u l-innovazzj"&amp;"oni, il-kungressi u l-presidenti appoġġjaw ripetutament politiki li jwiegħdu soluzzjonijiet li huma politikament spedjenti, iżda li l-prospetti tagħhom huma dubjużi.")</f>
        <v>Il-kriżi tal-enerġija wasslet għal interess akbar fl-enerġija rinnovabbli, l-enerġija nukleari u l-fjuwils fossili domestiċi. Hemm kritika li l-politiki tal-enerġija Amerikani mill-kriżi ġew iddominati mill-ħsieb tal-mentalità tal-kriżi, li jippromwovu soluzzjonijiet ta 'malajr għaljin u soluzzjonijiet ta' sparatura waħda li jinjoraw ir-realtajiet tas-suq u tat-teknoloġija. Minflok ma jipprovdu regoli stabbli li jappoġġjaw riċerka bażika filwaqt li jħallu ħafna ambitu għall-intraprenditorija u l-innovazzjoni, il-kungressi u l-presidenti appoġġjaw ripetutament politiki li jwiegħdu soluzzjonijiet li huma politikament spedjenti, iżda li l-prospetti tagħhom huma dubjużi.</v>
      </c>
    </row>
    <row r="14829" ht="15.75" customHeight="1">
      <c r="A14829" s="2" t="s">
        <v>14829</v>
      </c>
      <c r="B14829" s="2" t="str">
        <f>IFERROR(__xludf.DUMMYFUNCTION("GOOGLETRANSLATE(A14829, ""en"", ""mt"")"),"X'inhi importanza kbira tan-Nofsinhar ta 'California fir-rigward ta' California u l-Istati Uniti?")</f>
        <v>X'inhi importanza kbira tan-Nofsinhar ta 'California fir-rigward ta' California u l-Istati Uniti?</v>
      </c>
    </row>
    <row r="14830" ht="15.75" customHeight="1">
      <c r="A14830" s="2" t="s">
        <v>14830</v>
      </c>
      <c r="B14830" s="2" t="str">
        <f>IFERROR(__xludf.DUMMYFUNCTION("GOOGLETRANSLATE(A14830, ""en"", ""mt"")"),"Il-logo oriġinali")</f>
        <v>Il-logo oriġinali</v>
      </c>
    </row>
    <row r="14831" ht="15.75" customHeight="1">
      <c r="A14831" s="2" t="s">
        <v>14831</v>
      </c>
      <c r="B14831" s="2" t="str">
        <f>IFERROR(__xludf.DUMMYFUNCTION("GOOGLETRANSLATE(A14831, ""en"", ""mt"")"),"Wara l-Gwerra Franco-Ġermaniża,")</f>
        <v>Wara l-Gwerra Franco-Ġermaniża,</v>
      </c>
    </row>
    <row r="14832" ht="15.75" customHeight="1">
      <c r="A14832" s="2" t="s">
        <v>14832</v>
      </c>
      <c r="B14832" s="2" t="str">
        <f>IFERROR(__xludf.DUMMYFUNCTION("GOOGLETRANSLATE(A14832, ""en"", ""mt"")"),"F’xi iljieli kif ħadmet Tesla tard sa?")</f>
        <v>F’xi iljieli kif ħadmet Tesla tard sa?</v>
      </c>
    </row>
    <row r="14833" ht="15.75" customHeight="1">
      <c r="A14833" s="2" t="s">
        <v>14833</v>
      </c>
      <c r="B14833" s="2" t="str">
        <f>IFERROR(__xludf.DUMMYFUNCTION("GOOGLETRANSLATE(A14833, ""en"", ""mt"")"),"Nies li jagħtu servizzi ""għar-remunerazzjoni"", speċjalment attività kummerċjali jew professjonali")</f>
        <v>Nies li jagħtu servizzi "għar-remunerazzjoni", speċjalment attività kummerċjali jew professjonali</v>
      </c>
    </row>
    <row r="14834" ht="15.75" customHeight="1">
      <c r="A14834" s="2" t="s">
        <v>14834</v>
      </c>
      <c r="B14834" s="2" t="str">
        <f>IFERROR(__xludf.DUMMYFUNCTION("GOOGLETRANSLATE(A14834, ""en"", ""mt"")"),"Problema ta 'fatturizzazzjoni sħiħa")</f>
        <v>Problema ta 'fatturizzazzjoni sħiħa</v>
      </c>
    </row>
    <row r="14835" ht="15.75" customHeight="1">
      <c r="A14835" s="2" t="s">
        <v>14835</v>
      </c>
      <c r="B14835" s="2" t="str">
        <f>IFERROR(__xludf.DUMMYFUNCTION("GOOGLETRANSLATE(A14835, ""en"", ""mt"")"),"għargħar kostanti u sedimentazzjoni qawwija")</f>
        <v>għargħar kostanti u sedimentazzjoni qawwija</v>
      </c>
    </row>
    <row r="14836" ht="15.75" customHeight="1">
      <c r="A14836" s="2" t="s">
        <v>14836</v>
      </c>
      <c r="B14836" s="2" t="str">
        <f>IFERROR(__xludf.DUMMYFUNCTION("GOOGLETRANSLATE(A14836, ""en"", ""mt"")"),"turbini tal-gass")</f>
        <v>turbini tal-gass</v>
      </c>
    </row>
    <row r="14837" ht="15.75" customHeight="1">
      <c r="A14837" s="2" t="s">
        <v>14837</v>
      </c>
      <c r="B14837" s="2" t="str">
        <f>IFERROR(__xludf.DUMMYFUNCTION("GOOGLETRANSLATE(A14837, ""en"", ""mt"")"),"Dgħajjes tal-fwar")</f>
        <v>Dgħajjes tal-fwar</v>
      </c>
    </row>
    <row r="14838" ht="15.75" customHeight="1">
      <c r="A14838" s="2" t="s">
        <v>14838</v>
      </c>
      <c r="B14838" s="2" t="str">
        <f>IFERROR(__xludf.DUMMYFUNCTION("GOOGLETRANSLATE(A14838, ""en"", ""mt"")"),"fetaħ il-bibien")</f>
        <v>fetaħ il-bibien</v>
      </c>
    </row>
    <row r="14839" ht="15.75" customHeight="1">
      <c r="A14839" s="2" t="s">
        <v>14839</v>
      </c>
      <c r="B14839" s="2" t="str">
        <f>IFERROR(__xludf.DUMMYFUNCTION("GOOGLETRANSLATE(A14839, ""en"", ""mt"")"),"10% u 18%")</f>
        <v>10% u 18%</v>
      </c>
    </row>
    <row r="14840" ht="15.75" customHeight="1">
      <c r="A14840" s="2" t="s">
        <v>14840</v>
      </c>
      <c r="B14840" s="2" t="str">
        <f>IFERROR(__xludf.DUMMYFUNCTION("GOOGLETRANSLATE(A14840, ""en"", ""mt"")"),"Fejn sabu x-xjentisti tagħhom il-kampjun Y. pestis?")</f>
        <v>Fejn sabu x-xjentisti tagħhom il-kampjun Y. pestis?</v>
      </c>
    </row>
    <row r="14841" ht="15.75" customHeight="1">
      <c r="A14841" s="2" t="s">
        <v>14841</v>
      </c>
      <c r="B14841" s="2" t="str">
        <f>IFERROR(__xludf.DUMMYFUNCTION("GOOGLETRANSLATE(A14841, ""en"", ""mt"")"),"gradwali")</f>
        <v>gradwali</v>
      </c>
    </row>
    <row r="14842" ht="15.75" customHeight="1">
      <c r="A14842" s="2" t="s">
        <v>14842</v>
      </c>
      <c r="B14842" s="2" t="str">
        <f>IFERROR(__xludf.DUMMYFUNCTION("GOOGLETRANSLATE(A14842, ""en"", ""mt"")"),"Christopher Hay u Douglas Coyne")</f>
        <v>Christopher Hay u Douglas Coyne</v>
      </c>
    </row>
    <row r="14843" ht="15.75" customHeight="1">
      <c r="A14843" s="2" t="s">
        <v>14843</v>
      </c>
      <c r="B14843" s="2" t="str">
        <f>IFERROR(__xludf.DUMMYFUNCTION("GOOGLETRANSLATE(A14843, ""en"", ""mt"")"),"X'kien ir-rwol ta 'Houghton?")</f>
        <v>X'kien ir-rwol ta 'Houghton?</v>
      </c>
    </row>
    <row r="14844" ht="15.75" customHeight="1">
      <c r="A14844" s="2" t="s">
        <v>14844</v>
      </c>
      <c r="B14844" s="2" t="str">
        <f>IFERROR(__xludf.DUMMYFUNCTION("GOOGLETRANSLATE(A14844, ""en"", ""mt"")"),"Is-sid jipproduċi lista ta 'rekwiżiti għal proġett, li jagħti veduta ġenerali tal-għanijiet tal-proġett. Bosta kuntratturi ta 'D&amp;B jippreżentaw ideat differenti dwar kif jistgħu jintlaħqu dawn l-għanijiet. Is-sid jagħżel l-ideat li jħobb l-aħjar u jikri l"&amp;"-kuntrattur xieraq. Ħafna drabi, mhuwiex biss kuntrattur wieħed, iżda konsorzju ta 'diversi kuntratturi li jaħdmu flimkien. Ladarba dawn ikunu ġew mikrija, jibdew jibnu l-ewwel fażi tal-proġett. Hekk kif jibnu l-fażi 1, huma jiddisinjaw il-fażi 2. Dan huw"&amp;"a f'kuntrast ma 'kuntratt ta' bini-bid, fejn il-proġett huwa ddisinjat kompletament mis-sid, u mbagħad jitlesta, imbagħad tlesta.")</f>
        <v>Is-sid jipproduċi lista ta 'rekwiżiti għal proġett, li jagħti veduta ġenerali tal-għanijiet tal-proġett. Bosta kuntratturi ta 'D&amp;B jippreżentaw ideat differenti dwar kif jistgħu jintlaħqu dawn l-għanijiet. Is-sid jagħżel l-ideat li jħobb l-aħjar u jikri l-kuntrattur xieraq. Ħafna drabi, mhuwiex biss kuntrattur wieħed, iżda konsorzju ta 'diversi kuntratturi li jaħdmu flimkien. Ladarba dawn ikunu ġew mikrija, jibdew jibnu l-ewwel fażi tal-proġett. Hekk kif jibnu l-fażi 1, huma jiddisinjaw il-fażi 2. Dan huwa f'kuntrast ma 'kuntratt ta' bini-bid, fejn il-proġett huwa ddisinjat kompletament mis-sid, u mbagħad jitlesta, imbagħad tlesta.</v>
      </c>
    </row>
    <row r="14845" ht="15.75" customHeight="1">
      <c r="A14845" s="2" t="s">
        <v>14845</v>
      </c>
      <c r="B14845" s="2" t="str">
        <f>IFERROR(__xludf.DUMMYFUNCTION("GOOGLETRANSLATE(A14845, ""en"", ""mt"")"),"Kemm dam biex it-teżijiet jinfirxu fl-Ewropa?")</f>
        <v>Kemm dam biex it-teżijiet jinfirxu fl-Ewropa?</v>
      </c>
    </row>
    <row r="14846" ht="15.75" customHeight="1">
      <c r="A14846" s="2" t="s">
        <v>14846</v>
      </c>
      <c r="B14846" s="2" t="str">
        <f>IFERROR(__xludf.DUMMYFUNCTION("GOOGLETRANSLATE(A14846, ""en"", ""mt"")"),"Kull ħames snin,")</f>
        <v>Kull ħames snin,</v>
      </c>
    </row>
    <row r="14847" ht="15.75" customHeight="1">
      <c r="A14847" s="2" t="s">
        <v>14847</v>
      </c>
      <c r="B14847" s="2" t="str">
        <f>IFERROR(__xludf.DUMMYFUNCTION("GOOGLETRANSLATE(A14847, ""en"", ""mt"")"),"Jekk elezzjoni straordinarja tinżamm fi żmien inqas minn sitt xhur qabel id-data ta 'elezzjoni ordinarja, x'tagħmel għall-elezzjoni ordinarja?")</f>
        <v>Jekk elezzjoni straordinarja tinżamm fi żmien inqas minn sitt xhur qabel id-data ta 'elezzjoni ordinarja, x'tagħmel għall-elezzjoni ordinarja?</v>
      </c>
    </row>
    <row r="14848" ht="15.75" customHeight="1">
      <c r="A14848" s="2" t="s">
        <v>14848</v>
      </c>
      <c r="B14848" s="2" t="str">
        <f>IFERROR(__xludf.DUMMYFUNCTION("GOOGLETRANSLATE(A14848, ""en"", ""mt"")"),"X'perjodu l-pjanċi reġġgħu lura d-direzzjonijiet biex jikkompressaw l-art tat-Tethys?")</f>
        <v>X'perjodu l-pjanċi reġġgħu lura d-direzzjonijiet biex jikkompressaw l-art tat-Tethys?</v>
      </c>
    </row>
    <row r="14849" ht="15.75" customHeight="1">
      <c r="A14849" s="2" t="s">
        <v>14849</v>
      </c>
      <c r="B14849" s="2" t="str">
        <f>IFERROR(__xludf.DUMMYFUNCTION("GOOGLETRANSLATE(A14849, ""en"", ""mt"")"),"hemicycle")</f>
        <v>hemicycle</v>
      </c>
    </row>
    <row r="14850" ht="15.75" customHeight="1">
      <c r="A14850" s="2" t="s">
        <v>14850</v>
      </c>
      <c r="B14850" s="2" t="str">
        <f>IFERROR(__xludf.DUMMYFUNCTION("GOOGLETRANSLATE(A14850, ""en"", ""mt"")"),"miżura ta 'kumplessità")</f>
        <v>miżura ta 'kumplessità</v>
      </c>
    </row>
    <row r="14851" ht="15.75" customHeight="1">
      <c r="A14851" s="2" t="s">
        <v>14851</v>
      </c>
      <c r="B14851" s="2" t="str">
        <f>IFERROR(__xludf.DUMMYFUNCTION("GOOGLETRANSLATE(A14851, ""en"", ""mt"")"),"Liema parti taċ-Ċina kellha nies ikklassifikati aktar baxxi fis-sistema tal-klassi?")</f>
        <v>Liema parti taċ-Ċina kellha nies ikklassifikati aktar baxxi fis-sistema tal-klassi?</v>
      </c>
    </row>
    <row r="14852" ht="15.75" customHeight="1">
      <c r="A14852" s="2" t="s">
        <v>14852</v>
      </c>
      <c r="B14852" s="2" t="str">
        <f>IFERROR(__xludf.DUMMYFUNCTION("GOOGLETRANSLATE(A14852, ""en"", ""mt"")"),"X'kienet il-fokus tal-aħħar priedka ta 'Luther?")</f>
        <v>X'kienet il-fokus tal-aħħar priedka ta 'Luther?</v>
      </c>
    </row>
    <row r="14853" ht="15.75" customHeight="1">
      <c r="A14853" s="2" t="s">
        <v>14853</v>
      </c>
      <c r="B14853" s="2" t="str">
        <f>IFERROR(__xludf.DUMMYFUNCTION("GOOGLETRANSLATE(A14853, ""en"", ""mt"")"),"mgħawweġ")</f>
        <v>mgħawweġ</v>
      </c>
    </row>
    <row r="14854" ht="15.75" customHeight="1">
      <c r="A14854" s="2" t="s">
        <v>14854</v>
      </c>
      <c r="B14854" s="2" t="str">
        <f>IFERROR(__xludf.DUMMYFUNCTION("GOOGLETRANSLATE(A14854, ""en"", ""mt"")"),"Ministru Federali tal-Intern")</f>
        <v>Ministru Federali tal-Intern</v>
      </c>
    </row>
    <row r="14855" ht="15.75" customHeight="1">
      <c r="A14855" s="2" t="s">
        <v>14855</v>
      </c>
      <c r="B14855" s="2" t="str">
        <f>IFERROR(__xludf.DUMMYFUNCTION("GOOGLETRANSLATE(A14855, ""en"", ""mt"")"),"Drittijiet ta 'ċittadinanza sħiħa")</f>
        <v>Drittijiet ta 'ċittadinanza sħiħa</v>
      </c>
    </row>
    <row r="14856" ht="15.75" customHeight="1">
      <c r="A14856" s="2" t="s">
        <v>14856</v>
      </c>
      <c r="B14856" s="2" t="str">
        <f>IFERROR(__xludf.DUMMYFUNCTION("GOOGLETRANSLATE(A14856, ""en"", ""mt"")"),"sezzjoni kanalizzata")</f>
        <v>sezzjoni kanalizzata</v>
      </c>
    </row>
    <row r="14857" ht="15.75" customHeight="1">
      <c r="A14857" s="2" t="s">
        <v>14857</v>
      </c>
      <c r="B14857" s="2" t="str">
        <f>IFERROR(__xludf.DUMMYFUNCTION("GOOGLETRANSLATE(A14857, ""en"", ""mt"")"),"Seklu 15")</f>
        <v>Seklu 15</v>
      </c>
    </row>
    <row r="14858" ht="15.75" customHeight="1">
      <c r="A14858" s="2" t="s">
        <v>14858</v>
      </c>
      <c r="B14858" s="2" t="str">
        <f>IFERROR(__xludf.DUMMYFUNCTION("GOOGLETRANSLATE(A14858, ""en"", ""mt"")"),"fil-kondensatur")</f>
        <v>fil-kondensatur</v>
      </c>
    </row>
    <row r="14859" ht="15.75" customHeight="1">
      <c r="A14859" s="2" t="s">
        <v>14859</v>
      </c>
      <c r="B14859" s="2" t="str">
        <f>IFERROR(__xludf.DUMMYFUNCTION("GOOGLETRANSLATE(A14859, ""en"", ""mt"")"),"kompetizzjoni bejn sistemi ta 'dawl rivali")</f>
        <v>kompetizzjoni bejn sistemi ta 'dawl rivali</v>
      </c>
    </row>
    <row r="14860" ht="15.75" customHeight="1">
      <c r="A14860" s="2" t="s">
        <v>14860</v>
      </c>
      <c r="B14860" s="2" t="str">
        <f>IFERROR(__xludf.DUMMYFUNCTION("GOOGLETRANSLATE(A14860, ""en"", ""mt"")"),"mard tal-qalb, uġigħ kroniku, u ażma")</f>
        <v>mard tal-qalb, uġigħ kroniku, u ażma</v>
      </c>
    </row>
    <row r="14861" ht="15.75" customHeight="1">
      <c r="A14861" s="2" t="s">
        <v>14861</v>
      </c>
      <c r="B14861" s="2" t="str">
        <f>IFERROR(__xludf.DUMMYFUNCTION("GOOGLETRANSLATE(A14861, ""en"", ""mt"")"),"Awtoritajiet Temporali")</f>
        <v>Awtoritajiet Temporali</v>
      </c>
    </row>
    <row r="14862" ht="15.75" customHeight="1">
      <c r="A14862" s="2" t="s">
        <v>14862</v>
      </c>
      <c r="B14862" s="2" t="str">
        <f>IFERROR(__xludf.DUMMYFUNCTION("GOOGLETRANSLATE(A14862, ""en"", ""mt"")"),"Liema parir Thoreau ta lill-kollettur tat-taxxa meta ma setax iwettaq id-dmir tiegħu?")</f>
        <v>Liema parir Thoreau ta lill-kollettur tat-taxxa meta ma setax iwettaq id-dmir tiegħu?</v>
      </c>
    </row>
    <row r="14863" ht="15.75" customHeight="1">
      <c r="A14863" s="2" t="s">
        <v>14863</v>
      </c>
      <c r="B14863" s="2" t="str">
        <f>IFERROR(__xludf.DUMMYFUNCTION("GOOGLETRANSLATE(A14863, ""en"", ""mt"")"),"Opinjonijiet Luterani,")</f>
        <v>Opinjonijiet Luterani,</v>
      </c>
    </row>
    <row r="14864" ht="15.75" customHeight="1">
      <c r="A14864" s="2" t="s">
        <v>14864</v>
      </c>
      <c r="B14864" s="2" t="str">
        <f>IFERROR(__xludf.DUMMYFUNCTION("GOOGLETRANSLATE(A14864, ""en"", ""mt"")"),"X'jista 'jagħmel il-Parlament li jikkawża li l-ugwaljanza u d-demokrazija jkunu defiċjenti?")</f>
        <v>X'jista 'jagħmel il-Parlament li jikkawża li l-ugwaljanza u d-demokrazija jkunu defiċjenti?</v>
      </c>
    </row>
    <row r="14865" ht="15.75" customHeight="1">
      <c r="A14865" s="2" t="s">
        <v>14865</v>
      </c>
      <c r="B14865" s="2" t="str">
        <f>IFERROR(__xludf.DUMMYFUNCTION("GOOGLETRANSLATE(A14865, ""en"", ""mt"")"),"Il-magna oxxillat fil-frekwenza tar-reżonanza tal-bini tiegħu stess")</f>
        <v>Il-magna oxxillat fil-frekwenza tar-reżonanza tal-bini tiegħu stess</v>
      </c>
    </row>
    <row r="14866" ht="15.75" customHeight="1">
      <c r="A14866" s="2" t="s">
        <v>14866</v>
      </c>
      <c r="B14866" s="2" t="str">
        <f>IFERROR(__xludf.DUMMYFUNCTION("GOOGLETRANSLATE(A14866, ""en"", ""mt"")"),"individwalment, xi kultant jirriżultaw fi mogħdijiet differenti u kunsinna barra mill-ordni")</f>
        <v>individwalment, xi kultant jirriżultaw fi mogħdijiet differenti u kunsinna barra mill-ordni</v>
      </c>
    </row>
    <row r="14867" ht="15.75" customHeight="1">
      <c r="A14867" s="2" t="s">
        <v>14867</v>
      </c>
      <c r="B14867" s="2" t="str">
        <f>IFERROR(__xludf.DUMMYFUNCTION("GOOGLETRANSLATE(A14867, ""en"", ""mt"")"),"18–49 demografija")</f>
        <v>18–49 demografija</v>
      </c>
    </row>
    <row r="14868" ht="15.75" customHeight="1">
      <c r="A14868" s="2" t="s">
        <v>14868</v>
      </c>
      <c r="B14868" s="2" t="str">
        <f>IFERROR(__xludf.DUMMYFUNCTION("GOOGLETRANSLATE(A14868, ""en"", ""mt"")"),"Netwerks Nazzjonali")</f>
        <v>Netwerks Nazzjonali</v>
      </c>
    </row>
    <row r="14869" ht="15.75" customHeight="1">
      <c r="A14869" s="2" t="s">
        <v>14869</v>
      </c>
      <c r="B14869" s="2" t="str">
        <f>IFERROR(__xludf.DUMMYFUNCTION("GOOGLETRANSLATE(A14869, ""en"", ""mt"")"),"X'inhuma l-membri parlamentari li ma jistgħux jivvutaw?")</f>
        <v>X'inhuma l-membri parlamentari li ma jistgħux jivvutaw?</v>
      </c>
    </row>
    <row r="14870" ht="15.75" customHeight="1">
      <c r="A14870" s="2" t="s">
        <v>14870</v>
      </c>
      <c r="B14870" s="2" t="str">
        <f>IFERROR(__xludf.DUMMYFUNCTION("GOOGLETRANSLATE(A14870, ""en"", ""mt"")"),"X'jikkawża razza fl-istrutturi?")</f>
        <v>X'jikkawża razza fl-istrutturi?</v>
      </c>
    </row>
    <row r="14871" ht="15.75" customHeight="1">
      <c r="A14871" s="2" t="s">
        <v>14871</v>
      </c>
      <c r="B14871" s="2" t="str">
        <f>IFERROR(__xludf.DUMMYFUNCTION("GOOGLETRANSLATE(A14871, ""en"", ""mt"")"),"Kemm hemm baqar tal-ħalib fl-Awstralja?")</f>
        <v>Kemm hemm baqar tal-ħalib fl-Awstralja?</v>
      </c>
    </row>
    <row r="14872" ht="15.75" customHeight="1">
      <c r="A14872" s="2" t="s">
        <v>14872</v>
      </c>
      <c r="B14872" s="2" t="str">
        <f>IFERROR(__xludf.DUMMYFUNCTION("GOOGLETRANSLATE(A14872, ""en"", ""mt"")"),"Plastoglobuli (plastoglobulus singulari, xi kultant plastoglobula (i)), huma bżieżaq sferiċi ta 'lipidi u proteini madwar 45-60 nanometri madwar. Huma mdawra minn monostrata tal-lipidi. Il-plastoglobuli jinstabu fil-kloroplasti kollha, iżda jsiru aktar ko"&amp;"muni meta l-kloroplast ikun taħt stress ossidattiv, jew meta tixjieħ u tranżizzjonijiet f'ġerontoplast. Plastoglobuli juru wkoll varjazzjoni ta 'daqs akbar taħt dawn il-kundizzjonijiet. Huma wkoll komuni fl-etioplasti, iżda jonqsu fin-numru hekk kif l-eti"&amp;"oplasti jimmaturaw fil-kloroplasti.")</f>
        <v>Plastoglobuli (plastoglobulus singulari, xi kultant plastoglobula (i)), huma bżieżaq sferiċi ta 'lipidi u proteini madwar 45-60 nanometri madwar. Huma mdawra minn monostrata tal-lipidi. Il-plastoglobuli jinstabu fil-kloroplasti kollha, iżda jsiru aktar komuni meta l-kloroplast ikun taħt stress ossidattiv, jew meta tixjieħ u tranżizzjonijiet f'ġerontoplast. Plastoglobuli juru wkoll varjazzjoni ta 'daqs akbar taħt dawn il-kundizzjonijiet. Huma wkoll komuni fl-etioplasti, iżda jonqsu fin-numru hekk kif l-etioplasti jimmaturaw fil-kloroplasti.</v>
      </c>
    </row>
    <row r="14873" ht="15.75" customHeight="1">
      <c r="A14873" s="2" t="s">
        <v>14873</v>
      </c>
      <c r="B14873" s="2" t="str">
        <f>IFERROR(__xludf.DUMMYFUNCTION("GOOGLETRANSLATE(A14873, ""en"", ""mt"")"),"Il-forza tat-tensjoni fuq tagħbija tista 'tiġi mmultiplikata")</f>
        <v>Il-forza tat-tensjoni fuq tagħbija tista 'tiġi mmultiplikata</v>
      </c>
    </row>
    <row r="14874" ht="15.75" customHeight="1">
      <c r="A14874" s="2" t="s">
        <v>14874</v>
      </c>
      <c r="B14874" s="2" t="str">
        <f>IFERROR(__xludf.DUMMYFUNCTION("GOOGLETRANSLATE(A14874, ""en"", ""mt"")"),"lejl")</f>
        <v>lejl</v>
      </c>
    </row>
    <row r="14875" ht="15.75" customHeight="1">
      <c r="A14875" s="2" t="s">
        <v>14875</v>
      </c>
      <c r="B14875" s="2" t="str">
        <f>IFERROR(__xludf.DUMMYFUNCTION("GOOGLETRANSLATE(A14875, ""en"", ""mt"")"),"Doctor Who huwa programm televiżiv tax-xjenza-fittizja Brittaniku prodott mill-BBC mill-1963. Il-programm juri l-avventuri tat-Tabib, A Time Lord - Alien umanojdi li jivvjaġġaw fl-ispazju u l-ħin. Huwa jesplora l-univers fit-TARDIS tiegħu, vapur spazjali "&amp;"li jivvjaġġa fil-ħin sensjenti. Il-parti ta ’barra tagħha tidher bħala kaxxa tal-pulizija B-Brittanika blu, li kienet vista komuni fil-Gran Brittanja fl-1963 meta s-serje xxandret għall-ewwel darba. Akkumpanjat minn kumpanji, it-tabib jiġġieled varjetà ta"&amp;" 'foes, waqt li jaħdem biex isalva ċiviltajiet u jgħin lin-nies fil-bżonn.")</f>
        <v>Doctor Who huwa programm televiżiv tax-xjenza-fittizja Brittaniku prodott mill-BBC mill-1963. Il-programm juri l-avventuri tat-Tabib, A Time Lord - Alien umanojdi li jivvjaġġaw fl-ispazju u l-ħin. Huwa jesplora l-univers fit-TARDIS tiegħu, vapur spazjali li jivvjaġġa fil-ħin sensjenti. Il-parti ta ’barra tagħha tidher bħala kaxxa tal-pulizija B-Brittanika blu, li kienet vista komuni fil-Gran Brittanja fl-1963 meta s-serje xxandret għall-ewwel darba. Akkumpanjat minn kumpanji, it-tabib jiġġieled varjetà ta 'foes, waqt li jaħdem biex isalva ċiviltajiet u jgħin lin-nies fil-bżonn.</v>
      </c>
    </row>
    <row r="14876" ht="15.75" customHeight="1">
      <c r="A14876" s="2" t="s">
        <v>14876</v>
      </c>
      <c r="B14876" s="2" t="str">
        <f>IFERROR(__xludf.DUMMYFUNCTION("GOOGLETRANSLATE(A14876, ""en"", ""mt"")"),"Ekwipaġġi li jbaħħru lejn stazzjon spazjali, titjiriet ċirkonar, u eventwali inżul Lunar bl-ekwipaġġ")</f>
        <v>Ekwipaġġi li jbaħħru lejn stazzjon spazjali, titjiriet ċirkonar, u eventwali inżul Lunar bl-ekwipaġġ</v>
      </c>
    </row>
    <row r="14877" ht="15.75" customHeight="1">
      <c r="A14877" s="2" t="s">
        <v>14877</v>
      </c>
      <c r="B14877" s="2" t="str">
        <f>IFERROR(__xludf.DUMMYFUNCTION("GOOGLETRANSLATE(A14877, ""en"", ""mt"")"),"Gass tal-ossiġnu (O
2) Jista 'jkun tossiku bi pressjonijiet parzjali elevati, li jwassal għal konvulżjonijiet u problemi oħra ta' saħħa. [J] It-tossiċità tal-ossiġnu ġeneralment tibda sseħħ fi pressjonijiet parzjali aktar minn 50 kilopascals (kPa), daqs m"&amp;"adwar 50% kompożizzjoni ta 'ossiġenu bi pressjoni standard fi pressjoni standard jew 2.5 darbiet il-livell normali tal-baħar o
2 pressjoni parzjali ta 'madwar 21 kPa. Din mhix problema ħlief għal pazjenti fuq ventilaturi mekkaniċi, peress li l-gass fornut"&amp;" permezz ta 'maskri ta' ossiġnu f'applikazzjonijiet mediċi huwa tipikament magħmul minn 30% –50% biss o
2 bil-volum (madwar 30 kPa bi pressjoni standard). (Għalkemm din iċ-ċifra hija wkoll soġġetta għal varjazzjoni wiesgħa, skont it-tip ta 'maskra).")</f>
        <v>Gass tal-ossiġnu (O
2) Jista 'jkun tossiku bi pressjonijiet parzjali elevati, li jwassal għal konvulżjonijiet u problemi oħra ta' saħħa. [J] It-tossiċità tal-ossiġnu ġeneralment tibda sseħħ fi pressjonijiet parzjali aktar minn 50 kilopascals (kPa), daqs madwar 50% kompożizzjoni ta 'ossiġenu bi pressjoni standard fi pressjoni standard jew 2.5 darbiet il-livell normali tal-baħar o
2 pressjoni parzjali ta 'madwar 21 kPa. Din mhix problema ħlief għal pazjenti fuq ventilaturi mekkaniċi, peress li l-gass fornut permezz ta 'maskri ta' ossiġnu f'applikazzjonijiet mediċi huwa tipikament magħmul minn 30% –50% biss o
2 bil-volum (madwar 30 kPa bi pressjoni standard). (Għalkemm din iċ-ċifra hija wkoll soġġetta għal varjazzjoni wiesgħa, skont it-tip ta 'maskra).</v>
      </c>
    </row>
    <row r="14878" ht="15.75" customHeight="1">
      <c r="A14878" s="2" t="s">
        <v>14878</v>
      </c>
      <c r="B14878" s="2" t="str">
        <f>IFERROR(__xludf.DUMMYFUNCTION("GOOGLETRANSLATE(A14878, ""en"", ""mt"")"),"Id-distakk fil-produttività bejn professjonijiet imħallsa ħafna u professjonijiet bi ħlas aktar baxx")</f>
        <v>Id-distakk fil-produttività bejn professjonijiet imħallsa ħafna u professjonijiet bi ħlas aktar baxx</v>
      </c>
    </row>
    <row r="14879" ht="15.75" customHeight="1">
      <c r="A14879" s="2" t="s">
        <v>14879</v>
      </c>
      <c r="B14879" s="2" t="str">
        <f>IFERROR(__xludf.DUMMYFUNCTION("GOOGLETRANSLATE(A14879, ""en"", ""mt"")"),"Kif ir-Renu jestendi l-ilma lejn in-nofsinhar?")</f>
        <v>Kif ir-Renu jestendi l-ilma lejn in-nofsinhar?</v>
      </c>
    </row>
    <row r="14880" ht="15.75" customHeight="1">
      <c r="A14880" s="2" t="s">
        <v>14880</v>
      </c>
      <c r="B14880" s="2" t="str">
        <f>IFERROR(__xludf.DUMMYFUNCTION("GOOGLETRANSLATE(A14880, ""en"", ""mt"")"),"Jannar 1964, sakemm kiseb l-ewwel inżul ekwipaġġ f'Lulju 1969")</f>
        <v>Jannar 1964, sakemm kiseb l-ewwel inżul ekwipaġġ f'Lulju 1969</v>
      </c>
    </row>
    <row r="14881" ht="15.75" customHeight="1">
      <c r="A14881" s="2" t="s">
        <v>14881</v>
      </c>
      <c r="B14881" s="2" t="str">
        <f>IFERROR(__xludf.DUMMYFUNCTION("GOOGLETRANSLATE(A14881, ""en"", ""mt"")"),"FTSZ1 u FTSZ2 f'liema?")</f>
        <v>FTSZ1 u FTSZ2 f'liema?</v>
      </c>
    </row>
    <row r="14882" ht="15.75" customHeight="1">
      <c r="A14882" s="2" t="s">
        <v>14882</v>
      </c>
      <c r="B14882" s="2" t="str">
        <f>IFERROR(__xludf.DUMMYFUNCTION("GOOGLETRANSLATE(A14882, ""en"", ""mt"")"),"Disinn-Build, Sħubija u Ġestjoni tal-Kostruzzjoni")</f>
        <v>Disinn-Build, Sħubija u Ġestjoni tal-Kostruzzjoni</v>
      </c>
    </row>
    <row r="14883" ht="15.75" customHeight="1">
      <c r="A14883" s="2" t="s">
        <v>14883</v>
      </c>
      <c r="B14883" s="2" t="str">
        <f>IFERROR(__xludf.DUMMYFUNCTION("GOOGLETRANSLATE(A14883, ""en"", ""mt"")"),"Wieħed mill-aktar oġġetti rari fil-kollezzjoni huwa l-gandlier Gloucester għoli ta '58 cm, datat għal C1110, magħmul mill-bronż gilt; B'fergħat li jgħaqqdu ħafna elaborati u kkomplikati li fihom figuri u iskrizzjonijiet żgħar, hija tour de force tal-ikkas"&amp;"tjar tal-bronż. Huwa wkoll ta 'importanza li l-Becket Casket datat C1180 biex ikun fih fdalijiet ta' San Tumas Becket, magħmul mir-ram gilt, bi xeni enameled tal-martirju tal-qaddis. Il-qofol ieħor huwa l-1351 Reichenau Crozier. Il-Burghley Nef, melħ tal-"&amp;"melħ, Franċiż, datat 1527-28, juża qoxra ta 'Nautilus biex jifforma l-buq ta' bastiment, li jistrieħ fuq id-denb ta 'sirena ta' parcelgilt, li tistrieħ fuq plinth tal-gilt eżagonali fuq sitt claw-u -Ball saqajn. Iż-żewġ arbli għandhom main u l-aqwa sails,"&amp;" u l-ġlied tat-tops tal-battalja huma magħmula mid-deheb. Dawn l-oġġetti huma murija fil-galleriji l-ġodda medjevali u tar-Rinaxximent.")</f>
        <v>Wieħed mill-aktar oġġetti rari fil-kollezzjoni huwa l-gandlier Gloucester għoli ta '58 cm, datat għal C1110, magħmul mill-bronż gilt; B'fergħat li jgħaqqdu ħafna elaborati u kkomplikati li fihom figuri u iskrizzjonijiet żgħar, hija tour de force tal-ikkastjar tal-bronż. Huwa wkoll ta 'importanza li l-Becket Casket datat C1180 biex ikun fih fdalijiet ta' San Tumas Becket, magħmul mir-ram gilt, bi xeni enameled tal-martirju tal-qaddis. Il-qofol ieħor huwa l-1351 Reichenau Crozier. Il-Burghley Nef, melħ tal-melħ, Franċiż, datat 1527-28, juża qoxra ta 'Nautilus biex jifforma l-buq ta' bastiment, li jistrieħ fuq id-denb ta 'sirena ta' parcelgilt, li tistrieħ fuq plinth tal-gilt eżagonali fuq sitt claw-u -Ball saqajn. Iż-żewġ arbli għandhom main u l-aqwa sails, u l-ġlied tat-tops tal-battalja huma magħmula mid-deheb. Dawn l-oġġetti huma murija fil-galleriji l-ġodda medjevali u tar-Rinaxximent.</v>
      </c>
    </row>
    <row r="14884" ht="15.75" customHeight="1">
      <c r="A14884" s="2" t="s">
        <v>14884</v>
      </c>
      <c r="B14884" s="2" t="str">
        <f>IFERROR(__xludf.DUMMYFUNCTION("GOOGLETRANSLATE(A14884, ""en"", ""mt"")"),"X’tagħmel ħsara lill-kamera tat-TV bil-kulur li Apollo 12 kien ħa l-ispazju?")</f>
        <v>X’tagħmel ħsara lill-kamera tat-TV bil-kulur li Apollo 12 kien ħa l-ispazju?</v>
      </c>
    </row>
    <row r="14885" ht="15.75" customHeight="1">
      <c r="A14885" s="2" t="s">
        <v>14885</v>
      </c>
      <c r="B14885" s="2" t="str">
        <f>IFERROR(__xludf.DUMMYFUNCTION("GOOGLETRANSLATE(A14885, ""en"", ""mt"")"),"Liema żewġ artisti ħarġu ma 'Coldplay waqt il-half-time?")</f>
        <v>Liema żewġ artisti ħarġu ma 'Coldplay waqt il-half-time?</v>
      </c>
    </row>
    <row r="14886" ht="15.75" customHeight="1">
      <c r="A14886" s="2" t="s">
        <v>14886</v>
      </c>
      <c r="B14886" s="2" t="str">
        <f>IFERROR(__xludf.DUMMYFUNCTION("GOOGLETRANSLATE(A14886, ""en"", ""mt"")"),"is-sala ewlenija")</f>
        <v>is-sala ewlenija</v>
      </c>
    </row>
    <row r="14887" ht="15.75" customHeight="1">
      <c r="A14887" s="2" t="s">
        <v>14887</v>
      </c>
      <c r="B14887" s="2" t="str">
        <f>IFERROR(__xludf.DUMMYFUNCTION("GOOGLETRANSLATE(A14887, ""en"", ""mt"")"),"Il-Kummissjoni Ewropea")</f>
        <v>Il-Kummissjoni Ewropea</v>
      </c>
    </row>
    <row r="14888" ht="15.75" customHeight="1">
      <c r="A14888" s="2" t="s">
        <v>14888</v>
      </c>
      <c r="B14888" s="2" t="str">
        <f>IFERROR(__xludf.DUMMYFUNCTION("GOOGLETRANSLATE(A14888, ""en"", ""mt"")"),"L-akbar megaregion tan-Nofsinhar ta ’California")</f>
        <v>L-akbar megaregion tan-Nofsinhar ta ’California</v>
      </c>
    </row>
    <row r="14889" ht="15.75" customHeight="1">
      <c r="A14889" s="2" t="s">
        <v>14889</v>
      </c>
      <c r="B14889" s="2" t="str">
        <f>IFERROR(__xludf.DUMMYFUNCTION("GOOGLETRANSLATE(A14889, ""en"", ""mt"")"),"iddgħajjef il-liġi billi tħeġġeġ diżubbidjenza ġenerali li la hija kuxjenzjuża u lanqas ta 'benefiċċju soċjali")</f>
        <v>iddgħajjef il-liġi billi tħeġġeġ diżubbidjenza ġenerali li la hija kuxjenzjuża u lanqas ta 'benefiċċju soċjali</v>
      </c>
    </row>
    <row r="14890" ht="15.75" customHeight="1">
      <c r="A14890" s="2" t="s">
        <v>14890</v>
      </c>
      <c r="B14890" s="2" t="str">
        <f>IFERROR(__xludf.DUMMYFUNCTION("GOOGLETRANSLATE(A14890, ""en"", ""mt"")"),"(P - 1)! + 1")</f>
        <v>(P - 1)! + 1</v>
      </c>
    </row>
    <row r="14891" ht="15.75" customHeight="1">
      <c r="A14891" s="2" t="s">
        <v>14891</v>
      </c>
      <c r="B14891" s="2" t="str">
        <f>IFERROR(__xludf.DUMMYFUNCTION("GOOGLETRANSLATE(A14891, ""en"", ""mt"")"),"L-akbar antisemite")</f>
        <v>L-akbar antisemite</v>
      </c>
    </row>
    <row r="14892" ht="15.75" customHeight="1">
      <c r="A14892" s="2" t="s">
        <v>14892</v>
      </c>
      <c r="B14892" s="2" t="str">
        <f>IFERROR(__xludf.DUMMYFUNCTION("GOOGLETRANSLATE(A14892, ""en"", ""mt"")"),"3 f'1,000,000")</f>
        <v>3 f'1,000,000</v>
      </c>
    </row>
    <row r="14893" ht="15.75" customHeight="1">
      <c r="A14893" s="2" t="s">
        <v>14893</v>
      </c>
      <c r="B14893" s="2" t="str">
        <f>IFERROR(__xludf.DUMMYFUNCTION("GOOGLETRANSLATE(A14893, ""en"", ""mt"")"),"Fl-24 ta 'Marzu 1879")</f>
        <v>Fl-24 ta 'Marzu 1879</v>
      </c>
    </row>
    <row r="14894" ht="15.75" customHeight="1">
      <c r="A14894" s="2" t="s">
        <v>14894</v>
      </c>
      <c r="B14894" s="2" t="str">
        <f>IFERROR(__xludf.DUMMYFUNCTION("GOOGLETRANSLATE(A14894, ""en"", ""mt"")"),"142 libbra")</f>
        <v>142 libbra</v>
      </c>
    </row>
    <row r="14895" ht="15.75" customHeight="1">
      <c r="A14895" s="2" t="s">
        <v>14895</v>
      </c>
      <c r="B14895" s="2" t="str">
        <f>IFERROR(__xludf.DUMMYFUNCTION("GOOGLETRANSLATE(A14895, ""en"", ""mt"")"),"Numerika")</f>
        <v>Numerika</v>
      </c>
    </row>
    <row r="14896" ht="15.75" customHeight="1">
      <c r="A14896" s="2" t="s">
        <v>14896</v>
      </c>
      <c r="B14896" s="2" t="str">
        <f>IFERROR(__xludf.DUMMYFUNCTION("GOOGLETRANSLATE(A14896, ""en"", ""mt"")"),"Salarji relattivament baxxi")</f>
        <v>Salarji relattivament baxxi</v>
      </c>
    </row>
    <row r="14897" ht="15.75" customHeight="1">
      <c r="A14897" s="2" t="s">
        <v>14897</v>
      </c>
      <c r="B14897" s="2" t="str">
        <f>IFERROR(__xludf.DUMMYFUNCTION("GOOGLETRANSLATE(A14897, ""en"", ""mt"")"),"It-teoloġija ta 'Wesleyan tinsab fi toroq uniċi bejn evanġeliċi u sagramentali, bejn liturġiku u kariżmatiku, u bejn teoloġija u prattika Anglo-Kattolika u Riformata. Ġie kkaratterizzat bħala teoloġija Arminjana b'enfasi fuq ix-xogħol ta 'l-Ispirtu s-Sant"&amp;"u biex iġib il-qdusija fil-ħajja ta' min jemmen. Il-Knisja Metodista Magħquda temmen fi Prima Scriptura, tara l-Bibbja Mqaddsa bħala l-awtorità primarja fil-knisja u tuża tradizzjoni sagra, raġuni, u esperjenza biex tinterpretaha, bl-għajnuna tal-Ispirtu "&amp;"s-Santu (ara Wesleyan kwadrilaterali). Għalhekk, skond il-Ktieb tad-Dixxiplina, it-Teoloġija Metodista Magħquda hija f'daqqa ""Kattolika, Evanġelika u Riformata."" Illum, l-UMC ġeneralment huwa meqjus bħala waħda mid-denominazzjonijiet l-aktar moderati u "&amp;"tolleranti fir-rigward tar-razza, is-sess u l-ideoloġija, għalkemm id-denominazzjoni nnifisha tinkludi firxa wiesgħa ħafna ta 'attitudnijiet. Komparattivament, l-UMC tinsab fuq il-lemin ta 'gruppi Protestanti liberali u progressivi bħall-Knisja Magħquda t"&amp;"a' Kristu u l-Knisja Episkopali dwar ċerti kwistjonijiet (speċjalment fir-rigward tas-sesswalità), iżda fuq ix-xellug ta 'tradizzjonijiet evanġeliċi storikament konservattivi bħall-Battisti tan-Nofsinhar u l-Pentekostaliżmu , fir-rigward ta 'kwistjonijiet"&amp;" teoloġiċi bħall-ġustizzja soċjali u l-interpretazzjoni bibliċi. Madankollu, għandu jkun innutat li l-UMC hija magħmula minn diversità wiesgħa ta 'ħsieb, u għalhekk hemm ħafna kleru u lajċi fi ħdan l-UMC li għandhom perspettivi differenti dwar kwistjoniji"&amp;"et teoloġiċi bħal dawn.")</f>
        <v>It-teoloġija ta 'Wesleyan tinsab fi toroq uniċi bejn evanġeliċi u sagramentali, bejn liturġiku u kariżmatiku, u bejn teoloġija u prattika Anglo-Kattolika u Riformata. Ġie kkaratterizzat bħala teoloġija Arminjana b'enfasi fuq ix-xogħol ta 'l-Ispirtu s-Santu biex iġib il-qdusija fil-ħajja ta' min jemmen. Il-Knisja Metodista Magħquda temmen fi Prima Scriptura, tara l-Bibbja Mqaddsa bħala l-awtorità primarja fil-knisja u tuża tradizzjoni sagra, raġuni, u esperjenza biex tinterpretaha, bl-għajnuna tal-Ispirtu s-Santu (ara Wesleyan kwadrilaterali). Għalhekk, skond il-Ktieb tad-Dixxiplina, it-Teoloġija Metodista Magħquda hija f'daqqa "Kattolika, Evanġelika u Riformata." Illum, l-UMC ġeneralment huwa meqjus bħala waħda mid-denominazzjonijiet l-aktar moderati u tolleranti fir-rigward tar-razza, is-sess u l-ideoloġija, għalkemm id-denominazzjoni nnifisha tinkludi firxa wiesgħa ħafna ta 'attitudnijiet. Komparattivament, l-UMC tinsab fuq il-lemin ta 'gruppi Protestanti liberali u progressivi bħall-Knisja Magħquda ta' Kristu u l-Knisja Episkopali dwar ċerti kwistjonijiet (speċjalment fir-rigward tas-sesswalità), iżda fuq ix-xellug ta 'tradizzjonijiet evanġeliċi storikament konservattivi bħall-Battisti tan-Nofsinhar u l-Pentekostaliżmu , fir-rigward ta 'kwistjonijiet teoloġiċi bħall-ġustizzja soċjali u l-interpretazzjoni bibliċi. Madankollu, għandu jkun innutat li l-UMC hija magħmula minn diversità wiesgħa ta 'ħsieb, u għalhekk hemm ħafna kleru u lajċi fi ħdan l-UMC li għandhom perspettivi differenti dwar kwistjonijiet teoloġiċi bħal dawn.</v>
      </c>
    </row>
    <row r="14898" ht="15.75" customHeight="1">
      <c r="A14898" s="2" t="s">
        <v>14898</v>
      </c>
      <c r="B14898" s="2" t="str">
        <f>IFERROR(__xludf.DUMMYFUNCTION("GOOGLETRANSLATE(A14898, ""en"", ""mt"")"),"X'inhuma xi vantaġġi tal-ispiżeriji tal-isptar?")</f>
        <v>X'inhuma xi vantaġġi tal-ispiżeriji tal-isptar?</v>
      </c>
    </row>
    <row r="14899" ht="15.75" customHeight="1">
      <c r="A14899" s="2" t="s">
        <v>14899</v>
      </c>
      <c r="B14899" s="2" t="str">
        <f>IFERROR(__xludf.DUMMYFUNCTION("GOOGLETRANSLATE(A14899, ""en"", ""mt"")"),"Qtil ta ’Kristu")</f>
        <v>Qtil ta ’Kristu</v>
      </c>
    </row>
    <row r="14900" ht="15.75" customHeight="1">
      <c r="A14900" s="2" t="s">
        <v>14900</v>
      </c>
      <c r="B14900" s="2" t="str">
        <f>IFERROR(__xludf.DUMMYFUNCTION("GOOGLETRANSLATE(A14900, ""en"", ""mt"")"),"Bejn Novembru 2006 u Mejju 2008")</f>
        <v>Bejn Novembru 2006 u Mejju 2008</v>
      </c>
    </row>
    <row r="14901" ht="15.75" customHeight="1">
      <c r="A14901" s="2" t="s">
        <v>14901</v>
      </c>
      <c r="B14901" s="2" t="str">
        <f>IFERROR(__xludf.DUMMYFUNCTION("GOOGLETRANSLATE(A14901, ""en"", ""mt"")"),"karbonat tas-sodju u karbonat tal-potassju")</f>
        <v>karbonat tas-sodju u karbonat tal-potassju</v>
      </c>
    </row>
    <row r="14902" ht="15.75" customHeight="1">
      <c r="A14902" s="2" t="s">
        <v>14902</v>
      </c>
      <c r="B14902" s="2" t="str">
        <f>IFERROR(__xludf.DUMMYFUNCTION("GOOGLETRANSLATE(A14902, ""en"", ""mt"")"),"L-aħjar belt li tħares l-Ingilterra")</f>
        <v>L-aħjar belt li tħares l-Ingilterra</v>
      </c>
    </row>
    <row r="14903" ht="15.75" customHeight="1">
      <c r="A14903" s="2" t="s">
        <v>14903</v>
      </c>
      <c r="B14903" s="2" t="str">
        <f>IFERROR(__xludf.DUMMYFUNCTION("GOOGLETRANSLATE(A14903, ""en"", ""mt"")"),"Xi jfisser is-settur magħruf bħala Jua Kali?")</f>
        <v>Xi jfisser is-settur magħruf bħala Jua Kali?</v>
      </c>
    </row>
    <row r="14904" ht="15.75" customHeight="1">
      <c r="A14904" s="2" t="s">
        <v>14904</v>
      </c>
      <c r="B14904" s="2" t="str">
        <f>IFERROR(__xludf.DUMMYFUNCTION("GOOGLETRANSLATE(A14904, ""en"", ""mt"")"),"Mhux iċ-ċelloli kollha f'impjant multikellulari fihom kloroplasti. Il-partijiet ħodor kollha ta 'pjanta fihom kloroplasti - il-kloroplasti, jew b'mod aktar speċifiku, il-klorofilla fihom huma dak li jagħmlu l-partijiet fotosintetiċi ta' pjanta ħadra. Iċ-ċ"&amp;"elloli tal-pjanti li fihom kloroplasti huma ġeneralment ċelloli tal-parenċima, għalkemm il-kloroplasti jistgħu jinstabu wkoll fit-tessut tal-collenchyma. Ċellula tal-pjanti li fiha kloroplasti hija magħrufa bħala ċellola tal-klorenchyma. Ċellula tipika ta"&amp;"l-klorenchyma ta 'impjant tal-art fiha madwar 10 sa 100 kloroplasti.")</f>
        <v>Mhux iċ-ċelloli kollha f'impjant multikellulari fihom kloroplasti. Il-partijiet ħodor kollha ta 'pjanta fihom kloroplasti - il-kloroplasti, jew b'mod aktar speċifiku, il-klorofilla fihom huma dak li jagħmlu l-partijiet fotosintetiċi ta' pjanta ħadra. Iċ-ċelloli tal-pjanti li fihom kloroplasti huma ġeneralment ċelloli tal-parenċima, għalkemm il-kloroplasti jistgħu jinstabu wkoll fit-tessut tal-collenchyma. Ċellula tal-pjanti li fiha kloroplasti hija magħrufa bħala ċellola tal-klorenchyma. Ċellula tipika tal-klorenchyma ta 'impjant tal-art fiha madwar 10 sa 100 kloroplasti.</v>
      </c>
    </row>
    <row r="14905" ht="15.75" customHeight="1">
      <c r="A14905" s="2" t="s">
        <v>14905</v>
      </c>
      <c r="B14905" s="2" t="str">
        <f>IFERROR(__xludf.DUMMYFUNCTION("GOOGLETRANSLATE(A14905, ""en"", ""mt"")"),"is-safaris tagħha, il-klima u l-ġeografija differenti, u r-riżervi espansivi tal-ħajja selvaġġa u l-parks nazzjonali")</f>
        <v>is-safaris tagħha, il-klima u l-ġeografija differenti, u r-riżervi espansivi tal-ħajja selvaġġa u l-parks nazzjonali</v>
      </c>
    </row>
    <row r="14906" ht="15.75" customHeight="1">
      <c r="A14906" s="2" t="s">
        <v>14906</v>
      </c>
      <c r="B14906" s="2" t="str">
        <f>IFERROR(__xludf.DUMMYFUNCTION("GOOGLETRANSLATE(A14906, ""en"", ""mt"")"),"22 ta ’Mejju 2006")</f>
        <v>22 ta ’Mejju 2006</v>
      </c>
    </row>
    <row r="14907" ht="15.75" customHeight="1">
      <c r="A14907" s="2" t="s">
        <v>14907</v>
      </c>
      <c r="B14907" s="2" t="str">
        <f>IFERROR(__xludf.DUMMYFUNCTION("GOOGLETRANSLATE(A14907, ""en"", ""mt"")"),"Ipotesi tal-kurva tal-kuznets")</f>
        <v>Ipotesi tal-kurva tal-kuznets</v>
      </c>
    </row>
    <row r="14908" ht="15.75" customHeight="1">
      <c r="A14908" s="2" t="s">
        <v>14908</v>
      </c>
      <c r="B14908" s="2" t="str">
        <f>IFERROR(__xludf.DUMMYFUNCTION("GOOGLETRANSLATE(A14908, ""en"", ""mt"")"),"MHC Klassi I.")</f>
        <v>MHC Klassi I.</v>
      </c>
    </row>
    <row r="14909" ht="15.75" customHeight="1">
      <c r="A14909" s="2" t="s">
        <v>14909</v>
      </c>
      <c r="B14909" s="2" t="str">
        <f>IFERROR(__xludf.DUMMYFUNCTION("GOOGLETRANSLATE(A14909, ""en"", ""mt"")"),"Magni ta 'kombustjoni interna")</f>
        <v>Magni ta 'kombustjoni interna</v>
      </c>
    </row>
    <row r="14910" ht="15.75" customHeight="1">
      <c r="A14910" s="2" t="s">
        <v>14910</v>
      </c>
      <c r="B14910" s="2" t="str">
        <f>IFERROR(__xludf.DUMMYFUNCTION("GOOGLETRANSLATE(A14910, ""en"", ""mt"")"),"L-aħħar tas-snin 1920")</f>
        <v>L-aħħar tas-snin 1920</v>
      </c>
    </row>
    <row r="14911" ht="15.75" customHeight="1">
      <c r="A14911" s="2" t="s">
        <v>14911</v>
      </c>
      <c r="B14911" s="2" t="str">
        <f>IFERROR(__xludf.DUMMYFUNCTION("GOOGLETRANSLATE(A14911, ""en"", ""mt"")"),"Kemm huwa Jacksonville minn Miami?")</f>
        <v>Kemm huwa Jacksonville minn Miami?</v>
      </c>
    </row>
    <row r="14912" ht="15.75" customHeight="1">
      <c r="A14912" s="2" t="s">
        <v>14912</v>
      </c>
      <c r="B14912" s="2" t="str">
        <f>IFERROR(__xludf.DUMMYFUNCTION("GOOGLETRANSLATE(A14912, ""en"", ""mt"")"),"il-kumplament tal-Gżejjer Brittaniċi")</f>
        <v>il-kumplament tal-Gżejjer Brittaniċi</v>
      </c>
    </row>
    <row r="14913" ht="15.75" customHeight="1">
      <c r="A14913" s="2" t="s">
        <v>14913</v>
      </c>
      <c r="B14913" s="2" t="str">
        <f>IFERROR(__xludf.DUMMYFUNCTION("GOOGLETRANSLATE(A14913, ""en"", ""mt"")"),"L-isem ta 'Varsavja fil-lingwa Pollakka huwa Warszawa, bejn wieħed u ieħor / vɑːrˈʃɑːvə / (li qabel kien ukoll spelt Warszewa u Warszowa), li jfisser ""li jappartjeni għal Warsz"", Warsz hija forma mqassra ta' l-isem maskili ta 'oriġini Slava ta' oriġini "&amp;"Slavi Warcisław; Ara wkoll Etimoloġija ta ’Wrocław. L-etimoloġija folkloristika tattribwixxi l-isem tal-belt lil sajjied, gwerer, u martu, Sawa. Skond il-leġġenda, Sawa kienet sirena li tgħix fix-xmara Vistula li magħha l-gwerer inħobbu. Fil-verità, Warsz"&amp;" kien nobbli tas-seklu 12/13 li kellu raħal li jinsab fis-sit tal-ġurnata moderna tal-viċinat ta 'Mariensztat. Ara wkoll il-familja Vršovci li kienet ħarbet lejn il-Polonja. L-isem uffiċjali tal-belt kollu huwa Miasto Stołeczne Warszawa (Ingliż: ""Il-Belt"&amp;" Kapitali ta 'Varsavja""). Nattiv jew residenti ta 'Varsavja huwa magħruf bħala Varsovian - fil-Pollakk Warszawiak (raġel), Warszawianka (mara), Warszawiacy (plural).")</f>
        <v>L-isem ta 'Varsavja fil-lingwa Pollakka huwa Warszawa, bejn wieħed u ieħor / vɑːrˈʃɑːvə / (li qabel kien ukoll spelt Warszewa u Warszowa), li jfisser "li jappartjeni għal Warsz", Warsz hija forma mqassra ta' l-isem maskili ta 'oriġini Slava ta' oriġini Slavi Warcisław; Ara wkoll Etimoloġija ta ’Wrocław. L-etimoloġija folkloristika tattribwixxi l-isem tal-belt lil sajjied, gwerer, u martu, Sawa. Skond il-leġġenda, Sawa kienet sirena li tgħix fix-xmara Vistula li magħha l-gwerer inħobbu. Fil-verità, Warsz kien nobbli tas-seklu 12/13 li kellu raħal li jinsab fis-sit tal-ġurnata moderna tal-viċinat ta 'Mariensztat. Ara wkoll il-familja Vršovci li kienet ħarbet lejn il-Polonja. L-isem uffiċjali tal-belt kollu huwa Miasto Stołeczne Warszawa (Ingliż: "Il-Belt Kapitali ta 'Varsavja"). Nattiv jew residenti ta 'Varsavja huwa magħruf bħala Varsovian - fil-Pollakk Warszawiak (raġel), Warszawianka (mara), Warszawiacy (plural).</v>
      </c>
    </row>
    <row r="14914" ht="15.75" customHeight="1">
      <c r="A14914" s="2" t="s">
        <v>14914</v>
      </c>
      <c r="B14914" s="2" t="str">
        <f>IFERROR(__xludf.DUMMYFUNCTION("GOOGLETRANSLATE(A14914, ""en"", ""mt"")"),"ħruq ta 'materjali kombustibbli")</f>
        <v>ħruq ta 'materjali kombustibbli</v>
      </c>
    </row>
    <row r="14915" ht="15.75" customHeight="1">
      <c r="A14915" s="2" t="s">
        <v>14915</v>
      </c>
      <c r="B14915" s="2" t="str">
        <f>IFERROR(__xludf.DUMMYFUNCTION("GOOGLETRANSLATE(A14915, ""en"", ""mt"")"),"Huma proprjetà tal-pajjiż Ohio")</f>
        <v>Huma proprjetà tal-pajjiż Ohio</v>
      </c>
    </row>
    <row r="14916" ht="15.75" customHeight="1">
      <c r="A14916" s="2" t="s">
        <v>14916</v>
      </c>
      <c r="B14916" s="2" t="str">
        <f>IFERROR(__xludf.DUMMYFUNCTION("GOOGLETRANSLATE(A14916, ""en"", ""mt"")"),"Wid [en] l-għażliet tan-nies u l-livell tal-benesseri miksub tagħhom")</f>
        <v>Wid [en] l-għażliet tan-nies u l-livell tal-benesseri miksub tagħhom</v>
      </c>
    </row>
    <row r="14917" ht="15.75" customHeight="1">
      <c r="A14917" s="2" t="s">
        <v>14917</v>
      </c>
      <c r="B14917" s="2" t="str">
        <f>IFERROR(__xludf.DUMMYFUNCTION("GOOGLETRANSLATE(A14917, ""en"", ""mt"")"),"Flimkien mal-post, id-dotazzjoni u r-rieda tal-ġenituri li jħallsu, liema fattur jinfluwenza t-tagħlim tal-iskola privata?")</f>
        <v>Flimkien mal-post, id-dotazzjoni u r-rieda tal-ġenituri li jħallsu, liema fattur jinfluwenza t-tagħlim tal-iskola privata?</v>
      </c>
    </row>
    <row r="14918" ht="15.75" customHeight="1">
      <c r="A14918" s="2" t="s">
        <v>14918</v>
      </c>
      <c r="B14918" s="2" t="str">
        <f>IFERROR(__xludf.DUMMYFUNCTION("GOOGLETRANSLATE(A14918, ""en"", ""mt"")"),"Is-snin 1960")</f>
        <v>Is-snin 1960</v>
      </c>
    </row>
    <row r="14919" ht="15.75" customHeight="1">
      <c r="A14919" s="2" t="s">
        <v>14919</v>
      </c>
      <c r="B14919" s="2" t="str">
        <f>IFERROR(__xludf.DUMMYFUNCTION("GOOGLETRANSLATE(A14919, ""en"", ""mt"")"),"bdiewa tas-sojja")</f>
        <v>bdiewa tas-sojja</v>
      </c>
    </row>
    <row r="14920" ht="15.75" customHeight="1">
      <c r="A14920" s="2" t="s">
        <v>14920</v>
      </c>
      <c r="B14920" s="2" t="str">
        <f>IFERROR(__xludf.DUMMYFUNCTION("GOOGLETRANSLATE(A14920, ""en"", ""mt"")"),"Kemm żoni ġew milquta mill-mewt tal-veġetazzjoni fin-nixfa tal-2010?")</f>
        <v>Kemm żoni ġew milquta mill-mewt tal-veġetazzjoni fin-nixfa tal-2010?</v>
      </c>
    </row>
    <row r="14921" ht="15.75" customHeight="1">
      <c r="A14921" s="2" t="s">
        <v>14921</v>
      </c>
      <c r="B14921" s="2" t="str">
        <f>IFERROR(__xludf.DUMMYFUNCTION("GOOGLETRANSLATE(A14921, ""en"", ""mt"")"),"il-Bibbja f'lingwi vernakulari")</f>
        <v>il-Bibbja f'lingwi vernakulari</v>
      </c>
    </row>
    <row r="14922" ht="15.75" customHeight="1">
      <c r="A14922" s="2" t="s">
        <v>14922</v>
      </c>
      <c r="B14922" s="2" t="str">
        <f>IFERROR(__xludf.DUMMYFUNCTION("GOOGLETRANSLATE(A14922, ""en"", ""mt"")"),"Immunodefiċjenza")</f>
        <v>Immunodefiċjenza</v>
      </c>
    </row>
    <row r="14923" ht="15.75" customHeight="1">
      <c r="A14923" s="2" t="s">
        <v>14923</v>
      </c>
      <c r="B14923" s="2" t="str">
        <f>IFERROR(__xludf.DUMMYFUNCTION("GOOGLETRANSLATE(A14923, ""en"", ""mt"")"),"Tentakli twal u rqaq")</f>
        <v>Tentakli twal u rqaq</v>
      </c>
    </row>
    <row r="14924" ht="15.75" customHeight="1">
      <c r="A14924" s="2" t="s">
        <v>14924</v>
      </c>
      <c r="B14924" s="2" t="str">
        <f>IFERROR(__xludf.DUMMYFUNCTION("GOOGLETRANSLATE(A14924, ""en"", ""mt"")"),"X'impatt għandhom il-produttività ogħla tal-ħaddiem u l-paga livellata fuq dawk li jaqilgħu ogħla?")</f>
        <v>X'impatt għandhom il-produttività ogħla tal-ħaddiem u l-paga livellata fuq dawk li jaqilgħu ogħla?</v>
      </c>
    </row>
    <row r="14925" ht="15.75" customHeight="1">
      <c r="A14925" s="2" t="s">
        <v>14925</v>
      </c>
      <c r="B14925" s="2" t="str">
        <f>IFERROR(__xludf.DUMMYFUNCTION("GOOGLETRANSLATE(A14925, ""en"", ""mt"")"),"membrani addizzjonali")</f>
        <v>membrani addizzjonali</v>
      </c>
    </row>
    <row r="14926" ht="15.75" customHeight="1">
      <c r="A14926" s="2" t="s">
        <v>14926</v>
      </c>
      <c r="B14926" s="2" t="str">
        <f>IFERROR(__xludf.DUMMYFUNCTION("GOOGLETRANSLATE(A14926, ""en"", ""mt"")"),"sarcasm u tentattivi biex jimmilitaw lill-istudenti")</f>
        <v>sarcasm u tentattivi biex jimmilitaw lill-istudenti</v>
      </c>
    </row>
    <row r="14927" ht="15.75" customHeight="1">
      <c r="A14927" s="2" t="s">
        <v>14927</v>
      </c>
      <c r="B14927" s="2" t="str">
        <f>IFERROR(__xludf.DUMMYFUNCTION("GOOGLETRANSLATE(A14927, ""en"", ""mt"")"),"iħallas il-kera tiegħu")</f>
        <v>iħallas il-kera tiegħu</v>
      </c>
    </row>
    <row r="14928" ht="15.75" customHeight="1">
      <c r="A14928" s="2" t="s">
        <v>14928</v>
      </c>
      <c r="B14928" s="2" t="str">
        <f>IFERROR(__xludf.DUMMYFUNCTION("GOOGLETRANSLATE(A14928, ""en"", ""mt"")"),"Eżodu")</f>
        <v>Eżodu</v>
      </c>
    </row>
    <row r="14929" ht="15.75" customHeight="1">
      <c r="A14929" s="2" t="s">
        <v>14929</v>
      </c>
      <c r="B14929" s="2" t="str">
        <f>IFERROR(__xludf.DUMMYFUNCTION("GOOGLETRANSLATE(A14929, ""en"", ""mt"")"),"Min irid tip ta 'dixxiplina aktar konfrontazzjonali?")</f>
        <v>Min irid tip ta 'dixxiplina aktar konfrontazzjonali?</v>
      </c>
    </row>
    <row r="14930" ht="15.75" customHeight="1">
      <c r="A14930" s="2" t="s">
        <v>14930</v>
      </c>
      <c r="B14930" s="2" t="str">
        <f>IFERROR(__xludf.DUMMYFUNCTION("GOOGLETRANSLATE(A14930, ""en"", ""mt"")"),"X’kawża li r-Renju Unit ikollu kriżi taż-żejt f’pajjiżha stess?")</f>
        <v>X’kawża li r-Renju Unit ikollu kriżi taż-żejt f’pajjiżha stess?</v>
      </c>
    </row>
    <row r="14931" ht="15.75" customHeight="1">
      <c r="A14931" s="2" t="s">
        <v>14931</v>
      </c>
      <c r="B14931" s="2" t="str">
        <f>IFERROR(__xludf.DUMMYFUNCTION("GOOGLETRANSLATE(A14931, ""en"", ""mt"")"),"Fejn imxiet il-familja fl-1862?")</f>
        <v>Fejn imxiet il-familja fl-1862?</v>
      </c>
    </row>
    <row r="14932" ht="15.75" customHeight="1">
      <c r="A14932" s="2" t="s">
        <v>14932</v>
      </c>
      <c r="B14932" s="2" t="str">
        <f>IFERROR(__xludf.DUMMYFUNCTION("GOOGLETRANSLATE(A14932, ""en"", ""mt"")"),"2001")</f>
        <v>2001</v>
      </c>
    </row>
    <row r="14933" ht="15.75" customHeight="1">
      <c r="A14933" s="2" t="s">
        <v>14933</v>
      </c>
      <c r="B14933" s="2" t="str">
        <f>IFERROR(__xludf.DUMMYFUNCTION("GOOGLETRANSLATE(A14933, ""en"", ""mt"")"),"Kors wieħed avvanzat kull tliet snin")</f>
        <v>Kors wieħed avvanzat kull tliet snin</v>
      </c>
    </row>
    <row r="14934" ht="15.75" customHeight="1">
      <c r="A14934" s="2" t="s">
        <v>14934</v>
      </c>
      <c r="B14934" s="2" t="str">
        <f>IFERROR(__xludf.DUMMYFUNCTION("GOOGLETRANSLATE(A14934, ""en"", ""mt"")"),"jirgħu")</f>
        <v>jirgħu</v>
      </c>
    </row>
    <row r="14935" ht="15.75" customHeight="1">
      <c r="A14935" s="2" t="s">
        <v>14935</v>
      </c>
      <c r="B14935" s="2" t="str">
        <f>IFERROR(__xludf.DUMMYFUNCTION("GOOGLETRANSLATE(A14935, ""en"", ""mt"")"),"Tkabbir ekonomiku fit-tul")</f>
        <v>Tkabbir ekonomiku fit-tul</v>
      </c>
    </row>
    <row r="14936" ht="15.75" customHeight="1">
      <c r="A14936" s="2" t="s">
        <v>14936</v>
      </c>
      <c r="B14936" s="2" t="str">
        <f>IFERROR(__xludf.DUMMYFUNCTION("GOOGLETRANSLATE(A14936, ""en"", ""mt"")"),"Mużew tal-Indipendenza")</f>
        <v>Mużew tal-Indipendenza</v>
      </c>
    </row>
    <row r="14937" ht="15.75" customHeight="1">
      <c r="A14937" s="2" t="s">
        <v>14937</v>
      </c>
      <c r="B14937" s="2" t="str">
        <f>IFERROR(__xludf.DUMMYFUNCTION("GOOGLETRANSLATE(A14937, ""en"", ""mt"")"),"il-forza oriġinali")</f>
        <v>il-forza oriġinali</v>
      </c>
    </row>
    <row r="14938" ht="15.75" customHeight="1">
      <c r="A14938" s="2" t="s">
        <v>14938</v>
      </c>
      <c r="B14938" s="2" t="str">
        <f>IFERROR(__xludf.DUMMYFUNCTION("GOOGLETRANSLATE(A14938, ""en"", ""mt"")"),"ordnijiet reliġjużi")</f>
        <v>ordnijiet reliġjużi</v>
      </c>
    </row>
    <row r="14939" ht="15.75" customHeight="1">
      <c r="A14939" s="2" t="s">
        <v>14939</v>
      </c>
      <c r="B14939" s="2" t="str">
        <f>IFERROR(__xludf.DUMMYFUNCTION("GOOGLETRANSLATE(A14939, ""en"", ""mt"")"),"Temecula u Murrieta")</f>
        <v>Temecula u Murrieta</v>
      </c>
    </row>
    <row r="14940" ht="15.75" customHeight="1">
      <c r="A14940" s="2" t="s">
        <v>14940</v>
      </c>
      <c r="B14940" s="2" t="str">
        <f>IFERROR(__xludf.DUMMYFUNCTION("GOOGLETRANSLATE(A14940, ""en"", ""mt"")"),"X'inhu responsabbli biex tillimita l-P skont it-teorema tal-ġerarkija taż-żmien?")</f>
        <v>X'inhu responsabbli biex tillimita l-P skont it-teorema tal-ġerarkija taż-żmien?</v>
      </c>
    </row>
    <row r="14941" ht="15.75" customHeight="1">
      <c r="A14941" s="2" t="s">
        <v>14941</v>
      </c>
      <c r="B14941" s="2" t="str">
        <f>IFERROR(__xludf.DUMMYFUNCTION("GOOGLETRANSLATE(A14941, ""en"", ""mt"")"),"Minn xiex jinżlu l-kloroplasti?")</f>
        <v>Minn xiex jinżlu l-kloroplasti?</v>
      </c>
    </row>
    <row r="14942" ht="15.75" customHeight="1">
      <c r="A14942" s="2" t="s">
        <v>14942</v>
      </c>
      <c r="B14942" s="2" t="str">
        <f>IFERROR(__xludf.DUMMYFUNCTION("GOOGLETRANSLATE(A14942, ""en"", ""mt"")"),"X'inhuma xi faċilitajiet eżistenti?")</f>
        <v>X'inhuma xi faċilitajiet eżistenti?</v>
      </c>
    </row>
    <row r="14943" ht="15.75" customHeight="1">
      <c r="A14943" s="2" t="s">
        <v>14943</v>
      </c>
      <c r="B14943" s="2" t="str">
        <f>IFERROR(__xludf.DUMMYFUNCTION("GOOGLETRANSLATE(A14943, ""en"", ""mt"")"),"Sorċerija")</f>
        <v>Sorċerija</v>
      </c>
    </row>
    <row r="14944" ht="15.75" customHeight="1">
      <c r="A14944" s="2" t="s">
        <v>14944</v>
      </c>
      <c r="B14944" s="2" t="str">
        <f>IFERROR(__xludf.DUMMYFUNCTION("GOOGLETRANSLATE(A14944, ""en"", ""mt"")"),"Evoluzzjoni ta 'liema parti tas-sistema immunitarja seħħet fl-antenat evoluzzjonarju tal-vertebrati tax-xedaq?")</f>
        <v>Evoluzzjoni ta 'liema parti tas-sistema immunitarja seħħet fl-antenat evoluzzjonarju tal-vertebrati tax-xedaq?</v>
      </c>
    </row>
    <row r="14945" ht="15.75" customHeight="1">
      <c r="A14945" s="2" t="s">
        <v>14945</v>
      </c>
      <c r="B14945" s="2" t="str">
        <f>IFERROR(__xludf.DUMMYFUNCTION("GOOGLETRANSLATE(A14945, ""en"", ""mt"")"),"L-iżvilupp tat-tektonika tal-pjanċi pprovda bażi fiżika għal ħafna osservazzjonijiet tad-Dinja Solida. Reġjuni lineari twal ta 'karatteristiċi ġeoloġiċi jistgħu jiġu spjegati bħala konfini tal-pjanċa. Xfar ta 'nofs l-oċean, reġjuni għoljin fuq il-baħar fe"&amp;"jn jeżistu ventijiet idrotermali u vulkani, ġew spjegati bħala konfini diverġenti, fejn żewġ pjanċi jiċċaqalqu. Arki ta 'vulkani u terremoti ġew spjegati bħala konfini konverġenti, fejn pjanċa waħda tissottometti taħt l-ieħor. It-trasformazzjoni tal-konfi"&amp;"ni, bħas-sistema ta 'difetti ta' San Andreas, irriżultaw f'terremoti qawwija mifruxa. Tettonika tal-pjanċa pprovdiet ukoll mekkaniżmu għat-teorija ta 'Alfred Wegener dwar id-drift kontinentali, li fiha l-kontinenti jimxu mal-wiċċ tad-dinja matul iż-żmien "&amp;"ġeoloġiku. Huma pprovdew ukoll forza li tmexxi għad-deformazzjoni tal-qoxra, u ambjent ġdid għall-osservazzjonijiet tal-ġeoloġija strutturali. Il-poter tat-teorija tat-tektonika tal-pjanċa tinsab fil-kapaċità tagħha li tgħaqqad dawn l-osservazzjonijiet ko"&amp;"llha f'eorija waħda ta 'kif il-litosfera timxi fuq il-mantell tal-konvetti.")</f>
        <v>L-iżvilupp tat-tektonika tal-pjanċi pprovda bażi fiżika għal ħafna osservazzjonijiet tad-Dinja Solida. Reġjuni lineari twal ta 'karatteristiċi ġeoloġiċi jistgħu jiġu spjegati bħala konfini tal-pjanċa. Xfar ta 'nofs l-oċean, reġjuni għoljin fuq il-baħar fejn jeżistu ventijiet idrotermali u vulkani, ġew spjegati bħala konfini diverġenti, fejn żewġ pjanċi jiċċaqalqu. Arki ta 'vulkani u terremoti ġew spjegati bħala konfini konverġenti, fejn pjanċa waħda tissottometti taħt l-ieħor. It-trasformazzjoni tal-konfini, bħas-sistema ta 'difetti ta' San Andreas, irriżultaw f'terremoti qawwija mifruxa. Tettonika tal-pjanċa pprovdiet ukoll mekkaniżmu għat-teorija ta 'Alfred Wegener dwar id-drift kontinentali, li fiha l-kontinenti jimxu mal-wiċċ tad-dinja matul iż-żmien ġeoloġiku. Huma pprovdew ukoll forza li tmexxi għad-deformazzjoni tal-qoxra, u ambjent ġdid għall-osservazzjonijiet tal-ġeoloġija strutturali. Il-poter tat-teorija tat-tektonika tal-pjanċa tinsab fil-kapaċità tagħha li tgħaqqad dawn l-osservazzjonijiet kollha f'eorija waħda ta 'kif il-litosfera timxi fuq il-mantell tal-konvetti.</v>
      </c>
    </row>
    <row r="14946" ht="15.75" customHeight="1">
      <c r="A14946" s="2" t="s">
        <v>14946</v>
      </c>
      <c r="B14946" s="2" t="str">
        <f>IFERROR(__xludf.DUMMYFUNCTION("GOOGLETRANSLATE(A14946, ""en"", ""mt"")"),"Reneged")</f>
        <v>Reneged</v>
      </c>
    </row>
    <row r="14947" ht="15.75" customHeight="1">
      <c r="A14947" s="2" t="s">
        <v>14947</v>
      </c>
      <c r="B14947" s="2" t="str">
        <f>IFERROR(__xludf.DUMMYFUNCTION("GOOGLETRANSLATE(A14947, ""en"", ""mt"")"),"Għarbi")</f>
        <v>Għarbi</v>
      </c>
    </row>
    <row r="14948" ht="15.75" customHeight="1">
      <c r="A14948" s="2" t="s">
        <v>14948</v>
      </c>
      <c r="B14948" s="2" t="str">
        <f>IFERROR(__xludf.DUMMYFUNCTION("GOOGLETRANSLATE(A14948, ""en"", ""mt"")"),"il-bażi tal-metodoloġija użata")</f>
        <v>il-bażi tal-metodoloġija użata</v>
      </c>
    </row>
    <row r="14949" ht="15.75" customHeight="1">
      <c r="A14949" s="2" t="s">
        <v>14949</v>
      </c>
      <c r="B14949" s="2" t="str">
        <f>IFERROR(__xludf.DUMMYFUNCTION("GOOGLETRANSLATE(A14949, ""en"", ""mt"")"),"Computtional_complexity_theory")</f>
        <v>Computtional_complexity_theory</v>
      </c>
    </row>
    <row r="14950" ht="15.75" customHeight="1">
      <c r="A14950" s="2" t="s">
        <v>14950</v>
      </c>
      <c r="B14950" s="2" t="str">
        <f>IFERROR(__xludf.DUMMYFUNCTION("GOOGLETRANSLATE(A14950, ""en"", ""mt"")"),"Il-paleoklimatologi jkejlu l-proporzjon ta 'ossiġenu-18 u ossiġenu-16 fil-qxur u skeletri ta' organiżmi tal-baħar biex jiddeterminaw liema kienet il-klima bħal miljuni ta 'snin ilu (ara ċ-ċiklu tal-proporzjon tal-iżotopi tal-ossiġnu). Molekuli tal-ilma ba"&amp;"ħar li fihom l-iżotopi eħfef, ossiġenu-16, jevaporaw b'rata kemmxejn aktar mgħaġġla minn molekuli tal-ilma li fihom it-12% itqal ossiġenu-18; Din id-disparità tiżdied f'temperaturi aktar baxxi. Matul perjodi ta 'temperaturi globali aktar baxxi, il-borra u"&amp;" x-xita minn dak l-ilma evaporat għandu tendenza li jkun ogħla fl-ossiġnu-16, u l-ilma baħar li jibqa' warajh għandu tendenza li jkun ogħla fl-ossiġnu-18. L-organiżmi tal-baħar imbagħad jinkorporaw aktar ossiġenu-18 fl-iskeletri u l-qxur tagħhom milli kie"&amp;"nu fi klima aktar sħuna. Il-paleoklimatoloġi wkoll ikejlu direttament dan il-proporzjon fil-molekuli tal-ilma ta 'kampjuni tal-qalba tas-silġ li għandhom sa bosta mijiet ta' eluf ta 'snin.")</f>
        <v>Il-paleoklimatologi jkejlu l-proporzjon ta 'ossiġenu-18 u ossiġenu-16 fil-qxur u skeletri ta' organiżmi tal-baħar biex jiddeterminaw liema kienet il-klima bħal miljuni ta 'snin ilu (ara ċ-ċiklu tal-proporzjon tal-iżotopi tal-ossiġnu). Molekuli tal-ilma baħar li fihom l-iżotopi eħfef, ossiġenu-16, jevaporaw b'rata kemmxejn aktar mgħaġġla minn molekuli tal-ilma li fihom it-12% itqal ossiġenu-18; Din id-disparità tiżdied f'temperaturi aktar baxxi. Matul perjodi ta 'temperaturi globali aktar baxxi, il-borra u x-xita minn dak l-ilma evaporat għandu tendenza li jkun ogħla fl-ossiġnu-16, u l-ilma baħar li jibqa' warajh għandu tendenza li jkun ogħla fl-ossiġnu-18. L-organiżmi tal-baħar imbagħad jinkorporaw aktar ossiġenu-18 fl-iskeletri u l-qxur tagħhom milli kienu fi klima aktar sħuna. Il-paleoklimatoloġi wkoll ikejlu direttament dan il-proporzjon fil-molekuli tal-ilma ta 'kampjuni tal-qalba tas-silġ li għandhom sa bosta mijiet ta' eluf ta 'snin.</v>
      </c>
    </row>
    <row r="14951" ht="15.75" customHeight="1">
      <c r="A14951" s="2" t="s">
        <v>14951</v>
      </c>
      <c r="B14951" s="2" t="str">
        <f>IFERROR(__xludf.DUMMYFUNCTION("GOOGLETRANSLATE(A14951, ""en"", ""mt"")"),"Mill-inqas xi ippjanar minn qabel u dfin Kristjan")</f>
        <v>Mill-inqas xi ippjanar minn qabel u dfin Kristjan</v>
      </c>
    </row>
    <row r="14952" ht="15.75" customHeight="1">
      <c r="A14952" s="2" t="s">
        <v>14952</v>
      </c>
      <c r="B14952" s="2" t="str">
        <f>IFERROR(__xludf.DUMMYFUNCTION("GOOGLETRANSLATE(A14952, ""en"", ""mt"")"),"ta 'sinifikat marġinali")</f>
        <v>ta 'sinifikat marġinali</v>
      </c>
    </row>
    <row r="14953" ht="15.75" customHeight="1">
      <c r="A14953" s="2" t="s">
        <v>14953</v>
      </c>
      <c r="B14953" s="2" t="str">
        <f>IFERROR(__xludf.DUMMYFUNCTION("GOOGLETRANSLATE(A14953, ""en"", ""mt"")"),"X'inhuma ċrieki PD?")</f>
        <v>X'inhuma ċrieki PD?</v>
      </c>
    </row>
    <row r="14954" ht="15.75" customHeight="1">
      <c r="A14954" s="2" t="s">
        <v>14954</v>
      </c>
      <c r="B14954" s="2" t="str">
        <f>IFERROR(__xludf.DUMMYFUNCTION("GOOGLETRANSLATE(A14954, ""en"", ""mt"")"),"Liema organiżmu antik ieħor ifforma mekkaniżmi immuni bażiċi?")</f>
        <v>Liema organiżmu antik ieħor ifforma mekkaniżmi immuni bażiċi?</v>
      </c>
    </row>
    <row r="14955" ht="15.75" customHeight="1">
      <c r="A14955" s="2" t="s">
        <v>14955</v>
      </c>
      <c r="B14955" s="2" t="str">
        <f>IFERROR(__xludf.DUMMYFUNCTION("GOOGLETRANSLATE(A14955, ""en"", ""mt"")"),"Meta kien hemm żieda qawwija fin-nazzjonaliżmu fl-Iskozja?")</f>
        <v>Meta kien hemm żieda qawwija fin-nazzjonaliżmu fl-Iskozja?</v>
      </c>
    </row>
    <row r="14956" ht="15.75" customHeight="1">
      <c r="A14956" s="2" t="s">
        <v>14956</v>
      </c>
      <c r="B14956" s="2" t="str">
        <f>IFERROR(__xludf.DUMMYFUNCTION("GOOGLETRANSLATE(A14956, ""en"", ""mt"")"),"Min kien eżentat mill-prinċipji meritokratiċi tal-imperu Mongoljan?")</f>
        <v>Min kien eżentat mill-prinċipji meritokratiċi tal-imperu Mongoljan?</v>
      </c>
    </row>
    <row r="14957" ht="15.75" customHeight="1">
      <c r="A14957" s="2" t="s">
        <v>14957</v>
      </c>
      <c r="B14957" s="2" t="str">
        <f>IFERROR(__xludf.DUMMYFUNCTION("GOOGLETRANSLATE(A14957, ""en"", ""mt"")"),"Disinji molekulari marbuta mal-patoġeni")</f>
        <v>Disinji molekulari marbuta mal-patoġeni</v>
      </c>
    </row>
    <row r="14958" ht="15.75" customHeight="1">
      <c r="A14958" s="2" t="s">
        <v>14958</v>
      </c>
      <c r="B14958" s="2" t="str">
        <f>IFERROR(__xludf.DUMMYFUNCTION("GOOGLETRANSLATE(A14958, ""en"", ""mt"")"),"Min wissa dwar l-impatt potenzjali?")</f>
        <v>Min wissa dwar l-impatt potenzjali?</v>
      </c>
    </row>
    <row r="14959" ht="15.75" customHeight="1">
      <c r="A14959" s="2" t="s">
        <v>14959</v>
      </c>
      <c r="B14959" s="2" t="str">
        <f>IFERROR(__xludf.DUMMYFUNCTION("GOOGLETRANSLATE(A14959, ""en"", ""mt"")"),"ħtiġijiet bażiċi")</f>
        <v>ħtiġijiet bażiċi</v>
      </c>
    </row>
    <row r="14960" ht="15.75" customHeight="1">
      <c r="A14960" s="2" t="s">
        <v>14960</v>
      </c>
      <c r="B14960" s="2" t="str">
        <f>IFERROR(__xludf.DUMMYFUNCTION("GOOGLETRANSLATE(A14960, ""en"", ""mt"")"),"Tagħlim")</f>
        <v>Tagħlim</v>
      </c>
    </row>
    <row r="14961" ht="15.75" customHeight="1">
      <c r="A14961" s="2" t="s">
        <v>14961</v>
      </c>
      <c r="B14961" s="2" t="str">
        <f>IFERROR(__xludf.DUMMYFUNCTION("GOOGLETRANSLATE(A14961, ""en"", ""mt"")"),"L-aħħar massimu glaċjali")</f>
        <v>L-aħħar massimu glaċjali</v>
      </c>
    </row>
    <row r="14962" ht="15.75" customHeight="1">
      <c r="A14962" s="2" t="s">
        <v>14962</v>
      </c>
      <c r="B14962" s="2" t="str">
        <f>IFERROR(__xludf.DUMMYFUNCTION("GOOGLETRANSLATE(A14962, ""en"", ""mt"")"),"teatri")</f>
        <v>teatri</v>
      </c>
    </row>
    <row r="14963" ht="15.75" customHeight="1">
      <c r="A14963" s="2" t="s">
        <v>14963</v>
      </c>
      <c r="B14963" s="2" t="str">
        <f>IFERROR(__xludf.DUMMYFUNCTION("GOOGLETRANSLATE(A14963, ""en"", ""mt"")"),"Rikonoxximent Internazzjonali")</f>
        <v>Rikonoxximent Internazzjonali</v>
      </c>
    </row>
    <row r="14964" ht="15.75" customHeight="1">
      <c r="A14964" s="2" t="s">
        <v>14964</v>
      </c>
      <c r="B14964" s="2" t="str">
        <f>IFERROR(__xludf.DUMMYFUNCTION("GOOGLETRANSLATE(A14964, ""en"", ""mt"")"),"simultanju")</f>
        <v>simultanju</v>
      </c>
    </row>
    <row r="14965" ht="15.75" customHeight="1">
      <c r="A14965" s="2" t="s">
        <v>14965</v>
      </c>
      <c r="B14965" s="2" t="str">
        <f>IFERROR(__xludf.DUMMYFUNCTION("GOOGLETRANSLATE(A14965, ""en"", ""mt"")"),"ix-xewqa li tipprevjeni affarijiet li huma indiskutibbli ħżiena")</f>
        <v>ix-xewqa li tipprevjeni affarijiet li huma indiskutibbli ħżiena</v>
      </c>
    </row>
    <row r="14966" ht="15.75" customHeight="1">
      <c r="A14966" s="2" t="s">
        <v>14966</v>
      </c>
      <c r="B14966" s="2" t="str">
        <f>IFERROR(__xludf.DUMMYFUNCTION("GOOGLETRANSLATE(A14966, ""en"", ""mt"")"),"Estinzjoni Kretaċeja-Paleogene")</f>
        <v>Estinzjoni Kretaċeja-Paleogene</v>
      </c>
    </row>
    <row r="14967" ht="15.75" customHeight="1">
      <c r="A14967" s="2" t="s">
        <v>14967</v>
      </c>
      <c r="B14967" s="2" t="str">
        <f>IFERROR(__xludf.DUMMYFUNCTION("GOOGLETRANSLATE(A14967, ""en"", ""mt"")"),"Liema opra tas-sapun bħalissa tidher fl-ipprogrammar ta 'bi nhar l-ABC?")</f>
        <v>Liema opra tas-sapun bħalissa tidher fl-ipprogrammar ta 'bi nhar l-ABC?</v>
      </c>
    </row>
    <row r="14968" ht="15.75" customHeight="1">
      <c r="A14968" s="2" t="s">
        <v>14968</v>
      </c>
      <c r="B14968" s="2" t="str">
        <f>IFERROR(__xludf.DUMMYFUNCTION("GOOGLETRANSLATE(A14968, ""en"", ""mt"")"),"Kroazja")</f>
        <v>Kroazja</v>
      </c>
    </row>
    <row r="14969" ht="15.75" customHeight="1">
      <c r="A14969" s="2" t="s">
        <v>14969</v>
      </c>
      <c r="B14969" s="2" t="str">
        <f>IFERROR(__xludf.DUMMYFUNCTION("GOOGLETRANSLATE(A14969, ""en"", ""mt"")"),"Bħalissa d-detenzjoni hija waħda mill-aktar pieni komuni fl-iskejjel fl-Istati Uniti, ir-Renju Unit, l-Irlanda, Singapor u pajjiżi oħra. Jeħtieġ li l-istudent jibqa 'l-iskola f'ħin partikolari fil-ġurnata tal-iskola (bħal ikla ta' nofsinhar, daħla jew war"&amp;"a l-iskola); jew anke biex tattendi l-iskola f'jum mhux skolastiku, p.e. ""Detenzjoni tas-Sibt"" li saret f'xi skejjel. Waqt id-detenzjoni, l-istudenti normalment ikollhom joqogħdu fil-klassi u jagħmlu xogħol, jiktbu linji jew esej tal-kastig, jew joqogħd"&amp;"u bil-kwiet.")</f>
        <v>Bħalissa d-detenzjoni hija waħda mill-aktar pieni komuni fl-iskejjel fl-Istati Uniti, ir-Renju Unit, l-Irlanda, Singapor u pajjiżi oħra. Jeħtieġ li l-istudent jibqa 'l-iskola f'ħin partikolari fil-ġurnata tal-iskola (bħal ikla ta' nofsinhar, daħla jew wara l-iskola); jew anke biex tattendi l-iskola f'jum mhux skolastiku, p.e. "Detenzjoni tas-Sibt" li saret f'xi skejjel. Waqt id-detenzjoni, l-istudenti normalment ikollhom joqogħdu fil-klassi u jagħmlu xogħol, jiktbu linji jew esej tal-kastig, jew joqogħdu bil-kwiet.</v>
      </c>
    </row>
    <row r="14970" ht="15.75" customHeight="1">
      <c r="A14970" s="2" t="s">
        <v>14970</v>
      </c>
      <c r="B14970" s="2" t="str">
        <f>IFERROR(__xludf.DUMMYFUNCTION("GOOGLETRANSLATE(A14970, ""en"", ""mt"")"),"Kważi ċ-ctenophores kollha huma predaturi - m'hemmx vegetarjani u ġeneru wieħed biss li huwa parzjalment parassitiku. Jekk l-ikel huwa abbundanti, huma jistgħu jieklu 10 darbiet il-piż tagħhom stess kuljum. Filwaqt li Beroe jipprepara prinċipalment fuq ct"&amp;"enophores oħra, speċi oħra ta 'ilma tal-wiċċ priża fuq zooplankton (annimali planktoniċi) li jvarjaw fid-daqs mill-mikroskopiku, inklużi l-molluski u l-larva tal-ħut, għal krustaċji żgħar għall-adulti bħal kopepodi, anfipods, u anke Krill. Il-membri tal-ġ"&amp;"eneru Haeckelia priża fuq il-bram u jinkorporaw in-nematokisti tal-priża tagħhom (ċelloli stinging) fit-tentakli tagħhom stess minflok il-kolloblasti. Ctenophores tqabblu ma 'brimb fil-firxa wiesgħa tagħhom ta' tekniki milli jaqbdu l-priża - uħud jiddendl"&amp;"u bla waqfien fl-ilma billi jużaw it-tentakli tagħhom bħala ""nsiġ"", uħud huma predaturi ta 'l-embush bħal brimb li jaqbżu l-melħ, u xi wħud mill-qtar li jwaħħal fl-aħħar ta' Ħajt fin, bħalma jagħmlu l-brimb Bolas. Din il-varjetà tispjega l-firxa wiesgħa"&amp;" ta 'forom tal-ġisem fi phylum bi ftit speċi. Il-lampea ""cydippid"" b'żewġ tentazzjonijiet titma 'esklussivament fuq salps, qraba mill-qrib ta' kwadri tal-baħar li jiffurmaw kolonji li jżommu f'katina kbira, u l-minorenni ta 'lampea jeħlu lilhom infushom"&amp;" bħal parassiti ma' Salps li huma kbar wisq biex jibilgħu. Membri tal-ġeneru Cydippid Pleurobrachia u l-lobate Bolinopsis ħafna drabi jilħqu densitajiet għoljin ta 'popolazzjoni fl-istess post u ħin minħabba li jispeċjalizzaw f'tipi differenti ta' priża: "&amp;"it-tentakli twal ta 'Pleubrachia jaqbdu prinċipalment għawwiema relattivament b'saħħithom bħal kopepodi adulti, filwaqt li l-bolinopsis ġeneralment jitfa' fuq iżgħar, Għawwiema aktar dgħajfa bħal rotifers u molluski u larva tal-krustaċji.")</f>
        <v>Kważi ċ-ctenophores kollha huma predaturi - m'hemmx vegetarjani u ġeneru wieħed biss li huwa parzjalment parassitiku. Jekk l-ikel huwa abbundanti, huma jistgħu jieklu 10 darbiet il-piż tagħhom stess kuljum. Filwaqt li Beroe jipprepara prinċipalment fuq ctenophores oħra, speċi oħra ta 'ilma tal-wiċċ priża fuq zooplankton (annimali planktoniċi) li jvarjaw fid-daqs mill-mikroskopiku, inklużi l-molluski u l-larva tal-ħut, għal krustaċji żgħar għall-adulti bħal kopepodi, anfipods, u anke Krill. Il-membri tal-ġeneru Haeckelia priża fuq il-bram u jinkorporaw in-nematokisti tal-priża tagħhom (ċelloli stinging) fit-tentakli tagħhom stess minflok il-kolloblasti. Ctenophores tqabblu ma 'brimb fil-firxa wiesgħa tagħhom ta' tekniki milli jaqbdu l-priża - uħud jiddendlu bla waqfien fl-ilma billi jużaw it-tentakli tagħhom bħala "nsiġ", uħud huma predaturi ta 'l-embush bħal brimb li jaqbżu l-melħ, u xi wħud mill-qtar li jwaħħal fl-aħħar ta' Ħajt fin, bħalma jagħmlu l-brimb Bolas. Din il-varjetà tispjega l-firxa wiesgħa ta 'forom tal-ġisem fi phylum bi ftit speċi. Il-lampea "cydippid" b'żewġ tentazzjonijiet titma 'esklussivament fuq salps, qraba mill-qrib ta' kwadri tal-baħar li jiffurmaw kolonji li jżommu f'katina kbira, u l-minorenni ta 'lampea jeħlu lilhom infushom bħal parassiti ma' Salps li huma kbar wisq biex jibilgħu. Membri tal-ġeneru Cydippid Pleurobrachia u l-lobate Bolinopsis ħafna drabi jilħqu densitajiet għoljin ta 'popolazzjoni fl-istess post u ħin minħabba li jispeċjalizzaw f'tipi differenti ta' priża: it-tentakli twal ta 'Pleubrachia jaqbdu prinċipalment għawwiema relattivament b'saħħithom bħal kopepodi adulti, filwaqt li l-bolinopsis ġeneralment jitfa' fuq iżgħar, Għawwiema aktar dgħajfa bħal rotifers u molluski u larva tal-krustaċji.</v>
      </c>
    </row>
    <row r="14971" ht="15.75" customHeight="1">
      <c r="A14971" s="2" t="s">
        <v>14971</v>
      </c>
      <c r="B14971" s="2" t="str">
        <f>IFERROR(__xludf.DUMMYFUNCTION("GOOGLETRANSLATE(A14971, ""en"", ""mt"")"),"Buddiżmu")</f>
        <v>Buddiżmu</v>
      </c>
    </row>
    <row r="14972" ht="15.75" customHeight="1">
      <c r="A14972" s="2" t="s">
        <v>14972</v>
      </c>
      <c r="B14972" s="2" t="str">
        <f>IFERROR(__xludf.DUMMYFUNCTION("GOOGLETRANSLATE(A14972, ""en"", ""mt"")"),"Filmmakers ibbażati fuq New York")</f>
        <v>Filmmakers ibbażati fuq New York</v>
      </c>
    </row>
    <row r="14973" ht="15.75" customHeight="1">
      <c r="A14973" s="2" t="s">
        <v>14973</v>
      </c>
      <c r="B14973" s="2" t="str">
        <f>IFERROR(__xludf.DUMMYFUNCTION("GOOGLETRANSLATE(A14973, ""en"", ""mt"")"),"Netwerk Blu NBC")</f>
        <v>Netwerk Blu NBC</v>
      </c>
    </row>
    <row r="14974" ht="15.75" customHeight="1">
      <c r="A14974" s="2" t="s">
        <v>14974</v>
      </c>
      <c r="B14974" s="2" t="str">
        <f>IFERROR(__xludf.DUMMYFUNCTION("GOOGLETRANSLATE(A14974, ""en"", ""mt"")"),"Il-korpi akkademiċi tal-Università ta ’Chicago jikkonsistu fil-kulleġġ, erba’ diviżjonijiet ta ’riċerka gradwata u seba’ skejjel professjonali. L-università fiha wkoll sistema tal-librerija, l-Università ta ’Chicago Press, l-Iskejjel tal-Laboratorju tal-U"&amp;"niversità ta’ Chicago, u ċ-Ċentru Mediku tal-Università ta ’Chicago, u għandha rabtiet ma’ numru ta ’istituzzjonijiet akkademiċi indipendenti, inkluż Fermilab, Laboratorju Nazzjonali ta’ Argonne, u l-Marine Laboratorju Bijoloġiku. L-università hija akkred"&amp;"itata mill-Kummissjoni tat-Tagħlim Ogħla.")</f>
        <v>Il-korpi akkademiċi tal-Università ta ’Chicago jikkonsistu fil-kulleġġ, erba’ diviżjonijiet ta ’riċerka gradwata u seba’ skejjel professjonali. L-università fiha wkoll sistema tal-librerija, l-Università ta ’Chicago Press, l-Iskejjel tal-Laboratorju tal-Università ta’ Chicago, u ċ-Ċentru Mediku tal-Università ta ’Chicago, u għandha rabtiet ma’ numru ta ’istituzzjonijiet akkademiċi indipendenti, inkluż Fermilab, Laboratorju Nazzjonali ta’ Argonne, u l-Marine Laboratorju Bijoloġiku. L-università hija akkreditata mill-Kummissjoni tat-Tagħlim Ogħla.</v>
      </c>
    </row>
    <row r="14975" ht="15.75" customHeight="1">
      <c r="A14975" s="2" t="s">
        <v>14975</v>
      </c>
      <c r="B14975" s="2" t="str">
        <f>IFERROR(__xludf.DUMMYFUNCTION("GOOGLETRANSLATE(A14975, ""en"", ""mt"")"),"X'inhi waħda mill-ikbar u l-aktar istituzzjonijiet onkoloġiċi moderni fl-Ewropa?")</f>
        <v>X'inhi waħda mill-ikbar u l-aktar istituzzjonijiet onkoloġiċi moderni fl-Ewropa?</v>
      </c>
    </row>
    <row r="14976" ht="15.75" customHeight="1">
      <c r="A14976" s="2" t="s">
        <v>14976</v>
      </c>
      <c r="B14976" s="2" t="str">
        <f>IFERROR(__xludf.DUMMYFUNCTION("GOOGLETRANSLATE(A14976, ""en"", ""mt"")"),"Matul is-seklu 20, l-istoriċi John Gallagher (1919–1980) u Ronald Robinson (1920–1999) bnew qafas biex jifhmu l-imperjalizmu Ewropew. Huma jsostnu li l-imperjalizmu Ewropew kien influwenti, u l-Ewropej irrifjutaw il-kunċett li l- ""imperjalizmu"" kien jeħ"&amp;"tieġ kontroll formali u legali minn gvern wieħed fuq pajjiż ieħor. ""Fil-fehma tagħhom, l-istoriċi ġew imxerrda mill-imperu formali u l-mapep tad-dinja b'reġjuni kkuluriti ħomor. Il-biċċa l-kbira tal-emigrazzjoni, il-kummerċ u l-kapital Ingliżi marru f'żo"&amp;"ni barra l-imperu Brittaniku formali. Il-muftieħ għall-ħsieb tagħhom huwa l-idea tal-imperu ""Informalment jekk possibbli u formalment jekk meħtieġ."" ""[Attribuzzjoni meħtieġa] Minħabba r-riżorsi magħmula disponibbli mill-imperjalizmu, l-ekonomija tad-di"&amp;"nja kibret b'mod sinifikanti u saret ħafna iktar interkonnessa fid-deċennji ta 'qabel l-Ewwel Gwerra Dinjija, u għamlet il-ħafna poteri imperjali sinjuri u sinjuri -")</f>
        <v>Matul is-seklu 20, l-istoriċi John Gallagher (1919–1980) u Ronald Robinson (1920–1999) bnew qafas biex jifhmu l-imperjalizmu Ewropew. Huma jsostnu li l-imperjalizmu Ewropew kien influwenti, u l-Ewropej irrifjutaw il-kunċett li l- "imperjalizmu" kien jeħtieġ kontroll formali u legali minn gvern wieħed fuq pajjiż ieħor. "Fil-fehma tagħhom, l-istoriċi ġew imxerrda mill-imperu formali u l-mapep tad-dinja b'reġjuni kkuluriti ħomor. Il-biċċa l-kbira tal-emigrazzjoni, il-kummerċ u l-kapital Ingliżi marru f'żoni barra l-imperu Brittaniku formali. Il-muftieħ għall-ħsieb tagħhom huwa l-idea tal-imperu "Informalment jekk possibbli u formalment jekk meħtieġ." "[Attribuzzjoni meħtieġa] Minħabba r-riżorsi magħmula disponibbli mill-imperjalizmu, l-ekonomija tad-dinja kibret b'mod sinifikanti u saret ħafna iktar interkonnessa fid-deċennji ta 'qabel l-Ewwel Gwerra Dinjija, u għamlet il-ħafna poteri imperjali sinjuri u sinjuri -</v>
      </c>
    </row>
    <row r="14977" ht="15.75" customHeight="1">
      <c r="A14977" s="2" t="s">
        <v>14977</v>
      </c>
      <c r="B14977" s="2" t="str">
        <f>IFERROR(__xludf.DUMMYFUNCTION("GOOGLETRANSLATE(A14977, ""en"", ""mt"")"),"Liema sintomu relatat mal-ġilda jidher mill-pesta pnewmonika?")</f>
        <v>Liema sintomu relatat mal-ġilda jidher mill-pesta pnewmonika?</v>
      </c>
    </row>
    <row r="14978" ht="15.75" customHeight="1">
      <c r="A14978" s="2" t="s">
        <v>14978</v>
      </c>
      <c r="B14978" s="2" t="str">
        <f>IFERROR(__xludf.DUMMYFUNCTION("GOOGLETRANSLATE(A14978, ""en"", ""mt"")"),"ta 'l-Istati Uniti, il-Gran Brittanja, il-Ġermanja u Franza")</f>
        <v>ta 'l-Istati Uniti, il-Gran Brittanja, il-Ġermanja u Franza</v>
      </c>
    </row>
    <row r="14979" ht="15.75" customHeight="1">
      <c r="A14979" s="2" t="s">
        <v>14979</v>
      </c>
      <c r="B14979" s="2" t="str">
        <f>IFERROR(__xludf.DUMMYFUNCTION("GOOGLETRANSLATE(A14979, ""en"", ""mt"")"),"Tiddisturbax ""Sinjal")</f>
        <v>Tiddisturbax "Sinjal</v>
      </c>
    </row>
    <row r="14980" ht="15.75" customHeight="1">
      <c r="A14980" s="2" t="s">
        <v>14980</v>
      </c>
      <c r="B14980" s="2" t="str">
        <f>IFERROR(__xludf.DUMMYFUNCTION("GOOGLETRANSLATE(A14980, ""en"", ""mt"")"),"Il-ħalq tar-Renu fil-Lag Constance jifforma delta interna. Id-delta hija delimitata fil-Punent mill-Alter Rhein (""Old Rhine"") u fil-Lvant minn sezzjoni moderna kanalizzata. Il-biċċa l-kbira tad-delta hija santwarju tar-riserva naturali u tal-għasafar. D"&amp;"an jinkludi l-bliet Awstrijaċi ta 'Gaißau, Höchst u Fußach. Ir-Rhine Naturali oriġinarjament ramifikat f'mill-inqas żewġ dirgħajn u ffurma gżejjer żgħar billi jippreċipitaw is-sedimenti. Fid-djalett Alemannic lokali, is-singular huwa ppronunzjat ""Isel"" "&amp;"u din hija wkoll il-pronunzja lokali ta 'Esel (""Donkey""). Ħafna oqsma lokali għandhom isem uffiċjali li fih dan l-element.")</f>
        <v>Il-ħalq tar-Renu fil-Lag Constance jifforma delta interna. Id-delta hija delimitata fil-Punent mill-Alter Rhein ("Old Rhine") u fil-Lvant minn sezzjoni moderna kanalizzata. Il-biċċa l-kbira tad-delta hija santwarju tar-riserva naturali u tal-għasafar. Dan jinkludi l-bliet Awstrijaċi ta 'Gaißau, Höchst u Fußach. Ir-Rhine Naturali oriġinarjament ramifikat f'mill-inqas żewġ dirgħajn u ffurma gżejjer żgħar billi jippreċipitaw is-sedimenti. Fid-djalett Alemannic lokali, is-singular huwa ppronunzjat "Isel" u din hija wkoll il-pronunzja lokali ta 'Esel ("Donkey"). Ħafna oqsma lokali għandhom isem uffiċjali li fih dan l-element.</v>
      </c>
    </row>
    <row r="14981" ht="15.75" customHeight="1">
      <c r="A14981" s="2" t="s">
        <v>14981</v>
      </c>
      <c r="B14981" s="2" t="str">
        <f>IFERROR(__xludf.DUMMYFUNCTION("GOOGLETRANSLATE(A14981, ""en"", ""mt"")"),"X'inhi r-reliġjon ewlenija fil-Kenja?")</f>
        <v>X'inhi r-reliġjon ewlenija fil-Kenja?</v>
      </c>
    </row>
    <row r="14982" ht="15.75" customHeight="1">
      <c r="A14982" s="2" t="s">
        <v>14982</v>
      </c>
      <c r="B14982" s="2" t="str">
        <f>IFERROR(__xludf.DUMMYFUNCTION("GOOGLETRANSLATE(A14982, ""en"", ""mt"")"),"Ġwanni 8: 7")</f>
        <v>Ġwanni 8: 7</v>
      </c>
    </row>
    <row r="14983" ht="15.75" customHeight="1">
      <c r="A14983" s="2" t="s">
        <v>14983</v>
      </c>
      <c r="B14983" s="2" t="str">
        <f>IFERROR(__xludf.DUMMYFUNCTION("GOOGLETRANSLATE(A14983, ""en"", ""mt"")"),"X'inhu involut f'reviżjoni ta 'mediċini preskritti?")</f>
        <v>X'inhu involut f'reviżjoni ta 'mediċini preskritti?</v>
      </c>
    </row>
    <row r="14984" ht="15.75" customHeight="1">
      <c r="A14984" s="2" t="s">
        <v>14984</v>
      </c>
      <c r="B14984" s="2" t="str">
        <f>IFERROR(__xludf.DUMMYFUNCTION("GOOGLETRANSLATE(A14984, ""en"", ""mt"")"),"konverżjoni")</f>
        <v>konverżjoni</v>
      </c>
    </row>
    <row r="14985" ht="15.75" customHeight="1">
      <c r="A14985" s="2" t="s">
        <v>14985</v>
      </c>
      <c r="B14985" s="2" t="str">
        <f>IFERROR(__xludf.DUMMYFUNCTION("GOOGLETRANSLATE(A14985, ""en"", ""mt"")"),"X'qed tagħmel il-Kenja biex tiddetermina jekk hemmx aktar riżervi?")</f>
        <v>X'qed tagħmel il-Kenja biex tiddetermina jekk hemmx aktar riżervi?</v>
      </c>
    </row>
    <row r="14986" ht="15.75" customHeight="1">
      <c r="A14986" s="2" t="s">
        <v>14986</v>
      </c>
      <c r="B14986" s="2" t="str">
        <f>IFERROR(__xludf.DUMMYFUNCTION("GOOGLETRANSLATE(A14986, ""en"", ""mt"")"),"kwart")</f>
        <v>kwart</v>
      </c>
    </row>
    <row r="14987" ht="15.75" customHeight="1">
      <c r="A14987" s="2" t="s">
        <v>14987</v>
      </c>
      <c r="B14987" s="2" t="str">
        <f>IFERROR(__xludf.DUMMYFUNCTION("GOOGLETRANSLATE(A14987, ""en"", ""mt"")"),"X'ġara bir-rata tal-fluss fir-Renu bil-programm li jillixxa?")</f>
        <v>X'ġara bir-rata tal-fluss fir-Renu bil-programm li jillixxa?</v>
      </c>
    </row>
    <row r="14988" ht="15.75" customHeight="1">
      <c r="A14988" s="2" t="s">
        <v>14988</v>
      </c>
      <c r="B14988" s="2" t="str">
        <f>IFERROR(__xludf.DUMMYFUNCTION("GOOGLETRANSLATE(A14988, ""en"", ""mt"")"),"Brittanja")</f>
        <v>Brittanja</v>
      </c>
    </row>
    <row r="14989" ht="15.75" customHeight="1">
      <c r="A14989" s="2" t="s">
        <v>14989</v>
      </c>
      <c r="B14989" s="2" t="str">
        <f>IFERROR(__xludf.DUMMYFUNCTION("GOOGLETRANSLATE(A14989, ""en"", ""mt"")"),"Liema apparat mediku jista 'jkun ta' tħassib għat-tossiċità tal-ossiġnu?")</f>
        <v>Liema apparat mediku jista 'jkun ta' tħassib għat-tossiċità tal-ossiġnu?</v>
      </c>
    </row>
    <row r="14990" ht="15.75" customHeight="1">
      <c r="A14990" s="2" t="s">
        <v>14990</v>
      </c>
      <c r="B14990" s="2" t="str">
        <f>IFERROR(__xludf.DUMMYFUNCTION("GOOGLETRANSLATE(A14990, ""en"", ""mt"")"),"Lil min issottometti l-mappa William MacLure?")</f>
        <v>Lil min issottometti l-mappa William MacLure?</v>
      </c>
    </row>
    <row r="14991" ht="15.75" customHeight="1">
      <c r="A14991" s="2" t="s">
        <v>14991</v>
      </c>
      <c r="B14991" s="2" t="str">
        <f>IFERROR(__xludf.DUMMYFUNCTION("GOOGLETRANSLATE(A14991, ""en"", ""mt"")"),"X'kien l-isem ta 'l-istil Ċiniż ta' Temur Khan?")</f>
        <v>X'kien l-isem ta 'l-istil Ċiniż ta' Temur Khan?</v>
      </c>
    </row>
    <row r="14992" ht="15.75" customHeight="1">
      <c r="A14992" s="2" t="s">
        <v>14992</v>
      </c>
      <c r="B14992" s="2" t="str">
        <f>IFERROR(__xludf.DUMMYFUNCTION("GOOGLETRANSLATE(A14992, ""en"", ""mt"")"),"Hija estensjoni loġika tal-magna kompost (deskritta hawn fuq) biex taqsam l-espansjoni fi stadji għadhom aktar biex tiżdied l-effiċjenza. Ir-riżultat huwa l-magna ta 'espansjoni multipla. Magni bħal dawn jużaw jew tlieta jew erba 'stadji ta' espansjoni u "&amp;"huma magħrufa bħala magni ta 'espansjoni tripla u quadruple rispettivament. Dawn il-magni jużaw serje ta 'ċilindri ta' dijametru li qed jiżdied progressivament. Dawn iċ-ċilindri huma ddisinjati biex jaqsmu x-xogħol f'ishma ugwali għal kull stadju ta 'espa"&amp;"nsjoni. Bħal fil-każ tal-magna ta 'espansjoni doppja, jekk l-ispazju jkun premium, allura żewġ ċilindri iżgħar jistgħu jintużaw għall-istadju ta' pressjoni baxxa. Magni ta 'espansjoni multipli tipikament kellhom iċ-ċilindri rranġati inline, iżda ġew użati"&amp;" diversi formazzjonijiet oħra. Fl-aħħar tas-seklu 19, is-sistema ta 'ibbilanċjar ta' Yarrow-Schlick-Tweedy intuża fuq xi magni ta 'espansjoni tripla tal-baħar. Il-magni Y-S-T qasmu l-istadji ta 'espansjoni ta' pressjoni baxxa bejn żewġ ċilindri, wieħed f'"&amp;"kull tarf tal-magna. Dan ippermetta li l-manovella tkun ibbilanċjata aħjar, li tirriżulta f'magna lixxa u li tirrispondi aktar malajr li dam b'inqas vibrazzjoni. Dan għamel il-magna ta '4 ċilindri ta' espansjoni tripla popolari ma 'inforor kbar tal-passiġ"&amp;"ġieri (bħall-klassi Olimpika), iżda dan ġie sostitwit fl-aħħar mill-magna tat-turbina kważi bla vibrazzjonijiet. [Ċitazzjoni meħtieġa]")</f>
        <v>Hija estensjoni loġika tal-magna kompost (deskritta hawn fuq) biex taqsam l-espansjoni fi stadji għadhom aktar biex tiżdied l-effiċjenza. Ir-riżultat huwa l-magna ta 'espansjoni multipla. Magni bħal dawn jużaw jew tlieta jew erba 'stadji ta' espansjoni u huma magħrufa bħala magni ta 'espansjoni tripla u quadruple rispettivament. Dawn il-magni jużaw serje ta 'ċilindri ta' dijametru li qed jiżdied progressivament. Dawn iċ-ċilindri huma ddisinjati biex jaqsmu x-xogħol f'ishma ugwali għal kull stadju ta 'espansjoni. Bħal fil-każ tal-magna ta 'espansjoni doppja, jekk l-ispazju jkun premium, allura żewġ ċilindri iżgħar jistgħu jintużaw għall-istadju ta' pressjoni baxxa. Magni ta 'espansjoni multipli tipikament kellhom iċ-ċilindri rranġati inline, iżda ġew użati diversi formazzjonijiet oħra. Fl-aħħar tas-seklu 19, is-sistema ta 'ibbilanċjar ta' Yarrow-Schlick-Tweedy intuża fuq xi magni ta 'espansjoni tripla tal-baħar. Il-magni Y-S-T qasmu l-istadji ta 'espansjoni ta' pressjoni baxxa bejn żewġ ċilindri, wieħed f'kull tarf tal-magna. Dan ippermetta li l-manovella tkun ibbilanċjata aħjar, li tirriżulta f'magna lixxa u li tirrispondi aktar malajr li dam b'inqas vibrazzjoni. Dan għamel il-magna ta '4 ċilindri ta' espansjoni tripla popolari ma 'inforor kbar tal-passiġġieri (bħall-klassi Olimpika), iżda dan ġie sostitwit fl-aħħar mill-magna tat-turbina kważi bla vibrazzjonijiet. [Ċitazzjoni meħtieġa]</v>
      </c>
    </row>
    <row r="14993" ht="15.75" customHeight="1">
      <c r="A14993" s="2" t="s">
        <v>14993</v>
      </c>
      <c r="B14993" s="2" t="str">
        <f>IFERROR(__xludf.DUMMYFUNCTION("GOOGLETRANSLATE(A14993, ""en"", ""mt"")"),"Ministri")</f>
        <v>Ministri</v>
      </c>
    </row>
    <row r="14994" ht="15.75" customHeight="1">
      <c r="A14994" s="2" t="s">
        <v>14994</v>
      </c>
      <c r="B14994" s="2" t="str">
        <f>IFERROR(__xludf.DUMMYFUNCTION("GOOGLETRANSLATE(A14994, ""en"", ""mt"")"),"karbonju li jinsab fil-veġetazzjoni")</f>
        <v>karbonju li jinsab fil-veġetazzjoni</v>
      </c>
    </row>
    <row r="14995" ht="15.75" customHeight="1">
      <c r="A14995" s="2" t="s">
        <v>14995</v>
      </c>
      <c r="B14995" s="2" t="str">
        <f>IFERROR(__xludf.DUMMYFUNCTION("GOOGLETRANSLATE(A14995, ""en"", ""mt"")"),"X'kien it-titlu Ingliż tal-ktieb ta 'Polo?")</f>
        <v>X'kien it-titlu Ingliż tal-ktieb ta 'Polo?</v>
      </c>
    </row>
    <row r="14996" ht="15.75" customHeight="1">
      <c r="A14996" s="2" t="s">
        <v>14996</v>
      </c>
      <c r="B14996" s="2" t="str">
        <f>IFERROR(__xludf.DUMMYFUNCTION("GOOGLETRANSLATE(A14996, ""en"", ""mt"")"),"F'liema ġurnata saret il-lejl tal-ftuħ tas-Super Bowl?")</f>
        <v>F'liema ġurnata saret il-lejl tal-ftuħ tas-Super Bowl?</v>
      </c>
    </row>
    <row r="14997" ht="15.75" customHeight="1">
      <c r="A14997" s="2" t="s">
        <v>14997</v>
      </c>
      <c r="B14997" s="2" t="str">
        <f>IFERROR(__xludf.DUMMYFUNCTION("GOOGLETRANSLATE(A14997, ""en"", ""mt"")"),"Formula ta 'interpolazzjoni kubika")</f>
        <v>Formula ta 'interpolazzjoni kubika</v>
      </c>
    </row>
    <row r="14998" ht="15.75" customHeight="1">
      <c r="A14998" s="2" t="s">
        <v>14998</v>
      </c>
      <c r="B14998" s="2" t="str">
        <f>IFERROR(__xludf.DUMMYFUNCTION("GOOGLETRANSLATE(A14998, ""en"", ""mt"")"),"gwerra, ġuħ, u temp")</f>
        <v>gwerra, ġuħ, u temp</v>
      </c>
    </row>
    <row r="14999" ht="15.75" customHeight="1">
      <c r="A14999" s="2" t="s">
        <v>14999</v>
      </c>
      <c r="B14999" s="2" t="str">
        <f>IFERROR(__xludf.DUMMYFUNCTION("GOOGLETRANSLATE(A14999, ""en"", ""mt"")"),"X’kopera l-Iskandinavja, il-Baltiċi, l-Iskozja, u l-Alpi fl-aħħar era tas-silġ?")</f>
        <v>X’kopera l-Iskandinavja, il-Baltiċi, l-Iskozja, u l-Alpi fl-aħħar era tas-silġ?</v>
      </c>
    </row>
    <row r="15000" ht="15.75" customHeight="1">
      <c r="A15000" s="2" t="s">
        <v>15000</v>
      </c>
      <c r="B15000" s="2" t="str">
        <f>IFERROR(__xludf.DUMMYFUNCTION("GOOGLETRANSLATE(A15000, ""en"", ""mt"")"),"deterministikament")</f>
        <v>deterministikament</v>
      </c>
    </row>
    <row r="15001" ht="15.75" customHeight="1">
      <c r="A15001" s="2" t="s">
        <v>15001</v>
      </c>
      <c r="B15001" s="2" t="str">
        <f>IFERROR(__xludf.DUMMYFUNCTION("GOOGLETRANSLATE(A15001, ""en"", ""mt"")"),"X'kienu tnejn mill-isbaħ bini arkitettoniku ta 'Fresno li issa huma mwaqqa'?")</f>
        <v>X'kienu tnejn mill-isbaħ bini arkitettoniku ta 'Fresno li issa huma mwaqqa'?</v>
      </c>
    </row>
    <row r="15002" ht="15.75" customHeight="1">
      <c r="A15002" s="2" t="s">
        <v>15002</v>
      </c>
      <c r="B15002" s="2" t="str">
        <f>IFERROR(__xludf.DUMMYFUNCTION("GOOGLETRANSLATE(A15002, ""en"", ""mt"")"),"Kif huma rregolati l-ispiżjara fil-biċċa l-kbira tal-ġurisdizzjonijiet?")</f>
        <v>Kif huma rregolati l-ispiżjara fil-biċċa l-kbira tal-ġurisdizzjonijiet?</v>
      </c>
    </row>
    <row r="15003" ht="15.75" customHeight="1">
      <c r="A15003" s="2" t="s">
        <v>15003</v>
      </c>
      <c r="B15003" s="2" t="str">
        <f>IFERROR(__xludf.DUMMYFUNCTION("GOOGLETRANSLATE(A15003, ""en"", ""mt"")"),"Trotsky ħaseb dak li kien meħtieġ għal rivoluzzjoni Russa vera.")</f>
        <v>Trotsky ħaseb dak li kien meħtieġ għal rivoluzzjoni Russa vera.</v>
      </c>
    </row>
    <row r="15004" ht="15.75" customHeight="1">
      <c r="A15004" s="2" t="s">
        <v>15004</v>
      </c>
      <c r="B15004" s="2" t="str">
        <f>IFERROR(__xludf.DUMMYFUNCTION("GOOGLETRANSLATE(A15004, ""en"", ""mt"")"),"Ħtieġa għal alleanzi.")</f>
        <v>Ħtieġa għal alleanzi.</v>
      </c>
    </row>
    <row r="15005" ht="15.75" customHeight="1">
      <c r="A15005" s="2" t="s">
        <v>15005</v>
      </c>
      <c r="B15005" s="2" t="str">
        <f>IFERROR(__xludf.DUMMYFUNCTION("GOOGLETRANSLATE(A15005, ""en"", ""mt"")"),"Kummerċ, skola u gvern.")</f>
        <v>Kummerċ, skola u gvern.</v>
      </c>
    </row>
    <row r="15006" ht="15.75" customHeight="1">
      <c r="A15006" s="2" t="s">
        <v>15006</v>
      </c>
      <c r="B15006" s="2" t="str">
        <f>IFERROR(__xludf.DUMMYFUNCTION("GOOGLETRANSLATE(A15006, ""en"", ""mt"")"),"Kemm idum Phillips imexxi l-missjonijiet Apollo?")</f>
        <v>Kemm idum Phillips imexxi l-missjonijiet Apollo?</v>
      </c>
    </row>
    <row r="15007" ht="15.75" customHeight="1">
      <c r="A15007" s="2" t="s">
        <v>15007</v>
      </c>
      <c r="B15007" s="2" t="str">
        <f>IFERROR(__xludf.DUMMYFUNCTION("GOOGLETRANSLATE(A15007, ""en"", ""mt"")"),"Għaliex id-dikjarazzjoni hija dubjuża f'għajnejn l-istudjużi?")</f>
        <v>Għaliex id-dikjarazzjoni hija dubjuża f'għajnejn l-istudjużi?</v>
      </c>
    </row>
    <row r="15008" ht="15.75" customHeight="1">
      <c r="A15008" s="2" t="s">
        <v>15008</v>
      </c>
      <c r="B15008" s="2" t="str">
        <f>IFERROR(__xludf.DUMMYFUNCTION("GOOGLETRANSLATE(A15008, ""en"", ""mt"")"),"Id-disponibbiltà frekwenti ta 'liema sustanza ppermettiet li l-magni tal-fwar ibbażati fuq l-art jeżawrixxu ħafna fwar?")</f>
        <v>Id-disponibbiltà frekwenti ta 'liema sustanza ppermettiet li l-magni tal-fwar ibbażati fuq l-art jeżawrixxu ħafna fwar?</v>
      </c>
    </row>
    <row r="15009" ht="15.75" customHeight="1">
      <c r="A15009" s="2" t="s">
        <v>15009</v>
      </c>
      <c r="B15009" s="2" t="str">
        <f>IFERROR(__xludf.DUMMYFUNCTION("GOOGLETRANSLATE(A15009, ""en"", ""mt"")"),"X'kien il-kreditu ewlieni ta 'Michael Eisner fil-ħin tiegħu f'ABC?")</f>
        <v>X'kien il-kreditu ewlieni ta 'Michael Eisner fil-ħin tiegħu f'ABC?</v>
      </c>
    </row>
    <row r="15010" ht="15.75" customHeight="1">
      <c r="A15010" s="2" t="s">
        <v>15010</v>
      </c>
      <c r="B15010" s="2" t="str">
        <f>IFERROR(__xludf.DUMMYFUNCTION("GOOGLETRANSLATE(A15010, ""en"", ""mt"")"),"Is-sistema tal-burokrazija maħluqa minn Kublai Khan kienet tirrifletti diversi kulturi fl-imperu, inkluż dik taċ-Ċiniżi Han, Khitans, Jurchens, Mongols, u Buddisti Tibetani. Filwaqt li t-terminoloġija uffiċjali tal-istituzzjonijiet tista 'tindika li l-ist"&amp;"ruttura tal-gvern kienet kważi purament dik tad-dinastiji Ċiniżi indiġeni, il-burokrazija tal-wan fil-fatt kienet tikkonsisti f'taħlita ta' elementi minn kulturi differenti. L-elementi ta 'l-istil Ċiniż tal-burokrazija ġew prinċipalment mill-kanzunetta in"&amp;"diġena, kif ukoll mid-dinastiji ta' Khitan Liao u Jurchen Jin. Konsulenti Ċiniżi bħal Liu Bingzhong u Yao Shu taw influwenza qawwija lill-qorti bikrija ta 'Kublai, u l-amministrazzjoni tal-gvern ċentrali ġiet stabbilita fl-ewwel għaxar snin tar-renju ta' "&amp;"Kublai. Dan il-gvern adotta d-diviżjoni tradizzjonali tat-tripartita Ċiniża tal-awtorità fost uffiċċji ċivili, militari u ċensuri, inkluż is-Segretarjat Ċentrali (Zhongshu Sheng) biex jimmaniġġja l-affarijiet ċivili, il-Kunsill Privat (Ċiniż: 樞密院) biex ji"&amp;"mmaniġġja l-affarijiet militari, u ċ-ċensura biex twettaq sorveljanza interna u spezzjoni. Il-funzjonijiet attwali tal-istituzzjonijiet tal-gvern ċentrali u lokali, madankollu, urew koinċidenza kbira bejn il-ġurisdizzjonijiet ċivili u militari, minħabba d"&amp;"-dipendenza tradizzjonali Mongoljana fuq istituzzjonijiet u uffiċċji militari bħala l-qalba tal-governanza. Madankollu, burokrazija ċivili bħal din, bis-Segretarjat Ċentrali bħala l-aqwa istituzzjoni li kienet (direttament jew indirettament) responsabbli "&amp;"għall-biċċa l-kbira tal-aġenziji governattivi l-oħra (bħalma kienet maħluqa s-sitt ministeri tradizzjonali tal-istil Ċiniż), inħolqot fiċ-Ċina. F’diversi żminijiet ta ’istituzzjoni oħra tal-gvern ċentrali msejħa d-Dipartiment tal-Affarijiet tal-Istat (Sha"&amp;"ngshu Sheng) li ttrattat prinċipalment il-finanzi ġie stabbilit (bħal matul ir-renju ta’ Külüg Khan jew l-Imperatur Wuzong), iżda ġeneralment kien abbandunat ftit wara.")</f>
        <v>Is-sistema tal-burokrazija maħluqa minn Kublai Khan kienet tirrifletti diversi kulturi fl-imperu, inkluż dik taċ-Ċiniżi Han, Khitans, Jurchens, Mongols, u Buddisti Tibetani. Filwaqt li t-terminoloġija uffiċjali tal-istituzzjonijiet tista 'tindika li l-istruttura tal-gvern kienet kważi purament dik tad-dinastiji Ċiniżi indiġeni, il-burokrazija tal-wan fil-fatt kienet tikkonsisti f'taħlita ta' elementi minn kulturi differenti. L-elementi ta 'l-istil Ċiniż tal-burokrazija ġew prinċipalment mill-kanzunetta indiġena, kif ukoll mid-dinastiji ta' Khitan Liao u Jurchen Jin. Konsulenti Ċiniżi bħal Liu Bingzhong u Yao Shu taw influwenza qawwija lill-qorti bikrija ta 'Kublai, u l-amministrazzjoni tal-gvern ċentrali ġiet stabbilita fl-ewwel għaxar snin tar-renju ta' Kublai. Dan il-gvern adotta d-diviżjoni tradizzjonali tat-tripartita Ċiniża tal-awtorità fost uffiċċji ċivili, militari u ċensuri, inkluż is-Segretarjat Ċentrali (Zhongshu Sheng) biex jimmaniġġja l-affarijiet ċivili, il-Kunsill Privat (Ċiniż: 樞密院) biex jimmaniġġja l-affarijiet militari, u ċ-ċensura biex twettaq sorveljanza interna u spezzjoni. Il-funzjonijiet attwali tal-istituzzjonijiet tal-gvern ċentrali u lokali, madankollu, urew koinċidenza kbira bejn il-ġurisdizzjonijiet ċivili u militari, minħabba d-dipendenza tradizzjonali Mongoljana fuq istituzzjonijiet u uffiċċji militari bħala l-qalba tal-governanza. Madankollu, burokrazija ċivili bħal din, bis-Segretarjat Ċentrali bħala l-aqwa istituzzjoni li kienet (direttament jew indirettament) responsabbli għall-biċċa l-kbira tal-aġenziji governattivi l-oħra (bħalma kienet maħluqa s-sitt ministeri tradizzjonali tal-istil Ċiniż), inħolqot fiċ-Ċina. F’diversi żminijiet ta ’istituzzjoni oħra tal-gvern ċentrali msejħa d-Dipartiment tal-Affarijiet tal-Istat (Shangshu Sheng) li ttrattat prinċipalment il-finanzi ġie stabbilit (bħal matul ir-renju ta’ Külüg Khan jew l-Imperatur Wuzong), iżda ġeneralment kien abbandunat ftit wara.</v>
      </c>
    </row>
    <row r="15011" ht="15.75" customHeight="1">
      <c r="A15011" s="2" t="s">
        <v>15011</v>
      </c>
      <c r="B15011" s="2" t="str">
        <f>IFERROR(__xludf.DUMMYFUNCTION("GOOGLETRANSLATE(A15011, ""en"", ""mt"")"),"spazju vojt")</f>
        <v>spazju vojt</v>
      </c>
    </row>
    <row r="15012" ht="15.75" customHeight="1">
      <c r="A15012" s="2" t="s">
        <v>15012</v>
      </c>
      <c r="B15012" s="2" t="str">
        <f>IFERROR(__xludf.DUMMYFUNCTION("GOOGLETRANSLATE(A15012, ""en"", ""mt"")"),"Is-saħħa ħażina ta 'William Hartnell")</f>
        <v>Is-saħħa ħażina ta 'William Hartnell</v>
      </c>
    </row>
    <row r="15013" ht="15.75" customHeight="1">
      <c r="A15013" s="2" t="s">
        <v>15013</v>
      </c>
      <c r="B15013" s="2" t="str">
        <f>IFERROR(__xludf.DUMMYFUNCTION("GOOGLETRANSLATE(A15013, ""en"", ""mt"")"),"Tesla sostniet li żviluppat il-prinċipju fiżiku tiegħu stess rigward il-materja u l-enerġija li beda jaħdem fuqu fl-1892, u fl-1937, fl-età ta '81, sostna f'ittra li temmet ""teorija dinamika tal-gravità"" li ""[kienet] tpoġġi itemm spekulazzjonijiet wieq"&amp;"fa u kunċetti foloz, bħal dak tal-ispazju mgħawweġ. "" Huwa ddikjara li t-teorija kienet ""maħduma fid-dettalji kollha"" u li huwa jittama li dalwaqt jagħtiha lid-dinja. Aktar eluċidazzjoni tat-teorija tiegħu qatt ma nstabet fil-kitbiet tiegħu.:309")</f>
        <v>Tesla sostniet li żviluppat il-prinċipju fiżiku tiegħu stess rigward il-materja u l-enerġija li beda jaħdem fuqu fl-1892, u fl-1937, fl-età ta '81, sostna f'ittra li temmet "teorija dinamika tal-gravità" li "[kienet] tpoġġi itemm spekulazzjonijiet wieqfa u kunċetti foloz, bħal dak tal-ispazju mgħawweġ. " Huwa ddikjara li t-teorija kienet "maħduma fid-dettalji kollha" u li huwa jittama li dalwaqt jagħtiha lid-dinja. Aktar eluċidazzjoni tat-teorija tiegħu qatt ma nstabet fil-kitbiet tiegħu.:309</v>
      </c>
    </row>
    <row r="15014" ht="15.75" customHeight="1">
      <c r="A15014" s="2" t="s">
        <v>15014</v>
      </c>
      <c r="B15014" s="2" t="str">
        <f>IFERROR(__xludf.DUMMYFUNCTION("GOOGLETRANSLATE(A15014, ""en"", ""mt"")"),"Mudelli ta 'unifikazzjoni awto-konsistenti")</f>
        <v>Mudelli ta 'unifikazzjoni awto-konsistenti</v>
      </c>
    </row>
    <row r="15015" ht="15.75" customHeight="1">
      <c r="A15015" s="2" t="s">
        <v>15015</v>
      </c>
      <c r="B15015" s="2" t="str">
        <f>IFERROR(__xludf.DUMMYFUNCTION("GOOGLETRANSLATE(A15015, ""en"", ""mt"")"),"toroq, pontijiet u pjazi kbar")</f>
        <v>toroq, pontijiet u pjazi kbar</v>
      </c>
    </row>
    <row r="15016" ht="15.75" customHeight="1">
      <c r="A15016" s="2" t="s">
        <v>15016</v>
      </c>
      <c r="B15016" s="2" t="str">
        <f>IFERROR(__xludf.DUMMYFUNCTION("GOOGLETRANSLATE(A15016, ""en"", ""mt"")"),"Artikoli ta 'Smalcald")</f>
        <v>Artikoli ta 'Smalcald</v>
      </c>
    </row>
    <row r="15017" ht="15.75" customHeight="1">
      <c r="A15017" s="2" t="s">
        <v>15017</v>
      </c>
      <c r="B15017" s="2" t="str">
        <f>IFERROR(__xludf.DUMMYFUNCTION("GOOGLETRANSLATE(A15017, ""en"", ""mt"")"),"Minn April 2014, hemm 88 skejjel privati ​​fi New Zealand, li jħejju għal madwar 28,000 student jew 3.7% tal-popolazzjoni tal-istudenti kollha. In-numri ta 'skejjel privati ​​ilhom jonqsu minn nofs is-snin sebgħin bħala riżultat ta' ħafna skejjel privati "&amp;"​​li jagħżlu li jsiru skejjel integrati fl-istat, l-aktar dovuti minn diffikultajiet finanzjarji li joħorġu minn bidliet fin-numri tal-istudenti u / jew fl-ekonomija. L-iskejjel integrati fl-istat iżommu l-karattru speċjali tal-iskola privata tagħhom u ji"&amp;"rċievu fondi tal-istat biex ikollhom joperaw bħal skola tal-istat, p.e. Għandhom jgħallmu l-kurrikulu tal-istat, iridu jimpjegaw għalliema rreġistrati, u ma jistgħux jiċċarġjaw miżati ta 'tagħlim (jistgħu jiċċarġjaw ""drittijiet ta' attendenza"" għaż-żamm"&amp;"a fuq l-art u l-bini tal-iskola li għadha privata). L-akbar tnaqqis fin-numri tal-iskejjel privati ​​seħħ bejn l-1979 u l-1984, meta s-sistema skolastika Kattolika ta 'dak iż-żmien kienet integrata. Bħala riżultat, skejjel privati ​​fi New Zealand issa hu"&amp;"ma fil-biċċa l-kbira ristretti għall-ikbar bliet (Auckland, Hamilton, Wellington u Christchurch) u swieq niċċa.")</f>
        <v>Minn April 2014, hemm 88 skejjel privati ​​fi New Zealand, li jħejju għal madwar 28,000 student jew 3.7% tal-popolazzjoni tal-istudenti kollha. In-numri ta 'skejjel privati ​​ilhom jonqsu minn nofs is-snin sebgħin bħala riżultat ta' ħafna skejjel privati ​​li jagħżlu li jsiru skejjel integrati fl-istat, l-aktar dovuti minn diffikultajiet finanzjarji li joħorġu minn bidliet fin-numri tal-istudenti u / jew fl-ekonomija. L-iskejjel integrati fl-istat iżommu l-karattru speċjali tal-iskola privata tagħhom u jirċievu fondi tal-istat biex ikollhom joperaw bħal skola tal-istat, p.e. Għandhom jgħallmu l-kurrikulu tal-istat, iridu jimpjegaw għalliema rreġistrati, u ma jistgħux jiċċarġjaw miżati ta 'tagħlim (jistgħu jiċċarġjaw "drittijiet ta' attendenza" għaż-żamma fuq l-art u l-bini tal-iskola li għadha privata). L-akbar tnaqqis fin-numri tal-iskejjel privati ​​seħħ bejn l-1979 u l-1984, meta s-sistema skolastika Kattolika ta 'dak iż-żmien kienet integrata. Bħala riżultat, skejjel privati ​​fi New Zealand issa huma fil-biċċa l-kbira ristretti għall-ikbar bliet (Auckland, Hamilton, Wellington u Christchurch) u swieq niċċa.</v>
      </c>
    </row>
    <row r="15018" ht="15.75" customHeight="1">
      <c r="A15018" s="2" t="s">
        <v>15018</v>
      </c>
      <c r="B15018" s="2" t="str">
        <f>IFERROR(__xludf.DUMMYFUNCTION("GOOGLETRANSLATE(A15018, ""en"", ""mt"")"),"Il-laqgħa tal-Assemblea Ġenerali tal-Knisja")</f>
        <v>Il-laqgħa tal-Assemblea Ġenerali tal-Knisja</v>
      </c>
    </row>
    <row r="15019" ht="15.75" customHeight="1">
      <c r="A15019" s="2" t="s">
        <v>15019</v>
      </c>
      <c r="B15019" s="2" t="str">
        <f>IFERROR(__xludf.DUMMYFUNCTION("GOOGLETRANSLATE(A15019, ""en"", ""mt"")"),"L-Imperatur Gegeen Khan, it-tifel u s-suċċessur ta 'Ayurbarwada, iddeċieda għal sentejn biss, mill-1321 sal-1323. Huwa kompla l-politiki ta' missieru biex jirriforma l-gvern ibbażat fuq il-prinċipji Confucian, bl-għajnuna tal-Gran Kanċillier Baiju. Matul "&amp;"ir-renju tiegħu, id-da Yuan Tong Zhi (Ċiniż: 大元 大元, ""L-Istituzzjonijiet Komprensivi tal-Yuan il-Kbir""), ġabra enormi ta 'kodiċi u regolamenti tad-dinastija Yuan li bdiet minn missieru, ġiet promulgata formalment. Gegeen ġie maqtul fi kolp ta ’stat li ji"&amp;"nvolvi ħames prinċpijiet minn fazzjoni rivali, forsi Steppe Elite opposta għar-riformi Confucian. Huma poġġew lil Yesün Temür (jew Taidingdi) fuq it-tron, u, wara tentattiv li ma rnexxiex biex jikkalma l-prinċpijiet, huwa wkoll ċedew għar-regiċida.")</f>
        <v>L-Imperatur Gegeen Khan, it-tifel u s-suċċessur ta 'Ayurbarwada, iddeċieda għal sentejn biss, mill-1321 sal-1323. Huwa kompla l-politiki ta' missieru biex jirriforma l-gvern ibbażat fuq il-prinċipji Confucian, bl-għajnuna tal-Gran Kanċillier Baiju. Matul ir-renju tiegħu, id-da Yuan Tong Zhi (Ċiniż: 大元 大元, "L-Istituzzjonijiet Komprensivi tal-Yuan il-Kbir"), ġabra enormi ta 'kodiċi u regolamenti tad-dinastija Yuan li bdiet minn missieru, ġiet promulgata formalment. Gegeen ġie maqtul fi kolp ta ’stat li jinvolvi ħames prinċpijiet minn fazzjoni rivali, forsi Steppe Elite opposta għar-riformi Confucian. Huma poġġew lil Yesün Temür (jew Taidingdi) fuq it-tron, u, wara tentattiv li ma rnexxiex biex jikkalma l-prinċpijiet, huwa wkoll ċedew għar-regiċida.</v>
      </c>
    </row>
    <row r="15020" ht="15.75" customHeight="1">
      <c r="A15020" s="2" t="s">
        <v>15020</v>
      </c>
      <c r="B15020" s="2" t="str">
        <f>IFERROR(__xludf.DUMMYFUNCTION("GOOGLETRANSLATE(A15020, ""en"", ""mt"")"),"12-il miljun")</f>
        <v>12-il miljun</v>
      </c>
    </row>
    <row r="15021" ht="15.75" customHeight="1">
      <c r="A15021" s="2" t="s">
        <v>15021</v>
      </c>
      <c r="B15021" s="2" t="str">
        <f>IFERROR(__xludf.DUMMYFUNCTION("GOOGLETRANSLATE(A15021, ""en"", ""mt"")"),"ir-raġel u l-missier")</f>
        <v>ir-raġel u l-missier</v>
      </c>
    </row>
    <row r="15022" ht="15.75" customHeight="1">
      <c r="A15022" s="2" t="s">
        <v>15022</v>
      </c>
      <c r="B15022" s="2" t="str">
        <f>IFERROR(__xludf.DUMMYFUNCTION("GOOGLETRANSLATE(A15022, ""en"", ""mt"")"),"Fejn il-lamtu tal-maħżen tad-diatom endosymbiont?")</f>
        <v>Fejn il-lamtu tal-maħżen tad-diatom endosymbiont?</v>
      </c>
    </row>
    <row r="15023" ht="15.75" customHeight="1">
      <c r="A15023" s="2" t="s">
        <v>15023</v>
      </c>
      <c r="B15023" s="2" t="str">
        <f>IFERROR(__xludf.DUMMYFUNCTION("GOOGLETRANSLATE(A15023, ""en"", ""mt"")"),"X'inhi l-konfini legali wara l-qoxra għolja u ta 'fuq?")</f>
        <v>X'inhi l-konfini legali wara l-qoxra għolja u ta 'fuq?</v>
      </c>
    </row>
    <row r="15024" ht="15.75" customHeight="1">
      <c r="A15024" s="2" t="s">
        <v>15024</v>
      </c>
      <c r="B15024" s="2" t="str">
        <f>IFERROR(__xludf.DUMMYFUNCTION("GOOGLETRANSLATE(A15024, ""en"", ""mt"")"),"Xi xerrejja lmentaw id-daqs żgħir tal-ewwel kumpatti Ġappuniżi, u kemm Toyota kif ukoll Nissan (dak iż-żmien magħrufa bħala Datsun) introduċew karozzi ikbar bħalma huma t-Toyota Corona Mark II, it-Toyota Cressida, il-Mazda 616 u Datsun 810, li żiedu l-isp"&amp;"azju tal-passiġġieri u Il-faċilitajiet bħall-kondizzjonament tal-arja, l-isteering tal-enerġija, ir-radji AM-FM, u anke t-twieqi tal-enerġija u l-illokkjar ċentrali mingħajr ma jiżdied il-prezz tal-vettura. Għaxar snin wara l-kriżi taż-żejt tal-1973, Hond"&amp;"a, Toyota u Nissan, affettwati mir-restrizzjonijiet volontarji tal-esportazzjoni tal-1981, fetħu impjanti tal-assemblaġġ tal-Istati Uniti u stabbilixxew id-diviżjonijiet lussużi tagħhom (Acura, Lexus u Infiniti, rispettivament) biex jiddistingwu ruħhom mi"&amp;"ll-marki tas-suq tal-massa tagħhom.")</f>
        <v>Xi xerrejja lmentaw id-daqs żgħir tal-ewwel kumpatti Ġappuniżi, u kemm Toyota kif ukoll Nissan (dak iż-żmien magħrufa bħala Datsun) introduċew karozzi ikbar bħalma huma t-Toyota Corona Mark II, it-Toyota Cressida, il-Mazda 616 u Datsun 810, li żiedu l-ispazju tal-passiġġieri u Il-faċilitajiet bħall-kondizzjonament tal-arja, l-isteering tal-enerġija, ir-radji AM-FM, u anke t-twieqi tal-enerġija u l-illokkjar ċentrali mingħajr ma jiżdied il-prezz tal-vettura. Għaxar snin wara l-kriżi taż-żejt tal-1973, Honda, Toyota u Nissan, affettwati mir-restrizzjonijiet volontarji tal-esportazzjoni tal-1981, fetħu impjanti tal-assemblaġġ tal-Istati Uniti u stabbilixxew id-diviżjonijiet lussużi tagħhom (Acura, Lexus u Infiniti, rispettivament) biex jiddistingwu ruħhom mill-marki tas-suq tal-massa tagħhom.</v>
      </c>
    </row>
    <row r="15025" ht="15.75" customHeight="1">
      <c r="A15025" s="2" t="s">
        <v>15025</v>
      </c>
      <c r="B15025" s="2" t="str">
        <f>IFERROR(__xludf.DUMMYFUNCTION("GOOGLETRANSLATE(A15025, ""en"", ""mt"")"),"eżegwit kull suldat")</f>
        <v>eżegwit kull suldat</v>
      </c>
    </row>
    <row r="15026" ht="15.75" customHeight="1">
      <c r="A15026" s="2" t="s">
        <v>15026</v>
      </c>
      <c r="B15026" s="2" t="str">
        <f>IFERROR(__xludf.DUMMYFUNCTION("GOOGLETRANSLATE(A15026, ""en"", ""mt"")"),"xibka")</f>
        <v>xibka</v>
      </c>
    </row>
    <row r="15027" ht="15.75" customHeight="1">
      <c r="A15027" s="2" t="s">
        <v>15027</v>
      </c>
      <c r="B15027" s="2" t="str">
        <f>IFERROR(__xludf.DUMMYFUNCTION("GOOGLETRANSLATE(A15027, ""en"", ""mt"")"),"Skond Lenin Għaliex il-pajjiżi kapitalisti għandhom politika imperjalista?")</f>
        <v>Skond Lenin Għaliex il-pajjiżi kapitalisti għandhom politika imperjalista?</v>
      </c>
    </row>
    <row r="15028" ht="15.75" customHeight="1">
      <c r="A15028" s="2" t="s">
        <v>15028</v>
      </c>
      <c r="B15028" s="2" t="str">
        <f>IFERROR(__xludf.DUMMYFUNCTION("GOOGLETRANSLATE(A15028, ""en"", ""mt"")"),"Fl-1979, matul il-kriżi taż-żejt, liema kien l-ogħla prezz taż-żejt?")</f>
        <v>Fl-1979, matul il-kriżi taż-żejt, liema kien l-ogħla prezz taż-żejt?</v>
      </c>
    </row>
    <row r="15029" ht="15.75" customHeight="1">
      <c r="A15029" s="2" t="s">
        <v>15029</v>
      </c>
      <c r="B15029" s="2" t="str">
        <f>IFERROR(__xludf.DUMMYFUNCTION("GOOGLETRANSLATE(A15029, ""en"", ""mt"")"),"Tnedija Countdown")</f>
        <v>Tnedija Countdown</v>
      </c>
    </row>
    <row r="15030" ht="15.75" customHeight="1">
      <c r="A15030" s="2" t="s">
        <v>15030</v>
      </c>
      <c r="B15030" s="2" t="str">
        <f>IFERROR(__xludf.DUMMYFUNCTION("GOOGLETRANSLATE(A15030, ""en"", ""mt"")"),"Kunflitt ferm akbar bejn Franza u l-Gran Brittanja")</f>
        <v>Kunflitt ferm akbar bejn Franza u l-Gran Brittanja</v>
      </c>
    </row>
    <row r="15031" ht="15.75" customHeight="1">
      <c r="A15031" s="2" t="s">
        <v>15031</v>
      </c>
      <c r="B15031" s="2" t="str">
        <f>IFERROR(__xludf.DUMMYFUNCTION("GOOGLETRANSLATE(A15031, ""en"", ""mt"")"),"X'jiġri meta tivvjaġġa f'wiċċ b'veloċità kostanti fir-rigward tal-frizzjoni?")</f>
        <v>X'jiġri meta tivvjaġġa f'wiċċ b'veloċità kostanti fir-rigward tal-frizzjoni?</v>
      </c>
    </row>
    <row r="15032" ht="15.75" customHeight="1">
      <c r="A15032" s="2" t="s">
        <v>15032</v>
      </c>
      <c r="B15032" s="2" t="str">
        <f>IFERROR(__xludf.DUMMYFUNCTION("GOOGLETRANSLATE(A15032, ""en"", ""mt"")"),"Magni tat-Turing tape Uniku")</f>
        <v>Magni tat-Turing tape Uniku</v>
      </c>
    </row>
    <row r="15033" ht="15.75" customHeight="1">
      <c r="A15033" s="2" t="s">
        <v>15033</v>
      </c>
      <c r="B15033" s="2" t="str">
        <f>IFERROR(__xludf.DUMMYFUNCTION("GOOGLETRANSLATE(A15033, ""en"", ""mt"")"),"ippermetta l-agrikoltura u s-silvikultura")</f>
        <v>ippermetta l-agrikoltura u s-silvikultura</v>
      </c>
    </row>
    <row r="15034" ht="15.75" customHeight="1">
      <c r="A15034" s="2" t="s">
        <v>15034</v>
      </c>
      <c r="B15034" s="2" t="str">
        <f>IFERROR(__xludf.DUMMYFUNCTION("GOOGLETRANSLATE(A15034, ""en"", ""mt"")"),"Fejn ħadmet Tesla f'Budapest?")</f>
        <v>Fejn ħadmet Tesla f'Budapest?</v>
      </c>
    </row>
    <row r="15035" ht="15.75" customHeight="1">
      <c r="A15035" s="2" t="s">
        <v>15035</v>
      </c>
      <c r="B15035" s="2" t="str">
        <f>IFERROR(__xludf.DUMMYFUNCTION("GOOGLETRANSLATE(A15035, ""en"", ""mt"")"),"Att dwar il-Kostituzzjoni tar-Rabat 185")</f>
        <v>Att dwar il-Kostituzzjoni tar-Rabat 185</v>
      </c>
    </row>
    <row r="15036" ht="15.75" customHeight="1">
      <c r="A15036" s="2" t="s">
        <v>15036</v>
      </c>
      <c r="B15036" s="2" t="str">
        <f>IFERROR(__xludf.DUMMYFUNCTION("GOOGLETRANSLATE(A15036, ""en"", ""mt"")"),"la qed jagħmlu sforz massimu u lanqas jiksbu r-riżultati meħtieġa")</f>
        <v>la qed jagħmlu sforz massimu u lanqas jiksbu r-riżultati meħtieġa</v>
      </c>
    </row>
    <row r="15037" ht="15.75" customHeight="1">
      <c r="A15037" s="2" t="s">
        <v>15037</v>
      </c>
      <c r="B15037" s="2" t="str">
        <f>IFERROR(__xludf.DUMMYFUNCTION("GOOGLETRANSLATE(A15037, ""en"", ""mt"")"),"il-ħila li ssegwi għanijiet stmati")</f>
        <v>il-ħila li ssegwi għanijiet stmati</v>
      </c>
    </row>
    <row r="15038" ht="15.75" customHeight="1">
      <c r="A15038" s="2" t="s">
        <v>15038</v>
      </c>
      <c r="B15038" s="2" t="str">
        <f>IFERROR(__xludf.DUMMYFUNCTION("GOOGLETRANSLATE(A15038, ""en"", ""mt"")"),"bla tagħlim")</f>
        <v>bla tagħlim</v>
      </c>
    </row>
    <row r="15039" ht="15.75" customHeight="1">
      <c r="A15039" s="2" t="s">
        <v>15039</v>
      </c>
      <c r="B15039" s="2" t="str">
        <f>IFERROR(__xludf.DUMMYFUNCTION("GOOGLETRANSLATE(A15039, ""en"", ""mt"")"),"X'ġara mill-SM malli terġa 'tidħol fl-atmosfera?")</f>
        <v>X'ġara mill-SM malli terġa 'tidħol fl-atmosfera?</v>
      </c>
    </row>
    <row r="15040" ht="15.75" customHeight="1">
      <c r="A15040" s="2" t="s">
        <v>15040</v>
      </c>
      <c r="B15040" s="2" t="str">
        <f>IFERROR(__xludf.DUMMYFUNCTION("GOOGLETRANSLATE(A15040, ""en"", ""mt"")"),"fejn l-ilma jiswa ħafna")</f>
        <v>fejn l-ilma jiswa ħafna</v>
      </c>
    </row>
    <row r="15041" ht="15.75" customHeight="1">
      <c r="A15041" s="2" t="s">
        <v>15041</v>
      </c>
      <c r="B15041" s="2" t="str">
        <f>IFERROR(__xludf.DUMMYFUNCTION("GOOGLETRANSLATE(A15041, ""en"", ""mt"")"),"Fejn tinsab Galaxy Public School?")</f>
        <v>Fejn tinsab Galaxy Public School?</v>
      </c>
    </row>
    <row r="15042" ht="15.75" customHeight="1">
      <c r="A15042" s="2" t="s">
        <v>15042</v>
      </c>
      <c r="B15042" s="2" t="str">
        <f>IFERROR(__xludf.DUMMYFUNCTION("GOOGLETRANSLATE(A15042, ""en"", ""mt"")"),"X'jistgħu jġorru l-missjonijiet Apollo tal-Qamar biex iżżid l-esplorazzjoni?")</f>
        <v>X'jistgħu jġorru l-missjonijiet Apollo tal-Qamar biex iżżid l-esplorazzjoni?</v>
      </c>
    </row>
    <row r="15043" ht="15.75" customHeight="1">
      <c r="A15043" s="2" t="s">
        <v>15043</v>
      </c>
      <c r="B15043" s="2" t="str">
        <f>IFERROR(__xludf.DUMMYFUNCTION("GOOGLETRANSLATE(A15043, ""en"", ""mt"")"),"Appoġġ għan-Netwerking Soċjali")</f>
        <v>Appoġġ għan-Netwerking Soċjali</v>
      </c>
    </row>
    <row r="15044" ht="15.75" customHeight="1">
      <c r="A15044" s="2" t="s">
        <v>15044</v>
      </c>
      <c r="B15044" s="2" t="str">
        <f>IFERROR(__xludf.DUMMYFUNCTION("GOOGLETRANSLATE(A15044, ""en"", ""mt"")"),"X'għandha t-tendenza li l-ekonomija Amerikana tmur ""minn bużżieqa għal bużżieqa""?")</f>
        <v>X'għandha t-tendenza li l-ekonomija Amerikana tmur "minn bużżieqa għal bużżieqa"?</v>
      </c>
    </row>
    <row r="15045" ht="15.75" customHeight="1">
      <c r="A15045" s="2" t="s">
        <v>15045</v>
      </c>
      <c r="B15045" s="2" t="str">
        <f>IFERROR(__xludf.DUMMYFUNCTION("GOOGLETRANSLATE(A15045, ""en"", ""mt"")"),"Il-Knisja Metodista ta ’San Ġorġ, li tinsab fil-kantuniera tar-4 u t-toroq ġodda, fil-viċinat tal-Belt il-Qadim ta’ Filadelfja, hija l-eqdem knisja Metodista f’użu kontinwu fl-Istati Uniti, li tibda fl-1769. Il-kongregazzjoni twaqqfet fl-1767, laqgħa Iniz"&amp;"jalment fil-qlugħ tal-qlugħ fi Triq Dock, u fl-1769 xtrat il-qoxra ta 'bini li kien inbena fl-1763 minn kongregazzjoni Riformata Ġermaniża. F'dan iż-żmien, il-Metodisti kienu għadhom ma nkissrux mill-Knisja Anglikana u l-Knisja Episkopali Metodista ma ġie"&amp;"tx imwaqqfa sal-1784.")</f>
        <v>Il-Knisja Metodista ta ’San Ġorġ, li tinsab fil-kantuniera tar-4 u t-toroq ġodda, fil-viċinat tal-Belt il-Qadim ta’ Filadelfja, hija l-eqdem knisja Metodista f’użu kontinwu fl-Istati Uniti, li tibda fl-1769. Il-kongregazzjoni twaqqfet fl-1767, laqgħa Inizjalment fil-qlugħ tal-qlugħ fi Triq Dock, u fl-1769 xtrat il-qoxra ta 'bini li kien inbena fl-1763 minn kongregazzjoni Riformata Ġermaniża. F'dan iż-żmien, il-Metodisti kienu għadhom ma nkissrux mill-Knisja Anglikana u l-Knisja Episkopali Metodista ma ġietx imwaqqfa sal-1784.</v>
      </c>
    </row>
    <row r="15046" ht="15.75" customHeight="1">
      <c r="A15046" s="2" t="s">
        <v>15046</v>
      </c>
      <c r="B15046" s="2" t="str">
        <f>IFERROR(__xludf.DUMMYFUNCTION("GOOGLETRANSLATE(A15046, ""en"", ""mt"")"),"Is-santwarju ta ’min marru l-pellegrini fl-1016?")</f>
        <v>Is-santwarju ta ’min marru l-pellegrini fl-1016?</v>
      </c>
    </row>
    <row r="15047" ht="15.75" customHeight="1">
      <c r="A15047" s="2" t="s">
        <v>15047</v>
      </c>
      <c r="B15047" s="2" t="str">
        <f>IFERROR(__xludf.DUMMYFUNCTION("GOOGLETRANSLATE(A15047, ""en"", ""mt"")"),"Varsavja tinsab fuq żewġ formazzjonijiet ġeomorfoloġiċi ewlenin: il-plateau tal-moraine sempliċi u l-wied Vistula bil-mudell asimmetriku tagħha ta 'terrazzi differenti. Ix-Xmara Vistula hija l-assi speċifiku ta 'Varsavja, li taqsam il-belt f'żewġ partijie"&amp;"t, xellug u lemin. Ix-xellug jinsab kemm fuq il-plateau Moraine (10 sa 25 m (32.8 sa 82.0 ft) 'il fuq mil-livell ta' vistula) kif ukoll fuq it-terrazzi tal-vistula (max. 6.5 m (21.3 ft) 'il fuq mil-livell ta' Vistula). L-element sinifikanti tas-serħan, f'"&amp;"din il-parti ta 'Varsavja, huwa t-tarf tal-Plateau Moraine imsejjaħ Escarpment ta' Varsavja. Huwa għoli 20 sa 25 m (65.6 sa 82.0 ft) fil-belt il-qadima u d-distrett ċentrali u madwar 10 m (32.8 ft) fit-tramuntana u fin-nofsinhar ta 'Varsavja. Hija tgħaddi"&amp;" mill-belt u għandha rwol importanti bħala monument.")</f>
        <v>Varsavja tinsab fuq żewġ formazzjonijiet ġeomorfoloġiċi ewlenin: il-plateau tal-moraine sempliċi u l-wied Vistula bil-mudell asimmetriku tagħha ta 'terrazzi differenti. Ix-Xmara Vistula hija l-assi speċifiku ta 'Varsavja, li taqsam il-belt f'żewġ partijiet, xellug u lemin. Ix-xellug jinsab kemm fuq il-plateau Moraine (10 sa 25 m (32.8 sa 82.0 ft) 'il fuq mil-livell ta' vistula) kif ukoll fuq it-terrazzi tal-vistula (max. 6.5 m (21.3 ft) 'il fuq mil-livell ta' Vistula). L-element sinifikanti tas-serħan, f'din il-parti ta 'Varsavja, huwa t-tarf tal-Plateau Moraine imsejjaħ Escarpment ta' Varsavja. Huwa għoli 20 sa 25 m (65.6 sa 82.0 ft) fil-belt il-qadima u d-distrett ċentrali u madwar 10 m (32.8 ft) fit-tramuntana u fin-nofsinhar ta 'Varsavja. Hija tgħaddi mill-belt u għandha rwol importanti bħala monument.</v>
      </c>
    </row>
    <row r="15048" ht="15.75" customHeight="1">
      <c r="A15048" s="2" t="s">
        <v>15048</v>
      </c>
      <c r="B15048" s="2" t="str">
        <f>IFERROR(__xludf.DUMMYFUNCTION("GOOGLETRANSLATE(A15048, ""en"", ""mt"")"),"Jekk hemmx stat jew theddida ta 'gwerra")</f>
        <v>Jekk hemmx stat jew theddida ta 'gwerra</v>
      </c>
    </row>
    <row r="15049" ht="15.75" customHeight="1">
      <c r="A15049" s="2" t="s">
        <v>15049</v>
      </c>
      <c r="B15049" s="2" t="str">
        <f>IFERROR(__xludf.DUMMYFUNCTION("GOOGLETRANSLATE(A15049, ""en"", ""mt"")"),"jagħżlu l-ministri tagħhom stess")</f>
        <v>jagħżlu l-ministri tagħhom stess</v>
      </c>
    </row>
    <row r="15050" ht="15.75" customHeight="1">
      <c r="A15050" s="2" t="s">
        <v>15050</v>
      </c>
      <c r="B15050" s="2" t="str">
        <f>IFERROR(__xludf.DUMMYFUNCTION("GOOGLETRANSLATE(A15050, ""en"", ""mt"")"),"Li tmur il-ħabs twettaq liema għan ta 'diżubbidjenza ċivili?")</f>
        <v>Li tmur il-ħabs twettaq liema għan ta 'diżubbidjenza ċivili?</v>
      </c>
    </row>
    <row r="15051" ht="15.75" customHeight="1">
      <c r="A15051" s="2" t="s">
        <v>15051</v>
      </c>
      <c r="B15051" s="2" t="str">
        <f>IFERROR(__xludf.DUMMYFUNCTION("GOOGLETRANSLATE(A15051, ""en"", ""mt"")"),"Bond doppju kovalenti li jirriżulta mill-mili ta 'orbitali molekulari ffurmati mill-orbitali atomiċi ta' l-atomi ta 'ossiġnu individwali")</f>
        <v>Bond doppju kovalenti li jirriżulta mill-mili ta 'orbitali molekulari ffurmati mill-orbitali atomiċi ta' l-atomi ta 'ossiġnu individwali</v>
      </c>
    </row>
    <row r="15052" ht="15.75" customHeight="1">
      <c r="A15052" s="2" t="s">
        <v>15052</v>
      </c>
      <c r="B15052" s="2" t="str">
        <f>IFERROR(__xludf.DUMMYFUNCTION("GOOGLETRANSLATE(A15052, ""en"", ""mt"")"),"Kaxxa tal-Pulizija Brittanika Blu")</f>
        <v>Kaxxa tal-Pulizija Brittanika Blu</v>
      </c>
    </row>
    <row r="15053" ht="15.75" customHeight="1">
      <c r="A15053" s="2" t="s">
        <v>15053</v>
      </c>
      <c r="B15053" s="2" t="str">
        <f>IFERROR(__xludf.DUMMYFUNCTION("GOOGLETRANSLATE(A15053, ""en"", ""mt"")"),"Min jgħin lill-anzjani fis-sagramenti tat-Tqarbin Imqaddes u l-Magħmudija?")</f>
        <v>Min jgħin lill-anzjani fis-sagramenti tat-Tqarbin Imqaddes u l-Magħmudija?</v>
      </c>
    </row>
    <row r="15054" ht="15.75" customHeight="1">
      <c r="A15054" s="2" t="s">
        <v>15054</v>
      </c>
      <c r="B15054" s="2" t="str">
        <f>IFERROR(__xludf.DUMMYFUNCTION("GOOGLETRANSLATE(A15054, ""en"", ""mt"")"),"X'inhi l-ogħla qorti fid-denominazzjoni Metodista Magħquda?")</f>
        <v>X'inhi l-ogħla qorti fid-denominazzjoni Metodista Magħquda?</v>
      </c>
    </row>
    <row r="15055" ht="15.75" customHeight="1">
      <c r="A15055" s="2" t="s">
        <v>15055</v>
      </c>
      <c r="B15055" s="2" t="str">
        <f>IFERROR(__xludf.DUMMYFUNCTION("GOOGLETRANSLATE(A15055, ""en"", ""mt"")"),"L-armata ta 'Shah kienet maqsuma minn feuds interna differenti u bid-deċiżjoni ta' Shah li taqsam l-armata tiegħu fi gruppi żgħar ikkonċentrati f'diversi bliet. Din il-frammentazzjoni kienet deċiżiva fit-telfiet ta 'Khwarezmia, peress li ppermettiet lill-"&amp;"Mongoli, għalkemm eżawriti mill-vjaġġ twil, biex immedjatament waqqfu l-frazzjonijiet żgħar tal-forzi ta' Khwarzemi minflok ma jiffaċċjaw difiża unifikata. L-armata Mongoljana malajr ħatfet il-belt ta 'Otrar, billi sserraħ fuq strateġija u tattiċi superju"&amp;"ri. Genghis Khan ordna l-massakru bl-ingrossa ta 'ħafna miċ-ċivili, skjavja l-kumplament tal-popolazzjoni u eżegwiet Inalchuq billi tferra fidda mdewweb fil-widnejn u l-għajnejn tiegħu, bħala ritribuzzjoni għall-azzjonijiet tiegħu. Qrib it-tmiem tal-batta"&amp;"lja l-Shah ħarab minflok iċedi. Genghis Khan ordna lil Subutai u Jebe biex jikkaċċjawh, u tathom 20,000 irġiel u sentejn biex jagħmlu dan. Ix-Shah miet taħt ċirkostanzi misterjużi fuq gżira żgħira fl-imperu tiegħu.")</f>
        <v>L-armata ta 'Shah kienet maqsuma minn feuds interna differenti u bid-deċiżjoni ta' Shah li taqsam l-armata tiegħu fi gruppi żgħar ikkonċentrati f'diversi bliet. Din il-frammentazzjoni kienet deċiżiva fit-telfiet ta 'Khwarezmia, peress li ppermettiet lill-Mongoli, għalkemm eżawriti mill-vjaġġ twil, biex immedjatament waqqfu l-frazzjonijiet żgħar tal-forzi ta' Khwarzemi minflok ma jiffaċċjaw difiża unifikata. L-armata Mongoljana malajr ħatfet il-belt ta 'Otrar, billi sserraħ fuq strateġija u tattiċi superjuri. Genghis Khan ordna l-massakru bl-ingrossa ta 'ħafna miċ-ċivili, skjavja l-kumplament tal-popolazzjoni u eżegwiet Inalchuq billi tferra fidda mdewweb fil-widnejn u l-għajnejn tiegħu, bħala ritribuzzjoni għall-azzjonijiet tiegħu. Qrib it-tmiem tal-battalja l-Shah ħarab minflok iċedi. Genghis Khan ordna lil Subutai u Jebe biex jikkaċċjawh, u tathom 20,000 irġiel u sentejn biex jagħmlu dan. Ix-Shah miet taħt ċirkostanzi misterjużi fuq gżira żgħira fl-imperu tiegħu.</v>
      </c>
    </row>
    <row r="15056" ht="15.75" customHeight="1">
      <c r="A15056" s="2" t="s">
        <v>15056</v>
      </c>
      <c r="B15056" s="2" t="str">
        <f>IFERROR(__xludf.DUMMYFUNCTION("GOOGLETRANSLATE(A15056, ""en"", ""mt"")"),"L-oriġini tal-figura leġġendarja mhix magħrufa għal kollox. Il-leġġenda l-iktar magħrufa, ta 'Artur Oppman, hija li żmien ilu tnejn mill-bniet ta' Triton waqqfu vjaġġ fil-fond tal-oċeani u l-ibħra. Wieħed minnhom iddeċieda li jibqa ’fuq il-kosta tad-Danim"&amp;"arka u jista’ jidher bilqiegħda fid-daħla tal-Port ta ’Kopenħagen. It-tieni sirena laħqet il-ħalq tax-xmara Vistula u tefgħet fl-ilmijiet tagħha. Hija waqfet tistrieħ fuq bajja bir-ramel mill-villaġġ ta 'Warszowa, fejn is-sajjieda waslu biex jammiraw is-s"&amp;"buħija tagħha u jisimgħu l-vuċi sabiħa tagħha. Merkantili greedy sema ’wkoll il-kanzunetti tagħha; Huwa segwa s-sajjieda u qabad il-sirena.")</f>
        <v>L-oriġini tal-figura leġġendarja mhix magħrufa għal kollox. Il-leġġenda l-iktar magħrufa, ta 'Artur Oppman, hija li żmien ilu tnejn mill-bniet ta' Triton waqqfu vjaġġ fil-fond tal-oċeani u l-ibħra. Wieħed minnhom iddeċieda li jibqa ’fuq il-kosta tad-Danimarka u jista’ jidher bilqiegħda fid-daħla tal-Port ta ’Kopenħagen. It-tieni sirena laħqet il-ħalq tax-xmara Vistula u tefgħet fl-ilmijiet tagħha. Hija waqfet tistrieħ fuq bajja bir-ramel mill-villaġġ ta 'Warszowa, fejn is-sajjieda waslu biex jammiraw is-sbuħija tagħha u jisimgħu l-vuċi sabiħa tagħha. Merkantili greedy sema ’wkoll il-kanzunetti tagħha; Huwa segwa s-sajjieda u qabad il-sirena.</v>
      </c>
    </row>
    <row r="15057" ht="15.75" customHeight="1">
      <c r="A15057" s="2" t="s">
        <v>15057</v>
      </c>
      <c r="B15057" s="2" t="str">
        <f>IFERROR(__xludf.DUMMYFUNCTION("GOOGLETRANSLATE(A15057, ""en"", ""mt"")"),"xmara xmara.")</f>
        <v>xmara xmara.</v>
      </c>
    </row>
    <row r="15058" ht="15.75" customHeight="1">
      <c r="A15058" s="2" t="s">
        <v>15058</v>
      </c>
      <c r="B15058" s="2" t="str">
        <f>IFERROR(__xludf.DUMMYFUNCTION("GOOGLETRANSLATE(A15058, ""en"", ""mt"")"),"Kors ta 'ħames snin ta' S")</f>
        <v>Kors ta 'ħames snin ta' S</v>
      </c>
    </row>
    <row r="15059" ht="15.75" customHeight="1">
      <c r="A15059" s="2" t="s">
        <v>15059</v>
      </c>
      <c r="B15059" s="2" t="str">
        <f>IFERROR(__xludf.DUMMYFUNCTION("GOOGLETRANSLATE(A15059, ""en"", ""mt"")"),"Fuq xiex m'għadx hemm limitazzjonijiet mill-1990?")</f>
        <v>Fuq xiex m'għadx hemm limitazzjonijiet mill-1990?</v>
      </c>
    </row>
    <row r="15060" ht="15.75" customHeight="1">
      <c r="A15060" s="2" t="s">
        <v>15060</v>
      </c>
      <c r="B15060" s="2" t="str">
        <f>IFERROR(__xludf.DUMMYFUNCTION("GOOGLETRANSLATE(A15060, ""en"", ""mt"")"),"TCP / IP")</f>
        <v>TCP / IP</v>
      </c>
    </row>
    <row r="15061" ht="15.75" customHeight="1">
      <c r="A15061" s="2" t="s">
        <v>15061</v>
      </c>
      <c r="B15061" s="2" t="str">
        <f>IFERROR(__xludf.DUMMYFUNCTION("GOOGLETRANSLATE(A15061, ""en"", ""mt"")"),"X'tip ta 'aċidi amminiċi huma rappreżentati żżejjed fir-reġjuni tal-epitopi?")</f>
        <v>X'tip ta 'aċidi amminiċi huma rappreżentati żżejjed fir-reġjuni tal-epitopi?</v>
      </c>
    </row>
    <row r="15062" ht="15.75" customHeight="1">
      <c r="A15062" s="2" t="s">
        <v>15062</v>
      </c>
      <c r="B15062" s="2" t="str">
        <f>IFERROR(__xludf.DUMMYFUNCTION("GOOGLETRANSLATE(A15062, ""en"", ""mt"")"),"Kwalunkwe membru")</f>
        <v>Kwalunkwe membru</v>
      </c>
    </row>
    <row r="15063" ht="15.75" customHeight="1">
      <c r="A15063" s="2" t="s">
        <v>15063</v>
      </c>
      <c r="B15063" s="2" t="str">
        <f>IFERROR(__xludf.DUMMYFUNCTION("GOOGLETRANSLATE(A15063, ""en"", ""mt"")"),"Kif il-membri mgħammdin isiru membri li jistqarru?")</f>
        <v>Kif il-membri mgħammdin isiru membri li jistqarru?</v>
      </c>
    </row>
    <row r="15064" ht="15.75" customHeight="1">
      <c r="A15064" s="2" t="s">
        <v>15064</v>
      </c>
      <c r="B15064" s="2" t="str">
        <f>IFERROR(__xludf.DUMMYFUNCTION("GOOGLETRANSLATE(A15064, ""en"", ""mt"")"),"Liema materjali tal-bini intużaw biex tinbena l-faċċata ewlenija?")</f>
        <v>Liema materjali tal-bini intużaw biex tinbena l-faċċata ewlenija?</v>
      </c>
    </row>
    <row r="15065" ht="15.75" customHeight="1">
      <c r="A15065" s="2" t="s">
        <v>15065</v>
      </c>
      <c r="B15065" s="2" t="str">
        <f>IFERROR(__xludf.DUMMYFUNCTION("GOOGLETRANSLATE(A15065, ""en"", ""mt"")"),"Meta tiżviluppa l-minorenni f'adulti?")</f>
        <v>Meta tiżviluppa l-minorenni f'adulti?</v>
      </c>
    </row>
    <row r="15066" ht="15.75" customHeight="1">
      <c r="A15066" s="2" t="s">
        <v>15066</v>
      </c>
      <c r="B15066" s="2" t="str">
        <f>IFERROR(__xludf.DUMMYFUNCTION("GOOGLETRANSLATE(A15066, ""en"", ""mt"")"),"Għaliex persuna għażlet id-diżubbidjenza ċivili kontra liġijiet speċifiċi?")</f>
        <v>Għaliex persuna għażlet id-diżubbidjenza ċivili kontra liġijiet speċifiċi?</v>
      </c>
    </row>
    <row r="15067" ht="15.75" customHeight="1">
      <c r="A15067" s="2" t="s">
        <v>15067</v>
      </c>
      <c r="B15067" s="2" t="str">
        <f>IFERROR(__xludf.DUMMYFUNCTION("GOOGLETRANSLATE(A15067, ""en"", ""mt"")"),"Minn xiex saru Chao?")</f>
        <v>Minn xiex saru Chao?</v>
      </c>
    </row>
    <row r="15068" ht="15.75" customHeight="1">
      <c r="A15068" s="2" t="s">
        <v>15068</v>
      </c>
      <c r="B15068" s="2" t="str">
        <f>IFERROR(__xludf.DUMMYFUNCTION("GOOGLETRANSLATE(A15068, ""en"", ""mt"")"),"Kalifat")</f>
        <v>Kalifat</v>
      </c>
    </row>
    <row r="15069" ht="15.75" customHeight="1">
      <c r="A15069" s="2" t="s">
        <v>15069</v>
      </c>
      <c r="B15069" s="2" t="str">
        <f>IFERROR(__xludf.DUMMYFUNCTION("GOOGLETRANSLATE(A15069, ""en"", ""mt"")"),"Liema karatteristika skulturika arkitettonika Gotika tard tinstab fuq it-torri 'l fuq mid-daħla ewlenija?")</f>
        <v>Liema karatteristika skulturika arkitettonika Gotika tard tinstab fuq it-torri 'l fuq mid-daħla ewlenija?</v>
      </c>
    </row>
    <row r="15070" ht="15.75" customHeight="1">
      <c r="A15070" s="2" t="s">
        <v>15070</v>
      </c>
      <c r="B15070" s="2" t="str">
        <f>IFERROR(__xludf.DUMMYFUNCTION("GOOGLETRANSLATE(A15070, ""en"", ""mt"")"),"Fejn tinsab l-eqdem blat magħruf fid-dinja?")</f>
        <v>Fejn tinsab l-eqdem blat magħruf fid-dinja?</v>
      </c>
    </row>
    <row r="15071" ht="15.75" customHeight="1">
      <c r="A15071" s="2" t="s">
        <v>15071</v>
      </c>
      <c r="B15071" s="2" t="str">
        <f>IFERROR(__xludf.DUMMYFUNCTION("GOOGLETRANSLATE(A15071, ""en"", ""mt"")"),"X'kien maħsub għas-sit tad-dar tal-bojler preċedenti?")</f>
        <v>X'kien maħsub għas-sit tad-dar tal-bojler preċedenti?</v>
      </c>
    </row>
    <row r="15072" ht="15.75" customHeight="1">
      <c r="A15072" s="2" t="s">
        <v>15072</v>
      </c>
      <c r="B15072" s="2" t="str">
        <f>IFERROR(__xludf.DUMMYFUNCTION("GOOGLETRANSLATE(A15072, ""en"", ""mt"")"),"Kemm qal kmieni Luther li kellu jqajjem kuljum?")</f>
        <v>Kemm qal kmieni Luther li kellu jqajjem kuljum?</v>
      </c>
    </row>
    <row r="15073" ht="15.75" customHeight="1">
      <c r="A15073" s="2" t="s">
        <v>15073</v>
      </c>
      <c r="B15073" s="2" t="str">
        <f>IFERROR(__xludf.DUMMYFUNCTION("GOOGLETRANSLATE(A15073, ""en"", ""mt"")"),"B'forza daqshekk żgħira, il-Mongoli li jinvadu kienu mġiegħla jibdlu l-istrateġiji u jirrikorru għal inċitament ta 'rewwixta interna fost il-partitarji ta' Kuchlug, u ħallew lill-Qara Khitai aktar vulnerabbli għall-konkwista Mongolja. Bħala riżultat, l-ar"&amp;"mata ta 'Kuchlug ġiet megħluba fil-punent ta' Kashgar. Kuchlug ħarab mill-ġdid, iżda malajr ġie kkaċċjat mill-armata ta 'Jebe u eżegwit. Sal-1218, bħala riżultat tat-telfa ta 'Qara Khitai, l-imperu Mongoljan u l-kontroll tiegħu estendew lejn il-punent daq"&amp;"s il-Lag Balkhash, li jmissu mal-Khwarezmia (l-imperu Khwarezmid), stat Musulman li laħaq il-Baħar Kaspjan lejn il-Punent u l-Golf Persjan u Persjan il-Baħar Għarbi fin-nofsinhar.")</f>
        <v>B'forza daqshekk żgħira, il-Mongoli li jinvadu kienu mġiegħla jibdlu l-istrateġiji u jirrikorru għal inċitament ta 'rewwixta interna fost il-partitarji ta' Kuchlug, u ħallew lill-Qara Khitai aktar vulnerabbli għall-konkwista Mongolja. Bħala riżultat, l-armata ta 'Kuchlug ġiet megħluba fil-punent ta' Kashgar. Kuchlug ħarab mill-ġdid, iżda malajr ġie kkaċċjat mill-armata ta 'Jebe u eżegwit. Sal-1218, bħala riżultat tat-telfa ta 'Qara Khitai, l-imperu Mongoljan u l-kontroll tiegħu estendew lejn il-punent daqs il-Lag Balkhash, li jmissu mal-Khwarezmia (l-imperu Khwarezmid), stat Musulman li laħaq il-Baħar Kaspjan lejn il-Punent u l-Golf Persjan u Persjan il-Baħar Għarbi fin-nofsinhar.</v>
      </c>
    </row>
    <row r="15074" ht="15.75" customHeight="1">
      <c r="A15074" s="2" t="s">
        <v>15074</v>
      </c>
      <c r="B15074" s="2" t="str">
        <f>IFERROR(__xludf.DUMMYFUNCTION("GOOGLETRANSLATE(A15074, ""en"", ""mt"")"),"Matul iċ-ċessjoni mill-moviment tal-Afrika t'Isfel fl-aħħar tas-snin 1980, l-attivisti tal-istudenti bnew ""shantytown"" simboliku fit-tarzna ta 'Harvard u imblukkaw diskors mogħti mill-viċi-konslu tal-Afrika t'Isfel Duke Kent-Brown. Il-Kumpanija tal-Ġest"&amp;"joni ta 'Harvard ripetutament irrifjutat li tbiegħ, u ddikjarat li ""l-ispejjeż operattivi m'għandhomx ikunu soġġetti għal restrizzjonijiet finanzjarjament mhux realistiċi jew li jbatu minn dawk mhux sofistikati jew minn gruppi ta' interess speċjali."" Ma"&amp;"dankollu, l-università eventwalment naqset l-azjendi tal-Afrika t'Isfel tagħha b '$ 230 miljun (minn $ 400 miljun) b'reazzjoni għall-pressjoni.")</f>
        <v>Matul iċ-ċessjoni mill-moviment tal-Afrika t'Isfel fl-aħħar tas-snin 1980, l-attivisti tal-istudenti bnew "shantytown" simboliku fit-tarzna ta 'Harvard u imblukkaw diskors mogħti mill-viċi-konslu tal-Afrika t'Isfel Duke Kent-Brown. Il-Kumpanija tal-Ġestjoni ta 'Harvard ripetutament irrifjutat li tbiegħ, u ddikjarat li "l-ispejjeż operattivi m'għandhomx ikunu soġġetti għal restrizzjonijiet finanzjarjament mhux realistiċi jew li jbatu minn dawk mhux sofistikati jew minn gruppi ta' interess speċjali." Madankollu, l-università eventwalment naqset l-azjendi tal-Afrika t'Isfel tagħha b '$ 230 miljun (minn $ 400 miljun) b'reazzjoni għall-pressjoni.</v>
      </c>
    </row>
    <row r="15075" ht="15.75" customHeight="1">
      <c r="A15075" s="2" t="s">
        <v>15075</v>
      </c>
      <c r="B15075" s="2" t="str">
        <f>IFERROR(__xludf.DUMMYFUNCTION("GOOGLETRANSLATE(A15075, ""en"", ""mt"")"),"Liema ammont minuri ta 'ossiġnu likwidu ġie prodott minn esperimentaturi Franċiżi bikrija?")</f>
        <v>Liema ammont minuri ta 'ossiġnu likwidu ġie prodott minn esperimentaturi Franċiżi bikrija?</v>
      </c>
    </row>
    <row r="15076" ht="15.75" customHeight="1">
      <c r="A15076" s="2" t="s">
        <v>15076</v>
      </c>
      <c r="B15076" s="2" t="str">
        <f>IFERROR(__xludf.DUMMYFUNCTION("GOOGLETRANSLATE(A15076, ""en"", ""mt"")"),"L-avvanzi fl-alġebra polinomjali saru mill-matematiċi matul l-era tal-wan. Il-matematiku Zhu Shijie (1249-1314) solva ekwazzjonijiet simultanji sa erba 'mhux magħrufa bl-użu ta' firxa rettangolari ta 'koeffiċjenti, ekwivalenti għal matriċi moderni. Zhu uż"&amp;"a metodu ta 'eliminazzjoni biex inaqqas l-ekwazzjonijiet simultanji għal ekwazzjoni waħda ma' waħda mhux magħrufa biss. Il-metodu tiegħu huwa deskritt fil-mera tal-ġada tal-erba 'mhux magħrufa, miktuba fl-1303. Il-paġni tal-ftuħ fihom dijagramma tat-trija"&amp;"nglu ta' Pascal. Is-somma ta 'serje aritmetika finita hija wkoll koperta fil-ktieb.")</f>
        <v>L-avvanzi fl-alġebra polinomjali saru mill-matematiċi matul l-era tal-wan. Il-matematiku Zhu Shijie (1249-1314) solva ekwazzjonijiet simultanji sa erba 'mhux magħrufa bl-użu ta' firxa rettangolari ta 'koeffiċjenti, ekwivalenti għal matriċi moderni. Zhu uża metodu ta 'eliminazzjoni biex inaqqas l-ekwazzjonijiet simultanji għal ekwazzjoni waħda ma' waħda mhux magħrufa biss. Il-metodu tiegħu huwa deskritt fil-mera tal-ġada tal-erba 'mhux magħrufa, miktuba fl-1303. Il-paġni tal-ftuħ fihom dijagramma tat-trijanglu ta' Pascal. Is-somma ta 'serje aritmetika finita hija wkoll koperta fil-ktieb.</v>
      </c>
    </row>
    <row r="15077" ht="15.75" customHeight="1">
      <c r="A15077" s="2" t="s">
        <v>15077</v>
      </c>
      <c r="B15077" s="2" t="str">
        <f>IFERROR(__xludf.DUMMYFUNCTION("GOOGLETRANSLATE(A15077, ""en"", ""mt"")"),"Liema forzi nukleari jaġixxu biss fuq distanzi qosra?")</f>
        <v>Liema forzi nukleari jaġixxu biss fuq distanzi qosra?</v>
      </c>
    </row>
    <row r="15078" ht="15.75" customHeight="1">
      <c r="A15078" s="2" t="s">
        <v>15078</v>
      </c>
      <c r="B15078" s="2" t="str">
        <f>IFERROR(__xludf.DUMMYFUNCTION("GOOGLETRANSLATE(A15078, ""en"", ""mt"")"),"Materjal dwar il-prestazzjoni diretta fir-Renju Unit minn Jum Shakespeare")</f>
        <v>Materjal dwar il-prestazzjoni diretta fir-Renju Unit minn Jum Shakespeare</v>
      </c>
    </row>
    <row r="15079" ht="15.75" customHeight="1">
      <c r="A15079" s="2" t="s">
        <v>15079</v>
      </c>
      <c r="B15079" s="2" t="str">
        <f>IFERROR(__xludf.DUMMYFUNCTION("GOOGLETRANSLATE(A15079, ""en"", ""mt"")"),"Ċentru tad-Distribuzzjoni tad-Dejta u l-Programm Nazzjonali tal-Inventar tal-Gass Serra")</f>
        <v>Ċentru tad-Distribuzzjoni tad-Dejta u l-Programm Nazzjonali tal-Inventar tal-Gass Serra</v>
      </c>
    </row>
    <row r="15080" ht="15.75" customHeight="1">
      <c r="A15080" s="2" t="s">
        <v>15080</v>
      </c>
      <c r="B15080" s="2" t="str">
        <f>IFERROR(__xludf.DUMMYFUNCTION("GOOGLETRANSLATE(A15080, ""en"", ""mt"")"),"Bi tweġiba għall-għajnuna Amerikana lill-Iżrael, fis-16 ta 'Ottubru, 1973, l-OPEC għolla l-prezz stazzjonat taż-żejt b'70%, għal $ 5.11 il-barmil. L-għada, il-ministri taż-żejt qablu mal-embargo, tnaqqis fil-produzzjoni b'ħames fil-mija mill-produzzjoni t"&amp;"a 'Settembru u jkomplu jnaqqsu l-produzzjoni f'żidiet ta' ħames fil-mija fix-xahar sakemm jintlaħqu l-għanijiet ekonomiċi u politiċi tagħhom. Fid-19 ta 'Ottubru, Nixon talab lill-Kungress biex ikun xieraq $ 2.2 biljun f'għajnuna ta' emerġenza lill-Iżrael,"&amp;" inklużi $ 1.5 biljun f'għotjiet diretti. George Lenczowski jinnota, ""Il-provvisti militari ma eżawrix il-ħeġġa ta 'Nixon biex jipprevjenu l-kollass ta' Iżrael ... din id-deċiżjoni [$ 2.2 biljun] wasslet għal rispons kollettiv tal-OPEC."" Il-Libja immedj"&amp;"atament ħabbret li se jbaħħru vjeġġi taż-żejt lejn l-Istati Uniti. L-Arabja Sawdita u l-istati l-oħra li jipproduċu ż-żejt Għarab ingħaqdu fl-embargo fl-20 ta 'Ottubru, 1973. Fil-laqgħa tal-Kuwajt tagħhom, OAPEC ipproklama l-embargo li trażżan l-esportazz"&amp;"jonijiet lejn diversi pajjiżi u imblukkaw il-kunsinni kollha taż-żejt lejn l-Istati Uniti bħala ""pajjiż ostili prinċipali"".")</f>
        <v>Bi tweġiba għall-għajnuna Amerikana lill-Iżrael, fis-16 ta 'Ottubru, 1973, l-OPEC għolla l-prezz stazzjonat taż-żejt b'70%, għal $ 5.11 il-barmil. L-għada, il-ministri taż-żejt qablu mal-embargo, tnaqqis fil-produzzjoni b'ħames fil-mija mill-produzzjoni ta 'Settembru u jkomplu jnaqqsu l-produzzjoni f'żidiet ta' ħames fil-mija fix-xahar sakemm jintlaħqu l-għanijiet ekonomiċi u politiċi tagħhom. Fid-19 ta 'Ottubru, Nixon talab lill-Kungress biex ikun xieraq $ 2.2 biljun f'għajnuna ta' emerġenza lill-Iżrael, inklużi $ 1.5 biljun f'għotjiet diretti. George Lenczowski jinnota, "Il-provvisti militari ma eżawrix il-ħeġġa ta 'Nixon biex jipprevjenu l-kollass ta' Iżrael ... din id-deċiżjoni [$ 2.2 biljun] wasslet għal rispons kollettiv tal-OPEC." Il-Libja immedjatament ħabbret li se jbaħħru vjeġġi taż-żejt lejn l-Istati Uniti. L-Arabja Sawdita u l-istati l-oħra li jipproduċu ż-żejt Għarab ingħaqdu fl-embargo fl-20 ta 'Ottubru, 1973. Fil-laqgħa tal-Kuwajt tagħhom, OAPEC ipproklama l-embargo li trażżan l-esportazzjonijiet lejn diversi pajjiżi u imblukkaw il-kunsinni kollha taż-żejt lejn l-Istati Uniti bħala "pajjiż ostili prinċipali".</v>
      </c>
    </row>
    <row r="15081" ht="15.75" customHeight="1">
      <c r="A15081" s="2" t="s">
        <v>15081</v>
      </c>
      <c r="B15081" s="2" t="str">
        <f>IFERROR(__xludf.DUMMYFUNCTION("GOOGLETRANSLATE(A15081, ""en"", ""mt"")"),"Sħubija ma 'komunikazzjonijiet ta' Livell 3 biex tniedi netwerk ġdid fjamant fuq livell nazzjonali")</f>
        <v>Sħubija ma 'komunikazzjonijiet ta' Livell 3 biex tniedi netwerk ġdid fjamant fuq livell nazzjonali</v>
      </c>
    </row>
    <row r="15082" ht="15.75" customHeight="1">
      <c r="A15082" s="2" t="s">
        <v>15082</v>
      </c>
      <c r="B15082" s="2" t="str">
        <f>IFERROR(__xludf.DUMMYFUNCTION("GOOGLETRANSLATE(A15082, ""en"", ""mt"")"),"kmieni fis-snin 1950")</f>
        <v>kmieni fis-snin 1950</v>
      </c>
    </row>
    <row r="15083" ht="15.75" customHeight="1">
      <c r="A15083" s="2" t="s">
        <v>15083</v>
      </c>
      <c r="B15083" s="2" t="str">
        <f>IFERROR(__xludf.DUMMYFUNCTION("GOOGLETRANSLATE(A15083, ""en"", ""mt"")"),"sinformi")</f>
        <v>sinformi</v>
      </c>
    </row>
    <row r="15084" ht="15.75" customHeight="1">
      <c r="A15084" s="2" t="s">
        <v>15084</v>
      </c>
      <c r="B15084" s="2" t="str">
        <f>IFERROR(__xludf.DUMMYFUNCTION("GOOGLETRANSLATE(A15084, ""en"", ""mt"")"),"X'tip ta 'intraprenditorija jwassal għal avvanzi fit-teknoloġija?")</f>
        <v>X'tip ta 'intraprenditorija jwassal għal avvanzi fit-teknoloġija?</v>
      </c>
    </row>
    <row r="15085" ht="15.75" customHeight="1">
      <c r="A15085" s="2" t="s">
        <v>15085</v>
      </c>
      <c r="B15085" s="2" t="str">
        <f>IFERROR(__xludf.DUMMYFUNCTION("GOOGLETRANSLATE(A15085, ""en"", ""mt"")"),"Wara WW-II Fejn ir-Russja applikat ir-reġimi tsaristi qodma tagħha?")</f>
        <v>Wara WW-II Fejn ir-Russja applikat ir-reġimi tsaristi qodma tagħha?</v>
      </c>
    </row>
    <row r="15086" ht="15.75" customHeight="1">
      <c r="A15086" s="2" t="s">
        <v>15086</v>
      </c>
      <c r="B15086" s="2" t="str">
        <f>IFERROR(__xludf.DUMMYFUNCTION("GOOGLETRANSLATE(A15086, ""en"", ""mt"")"),"L-istrateġija evoluzzjonarja użata minn cicadas tal-ġeneru Magicicada tagħmel użu minn numri ewlenin. Dawn l-insetti jqattgħu ħafna minn ħajjithom bħala grubs taħt l-art. Huma biss ibatu u mbagħad joħorġu mill-ħwienet tagħhom wara 7, 13 jew 17-il sena, f'"&amp;"liema punt itiru, jitrabbew, u mbagħad imutu wara ftit ġimgħat l-aktar. Il-loġika għal dan huwa maħsub li hija li l-intervalli tan-numru ewlieni bejn il-emerġenzi jagħmluha diffiċli ħafna għall-predaturi li jevolvu li jistgħu jispeċjalizzaw bħala predatur"&amp;"i fuq il-magicadas. Jekk MagicIcadas deher f'intervalli ta 'numru mhux prim, ngħidu kull 12-il sena, allura l-predaturi li jidhru kull 2, 3, 4, 6, jew 12-il sena jkunu żgur li jiltaqgħu magħhom. Matul perjodu ta '200 sena, popolazzjonijiet ta' predaturi m"&amp;"edji waqt tifqigħat ipotetiċi ta 'cicadas ta' 14 u 15-il sena jkunu sa 2% ogħla milli waqt tifqigħat ta 'cicadas ta' 13- u 17-il sena. Għalkemm żgħir, dan il-vantaġġ jidher li kien biżżejjed biex isuq l-għażla naturali favur ċiklu tal-ħajja tan-numru ewli"&amp;"eni għal dawn l-insetti.")</f>
        <v>L-istrateġija evoluzzjonarja użata minn cicadas tal-ġeneru Magicicada tagħmel użu minn numri ewlenin. Dawn l-insetti jqattgħu ħafna minn ħajjithom bħala grubs taħt l-art. Huma biss ibatu u mbagħad joħorġu mill-ħwienet tagħhom wara 7, 13 jew 17-il sena, f'liema punt itiru, jitrabbew, u mbagħad imutu wara ftit ġimgħat l-aktar. Il-loġika għal dan huwa maħsub li hija li l-intervalli tan-numru ewlieni bejn il-emerġenzi jagħmluha diffiċli ħafna għall-predaturi li jevolvu li jistgħu jispeċjalizzaw bħala predaturi fuq il-magicadas. Jekk MagicIcadas deher f'intervalli ta 'numru mhux prim, ngħidu kull 12-il sena, allura l-predaturi li jidhru kull 2, 3, 4, 6, jew 12-il sena jkunu żgur li jiltaqgħu magħhom. Matul perjodu ta '200 sena, popolazzjonijiet ta' predaturi medji waqt tifqigħat ipotetiċi ta 'cicadas ta' 14 u 15-il sena jkunu sa 2% ogħla milli waqt tifqigħat ta 'cicadas ta' 13- u 17-il sena. Għalkemm żgħir, dan il-vantaġġ jidher li kien biżżejjed biex isuq l-għażla naturali favur ċiklu tal-ħajja tan-numru ewlieni għal dawn l-insetti.</v>
      </c>
    </row>
    <row r="15087" ht="15.75" customHeight="1">
      <c r="A15087" s="2" t="s">
        <v>15087</v>
      </c>
      <c r="B15087" s="2" t="str">
        <f>IFERROR(__xludf.DUMMYFUNCTION("GOOGLETRANSLATE(A15087, ""en"", ""mt"")"),"Wara l-istudenti li għadhom ma ggradwawx huma meħtieġa li jlestu kemm hemm klassijiet ta 'edukazzjoni ġenerali lejn il-grad?")</f>
        <v>Wara l-istudenti li għadhom ma ggradwawx huma meħtieġa li jlestu kemm hemm klassijiet ta 'edukazzjoni ġenerali lejn il-grad?</v>
      </c>
    </row>
    <row r="15088" ht="15.75" customHeight="1">
      <c r="A15088" s="2" t="s">
        <v>15088</v>
      </c>
      <c r="B15088" s="2" t="str">
        <f>IFERROR(__xludf.DUMMYFUNCTION("GOOGLETRANSLATE(A15088, ""en"", ""mt"")"),"Awtoimmunità")</f>
        <v>Awtoimmunità</v>
      </c>
    </row>
    <row r="15089" ht="15.75" customHeight="1">
      <c r="A15089" s="2" t="s">
        <v>15089</v>
      </c>
      <c r="B15089" s="2" t="str">
        <f>IFERROR(__xludf.DUMMYFUNCTION("GOOGLETRANSLATE(A15089, ""en"", ""mt"")"),"kitbiet u kummenti")</f>
        <v>kitbiet u kummenti</v>
      </c>
    </row>
    <row r="15090" ht="15.75" customHeight="1">
      <c r="A15090" s="2" t="s">
        <v>15090</v>
      </c>
      <c r="B15090" s="2" t="str">
        <f>IFERROR(__xludf.DUMMYFUNCTION("GOOGLETRANSLATE(A15090, ""en"", ""mt"")"),"Peress li ma emminx li s-salvazzjoni ġiet akkwistata permezz ta 'għemejjel tajbin, kif inkiseb?")</f>
        <v>Peress li ma emminx li s-salvazzjoni ġiet akkwistata permezz ta 'għemejjel tajbin, kif inkiseb?</v>
      </c>
    </row>
    <row r="15091" ht="15.75" customHeight="1">
      <c r="A15091" s="2" t="s">
        <v>15091</v>
      </c>
      <c r="B15091" s="2" t="str">
        <f>IFERROR(__xludf.DUMMYFUNCTION("GOOGLETRANSLATE(A15091, ""en"", ""mt"")"),"mid-dipartiment,")</f>
        <v>mid-dipartiment,</v>
      </c>
    </row>
    <row r="15092" ht="15.75" customHeight="1">
      <c r="A15092" s="2" t="s">
        <v>15092</v>
      </c>
      <c r="B15092" s="2" t="str">
        <f>IFERROR(__xludf.DUMMYFUNCTION("GOOGLETRANSLATE(A15092, ""en"", ""mt"")"),"Teorija tas-Sistemi Dinjija.")</f>
        <v>Teorija tas-Sistemi Dinjija.</v>
      </c>
    </row>
    <row r="15093" ht="15.75" customHeight="1">
      <c r="A15093" s="2" t="s">
        <v>15093</v>
      </c>
      <c r="B15093" s="2" t="str">
        <f>IFERROR(__xludf.DUMMYFUNCTION("GOOGLETRANSLATE(A15093, ""en"", ""mt"")"),"fuq kwalunkwe distanza terrestri")</f>
        <v>fuq kwalunkwe distanza terrestri</v>
      </c>
    </row>
    <row r="15094" ht="15.75" customHeight="1">
      <c r="A15094" s="2" t="s">
        <v>15094</v>
      </c>
      <c r="B15094" s="2" t="str">
        <f>IFERROR(__xludf.DUMMYFUNCTION("GOOGLETRANSLATE(A15094, ""en"", ""mt"")"),"Oranġerija ġdida")</f>
        <v>Oranġerija ġdida</v>
      </c>
    </row>
    <row r="15095" ht="15.75" customHeight="1">
      <c r="A15095" s="2" t="s">
        <v>15095</v>
      </c>
      <c r="B15095" s="2" t="str">
        <f>IFERROR(__xludf.DUMMYFUNCTION("GOOGLETRANSLATE(A15095, ""en"", ""mt"")"),"Il-biċċa l-kbira tal-kongregazzjonijiet Huguenot (jew individwi) fl-Amerika ta 'Fuq eventwalment affiljati ma' denominazzjonijiet Protestanti oħra ma 'membri aktar numerużi. Il-Huguenots adattaw malajr u spiss miżżewġin barra l-komunitajiet Franċiżi immed"&amp;"jati tagħhom, u dan wassal għall-assimilazzjoni tagħhom. Id-dixxendenti tagħhom f’ħafna familji komplew jużaw l-ismijiet u l-kunjomijiet Franċiżi għat-tfal tagħhom sew fis-seklu dsatax. Assimilati, il-Franċiżi għamlu bosta kontribuzzjonijiet għall-ħajja e"&amp;"konomika tal-Istati Uniti, speċjalment bħala negozjanti u artiġjani fil-perjodi kolonjali u federali bikrija tard. Pereżempju, E.I. Du Pont, ex-student ta 'Lavoisier, stabbilixxa l-Eleutherian Gunpowder Mills.")</f>
        <v>Il-biċċa l-kbira tal-kongregazzjonijiet Huguenot (jew individwi) fl-Amerika ta 'Fuq eventwalment affiljati ma' denominazzjonijiet Protestanti oħra ma 'membri aktar numerużi. Il-Huguenots adattaw malajr u spiss miżżewġin barra l-komunitajiet Franċiżi immedjati tagħhom, u dan wassal għall-assimilazzjoni tagħhom. Id-dixxendenti tagħhom f’ħafna familji komplew jużaw l-ismijiet u l-kunjomijiet Franċiżi għat-tfal tagħhom sew fis-seklu dsatax. Assimilati, il-Franċiżi għamlu bosta kontribuzzjonijiet għall-ħajja ekonomika tal-Istati Uniti, speċjalment bħala negozjanti u artiġjani fil-perjodi kolonjali u federali bikrija tard. Pereżempju, E.I. Du Pont, ex-student ta 'Lavoisier, stabbilixxa l-Eleutherian Gunpowder Mills.</v>
      </c>
    </row>
    <row r="15096" ht="15.75" customHeight="1">
      <c r="A15096" s="2" t="s">
        <v>15096</v>
      </c>
      <c r="B15096" s="2" t="str">
        <f>IFERROR(__xludf.DUMMYFUNCTION("GOOGLETRANSLATE(A15096, ""en"", ""mt"")"),"Bażi tat-titanju")</f>
        <v>Bażi tat-titanju</v>
      </c>
    </row>
    <row r="15097" ht="15.75" customHeight="1">
      <c r="A15097" s="2" t="s">
        <v>15097</v>
      </c>
      <c r="B15097" s="2" t="str">
        <f>IFERROR(__xludf.DUMMYFUNCTION("GOOGLETRANSLATE(A15097, ""en"", ""mt"")"),"Wara li Washington kien irritorna lejn Williamsburg, Dinwiddie ordnatlu biex imexxi forza akbar biex jgħin lil Trent fix-xogħol tiegħu. Waqt li kienet fi triqthom, Washington saret taf bl-irtir ta ’Trent. Peress li Tanaghrisson kien wiegħed l-appoġġ lill-"&amp;"Ingliżi, Washington kompla lejn Fort Duquesne u ltaqa 'mal-mexxej tal-Mingo. It-tagħlim ta 'partit tal-iscouting Franċiż fiż-żona, Washington, ma' Tanaghrisson u l-partit tiegħu, sorpriż lill-Kanadiżi fit-28 ta 'Mejju f'dak li sar magħruf bħala l-Battalja"&amp;" ta' Jumonville Glen. Huma qatlu ħafna mill-Kanadiżi, inkluż l-uffiċjal kmandant tagħhom, Joseph Coulon de Jumonville, li r-ras tiegħu kien rappurtat li nfetaħ minn Tanaghrisson ma 'Tomahawk. L-istoriku Fred Anderson jissuġġerixxi li Tanaghrisson kien qed"&amp;" jaġixxi biex jikseb l-appoġġ tal-Ingliżi u jerġa 'jikseb l-awtorità fuq in-nies tiegħu stess. Huma kienu inklinati li jappoġġjaw lill-Franċiżi, li magħhom kellhom relazzjonijiet ta 'kummerċ fit-tul. Wieħed mill-irġiel ta 'Tanaghrisson qal lil Contrecoeur"&amp;" li Jumonville kien inqatel minn British Musket Fire.")</f>
        <v>Wara li Washington kien irritorna lejn Williamsburg, Dinwiddie ordnatlu biex imexxi forza akbar biex jgħin lil Trent fix-xogħol tiegħu. Waqt li kienet fi triqthom, Washington saret taf bl-irtir ta ’Trent. Peress li Tanaghrisson kien wiegħed l-appoġġ lill-Ingliżi, Washington kompla lejn Fort Duquesne u ltaqa 'mal-mexxej tal-Mingo. It-tagħlim ta 'partit tal-iscouting Franċiż fiż-żona, Washington, ma' Tanaghrisson u l-partit tiegħu, sorpriż lill-Kanadiżi fit-28 ta 'Mejju f'dak li sar magħruf bħala l-Battalja ta' Jumonville Glen. Huma qatlu ħafna mill-Kanadiżi, inkluż l-uffiċjal kmandant tagħhom, Joseph Coulon de Jumonville, li r-ras tiegħu kien rappurtat li nfetaħ minn Tanaghrisson ma 'Tomahawk. L-istoriku Fred Anderson jissuġġerixxi li Tanaghrisson kien qed jaġixxi biex jikseb l-appoġġ tal-Ingliżi u jerġa 'jikseb l-awtorità fuq in-nies tiegħu stess. Huma kienu inklinati li jappoġġjaw lill-Franċiżi, li magħhom kellhom relazzjonijiet ta 'kummerċ fit-tul. Wieħed mill-irġiel ta 'Tanaghrisson qal lil Contrecoeur li Jumonville kien inqatel minn British Musket Fire.</v>
      </c>
    </row>
    <row r="15098" ht="15.75" customHeight="1">
      <c r="A15098" s="2" t="s">
        <v>15098</v>
      </c>
      <c r="B15098" s="2" t="str">
        <f>IFERROR(__xludf.DUMMYFUNCTION("GOOGLETRANSLATE(A15098, ""en"", ""mt"")"),"Blat igneous huwa blat li jikkristallizza minn xiex?")</f>
        <v>Blat igneous huwa blat li jikkristallizza minn xiex?</v>
      </c>
    </row>
    <row r="15099" ht="15.75" customHeight="1">
      <c r="A15099" s="2" t="s">
        <v>15099</v>
      </c>
      <c r="B15099" s="2" t="str">
        <f>IFERROR(__xludf.DUMMYFUNCTION("GOOGLETRANSLATE(A15099, ""en"", ""mt"")"),"In-Norveġja")</f>
        <v>In-Norveġja</v>
      </c>
    </row>
    <row r="15100" ht="15.75" customHeight="1">
      <c r="A15100" s="2" t="s">
        <v>15100</v>
      </c>
      <c r="B15100" s="2" t="str">
        <f>IFERROR(__xludf.DUMMYFUNCTION("GOOGLETRANSLATE(A15100, ""en"", ""mt"")"),"Ukoll")</f>
        <v>Ukoll</v>
      </c>
    </row>
    <row r="15101" ht="15.75" customHeight="1">
      <c r="A15101" s="2" t="s">
        <v>15101</v>
      </c>
      <c r="B15101" s="2" t="str">
        <f>IFERROR(__xludf.DUMMYFUNCTION("GOOGLETRANSLATE(A15101, ""en"", ""mt"")"),"Liema bini amministrattiv preċedenti ntuża għall-uffiċċji tal-MSP?")</f>
        <v>Liema bini amministrattiv preċedenti ntuża għall-uffiċċji tal-MSP?</v>
      </c>
    </row>
    <row r="15102" ht="15.75" customHeight="1">
      <c r="A15102" s="2" t="s">
        <v>15102</v>
      </c>
      <c r="B15102" s="2" t="str">
        <f>IFERROR(__xludf.DUMMYFUNCTION("GOOGLETRANSLATE(A15102, ""en"", ""mt"")"),"evidenza")</f>
        <v>evidenza</v>
      </c>
    </row>
    <row r="15103" ht="15.75" customHeight="1">
      <c r="A15103" s="2" t="s">
        <v>15103</v>
      </c>
      <c r="B15103" s="2" t="str">
        <f>IFERROR(__xludf.DUMMYFUNCTION("GOOGLETRANSLATE(A15103, ""en"", ""mt"")"),"Ir-rata tal-kriminalità ntweriet ukoll li hija korrelata mal-inugwaljanza fis-soċjetà. Ħafna studji li qed ifittxu r-relazzjoni kkonċentraw fuq l-omiċidi - billi l-omiċidi huma kważi definiti b'mod identiku bejn in-nazzjonijiet u l-ġurisdizzjonijiet kollh"&amp;"a. Kien hemm aktar minn ħamsin studju li juru tendenzi biex il-vjolenza tkun aktar komuni f'soċjetajiet fejn id-differenzi fid-dħul huma akbar. Twettqet riċerka meta tqabbel pajjiżi żviluppati ma 'pajjiżi mhux żviluppati, kif ukoll studju ta' żoni f'pajji"&amp;"żi. Daly et al. L-2001 sab li fost l-istati tal-Istati Uniti u l-provinċji Kanadiżi hemm differenza b'għaxar darbiet fir-rati ta 'omiċidji relatati ma' l-inugwaljanza. Huma stmaw li madwar nofs il-varjazzjoni kollha fir-rati ta 'omiċidji jistgħu jiġu kkon"&amp;"tabilizzati minn differenzi fl-ammont ta' inugwaljanza f'kull provinċja jew stat. Fajnzylber et al. (2002) sab relazzjoni simili mad-dinja kollha. Fost kummenti fil-letteratura akkademika dwar ir-relazzjoni bejn l-omiċidi u l-inugwaljanza hemm:")</f>
        <v>Ir-rata tal-kriminalità ntweriet ukoll li hija korrelata mal-inugwaljanza fis-soċjetà. Ħafna studji li qed ifittxu r-relazzjoni kkonċentraw fuq l-omiċidi - billi l-omiċidi huma kważi definiti b'mod identiku bejn in-nazzjonijiet u l-ġurisdizzjonijiet kollha. Kien hemm aktar minn ħamsin studju li juru tendenzi biex il-vjolenza tkun aktar komuni f'soċjetajiet fejn id-differenzi fid-dħul huma akbar. Twettqet riċerka meta tqabbel pajjiżi żviluppati ma 'pajjiżi mhux żviluppati, kif ukoll studju ta' żoni f'pajjiżi. Daly et al. L-2001 sab li fost l-istati tal-Istati Uniti u l-provinċji Kanadiżi hemm differenza b'għaxar darbiet fir-rati ta 'omiċidji relatati ma' l-inugwaljanza. Huma stmaw li madwar nofs il-varjazzjoni kollha fir-rati ta 'omiċidji jistgħu jiġu kkontabilizzati minn differenzi fl-ammont ta' inugwaljanza f'kull provinċja jew stat. Fajnzylber et al. (2002) sab relazzjoni simili mad-dinja kollha. Fost kummenti fil-letteratura akkademika dwar ir-relazzjoni bejn l-omiċidi u l-inugwaljanza hemm:</v>
      </c>
    </row>
    <row r="15104" ht="15.75" customHeight="1">
      <c r="A15104" s="2" t="s">
        <v>15104</v>
      </c>
      <c r="B15104" s="2" t="str">
        <f>IFERROR(__xludf.DUMMYFUNCTION("GOOGLETRANSLATE(A15104, ""en"", ""mt"")"),"X'talket il-knisja li setgħet tiġi evitata bil-flus?")</f>
        <v>X'talket il-knisja li setgħet tiġi evitata bil-flus?</v>
      </c>
    </row>
    <row r="15105" ht="15.75" customHeight="1">
      <c r="A15105" s="2" t="s">
        <v>15105</v>
      </c>
      <c r="B15105" s="2" t="str">
        <f>IFERROR(__xludf.DUMMYFUNCTION("GOOGLETRANSLATE(A15105, ""en"", ""mt"")"),"X'għamlet Tesla Electric Light &amp; Manufacturing?")</f>
        <v>X'għamlet Tesla Electric Light &amp; Manufacturing?</v>
      </c>
    </row>
    <row r="15106" ht="15.75" customHeight="1">
      <c r="A15106" s="2" t="s">
        <v>15106</v>
      </c>
      <c r="B15106" s="2" t="str">
        <f>IFERROR(__xludf.DUMMYFUNCTION("GOOGLETRANSLATE(A15106, ""en"", ""mt"")"),"il-kulleġġ")</f>
        <v>il-kulleġġ</v>
      </c>
    </row>
    <row r="15107" ht="15.75" customHeight="1">
      <c r="A15107" s="2" t="s">
        <v>15107</v>
      </c>
      <c r="B15107" s="2" t="str">
        <f>IFERROR(__xludf.DUMMYFUNCTION("GOOGLETRANSLATE(A15107, ""en"", ""mt"")"),"Li ssaltan fuq l-Imperu Ottoman meta kien l-iktar qawwi tiegħu.")</f>
        <v>Li ssaltan fuq l-Imperu Ottoman meta kien l-iktar qawwi tiegħu.</v>
      </c>
    </row>
    <row r="15108" ht="15.75" customHeight="1">
      <c r="A15108" s="2" t="s">
        <v>15108</v>
      </c>
      <c r="B15108" s="2" t="str">
        <f>IFERROR(__xludf.DUMMYFUNCTION("GOOGLETRANSLATE(A15108, ""en"", ""mt"")"),"Għal liema relazzjoni ma 'Iżrael huwa Sadat?")</f>
        <v>Għal liema relazzjoni ma 'Iżrael huwa Sadat?</v>
      </c>
    </row>
    <row r="15109" ht="15.75" customHeight="1">
      <c r="A15109" s="2" t="s">
        <v>15109</v>
      </c>
      <c r="B15109" s="2" t="str">
        <f>IFERROR(__xludf.DUMMYFUNCTION("GOOGLETRANSLATE(A15109, ""en"", ""mt"")"),"Kemm jista 'jkun hemm tkabbir ekonomiku potenzjali l-Istati Uniti jekk kulħadd jgħaddi minn aktar skola?")</f>
        <v>Kemm jista 'jkun hemm tkabbir ekonomiku potenzjali l-Istati Uniti jekk kulħadd jgħaddi minn aktar skola?</v>
      </c>
    </row>
    <row r="15110" ht="15.75" customHeight="1">
      <c r="A15110" s="2" t="s">
        <v>15110</v>
      </c>
      <c r="B15110" s="2" t="str">
        <f>IFERROR(__xludf.DUMMYFUNCTION("GOOGLETRANSLATE(A15110, ""en"", ""mt"")"),"sekwenzjali")</f>
        <v>sekwenzjali</v>
      </c>
    </row>
    <row r="15111" ht="15.75" customHeight="1">
      <c r="A15111" s="2" t="s">
        <v>15111</v>
      </c>
      <c r="B15111" s="2" t="str">
        <f>IFERROR(__xludf.DUMMYFUNCTION("GOOGLETRANSLATE(A15111, ""en"", ""mt"")"),"A ACL imqatta '")</f>
        <v>A ACL imqatta '</v>
      </c>
    </row>
    <row r="15112" ht="15.75" customHeight="1">
      <c r="A15112" s="2" t="s">
        <v>15112</v>
      </c>
      <c r="B15112" s="2" t="str">
        <f>IFERROR(__xludf.DUMMYFUNCTION("GOOGLETRANSLATE(A15112, ""en"", ""mt"")"),"faċilità ġdida")</f>
        <v>faċilità ġdida</v>
      </c>
    </row>
    <row r="15113" ht="15.75" customHeight="1">
      <c r="A15113" s="2" t="s">
        <v>15113</v>
      </c>
      <c r="B15113" s="2" t="str">
        <f>IFERROR(__xludf.DUMMYFUNCTION("GOOGLETRANSLATE(A15113, ""en"", ""mt"")"),"Muntanji Andes")</f>
        <v>Muntanji Andes</v>
      </c>
    </row>
    <row r="15114" ht="15.75" customHeight="1">
      <c r="A15114" s="2" t="s">
        <v>15114</v>
      </c>
      <c r="B15114" s="2" t="str">
        <f>IFERROR(__xludf.DUMMYFUNCTION("GOOGLETRANSLATE(A15114, ""en"", ""mt"")"),"X'inhuma żewġ riżorsi primarji bażiċi użati għall-kumplessità tal-guage?")</f>
        <v>X'inhuma żewġ riżorsi primarji bażiċi użati għall-kumplessità tal-guage?</v>
      </c>
    </row>
    <row r="15115" ht="15.75" customHeight="1">
      <c r="A15115" s="2" t="s">
        <v>15115</v>
      </c>
      <c r="B15115" s="2" t="str">
        <f>IFERROR(__xludf.DUMMYFUNCTION("GOOGLETRANSLATE(A15115, ""en"", ""mt"")"),"Studenti gradwati u li għadhom ma ggradwawx eletti biex jirrappreżentaw lill-membri mill-unità akkademika rispettiva tagħhom")</f>
        <v>Studenti gradwati u li għadhom ma ggradwawx eletti biex jirrappreżentaw lill-membri mill-unità akkademika rispettiva tagħhom</v>
      </c>
    </row>
    <row r="15116" ht="15.75" customHeight="1">
      <c r="A15116" s="2" t="s">
        <v>15116</v>
      </c>
      <c r="B15116" s="2" t="str">
        <f>IFERROR(__xludf.DUMMYFUNCTION("GOOGLETRANSLATE(A15116, ""en"", ""mt"")"),"Liema kundanna kellhom ħafna Pollakki rigward kif ħasbu l-Varsovians infushom?")</f>
        <v>Liema kundanna kellhom ħafna Pollakki rigward kif ħasbu l-Varsovians infushom?</v>
      </c>
    </row>
    <row r="15117" ht="15.75" customHeight="1">
      <c r="A15117" s="2" t="s">
        <v>15117</v>
      </c>
      <c r="B15117" s="2" t="str">
        <f>IFERROR(__xludf.DUMMYFUNCTION("GOOGLETRANSLATE(A15117, ""en"", ""mt"")"),"r 20% sa 25%")</f>
        <v>r 20% sa 25%</v>
      </c>
    </row>
    <row r="15118" ht="15.75" customHeight="1">
      <c r="A15118" s="2" t="s">
        <v>15118</v>
      </c>
      <c r="B15118" s="2" t="str">
        <f>IFERROR(__xludf.DUMMYFUNCTION("GOOGLETRANSLATE(A15118, ""en"", ""mt"")"),"Il-Prinċep ta ’Płock")</f>
        <v>Il-Prinċep ta ’Płock</v>
      </c>
    </row>
    <row r="15119" ht="15.75" customHeight="1">
      <c r="A15119" s="2" t="s">
        <v>15119</v>
      </c>
      <c r="B15119" s="2" t="str">
        <f>IFERROR(__xludf.DUMMYFUNCTION("GOOGLETRANSLATE(A15119, ""en"", ""mt"")"),"tul in-nofs")</f>
        <v>tul in-nofs</v>
      </c>
    </row>
    <row r="15120" ht="15.75" customHeight="1">
      <c r="A15120" s="2" t="s">
        <v>15120</v>
      </c>
      <c r="B15120" s="2" t="str">
        <f>IFERROR(__xludf.DUMMYFUNCTION("GOOGLETRANSLATE(A15120, ""en"", ""mt"")"),"Xi tirrifletti t-taħlita ta 'stili arkitettoniċi ta' Varsavja?")</f>
        <v>Xi tirrifletti t-taħlita ta 'stili arkitettoniċi ta' Varsavja?</v>
      </c>
    </row>
    <row r="15121" ht="15.75" customHeight="1">
      <c r="A15121" s="2" t="s">
        <v>15121</v>
      </c>
      <c r="B15121" s="2" t="str">
        <f>IFERROR(__xludf.DUMMYFUNCTION("GOOGLETRANSLATE(A15121, ""en"", ""mt"")"),"L-Istitut tal-Inġiniera tar-Radju")</f>
        <v>L-Istitut tal-Inġiniera tar-Radju</v>
      </c>
    </row>
    <row r="15122" ht="15.75" customHeight="1">
      <c r="A15122" s="2" t="s">
        <v>15122</v>
      </c>
      <c r="B15122" s="2" t="str">
        <f>IFERROR(__xludf.DUMMYFUNCTION("GOOGLETRANSLATE(A15122, ""en"", ""mt"")"),"Iktar ma tkun żgħira l-inugwaljanza ekonomika, iktar ikun maħluq l-iskart u t-tniġġis, li jirriżulta f'ħafna każijiet, f'aktar degradazzjoni ambjentali. Dan jista 'jiġi spjegat mill-fatt li hekk kif in-nies foqra fis-soċjetà jsiru aktar sinjuri, din iżżid"&amp;" l-emissjonijiet ta' karbonju annwali tagħhom. Din ir-relazzjoni hija espressa mill-kurva tal-Kuznets ambjentali (EKC). [Mhux fiċ-ċitazzjoni mogħtija] għandu jkun innotat hawnhekk li f'ċerti każijiet, b'inugwaljanza ekonomika kbira, madankollu m'hemmx akt"&amp;"ar skart u tniġġis maħluqa bħala l-iskart / tniġġis Imnaddaf aħjar wara (trattament tal-ilma, filtrazzjoni, ...) .... Innota wkoll li ż-żieda kollha fid-degradazzjoni ambjentali hija r-riżultat taż-żieda ta 'emissjonijiet għal kull persuna li tiġi mmultip"&amp;"likata b'ħafna multiplikatur. Jekk kien hemm inqas nies madankollu, dan il-multiplikatur ikun aktar baxx, u għalhekk l-ammont ta 'degradazzjoni ambjentali jkun inqas ukoll. Bħala tali, il-livell għoli attwali ta 'popolazzjoni għandu impatt kbir ukoll fuq "&amp;"dan. Jekk (kif argumentat il-WWF), il-livelli tal-popolazzjoni jibdew jonqsu għal livell sostenibbli (1/3 tal-livelli attwali, għalhekk madwar 2 biljun persuna), l-inugwaljanza umana tista 'tiġi indirizzata / ikkoreġuta, filwaqt li xorta ma tirriżulta f'ż"&amp;"ieda ta' ħsara ambjentali -")</f>
        <v>Iktar ma tkun żgħira l-inugwaljanza ekonomika, iktar ikun maħluq l-iskart u t-tniġġis, li jirriżulta f'ħafna każijiet, f'aktar degradazzjoni ambjentali. Dan jista 'jiġi spjegat mill-fatt li hekk kif in-nies foqra fis-soċjetà jsiru aktar sinjuri, din iżżid l-emissjonijiet ta' karbonju annwali tagħhom. Din ir-relazzjoni hija espressa mill-kurva tal-Kuznets ambjentali (EKC). [Mhux fiċ-ċitazzjoni mogħtija] għandu jkun innotat hawnhekk li f'ċerti każijiet, b'inugwaljanza ekonomika kbira, madankollu m'hemmx aktar skart u tniġġis maħluqa bħala l-iskart / tniġġis Imnaddaf aħjar wara (trattament tal-ilma, filtrazzjoni, ...) .... Innota wkoll li ż-żieda kollha fid-degradazzjoni ambjentali hija r-riżultat taż-żieda ta 'emissjonijiet għal kull persuna li tiġi mmultiplikata b'ħafna multiplikatur. Jekk kien hemm inqas nies madankollu, dan il-multiplikatur ikun aktar baxx, u għalhekk l-ammont ta 'degradazzjoni ambjentali jkun inqas ukoll. Bħala tali, il-livell għoli attwali ta 'popolazzjoni għandu impatt kbir ukoll fuq dan. Jekk (kif argumentat il-WWF), il-livelli tal-popolazzjoni jibdew jonqsu għal livell sostenibbli (1/3 tal-livelli attwali, għalhekk madwar 2 biljun persuna), l-inugwaljanza umana tista 'tiġi indirizzata / ikkoreġuta, filwaqt li xorta ma tirriżulta f'żieda ta' ħsara ambjentali -</v>
      </c>
    </row>
    <row r="15123" ht="15.75" customHeight="1">
      <c r="A15123" s="2" t="s">
        <v>15123</v>
      </c>
      <c r="B15123" s="2" t="str">
        <f>IFERROR(__xludf.DUMMYFUNCTION("GOOGLETRANSLATE(A15123, ""en"", ""mt"")"),"Supretendent tal-Western Union")</f>
        <v>Supretendent tal-Western Union</v>
      </c>
    </row>
    <row r="15124" ht="15.75" customHeight="1">
      <c r="A15124" s="2" t="s">
        <v>15124</v>
      </c>
      <c r="B15124" s="2" t="str">
        <f>IFERROR(__xludf.DUMMYFUNCTION("GOOGLETRANSLATE(A15124, ""en"", ""mt"")"),"Jekk il-ħaddiem medju ta 'l-Istati Uniti kellu jlesti sena addizzjonali ta' skola, liema ammont ta 'tkabbir jiġi ġġenerat fuq 5 snin?")</f>
        <v>Jekk il-ħaddiem medju ta 'l-Istati Uniti kellu jlesti sena addizzjonali ta' skola, liema ammont ta 'tkabbir jiġi ġġenerat fuq 5 snin?</v>
      </c>
    </row>
    <row r="15125" ht="15.75" customHeight="1">
      <c r="A15125" s="2" t="s">
        <v>15125</v>
      </c>
      <c r="B15125" s="2" t="str">
        <f>IFERROR(__xludf.DUMMYFUNCTION("GOOGLETRANSLATE(A15125, ""en"", ""mt"")"),"King Malcolm III")</f>
        <v>King Malcolm III</v>
      </c>
    </row>
    <row r="15126" ht="15.75" customHeight="1">
      <c r="A15126" s="2" t="s">
        <v>15126</v>
      </c>
      <c r="B15126" s="2" t="str">
        <f>IFERROR(__xludf.DUMMYFUNCTION("GOOGLETRANSLATE(A15126, ""en"", ""mt"")"),"Bażi tat-Titanium, sussidjarja tar-Riżorsi Bażi tal-Awstralja")</f>
        <v>Bażi tat-Titanium, sussidjarja tar-Riżorsi Bażi tal-Awstralja</v>
      </c>
    </row>
    <row r="15127" ht="15.75" customHeight="1">
      <c r="A15127" s="2" t="s">
        <v>15127</v>
      </c>
      <c r="B15127" s="2" t="str">
        <f>IFERROR(__xludf.DUMMYFUNCTION("GOOGLETRANSLATE(A15127, ""en"", ""mt"")"),"X'tip ta 'appoġġ jipprovdi l-ko-tagħlim?")</f>
        <v>X'tip ta 'appoġġ jipprovdi l-ko-tagħlim?</v>
      </c>
    </row>
    <row r="15128" ht="15.75" customHeight="1">
      <c r="A15128" s="2" t="s">
        <v>15128</v>
      </c>
      <c r="B15128" s="2" t="str">
        <f>IFERROR(__xludf.DUMMYFUNCTION("GOOGLETRANSLATE(A15128, ""en"", ""mt"")"),"Ragħaj lokali liċenzjat")</f>
        <v>Ragħaj lokali liċenzjat</v>
      </c>
    </row>
    <row r="15129" ht="15.75" customHeight="1">
      <c r="A15129" s="2" t="s">
        <v>15129</v>
      </c>
      <c r="B15129" s="2" t="str">
        <f>IFERROR(__xludf.DUMMYFUNCTION("GOOGLETRANSLATE(A15129, ""en"", ""mt"")"),"poteri sekulari")</f>
        <v>poteri sekulari</v>
      </c>
    </row>
    <row r="15130" ht="15.75" customHeight="1">
      <c r="A15130" s="2" t="s">
        <v>15130</v>
      </c>
      <c r="B15130" s="2" t="str">
        <f>IFERROR(__xludf.DUMMYFUNCTION("GOOGLETRANSLATE(A15130, ""en"", ""mt"")"),"ossiġnu")</f>
        <v>ossiġnu</v>
      </c>
    </row>
    <row r="15131" ht="15.75" customHeight="1">
      <c r="A15131" s="2" t="s">
        <v>15131</v>
      </c>
      <c r="B15131" s="2" t="str">
        <f>IFERROR(__xludf.DUMMYFUNCTION("GOOGLETRANSLATE(A15131, ""en"", ""mt"")"),"X'taħseb li Luther kien meħtieġ biex twaqqaf il-vjolenza?")</f>
        <v>X'taħseb li Luther kien meħtieġ biex twaqqaf il-vjolenza?</v>
      </c>
    </row>
    <row r="15132" ht="15.75" customHeight="1">
      <c r="A15132" s="2" t="s">
        <v>15132</v>
      </c>
      <c r="B15132" s="2" t="str">
        <f>IFERROR(__xludf.DUMMYFUNCTION("GOOGLETRANSLATE(A15132, ""en"", ""mt"")"),"sakemm il-għanijiet ekonomiċi u politiċi tagħhom ġew sodisfatti")</f>
        <v>sakemm il-għanijiet ekonomiċi u politiċi tagħhom ġew sodisfatti</v>
      </c>
    </row>
    <row r="15133" ht="15.75" customHeight="1">
      <c r="A15133" s="2" t="s">
        <v>15133</v>
      </c>
      <c r="B15133" s="2" t="str">
        <f>IFERROR(__xludf.DUMMYFUNCTION("GOOGLETRANSLATE(A15133, ""en"", ""mt"")"),"Tqajjem malajr il-popolazzjoni u t-traffiku fi bliet tul SR 99, kif ukoll ix-xewqa ta 'finanzjament federali")</f>
        <v>Tqajjem malajr il-popolazzjoni u t-traffiku fi bliet tul SR 99, kif ukoll ix-xewqa ta 'finanzjament federali</v>
      </c>
    </row>
    <row r="15134" ht="15.75" customHeight="1">
      <c r="A15134" s="2" t="s">
        <v>15134</v>
      </c>
      <c r="B15134" s="2" t="str">
        <f>IFERROR(__xludf.DUMMYFUNCTION("GOOGLETRANSLATE(A15134, ""en"", ""mt"")"),"Min kienu ż-żewġ abbati fil-Fécamp Abbey?")</f>
        <v>Min kienu ż-żewġ abbati fil-Fécamp Abbey?</v>
      </c>
    </row>
    <row r="15135" ht="15.75" customHeight="1">
      <c r="A15135" s="2" t="s">
        <v>15135</v>
      </c>
      <c r="B15135" s="2" t="str">
        <f>IFERROR(__xludf.DUMMYFUNCTION("GOOGLETRANSLATE(A15135, ""en"", ""mt"")"),"X’għamel l-Arabja Sawdita biex tirrapressa biex tikkumpensa għat-telf ta ’statura tagħha?")</f>
        <v>X’għamel l-Arabja Sawdita biex tirrapressa biex tikkumpensa għat-telf ta ’statura tagħha?</v>
      </c>
    </row>
    <row r="15136" ht="15.75" customHeight="1">
      <c r="A15136" s="2" t="s">
        <v>15136</v>
      </c>
      <c r="B15136" s="2" t="str">
        <f>IFERROR(__xludf.DUMMYFUNCTION("GOOGLETRANSLATE(A15136, ""en"", ""mt"")"),"Il-Qorti tal-Ġustizzja tal-Unjoni Ewropea (CJEU)")</f>
        <v>Il-Qorti tal-Ġustizzja tal-Unjoni Ewropea (CJEU)</v>
      </c>
    </row>
    <row r="15137" ht="15.75" customHeight="1">
      <c r="A15137" s="2" t="s">
        <v>15137</v>
      </c>
      <c r="B15137" s="2" t="str">
        <f>IFERROR(__xludf.DUMMYFUNCTION("GOOGLETRANSLATE(A15137, ""en"", ""mt"")"),"X'tip ta 'linja ferrovjarja hija Nazzjonali tal-Paċifiku?")</f>
        <v>X'tip ta 'linja ferrovjarja hija Nazzjonali tal-Paċifiku?</v>
      </c>
    </row>
    <row r="15138" ht="15.75" customHeight="1">
      <c r="A15138" s="2" t="s">
        <v>15138</v>
      </c>
      <c r="B15138" s="2" t="str">
        <f>IFERROR(__xludf.DUMMYFUNCTION("GOOGLETRANSLATE(A15138, ""en"", ""mt"")"),"Sidelines")</f>
        <v>Sidelines</v>
      </c>
    </row>
    <row r="15139" ht="15.75" customHeight="1">
      <c r="A15139" s="2" t="s">
        <v>15139</v>
      </c>
      <c r="B15139" s="2" t="str">
        <f>IFERROR(__xludf.DUMMYFUNCTION("GOOGLETRANSLATE(A15139, ""en"", ""mt"")"),"Fejn il-proporzjon ta 'djar maqsuma u kkonvertiti fl-2011 poġġa dan it-tip ta' abitazzjoni fil-parentesi kkodifikati bil-kulur?")</f>
        <v>Fejn il-proporzjon ta 'djar maqsuma u kkonvertiti fl-2011 poġġa dan it-tip ta' abitazzjoni fil-parentesi kkodifikati bil-kulur?</v>
      </c>
    </row>
    <row r="15140" ht="15.75" customHeight="1">
      <c r="A15140" s="2" t="s">
        <v>15140</v>
      </c>
      <c r="B15140" s="2" t="str">
        <f>IFERROR(__xludf.DUMMYFUNCTION("GOOGLETRANSLATE(A15140, ""en"", ""mt"")"),"Liema sistema immuni hija attivata mir-rispons intrinsiku?")</f>
        <v>Liema sistema immuni hija attivata mir-rispons intrinsiku?</v>
      </c>
    </row>
    <row r="15141" ht="15.75" customHeight="1">
      <c r="A15141" s="2" t="s">
        <v>15141</v>
      </c>
      <c r="B15141" s="2" t="str">
        <f>IFERROR(__xludf.DUMMYFUNCTION("GOOGLETRANSLATE(A15141, ""en"", ""mt"")"),"Xmajjar")</f>
        <v>Xmajjar</v>
      </c>
    </row>
    <row r="15142" ht="15.75" customHeight="1">
      <c r="A15142" s="2" t="s">
        <v>15142</v>
      </c>
      <c r="B15142" s="2" t="str">
        <f>IFERROR(__xludf.DUMMYFUNCTION("GOOGLETRANSLATE(A15142, ""en"", ""mt"")"),"Musulmani) u Kattoliċi")</f>
        <v>Musulmani) u Kattoliċi</v>
      </c>
    </row>
    <row r="15143" ht="15.75" customHeight="1">
      <c r="A15143" s="2" t="s">
        <v>15143</v>
      </c>
      <c r="B15143" s="2" t="str">
        <f>IFERROR(__xludf.DUMMYFUNCTION("GOOGLETRANSLATE(A15143, ""en"", ""mt"")"),"Għaliex ma setax jirreġistra fl-università?")</f>
        <v>Għaliex ma setax jirreġistra fl-università?</v>
      </c>
    </row>
    <row r="15144" ht="15.75" customHeight="1">
      <c r="A15144" s="2" t="s">
        <v>15144</v>
      </c>
      <c r="B15144" s="2" t="str">
        <f>IFERROR(__xludf.DUMMYFUNCTION("GOOGLETRANSLATE(A15144, ""en"", ""mt"")"),"X'tip ta 'kreatura normalment huwa ħbieb ta' Doctor Who?")</f>
        <v>X'tip ta 'kreatura normalment huwa ħbieb ta' Doctor Who?</v>
      </c>
    </row>
    <row r="15145" ht="15.75" customHeight="1">
      <c r="A15145" s="2" t="s">
        <v>15145</v>
      </c>
      <c r="B15145" s="2" t="str">
        <f>IFERROR(__xludf.DUMMYFUNCTION("GOOGLETRANSLATE(A15145, ""en"", ""mt"")"),"Min għamel vidjows tal-kulur bikri tal-ispettaklu?")</f>
        <v>Min għamel vidjows tal-kulur bikri tal-ispettaklu?</v>
      </c>
    </row>
    <row r="15146" ht="15.75" customHeight="1">
      <c r="A15146" s="2" t="s">
        <v>15146</v>
      </c>
      <c r="B15146" s="2" t="str">
        <f>IFERROR(__xludf.DUMMYFUNCTION("GOOGLETRANSLATE(A15146, ""en"", ""mt"")"),"Kemm djar kellhom servizz BSKYB fl-1994?")</f>
        <v>Kemm djar kellhom servizz BSKYB fl-1994?</v>
      </c>
    </row>
    <row r="15147" ht="15.75" customHeight="1">
      <c r="A15147" s="2" t="s">
        <v>15147</v>
      </c>
      <c r="B15147" s="2" t="str">
        <f>IFERROR(__xludf.DUMMYFUNCTION("GOOGLETRANSLATE(A15147, ""en"", ""mt"")"),"Liema qasam tax-xjenza tal-kompjuter janalizza l-algoritmi kollha possibbli biex jiddeterminaw ir-rekwiżiti tar-riżorsi meħtieġa biex isolvu għal problema partikolari?")</f>
        <v>Liema qasam tax-xjenza tal-kompjuter janalizza l-algoritmi kollha possibbli biex jiddeterminaw ir-rekwiżiti tar-riżorsi meħtieġa biex isolvu għal problema partikolari?</v>
      </c>
    </row>
    <row r="15148" ht="15.75" customHeight="1">
      <c r="A15148" s="2" t="s">
        <v>15148</v>
      </c>
      <c r="B15148" s="2" t="str">
        <f>IFERROR(__xludf.DUMMYFUNCTION("GOOGLETRANSLATE(A15148, ""en"", ""mt"")"),"Skirmish tal-knisja tal-briks")</f>
        <v>Skirmish tal-knisja tal-briks</v>
      </c>
    </row>
    <row r="15149" ht="15.75" customHeight="1">
      <c r="A15149" s="2" t="s">
        <v>15149</v>
      </c>
      <c r="B15149" s="2" t="str">
        <f>IFERROR(__xludf.DUMMYFUNCTION("GOOGLETRANSLATE(A15149, ""en"", ""mt"")"),"ABC beda jiffoka fuq x'tip ta 'serje wara s-suċċess tal-NBC fl-1984?")</f>
        <v>ABC beda jiffoka fuq x'tip ta 'serje wara s-suċċess tal-NBC fl-1984?</v>
      </c>
    </row>
    <row r="15150" ht="15.75" customHeight="1">
      <c r="A15150" s="2" t="s">
        <v>15150</v>
      </c>
      <c r="B15150" s="2" t="str">
        <f>IFERROR(__xludf.DUMMYFUNCTION("GOOGLETRANSLATE(A15150, ""en"", ""mt"")"),"Meta bdiet il-vjolenza fil-gwerra?")</f>
        <v>Meta bdiet il-vjolenza fil-gwerra?</v>
      </c>
    </row>
    <row r="15151" ht="15.75" customHeight="1">
      <c r="A15151" s="2" t="s">
        <v>15151</v>
      </c>
      <c r="B15151" s="2" t="str">
        <f>IFERROR(__xludf.DUMMYFUNCTION("GOOGLETRANSLATE(A15151, ""en"", ""mt"")"),"Sistemi kriptografiċi moderni")</f>
        <v>Sistemi kriptografiċi moderni</v>
      </c>
    </row>
    <row r="15152" ht="15.75" customHeight="1">
      <c r="A15152" s="2" t="s">
        <v>15152</v>
      </c>
      <c r="B15152" s="2" t="str">
        <f>IFERROR(__xludf.DUMMYFUNCTION("GOOGLETRANSLATE(A15152, ""en"", ""mt"")"),"X'se jinkiseb bħala parti minn pjanijiet fit-tul għal titjib fis-sistema tal-ferrovija ta 'Newcastle?")</f>
        <v>X'se jinkiseb bħala parti minn pjanijiet fit-tul għal titjib fis-sistema tal-ferrovija ta 'Newcastle?</v>
      </c>
    </row>
    <row r="15153" ht="15.75" customHeight="1">
      <c r="A15153" s="2" t="s">
        <v>15153</v>
      </c>
      <c r="B15153" s="2" t="str">
        <f>IFERROR(__xludf.DUMMYFUNCTION("GOOGLETRANSLATE(A15153, ""en"", ""mt"")"),"f'nofs is-snin 2000")</f>
        <v>f'nofs is-snin 2000</v>
      </c>
    </row>
    <row r="15154" ht="15.75" customHeight="1">
      <c r="A15154" s="2" t="s">
        <v>15154</v>
      </c>
      <c r="B15154" s="2" t="str">
        <f>IFERROR(__xludf.DUMMYFUNCTION("GOOGLETRANSLATE(A15154, ""en"", ""mt"")"),"−11.7 ° C (10.9 ° F)")</f>
        <v>−11.7 ° C (10.9 ° F)</v>
      </c>
    </row>
    <row r="15155" ht="15.75" customHeight="1">
      <c r="A15155" s="2" t="s">
        <v>15155</v>
      </c>
      <c r="B15155" s="2" t="str">
        <f>IFERROR(__xludf.DUMMYFUNCTION("GOOGLETRANSLATE(A15155, ""en"", ""mt"")"),"tiġdid")</f>
        <v>tiġdid</v>
      </c>
    </row>
    <row r="15156" ht="15.75" customHeight="1">
      <c r="A15156" s="2" t="s">
        <v>15156</v>
      </c>
      <c r="B15156" s="2" t="str">
        <f>IFERROR(__xludf.DUMMYFUNCTION("GOOGLETRANSLATE(A15156, ""en"", ""mt"")"),"Rawnds tal-Kura tal-Pazjent Għażla tal-Prodott tad-Droga")</f>
        <v>Rawnds tal-Kura tal-Pazjent Għażla tal-Prodott tad-Droga</v>
      </c>
    </row>
    <row r="15157" ht="15.75" customHeight="1">
      <c r="A15157" s="2" t="s">
        <v>15157</v>
      </c>
      <c r="B15157" s="2" t="str">
        <f>IFERROR(__xludf.DUMMYFUNCTION("GOOGLETRANSLATE(A15157, ""en"", ""mt"")"),"Liema żona hija responsabbli għall-preservazzjoni fit-tul tal-kollezzjonijiet ta 'V &amp; A?")</f>
        <v>Liema żona hija responsabbli għall-preservazzjoni fit-tul tal-kollezzjonijiet ta 'V &amp; A?</v>
      </c>
    </row>
    <row r="15158" ht="15.75" customHeight="1">
      <c r="A15158" s="2" t="s">
        <v>15158</v>
      </c>
      <c r="B15158" s="2" t="str">
        <f>IFERROR(__xludf.DUMMYFUNCTION("GOOGLETRANSLATE(A15158, ""en"", ""mt"")"),"Fiż-zkuk")</f>
        <v>Fiż-zkuk</v>
      </c>
    </row>
    <row r="15159" ht="15.75" customHeight="1">
      <c r="A15159" s="2" t="s">
        <v>15159</v>
      </c>
      <c r="B15159" s="2" t="str">
        <f>IFERROR(__xludf.DUMMYFUNCTION("GOOGLETRANSLATE(A15159, ""en"", ""mt"")"),"Dizzjunarju storiku u kritiku")</f>
        <v>Dizzjunarju storiku u kritiku</v>
      </c>
    </row>
    <row r="15160" ht="15.75" customHeight="1">
      <c r="A15160" s="2" t="s">
        <v>15160</v>
      </c>
      <c r="B15160" s="2" t="str">
        <f>IFERROR(__xludf.DUMMYFUNCTION("GOOGLETRANSLATE(A15160, ""en"", ""mt"")"),"Sas-6 seklu, ir-Renu kien fil-fruntieri ta ’Francia. Fid-9, hija ffurmat parti mill-fruntiera bejn in-nofs u l-punent ta 'Francia, iżda fis-seklu 10, kienet kompletament fl-Imperu Ruman qaddis, li tgħaddi minn Swabia, Franconja u Lorraine t'isfel. Il-ħalq"&amp;" tar-Renu, fil-kontea ta 'l-Olanda, waqgħu lejn l-Olanda tal-Burgundjani fis-seklu 15; L-Olanda baqgħet territorju kontenzjuż matul il-Gwerer tar-Reliġjon Ewropej u l-kollass eventwali tal-Imperu Ruman Imqaddes, meta t-tul tar-Renu waqa 'għall-ewwel Imper"&amp;"u Franċiż u l-istati tal-klijenti tiegħu. L-Alsace fuq il-banek tax-xellug tar-Renu ta ’Fuq inbiegħ lil Burgundy mill-Archduke Sigismund tal-Awstrija fl-1469 u eventwalment waqa’ għal Franza fil-gwerra tat-tletin sena. Il-bosta kastelli storiċi fir-Rhinel"&amp;"and-palatite jixhdu l-importanza tax-xmara bħala rotta kummerċjali.")</f>
        <v>Sas-6 seklu, ir-Renu kien fil-fruntieri ta ’Francia. Fid-9, hija ffurmat parti mill-fruntiera bejn in-nofs u l-punent ta 'Francia, iżda fis-seklu 10, kienet kompletament fl-Imperu Ruman qaddis, li tgħaddi minn Swabia, Franconja u Lorraine t'isfel. Il-ħalq tar-Renu, fil-kontea ta 'l-Olanda, waqgħu lejn l-Olanda tal-Burgundjani fis-seklu 15; L-Olanda baqgħet territorju kontenzjuż matul il-Gwerer tar-Reliġjon Ewropej u l-kollass eventwali tal-Imperu Ruman Imqaddes, meta t-tul tar-Renu waqa 'għall-ewwel Imperu Franċiż u l-istati tal-klijenti tiegħu. L-Alsace fuq il-banek tax-xellug tar-Renu ta ’Fuq inbiegħ lil Burgundy mill-Archduke Sigismund tal-Awstrija fl-1469 u eventwalment waqa’ għal Franza fil-gwerra tat-tletin sena. Il-bosta kastelli storiċi fir-Rhineland-palatite jixhdu l-importanza tax-xmara bħala rotta kummerċjali.</v>
      </c>
    </row>
    <row r="15161" ht="15.75" customHeight="1">
      <c r="A15161" s="2" t="s">
        <v>15161</v>
      </c>
      <c r="B15161" s="2" t="str">
        <f>IFERROR(__xludf.DUMMYFUNCTION("GOOGLETRANSLATE(A15161, ""en"", ""mt"")"),"X'inhu l-isem mogħti lis-sekwenza tal-input ta 'problema tal-komputazzjoni?")</f>
        <v>X'inhu l-isem mogħti lis-sekwenza tal-input ta 'problema tal-komputazzjoni?</v>
      </c>
    </row>
    <row r="15162" ht="15.75" customHeight="1">
      <c r="A15162" s="2" t="s">
        <v>15162</v>
      </c>
      <c r="B15162" s="2" t="str">
        <f>IFERROR(__xludf.DUMMYFUNCTION("GOOGLETRANSLATE(A15162, ""en"", ""mt"")"),"Kemm hemm mekkaniżmi magna tal-fwar tipika biex iżżomm il-pressjoni tal-bojler milli tqum wisq?")</f>
        <v>Kemm hemm mekkaniżmi magna tal-fwar tipika biex iżżomm il-pressjoni tal-bojler milli tqum wisq?</v>
      </c>
    </row>
    <row r="15163" ht="15.75" customHeight="1">
      <c r="A15163" s="2" t="s">
        <v>15163</v>
      </c>
      <c r="B15163" s="2" t="str">
        <f>IFERROR(__xludf.DUMMYFUNCTION("GOOGLETRANSLATE(A15163, ""en"", ""mt"")"),"Lower Norfolk County")</f>
        <v>Lower Norfolk County</v>
      </c>
    </row>
    <row r="15164" ht="15.75" customHeight="1">
      <c r="A15164" s="2" t="s">
        <v>15164</v>
      </c>
      <c r="B15164" s="2" t="str">
        <f>IFERROR(__xludf.DUMMYFUNCTION("GOOGLETRANSLATE(A15164, ""en"", ""mt"")"),"X'inhu meħtieġ biex il-kloroplasti jirreplikaw?")</f>
        <v>X'inhu meħtieġ biex il-kloroplasti jirreplikaw?</v>
      </c>
    </row>
    <row r="15165" ht="15.75" customHeight="1">
      <c r="A15165" s="2" t="s">
        <v>15165</v>
      </c>
      <c r="B15165" s="2" t="str">
        <f>IFERROR(__xludf.DUMMYFUNCTION("GOOGLETRANSLATE(A15165, ""en"", ""mt"")"),"20 ta ’Diċembru 1914")</f>
        <v>20 ta ’Diċembru 1914</v>
      </c>
    </row>
    <row r="15166" ht="15.75" customHeight="1">
      <c r="A15166" s="2" t="s">
        <v>15166</v>
      </c>
      <c r="B15166" s="2" t="str">
        <f>IFERROR(__xludf.DUMMYFUNCTION("GOOGLETRANSLATE(A15166, ""en"", ""mt"")"),"Ġeneratur ta 'Van de Graaff")</f>
        <v>Ġeneratur ta 'Van de Graaff</v>
      </c>
    </row>
    <row r="15167" ht="15.75" customHeight="1">
      <c r="A15167" s="2" t="s">
        <v>15167</v>
      </c>
      <c r="B15167" s="2" t="str">
        <f>IFERROR(__xludf.DUMMYFUNCTION("GOOGLETRANSLATE(A15167, ""en"", ""mt"")"),"X'jagħmlu l-Auricles?")</f>
        <v>X'jagħmlu l-Auricles?</v>
      </c>
    </row>
    <row r="15168" ht="15.75" customHeight="1">
      <c r="A15168" s="2" t="s">
        <v>15168</v>
      </c>
      <c r="B15168" s="2" t="str">
        <f>IFERROR(__xludf.DUMMYFUNCTION("GOOGLETRANSLATE(A15168, ""en"", ""mt"")"),"Klassifikazzjonijiet differenti tal-ħaddiema")</f>
        <v>Klassifikazzjonijiet differenti tal-ħaddiema</v>
      </c>
    </row>
    <row r="15169" ht="15.75" customHeight="1">
      <c r="A15169" s="2" t="s">
        <v>15169</v>
      </c>
      <c r="B15169" s="2" t="str">
        <f>IFERROR(__xludf.DUMMYFUNCTION("GOOGLETRANSLATE(A15169, ""en"", ""mt"")"),"Meta biddlu l-istazzjonijiet ewlenin ta 'New York ta' ABC?")</f>
        <v>Meta biddlu l-istazzjonijiet ewlenin ta 'New York ta' ABC?</v>
      </c>
    </row>
    <row r="15170" ht="15.75" customHeight="1">
      <c r="A15170" s="2" t="s">
        <v>15170</v>
      </c>
      <c r="B15170" s="2" t="str">
        <f>IFERROR(__xludf.DUMMYFUNCTION("GOOGLETRANSLATE(A15170, ""en"", ""mt"")"),"Il-Karta tad-Drittijiet Fundamentali tal-Unjoni Ewropea")</f>
        <v>Il-Karta tad-Drittijiet Fundamentali tal-Unjoni Ewropea</v>
      </c>
    </row>
    <row r="15171" ht="15.75" customHeight="1">
      <c r="A15171" s="2" t="s">
        <v>15171</v>
      </c>
      <c r="B15171" s="2" t="str">
        <f>IFERROR(__xludf.DUMMYFUNCTION("GOOGLETRANSLATE(A15171, ""en"", ""mt"")"),"Awtoimmuni")</f>
        <v>Awtoimmuni</v>
      </c>
    </row>
    <row r="15172" ht="15.75" customHeight="1">
      <c r="A15172" s="2" t="s">
        <v>15172</v>
      </c>
      <c r="B15172" s="2" t="str">
        <f>IFERROR(__xludf.DUMMYFUNCTION("GOOGLETRANSLATE(A15172, ""en"", ""mt"")"),"Is-sid")</f>
        <v>Is-sid</v>
      </c>
    </row>
    <row r="15173" ht="15.75" customHeight="1">
      <c r="A15173" s="2" t="s">
        <v>15173</v>
      </c>
      <c r="B15173" s="2" t="str">
        <f>IFERROR(__xludf.DUMMYFUNCTION("GOOGLETRANSLATE(A15173, ""en"", ""mt"")"),"Multi-kulturali")</f>
        <v>Multi-kulturali</v>
      </c>
    </row>
    <row r="15174" ht="15.75" customHeight="1">
      <c r="A15174" s="2" t="s">
        <v>15174</v>
      </c>
      <c r="B15174" s="2" t="str">
        <f>IFERROR(__xludf.DUMMYFUNCTION("GOOGLETRANSLATE(A15174, ""en"", ""mt"")"),"20")</f>
        <v>20</v>
      </c>
    </row>
    <row r="15175" ht="15.75" customHeight="1">
      <c r="A15175" s="2" t="s">
        <v>15175</v>
      </c>
      <c r="B15175" s="2" t="str">
        <f>IFERROR(__xludf.DUMMYFUNCTION("GOOGLETRANSLATE(A15175, ""en"", ""mt"")"),"Fl-1984, l-ABC Arts Channel Arts ingħaqdet ma 'liema kanal ieħor?")</f>
        <v>Fl-1984, l-ABC Arts Channel Arts ingħaqdet ma 'liema kanal ieħor?</v>
      </c>
    </row>
    <row r="15176" ht="15.75" customHeight="1">
      <c r="A15176" s="2" t="s">
        <v>15176</v>
      </c>
      <c r="B15176" s="2" t="str">
        <f>IFERROR(__xludf.DUMMYFUNCTION("GOOGLETRANSLATE(A15176, ""en"", ""mt"")"),"silikati")</f>
        <v>silikati</v>
      </c>
    </row>
    <row r="15177" ht="15.75" customHeight="1">
      <c r="A15177" s="2" t="s">
        <v>15177</v>
      </c>
      <c r="B15177" s="2" t="str">
        <f>IFERROR(__xludf.DUMMYFUNCTION("GOOGLETRANSLATE(A15177, ""en"", ""mt"")"),"Fejn ir-Rhine tbattal?")</f>
        <v>Fejn ir-Rhine tbattal?</v>
      </c>
    </row>
    <row r="15178" ht="15.75" customHeight="1">
      <c r="A15178" s="2" t="s">
        <v>15178</v>
      </c>
      <c r="B15178" s="2" t="str">
        <f>IFERROR(__xludf.DUMMYFUNCTION("GOOGLETRANSLATE(A15178, ""en"", ""mt"")"),"Aktar minn 1.3 miljun")</f>
        <v>Aktar minn 1.3 miljun</v>
      </c>
    </row>
    <row r="15179" ht="15.75" customHeight="1">
      <c r="A15179" s="2" t="s">
        <v>15179</v>
      </c>
      <c r="B15179" s="2" t="str">
        <f>IFERROR(__xludf.DUMMYFUNCTION("GOOGLETRANSLATE(A15179, ""en"", ""mt"")"),"Lejn fejn ittieħdu l-affarijiet?")</f>
        <v>Lejn fejn ittieħdu l-affarijiet?</v>
      </c>
    </row>
    <row r="15180" ht="15.75" customHeight="1">
      <c r="A15180" s="2" t="s">
        <v>15180</v>
      </c>
      <c r="B15180" s="2" t="str">
        <f>IFERROR(__xludf.DUMMYFUNCTION("GOOGLETRANSLATE(A15180, ""en"", ""mt"")"),"baqgħu ħajjin ħafna gwerer, kunflitti u invażjonijiet")</f>
        <v>baqgħu ħajjin ħafna gwerer, kunflitti u invażjonijiet</v>
      </c>
    </row>
    <row r="15181" ht="15.75" customHeight="1">
      <c r="A15181" s="2" t="s">
        <v>15181</v>
      </c>
      <c r="B15181" s="2" t="str">
        <f>IFERROR(__xludf.DUMMYFUNCTION("GOOGLETRANSLATE(A15181, ""en"", ""mt"")"),"1⁄3 pressjoni normali")</f>
        <v>1⁄3 pressjoni normali</v>
      </c>
    </row>
    <row r="15182" ht="15.75" customHeight="1">
      <c r="A15182" s="2" t="s">
        <v>15182</v>
      </c>
      <c r="B15182" s="2" t="str">
        <f>IFERROR(__xludf.DUMMYFUNCTION("GOOGLETRANSLATE(A15182, ""en"", ""mt"")"),"Kemm kellhom uħud mill-eqdem kampjuni tal-blat misjuba fuq il-qamar?")</f>
        <v>Kemm kellhom uħud mill-eqdem kampjuni tal-blat misjuba fuq il-qamar?</v>
      </c>
    </row>
    <row r="15183" ht="15.75" customHeight="1">
      <c r="A15183" s="2" t="s">
        <v>15183</v>
      </c>
      <c r="B15183" s="2" t="str">
        <f>IFERROR(__xludf.DUMMYFUNCTION("GOOGLETRANSLATE(A15183, ""en"", ""mt"")"),"Kemm atomi jikkombinaw biex jiffurmaw dioxygen?")</f>
        <v>Kemm atomi jikkombinaw biex jiffurmaw dioxygen?</v>
      </c>
    </row>
    <row r="15184" ht="15.75" customHeight="1">
      <c r="A15184" s="2" t="s">
        <v>15184</v>
      </c>
      <c r="B15184" s="2" t="str">
        <f>IFERROR(__xludf.DUMMYFUNCTION("GOOGLETRANSLATE(A15184, ""en"", ""mt"")"),"skola uffiċjali")</f>
        <v>skola uffiċjali</v>
      </c>
    </row>
    <row r="15185" ht="15.75" customHeight="1">
      <c r="A15185" s="2" t="s">
        <v>15185</v>
      </c>
      <c r="B15185" s="2" t="str">
        <f>IFERROR(__xludf.DUMMYFUNCTION("GOOGLETRANSLATE(A15185, ""en"", ""mt"")"),"billi jitilqu l-bibien")</f>
        <v>billi jitilqu l-bibien</v>
      </c>
    </row>
    <row r="15186" ht="15.75" customHeight="1">
      <c r="A15186" s="2" t="s">
        <v>15186</v>
      </c>
      <c r="B15186" s="2" t="str">
        <f>IFERROR(__xludf.DUMMYFUNCTION("GOOGLETRANSLATE(A15186, ""en"", ""mt"")"),"kompost")</f>
        <v>kompost</v>
      </c>
    </row>
    <row r="15187" ht="15.75" customHeight="1">
      <c r="A15187" s="2" t="s">
        <v>15187</v>
      </c>
      <c r="B15187" s="2" t="str">
        <f>IFERROR(__xludf.DUMMYFUNCTION("GOOGLETRANSLATE(A15187, ""en"", ""mt"")"),"Trattat ta 'Ruma 1957 u t-Trattat ta' Maastricht 1992")</f>
        <v>Trattat ta 'Ruma 1957 u t-Trattat ta' Maastricht 1992</v>
      </c>
    </row>
    <row r="15188" ht="15.75" customHeight="1">
      <c r="A15188" s="2" t="s">
        <v>15188</v>
      </c>
      <c r="B15188" s="2" t="str">
        <f>IFERROR(__xludf.DUMMYFUNCTION("GOOGLETRANSLATE(A15188, ""en"", ""mt"")"),"Telekomunikazzjonijiet bla fili Trans-Atlantiċi")</f>
        <v>Telekomunikazzjonijiet bla fili Trans-Atlantiċi</v>
      </c>
    </row>
    <row r="15189" ht="15.75" customHeight="1">
      <c r="A15189" s="2" t="s">
        <v>15189</v>
      </c>
      <c r="B15189" s="2" t="str">
        <f>IFERROR(__xludf.DUMMYFUNCTION("GOOGLETRANSLATE(A15189, ""en"", ""mt"")"),"X'inhu l-ħsieb ta 'Luther dwar il-firxa tal-knisja tiegħu?")</f>
        <v>X'inhu l-ħsieb ta 'Luther dwar il-firxa tal-knisja tiegħu?</v>
      </c>
    </row>
    <row r="15190" ht="15.75" customHeight="1">
      <c r="A15190" s="2" t="s">
        <v>15190</v>
      </c>
      <c r="B15190" s="2" t="str">
        <f>IFERROR(__xludf.DUMMYFUNCTION("GOOGLETRANSLATE(A15190, ""en"", ""mt"")"),"L-avjazzjoni tal-Amerika ta ’Fuq rebħet il-kuntratt biex tibni s-CSM, u wkoll it-tieni stadju tal-vettura tat-tnedija Saturn V għan-NASA. Minħabba li d-disinn tas-CSM kien beda kmieni qabel l-għażla tal-orbita lunari li rreżistenti, il-magna tal-propulsjo"&amp;"ni tas-servizz kienet daqs biex tneħħi s-CSM barra mill-qamar, u b'hekk kienet eċċessiva għal madwar id-doppju tal-ispinta meħtieġa għat-titjira transcrunger. Ukoll, ma kien hemm l-ebda dispożizzjoni għall-docking mal-modulu Lunar. Studju dwar id-definizz"&amp;"joni tal-programm tal-1964 ikkonkluda li d-disinn inizjali għandu jitkompla bħala blokka I li tintuża għall-ittestjar bikri, filwaqt li l-Blokk II, il-vettura spazjali Lunar attwali, jinkorpora t-tagħmir tad-docking u jieħu vantaġġ mill-lezzjonijiet meħud"&amp;"a fl-iżvilupp tal-Blokk I.")</f>
        <v>L-avjazzjoni tal-Amerika ta ’Fuq rebħet il-kuntratt biex tibni s-CSM, u wkoll it-tieni stadju tal-vettura tat-tnedija Saturn V għan-NASA. Minħabba li d-disinn tas-CSM kien beda kmieni qabel l-għażla tal-orbita lunari li rreżistenti, il-magna tal-propulsjoni tas-servizz kienet daqs biex tneħħi s-CSM barra mill-qamar, u b'hekk kienet eċċessiva għal madwar id-doppju tal-ispinta meħtieġa għat-titjira transcrunger. Ukoll, ma kien hemm l-ebda dispożizzjoni għall-docking mal-modulu Lunar. Studju dwar id-definizzjoni tal-programm tal-1964 ikkonkluda li d-disinn inizjali għandu jitkompla bħala blokka I li tintuża għall-ittestjar bikri, filwaqt li l-Blokk II, il-vettura spazjali Lunar attwali, jinkorpora t-tagħmir tad-docking u jieħu vantaġġ mill-lezzjonijiet meħuda fl-iżvilupp tal-Blokk I.</v>
      </c>
    </row>
    <row r="15191" ht="15.75" customHeight="1">
      <c r="A15191" s="2" t="s">
        <v>15191</v>
      </c>
      <c r="B15191" s="2" t="str">
        <f>IFERROR(__xludf.DUMMYFUNCTION("GOOGLETRANSLATE(A15191, ""en"", ""mt"")"),"Liema parti taċ-Ċina kellha nies ikklassifikati ogħla fis-sistema tal-klassi?")</f>
        <v>Liema parti taċ-Ċina kellha nies ikklassifikati ogħla fis-sistema tal-klassi?</v>
      </c>
    </row>
    <row r="15192" ht="15.75" customHeight="1">
      <c r="A15192" s="2" t="s">
        <v>15192</v>
      </c>
      <c r="B15192" s="2" t="str">
        <f>IFERROR(__xludf.DUMMYFUNCTION("GOOGLETRANSLATE(A15192, ""en"", ""mt"")"),"ikkanċellat")</f>
        <v>ikkanċellat</v>
      </c>
    </row>
    <row r="15193" ht="15.75" customHeight="1">
      <c r="A15193" s="2" t="s">
        <v>15193</v>
      </c>
      <c r="B15193" s="2" t="str">
        <f>IFERROR(__xludf.DUMMYFUNCTION("GOOGLETRANSLATE(A15193, ""en"", ""mt"")"),"Ġenitur")</f>
        <v>Ġenitur</v>
      </c>
    </row>
    <row r="15194" ht="15.75" customHeight="1">
      <c r="A15194" s="2" t="s">
        <v>15194</v>
      </c>
      <c r="B15194" s="2" t="str">
        <f>IFERROR(__xludf.DUMMYFUNCTION("GOOGLETRANSLATE(A15194, ""en"", ""mt"")"),"Iżda l-limiti tal-ħin tal-komputazzjoni hawn fuq minn xi funzjoni konkreta F (n) ħafna drabi tagħti klassijiet ta 'kumplessità li jiddependu fuq il-mudell tal-magna magħżula. Pereżempju, il-lingwa {xx | X huwa kwalunkwe sekwenza binarja} tista 'tissolva f"&amp;"il-ħin lineari fuq magna b'ħafna tape, iżda neċessarjament teħtieġ ħin kwadratiku fil-mudell ta' magni tat-tejp ta 'tejp wieħed. Jekk inħallu varjazzjonijiet polinomjali fil-ħin ta 'tħaddim, it-teżi ta' Cobham-Edmonds tiddikjara li ""l-kumplessitajiet tal"&amp;"-ħin fi kwalunkwe żewġ mudelli raġonevoli u ġenerali ta 'komputazzjoni huma relatati mal-polinomjalment"" (Goldreich 2008, Kapitolu 1.2). Dan jifforma l-bażi għall-Klassi tal-Kumplessità P, li hija s-sett ta 'problemi ta' deċiżjoni li tista 'tissolva perm"&amp;"ezz ta' magna tat-Turing deterministika fi żmien polinomjali. Is-sett korrispondenti ta 'problemi ta' funzjoni huwa FP.")</f>
        <v>Iżda l-limiti tal-ħin tal-komputazzjoni hawn fuq minn xi funzjoni konkreta F (n) ħafna drabi tagħti klassijiet ta 'kumplessità li jiddependu fuq il-mudell tal-magna magħżula. Pereżempju, il-lingwa {xx | X huwa kwalunkwe sekwenza binarja} tista 'tissolva fil-ħin lineari fuq magna b'ħafna tape, iżda neċessarjament teħtieġ ħin kwadratiku fil-mudell ta' magni tat-tejp ta 'tejp wieħed. Jekk inħallu varjazzjonijiet polinomjali fil-ħin ta 'tħaddim, it-teżi ta' Cobham-Edmonds tiddikjara li "l-kumplessitajiet tal-ħin fi kwalunkwe żewġ mudelli raġonevoli u ġenerali ta 'komputazzjoni huma relatati mal-polinomjalment" (Goldreich 2008, Kapitolu 1.2). Dan jifforma l-bażi għall-Klassi tal-Kumplessità P, li hija s-sett ta 'problemi ta' deċiżjoni li tista 'tissolva permezz ta' magna tat-Turing deterministika fi żmien polinomjali. Is-sett korrispondenti ta 'problemi ta' funzjoni huwa FP.</v>
      </c>
    </row>
    <row r="15195" ht="15.75" customHeight="1">
      <c r="A15195" s="2" t="s">
        <v>15195</v>
      </c>
      <c r="B15195" s="2" t="str">
        <f>IFERROR(__xludf.DUMMYFUNCTION("GOOGLETRANSLATE(A15195, ""en"", ""mt"")"),"gentrifikazzjoni ta 'kwartieri anzjani")</f>
        <v>gentrifikazzjoni ta 'kwartieri anzjani</v>
      </c>
    </row>
    <row r="15196" ht="15.75" customHeight="1">
      <c r="A15196" s="2" t="s">
        <v>15196</v>
      </c>
      <c r="B15196" s="2" t="str">
        <f>IFERROR(__xludf.DUMMYFUNCTION("GOOGLETRANSLATE(A15196, ""en"", ""mt"")"),"X'inhu jikkontrolla l-pagi fil-mod ta 'produzzjoni purament kapitalist?")</f>
        <v>X'inhu jikkontrolla l-pagi fil-mod ta 'produzzjoni purament kapitalist?</v>
      </c>
    </row>
    <row r="15197" ht="15.75" customHeight="1">
      <c r="A15197" s="2" t="s">
        <v>15197</v>
      </c>
      <c r="B15197" s="2" t="str">
        <f>IFERROR(__xludf.DUMMYFUNCTION("GOOGLETRANSLATE(A15197, ""en"", ""mt"")"),"F'April 1191 Richard il-Lion-Hearted ħalla lil Messina bi flotta kbira sabiex tilħaq acre. Imma maltempata xerred il-flotta. Wara ftit tfittxija, ġie skopert li d-dgħajsa li ġġorr lil oħtu u l-għarus tiegħu Berengaria kienet ankrata fuq il-kosta tan-nofsi"&amp;"nhar ta 'Ċipru, flimkien ma' l-inkaljar ta 'diversi vapuri oħra, inkluż il-vapur tat-teżor. Is-sopravissuti ta 'l-inkaljar kienu ttieħdu priġunier mid-despot tal-gżira Isaac Komnenos. Fl-1 ta 'Mejju 1191, il-flotta ta' Richard waslet fil-port ta 'Limassol"&amp;" fuq Ċipru. Huwa ordna lil Iżakk biex jeħles lill-priġunieri u t-teżor. Isaac irrifjuta, u għalhekk Richard żbarka t-truppi tiegħu u ħa Limassol.")</f>
        <v>F'April 1191 Richard il-Lion-Hearted ħalla lil Messina bi flotta kbira sabiex tilħaq acre. Imma maltempata xerred il-flotta. Wara ftit tfittxija, ġie skopert li d-dgħajsa li ġġorr lil oħtu u l-għarus tiegħu Berengaria kienet ankrata fuq il-kosta tan-nofsinhar ta 'Ċipru, flimkien ma' l-inkaljar ta 'diversi vapuri oħra, inkluż il-vapur tat-teżor. Is-sopravissuti ta 'l-inkaljar kienu ttieħdu priġunier mid-despot tal-gżira Isaac Komnenos. Fl-1 ta 'Mejju 1191, il-flotta ta' Richard waslet fil-port ta 'Limassol fuq Ċipru. Huwa ordna lil Iżakk biex jeħles lill-priġunieri u t-teżor. Isaac irrifjuta, u għalhekk Richard żbarka t-truppi tiegħu u ħa Limassol.</v>
      </c>
    </row>
    <row r="15198" ht="15.75" customHeight="1">
      <c r="A15198" s="2" t="s">
        <v>15198</v>
      </c>
      <c r="B15198" s="2" t="str">
        <f>IFERROR(__xludf.DUMMYFUNCTION("GOOGLETRANSLATE(A15198, ""en"", ""mt"")"),"Logħba importanti għalina bħala kampjonat")</f>
        <v>Logħba importanti għalina bħala kampjonat</v>
      </c>
    </row>
    <row r="15199" ht="15.75" customHeight="1">
      <c r="A15199" s="2" t="s">
        <v>15199</v>
      </c>
      <c r="B15199" s="2" t="str">
        <f>IFERROR(__xludf.DUMMYFUNCTION("GOOGLETRANSLATE(A15199, ""en"", ""mt"")"),"residenzjali u mhux residenzjali (kummerċjali / istituzzjonali)")</f>
        <v>residenzjali u mhux residenzjali (kummerċjali / istituzzjonali)</v>
      </c>
    </row>
    <row r="15200" ht="15.75" customHeight="1">
      <c r="A15200" s="2" t="s">
        <v>15200</v>
      </c>
      <c r="B15200" s="2" t="str">
        <f>IFERROR(__xludf.DUMMYFUNCTION("GOOGLETRANSLATE(A15200, ""en"", ""mt"")"),"Dan il-formalizmu")</f>
        <v>Dan il-formalizmu</v>
      </c>
    </row>
    <row r="15201" ht="15.75" customHeight="1">
      <c r="A15201" s="2" t="s">
        <v>15201</v>
      </c>
      <c r="B15201" s="2" t="str">
        <f>IFERROR(__xludf.DUMMYFUNCTION("GOOGLETRANSLATE(A15201, ""en"", ""mt"")"),"X'kien il-moviment imsejjaħ li ġab lill-pajjiżi Baltiċi indipendenza mill-Unjoni Sovjetika?")</f>
        <v>X'kien il-moviment imsejjaħ li ġab lill-pajjiżi Baltiċi indipendenza mill-Unjoni Sovjetika?</v>
      </c>
    </row>
    <row r="15202" ht="15.75" customHeight="1">
      <c r="A15202" s="2" t="s">
        <v>15202</v>
      </c>
      <c r="B15202" s="2" t="str">
        <f>IFERROR(__xludf.DUMMYFUNCTION("GOOGLETRANSLATE(A15202, ""en"", ""mt"")"),"Kemm timijiet tal-NFL temmew l-istaġun regolari b'telf wieħed?")</f>
        <v>Kemm timijiet tal-NFL temmew l-istaġun regolari b'telf wieħed?</v>
      </c>
    </row>
    <row r="15203" ht="15.75" customHeight="1">
      <c r="A15203" s="2" t="s">
        <v>15203</v>
      </c>
      <c r="B15203" s="2" t="str">
        <f>IFERROR(__xludf.DUMMYFUNCTION("GOOGLETRANSLATE(A15203, ""en"", ""mt"")"),"żewġ terzi tal-popolazzjoni tagħha")</f>
        <v>żewġ terzi tal-popolazzjoni tagħha</v>
      </c>
    </row>
    <row r="15204" ht="15.75" customHeight="1">
      <c r="A15204" s="2" t="s">
        <v>15204</v>
      </c>
      <c r="B15204" s="2" t="str">
        <f>IFERROR(__xludf.DUMMYFUNCTION("GOOGLETRANSLATE(A15204, ""en"", ""mt"")"),"L-università hija organizzata fi ħdax-il unità akkademika separati - għaxar fakultajiet u l-Istitut Radcliffe għal Studju Avvanzat - bil-kampus fiż-żona metropolitana ta 'Boston: il-kampus ewlieni ta' 209-acre (85 ettaru) tiegħu huwa ċċentrat fuq Harvard "&amp;"Yard f'Cambridge, madwar 3 mili (madwar 3 mili ( 5 km) fil-majjistral ta 'Boston; L-iskola tan-negozju u l-faċilitajiet tal-atletika, inkluż Harvard Stadium, jinsabu madwar ix-Xmara Charles fil-viċinat ta 'Allston ta' Boston u l-iskejjel mediċi, dentali u"&amp;" tas-saħħa pubblika jinsabu fiż-żona medika ta 'Longwood. Id-dotazzjoni finanzjarja ta '$ 37.6 biljun ta' Harvard hija l-akbar waħda minn kull istituzzjoni akkademika.")</f>
        <v>L-università hija organizzata fi ħdax-il unità akkademika separati - għaxar fakultajiet u l-Istitut Radcliffe għal Studju Avvanzat - bil-kampus fiż-żona metropolitana ta 'Boston: il-kampus ewlieni ta' 209-acre (85 ettaru) tiegħu huwa ċċentrat fuq Harvard Yard f'Cambridge, madwar 3 mili (madwar 3 mili ( 5 km) fil-majjistral ta 'Boston; L-iskola tan-negozju u l-faċilitajiet tal-atletika, inkluż Harvard Stadium, jinsabu madwar ix-Xmara Charles fil-viċinat ta 'Allston ta' Boston u l-iskejjel mediċi, dentali u tas-saħħa pubblika jinsabu fiż-żona medika ta 'Longwood. Id-dotazzjoni finanzjarja ta '$ 37.6 biljun ta' Harvard hija l-akbar waħda minn kull istituzzjoni akkademika.</v>
      </c>
    </row>
    <row r="15205" ht="15.75" customHeight="1">
      <c r="A15205" s="2" t="s">
        <v>15205</v>
      </c>
      <c r="B15205" s="2" t="str">
        <f>IFERROR(__xludf.DUMMYFUNCTION("GOOGLETRANSLATE(A15205, ""en"", ""mt"")"),"ċitosol")</f>
        <v>ċitosol</v>
      </c>
    </row>
    <row r="15206" ht="15.75" customHeight="1">
      <c r="A15206" s="2" t="s">
        <v>15206</v>
      </c>
      <c r="B15206" s="2" t="str">
        <f>IFERROR(__xludf.DUMMYFUNCTION("GOOGLETRANSLATE(A15206, ""en"", ""mt"")"),"L-Att tal-Iskozja 1998")</f>
        <v>L-Att tal-Iskozja 1998</v>
      </c>
    </row>
    <row r="15207" ht="15.75" customHeight="1">
      <c r="A15207" s="2" t="s">
        <v>15207</v>
      </c>
      <c r="B15207" s="2" t="str">
        <f>IFERROR(__xludf.DUMMYFUNCTION("GOOGLETRANSLATE(A15207, ""en"", ""mt"")"),"fluss tal-ilma mill-kavità tal-ġisem")</f>
        <v>fluss tal-ilma mill-kavità tal-ġisem</v>
      </c>
    </row>
    <row r="15208" ht="15.75" customHeight="1">
      <c r="A15208" s="2" t="s">
        <v>15208</v>
      </c>
      <c r="B15208" s="2" t="str">
        <f>IFERROR(__xludf.DUMMYFUNCTION("GOOGLETRANSLATE(A15208, ""en"", ""mt"")"),"X'kien il-memorja intitolata li ġiet sottomessa lis-Soċjetà Filosofika Amerikana?")</f>
        <v>X'kien il-memorja intitolata li ġiet sottomessa lis-Soċjetà Filosofika Amerikana?</v>
      </c>
    </row>
    <row r="15209" ht="15.75" customHeight="1">
      <c r="A15209" s="2" t="s">
        <v>15209</v>
      </c>
      <c r="B15209" s="2" t="str">
        <f>IFERROR(__xludf.DUMMYFUNCTION("GOOGLETRANSLATE(A15209, ""en"", ""mt"")"),"Kemm il-klijenti Sema UK limitati għandhom bħala xandar tat-TV bi ħlas mill-2015?")</f>
        <v>Kemm il-klijenti Sema UK limitati għandhom bħala xandar tat-TV bi ħlas mill-2015?</v>
      </c>
    </row>
    <row r="15210" ht="15.75" customHeight="1">
      <c r="A15210" s="2" t="s">
        <v>15210</v>
      </c>
      <c r="B15210" s="2" t="str">
        <f>IFERROR(__xludf.DUMMYFUNCTION("GOOGLETRANSLATE(A15210, ""en"", ""mt"")"),"teknoloġiji u ideat")</f>
        <v>teknoloġiji u ideat</v>
      </c>
    </row>
    <row r="15211" ht="15.75" customHeight="1">
      <c r="A15211" s="2" t="s">
        <v>15211</v>
      </c>
      <c r="B15211" s="2" t="str">
        <f>IFERROR(__xludf.DUMMYFUNCTION("GOOGLETRANSLATE(A15211, ""en"", ""mt"")"),"Meta seħħet l-estinzjoni tal-Paleogene Kretaċeju?")</f>
        <v>Meta seħħet l-estinzjoni tal-Paleogene Kretaċeju?</v>
      </c>
    </row>
    <row r="15212" ht="15.75" customHeight="1">
      <c r="A15212" s="2" t="s">
        <v>15212</v>
      </c>
      <c r="B15212" s="2" t="str">
        <f>IFERROR(__xludf.DUMMYFUNCTION("GOOGLETRANSLATE(A15212, ""en"", ""mt"")"),"tazza")</f>
        <v>tazza</v>
      </c>
    </row>
    <row r="15213" ht="15.75" customHeight="1">
      <c r="A15213" s="2" t="s">
        <v>15213</v>
      </c>
      <c r="B15213" s="2" t="str">
        <f>IFERROR(__xludf.DUMMYFUNCTION("GOOGLETRANSLATE(A15213, ""en"", ""mt"")"),"Liema kulur kien l-isfond għas-sekwenza tal-ID tal-1977 tal-ABC?")</f>
        <v>Liema kulur kien l-isfond għas-sekwenza tal-ID tal-1977 tal-ABC?</v>
      </c>
    </row>
    <row r="15214" ht="15.75" customHeight="1">
      <c r="A15214" s="2" t="s">
        <v>15214</v>
      </c>
      <c r="B15214" s="2" t="str">
        <f>IFERROR(__xludf.DUMMYFUNCTION("GOOGLETRANSLATE(A15214, ""en"", ""mt"")"),"Ċelloli tal-qattiel naturali ċitotossiċi u CTLs (limfoċiti T ċitotossiċi)")</f>
        <v>Ċelloli tal-qattiel naturali ċitotossiċi u CTLs (limfoċiti T ċitotossiċi)</v>
      </c>
    </row>
    <row r="15215" ht="15.75" customHeight="1">
      <c r="A15215" s="2" t="s">
        <v>15215</v>
      </c>
      <c r="B15215" s="2" t="str">
        <f>IFERROR(__xludf.DUMMYFUNCTION("GOOGLETRANSLATE(A15215, ""en"", ""mt"")"),"Tnaqqis fil-ħin polinomjali")</f>
        <v>Tnaqqis fil-ħin polinomjali</v>
      </c>
    </row>
    <row r="15216" ht="15.75" customHeight="1">
      <c r="A15216" s="2" t="s">
        <v>15216</v>
      </c>
      <c r="B15216" s="2" t="str">
        <f>IFERROR(__xludf.DUMMYFUNCTION("GOOGLETRANSLATE(A15216, ""en"", ""mt"")"),"MERWEDE-OUDE MAAS")</f>
        <v>MERWEDE-OUDE MAAS</v>
      </c>
    </row>
    <row r="15217" ht="15.75" customHeight="1">
      <c r="A15217" s="2" t="s">
        <v>15217</v>
      </c>
      <c r="B15217" s="2" t="str">
        <f>IFERROR(__xludf.DUMMYFUNCTION("GOOGLETRANSLATE(A15217, ""en"", ""mt"")"),"L-ispiża għolja tal-mediċini u t-teknoloġija relatata mal-mediċina")</f>
        <v>L-ispiża għolja tal-mediċini u t-teknoloġija relatata mal-mediċina</v>
      </c>
    </row>
    <row r="15218" ht="15.75" customHeight="1">
      <c r="A15218" s="2" t="s">
        <v>15218</v>
      </c>
      <c r="B15218" s="2" t="str">
        <f>IFERROR(__xludf.DUMMYFUNCTION("GOOGLETRANSLATE(A15218, ""en"", ""mt"")"),"tfisser li tinvesti f'sorsi ġodda ta 'ħolqien ta' ġid")</f>
        <v>tfisser li tinvesti f'sorsi ġodda ta 'ħolqien ta' ġid</v>
      </c>
    </row>
    <row r="15219" ht="15.75" customHeight="1">
      <c r="A15219" s="2" t="s">
        <v>15219</v>
      </c>
      <c r="B15219" s="2" t="str">
        <f>IFERROR(__xludf.DUMMYFUNCTION("GOOGLETRANSLATE(A15219, ""en"", ""mt"")"),"Min introduċa l-ewwel sistema ta 'edukazzjoni?")</f>
        <v>Min introduċa l-ewwel sistema ta 'edukazzjoni?</v>
      </c>
    </row>
    <row r="15220" ht="15.75" customHeight="1">
      <c r="A15220" s="2" t="s">
        <v>15220</v>
      </c>
      <c r="B15220" s="2" t="str">
        <f>IFERROR(__xludf.DUMMYFUNCTION("GOOGLETRANSLATE(A15220, ""en"", ""mt"")"),"Wara t-trattat, ir-Re Ġorġ III ħareġ il-Proklamazzjoni Rjali tal-1763 fis-7 ta 'Ottubru, 1763, li ddeskriviet id-diviżjoni u l-amministrazzjoni tat-territorju li għadu kif ġie maħkuma, u sa ċertu punt ikompli jirregola r-relazzjonijiet bejn il-gvern tal-K"&amp;"anada moderna u l-Ewwel Nazzjonijiet. Inkluża fid-dispożizzjonijiet tagħha kienet ir-riserva ta 'artijiet fil-punent tal-muntanji Appalaċi għall-popolazzjoni Indjana tagħha, demarkazzjoni li kienet fl-aħjar mod impediment temporanju għal marea dejjem tiżd"&amp;"ied ta' kolonizzaturi marbuta mill-punent. Il-proklama kien fih ukoll dispożizzjonijiet li ma ħallewx il-parteċipazzjoni ċivika mill-Kanadiżi Kattoliċi Rumani. Meta saru akkomodazzjonijiet fl-Att dwar il-Quebec fl-1774 biex jindirizzaw dan u kwistjonijiet"&amp;" oħra, tqajmu t-tħassib reliġjuż fil-biċċa l-kbira Protestanti Tlettax-il Kolonja fuq l-avvanz ta '""Popery""; L-Att żamm il-liġi ċivili Franċiża, inkluża s-sistema seigneurial, kodiċi medjevali dalwaqt se jitneħħa minn Franza fi ħdan ġenerazzjoni mir-Riv"&amp;"oluzzjoni Franċiża.")</f>
        <v>Wara t-trattat, ir-Re Ġorġ III ħareġ il-Proklamazzjoni Rjali tal-1763 fis-7 ta 'Ottubru, 1763, li ddeskriviet id-diviżjoni u l-amministrazzjoni tat-territorju li għadu kif ġie maħkuma, u sa ċertu punt ikompli jirregola r-relazzjonijiet bejn il-gvern tal-Kanada moderna u l-Ewwel Nazzjonijiet. Inkluża fid-dispożizzjonijiet tagħha kienet ir-riserva ta 'artijiet fil-punent tal-muntanji Appalaċi għall-popolazzjoni Indjana tagħha, demarkazzjoni li kienet fl-aħjar mod impediment temporanju għal marea dejjem tiżdied ta' kolonizzaturi marbuta mill-punent. Il-proklama kien fih ukoll dispożizzjonijiet li ma ħallewx il-parteċipazzjoni ċivika mill-Kanadiżi Kattoliċi Rumani. Meta saru akkomodazzjonijiet fl-Att dwar il-Quebec fl-1774 biex jindirizzaw dan u kwistjonijiet oħra, tqajmu t-tħassib reliġjuż fil-biċċa l-kbira Protestanti Tlettax-il Kolonja fuq l-avvanz ta '"Popery"; L-Att żamm il-liġi ċivili Franċiża, inkluża s-sistema seigneurial, kodiċi medjevali dalwaqt se jitneħħa minn Franza fi ħdan ġenerazzjoni mir-Rivoluzzjoni Franċiża.</v>
      </c>
    </row>
    <row r="15221" ht="15.75" customHeight="1">
      <c r="A15221" s="2" t="s">
        <v>15221</v>
      </c>
      <c r="B15221" s="2" t="str">
        <f>IFERROR(__xludf.DUMMYFUNCTION("GOOGLETRANSLATE(A15221, ""en"", ""mt"")"),"Cydippid huma tipikament liema forma?")</f>
        <v>Cydippid huma tipikament liema forma?</v>
      </c>
    </row>
    <row r="15222" ht="15.75" customHeight="1">
      <c r="A15222" s="2" t="s">
        <v>15222</v>
      </c>
      <c r="B15222" s="2" t="str">
        <f>IFERROR(__xludf.DUMMYFUNCTION("GOOGLETRANSLATE(A15222, ""en"", ""mt"")"),"Is-Soċjetà Filosofika Amerikana")</f>
        <v>Is-Soċjetà Filosofika Amerikana</v>
      </c>
    </row>
    <row r="15223" ht="15.75" customHeight="1">
      <c r="A15223" s="2" t="s">
        <v>15223</v>
      </c>
      <c r="B15223" s="2" t="str">
        <f>IFERROR(__xludf.DUMMYFUNCTION("GOOGLETRANSLATE(A15223, ""en"", ""mt"")"),"arbitrarju")</f>
        <v>arbitrarju</v>
      </c>
    </row>
    <row r="15224" ht="15.75" customHeight="1">
      <c r="A15224" s="2" t="s">
        <v>15224</v>
      </c>
      <c r="B15224" s="2" t="str">
        <f>IFERROR(__xludf.DUMMYFUNCTION("GOOGLETRANSLATE(A15224, ""en"", ""mt"")"),"X'inhuma dawk bi dħul aktar baxx inqas probabbli li jkollhom biex jippreparaw għall-futur?")</f>
        <v>X'inhuma dawk bi dħul aktar baxx inqas probabbli li jkollhom biex jippreparaw għall-futur?</v>
      </c>
    </row>
    <row r="15225" ht="15.75" customHeight="1">
      <c r="A15225" s="2" t="s">
        <v>15225</v>
      </c>
      <c r="B15225" s="2" t="str">
        <f>IFERROR(__xludf.DUMMYFUNCTION("GOOGLETRANSLATE(A15225, ""en"", ""mt"")"),"Li r-raġġi X kienu mewġ lonġitudinali, bħal dawk prodotti fil-mewġ fil-plażmi.")</f>
        <v>Li r-raġġi X kienu mewġ lonġitudinali, bħal dawk prodotti fil-mewġ fil-plażmi.</v>
      </c>
    </row>
    <row r="15226" ht="15.75" customHeight="1">
      <c r="A15226" s="2" t="s">
        <v>15226</v>
      </c>
      <c r="B15226" s="2" t="str">
        <f>IFERROR(__xludf.DUMMYFUNCTION("GOOGLETRANSLATE(A15226, ""en"", ""mt"")"),"Ir-rati rrappurtati ta 'mortalità fiż-żoni rurali matul il-pandemija tas-seklu 14 kienu inkonsistenti mal-pesta bubonika moderna")</f>
        <v>Ir-rati rrappurtati ta 'mortalità fiż-żoni rurali matul il-pandemija tas-seklu 14 kienu inkonsistenti mal-pesta bubonika moderna</v>
      </c>
    </row>
    <row r="15227" ht="15.75" customHeight="1">
      <c r="A15227" s="2" t="s">
        <v>15227</v>
      </c>
      <c r="B15227" s="2" t="str">
        <f>IFERROR(__xludf.DUMMYFUNCTION("GOOGLETRANSLATE(A15227, ""en"", ""mt"")"),"L-iskejjel privati ​​huma spiss Anglikani, bħal King's College u Djoċesan School for Girls f'Auckland, St Paul's Collegiate School f'Hamilton, St Peter's School f'Cambridge, Samuel Marsden Collegiate School f'Wellington, u Christ's College u St Margaret's"&amp;" College fi Christchurch; jew Presbyterian, bħall-Kulleġġ Saint Kentigern u l-Kulleġġ ta 'St Cuthbert f'Auckland, il-Kulleġġ Skoċċiż u l-Kulleġġ tar-Reġina Margaret f'Wellington, u St Andrew's College u Rangi Ruru Girls' School fi Christchurch. Akkademiċi"&amp;" Colleges Group huwa grupp riċenti ta 'skejjel privati ​​mmexxija bħala negozju, bi skejjel madwar Auckland, inkluż ACG Senior College fil-CBD ta' Auckland, ACG Parnell College f'Parnell, u l-Iskola Internazzjonali ACG New Zealand College College. Hemm tl"&amp;"iet skejjel privati ​​(inkluża l-iskola sekondarja, St Dominic's College) imħaddma mill-grupp skismatiku Kattoliku, is-Soċjetà ta ’San Piju X f’Wanganui.")</f>
        <v>L-iskejjel privati ​​huma spiss Anglikani, bħal King's College u Djoċesan School for Girls f'Auckland, St Paul's Collegiate School f'Hamilton, St Peter's School f'Cambridge, Samuel Marsden Collegiate School f'Wellington, u Christ's College u St Margaret's College fi Christchurch; jew Presbyterian, bħall-Kulleġġ Saint Kentigern u l-Kulleġġ ta 'St Cuthbert f'Auckland, il-Kulleġġ Skoċċiż u l-Kulleġġ tar-Reġina Margaret f'Wellington, u St Andrew's College u Rangi Ruru Girls' School fi Christchurch. Akkademiċi Colleges Group huwa grupp riċenti ta 'skejjel privati ​​mmexxija bħala negozju, bi skejjel madwar Auckland, inkluż ACG Senior College fil-CBD ta' Auckland, ACG Parnell College f'Parnell, u l-Iskola Internazzjonali ACG New Zealand College College. Hemm tliet skejjel privati ​​(inkluża l-iskola sekondarja, St Dominic's College) imħaddma mill-grupp skismatiku Kattoliku, is-Soċjetà ta ’San Piju X f’Wanganui.</v>
      </c>
    </row>
    <row r="15228" ht="15.75" customHeight="1">
      <c r="A15228" s="2" t="s">
        <v>15228</v>
      </c>
      <c r="B15228" s="2" t="str">
        <f>IFERROR(__xludf.DUMMYFUNCTION("GOOGLETRANSLATE(A15228, ""en"", ""mt"")"),"X'inhu l-istatus attwali tal-istudju Haensch?")</f>
        <v>X'inhu l-istatus attwali tal-istudju Haensch?</v>
      </c>
    </row>
    <row r="15229" ht="15.75" customHeight="1">
      <c r="A15229" s="2" t="s">
        <v>15229</v>
      </c>
      <c r="B15229" s="2" t="str">
        <f>IFERROR(__xludf.DUMMYFUNCTION("GOOGLETRANSLATE(A15229, ""en"", ""mt"")"),"Ta 'liema forma huma Mersenne Primes?")</f>
        <v>Ta 'liema forma huma Mersenne Primes?</v>
      </c>
    </row>
    <row r="15230" ht="15.75" customHeight="1">
      <c r="A15230" s="2" t="s">
        <v>15230</v>
      </c>
      <c r="B15230" s="2" t="str">
        <f>IFERROR(__xludf.DUMMYFUNCTION("GOOGLETRANSLATE(A15230, ""en"", ""mt"")"),"X'inhu fil-Pjazza Eldon?")</f>
        <v>X'inhu fil-Pjazza Eldon?</v>
      </c>
    </row>
    <row r="15231" ht="15.75" customHeight="1">
      <c r="A15231" s="2" t="s">
        <v>15231</v>
      </c>
      <c r="B15231" s="2" t="str">
        <f>IFERROR(__xludf.DUMMYFUNCTION("GOOGLETRANSLATE(A15231, ""en"", ""mt"")"),"X'inhi l-iktar karatteristika distintiva ta 'Ctenophora?")</f>
        <v>X'inhi l-iktar karatteristika distintiva ta 'Ctenophora?</v>
      </c>
    </row>
    <row r="15232" ht="15.75" customHeight="1">
      <c r="A15232" s="2" t="s">
        <v>15232</v>
      </c>
      <c r="B15232" s="2" t="str">
        <f>IFERROR(__xludf.DUMMYFUNCTION("GOOGLETRANSLATE(A15232, ""en"", ""mt"")"),"11.5 pulzieri")</f>
        <v>11.5 pulzieri</v>
      </c>
    </row>
    <row r="15233" ht="15.75" customHeight="1">
      <c r="A15233" s="2" t="s">
        <v>15233</v>
      </c>
      <c r="B15233" s="2" t="str">
        <f>IFERROR(__xludf.DUMMYFUNCTION("GOOGLETRANSLATE(A15233, ""en"", ""mt"")"),"Din saret ġustifikazzjoni morali biex titneħħa d-dinja sa l-istandards Franċiżi billi ġġib il-Kristjaneżmu u l-kultura Franċiża. Fl-1884 l-esponent ewlieni tal-kolonjaliżmu, Jules Ferry iddikjara li Franza kellha missjoni ċivilizzanti: ""Ir-razez ogħla għ"&amp;"andhom dritt fuq ir-razez l-aktar baxxi, għandhom id-dmir li jivverifikaw l-inferjuri"". Id-drittijiet sħaħ taċ-ċittadinanza - ""assimilazzjoni"" - ġew offruti, għalkemm fir-realtà l-assimilazzjoni kienet dejjem fuq l-orizzont imbiegħed. B'kuntrast mill-G"&amp;"ran Brittanja, Franza bagħtet numru żgħir ta 'kolonizzaturi lill-kolonji tagħha, bl-unika eċċezzjoni notevoli tal-Alġerija, fejn il-kolonizzaturi Franċiżi madankollu dejjem baqgħu minoranza żgħira.")</f>
        <v>Din saret ġustifikazzjoni morali biex titneħħa d-dinja sa l-istandards Franċiżi billi ġġib il-Kristjaneżmu u l-kultura Franċiża. Fl-1884 l-esponent ewlieni tal-kolonjaliżmu, Jules Ferry iddikjara li Franza kellha missjoni ċivilizzanti: "Ir-razez ogħla għandhom dritt fuq ir-razez l-aktar baxxi, għandhom id-dmir li jivverifikaw l-inferjuri". Id-drittijiet sħaħ taċ-ċittadinanza - "assimilazzjoni" - ġew offruti, għalkemm fir-realtà l-assimilazzjoni kienet dejjem fuq l-orizzont imbiegħed. B'kuntrast mill-Gran Brittanja, Franza bagħtet numru żgħir ta 'kolonizzaturi lill-kolonji tagħha, bl-unika eċċezzjoni notevoli tal-Alġerija, fejn il-kolonizzaturi Franċiżi madankollu dejjem baqgħu minoranza żgħira.</v>
      </c>
    </row>
    <row r="15234" ht="15.75" customHeight="1">
      <c r="A15234" s="2" t="s">
        <v>15234</v>
      </c>
      <c r="B15234" s="2" t="str">
        <f>IFERROR(__xludf.DUMMYFUNCTION("GOOGLETRANSLATE(A15234, ""en"", ""mt"")"),"Harvard hija università kbira u residenzjali ħafna. L-ispiża nominali ta 'attendenza hija għolja, iżda d-dotazzjoni kbira tal-università tippermettilha toffri pakketti ta' għajnuna finanzjarja ġenerużi. Jopera diversi mużewijiet tal-arti, kulturali u xjen"&amp;"tifiċi, flimkien mal-Librerija Harvard, li hija l-ikbar sistema akkademika u privata tad-dinja, li tinkludi 79 libreriji individwali b'aktar minn 18-il miljun volum. L-alumni ta 'Harvard jinkludu tmien presidenti ta' l-Istati Uniti, diversi kapijiet ta 's"&amp;"tat barranin, 62 biljunarji ħajjin, 335 Scholars Rhodes, u 242 Scholars Marshall. Sal-lum, madwar 150 Laureates Nobel, 18-il medalista tal-qasam u 13-il rebbieħa tal-Premju Turing ġew affiljati bħala studenti, fakultà, jew persunal.")</f>
        <v>Harvard hija università kbira u residenzjali ħafna. L-ispiża nominali ta 'attendenza hija għolja, iżda d-dotazzjoni kbira tal-università tippermettilha toffri pakketti ta' għajnuna finanzjarja ġenerużi. Jopera diversi mużewijiet tal-arti, kulturali u xjentifiċi, flimkien mal-Librerija Harvard, li hija l-ikbar sistema akkademika u privata tad-dinja, li tinkludi 79 libreriji individwali b'aktar minn 18-il miljun volum. L-alumni ta 'Harvard jinkludu tmien presidenti ta' l-Istati Uniti, diversi kapijiet ta 'stat barranin, 62 biljunarji ħajjin, 335 Scholars Rhodes, u 242 Scholars Marshall. Sal-lum, madwar 150 Laureates Nobel, 18-il medalista tal-qasam u 13-il rebbieħa tal-Premju Turing ġew affiljati bħala studenti, fakultà, jew persunal.</v>
      </c>
    </row>
    <row r="15235" ht="15.75" customHeight="1">
      <c r="A15235" s="2" t="s">
        <v>15235</v>
      </c>
      <c r="B15235" s="2" t="str">
        <f>IFERROR(__xludf.DUMMYFUNCTION("GOOGLETRANSLATE(A15235, ""en"", ""mt"")"),"Marzu 2011")</f>
        <v>Marzu 2011</v>
      </c>
    </row>
    <row r="15236" ht="15.75" customHeight="1">
      <c r="A15236" s="2" t="s">
        <v>15236</v>
      </c>
      <c r="B15236" s="2" t="str">
        <f>IFERROR(__xludf.DUMMYFUNCTION("GOOGLETRANSLATE(A15236, ""en"", ""mt"")"),"Liema żewġ tobba jeżistu t-tabib tal-gwerra bejniethom?")</f>
        <v>Liema żewġ tobba jeżistu t-tabib tal-gwerra bejniethom?</v>
      </c>
    </row>
    <row r="15237" ht="15.75" customHeight="1">
      <c r="A15237" s="2" t="s">
        <v>15237</v>
      </c>
      <c r="B15237" s="2" t="str">
        <f>IFERROR(__xludf.DUMMYFUNCTION("GOOGLETRANSLATE(A15237, ""en"", ""mt"")"),"Modulu tal-Kmand / Servizz")</f>
        <v>Modulu tal-Kmand / Servizz</v>
      </c>
    </row>
    <row r="15238" ht="15.75" customHeight="1">
      <c r="A15238" s="2" t="s">
        <v>15238</v>
      </c>
      <c r="B15238" s="2" t="str">
        <f>IFERROR(__xludf.DUMMYFUNCTION("GOOGLETRANSLATE(A15238, ""en"", ""mt"")"),"Ir-reġjun tal-Lagi l-Kbar Afrikani, li fih il-Kenja huwa parti minnu, ilu abitat mill-bnedmin mill-perjodu Paleolitiku aktar baxx. Sal-ewwel AD tal-millennju, l-espansjoni ta 'Bantu kienet waslet fiż-żona mill-Afrika tal-Punent-Ċentrali. Il-fruntieri ta '"&amp;"l-istat modern konsegwentement jinkludu s-salib tat-toroq taż-żoni tan-Niġer-Kongo, Nilo-Saħarjani u Afroasiatic tal-kontinent, li jirrappreżentaw il-biċċa l-kbira tal-gruppi etnolinguistiċi ewlenin misjuba fl-Afrika. Il-popolazzjonijiet Bantu u Nilotiċi "&amp;"flimkien jikkostitwixxu madwar 97% tar-residenti tan-nazzjon. Il-preżenza Ewropea u Għarbija fil-kosta Mombasa tmur għall-perjodu modern bikri; L-esplorazzjoni Ewropea tal-intern bdiet fis-seklu 19. L-Imperu Brittaniku stabbilixxa l-Protettorat tal-Afrika"&amp;" tal-Lvant fl-1895, li beda fl-1920 ċeda għall-kolonja tal-Kenja. Il-Kenja kisbet l-indipendenza f'Diċembru 1963. Wara referendum f'Awwissu 2010 u l-adozzjoni ta 'kostituzzjoni ġdida, il-Kenja issa hija maqsuma f'47 kontej semi-awtonomi, regolati minn gve"&amp;"rnaturi eletti.")</f>
        <v>Ir-reġjun tal-Lagi l-Kbar Afrikani, li fih il-Kenja huwa parti minnu, ilu abitat mill-bnedmin mill-perjodu Paleolitiku aktar baxx. Sal-ewwel AD tal-millennju, l-espansjoni ta 'Bantu kienet waslet fiż-żona mill-Afrika tal-Punent-Ċentrali. Il-fruntieri ta 'l-istat modern konsegwentement jinkludu s-salib tat-toroq taż-żoni tan-Niġer-Kongo, Nilo-Saħarjani u Afroasiatic tal-kontinent, li jirrappreżentaw il-biċċa l-kbira tal-gruppi etnolinguistiċi ewlenin misjuba fl-Afrika. Il-popolazzjonijiet Bantu u Nilotiċi flimkien jikkostitwixxu madwar 97% tar-residenti tan-nazzjon. Il-preżenza Ewropea u Għarbija fil-kosta Mombasa tmur għall-perjodu modern bikri; L-esplorazzjoni Ewropea tal-intern bdiet fis-seklu 19. L-Imperu Brittaniku stabbilixxa l-Protettorat tal-Afrika tal-Lvant fl-1895, li beda fl-1920 ċeda għall-kolonja tal-Kenja. Il-Kenja kisbet l-indipendenza f'Diċembru 1963. Wara referendum f'Awwissu 2010 u l-adozzjoni ta 'kostituzzjoni ġdida, il-Kenja issa hija maqsuma f'47 kontej semi-awtonomi, regolati minn gvernaturi eletti.</v>
      </c>
    </row>
    <row r="15239" ht="15.75" customHeight="1">
      <c r="A15239" s="2" t="s">
        <v>15239</v>
      </c>
      <c r="B15239" s="2" t="str">
        <f>IFERROR(__xludf.DUMMYFUNCTION("GOOGLETRANSLATE(A15239, ""en"", ""mt"")"),"Wara t-telfa tagħhom fir-rawnd diviżjonali tal-playoffs tal-istaġun ta 'qabel, id-Denver Broncos għadda minn bosta bidliet fil-coaching, inkluż firda reċiproka mal-kowċ ewlieni John Fox (li kien rebaħ erba' kampjonati diviżorji fl-erba 'snin tiegħu bħala "&amp;"l-kowċ ewlieni ta' Broncos), u l-kiri ta 'Gary Kubiak bħala l-kowċ ewlieni l-ġdid. Taħt Kubiak, il-Broncos ippjanaw li jinstallaw offiża orjentata lejn il-ġirja ma 'l-imblukkar taż-żona biex tħallat mal-ħiliet li jgħaddu mill-isparatura tal-quarterback Pe"&amp;"yton Manning, iżda tħabtu ma' bosta bidliet u korrimenti fil-linja offensiva, kif ukoll Manning li jkollu l-agħar staġun statistiku tiegħu minn tiegħu Is-sena Rookie mal-Indianapolis Colts fl-1998, minħabba korriment ta 'fasciitis plantar fl-għarqub tiegħ"&amp;"u li kien sofra mis-sajf, u l-fatt sempliċi li Manning kien qed jixjieħ, hekk kif għalaq 39 sena fl-2015 barra mill-istaġun. Għalkemm it-tim kellu bidu ta '7-0, Manning mexxa l-NFL fl-interċezzjonijiet. Fil-Ġimgħa 10, Manning sofra tiċrita parzjali tal-fa"&amp;"sciitis plantar fis-sieq tax-xellug. Huwa waqqaf ir-rekord tal-ħin kollu tal-NFL għall-karriera li tgħaddi f'din il-logħba, iżda ġie mbattal wara li tefa 'erba' interċezzjonijiet favur il-quarterback tal-backup Brock Osweiler, li ħa postu bħala l-istarter"&amp;" għal ħafna mill-kumplament tal-istaġun regolari. Osweiler weġġa ', madankollu, li wassal għar-ritorn ta' Manning matul il-finali tal-istaġun regolari tal-Ġimgħa 17, fejn il-Broncos kienu qed jitilfu 13–7 kontra l-4-11 Chargers ta 'San Diego, li rriżulta "&amp;"f'Manning li jerġa' jitlob il-pożizzjoni ta 'quarterback tal-bidu għall-playoffs billi jmexxi It-tim għal rebħa ewlenija ta '27 -20 li ppermettiet lit-tim biex jikklassifika l-ewwel żerriegħa ġenerali tal-AFC. Taħt il-koordinatur difensiv Wade Phillips, i"&amp;"d-difiża tal-Broncos ikklassifikat in-numru wieħed fil-btieħi totali permessi, btieħi li jgħaddu permessi u xkejjer, u bħat-tliet staġuni preċedenti, it-tim kompla jistabbilixxi bosta rekords individwali, tal-kampjonat u tal-franchise. Bid-difiża li ġġorr"&amp;" it-tim minkejja l-kwistjonijiet bir-reat, il-Broncos temm l-istaġun regolari b'rekord ta '12 -4 u kiseb vantaġġ fuq il-post tad-dar matul il-playoffs tal-AFC.")</f>
        <v>Wara t-telfa tagħhom fir-rawnd diviżjonali tal-playoffs tal-istaġun ta 'qabel, id-Denver Broncos għadda minn bosta bidliet fil-coaching, inkluż firda reċiproka mal-kowċ ewlieni John Fox (li kien rebaħ erba' kampjonati diviżorji fl-erba 'snin tiegħu bħala l-kowċ ewlieni ta' Broncos), u l-kiri ta 'Gary Kubiak bħala l-kowċ ewlieni l-ġdid. Taħt Kubiak, il-Broncos ippjanaw li jinstallaw offiża orjentata lejn il-ġirja ma 'l-imblukkar taż-żona biex tħallat mal-ħiliet li jgħaddu mill-isparatura tal-quarterback Peyton Manning, iżda tħabtu ma' bosta bidliet u korrimenti fil-linja offensiva, kif ukoll Manning li jkollu l-agħar staġun statistiku tiegħu minn tiegħu Is-sena Rookie mal-Indianapolis Colts fl-1998, minħabba korriment ta 'fasciitis plantar fl-għarqub tiegħu li kien sofra mis-sajf, u l-fatt sempliċi li Manning kien qed jixjieħ, hekk kif għalaq 39 sena fl-2015 barra mill-istaġun. Għalkemm it-tim kellu bidu ta '7-0, Manning mexxa l-NFL fl-interċezzjonijiet. Fil-Ġimgħa 10, Manning sofra tiċrita parzjali tal-fasciitis plantar fis-sieq tax-xellug. Huwa waqqaf ir-rekord tal-ħin kollu tal-NFL għall-karriera li tgħaddi f'din il-logħba, iżda ġie mbattal wara li tefa 'erba' interċezzjonijiet favur il-quarterback tal-backup Brock Osweiler, li ħa postu bħala l-istarter għal ħafna mill-kumplament tal-istaġun regolari. Osweiler weġġa ', madankollu, li wassal għar-ritorn ta' Manning matul il-finali tal-istaġun regolari tal-Ġimgħa 17, fejn il-Broncos kienu qed jitilfu 13–7 kontra l-4-11 Chargers ta 'San Diego, li rriżulta f'Manning li jerġa' jitlob il-pożizzjoni ta 'quarterback tal-bidu għall-playoffs billi jmexxi It-tim għal rebħa ewlenija ta '27 -20 li ppermettiet lit-tim biex jikklassifika l-ewwel żerriegħa ġenerali tal-AFC. Taħt il-koordinatur difensiv Wade Phillips, id-difiża tal-Broncos ikklassifikat in-numru wieħed fil-btieħi totali permessi, btieħi li jgħaddu permessi u xkejjer, u bħat-tliet staġuni preċedenti, it-tim kompla jistabbilixxi bosta rekords individwali, tal-kampjonat u tal-franchise. Bid-difiża li ġġorr it-tim minkejja l-kwistjonijiet bir-reat, il-Broncos temm l-istaġun regolari b'rekord ta '12 -4 u kiseb vantaġġ fuq il-post tad-dar matul il-playoffs tal-AFC.</v>
      </c>
    </row>
    <row r="15240" ht="15.75" customHeight="1">
      <c r="A15240" s="2" t="s">
        <v>15240</v>
      </c>
      <c r="B15240" s="2" t="str">
        <f>IFERROR(__xludf.DUMMYFUNCTION("GOOGLETRANSLATE(A15240, ""en"", ""mt"")"),"X’toffri Franza li kienet rari skont l-istandards imperjali?")</f>
        <v>X’toffri Franza li kienet rari skont l-istandards imperjali?</v>
      </c>
    </row>
    <row r="15241" ht="15.75" customHeight="1">
      <c r="A15241" s="2" t="s">
        <v>15241</v>
      </c>
      <c r="B15241" s="2" t="str">
        <f>IFERROR(__xludf.DUMMYFUNCTION("GOOGLETRANSLATE(A15241, ""en"", ""mt"")"),"Liema proċess jaħdmu Iżlamisti moderati u riformisti fil-konfini ta '?")</f>
        <v>Liema proċess jaħdmu Iżlamisti moderati u riformisti fil-konfini ta '?</v>
      </c>
    </row>
    <row r="15242" ht="15.75" customHeight="1">
      <c r="A15242" s="2" t="s">
        <v>15242</v>
      </c>
      <c r="B15242" s="2" t="str">
        <f>IFERROR(__xludf.DUMMYFUNCTION("GOOGLETRANSLATE(A15242, ""en"", ""mt"")"),"Hemm xi reġjuni fejn it-Trattat tal-Unjoni Ewropea jeskludi mill-ġurisdizzjoni?")</f>
        <v>Hemm xi reġjuni fejn it-Trattat tal-Unjoni Ewropea jeskludi mill-ġurisdizzjoni?</v>
      </c>
    </row>
    <row r="15243" ht="15.75" customHeight="1">
      <c r="A15243" s="2" t="s">
        <v>15243</v>
      </c>
      <c r="B15243" s="2" t="str">
        <f>IFERROR(__xludf.DUMMYFUNCTION("GOOGLETRANSLATE(A15243, ""en"", ""mt"")"),"X'jagħmel it-tentilla ta 'Euplokamis differenti minn Cysippids oħra?")</f>
        <v>X'jagħmel it-tentilla ta 'Euplokamis differenti minn Cysippids oħra?</v>
      </c>
    </row>
    <row r="15244" ht="15.75" customHeight="1">
      <c r="A15244" s="2" t="s">
        <v>15244</v>
      </c>
      <c r="B15244" s="2" t="str">
        <f>IFERROR(__xludf.DUMMYFUNCTION("GOOGLETRANSLATE(A15244, ""en"", ""mt"")"),"Il-Mużew tat-Teatru")</f>
        <v>Il-Mużew tat-Teatru</v>
      </c>
    </row>
    <row r="15245" ht="15.75" customHeight="1">
      <c r="A15245" s="2" t="s">
        <v>15245</v>
      </c>
      <c r="B15245" s="2" t="str">
        <f>IFERROR(__xludf.DUMMYFUNCTION("GOOGLETRANSLATE(A15245, ""en"", ""mt"")"),"Ġonna Ġappuniżi Shinzen")</f>
        <v>Ġonna Ġappuniżi Shinzen</v>
      </c>
    </row>
    <row r="15246" ht="15.75" customHeight="1">
      <c r="A15246" s="2" t="s">
        <v>15246</v>
      </c>
      <c r="B15246" s="2" t="str">
        <f>IFERROR(__xludf.DUMMYFUNCTION("GOOGLETRANSLATE(A15246, ""en"", ""mt"")"),"X'tip ta 'nies kienu qed jinġiebu lura għat-triq tal-verità?")</f>
        <v>X'tip ta 'nies kienu qed jinġiebu lura għat-triq tal-verità?</v>
      </c>
    </row>
    <row r="15247" ht="15.75" customHeight="1">
      <c r="A15247" s="2" t="s">
        <v>15247</v>
      </c>
      <c r="B15247" s="2" t="str">
        <f>IFERROR(__xludf.DUMMYFUNCTION("GOOGLETRANSLATE(A15247, ""en"", ""mt"")"),"X'inhuma xi kawżi ta 'funzjoni immuni mnaqqsa f'pajjiżi żviluppati?")</f>
        <v>X'inhuma xi kawżi ta 'funzjoni immuni mnaqqsa f'pajjiżi żviluppati?</v>
      </c>
    </row>
    <row r="15248" ht="15.75" customHeight="1">
      <c r="A15248" s="2" t="s">
        <v>15248</v>
      </c>
      <c r="B15248" s="2" t="str">
        <f>IFERROR(__xludf.DUMMYFUNCTION("GOOGLETRANSLATE(A15248, ""en"", ""mt"")"),"il-ħalq u l-farinġi;")</f>
        <v>il-ħalq u l-farinġi;</v>
      </c>
    </row>
    <row r="15249" ht="15.75" customHeight="1">
      <c r="A15249" s="2" t="s">
        <v>15249</v>
      </c>
      <c r="B15249" s="2" t="str">
        <f>IFERROR(__xludf.DUMMYFUNCTION("GOOGLETRANSLATE(A15249, ""en"", ""mt"")"),"Fl-1893 Richard Dean Adams, li mexxa l-kumpanija tal-kostruzzjoni tal-katarretti Niagara Falls fittex l-opinjoni ta 'Tesla dwar liema sistema tkun l-aħjar li tittrasmetti l-enerġija ġġenerata fil-Falls. Matul bosta snin kien hemm serje ta 'proposti u komp"&amp;"etizzjonijiet miftuħa dwar kif l-aħjar li tuża l-enerġija ġġenerata mill-waqgħat b'ħafna sistemi li jiġu proposti minn bosta kumpaniji tal-Istati Uniti u Ewropej inklużi AC b'żewġ fażijiet u tliet fażijiet, DC ta' vultaġġ għoli, u Anke arja kkompressata. "&amp;"Adams ippumpja lil Tesla għal informazzjoni dwar l-istat attwali tas-sistemi kollha li jikkompetu. Tesla tat parir lil Adams li sistema b'żewġ fażijiet kienet l-iktar affidabbli u li kien hemm sistema ta 'Westinghouse li tixgħel bozoz inkandexxenti bl-użu"&amp;" ta' kurrent alternattiv b'żewġ fażijiet. Ibbażat fuq il-parir ta 'Tesla u d-dimostrazzjoni ta' Westinghouse li jistgħu jibnu sistema AC kompluta fl-Espożizzjoni ta 'Kolumbja, kuntratt għall-bini ta' sistema ta 'ġenerazzjoni ta' AC b'żewġ fażijiet fin-Nia"&amp;"gara Falls ingħata lil Westinghouse Electric. Kuntratt ieħor biex tinbena s-sistema ta 'distribuzzjoni AC ingħata lil General Electric.")</f>
        <v>Fl-1893 Richard Dean Adams, li mexxa l-kumpanija tal-kostruzzjoni tal-katarretti Niagara Falls fittex l-opinjoni ta 'Tesla dwar liema sistema tkun l-aħjar li tittrasmetti l-enerġija ġġenerata fil-Falls. Matul bosta snin kien hemm serje ta 'proposti u kompetizzjonijiet miftuħa dwar kif l-aħjar li tuża l-enerġija ġġenerata mill-waqgħat b'ħafna sistemi li jiġu proposti minn bosta kumpaniji tal-Istati Uniti u Ewropej inklużi AC b'żewġ fażijiet u tliet fażijiet, DC ta' vultaġġ għoli, u Anke arja kkompressata. Adams ippumpja lil Tesla għal informazzjoni dwar l-istat attwali tas-sistemi kollha li jikkompetu. Tesla tat parir lil Adams li sistema b'żewġ fażijiet kienet l-iktar affidabbli u li kien hemm sistema ta 'Westinghouse li tixgħel bozoz inkandexxenti bl-użu ta' kurrent alternattiv b'żewġ fażijiet. Ibbażat fuq il-parir ta 'Tesla u d-dimostrazzjoni ta' Westinghouse li jistgħu jibnu sistema AC kompluta fl-Espożizzjoni ta 'Kolumbja, kuntratt għall-bini ta' sistema ta 'ġenerazzjoni ta' AC b'żewġ fażijiet fin-Niagara Falls ingħata lil Westinghouse Electric. Kuntratt ieħor biex tinbena s-sistema ta 'distribuzzjoni AC ingħata lil General Electric.</v>
      </c>
    </row>
    <row r="15250" ht="15.75" customHeight="1">
      <c r="A15250" s="2" t="s">
        <v>15250</v>
      </c>
      <c r="B15250" s="2" t="str">
        <f>IFERROR(__xludf.DUMMYFUNCTION("GOOGLETRANSLATE(A15250, ""en"", ""mt"")"),"Għal xiex qed jiġi kkumpensat triq waħda billi l-kumitati jservu rwol daqshekk kbir?")</f>
        <v>Għal xiex qed jiġi kkumpensat triq waħda billi l-kumitati jservu rwol daqshekk kbir?</v>
      </c>
    </row>
    <row r="15251" ht="15.75" customHeight="1">
      <c r="A15251" s="2" t="s">
        <v>15251</v>
      </c>
      <c r="B15251" s="2" t="str">
        <f>IFERROR(__xludf.DUMMYFUNCTION("GOOGLETRANSLATE(A15251, ""en"", ""mt"")"),"divertiment u divertiment")</f>
        <v>divertiment u divertiment</v>
      </c>
    </row>
    <row r="15252" ht="15.75" customHeight="1">
      <c r="A15252" s="2" t="s">
        <v>15252</v>
      </c>
      <c r="B15252" s="2" t="str">
        <f>IFERROR(__xludf.DUMMYFUNCTION("GOOGLETRANSLATE(A15252, ""en"", ""mt"")"),"Meta sar studju tal-kontej Żvediżi?")</f>
        <v>Meta sar studju tal-kontej Żvediżi?</v>
      </c>
    </row>
    <row r="15253" ht="15.75" customHeight="1">
      <c r="A15253" s="2" t="s">
        <v>15253</v>
      </c>
      <c r="B15253" s="2" t="str">
        <f>IFERROR(__xludf.DUMMYFUNCTION("GOOGLETRANSLATE(A15253, ""en"", ""mt"")"),"Minħabba l-korpi artab u ġelatinużi tagħhom, iċ-ċtenofori huma estremament rari daqs il-fossili, u l-fossili li ġew interpretati bħala ctenophores instabu biss f'Lagerstätten, postijiet fejn l-ambjent kien eċċezzjonalment adattat għall-preservazzjoni ta '"&amp;"tessut artab. Sa nofs is-snin disgħin ġew magħrufa biss żewġ kampjuni tajbin biżżejjed għall-analiżi, iż-żewġ membri tal-Grupp tal-Kuruna, mill-perjodu bikri tad-Devonian (Emsian). Tliet speċi putattivi addizzjonali nstabu fil-Burgess Shale u blat Kanadiż"&amp;"i oħra ta 'età simili, madwar 505 miljun sena ilu fil-perjodu ta' Mid-Cambrian. It-tlieta apparentement ma kellhomx tentakli iżda kellhom bejn 24 u 80 ringiela tal-moxt, ferm iktar mit-8 tipiċi ta 'speċi ħajjin. Jidher ukoll li kellhom strutturi interni s"&amp;"imili għall-organi b'differenza minn kull ħaġa misjuba f'ċtenofori ħajjin. Waħda mill-ispeċi fossili l-ewwel irrappurtata fl-1996 kellha ħalq kbir, apparentement imdawwar minn tarf mitwi li seta 'kien muskolari. L-evidenza miċ-Ċina sena wara tissuġġerixxi"&amp;" li tali ctenophores kienu mifruxa fil-Cambrian, imma forsi differenti ħafna mill-ispeċi moderna - pereżempju r-rewwijiet tal-moxt tal-fossili kienu mmuntati fuq paletti prominenti. L-eoandromeda ta 'Ediacaran tista' tirrapreżenta b'mod putattiv ġelatina.")</f>
        <v>Minħabba l-korpi artab u ġelatinużi tagħhom, iċ-ċtenofori huma estremament rari daqs il-fossili, u l-fossili li ġew interpretati bħala ctenophores instabu biss f'Lagerstätten, postijiet fejn l-ambjent kien eċċezzjonalment adattat għall-preservazzjoni ta 'tessut artab. Sa nofs is-snin disgħin ġew magħrufa biss żewġ kampjuni tajbin biżżejjed għall-analiżi, iż-żewġ membri tal-Grupp tal-Kuruna, mill-perjodu bikri tad-Devonian (Emsian). Tliet speċi putattivi addizzjonali nstabu fil-Burgess Shale u blat Kanadiżi oħra ta 'età simili, madwar 505 miljun sena ilu fil-perjodu ta' Mid-Cambrian. It-tlieta apparentement ma kellhomx tentakli iżda kellhom bejn 24 u 80 ringiela tal-moxt, ferm iktar mit-8 tipiċi ta 'speċi ħajjin. Jidher ukoll li kellhom strutturi interni simili għall-organi b'differenza minn kull ħaġa misjuba f'ċtenofori ħajjin. Waħda mill-ispeċi fossili l-ewwel irrappurtata fl-1996 kellha ħalq kbir, apparentement imdawwar minn tarf mitwi li seta 'kien muskolari. L-evidenza miċ-Ċina sena wara tissuġġerixxi li tali ctenophores kienu mifruxa fil-Cambrian, imma forsi differenti ħafna mill-ispeċi moderna - pereżempju r-rewwijiet tal-moxt tal-fossili kienu mmuntati fuq paletti prominenti. L-eoandromeda ta 'Ediacaran tista' tirrapreżenta b'mod putattiv ġelatina.</v>
      </c>
    </row>
    <row r="15254" ht="15.75" customHeight="1">
      <c r="A15254" s="2" t="s">
        <v>15254</v>
      </c>
      <c r="B15254" s="2" t="str">
        <f>IFERROR(__xludf.DUMMYFUNCTION("GOOGLETRANSLATE(A15254, ""en"", ""mt"")"),"biex iwaqqfu fond ta 'assigurazzjoni għall-impjegati biex jitolbu pagi mhux imħallsa jekk min iħaddem ikun marret għall-insolventi, kif kienet meħtieġa d-direttiva tal-protezzjoni ta' l-insolvenza")</f>
        <v>biex iwaqqfu fond ta 'assigurazzjoni għall-impjegati biex jitolbu pagi mhux imħallsa jekk min iħaddem ikun marret għall-insolventi, kif kienet meħtieġa d-direttiva tal-protezzjoni ta' l-insolvenza</v>
      </c>
    </row>
    <row r="15255" ht="15.75" customHeight="1">
      <c r="A15255" s="2" t="s">
        <v>15255</v>
      </c>
      <c r="B15255" s="2" t="str">
        <f>IFERROR(__xludf.DUMMYFUNCTION("GOOGLETRANSLATE(A15255, ""en"", ""mt"")"),"weraq tar-rmied")</f>
        <v>weraq tar-rmied</v>
      </c>
    </row>
    <row r="15256" ht="15.75" customHeight="1">
      <c r="A15256" s="2" t="s">
        <v>15256</v>
      </c>
      <c r="B15256" s="2" t="str">
        <f>IFERROR(__xludf.DUMMYFUNCTION("GOOGLETRANSLATE(A15256, ""en"", ""mt"")"),"Genghis Khan, it-titlu huwa spjegat f'varjetà ta 'modi f'lingwi differenti bħal Chinggis Khaan Mongoljan, Chinghiz Ingliż, Chinghis, u Chingiz, Ċiniż: 成吉思汗; Pinyin: Chéngjísī Hán, Turkic: Cengiz Han, Çingiz Xan, Çingiz Han, Chingizxon, Çıñğız Xan, Chengez"&amp;" Khan, Chinggis Khan, Chinggis Xaan, Chingis Khan, Jenghis Khan, Chinggis Qan, Dningis Kahn, Ruman Čingiskhan) jew чингиз -хан (čingiz-khan), eċċ Temüjin huwa miktub biċ-Ċiniż bħala Ċiniż simplifikat: 铁木 真; Ċiniż tradizzjonali: 鐵 木 眞; Pinyin: tiěmùzhēn.")</f>
        <v>Genghis Khan, it-titlu huwa spjegat f'varjetà ta 'modi f'lingwi differenti bħal Chinggis Khaan Mongoljan, Chinghiz Ingliż, Chinghis, u Chingiz, Ċiniż: 成吉思汗; Pinyin: Chéngjísī Hán, Turkic: Cengiz Han, Çingiz Xan, Çingiz Han, Chingizxon, Çıñğız Xan, Chengez Khan, Chinggis Khan, Chinggis Xaan, Chingis Khan, Jenghis Khan, Chinggis Qan, Dningis Kahn, Ruman Čingiskhan) jew чингиз -хан (čingiz-khan), eċċ Temüjin huwa miktub biċ-Ċiniż bħala Ċiniż simplifikat: 铁木 真; Ċiniż tradizzjonali: 鐵 木 眞; Pinyin: tiěmùzhēn.</v>
      </c>
    </row>
    <row r="15257" ht="15.75" customHeight="1">
      <c r="A15257" s="2" t="s">
        <v>15257</v>
      </c>
      <c r="B15257" s="2" t="str">
        <f>IFERROR(__xludf.DUMMYFUNCTION("GOOGLETRANSLATE(A15257, ""en"", ""mt"")"),"Hemm ħjiel fir-rekords li jibqgħu ħajjin tal-Eġizzjani tal-qedem li kellhom xi għarfien dwar in-numri ewlenin: l-espansjonijiet tal-frazzjoni Eġizzjana fil-papyrus Rhind, pereżempju, għandhom forom pjuttost differenti għall-primes u għall-komposti. Madank"&amp;"ollu, l-ewwel rekords li jibqgħu ħajjin tal-istudju espliċitu tan-numri ewlenin ġejjin mill-Griegi tal-qedem. L-elementi ta 'Euclid (circa 300 QK) fihom teoremi importanti dwar il-primes, inkluża l-infinitudni tal-primes u t-teorema fundamentali tal-aritm"&amp;"etika. Euclid wera wkoll kif jinbena numru perfett minn Mersenne Prime. L-għarbiel ta 'Eratosthenes, attribwit lil Eratosthenes, huwa metodu sempliċi biex jiġi kkalkulat il-primes, għalkemm il-primes kbar misjuba llum bil-kompjuters mhumiex iġġenerati b'd"&amp;"an il-mod.")</f>
        <v>Hemm ħjiel fir-rekords li jibqgħu ħajjin tal-Eġizzjani tal-qedem li kellhom xi għarfien dwar in-numri ewlenin: l-espansjonijiet tal-frazzjoni Eġizzjana fil-papyrus Rhind, pereżempju, għandhom forom pjuttost differenti għall-primes u għall-komposti. Madankollu, l-ewwel rekords li jibqgħu ħajjin tal-istudju espliċitu tan-numri ewlenin ġejjin mill-Griegi tal-qedem. L-elementi ta 'Euclid (circa 300 QK) fihom teoremi importanti dwar il-primes, inkluża l-infinitudni tal-primes u t-teorema fundamentali tal-aritmetika. Euclid wera wkoll kif jinbena numru perfett minn Mersenne Prime. L-għarbiel ta 'Eratosthenes, attribwit lil Eratosthenes, huwa metodu sempliċi biex jiġi kkalkulat il-primes, għalkemm il-primes kbar misjuba llum bil-kompjuters mhumiex iġġenerati b'dan il-mod.</v>
      </c>
    </row>
    <row r="15258" ht="15.75" customHeight="1">
      <c r="A15258" s="2" t="s">
        <v>15258</v>
      </c>
      <c r="B15258" s="2" t="str">
        <f>IFERROR(__xludf.DUMMYFUNCTION("GOOGLETRANSLATE(A15258, ""en"", ""mt"")"),"Darwiniżmu Soċjali")</f>
        <v>Darwiniżmu Soċjali</v>
      </c>
    </row>
    <row r="15259" ht="15.75" customHeight="1">
      <c r="A15259" s="2" t="s">
        <v>15259</v>
      </c>
      <c r="B15259" s="2" t="str">
        <f>IFERROR(__xludf.DUMMYFUNCTION("GOOGLETRANSLATE(A15259, ""en"", ""mt"")"),"Ċirku kommutattiv Noeterjan")</f>
        <v>Ċirku kommutattiv Noeterjan</v>
      </c>
    </row>
    <row r="15260" ht="15.75" customHeight="1">
      <c r="A15260" s="2" t="s">
        <v>15260</v>
      </c>
      <c r="B15260" s="2" t="str">
        <f>IFERROR(__xludf.DUMMYFUNCTION("GOOGLETRANSLATE(A15260, ""en"", ""mt"")"),"Oriġini lingwistiċi mhux Franċiżi")</f>
        <v>Oriġini lingwistiċi mhux Franċiżi</v>
      </c>
    </row>
    <row r="15261" ht="15.75" customHeight="1">
      <c r="A15261" s="2" t="s">
        <v>15261</v>
      </c>
      <c r="B15261" s="2" t="str">
        <f>IFERROR(__xludf.DUMMYFUNCTION("GOOGLETRANSLATE(A15261, ""en"", ""mt"")"),"Aspett kontroversjali tal-imperjalizmu huwa d-difiża u l-ġustifikazzjoni tal-bini tal-imperu bbażati fuq raġunijiet apparentement razzjonali. J. A. Hobson jidentifika din il-ġustifikazzjoni għal raġunijiet ġenerali bħala: ""Huwa mixtieq li d-Dinja għandha"&amp;" tkun imqaxxra, regolata u żviluppata, kemm jista 'jkun, mir-razez li jistgħu jagħmlu dan ix-xogħol l-aħjar, i.e. mir-razez tal-ogħla' effiċjenza soċjali ' """". Ħafna oħrajn argumentaw li l-imperjalizmu huwa ġġustifikat għal diversi raġunijiet differenti"&amp;". Friedrich Ratzel kien jemmen li sabiex stat jgħix, kien meħtieġ l-imperjalizmu. Halford Mackinder ħass li l-Gran Brittanja kellha tkun waħda mill-ikbar imperjalisti u għalhekk iġġustifika l-imperjalizmu. In-natura xjentifika li suppost ta '""darwiniżmu "&amp;"soċjali"" u teorija tar-razez iffurmaw ġustifikazzjoni allegatament razzjonali għall-imperjalizmu. Ir-retorika tal-kolonizzaturi li hija razzjalment superjuri tidher li kisbet l-iskop tagħha, pereżempju matul l-Amerika Latina ""Bjuda"" għadha apprezzata l"&amp;"lum u diversi forom ta 'Blanqueamiento (whitening) huma komuni.")</f>
        <v>Aspett kontroversjali tal-imperjalizmu huwa d-difiża u l-ġustifikazzjoni tal-bini tal-imperu bbażati fuq raġunijiet apparentement razzjonali. J. A. Hobson jidentifika din il-ġustifikazzjoni għal raġunijiet ġenerali bħala: "Huwa mixtieq li d-Dinja għandha tkun imqaxxra, regolata u żviluppata, kemm jista 'jkun, mir-razez li jistgħu jagħmlu dan ix-xogħol l-aħjar, i.e. mir-razez tal-ogħla' effiċjenza soċjali ' "". Ħafna oħrajn argumentaw li l-imperjalizmu huwa ġġustifikat għal diversi raġunijiet differenti. Friedrich Ratzel kien jemmen li sabiex stat jgħix, kien meħtieġ l-imperjalizmu. Halford Mackinder ħass li l-Gran Brittanja kellha tkun waħda mill-ikbar imperjalisti u għalhekk iġġustifika l-imperjalizmu. In-natura xjentifika li suppost ta '"darwiniżmu soċjali" u teorija tar-razez iffurmaw ġustifikazzjoni allegatament razzjonali għall-imperjalizmu. Ir-retorika tal-kolonizzaturi li hija razzjalment superjuri tidher li kisbet l-iskop tagħha, pereżempju matul l-Amerika Latina "Bjuda" għadha apprezzata llum u diversi forom ta 'Blanqueamiento (whitening) huma komuni.</v>
      </c>
    </row>
    <row r="15262" ht="15.75" customHeight="1">
      <c r="A15262" s="2" t="s">
        <v>15262</v>
      </c>
      <c r="B15262" s="2" t="str">
        <f>IFERROR(__xludf.DUMMYFUNCTION("GOOGLETRANSLATE(A15262, ""en"", ""mt"")"),"X'jagħmlu livelli għoljin ta 'inugwaljanza għat-tkabbir ekonomiku f'pajjiżi aktar sinjuri?")</f>
        <v>X'jagħmlu livelli għoljin ta 'inugwaljanza għat-tkabbir ekonomiku f'pajjiżi aktar sinjuri?</v>
      </c>
    </row>
    <row r="15263" ht="15.75" customHeight="1">
      <c r="A15263" s="2" t="s">
        <v>15263</v>
      </c>
      <c r="B15263" s="2" t="str">
        <f>IFERROR(__xludf.DUMMYFUNCTION("GOOGLETRANSLATE(A15263, ""en"", ""mt"")"),"kosta tal-Lvant tal-kontinent,")</f>
        <v>kosta tal-Lvant tal-kontinent,</v>
      </c>
    </row>
    <row r="15264" ht="15.75" customHeight="1">
      <c r="A15264" s="2" t="s">
        <v>15264</v>
      </c>
      <c r="B15264" s="2" t="str">
        <f>IFERROR(__xludf.DUMMYFUNCTION("GOOGLETRANSLATE(A15264, ""en"", ""mt"")"),"X'inhu stmat li madwar nofs il-varjazzjoni kollha fir-rati ta 'omiċidji tista' tiġi kkontabilizzata minnha?")</f>
        <v>X'inhu stmat li madwar nofs il-varjazzjoni kollha fir-rati ta 'omiċidji tista' tiġi kkontabilizzata minnha?</v>
      </c>
    </row>
    <row r="15265" ht="15.75" customHeight="1">
      <c r="A15265" s="2" t="s">
        <v>15265</v>
      </c>
      <c r="B15265" s="2" t="str">
        <f>IFERROR(__xludf.DUMMYFUNCTION("GOOGLETRANSLATE(A15265, ""en"", ""mt"")"),"9 ta 'Mejju, 1960")</f>
        <v>9 ta 'Mejju, 1960</v>
      </c>
    </row>
    <row r="15266" ht="15.75" customHeight="1">
      <c r="A15266" s="2" t="s">
        <v>15266</v>
      </c>
      <c r="B15266" s="2" t="str">
        <f>IFERROR(__xludf.DUMMYFUNCTION("GOOGLETRANSLATE(A15266, ""en"", ""mt"")"),"Oratorju li jagħmel l-epoka")</f>
        <v>Oratorju li jagħmel l-epoka</v>
      </c>
    </row>
    <row r="15267" ht="15.75" customHeight="1">
      <c r="A15267" s="2" t="s">
        <v>15267</v>
      </c>
      <c r="B15267" s="2" t="str">
        <f>IFERROR(__xludf.DUMMYFUNCTION("GOOGLETRANSLATE(A15267, ""en"", ""mt"")"),"Liema monarka Brittaniku jidher 'il fuq mill-qafas madwar l-arkati u d-dħul?")</f>
        <v>Liema monarka Brittaniku jidher 'il fuq mill-qafas madwar l-arkati u d-dħul?</v>
      </c>
    </row>
    <row r="15268" ht="15.75" customHeight="1">
      <c r="A15268" s="2" t="s">
        <v>15268</v>
      </c>
      <c r="B15268" s="2" t="str">
        <f>IFERROR(__xludf.DUMMYFUNCTION("GOOGLETRANSLATE(A15268, ""en"", ""mt"")"),"it-tieni livell")</f>
        <v>it-tieni livell</v>
      </c>
    </row>
    <row r="15269" ht="15.75" customHeight="1">
      <c r="A15269" s="2" t="s">
        <v>15269</v>
      </c>
      <c r="B15269" s="2" t="str">
        <f>IFERROR(__xludf.DUMMYFUNCTION("GOOGLETRANSLATE(A15269, ""en"", ""mt"")"),"1568–1609")</f>
        <v>1568–1609</v>
      </c>
    </row>
    <row r="15270" ht="15.75" customHeight="1">
      <c r="A15270" s="2" t="s">
        <v>15270</v>
      </c>
      <c r="B15270" s="2" t="str">
        <f>IFERROR(__xludf.DUMMYFUNCTION("GOOGLETRANSLATE(A15270, ""en"", ""mt"")"),"Soċjetà Filosofika Amerikana")</f>
        <v>Soċjetà Filosofika Amerikana</v>
      </c>
    </row>
    <row r="15271" ht="15.75" customHeight="1">
      <c r="A15271" s="2" t="s">
        <v>15271</v>
      </c>
      <c r="B15271" s="2" t="str">
        <f>IFERROR(__xludf.DUMMYFUNCTION("GOOGLETRANSLATE(A15271, ""en"", ""mt"")"),"Kien hemm każijiet ta 'atturi li jirritornaw fid-dati aktar tard biex jerġgħu jġibu r-rwol tat-tabib speċifiku tagħhom. Fl-1973's The Three Tobba, William Hartnell u Patrick Troughton irritornaw flimkien ma 'Jon Pertwee. Għall-Ħames Tobba tal-1983, Trough"&amp;"ton u Pertwee rritornaw għall-istilla ma 'Peter Davison, u Tom Baker deher f'filmati li qabel ma nstabux mill-episodju ta' Shada mhux komplut. Għal dan l-episodju, Richard Hurndall ħa post William Hartnell. Patrick Troughton reġa 'rritorna fl-1985 iż-żewġ"&amp;" tobba ma' Colin Baker. Fl-2007, Peter Davison irritorna fit-tfal fil-qosor ""time crash"" flimkien ma 'David Tennant, u l-iktar reċentement fl-episodju speċjali tal-50 anniversarju tal-2013, ""The Day of the Doctor"", l-għaxar tabib ta' David Tennant deh"&amp;"er flimkien ma 'Matt Smith bħala l-Ħdax-il Tabib u John Hurt bħala t-tabib tal-gwerra, kif ukoll filmati fil-qosor mill-atturi kollha ta ’qabel. Barra minn hekk, it-tabib kultant iltaqa 'lilu nnifsu fil-forma ta' l-inkarnazzjoni tiegħu stess, mill-futur q"&amp;"arib jew mill-passat. L-ewwel tabib jiltaqa 'ma' l-istorja fil-mużew spazjali (għalkemm iffriżat u bħala esibizzjoni), it-tielet tabib jiltaqa 'u jinteraġixxi miegħu nnifsu fil-jum tal-istorja ta' Daleks, ir-raba 'tabib jiltaqa' u jinteraġixxi mal-inkarna"&amp;"zzjoni futura ta 'lilu nnifsu ( ""Watcher"") Fil-Logopolis tal-Istorja, id-Disa 'Tabib josserva verżjoni preċedenti tal-Inkarnazzjoni attwali tiegħu f' ""Jum il-Missier"", u l-Ħdax-il Tabib jiġi fil-qosor wiċċu wiċċ imb wiċċ miegħu f '""The Big Bang"". F "&amp;"'""Il-Kważi In-Nies"" it-tabib jiġi wiċċ imb wiċċ miegħu nnifsu għalkemm huwa nstab li din l-inkarnazzjoni hija fil-fatt biss replika tal-laħam. F '""L-Isem tat-Tabib"", il-ħdax-il tabib jiltaqa' ma 'inkarnazzjoni mhux magħrufa ta' lilu nnifsu, li huwa ji"&amp;"rreferi għalih bħala ""sigriet tiegħu"" u li sussegwentement huwa żvelat li huwa t-tabib tal-gwerra.")</f>
        <v>Kien hemm każijiet ta 'atturi li jirritornaw fid-dati aktar tard biex jerġgħu jġibu r-rwol tat-tabib speċifiku tagħhom. Fl-1973's The Three Tobba, William Hartnell u Patrick Troughton irritornaw flimkien ma 'Jon Pertwee. Għall-Ħames Tobba tal-1983, Troughton u Pertwee rritornaw għall-istilla ma 'Peter Davison, u Tom Baker deher f'filmati li qabel ma nstabux mill-episodju ta' Shada mhux komplut. Għal dan l-episodju, Richard Hurndall ħa post William Hartnell. Patrick Troughton reġa 'rritorna fl-1985 iż-żewġ tobba ma' Colin Baker. Fl-2007, Peter Davison irritorna fit-tfal fil-qosor "time crash" flimkien ma 'David Tennant, u l-iktar reċentement fl-episodju speċjali tal-50 anniversarju tal-2013, "The Day of the Doctor", l-għaxar tabib ta' David Tennant deher flimkien ma 'Matt Smith bħala l-Ħdax-il Tabib u John Hurt bħala t-tabib tal-gwerra, kif ukoll filmati fil-qosor mill-atturi kollha ta ’qabel. Barra minn hekk, it-tabib kultant iltaqa 'lilu nnifsu fil-forma ta' l-inkarnazzjoni tiegħu stess, mill-futur qarib jew mill-passat. L-ewwel tabib jiltaqa 'ma' l-istorja fil-mużew spazjali (għalkemm iffriżat u bħala esibizzjoni), it-tielet tabib jiltaqa 'u jinteraġixxi miegħu nnifsu fil-jum tal-istorja ta' Daleks, ir-raba 'tabib jiltaqa' u jinteraġixxi mal-inkarnazzjoni futura ta 'lilu nnifsu ( "Watcher") Fil-Logopolis tal-Istorja, id-Disa 'Tabib josserva verżjoni preċedenti tal-Inkarnazzjoni attwali tiegħu f' "Jum il-Missier", u l-Ħdax-il Tabib jiġi fil-qosor wiċċu wiċċ imb wiċċ miegħu f '"The Big Bang". F '"Il-Kważi In-Nies" it-tabib jiġi wiċċ imb wiċċ miegħu nnifsu għalkemm huwa nstab li din l-inkarnazzjoni hija fil-fatt biss replika tal-laħam. F '"L-Isem tat-Tabib", il-ħdax-il tabib jiltaqa' ma 'inkarnazzjoni mhux magħrufa ta' lilu nnifsu, li huwa jirreferi għalih bħala "sigriet tiegħu" u li sussegwentement huwa żvelat li huwa t-tabib tal-gwerra.</v>
      </c>
    </row>
    <row r="15272" ht="15.75" customHeight="1">
      <c r="A15272" s="2" t="s">
        <v>15272</v>
      </c>
      <c r="B15272" s="2" t="str">
        <f>IFERROR(__xludf.DUMMYFUNCTION("GOOGLETRANSLATE(A15272, ""en"", ""mt"")"),"Nifhmu l-motivazzjonijiet tar-rivali tiegħu")</f>
        <v>Nifhmu l-motivazzjonijiet tar-rivali tiegħu</v>
      </c>
    </row>
    <row r="15273" ht="15.75" customHeight="1">
      <c r="A15273" s="2" t="s">
        <v>15273</v>
      </c>
      <c r="B15273" s="2" t="str">
        <f>IFERROR(__xludf.DUMMYFUNCTION("GOOGLETRANSLATE(A15273, ""en"", ""mt"")"),"Fi ħdan il-mediċini tad-dispensarju / tqassim")</f>
        <v>Fi ħdan il-mediċini tad-dispensarju / tqassim</v>
      </c>
    </row>
    <row r="15274" ht="15.75" customHeight="1">
      <c r="A15274" s="2" t="s">
        <v>15274</v>
      </c>
      <c r="B15274" s="2" t="str">
        <f>IFERROR(__xludf.DUMMYFUNCTION("GOOGLETRANSLATE(A15274, ""en"", ""mt"")"),"Mhux aktar minn disa 'membri")</f>
        <v>Mhux aktar minn disa 'membri</v>
      </c>
    </row>
    <row r="15275" ht="15.75" customHeight="1">
      <c r="A15275" s="2" t="s">
        <v>15275</v>
      </c>
      <c r="B15275" s="2" t="str">
        <f>IFERROR(__xludf.DUMMYFUNCTION("GOOGLETRANSLATE(A15275, ""en"", ""mt"")"),"Taħt it-teorija ċellulari ta 'Elie Metchnikoff, liema ċelloli kienu responsabbli għar-rispons immuni?")</f>
        <v>Taħt it-teorija ċellulari ta 'Elie Metchnikoff, liema ċelloli kienu responsabbli għar-rispons immuni?</v>
      </c>
    </row>
    <row r="15276" ht="15.75" customHeight="1">
      <c r="A15276" s="2" t="s">
        <v>15276</v>
      </c>
      <c r="B15276" s="2" t="str">
        <f>IFERROR(__xludf.DUMMYFUNCTION("GOOGLETRANSLATE(A15276, ""en"", ""mt"")"),"Fejn jinstabu s-soltu l-proplastidi?")</f>
        <v>Fejn jinstabu s-soltu l-proplastidi?</v>
      </c>
    </row>
    <row r="15277" ht="15.75" customHeight="1">
      <c r="A15277" s="2" t="s">
        <v>15277</v>
      </c>
      <c r="B15277" s="2" t="str">
        <f>IFERROR(__xludf.DUMMYFUNCTION("GOOGLETRANSLATE(A15277, ""en"", ""mt"")"),"Liema tabib kien it-tabib attwali matul il-50 anniversarju speċjali?")</f>
        <v>Liema tabib kien it-tabib attwali matul il-50 anniversarju speċjali?</v>
      </c>
    </row>
    <row r="15278" ht="15.75" customHeight="1">
      <c r="A15278" s="2" t="s">
        <v>15278</v>
      </c>
      <c r="B15278" s="2" t="str">
        <f>IFERROR(__xludf.DUMMYFUNCTION("GOOGLETRANSLATE(A15278, ""en"", ""mt"")"),"Jekk jarrestaw fuljetti tal-ġurija infurmati bis-sħiħ, il-fuljetti għandhom jingħataw lill-ġurija tal-fuljett stess bħala evidenza")</f>
        <v>Jekk jarrestaw fuljetti tal-ġurija infurmati bis-sħiħ, il-fuljetti għandhom jingħataw lill-ġurija tal-fuljett stess bħala evidenza</v>
      </c>
    </row>
    <row r="15279" ht="15.75" customHeight="1">
      <c r="A15279" s="2" t="s">
        <v>15279</v>
      </c>
      <c r="B15279" s="2" t="str">
        <f>IFERROR(__xludf.DUMMYFUNCTION("GOOGLETRANSLATE(A15279, ""en"", ""mt"")"),"Studju ta '2000 sab li 42% tal-għalliema tar-Renju Unit esperjenzaw stress fuq ix-xogħol, darbtejn iċ-ċifra għall-professjoni medja. Studju tal-2012 sab li l-għalliema esperjenzaw id-doppju tar-rata ta ’ansjetà, depressjoni u stress mill-ħaddiema medji.")</f>
        <v>Studju ta '2000 sab li 42% tal-għalliema tar-Renju Unit esperjenzaw stress fuq ix-xogħol, darbtejn iċ-ċifra għall-professjoni medja. Studju tal-2012 sab li l-għalliema esperjenzaw id-doppju tar-rata ta ’ansjetà, depressjoni u stress mill-ħaddiema medji.</v>
      </c>
    </row>
    <row r="15280" ht="15.75" customHeight="1">
      <c r="A15280" s="2" t="s">
        <v>15280</v>
      </c>
      <c r="B15280" s="2" t="str">
        <f>IFERROR(__xludf.DUMMYFUNCTION("GOOGLETRANSLATE(A15280, ""en"", ""mt"")"),"ir-re")</f>
        <v>ir-re</v>
      </c>
    </row>
    <row r="15281" ht="15.75" customHeight="1">
      <c r="A15281" s="2" t="s">
        <v>15281</v>
      </c>
      <c r="B15281" s="2" t="str">
        <f>IFERROR(__xludf.DUMMYFUNCTION("GOOGLETRANSLATE(A15281, ""en"", ""mt"")"),"Downtown Fresno")</f>
        <v>Downtown Fresno</v>
      </c>
    </row>
    <row r="15282" ht="15.75" customHeight="1">
      <c r="A15282" s="2" t="s">
        <v>15282</v>
      </c>
      <c r="B15282" s="2" t="str">
        <f>IFERROR(__xludf.DUMMYFUNCTION("GOOGLETRANSLATE(A15282, ""en"", ""mt"")"),"livell eżistenti ta 'inugwaljanza")</f>
        <v>livell eżistenti ta 'inugwaljanza</v>
      </c>
    </row>
    <row r="15283" ht="15.75" customHeight="1">
      <c r="A15283" s="2" t="s">
        <v>15283</v>
      </c>
      <c r="B15283" s="2" t="str">
        <f>IFERROR(__xludf.DUMMYFUNCTION("GOOGLETRANSLATE(A15283, ""en"", ""mt"")"),"Min imexxi l-Università ta 'Chicago?")</f>
        <v>Min imexxi l-Università ta 'Chicago?</v>
      </c>
    </row>
    <row r="15284" ht="15.75" customHeight="1">
      <c r="A15284" s="2" t="s">
        <v>15284</v>
      </c>
      <c r="B15284" s="2" t="str">
        <f>IFERROR(__xludf.DUMMYFUNCTION("GOOGLETRANSLATE(A15284, ""en"", ""mt"")"),"Fil-mudell tat-tilakoid spirali, Grana jikkonsisti minn munzell ta 'thylakoids tal-granal ċirkolari ċċattjati li jixbħu pancakes. Kull granum jista 'jkun fih kullimkien minn tnejn sa mitt thylakoids, għalkemm Grana b'10-20 thylakoids huma l-aktar komuni. "&amp;"Imgeżwer madwar il-grana huma thylakoids stromali helicoid, magħrufa wkoll bħala frets jew thylakoids lamellari. L-eliks jitilgħu f'angolu ta '20 -25 °, li jgħaqqdu ma 'kull thylakoid tal-granal f'ġunzjoni qasma bħal pont. L-helicoids jistgħu jestendu bħa"&amp;"la folji kbar li jgħaqqdu Grana multipli, jew dojoq ma 'pontijiet simili għal tubi bejn Grana. Filwaqt li partijiet differenti tas-sistema tat-tilakoid fihom proteini tal-membrana differenti, il-membrani tat-tilkoid huma kontinwi u l-ispazju tat-tilkoid l"&amp;"i huma magħluqin jiffurmaw labirint kontinwu wieħed.")</f>
        <v>Fil-mudell tat-tilakoid spirali, Grana jikkonsisti minn munzell ta 'thylakoids tal-granal ċirkolari ċċattjati li jixbħu pancakes. Kull granum jista 'jkun fih kullimkien minn tnejn sa mitt thylakoids, għalkemm Grana b'10-20 thylakoids huma l-aktar komuni. Imgeżwer madwar il-grana huma thylakoids stromali helicoid, magħrufa wkoll bħala frets jew thylakoids lamellari. L-eliks jitilgħu f'angolu ta '20 -25 °, li jgħaqqdu ma 'kull thylakoid tal-granal f'ġunzjoni qasma bħal pont. L-helicoids jistgħu jestendu bħala folji kbar li jgħaqqdu Grana multipli, jew dojoq ma 'pontijiet simili għal tubi bejn Grana. Filwaqt li partijiet differenti tas-sistema tat-tilakoid fihom proteini tal-membrana differenti, il-membrani tat-tilkoid huma kontinwi u l-ispazju tat-tilkoid li huma magħluqin jiffurmaw labirint kontinwu wieħed.</v>
      </c>
    </row>
    <row r="15285" ht="15.75" customHeight="1">
      <c r="A15285" s="2" t="s">
        <v>15285</v>
      </c>
      <c r="B15285" s="2" t="str">
        <f>IFERROR(__xludf.DUMMYFUNCTION("GOOGLETRANSLATE(A15285, ""en"", ""mt"")"),"tiċrita żoni kbar ta 'art fil-baħar")</f>
        <v>tiċrita żoni kbar ta 'art fil-baħar</v>
      </c>
    </row>
    <row r="15286" ht="15.75" customHeight="1">
      <c r="A15286" s="2" t="s">
        <v>15286</v>
      </c>
      <c r="B15286" s="2" t="str">
        <f>IFERROR(__xludf.DUMMYFUNCTION("GOOGLETRANSLATE(A15286, ""en"", ""mt"")"),"te jew porridge bil-ħobż, chapati, mahamri, patata ħelwa mgħollija jew yams")</f>
        <v>te jew porridge bil-ħobż, chapati, mahamri, patata ħelwa mgħollija jew yams</v>
      </c>
    </row>
    <row r="15287" ht="15.75" customHeight="1">
      <c r="A15287" s="2" t="s">
        <v>15287</v>
      </c>
      <c r="B15287" s="2" t="str">
        <f>IFERROR(__xludf.DUMMYFUNCTION("GOOGLETRANSLATE(A15287, ""en"", ""mt"")"),"Effetti marbuta mal-inugwaljanza")</f>
        <v>Effetti marbuta mal-inugwaljanza</v>
      </c>
    </row>
    <row r="15288" ht="15.75" customHeight="1">
      <c r="A15288" s="2" t="s">
        <v>15288</v>
      </c>
      <c r="B15288" s="2" t="str">
        <f>IFERROR(__xludf.DUMMYFUNCTION("GOOGLETRANSLATE(A15288, ""en"", ""mt"")"),"Liema influwenza Al Banna xtaqet telimina mid-dinja Musulmana?")</f>
        <v>Liema influwenza Al Banna xtaqet telimina mid-dinja Musulmana?</v>
      </c>
    </row>
    <row r="15289" ht="15.75" customHeight="1">
      <c r="A15289" s="2" t="s">
        <v>15289</v>
      </c>
      <c r="B15289" s="2" t="str">
        <f>IFERROR(__xludf.DUMMYFUNCTION("GOOGLETRANSLATE(A15289, ""en"", ""mt"")"),"X'inhu l-minimu meħtieġ jekk trid tgħallem fil-Kanada?")</f>
        <v>X'inhu l-minimu meħtieġ jekk trid tgħallem fil-Kanada?</v>
      </c>
    </row>
    <row r="15290" ht="15.75" customHeight="1">
      <c r="A15290" s="2" t="s">
        <v>15290</v>
      </c>
      <c r="B15290" s="2" t="str">
        <f>IFERROR(__xludf.DUMMYFUNCTION("GOOGLETRANSLATE(A15290, ""en"", ""mt"")"),"Fil-qoxra baxxa")</f>
        <v>Fil-qoxra baxxa</v>
      </c>
    </row>
    <row r="15291" ht="15.75" customHeight="1">
      <c r="A15291" s="2" t="s">
        <v>15291</v>
      </c>
      <c r="B15291" s="2" t="str">
        <f>IFERROR(__xludf.DUMMYFUNCTION("GOOGLETRANSLATE(A15291, ""en"", ""mt"")"),"Kumitat Eżekuttiv")</f>
        <v>Kumitat Eżekuttiv</v>
      </c>
    </row>
    <row r="15292" ht="15.75" customHeight="1">
      <c r="A15292" s="2" t="s">
        <v>15292</v>
      </c>
      <c r="B15292" s="2" t="str">
        <f>IFERROR(__xludf.DUMMYFUNCTION("GOOGLETRANSLATE(A15292, ""en"", ""mt"")"),"Meta x-xita tipikament taqa 'f'Jacksonville?")</f>
        <v>Meta x-xita tipikament taqa 'f'Jacksonville?</v>
      </c>
    </row>
    <row r="15293" ht="15.75" customHeight="1">
      <c r="A15293" s="2" t="s">
        <v>15293</v>
      </c>
      <c r="B15293" s="2" t="str">
        <f>IFERROR(__xludf.DUMMYFUNCTION("GOOGLETRANSLATE(A15293, ""en"", ""mt"")"),"Li tkun taf id-direzzjoni tal-forzi")</f>
        <v>Li tkun taf id-direzzjoni tal-forzi</v>
      </c>
    </row>
    <row r="15294" ht="15.75" customHeight="1">
      <c r="A15294" s="2" t="s">
        <v>15294</v>
      </c>
      <c r="B15294" s="2" t="str">
        <f>IFERROR(__xludf.DUMMYFUNCTION("GOOGLETRANSLATE(A15294, ""en"", ""mt"")"),"L-Iran għen liema tip ta 'gruppi fl-Iraq?")</f>
        <v>L-Iran għen liema tip ta 'gruppi fl-Iraq?</v>
      </c>
    </row>
    <row r="15295" ht="15.75" customHeight="1">
      <c r="A15295" s="2" t="s">
        <v>15295</v>
      </c>
      <c r="B15295" s="2" t="str">
        <f>IFERROR(__xludf.DUMMYFUNCTION("GOOGLETRANSLATE(A15295, ""en"", ""mt"")"),"Liema vettura ta 'kontroll mill-bogħod għamel?")</f>
        <v>Liema vettura ta 'kontroll mill-bogħod għamel?</v>
      </c>
    </row>
    <row r="15296" ht="15.75" customHeight="1">
      <c r="A15296" s="2" t="s">
        <v>15296</v>
      </c>
      <c r="B15296" s="2" t="str">
        <f>IFERROR(__xludf.DUMMYFUNCTION("GOOGLETRANSLATE(A15296, ""en"", ""mt"")"),"rivoluzzjoni paċifika")</f>
        <v>rivoluzzjoni paċifika</v>
      </c>
    </row>
    <row r="15297" ht="15.75" customHeight="1">
      <c r="A15297" s="2" t="s">
        <v>15297</v>
      </c>
      <c r="B15297" s="2" t="str">
        <f>IFERROR(__xludf.DUMMYFUNCTION("GOOGLETRANSLATE(A15297, ""en"", ""mt"")"),"F'Settembru 1971")</f>
        <v>F'Settembru 1971</v>
      </c>
    </row>
    <row r="15298" ht="15.75" customHeight="1">
      <c r="A15298" s="2" t="s">
        <v>15298</v>
      </c>
      <c r="B15298" s="2" t="str">
        <f>IFERROR(__xludf.DUMMYFUNCTION("GOOGLETRANSLATE(A15298, ""en"", ""mt"")"),"Kanali ta 'partijiet terzi")</f>
        <v>Kanali ta 'partijiet terzi</v>
      </c>
    </row>
    <row r="15299" ht="15.75" customHeight="1">
      <c r="A15299" s="2" t="s">
        <v>15299</v>
      </c>
      <c r="B15299" s="2" t="str">
        <f>IFERROR(__xludf.DUMMYFUNCTION("GOOGLETRANSLATE(A15299, ""en"", ""mt"")"),"3600 rivoluzzjoni kull minuta")</f>
        <v>3600 rivoluzzjoni kull minuta</v>
      </c>
    </row>
    <row r="15300" ht="15.75" customHeight="1">
      <c r="A15300" s="2" t="s">
        <v>15300</v>
      </c>
      <c r="B15300" s="2" t="str">
        <f>IFERROR(__xludf.DUMMYFUNCTION("GOOGLETRANSLATE(A15300, ""en"", ""mt"")"),"Kemm-il livelli ta 'galleriji jdawru l-faċċati?")</f>
        <v>Kemm-il livelli ta 'galleriji jdawru l-faċċati?</v>
      </c>
    </row>
    <row r="15301" ht="15.75" customHeight="1">
      <c r="A15301" s="2" t="s">
        <v>15301</v>
      </c>
      <c r="B15301" s="2" t="str">
        <f>IFERROR(__xludf.DUMMYFUNCTION("GOOGLETRANSLATE(A15301, ""en"", ""mt"")"),"Phlogiston Teorija tal-Kombustjoni u l-Korrużjoni")</f>
        <v>Phlogiston Teorija tal-Kombustjoni u l-Korrużjoni</v>
      </c>
    </row>
    <row r="15302" ht="15.75" customHeight="1">
      <c r="A15302" s="2" t="s">
        <v>15302</v>
      </c>
      <c r="B15302" s="2" t="str">
        <f>IFERROR(__xludf.DUMMYFUNCTION("GOOGLETRANSLATE(A15302, ""en"", ""mt"")"),"X'inhu l-isem tal-itwal pont fil-Ġermanja?")</f>
        <v>X'inhu l-isem tal-itwal pont fil-Ġermanja?</v>
      </c>
    </row>
    <row r="15303" ht="15.75" customHeight="1">
      <c r="A15303" s="2" t="s">
        <v>15303</v>
      </c>
      <c r="B15303" s="2" t="str">
        <f>IFERROR(__xludf.DUMMYFUNCTION("GOOGLETRANSLATE(A15303, ""en"", ""mt"")"),"Ċertifikat tal-Edukazzjoni Sekondarja tal-Kenja")</f>
        <v>Ċertifikat tal-Edukazzjoni Sekondarja tal-Kenja</v>
      </c>
    </row>
    <row r="15304" ht="15.75" customHeight="1">
      <c r="A15304" s="2" t="s">
        <v>15304</v>
      </c>
      <c r="B15304" s="2" t="str">
        <f>IFERROR(__xludf.DUMMYFUNCTION("GOOGLETRANSLATE(A15304, ""en"", ""mt"")"),"tippreżenta kunċert rock")</f>
        <v>tippreżenta kunċert rock</v>
      </c>
    </row>
    <row r="15305" ht="15.75" customHeight="1">
      <c r="A15305" s="2" t="s">
        <v>15305</v>
      </c>
      <c r="B15305" s="2" t="str">
        <f>IFERROR(__xludf.DUMMYFUNCTION("GOOGLETRANSLATE(A15305, ""en"", ""mt"")"),"L-ewwel servizz online kummerċjali tad-dinja")</f>
        <v>L-ewwel servizz online kummerċjali tad-dinja</v>
      </c>
    </row>
    <row r="15306" ht="15.75" customHeight="1">
      <c r="A15306" s="2" t="s">
        <v>15306</v>
      </c>
      <c r="B15306" s="2" t="str">
        <f>IFERROR(__xludf.DUMMYFUNCTION("GOOGLETRANSLATE(A15306, ""en"", ""mt"")"),"Minn liema sistema tal-muntanji huma l-Alpi Vittorjani?")</f>
        <v>Minn liema sistema tal-muntanji huma l-Alpi Vittorjani?</v>
      </c>
    </row>
    <row r="15307" ht="15.75" customHeight="1">
      <c r="A15307" s="2" t="s">
        <v>15307</v>
      </c>
      <c r="B15307" s="2" t="str">
        <f>IFERROR(__xludf.DUMMYFUNCTION("GOOGLETRANSLATE(A15307, ""en"", ""mt"")"),"Dan huwa l-aktar metodu komuni ta 'akkwist tal-kostruzzjoni u huwa stabbilit sew u rikonoxxut. F'dan l-arranġament, il-perit jew l-inġinier jaġixxi bħala l-koordinatur tal-proġett. Ir-rwol tiegħu jew tagħha huwa li jiddisinja x-xogħlijiet, iħejji l-ispeċi"&amp;"fikazzjonijiet u jipproduċi tpinġijiet tal-kostruzzjoni, jamministra l-kuntratt, joffri x-xogħlijiet, u jimmaniġġja x-xogħlijiet mill-bidu sal-tlestija. Hemm rabtiet kuntrattwali diretti bejn il-klijent tal-perit u l-kuntrattur ewlieni. Kull sottokuntratt"&amp;"ur għandu relazzjoni kuntrattwali diretta mal-kuntrattur ewlieni. Il-proċedura tkompli sakemm il-bini jkun lest biex jokkupa.")</f>
        <v>Dan huwa l-aktar metodu komuni ta 'akkwist tal-kostruzzjoni u huwa stabbilit sew u rikonoxxut. F'dan l-arranġament, il-perit jew l-inġinier jaġixxi bħala l-koordinatur tal-proġett. Ir-rwol tiegħu jew tagħha huwa li jiddisinja x-xogħlijiet, iħejji l-ispeċifikazzjonijiet u jipproduċi tpinġijiet tal-kostruzzjoni, jamministra l-kuntratt, joffri x-xogħlijiet, u jimmaniġġja x-xogħlijiet mill-bidu sal-tlestija. Hemm rabtiet kuntrattwali diretti bejn il-klijent tal-perit u l-kuntrattur ewlieni. Kull sottokuntrattur għandu relazzjoni kuntrattwali diretta mal-kuntrattur ewlieni. Il-proċedura tkompli sakemm il-bini jkun lest biex jokkupa.</v>
      </c>
    </row>
    <row r="15308" ht="15.75" customHeight="1">
      <c r="A15308" s="2" t="s">
        <v>15308</v>
      </c>
      <c r="B15308" s="2" t="str">
        <f>IFERROR(__xludf.DUMMYFUNCTION("GOOGLETRANSLATE(A15308, ""en"", ""mt"")"),"1,000 m3 / s (35,000 cu ft / s),")</f>
        <v>1,000 m3 / s (35,000 cu ft / s),</v>
      </c>
    </row>
    <row r="15309" ht="15.75" customHeight="1">
      <c r="A15309" s="2" t="s">
        <v>15309</v>
      </c>
      <c r="B15309" s="2" t="str">
        <f>IFERROR(__xludf.DUMMYFUNCTION("GOOGLETRANSLATE(A15309, ""en"", ""mt"")"),"Fil-Battalja ta ’Hastings")</f>
        <v>Fil-Battalja ta ’Hastings</v>
      </c>
    </row>
    <row r="15310" ht="15.75" customHeight="1">
      <c r="A15310" s="2" t="s">
        <v>15310</v>
      </c>
      <c r="B15310" s="2" t="str">
        <f>IFERROR(__xludf.DUMMYFUNCTION("GOOGLETRANSLATE(A15310, ""en"", ""mt"")"),"Kemm irġiel se jieħdu l-LM fuq il-wiċċ Lunar u jirritornaw lejn is-CSM?")</f>
        <v>Kemm irġiel se jieħdu l-LM fuq il-wiċċ Lunar u jirritornaw lejn is-CSM?</v>
      </c>
    </row>
    <row r="15311" ht="15.75" customHeight="1">
      <c r="A15311" s="2" t="s">
        <v>15311</v>
      </c>
      <c r="B15311" s="2" t="str">
        <f>IFERROR(__xludf.DUMMYFUNCTION("GOOGLETRANSLATE(A15311, ""en"", ""mt"")"),"Oppożizzjoni għad-deċiżjonijiet ta 'aġenziji mhux governattivi bħal trade unions, banek, u universitajiet privati")</f>
        <v>Oppożizzjoni għad-deċiżjonijiet ta 'aġenziji mhux governattivi bħal trade unions, banek, u universitajiet privati</v>
      </c>
    </row>
    <row r="15312" ht="15.75" customHeight="1">
      <c r="A15312" s="2" t="s">
        <v>15312</v>
      </c>
      <c r="B15312" s="2" t="str">
        <f>IFERROR(__xludf.DUMMYFUNCTION("GOOGLETRANSLATE(A15312, ""en"", ""mt"")"),"Territorji Indiġeni")</f>
        <v>Territorji Indiġeni</v>
      </c>
    </row>
    <row r="15313" ht="15.75" customHeight="1">
      <c r="A15313" s="2" t="s">
        <v>15313</v>
      </c>
      <c r="B15313" s="2" t="str">
        <f>IFERROR(__xludf.DUMMYFUNCTION("GOOGLETRANSLATE(A15313, ""en"", ""mt"")"),"imfixkel")</f>
        <v>imfixkel</v>
      </c>
    </row>
    <row r="15314" ht="15.75" customHeight="1">
      <c r="A15314" s="2" t="s">
        <v>15314</v>
      </c>
      <c r="B15314" s="2" t="str">
        <f>IFERROR(__xludf.DUMMYFUNCTION("GOOGLETRANSLATE(A15314, ""en"", ""mt"")"),"Sqaq dojoq")</f>
        <v>Sqaq dojoq</v>
      </c>
    </row>
    <row r="15315" ht="15.75" customHeight="1">
      <c r="A15315" s="2" t="s">
        <v>15315</v>
      </c>
      <c r="B15315" s="2" t="str">
        <f>IFERROR(__xludf.DUMMYFUNCTION("GOOGLETRANSLATE(A15315, ""en"", ""mt"")"),"Missjunarji")</f>
        <v>Missjunarji</v>
      </c>
    </row>
    <row r="15316" ht="15.75" customHeight="1">
      <c r="A15316" s="2" t="s">
        <v>15316</v>
      </c>
      <c r="B15316" s="2" t="str">
        <f>IFERROR(__xludf.DUMMYFUNCTION("GOOGLETRANSLATE(A15316, ""en"", ""mt"")"),"X'għandu jippermetti li r-reġjun ta 'Savanna jespandi fit-tropiċi?")</f>
        <v>X'għandu jippermetti li r-reġjun ta 'Savanna jespandi fit-tropiċi?</v>
      </c>
    </row>
    <row r="15317" ht="15.75" customHeight="1">
      <c r="A15317" s="2" t="s">
        <v>15317</v>
      </c>
      <c r="B15317" s="2" t="str">
        <f>IFERROR(__xludf.DUMMYFUNCTION("GOOGLETRANSLATE(A15317, ""en"", ""mt"")"),"Kolonisti Ingliżi")</f>
        <v>Kolonisti Ingliżi</v>
      </c>
    </row>
    <row r="15318" ht="15.75" customHeight="1">
      <c r="A15318" s="2" t="s">
        <v>15318</v>
      </c>
      <c r="B15318" s="2" t="str">
        <f>IFERROR(__xludf.DUMMYFUNCTION("GOOGLETRANSLATE(A15318, ""en"", ""mt"")"),"X'kienet ir-raġuni rumored li Edison u Tesla ma ngħatawx il-premju?")</f>
        <v>X'kienet ir-raġuni rumored li Edison u Tesla ma ngħatawx il-premju?</v>
      </c>
    </row>
    <row r="15319" ht="15.75" customHeight="1">
      <c r="A15319" s="2" t="s">
        <v>15319</v>
      </c>
      <c r="B15319" s="2" t="str">
        <f>IFERROR(__xludf.DUMMYFUNCTION("GOOGLETRANSLATE(A15319, ""en"", ""mt"")"),"kedd parzjali tal-fasciitis plantar")</f>
        <v>kedd parzjali tal-fasciitis plantar</v>
      </c>
    </row>
    <row r="15320" ht="15.75" customHeight="1">
      <c r="A15320" s="2" t="s">
        <v>15320</v>
      </c>
      <c r="B15320" s="2" t="str">
        <f>IFERROR(__xludf.DUMMYFUNCTION("GOOGLETRANSLATE(A15320, ""en"", ""mt"")"),"Fl-1898, Tesla wriet dgħajsa kkontrollata bir-radju - li hu msejjaħ ""teleautomaton"" - għall-pubbliku waqt wirja elettrika fil-Madison Square Garden. Il-folla li rat id-dimostrazzjoni għamlet talbiet outrageous dwar il-ħidma tad-dgħajsa, bħal maġija, tel"&amp;"epatija, u li tkun pilota minn xadina mħarrġa moħbija ġewwa. Tesla ppruvat tbiegħ l-idea tiegħu lill-militar tal-Istati Uniti bħala tip ta 'torpedo kkontrollat ​​bir-radju, iżda wrew ftit interess. Il-kontroll tar-radju mill-bogħod baqa 'novità sal-Ewwel "&amp;"Gwerra Dinjija u wara, meta numru ta' pajjiżi użawha fi programmi militari. Tesla ħadet l-opportunità li tkompli turi ""teleautomatics"" f'indirizz għal-laqgħa tal-klabb kummerċjali f'Chicago, waqt li kien qed jivvjaġġa lejn Colorado Springs, fit-13 ta 'M"&amp;"ejju 1899.")</f>
        <v>Fl-1898, Tesla wriet dgħajsa kkontrollata bir-radju - li hu msejjaħ "teleautomaton" - għall-pubbliku waqt wirja elettrika fil-Madison Square Garden. Il-folla li rat id-dimostrazzjoni għamlet talbiet outrageous dwar il-ħidma tad-dgħajsa, bħal maġija, telepatija, u li tkun pilota minn xadina mħarrġa moħbija ġewwa. Tesla ppruvat tbiegħ l-idea tiegħu lill-militar tal-Istati Uniti bħala tip ta 'torpedo kkontrollat ​​bir-radju, iżda wrew ftit interess. Il-kontroll tar-radju mill-bogħod baqa 'novità sal-Ewwel Gwerra Dinjija u wara, meta numru ta' pajjiżi użawha fi programmi militari. Tesla ħadet l-opportunità li tkompli turi "teleautomatics" f'indirizz għal-laqgħa tal-klabb kummerċjali f'Chicago, waqt li kien qed jivvjaġġa lejn Colorado Springs, fit-13 ta 'Mejju 1899.</v>
      </c>
    </row>
    <row r="15321" ht="15.75" customHeight="1">
      <c r="A15321" s="2" t="s">
        <v>15321</v>
      </c>
      <c r="B15321" s="2" t="str">
        <f>IFERROR(__xludf.DUMMYFUNCTION("GOOGLETRANSLATE(A15321, ""en"", ""mt"")"),"Fl-1466, forsi 40,000 persuna mietu bil-pesta f'Pariġi. Matul is-sekli 16 u 17, il-pesta kienet preżenti f'Pariġi madwar 30 fil-mija tal-ħin. Il-Black Death ħarbtu l-Ewropa għal tliet snin qabel ma kompliet fir-Russja, fejn il-marda kienet preżenti x'imki"&amp;"en fil-pajjiż 25 darba bejn l-1350 sal-1490. L-epidemiji tal-pesta ħarbtu Londra fl-1563, 1593, 1603, 1625, 1636, u 1665, tnaqqas il-popolazzjoni tagħha b'10 sa 30% matul dawk is-snin. Aktar minn 10% tal-popolazzjoni ta 'Amsterdam mietet fl-1623-25, u għa"&amp;"l darb'oħra fl-1635–36, 1655 u 1664. Il-pesta seħħet f'Venezja 22 darba bejn l-1361 u l-1528. Il-pesta ta' 1576-77 qatlet 50,000 f'Venezja, kważi terz ta ' il-popolazzjoni. Tfaqqigħ tard fl-Ewropa Ċentrali kien jinkludi l-pesta Taljana tal-1629-1631, li h"&amp;"ija assoċjata ma 'movimenti tat-truppi matul il-gwerra tat-tletin sena, u l-pesta kbira ta' Vjenna fl-1679. Aktar minn 60% tal-popolazzjoni tan-Norveġja mietet fl-1348-50. L-aħħar tifqigħa tal-pesta ħarbgħet lil Oslo fl-1654.")</f>
        <v>Fl-1466, forsi 40,000 persuna mietu bil-pesta f'Pariġi. Matul is-sekli 16 u 17, il-pesta kienet preżenti f'Pariġi madwar 30 fil-mija tal-ħin. Il-Black Death ħarbtu l-Ewropa għal tliet snin qabel ma kompliet fir-Russja, fejn il-marda kienet preżenti x'imkien fil-pajjiż 25 darba bejn l-1350 sal-1490. L-epidemiji tal-pesta ħarbtu Londra fl-1563, 1593, 1603, 1625, 1636, u 1665, tnaqqas il-popolazzjoni tagħha b'10 sa 30% matul dawk is-snin. Aktar minn 10% tal-popolazzjoni ta 'Amsterdam mietet fl-1623-25, u għal darb'oħra fl-1635–36, 1655 u 1664. Il-pesta seħħet f'Venezja 22 darba bejn l-1361 u l-1528. Il-pesta ta' 1576-77 qatlet 50,000 f'Venezja, kważi terz ta ' il-popolazzjoni. Tfaqqigħ tard fl-Ewropa Ċentrali kien jinkludi l-pesta Taljana tal-1629-1631, li hija assoċjata ma 'movimenti tat-truppi matul il-gwerra tat-tletin sena, u l-pesta kbira ta' Vjenna fl-1679. Aktar minn 60% tal-popolazzjoni tan-Norveġja mietet fl-1348-50. L-aħħar tifqigħa tal-pesta ħarbgħet lil Oslo fl-1654.</v>
      </c>
    </row>
    <row r="15322" ht="15.75" customHeight="1">
      <c r="A15322" s="2" t="s">
        <v>15322</v>
      </c>
      <c r="B15322" s="2" t="str">
        <f>IFERROR(__xludf.DUMMYFUNCTION("GOOGLETRANSLATE(A15322, ""en"", ""mt"")"),"Kif jidhru l-kloroplasti fl-ispinaċi mkabbra fid-dawl aħdar?")</f>
        <v>Kif jidhru l-kloroplasti fl-ispinaċi mkabbra fid-dawl aħdar?</v>
      </c>
    </row>
    <row r="15323" ht="15.75" customHeight="1">
      <c r="A15323" s="2" t="s">
        <v>15323</v>
      </c>
      <c r="B15323" s="2" t="str">
        <f>IFERROR(__xludf.DUMMYFUNCTION("GOOGLETRANSLATE(A15323, ""en"", ""mt"")"),"Il-Qorti tal-Ġustizzja tal-Unjoni Ewropea")</f>
        <v>Il-Qorti tal-Ġustizzja tal-Unjoni Ewropea</v>
      </c>
    </row>
    <row r="15324" ht="15.75" customHeight="1">
      <c r="A15324" s="2" t="s">
        <v>15324</v>
      </c>
      <c r="B15324" s="2" t="str">
        <f>IFERROR(__xludf.DUMMYFUNCTION("GOOGLETRANSLATE(A15324, ""en"", ""mt"")"),"Orjentaliżmu")</f>
        <v>Orjentaliżmu</v>
      </c>
    </row>
    <row r="15325" ht="15.75" customHeight="1">
      <c r="A15325" s="2" t="s">
        <v>15325</v>
      </c>
      <c r="B15325" s="2" t="str">
        <f>IFERROR(__xludf.DUMMYFUNCTION("GOOGLETRANSLATE(A15325, ""en"", ""mt"")"),"Minn liema pajjiż REWE-ZENTRALE AG xtaqet timporta?")</f>
        <v>Minn liema pajjiż REWE-ZENTRALE AG xtaqet timporta?</v>
      </c>
    </row>
    <row r="15326" ht="15.75" customHeight="1">
      <c r="A15326" s="2" t="s">
        <v>15326</v>
      </c>
      <c r="B15326" s="2" t="str">
        <f>IFERROR(__xludf.DUMMYFUNCTION("GOOGLETRANSLATE(A15326, ""en"", ""mt"")"),"Brownlee jargumenta li d-diżubbidjenza tista 'tkun iġġustifikata lejn liema istituzzjonijiet?")</f>
        <v>Brownlee jargumenta li d-diżubbidjenza tista 'tkun iġġustifikata lejn liema istituzzjonijiet?</v>
      </c>
    </row>
    <row r="15327" ht="15.75" customHeight="1">
      <c r="A15327" s="2" t="s">
        <v>15327</v>
      </c>
      <c r="B15327" s="2" t="str">
        <f>IFERROR(__xludf.DUMMYFUNCTION("GOOGLETRANSLATE(A15327, ""en"", ""mt"")"),"Il-Parlament tar-Renju Unit f'Westminster")</f>
        <v>Il-Parlament tar-Renju Unit f'Westminster</v>
      </c>
    </row>
    <row r="15328" ht="15.75" customHeight="1">
      <c r="A15328" s="2" t="s">
        <v>15328</v>
      </c>
      <c r="B15328" s="2" t="str">
        <f>IFERROR(__xludf.DUMMYFUNCTION("GOOGLETRANSLATE(A15328, ""en"", ""mt"")"),"It-Torri tal-Bank of America qabel kien magħruf bħala?")</f>
        <v>It-Torri tal-Bank of America qabel kien magħruf bħala?</v>
      </c>
    </row>
    <row r="15329" ht="15.75" customHeight="1">
      <c r="A15329" s="2" t="s">
        <v>15329</v>
      </c>
      <c r="B15329" s="2" t="str">
        <f>IFERROR(__xludf.DUMMYFUNCTION("GOOGLETRANSLATE(A15329, ""en"", ""mt"")"),"Il-proċess tad-diviżjoni jibda meta l-proteini FTSZ1 u FTSZ2 jinġabru fil-filamenti, u bl-għajnuna ta 'proteina ARC6, jiffurmaw struttura msejħa z-ring fl-istroma tal-kloroplast. Is-sistema Min jimmaniġġja t-tqegħid tar-ring z, u jiżgura li l-kloroplast j"&amp;"inqata 'ftit jew wisq b'mod uniformi. Il-moħħ tal-proteina jipprevjeni lill-FTSZ milli jgħaqqad u jifforma filamenti. Proteina oħra ARC3 tista 'tkun involuta wkoll, iżda mhix mifhuma tajjeb ħafna. Dawn il-proteini huma attivi fl-arbli tal-kloroplast, li j"&amp;"ipprevjenu l-formazzjoni ta 'ring z, iżda ħdejn iċ-ċentru tal-kloroplast, il-mini jinibixxihom, li jippermetti li l-forma ta' Z.")</f>
        <v>Il-proċess tad-diviżjoni jibda meta l-proteini FTSZ1 u FTSZ2 jinġabru fil-filamenti, u bl-għajnuna ta 'proteina ARC6, jiffurmaw struttura msejħa z-ring fl-istroma tal-kloroplast. Is-sistema Min jimmaniġġja t-tqegħid tar-ring z, u jiżgura li l-kloroplast jinqata 'ftit jew wisq b'mod uniformi. Il-moħħ tal-proteina jipprevjeni lill-FTSZ milli jgħaqqad u jifforma filamenti. Proteina oħra ARC3 tista 'tkun involuta wkoll, iżda mhix mifhuma tajjeb ħafna. Dawn il-proteini huma attivi fl-arbli tal-kloroplast, li jipprevjenu l-formazzjoni ta 'ring z, iżda ħdejn iċ-ċentru tal-kloroplast, il-mini jinibixxihom, li jippermetti li l-forma ta' Z.</v>
      </c>
    </row>
    <row r="15330" ht="15.75" customHeight="1">
      <c r="A15330" s="2" t="s">
        <v>15330</v>
      </c>
      <c r="B15330" s="2" t="str">
        <f>IFERROR(__xludf.DUMMYFUNCTION("GOOGLETRANSLATE(A15330, ""en"", ""mt"")"),"AD 0–1250")</f>
        <v>AD 0–1250</v>
      </c>
    </row>
    <row r="15331" ht="15.75" customHeight="1">
      <c r="A15331" s="2" t="s">
        <v>15331</v>
      </c>
      <c r="B15331" s="2" t="str">
        <f>IFERROR(__xludf.DUMMYFUNCTION("GOOGLETRANSLATE(A15331, ""en"", ""mt"")"),"Problemi tal-komputazzjoni")</f>
        <v>Problemi tal-komputazzjoni</v>
      </c>
    </row>
    <row r="15332" ht="15.75" customHeight="1">
      <c r="A15332" s="2" t="s">
        <v>15332</v>
      </c>
      <c r="B15332" s="2" t="str">
        <f>IFERROR(__xludf.DUMMYFUNCTION("GOOGLETRANSLATE(A15332, ""en"", ""mt"")"),"Il-Wied ta ’Ouseburn")</f>
        <v>Il-Wied ta ’Ouseburn</v>
      </c>
    </row>
    <row r="15333" ht="15.75" customHeight="1">
      <c r="A15333" s="2" t="s">
        <v>15333</v>
      </c>
      <c r="B15333" s="2" t="str">
        <f>IFERROR(__xludf.DUMMYFUNCTION("GOOGLETRANSLATE(A15333, ""en"", ""mt"")"),"Ir-Renu u liema xmara oħra xorbu l-ġnub tat-tramuntana tal-Alpi?")</f>
        <v>Ir-Renu u liema xmara oħra xorbu l-ġnub tat-tramuntana tal-Alpi?</v>
      </c>
    </row>
    <row r="15334" ht="15.75" customHeight="1">
      <c r="A15334" s="2" t="s">
        <v>15334</v>
      </c>
      <c r="B15334" s="2" t="str">
        <f>IFERROR(__xludf.DUMMYFUNCTION("GOOGLETRANSLATE(A15334, ""en"", ""mt"")"),"Radikalment antisemitiku")</f>
        <v>Radikalment antisemitiku</v>
      </c>
    </row>
    <row r="15335" ht="15.75" customHeight="1">
      <c r="A15335" s="2" t="s">
        <v>15335</v>
      </c>
      <c r="B15335" s="2" t="str">
        <f>IFERROR(__xludf.DUMMYFUNCTION("GOOGLETRANSLATE(A15335, ""en"", ""mt"")"),"1960 u 1970")</f>
        <v>1960 u 1970</v>
      </c>
    </row>
    <row r="15336" ht="15.75" customHeight="1">
      <c r="A15336" s="2" t="s">
        <v>15336</v>
      </c>
      <c r="B15336" s="2" t="str">
        <f>IFERROR(__xludf.DUMMYFUNCTION("GOOGLETRANSLATE(A15336, ""en"", ""mt"")"),"Luther kif ra l-Islam?")</f>
        <v>Luther kif ra l-Islam?</v>
      </c>
    </row>
    <row r="15337" ht="15.75" customHeight="1">
      <c r="A15337" s="2" t="s">
        <v>15337</v>
      </c>
      <c r="B15337" s="2" t="str">
        <f>IFERROR(__xludf.DUMMYFUNCTION("GOOGLETRANSLATE(A15337, ""en"", ""mt"")"),"aktar riżorsi mhux tas-soltu")</f>
        <v>aktar riżorsi mhux tas-soltu</v>
      </c>
    </row>
    <row r="15338" ht="15.75" customHeight="1">
      <c r="A15338" s="2" t="s">
        <v>15338</v>
      </c>
      <c r="B15338" s="2" t="str">
        <f>IFERROR(__xludf.DUMMYFUNCTION("GOOGLETRANSLATE(A15338, ""en"", ""mt"")"),"Liema rwol kellu Luther fil-knejjes ta 'oqsma oħra?")</f>
        <v>Liema rwol kellu Luther fil-knejjes ta 'oqsma oħra?</v>
      </c>
    </row>
    <row r="15339" ht="15.75" customHeight="1">
      <c r="A15339" s="2" t="s">
        <v>15339</v>
      </c>
      <c r="B15339" s="2" t="str">
        <f>IFERROR(__xludf.DUMMYFUNCTION("GOOGLETRANSLATE(A15339, ""en"", ""mt"")"),"Kemm mill-ħmistax-il punt ta 'diskussjoni ġew miftiehma?")</f>
        <v>Kemm mill-ħmistax-il punt ta 'diskussjoni ġew miftiehma?</v>
      </c>
    </row>
    <row r="15340" ht="15.75" customHeight="1">
      <c r="A15340" s="2" t="s">
        <v>15340</v>
      </c>
      <c r="B15340" s="2" t="str">
        <f>IFERROR(__xludf.DUMMYFUNCTION("GOOGLETRANSLATE(A15340, ""en"", ""mt"")"),"Fejn imorru l-profitti f'din il-kumpanija l-ġdida?")</f>
        <v>Fejn imorru l-profitti f'din il-kumpanija l-ġdida?</v>
      </c>
    </row>
    <row r="15341" ht="15.75" customHeight="1">
      <c r="A15341" s="2" t="s">
        <v>15341</v>
      </c>
      <c r="B15341" s="2" t="str">
        <f>IFERROR(__xludf.DUMMYFUNCTION("GOOGLETRANSLATE(A15341, ""en"", ""mt"")"),"Mill-inqas 55 fil-mija tal-membri tal-kunsill (mhux voti) li jirrappreżentaw 65 fil-mija tal-popolazzjoni tal-UE")</f>
        <v>Mill-inqas 55 fil-mija tal-membri tal-kunsill (mhux voti) li jirrappreżentaw 65 fil-mija tal-popolazzjoni tal-UE</v>
      </c>
    </row>
    <row r="15342" ht="15.75" customHeight="1">
      <c r="A15342" s="2" t="s">
        <v>15342</v>
      </c>
      <c r="B15342" s="2" t="str">
        <f>IFERROR(__xludf.DUMMYFUNCTION("GOOGLETRANSLATE(A15342, ""en"", ""mt"")"),"Kont epidemjoloġiku tal-pesta")</f>
        <v>Kont epidemjoloġiku tal-pesta</v>
      </c>
    </row>
    <row r="15343" ht="15.75" customHeight="1">
      <c r="A15343" s="2" t="s">
        <v>15343</v>
      </c>
      <c r="B15343" s="2" t="str">
        <f>IFERROR(__xludf.DUMMYFUNCTION("GOOGLETRANSLATE(A15343, ""en"", ""mt"")"),"qatt ma ġie rratifikat")</f>
        <v>qatt ma ġie rratifikat</v>
      </c>
    </row>
    <row r="15344" ht="15.75" customHeight="1">
      <c r="A15344" s="2" t="s">
        <v>15344</v>
      </c>
      <c r="B15344" s="2" t="str">
        <f>IFERROR(__xludf.DUMMYFUNCTION("GOOGLETRANSLATE(A15344, ""en"", ""mt"")"),"Min kien wieħed mill-ewwel eżempji ta 'diżubbidjenza ċivili kontra?")</f>
        <v>Min kien wieħed mill-ewwel eżempji ta 'diżubbidjenza ċivili kontra?</v>
      </c>
    </row>
    <row r="15345" ht="15.75" customHeight="1">
      <c r="A15345" s="2" t="s">
        <v>15345</v>
      </c>
      <c r="B15345" s="2" t="str">
        <f>IFERROR(__xludf.DUMMYFUNCTION("GOOGLETRANSLATE(A15345, ""en"", ""mt"")"),"Żona ġeografika li tkopri kif ukoll il-frekwenza tal-laqgħa")</f>
        <v>Żona ġeografika li tkopri kif ukoll il-frekwenza tal-laqgħa</v>
      </c>
    </row>
    <row r="15346" ht="15.75" customHeight="1">
      <c r="A15346" s="2" t="s">
        <v>15346</v>
      </c>
      <c r="B15346" s="2" t="str">
        <f>IFERROR(__xludf.DUMMYFUNCTION("GOOGLETRANSLATE(A15346, ""en"", ""mt"")"),"Ħalli l-awtrija ta 'l-Istati Uniti ta' 'New World'")</f>
        <v>Ħalli l-awtrija ta 'l-Istati Uniti ta' 'New World'</v>
      </c>
    </row>
    <row r="15347" ht="15.75" customHeight="1">
      <c r="A15347" s="2" t="s">
        <v>15347</v>
      </c>
      <c r="B15347" s="2" t="str">
        <f>IFERROR(__xludf.DUMMYFUNCTION("GOOGLETRANSLATE(A15347, ""en"", ""mt"")"),"Liema pajjiż irrifjuta li jikkuntenta għal bidliet fit-Trattat ta 'Lisbona 2007?")</f>
        <v>Liema pajjiż irrifjuta li jikkuntenta għal bidliet fit-Trattat ta 'Lisbona 2007?</v>
      </c>
    </row>
    <row r="15348" ht="15.75" customHeight="1">
      <c r="A15348" s="2" t="s">
        <v>15348</v>
      </c>
      <c r="B15348" s="2" t="str">
        <f>IFERROR(__xludf.DUMMYFUNCTION("GOOGLETRANSLATE(A15348, ""en"", ""mt"")"),"Analiżi bir-reqqa tal-medikazzjoni kollha (preskrizzjoni, nuqqas ta 'preskrizzjoni, u herbals) li bħalissa qed jittieħdu minn individwu")</f>
        <v>Analiżi bir-reqqa tal-medikazzjoni kollha (preskrizzjoni, nuqqas ta 'preskrizzjoni, u herbals) li bħalissa qed jittieħdu minn individwu</v>
      </c>
    </row>
    <row r="15349" ht="15.75" customHeight="1">
      <c r="A15349" s="2" t="s">
        <v>15349</v>
      </c>
      <c r="B15349" s="2" t="str">
        <f>IFERROR(__xludf.DUMMYFUNCTION("GOOGLETRANSLATE(A15349, ""en"", ""mt"")"),"Kunsill tal-Kapijiet tal-Mongolja")</f>
        <v>Kunsill tal-Kapijiet tal-Mongolja</v>
      </c>
    </row>
    <row r="15350" ht="15.75" customHeight="1">
      <c r="A15350" s="2" t="s">
        <v>15350</v>
      </c>
      <c r="B15350" s="2" t="str">
        <f>IFERROR(__xludf.DUMMYFUNCTION("GOOGLETRANSLATE(A15350, ""en"", ""mt"")"),"Liema parti mill-karriera ta 'Luther kienet waħda mill-iktar produttivi tiegħu?")</f>
        <v>Liema parti mill-karriera ta 'Luther kienet waħda mill-iktar produttivi tiegħu?</v>
      </c>
    </row>
    <row r="15351" ht="15.75" customHeight="1">
      <c r="A15351" s="2" t="s">
        <v>15351</v>
      </c>
      <c r="B15351" s="2" t="str">
        <f>IFERROR(__xludf.DUMMYFUNCTION("GOOGLETRANSLATE(A15351, ""en"", ""mt"")"),"Fejn kienet tinsab il-Kumpanija Edison Kontinentali?")</f>
        <v>Fejn kienet tinsab il-Kumpanija Edison Kontinentali?</v>
      </c>
    </row>
    <row r="15352" ht="15.75" customHeight="1">
      <c r="A15352" s="2" t="s">
        <v>15352</v>
      </c>
      <c r="B15352" s="2" t="str">
        <f>IFERROR(__xludf.DUMMYFUNCTION("GOOGLETRANSLATE(A15352, ""en"", ""mt"")"),"faħam")</f>
        <v>faħam</v>
      </c>
    </row>
    <row r="15353" ht="15.75" customHeight="1">
      <c r="A15353" s="2" t="s">
        <v>15353</v>
      </c>
      <c r="B15353" s="2" t="str">
        <f>IFERROR(__xludf.DUMMYFUNCTION("GOOGLETRANSLATE(A15353, ""en"", ""mt"")"),"Għal xiex iwassal in-nuqqas ta 'edukazzjoni direttament?")</f>
        <v>Għal xiex iwassal in-nuqqas ta 'edukazzjoni direttament?</v>
      </c>
    </row>
    <row r="15354" ht="15.75" customHeight="1">
      <c r="A15354" s="2" t="s">
        <v>15354</v>
      </c>
      <c r="B15354" s="2" t="str">
        <f>IFERROR(__xludf.DUMMYFUNCTION("GOOGLETRANSLATE(A15354, ""en"", ""mt"")"),"Fejn jistgħu jiltaqgħu l-kumitati barra mill-Parlament?")</f>
        <v>Fejn jistgħu jiltaqgħu l-kumitati barra mill-Parlament?</v>
      </c>
    </row>
    <row r="15355" ht="15.75" customHeight="1">
      <c r="A15355" s="2" t="s">
        <v>15355</v>
      </c>
      <c r="B15355" s="2" t="str">
        <f>IFERROR(__xludf.DUMMYFUNCTION("GOOGLETRANSLATE(A15355, ""en"", ""mt"")"),"Min kien l-ewwel tabib li jivvjaġġa ma 'koppja miżżewġa?")</f>
        <v>Min kien l-ewwel tabib li jivvjaġġa ma 'koppja miżżewġa?</v>
      </c>
    </row>
    <row r="15356" ht="15.75" customHeight="1">
      <c r="A15356" s="2" t="s">
        <v>15356</v>
      </c>
      <c r="B15356" s="2" t="str">
        <f>IFERROR(__xludf.DUMMYFUNCTION("GOOGLETRANSLATE(A15356, ""en"", ""mt"")"),"Ir-raffineriji, il-proċess kimiku, il-ġenerazzjoni tal-enerġija, l-imtieħen u l-impjanti tal-manifattura huma taħt liema settur tal-kostruzzjoni?")</f>
        <v>Ir-raffineriji, il-proċess kimiku, il-ġenerazzjoni tal-enerġija, l-imtieħen u l-impjanti tal-manifattura huma taħt liema settur tal-kostruzzjoni?</v>
      </c>
    </row>
    <row r="15357" ht="15.75" customHeight="1">
      <c r="A15357" s="2" t="s">
        <v>15357</v>
      </c>
      <c r="B15357" s="2" t="str">
        <f>IFERROR(__xludf.DUMMYFUNCTION("GOOGLETRANSLATE(A15357, ""en"", ""mt"")"),"kant fil-knejjes")</f>
        <v>kant fil-knejjes</v>
      </c>
    </row>
    <row r="15358" ht="15.75" customHeight="1">
      <c r="A15358" s="2" t="s">
        <v>15358</v>
      </c>
      <c r="B15358" s="2" t="str">
        <f>IFERROR(__xludf.DUMMYFUNCTION("GOOGLETRANSLATE(A15358, ""en"", ""mt"")"),"X'inhu l-paragun fil-prezz bejn l-iskejjel privati ​​Awstraljani kontra l-pubbliku?")</f>
        <v>X'inhu l-paragun fil-prezz bejn l-iskejjel privati ​​Awstraljani kontra l-pubbliku?</v>
      </c>
    </row>
    <row r="15359" ht="15.75" customHeight="1">
      <c r="A15359" s="2" t="s">
        <v>15359</v>
      </c>
      <c r="B15359" s="2" t="str">
        <f>IFERROR(__xludf.DUMMYFUNCTION("GOOGLETRANSLATE(A15359, ""en"", ""mt"")"),"Għaliex Johann Esch u Heinrich Voes ġew eżegwiti mill-Knisja Kattolika?")</f>
        <v>Għaliex Johann Esch u Heinrich Voes ġew eżegwiti mill-Knisja Kattolika?</v>
      </c>
    </row>
    <row r="15360" ht="15.75" customHeight="1">
      <c r="A15360" s="2" t="s">
        <v>15360</v>
      </c>
      <c r="B15360" s="2" t="str">
        <f>IFERROR(__xludf.DUMMYFUNCTION("GOOGLETRANSLATE(A15360, ""en"", ""mt"")"),"Parti kkmanda maġġoranza parlamentari")</f>
        <v>Parti kkmanda maġġoranza parlamentari</v>
      </c>
    </row>
    <row r="15361" ht="15.75" customHeight="1">
      <c r="A15361" s="2" t="s">
        <v>15361</v>
      </c>
      <c r="B15361" s="2" t="str">
        <f>IFERROR(__xludf.DUMMYFUNCTION("GOOGLETRANSLATE(A15361, ""en"", ""mt"")"),"Emissjonijiet ta 'gass serra")</f>
        <v>Emissjonijiet ta 'gass serra</v>
      </c>
    </row>
    <row r="15362" ht="15.75" customHeight="1">
      <c r="A15362" s="2" t="s">
        <v>15362</v>
      </c>
      <c r="B15362" s="2" t="str">
        <f>IFERROR(__xludf.DUMMYFUNCTION("GOOGLETRANSLATE(A15362, ""en"", ""mt"")"),"Trasferiment tal-ġene endosymbijotiku")</f>
        <v>Trasferiment tal-ġene endosymbijotiku</v>
      </c>
    </row>
    <row r="15363" ht="15.75" customHeight="1">
      <c r="A15363" s="2" t="s">
        <v>15363</v>
      </c>
      <c r="B15363" s="2" t="str">
        <f>IFERROR(__xludf.DUMMYFUNCTION("GOOGLETRANSLATE(A15363, ""en"", ""mt"")"),"L-arkitettura residenzjali tad-distrett tat-Torri tqabbel jew tikkuntrasta ma 'parti oħra ta' Fresno?")</f>
        <v>L-arkitettura residenzjali tad-distrett tat-Torri tqabbel jew tikkuntrasta ma 'parti oħra ta' Fresno?</v>
      </c>
    </row>
    <row r="15364" ht="15.75" customHeight="1">
      <c r="A15364" s="2" t="s">
        <v>15364</v>
      </c>
      <c r="B15364" s="2" t="str">
        <f>IFERROR(__xludf.DUMMYFUNCTION("GOOGLETRANSLATE(A15364, ""en"", ""mt"")"),"ċelloli")</f>
        <v>ċelloli</v>
      </c>
    </row>
    <row r="15365" ht="15.75" customHeight="1">
      <c r="A15365" s="2" t="s">
        <v>15365</v>
      </c>
      <c r="B15365" s="2" t="str">
        <f>IFERROR(__xludf.DUMMYFUNCTION("GOOGLETRANSLATE(A15365, ""en"", ""mt"")"),"fabbrikazzjoni ta 'evidenza jew twettaq sperġur")</f>
        <v>fabbrikazzjoni ta 'evidenza jew twettaq sperġur</v>
      </c>
    </row>
    <row r="15366" ht="15.75" customHeight="1">
      <c r="A15366" s="2" t="s">
        <v>15366</v>
      </c>
      <c r="B15366" s="2" t="str">
        <f>IFERROR(__xludf.DUMMYFUNCTION("GOOGLETRANSLATE(A15366, ""en"", ""mt"")"),"Kemm għamlet Sky biex tirbaħ l-4 pacakges imxandra li xtraw?")</f>
        <v>Kemm għamlet Sky biex tirbaħ l-4 pacakges imxandra li xtraw?</v>
      </c>
    </row>
    <row r="15367" ht="15.75" customHeight="1">
      <c r="A15367" s="2" t="s">
        <v>15367</v>
      </c>
      <c r="B15367" s="2" t="str">
        <f>IFERROR(__xludf.DUMMYFUNCTION("GOOGLETRANSLATE(A15367, ""en"", ""mt"")"),"Meta ġiet rilaxxata s-soundtrack għas-serje 5?")</f>
        <v>Meta ġiet rilaxxata s-soundtrack għas-serje 5?</v>
      </c>
    </row>
    <row r="15368" ht="15.75" customHeight="1">
      <c r="A15368" s="2" t="s">
        <v>15368</v>
      </c>
      <c r="B15368" s="2" t="str">
        <f>IFERROR(__xludf.DUMMYFUNCTION("GOOGLETRANSLATE(A15368, ""en"", ""mt"")"),"Iċ-Ċina, il-Ġappun u l-Korea")</f>
        <v>Iċ-Ċina, il-Ġappun u l-Korea</v>
      </c>
    </row>
    <row r="15369" ht="15.75" customHeight="1">
      <c r="A15369" s="2" t="s">
        <v>15369</v>
      </c>
      <c r="B15369" s="2" t="str">
        <f>IFERROR(__xludf.DUMMYFUNCTION("GOOGLETRANSLATE(A15369, ""en"", ""mt"")"),"patoġeni jew ċelloli infettati mill-patoġeni")</f>
        <v>patoġeni jew ċelloli infettati mill-patoġeni</v>
      </c>
    </row>
    <row r="15370" ht="15.75" customHeight="1">
      <c r="A15370" s="2" t="s">
        <v>15370</v>
      </c>
      <c r="B15370" s="2" t="str">
        <f>IFERROR(__xludf.DUMMYFUNCTION("GOOGLETRANSLATE(A15370, ""en"", ""mt"")"),"2 sa 6")</f>
        <v>2 sa 6</v>
      </c>
    </row>
    <row r="15371" ht="15.75" customHeight="1">
      <c r="A15371" s="2" t="s">
        <v>15371</v>
      </c>
      <c r="B15371" s="2" t="str">
        <f>IFERROR(__xludf.DUMMYFUNCTION("GOOGLETRANSLATE(A15371, ""en"", ""mt"")"),"Inputs tax-xogħol (ħaddiema)")</f>
        <v>Inputs tax-xogħol (ħaddiema)</v>
      </c>
    </row>
    <row r="15372" ht="15.75" customHeight="1">
      <c r="A15372" s="2" t="s">
        <v>15372</v>
      </c>
      <c r="B15372" s="2" t="str">
        <f>IFERROR(__xludf.DUMMYFUNCTION("GOOGLETRANSLATE(A15372, ""en"", ""mt"")"),"X'jagħmlu r-rosettes ciliary biex jibnu bl-ingrossa u jżidu d-densità?")</f>
        <v>X'jagħmlu r-rosettes ciliary biex jibnu bl-ingrossa u jżidu d-densità?</v>
      </c>
    </row>
    <row r="15373" ht="15.75" customHeight="1">
      <c r="A15373" s="2" t="s">
        <v>15373</v>
      </c>
      <c r="B15373" s="2" t="str">
        <f>IFERROR(__xludf.DUMMYFUNCTION("GOOGLETRANSLATE(A15373, ""en"", ""mt"")"),"Il-Mewt l-Iswed huwa maħsub li oriġina fil-pjanuri aridi ta 'l-Asja Ċentrali, fejn imbagħad ivvjaġġa fit-triq tal-ħarir, u laħaq il-Krimea sal-1343. Minn hemm, x'aktarx kien jinġarr minn briegħed tal-far orjentali li jgħixu fuq il-firien suwed li kienu re"&amp;"golari passiġġieri fuq vapuri merkantili. It-tixrid madwar il-Mediterran u l-Ewropa, il-mewt sewda hija stmata li qatlet 30-60% tal-popolazzjoni totali tal-Ewropa. B'kollox, il-pesta naqqset il-popolazzjoni dinjija minn madwar 450 miljun għal 350-375 milj"&amp;"un fis-seklu 14. Il-popolazzjoni dinjija kollha kemm hi ma rkupratx għal-livelli ta 'qabel il-pesta sas-seklu 17. Il-pesta reġgħet ħarġet kultant fl-Ewropa sas-seklu 19.")</f>
        <v>Il-Mewt l-Iswed huwa maħsub li oriġina fil-pjanuri aridi ta 'l-Asja Ċentrali, fejn imbagħad ivvjaġġa fit-triq tal-ħarir, u laħaq il-Krimea sal-1343. Minn hemm, x'aktarx kien jinġarr minn briegħed tal-far orjentali li jgħixu fuq il-firien suwed li kienu regolari passiġġieri fuq vapuri merkantili. It-tixrid madwar il-Mediterran u l-Ewropa, il-mewt sewda hija stmata li qatlet 30-60% tal-popolazzjoni totali tal-Ewropa. B'kollox, il-pesta naqqset il-popolazzjoni dinjija minn madwar 450 miljun għal 350-375 miljun fis-seklu 14. Il-popolazzjoni dinjija kollha kemm hi ma rkupratx għal-livelli ta 'qabel il-pesta sas-seklu 17. Il-pesta reġgħet ħarġet kultant fl-Ewropa sas-seklu 19.</v>
      </c>
    </row>
    <row r="15374" ht="15.75" customHeight="1">
      <c r="A15374" s="2" t="s">
        <v>15374</v>
      </c>
      <c r="B15374" s="2" t="str">
        <f>IFERROR(__xludf.DUMMYFUNCTION("GOOGLETRANSLATE(A15374, ""en"", ""mt"")"),"X'tip ta 'sistemi immuni jinstabu fil-pjanti u l-annimali kollha?")</f>
        <v>X'tip ta 'sistemi immuni jinstabu fil-pjanti u l-annimali kollha?</v>
      </c>
    </row>
    <row r="15375" ht="15.75" customHeight="1">
      <c r="A15375" s="2" t="s">
        <v>15375</v>
      </c>
      <c r="B15375" s="2" t="str">
        <f>IFERROR(__xludf.DUMMYFUNCTION("GOOGLETRANSLATE(A15375, ""en"", ""mt"")"),"ħamiem")</f>
        <v>ħamiem</v>
      </c>
    </row>
    <row r="15376" ht="15.75" customHeight="1">
      <c r="A15376" s="2" t="s">
        <v>15376</v>
      </c>
      <c r="B15376" s="2" t="str">
        <f>IFERROR(__xludf.DUMMYFUNCTION("GOOGLETRANSLATE(A15376, ""en"", ""mt"")"),"Ajruport Internazzjonali ta ’Los Angeles")</f>
        <v>Ajruport Internazzjonali ta ’Los Angeles</v>
      </c>
    </row>
    <row r="15377" ht="15.75" customHeight="1">
      <c r="A15377" s="2" t="s">
        <v>15377</v>
      </c>
      <c r="B15377" s="2" t="str">
        <f>IFERROR(__xludf.DUMMYFUNCTION("GOOGLETRANSLATE(A15377, ""en"", ""mt"")"),"X'ingħata lill-iskejjel għolja fejn l-ex studenti marru jilagħbu jew kowċ f'super bowl?")</f>
        <v>X'ingħata lill-iskejjel għolja fejn l-ex studenti marru jilagħbu jew kowċ f'super bowl?</v>
      </c>
    </row>
    <row r="15378" ht="15.75" customHeight="1">
      <c r="A15378" s="2" t="s">
        <v>15378</v>
      </c>
      <c r="B15378" s="2" t="str">
        <f>IFERROR(__xludf.DUMMYFUNCTION("GOOGLETRANSLATE(A15378, ""en"", ""mt"")"),"Diviżjoni u Amministrazzjoni")</f>
        <v>Diviżjoni u Amministrazzjoni</v>
      </c>
    </row>
    <row r="15379" ht="15.75" customHeight="1">
      <c r="A15379" s="2" t="s">
        <v>15379</v>
      </c>
      <c r="B15379" s="2" t="str">
        <f>IFERROR(__xludf.DUMMYFUNCTION("GOOGLETRANSLATE(A15379, ""en"", ""mt"")"),"Liema karatteristika se tarrikkixxi l-ambjent favur il-pedestrian wara r-restawr?")</f>
        <v>Liema karatteristika se tarrikkixxi l-ambjent favur il-pedestrian wara r-restawr?</v>
      </c>
    </row>
    <row r="15380" ht="15.75" customHeight="1">
      <c r="A15380" s="2" t="s">
        <v>15380</v>
      </c>
      <c r="B15380" s="2" t="str">
        <f>IFERROR(__xludf.DUMMYFUNCTION("GOOGLETRANSLATE(A15380, ""en"", ""mt"")"),"Fejn jista 'jinstab ramel Eoljan b'numru ta' duni?")</f>
        <v>Fejn jista 'jinstab ramel Eoljan b'numru ta' duni?</v>
      </c>
    </row>
    <row r="15381" ht="15.75" customHeight="1">
      <c r="A15381" s="2" t="s">
        <v>15381</v>
      </c>
      <c r="B15381" s="2" t="str">
        <f>IFERROR(__xludf.DUMMYFUNCTION("GOOGLETRANSLATE(A15381, ""en"", ""mt"")"),"Direttiva tal-Kunsill tax-Xogħlijiet")</f>
        <v>Direttiva tal-Kunsill tax-Xogħlijiet</v>
      </c>
    </row>
    <row r="15382" ht="15.75" customHeight="1">
      <c r="A15382" s="2" t="s">
        <v>15382</v>
      </c>
      <c r="B15382" s="2" t="str">
        <f>IFERROR(__xludf.DUMMYFUNCTION("GOOGLETRANSLATE(A15382, ""en"", ""mt"")"),"rotot tal-baħar u tal-kummerċ")</f>
        <v>rotot tal-baħar u tal-kummerċ</v>
      </c>
    </row>
    <row r="15383" ht="15.75" customHeight="1">
      <c r="A15383" s="2" t="s">
        <v>15383</v>
      </c>
      <c r="B15383" s="2" t="str">
        <f>IFERROR(__xludf.DUMMYFUNCTION("GOOGLETRANSLATE(A15383, ""en"", ""mt"")"),"Grazzi t-tjubija Huwa umoristiku")</f>
        <v>Grazzi t-tjubija Huwa umoristiku</v>
      </c>
    </row>
    <row r="15384" ht="15.75" customHeight="1">
      <c r="A15384" s="2" t="s">
        <v>15384</v>
      </c>
      <c r="B15384" s="2" t="str">
        <f>IFERROR(__xludf.DUMMYFUNCTION("GOOGLETRANSLATE(A15384, ""en"", ""mt"")"),"Il-lott kuntrattat ta '15 -il Saturn Vs kienu biżżejjed għall-missjonijiet tal-inżul Lunar permezz ta 'Apollo 20. In-NASA rreklamat lista preliminari ta' tmien siti ta 'ħatt l-oħra ppjanati, bi pjanijiet biex tiżdied il-massa tas-CSM u l-LM għall-aħħar ħa"&amp;"mes missjonijiet, flimkien mal-piż Kapaċità tas-Saturnu V. Dawn il-missjonijiet finali jgħaqqdu t-tipi I u J fil-lista tal-1967, li tippermetti lis-CMP tħaddem pakkett ta 'sensuri orbitali lunari u kameras waqt li l-kumpanji tiegħu kienu fuq il-wiċċ, u ji"&amp;"ppermettulhom jibqgħu fuq il-qamar għal aktar minn tlett ijiem. Dawn il-missjonijiet iġorru wkoll il-Vettura Lunar Roving (LRV) iżżid iż-żona ta 'esplorazzjoni u tippermetti t-tneħħija televiżiva tal-LM. Ukoll, l-ispazjar tal-Blokk II ġie rivedut għall-mi"&amp;"ssjonijiet estiżi biex jippermettu flessibilità u viżibilità akbar għas-sewqan tal-LRV.")</f>
        <v>Il-lott kuntrattat ta '15 -il Saturn Vs kienu biżżejjed għall-missjonijiet tal-inżul Lunar permezz ta 'Apollo 20. In-NASA rreklamat lista preliminari ta' tmien siti ta 'ħatt l-oħra ppjanati, bi pjanijiet biex tiżdied il-massa tas-CSM u l-LM għall-aħħar ħames missjonijiet, flimkien mal-piż Kapaċità tas-Saturnu V. Dawn il-missjonijiet finali jgħaqqdu t-tipi I u J fil-lista tal-1967, li tippermetti lis-CMP tħaddem pakkett ta 'sensuri orbitali lunari u kameras waqt li l-kumpanji tiegħu kienu fuq il-wiċċ, u jippermettulhom jibqgħu fuq il-qamar għal aktar minn tlett ijiem. Dawn il-missjonijiet iġorru wkoll il-Vettura Lunar Roving (LRV) iżżid iż-żona ta 'esplorazzjoni u tippermetti t-tneħħija televiżiva tal-LM. Ukoll, l-ispazjar tal-Blokk II ġie rivedut għall-missjonijiet estiżi biex jippermettu flessibilità u viżibilità akbar għas-sewqan tal-LRV.</v>
      </c>
    </row>
    <row r="15385" ht="15.75" customHeight="1">
      <c r="A15385" s="2" t="s">
        <v>15385</v>
      </c>
      <c r="B15385" s="2" t="str">
        <f>IFERROR(__xludf.DUMMYFUNCTION("GOOGLETRANSLATE(A15385, ""en"", ""mt"")"),"1 jew 0")</f>
        <v>1 jew 0</v>
      </c>
    </row>
    <row r="15386" ht="15.75" customHeight="1">
      <c r="A15386" s="2" t="s">
        <v>15386</v>
      </c>
      <c r="B15386" s="2" t="str">
        <f>IFERROR(__xludf.DUMMYFUNCTION("GOOGLETRANSLATE(A15386, ""en"", ""mt"")"),"fidda")</f>
        <v>fidda</v>
      </c>
    </row>
    <row r="15387" ht="15.75" customHeight="1">
      <c r="A15387" s="2" t="s">
        <v>15387</v>
      </c>
      <c r="B15387" s="2" t="str">
        <f>IFERROR(__xludf.DUMMYFUNCTION("GOOGLETRANSLATE(A15387, ""en"", ""mt"")"),"ikkonfermat u emendat")</f>
        <v>ikkonfermat u emendat</v>
      </c>
    </row>
    <row r="15388" ht="15.75" customHeight="1">
      <c r="A15388" s="2" t="s">
        <v>15388</v>
      </c>
      <c r="B15388" s="2" t="str">
        <f>IFERROR(__xludf.DUMMYFUNCTION("GOOGLETRANSLATE(A15388, ""en"", ""mt"")"),"Ostakli fluwidi-moħħ")</f>
        <v>Ostakli fluwidi-moħħ</v>
      </c>
    </row>
    <row r="15389" ht="15.75" customHeight="1">
      <c r="A15389" s="2" t="s">
        <v>15389</v>
      </c>
      <c r="B15389" s="2" t="str">
        <f>IFERROR(__xludf.DUMMYFUNCTION("GOOGLETRANSLATE(A15389, ""en"", ""mt"")"),"Nitroġenu")</f>
        <v>Nitroġenu</v>
      </c>
    </row>
    <row r="15390" ht="15.75" customHeight="1">
      <c r="A15390" s="2" t="s">
        <v>15390</v>
      </c>
      <c r="B15390" s="2" t="str">
        <f>IFERROR(__xludf.DUMMYFUNCTION("GOOGLETRANSLATE(A15390, ""en"", ""mt"")"),"Bil-massa, l-ossiġnu huwa t-tielet l-iktar element abbundanti fl-univers, wara l-idroġenu u l-elju")</f>
        <v>Bil-massa, l-ossiġnu huwa t-tielet l-iktar element abbundanti fl-univers, wara l-idroġenu u l-elju</v>
      </c>
    </row>
    <row r="15391" ht="15.75" customHeight="1">
      <c r="A15391" s="2" t="s">
        <v>15391</v>
      </c>
      <c r="B15391" s="2" t="str">
        <f>IFERROR(__xludf.DUMMYFUNCTION("GOOGLETRANSLATE(A15391, ""en"", ""mt"")"),"Effetti tal-proċess tal-impatt")</f>
        <v>Effetti tal-proċess tal-impatt</v>
      </c>
    </row>
    <row r="15392" ht="15.75" customHeight="1">
      <c r="A15392" s="2" t="s">
        <v>15392</v>
      </c>
      <c r="B15392" s="2" t="str">
        <f>IFERROR(__xludf.DUMMYFUNCTION("GOOGLETRANSLATE(A15392, ""en"", ""mt"")"),"Għandhom jitħabbru pubblikament")</f>
        <v>Għandhom jitħabbru pubblikament</v>
      </c>
    </row>
    <row r="15393" ht="15.75" customHeight="1">
      <c r="A15393" s="2" t="s">
        <v>15393</v>
      </c>
      <c r="B15393" s="2" t="str">
        <f>IFERROR(__xludf.DUMMYFUNCTION("GOOGLETRANSLATE(A15393, ""en"", ""mt"")"),"1500 ° C.")</f>
        <v>1500 ° C.</v>
      </c>
    </row>
    <row r="15394" ht="15.75" customHeight="1">
      <c r="A15394" s="2" t="s">
        <v>15394</v>
      </c>
      <c r="B15394" s="2" t="str">
        <f>IFERROR(__xludf.DUMMYFUNCTION("GOOGLETRANSLATE(A15394, ""en"", ""mt"")"),"Kosher biċċier")</f>
        <v>Kosher biċċier</v>
      </c>
    </row>
    <row r="15395" ht="15.75" customHeight="1">
      <c r="A15395" s="2" t="s">
        <v>15395</v>
      </c>
      <c r="B15395" s="2" t="str">
        <f>IFERROR(__xludf.DUMMYFUNCTION("GOOGLETRANSLATE(A15395, ""en"", ""mt"")"),"Asintotiku")</f>
        <v>Asintotiku</v>
      </c>
    </row>
    <row r="15396" ht="15.75" customHeight="1">
      <c r="A15396" s="2" t="s">
        <v>15396</v>
      </c>
      <c r="B15396" s="2" t="str">
        <f>IFERROR(__xludf.DUMMYFUNCTION("GOOGLETRANSLATE(A15396, ""en"", ""mt"")"),"X'temüjin wiegħed lis-segwaċi tiegħu bi skambju għall-ubbidjenza tagħhom?")</f>
        <v>X'temüjin wiegħed lis-segwaċi tiegħu bi skambju għall-ubbidjenza tagħhom?</v>
      </c>
    </row>
    <row r="15397" ht="15.75" customHeight="1">
      <c r="A15397" s="2" t="s">
        <v>15397</v>
      </c>
      <c r="B15397" s="2" t="str">
        <f>IFERROR(__xludf.DUMMYFUNCTION("GOOGLETRANSLATE(A15397, ""en"", ""mt"")"),"Liema serje dehru fuq l-ewwel Doctor Who Soundtrack?")</f>
        <v>Liema serje dehru fuq l-ewwel Doctor Who Soundtrack?</v>
      </c>
    </row>
    <row r="15398" ht="15.75" customHeight="1">
      <c r="A15398" s="2" t="s">
        <v>15398</v>
      </c>
      <c r="B15398" s="2" t="str">
        <f>IFERROR(__xludf.DUMMYFUNCTION("GOOGLETRANSLATE(A15398, ""en"", ""mt"")"),"~ 8,000 sena ilu")</f>
        <v>~ 8,000 sena ilu</v>
      </c>
    </row>
    <row r="15399" ht="15.75" customHeight="1">
      <c r="A15399" s="2" t="s">
        <v>15399</v>
      </c>
      <c r="B15399" s="2" t="str">
        <f>IFERROR(__xludf.DUMMYFUNCTION("GOOGLETRANSLATE(A15399, ""en"", ""mt"")"),"Meta ġew imħabbra ż-żewġ finalisti għall-akkoljenza Super Bowl 50?")</f>
        <v>Meta ġew imħabbra ż-żewġ finalisti għall-akkoljenza Super Bowl 50?</v>
      </c>
    </row>
    <row r="15400" ht="15.75" customHeight="1">
      <c r="A15400" s="2" t="s">
        <v>15400</v>
      </c>
      <c r="B15400" s="2" t="str">
        <f>IFERROR(__xludf.DUMMYFUNCTION("GOOGLETRANSLATE(A15400, ""en"", ""mt"")"),"Projbit")</f>
        <v>Projbit</v>
      </c>
    </row>
    <row r="15401" ht="15.75" customHeight="1">
      <c r="A15401" s="2" t="s">
        <v>15401</v>
      </c>
      <c r="B15401" s="2" t="str">
        <f>IFERROR(__xludf.DUMMYFUNCTION("GOOGLETRANSLATE(A15401, ""en"", ""mt"")"),"Fl-1542, Luther qara traduzzjoni bil-Latin tal-Koran. Huwa kompla jipproduċi diversi fuljetti kritiċi fuq l-Iżlam, li huwa sejjaħ ""Mohammedanism"" jew ""it-Turk"". Għalkemm Luther ra l-fidi Musulmana bħala għodda tax-xitan, huwa kien indifferenti għall-p"&amp;"rattika tiegħu: ""Ħalli t-Turk jemmen u jgħix kif sejjer, hekk kif wieħed iħalli l-papat u l-insara foloz oħra jgħixu."" Huwa oppona li tipprojbixxi l-pubblikazzjoni tal-Koran, li riedha tkun esposta għall-iskrutinju.")</f>
        <v>Fl-1542, Luther qara traduzzjoni bil-Latin tal-Koran. Huwa kompla jipproduċi diversi fuljetti kritiċi fuq l-Iżlam, li huwa sejjaħ "Mohammedanism" jew "it-Turk". Għalkemm Luther ra l-fidi Musulmana bħala għodda tax-xitan, huwa kien indifferenti għall-prattika tiegħu: "Ħalli t-Turk jemmen u jgħix kif sejjer, hekk kif wieħed iħalli l-papat u l-insara foloz oħra jgħixu." Huwa oppona li tipprojbixxi l-pubblikazzjoni tal-Koran, li riedha tkun esposta għall-iskrutinju.</v>
      </c>
    </row>
    <row r="15402" ht="15.75" customHeight="1">
      <c r="A15402" s="2" t="s">
        <v>15402</v>
      </c>
      <c r="B15402" s="2" t="str">
        <f>IFERROR(__xludf.DUMMYFUNCTION("GOOGLETRANSLATE(A15402, ""en"", ""mt"")"),"X'jista 'jiġi attribwit għall-aċċellerazzjoni tal-gravità madwar id-dinja?")</f>
        <v>X'jista 'jiġi attribwit għall-aċċellerazzjoni tal-gravità madwar id-dinja?</v>
      </c>
    </row>
    <row r="15403" ht="15.75" customHeight="1">
      <c r="A15403" s="2" t="s">
        <v>15403</v>
      </c>
      <c r="B15403" s="2" t="str">
        <f>IFERROR(__xludf.DUMMYFUNCTION("GOOGLETRANSLATE(A15403, ""en"", ""mt"")"),"Ħbieb tiegħu ħasbu li kien għerqu fix-xmara Mur.")</f>
        <v>Ħbieb tiegħu ħasbu li kien għerqu fix-xmara Mur.</v>
      </c>
    </row>
    <row r="15404" ht="15.75" customHeight="1">
      <c r="A15404" s="2" t="s">
        <v>15404</v>
      </c>
      <c r="B15404" s="2" t="str">
        <f>IFERROR(__xludf.DUMMYFUNCTION("GOOGLETRANSLATE(A15404, ""en"", ""mt"")"),"Lulju 1969")</f>
        <v>Lulju 1969</v>
      </c>
    </row>
    <row r="15405" ht="15.75" customHeight="1">
      <c r="A15405" s="2" t="s">
        <v>15405</v>
      </c>
      <c r="B15405" s="2" t="str">
        <f>IFERROR(__xludf.DUMMYFUNCTION("GOOGLETRANSLATE(A15405, ""en"", ""mt"")"),"Mill-1550 sal-1900")</f>
        <v>Mill-1550 sal-1900</v>
      </c>
    </row>
    <row r="15406" ht="15.75" customHeight="1">
      <c r="A15406" s="2" t="s">
        <v>15406</v>
      </c>
      <c r="B15406" s="2" t="str">
        <f>IFERROR(__xludf.DUMMYFUNCTION("GOOGLETRANSLATE(A15406, ""en"", ""mt"")"),"X'inhuma l-komponenti tat-terapija bil-mediċina?")</f>
        <v>X'inhuma l-komponenti tat-terapija bil-mediċina?</v>
      </c>
    </row>
    <row r="15407" ht="15.75" customHeight="1">
      <c r="A15407" s="2" t="s">
        <v>15407</v>
      </c>
      <c r="B15407" s="2" t="str">
        <f>IFERROR(__xludf.DUMMYFUNCTION("GOOGLETRANSLATE(A15407, ""en"", ""mt"")"),"L-imperjalizmu informali għadu dominanti; Madankollu, inqas xiex?")</f>
        <v>L-imperjalizmu informali għadu dominanti; Madankollu, inqas xiex?</v>
      </c>
    </row>
    <row r="15408" ht="15.75" customHeight="1">
      <c r="A15408" s="2" t="s">
        <v>15408</v>
      </c>
      <c r="B15408" s="2" t="str">
        <f>IFERROR(__xludf.DUMMYFUNCTION("GOOGLETRANSLATE(A15408, ""en"", ""mt"")"),"Fejn jinstabu l-pirenojdi?")</f>
        <v>Fejn jinstabu l-pirenojdi?</v>
      </c>
    </row>
    <row r="15409" ht="15.75" customHeight="1">
      <c r="A15409" s="2" t="s">
        <v>15409</v>
      </c>
      <c r="B15409" s="2" t="str">
        <f>IFERROR(__xludf.DUMMYFUNCTION("GOOGLETRANSLATE(A15409, ""en"", ""mt"")"),"Liġijiet inġusti")</f>
        <v>Liġijiet inġusti</v>
      </c>
    </row>
    <row r="15410" ht="15.75" customHeight="1">
      <c r="A15410" s="2" t="s">
        <v>15410</v>
      </c>
      <c r="B15410" s="2" t="str">
        <f>IFERROR(__xludf.DUMMYFUNCTION("GOOGLETRANSLATE(A15410, ""en"", ""mt"")"),"Ċentru SAP")</f>
        <v>Ċentru SAP</v>
      </c>
    </row>
    <row r="15411" ht="15.75" customHeight="1">
      <c r="A15411" s="2" t="s">
        <v>15411</v>
      </c>
      <c r="B15411" s="2" t="str">
        <f>IFERROR(__xludf.DUMMYFUNCTION("GOOGLETRANSLATE(A15411, ""en"", ""mt"")"),"L-ilma fuq in-naħa tal-Lvant ħareġ lejn l-Atlantiku,")</f>
        <v>L-ilma fuq in-naħa tal-Lvant ħareġ lejn l-Atlantiku,</v>
      </c>
    </row>
    <row r="15412" ht="15.75" customHeight="1">
      <c r="A15412" s="2" t="s">
        <v>15412</v>
      </c>
      <c r="B15412" s="2" t="str">
        <f>IFERROR(__xludf.DUMMYFUNCTION("GOOGLETRANSLATE(A15412, ""en"", ""mt"")"),"Għax-xandira Kanadiża, Christopher Eccleston irreġistra introduzzjonijiet speċjali tal-vidjow għal kull episodju (inkluża mistoqsija trivia bħala parti minn konkors tat-telespettatur) u siltiet mid-dokumentarju Kunfidenzjali tad-Doctor Who ntlagħbu fuq il"&amp;"-krediti tal-għeluq; Għax-xandir ta '""The Christmas Invasion"" fis-26 ta' Diċembru 2005, Billie Piper irreġistra introduzzjoni ta 'vidjow speċjali. CBC beda jxandar is-serje tnejn fid-9 ta ’Ottubru 2006 fl-20: 00 E / P (20:30 fi Newfoundland u Labrador),"&amp;" ftit wara l-ewwel daqqa ta’ ras ta ’CFL fuq ir-Radd il-ġurnata fil-biċċa l-kbira tal-pajjiż. [Ċitazzjoni meħtieġa]")</f>
        <v>Għax-xandira Kanadiża, Christopher Eccleston irreġistra introduzzjonijiet speċjali tal-vidjow għal kull episodju (inkluża mistoqsija trivia bħala parti minn konkors tat-telespettatur) u siltiet mid-dokumentarju Kunfidenzjali tad-Doctor Who ntlagħbu fuq il-krediti tal-għeluq; Għax-xandir ta '"The Christmas Invasion" fis-26 ta' Diċembru 2005, Billie Piper irreġistra introduzzjoni ta 'vidjow speċjali. CBC beda jxandar is-serje tnejn fid-9 ta ’Ottubru 2006 fl-20: 00 E / P (20:30 fi Newfoundland u Labrador), ftit wara l-ewwel daqqa ta’ ras ta ’CFL fuq ir-Radd il-ġurnata fil-biċċa l-kbira tal-pajjiż. [Ċitazzjoni meħtieġa]</v>
      </c>
    </row>
    <row r="15413" ht="15.75" customHeight="1">
      <c r="A15413" s="2" t="s">
        <v>15413</v>
      </c>
      <c r="B15413" s="2" t="str">
        <f>IFERROR(__xludf.DUMMYFUNCTION("GOOGLETRANSLATE(A15413, ""en"", ""mt"")"),"Akkademji ta 'Segregazzjoni")</f>
        <v>Akkademji ta 'Segregazzjoni</v>
      </c>
    </row>
    <row r="15414" ht="15.75" customHeight="1">
      <c r="A15414" s="2" t="s">
        <v>15414</v>
      </c>
      <c r="B15414" s="2" t="str">
        <f>IFERROR(__xludf.DUMMYFUNCTION("GOOGLETRANSLATE(A15414, ""en"", ""mt"")"),"Liema ċiklu jibda ma 'Rubisco?")</f>
        <v>Liema ċiklu jibda ma 'Rubisco?</v>
      </c>
    </row>
    <row r="15415" ht="15.75" customHeight="1">
      <c r="A15415" s="2" t="s">
        <v>15415</v>
      </c>
      <c r="B15415" s="2" t="str">
        <f>IFERROR(__xludf.DUMMYFUNCTION("GOOGLETRANSLATE(A15415, ""en"", ""mt"")"),"mistoqsijiet u tweġibiet fil-katekiżmu sabiex il-punti bażiċi tal-fidi Nisranija")</f>
        <v>mistoqsijiet u tweġibiet fil-katekiżmu sabiex il-punti bażiċi tal-fidi Nisranija</v>
      </c>
    </row>
    <row r="15416" ht="15.75" customHeight="1">
      <c r="A15416" s="2" t="s">
        <v>15416</v>
      </c>
      <c r="B15416" s="2" t="str">
        <f>IFERROR(__xludf.DUMMYFUNCTION("GOOGLETRANSLATE(A15416, ""en"", ""mt"")"),"Il-petroloġisti jidentifikaw kampjuni tal-blat fil-qasam u fejn inkella?")</f>
        <v>Il-petroloġisti jidentifikaw kampjuni tal-blat fil-qasam u fejn inkella?</v>
      </c>
    </row>
    <row r="15417" ht="15.75" customHeight="1">
      <c r="A15417" s="2" t="s">
        <v>15417</v>
      </c>
      <c r="B15417" s="2" t="str">
        <f>IFERROR(__xludf.DUMMYFUNCTION("GOOGLETRANSLATE(A15417, ""en"", ""mt"")"),"Ċivili, Militari, u Ċensura")</f>
        <v>Ċivili, Militari, u Ċensura</v>
      </c>
    </row>
    <row r="15418" ht="15.75" customHeight="1">
      <c r="A15418" s="2" t="s">
        <v>15418</v>
      </c>
      <c r="B15418" s="2" t="str">
        <f>IFERROR(__xludf.DUMMYFUNCTION("GOOGLETRANSLATE(A15418, ""en"", ""mt"")"),"Fejn imxew l-ITV Tyne Tees fl-2005?")</f>
        <v>Fejn imxew l-ITV Tyne Tees fl-2005?</v>
      </c>
    </row>
    <row r="15419" ht="15.75" customHeight="1">
      <c r="A15419" s="2" t="s">
        <v>15419</v>
      </c>
      <c r="B15419" s="2" t="str">
        <f>IFERROR(__xludf.DUMMYFUNCTION("GOOGLETRANSLATE(A15419, ""en"", ""mt"")"),"Liema ċertifikat ta 'spiss jinkiseb wara li jiggradwa l-iskola sekondarja?")</f>
        <v>Liema ċertifikat ta 'spiss jinkiseb wara li jiggradwa l-iskola sekondarja?</v>
      </c>
    </row>
    <row r="15420" ht="15.75" customHeight="1">
      <c r="A15420" s="2" t="s">
        <v>15420</v>
      </c>
      <c r="B15420" s="2" t="str">
        <f>IFERROR(__xludf.DUMMYFUNCTION("GOOGLETRANSLATE(A15420, ""en"", ""mt"")"),"Fl-20 ta 'April, Kennedy bagħat nota lill-Viċi President Lyndon B. Johnson, u talab lil Johnson biex jeżamina l-istatus tal-programm spazjali tal-Amerika, u fi programmi li jistgħu joffru n-NASA l-opportunità li tlaħħaq. Johnson wieġeb madwar ġimgħa wara,"&amp;" u kkonkluda li ""la qed nagħmlu sforz massimu u lanqas niksbu riżultati meħtieġa jekk dan il-pajjiż għandu jilħaq pożizzjoni ta 'tmexxija."" Il-memorandum tiegħu kkonkluda li l-inżul tal-qamar mgħammar kien 'il bogħod biżżejjed fil-futur li x'aktarx kien"&amp;" l-Istati Uniti l-ewwel.")</f>
        <v>Fl-20 ta 'April, Kennedy bagħat nota lill-Viċi President Lyndon B. Johnson, u talab lil Johnson biex jeżamina l-istatus tal-programm spazjali tal-Amerika, u fi programmi li jistgħu joffru n-NASA l-opportunità li tlaħħaq. Johnson wieġeb madwar ġimgħa wara, u kkonkluda li "la qed nagħmlu sforz massimu u lanqas niksbu riżultati meħtieġa jekk dan il-pajjiż għandu jilħaq pożizzjoni ta 'tmexxija." Il-memorandum tiegħu kkonkluda li l-inżul tal-qamar mgħammar kien 'il bogħod biżżejjed fil-futur li x'aktarx kien l-Istati Uniti l-ewwel.</v>
      </c>
    </row>
    <row r="15421" ht="15.75" customHeight="1">
      <c r="A15421" s="2" t="s">
        <v>15421</v>
      </c>
      <c r="B15421" s="2" t="str">
        <f>IFERROR(__xludf.DUMMYFUNCTION("GOOGLETRANSLATE(A15421, ""en"", ""mt"")"),"Tliet tipi ta 'moviment")</f>
        <v>Tliet tipi ta 'moviment</v>
      </c>
    </row>
    <row r="15422" ht="15.75" customHeight="1">
      <c r="A15422" s="2" t="s">
        <v>15422</v>
      </c>
      <c r="B15422" s="2" t="str">
        <f>IFERROR(__xludf.DUMMYFUNCTION("GOOGLETRANSLATE(A15422, ""en"", ""mt"")"),"HIV / AIDS")</f>
        <v>HIV / AIDS</v>
      </c>
    </row>
    <row r="15423" ht="15.75" customHeight="1">
      <c r="A15423" s="2" t="s">
        <v>15423</v>
      </c>
      <c r="B15423" s="2" t="str">
        <f>IFERROR(__xludf.DUMMYFUNCTION("GOOGLETRANSLATE(A15423, ""en"", ""mt"")"),"bejn wieħed u ieħor ħamsin fil-mija")</f>
        <v>bejn wieħed u ieħor ħamsin fil-mija</v>
      </c>
    </row>
    <row r="15424" ht="15.75" customHeight="1">
      <c r="A15424" s="2" t="s">
        <v>15424</v>
      </c>
      <c r="B15424" s="2" t="str">
        <f>IFERROR(__xludf.DUMMYFUNCTION("GOOGLETRANSLATE(A15424, ""en"", ""mt"")"),"Liema teoremi huma responsabbli biex jiddeterminaw mistoqsijiet dwar ir-rekwiżiti tal-ħin u l-ispazju?")</f>
        <v>Liema teoremi huma responsabbli biex jiddeterminaw mistoqsijiet dwar ir-rekwiżiti tal-ħin u l-ispazju?</v>
      </c>
    </row>
    <row r="15425" ht="15.75" customHeight="1">
      <c r="A15425" s="2" t="s">
        <v>15425</v>
      </c>
      <c r="B15425" s="2" t="str">
        <f>IFERROR(__xludf.DUMMYFUNCTION("GOOGLETRANSLATE(A15425, ""en"", ""mt"")"),"Ottubru 1512,")</f>
        <v>Ottubru 1512,</v>
      </c>
    </row>
    <row r="15426" ht="15.75" customHeight="1">
      <c r="A15426" s="2" t="s">
        <v>15426</v>
      </c>
      <c r="B15426" s="2" t="str">
        <f>IFERROR(__xludf.DUMMYFUNCTION("GOOGLETRANSLATE(A15426, ""en"", ""mt"")"),"X’kien dejjem aktar interdipendenti mal-Iżlamiżmu ma ’wara r-Rebbiegħa Għarbija?")</f>
        <v>X’kien dejjem aktar interdipendenti mal-Iżlamiżmu ma ’wara r-Rebbiegħa Għarbija?</v>
      </c>
    </row>
    <row r="15427" ht="15.75" customHeight="1">
      <c r="A15427" s="2" t="s">
        <v>15427</v>
      </c>
      <c r="B15427" s="2" t="str">
        <f>IFERROR(__xludf.DUMMYFUNCTION("GOOGLETRANSLATE(A15427, ""en"", ""mt"")"),"Il-wirt ta ’Tesla ġarrab fil-kotba, films, radju, TV, mużika, teatru live, komiks u logħob tal-kompjuter. L-impatt tat-teknoloġiji ivvintati jew maħsuba minn Tesla hija tema rikurrenti f'diversi tipi ta 'fantaxjenza.")</f>
        <v>Il-wirt ta ’Tesla ġarrab fil-kotba, films, radju, TV, mużika, teatru live, komiks u logħob tal-kompjuter. L-impatt tat-teknoloġiji ivvintati jew maħsuba minn Tesla hija tema rikurrenti f'diversi tipi ta 'fantaxjenza.</v>
      </c>
    </row>
    <row r="15428" ht="15.75" customHeight="1">
      <c r="A15428" s="2" t="s">
        <v>15428</v>
      </c>
      <c r="B15428" s="2" t="str">
        <f>IFERROR(__xludf.DUMMYFUNCTION("GOOGLETRANSLATE(A15428, ""en"", ""mt"")"),"It-Tieni Gwerra Dinjija.")</f>
        <v>It-Tieni Gwerra Dinjija.</v>
      </c>
    </row>
    <row r="15429" ht="15.75" customHeight="1">
      <c r="A15429" s="2" t="s">
        <v>15429</v>
      </c>
      <c r="B15429" s="2" t="str">
        <f>IFERROR(__xludf.DUMMYFUNCTION("GOOGLETRANSLATE(A15429, ""en"", ""mt"")"),"Movimenti ta 'reżistenza mhux vjolenti")</f>
        <v>Movimenti ta 'reżistenza mhux vjolenti</v>
      </c>
    </row>
    <row r="15430" ht="15.75" customHeight="1">
      <c r="A15430" s="2" t="s">
        <v>15430</v>
      </c>
      <c r="B15430" s="2" t="str">
        <f>IFERROR(__xludf.DUMMYFUNCTION("GOOGLETRANSLATE(A15430, ""en"", ""mt"")"),"X'inhu t-terminu tal-uffiċċju għal kull membru tad-dar?")</f>
        <v>X'inhu t-terminu tal-uffiċċju għal kull membru tad-dar?</v>
      </c>
    </row>
    <row r="15431" ht="15.75" customHeight="1">
      <c r="A15431" s="2" t="s">
        <v>15431</v>
      </c>
      <c r="B15431" s="2" t="str">
        <f>IFERROR(__xludf.DUMMYFUNCTION("GOOGLETRANSLATE(A15431, ""en"", ""mt"")"),"Fl-Istati Uniti, min jiddeċiedi dwar ir-rekwiżiti għall-għalliema?")</f>
        <v>Fl-Istati Uniti, min jiddeċiedi dwar ir-rekwiżiti għall-għalliema?</v>
      </c>
    </row>
    <row r="15432" ht="15.75" customHeight="1">
      <c r="A15432" s="2" t="s">
        <v>15432</v>
      </c>
      <c r="B15432" s="2" t="str">
        <f>IFERROR(__xludf.DUMMYFUNCTION("GOOGLETRANSLATE(A15432, ""en"", ""mt"")"),"tirrifjuta li tinforza deċiżjoni")</f>
        <v>tirrifjuta li tinforza deċiżjoni</v>
      </c>
    </row>
    <row r="15433" ht="15.75" customHeight="1">
      <c r="A15433" s="2" t="s">
        <v>15433</v>
      </c>
      <c r="B15433" s="2" t="str">
        <f>IFERROR(__xludf.DUMMYFUNCTION("GOOGLETRANSLATE(A15433, ""en"", ""mt"")"),"żieda fil-fluss tad-demm fit-tessut")</f>
        <v>żieda fil-fluss tad-demm fit-tessut</v>
      </c>
    </row>
    <row r="15434" ht="15.75" customHeight="1">
      <c r="A15434" s="2" t="s">
        <v>15434</v>
      </c>
      <c r="B15434" s="2" t="str">
        <f>IFERROR(__xludf.DUMMYFUNCTION("GOOGLETRANSLATE(A15434, ""en"", ""mt"")"),"Liema Stat Membru ma aċċettax li jiffirma l-Karta Soċjali?")</f>
        <v>Liema Stat Membru ma aċċettax li jiffirma l-Karta Soċjali?</v>
      </c>
    </row>
    <row r="15435" ht="15.75" customHeight="1">
      <c r="A15435" s="2" t="s">
        <v>15435</v>
      </c>
      <c r="B15435" s="2" t="str">
        <f>IFERROR(__xludf.DUMMYFUNCTION("GOOGLETRANSLATE(A15435, ""en"", ""mt"")"),"Diffie - Hellman")</f>
        <v>Diffie - Hellman</v>
      </c>
    </row>
    <row r="15436" ht="15.75" customHeight="1">
      <c r="A15436" s="2" t="s">
        <v>15436</v>
      </c>
      <c r="B15436" s="2" t="str">
        <f>IFERROR(__xludf.DUMMYFUNCTION("GOOGLETRANSLATE(A15436, ""en"", ""mt"")"),"illeġittimu")</f>
        <v>illeġittimu</v>
      </c>
    </row>
    <row r="15437" ht="15.75" customHeight="1">
      <c r="A15437" s="2" t="s">
        <v>15437</v>
      </c>
      <c r="B15437" s="2" t="str">
        <f>IFERROR(__xludf.DUMMYFUNCTION("GOOGLETRANSLATE(A15437, ""en"", ""mt"")"),"Wara l-2007 kemm student minn familji jaqla 'inqas minn $ 60,000 iħallsu għall-iskola?")</f>
        <v>Wara l-2007 kemm student minn familji jaqla 'inqas minn $ 60,000 iħallsu għall-iskola?</v>
      </c>
    </row>
    <row r="15438" ht="15.75" customHeight="1">
      <c r="A15438" s="2" t="s">
        <v>15438</v>
      </c>
      <c r="B15438" s="2" t="str">
        <f>IFERROR(__xludf.DUMMYFUNCTION("GOOGLETRANSLATE(A15438, ""en"", ""mt"")"),"Kif huwa dokumentat il-ftuħ tas-suq Grainger fil-Laing Art Gallery?")</f>
        <v>Kif huwa dokumentat il-ftuħ tas-suq Grainger fil-Laing Art Gallery?</v>
      </c>
    </row>
    <row r="15439" ht="15.75" customHeight="1">
      <c r="A15439" s="2" t="s">
        <v>15439</v>
      </c>
      <c r="B15439" s="2" t="str">
        <f>IFERROR(__xludf.DUMMYFUNCTION("GOOGLETRANSLATE(A15439, ""en"", ""mt"")"),"Hekk kif il-majjistral tal-Ewropa bil-mod beda jsaħħan minn 22,000 sena ilu 'l quddiem, is-sottosen iffriżat u l-glaċieri alpin estiżi bdew jinħallu u l-għata tas-silġ tal-waqgħa tax-xitwa mdewweb fir-rebbiegħa. Ħafna mill-iskarikar kien immexxi lejn ir-R"&amp;"enu u l-estensjoni 'l isfel tagħha. It-tisħin rapidu u l-bidliet tal-veġetazzjoni, għall-foresta miftuħa, bdew madwar 13,000 bp. Minn 9000 bp, l-Ewropa kienet forestata għal kollox. Bil-kopertura tas-silġ li qed tonqos globalment, il-livelli tal-ilma tal-"&amp;"oċean żdiedu u l-Kanal Ingliż u l-Baħar tat-Tramuntana reġgħu ġew inundati. Meltwater, li żied mal-oċean u s-sussidju tal-art, għerqu l-kosti preċedenti tal-Ewropa transgpressionalment.")</f>
        <v>Hekk kif il-majjistral tal-Ewropa bil-mod beda jsaħħan minn 22,000 sena ilu 'l quddiem, is-sottosen iffriżat u l-glaċieri alpin estiżi bdew jinħallu u l-għata tas-silġ tal-waqgħa tax-xitwa mdewweb fir-rebbiegħa. Ħafna mill-iskarikar kien immexxi lejn ir-Renu u l-estensjoni 'l isfel tagħha. It-tisħin rapidu u l-bidliet tal-veġetazzjoni, għall-foresta miftuħa, bdew madwar 13,000 bp. Minn 9000 bp, l-Ewropa kienet forestata għal kollox. Bil-kopertura tas-silġ li qed tonqos globalment, il-livelli tal-ilma tal-oċean żdiedu u l-Kanal Ingliż u l-Baħar tat-Tramuntana reġgħu ġew inundati. Meltwater, li żied mal-oċean u s-sussidju tal-art, għerqu l-kosti preċedenti tal-Ewropa transgpressionalment.</v>
      </c>
    </row>
    <row r="15440" ht="15.75" customHeight="1">
      <c r="A15440" s="2" t="s">
        <v>15440</v>
      </c>
      <c r="B15440" s="2" t="str">
        <f>IFERROR(__xludf.DUMMYFUNCTION("GOOGLETRANSLATE(A15440, ""en"", ""mt"")"),"Rivoluzzjoni Dinjija")</f>
        <v>Rivoluzzjoni Dinjija</v>
      </c>
    </row>
    <row r="15441" ht="15.75" customHeight="1">
      <c r="A15441" s="2" t="s">
        <v>15441</v>
      </c>
      <c r="B15441" s="2" t="str">
        <f>IFERROR(__xludf.DUMMYFUNCTION("GOOGLETRANSLATE(A15441, ""en"", ""mt"")"),"il-bqija tal-ħajja ta ’Tesla.")</f>
        <v>il-bqija tal-ħajja ta ’Tesla.</v>
      </c>
    </row>
    <row r="15442" ht="15.75" customHeight="1">
      <c r="A15442" s="2" t="s">
        <v>15442</v>
      </c>
      <c r="B15442" s="2" t="str">
        <f>IFERROR(__xludf.DUMMYFUNCTION("GOOGLETRANSLATE(A15442, ""en"", ""mt"")"),"Għaliex iż-żejt skopert ġdid jinbiegħ bi prezz ogħla?")</f>
        <v>Għaliex iż-żejt skopert ġdid jinbiegħ bi prezz ogħla?</v>
      </c>
    </row>
    <row r="15443" ht="15.75" customHeight="1">
      <c r="A15443" s="2" t="s">
        <v>15443</v>
      </c>
      <c r="B15443" s="2" t="str">
        <f>IFERROR(__xludf.DUMMYFUNCTION("GOOGLETRANSLATE(A15443, ""en"", ""mt"")"),"Ingliż u Swaħili")</f>
        <v>Ingliż u Swaħili</v>
      </c>
    </row>
    <row r="15444" ht="15.75" customHeight="1">
      <c r="A15444" s="2" t="s">
        <v>15444</v>
      </c>
      <c r="B15444" s="2" t="str">
        <f>IFERROR(__xludf.DUMMYFUNCTION("GOOGLETRANSLATE(A15444, ""en"", ""mt"")"),"L-ewwel kleru Metodist ġie ordnat minn John Wesley, saċerdot tal-Knisja tal-Ingilterra, minħabba l-kriżi kkawżata mir-Rivoluzzjoni Amerikana li iżolat lill-Metodisti fl-Istati mill-Knisja tal-Ingilterra u s-sagramenti tagħha. Illum, il-kleru jinkludi rġie"&amp;"l u nisa li huma ordnati mill-isqfijiet bħala anzjani u djakni u huma maħtura għal diversi ministeri. Anzjani fil-Knisja Metodista Magħquda itenerat u huma soġġetti għall-awtorità u l-ħatra tal-isqfijiet tagħhom. Ġeneralment iservu bħala ragħajja fil-kong"&amp;"regazzjonijiet lokali. Id-djakni jinsabu fil-ministeru tas-servizz u jistgħu jservu bħala mużiċisti, liturġisti, edukaturi, amministraturi tan-negozju, u numru ta 'oqsma oħra. Anzjani u djakni huma meħtieġa li jiksbu grad ta 'master (ġeneralment M.Div.), "&amp;"Jew grad ieħor ekwivalenti, qabel ma jikkummissjonaw u mbagħad fl-aħħar mill-aħħar ordinazzjoni. L-anzjani b'konnessjoni sħiħa huma kull membru tal-ordni tal-konferenza annwali tagħhom ta 'l-anzjani. Bl-istess mod kull djaknu b'konnessjoni sħiħa huwa memb"&amp;"ru tal-Ordni tal-Konferenza Annwali tagħhom tad-Djakni.")</f>
        <v>L-ewwel kleru Metodist ġie ordnat minn John Wesley, saċerdot tal-Knisja tal-Ingilterra, minħabba l-kriżi kkawżata mir-Rivoluzzjoni Amerikana li iżolat lill-Metodisti fl-Istati mill-Knisja tal-Ingilterra u s-sagramenti tagħha. Illum, il-kleru jinkludi rġiel u nisa li huma ordnati mill-isqfijiet bħala anzjani u djakni u huma maħtura għal diversi ministeri. Anzjani fil-Knisja Metodista Magħquda itenerat u huma soġġetti għall-awtorità u l-ħatra tal-isqfijiet tagħhom. Ġeneralment iservu bħala ragħajja fil-kongregazzjonijiet lokali. Id-djakni jinsabu fil-ministeru tas-servizz u jistgħu jservu bħala mużiċisti, liturġisti, edukaturi, amministraturi tan-negozju, u numru ta 'oqsma oħra. Anzjani u djakni huma meħtieġa li jiksbu grad ta 'master (ġeneralment M.Div.), Jew grad ieħor ekwivalenti, qabel ma jikkummissjonaw u mbagħad fl-aħħar mill-aħħar ordinazzjoni. L-anzjani b'konnessjoni sħiħa huma kull membru tal-ordni tal-konferenza annwali tagħhom ta 'l-anzjani. Bl-istess mod kull djaknu b'konnessjoni sħiħa huwa membru tal-Ordni tal-Konferenza Annwali tagħhom tad-Djakni.</v>
      </c>
    </row>
    <row r="15445" ht="15.75" customHeight="1">
      <c r="A15445" s="2" t="s">
        <v>15445</v>
      </c>
      <c r="B15445" s="2" t="str">
        <f>IFERROR(__xludf.DUMMYFUNCTION("GOOGLETRANSLATE(A15445, ""en"", ""mt"")"),"Kunsinna sekwenzjata ta 'dejta lill-host")</f>
        <v>Kunsinna sekwenzjata ta 'dejta lill-host</v>
      </c>
    </row>
    <row r="15446" ht="15.75" customHeight="1">
      <c r="A15446" s="2" t="s">
        <v>15446</v>
      </c>
      <c r="B15446" s="2" t="str">
        <f>IFERROR(__xludf.DUMMYFUNCTION("GOOGLETRANSLATE(A15446, ""en"", ""mt"")"),"Teorija koerenti tal-gravità kwantistika")</f>
        <v>Teorija koerenti tal-gravità kwantistika</v>
      </c>
    </row>
    <row r="15447" ht="15.75" customHeight="1">
      <c r="A15447" s="2" t="s">
        <v>15447</v>
      </c>
      <c r="B15447" s="2" t="str">
        <f>IFERROR(__xludf.DUMMYFUNCTION("GOOGLETRANSLATE(A15447, ""en"", ""mt"")"),"Sal-1796")</f>
        <v>Sal-1796</v>
      </c>
    </row>
    <row r="15448" ht="15.75" customHeight="1">
      <c r="A15448" s="2" t="s">
        <v>15448</v>
      </c>
      <c r="B15448" s="2" t="str">
        <f>IFERROR(__xludf.DUMMYFUNCTION("GOOGLETRANSLATE(A15448, ""en"", ""mt"")"),"Ir-reġjun tal-Amazon huwa d-dar għal kemm speċi ta 'insetti?")</f>
        <v>Ir-reġjun tal-Amazon huwa d-dar għal kemm speċi ta 'insetti?</v>
      </c>
    </row>
    <row r="15449" ht="15.75" customHeight="1">
      <c r="A15449" s="2" t="s">
        <v>15449</v>
      </c>
      <c r="B15449" s="2" t="str">
        <f>IFERROR(__xludf.DUMMYFUNCTION("GOOGLETRANSLATE(A15449, ""en"", ""mt"")"),"in-naħa tal-punent")</f>
        <v>in-naħa tal-punent</v>
      </c>
    </row>
    <row r="15450" ht="15.75" customHeight="1">
      <c r="A15450" s="2" t="s">
        <v>15450</v>
      </c>
      <c r="B15450" s="2" t="str">
        <f>IFERROR(__xludf.DUMMYFUNCTION("GOOGLETRANSLATE(A15450, ""en"", ""mt"")"),"Olanda, Prussja, u l-Afrika t'Isfel")</f>
        <v>Olanda, Prussja, u l-Afrika t'Isfel</v>
      </c>
    </row>
    <row r="15451" ht="15.75" customHeight="1">
      <c r="A15451" s="2" t="s">
        <v>15451</v>
      </c>
      <c r="B15451" s="2" t="str">
        <f>IFERROR(__xludf.DUMMYFUNCTION("GOOGLETRANSLATE(A15451, ""en"", ""mt"")"),"X’kien iddiskrimina l-Artikolu 34 fil-Actureur du Roi v Dassonville?")</f>
        <v>X’kien iddiskrimina l-Artikolu 34 fil-Actureur du Roi v Dassonville?</v>
      </c>
    </row>
    <row r="15452" ht="15.75" customHeight="1">
      <c r="A15452" s="2" t="s">
        <v>15452</v>
      </c>
      <c r="B15452" s="2" t="str">
        <f>IFERROR(__xludf.DUMMYFUNCTION("GOOGLETRANSLATE(A15452, ""en"", ""mt"")"),"imqatta '")</f>
        <v>imqatta '</v>
      </c>
    </row>
    <row r="15453" ht="15.75" customHeight="1">
      <c r="A15453" s="2" t="s">
        <v>15453</v>
      </c>
      <c r="B15453" s="2" t="str">
        <f>IFERROR(__xludf.DUMMYFUNCTION("GOOGLETRANSLATE(A15453, ""en"", ""mt"")"),"kolonji")</f>
        <v>kolonji</v>
      </c>
    </row>
    <row r="15454" ht="15.75" customHeight="1">
      <c r="A15454" s="2" t="s">
        <v>15454</v>
      </c>
      <c r="B15454" s="2" t="str">
        <f>IFERROR(__xludf.DUMMYFUNCTION("GOOGLETRANSLATE(A15454, ""en"", ""mt"")"),"Meta r-Repubblikani Franċiżi reġgħu bnew l-imperu Franċiż?")</f>
        <v>Meta r-Repubblikani Franċiżi reġgħu bnew l-imperu Franċiż?</v>
      </c>
    </row>
    <row r="15455" ht="15.75" customHeight="1">
      <c r="A15455" s="2" t="s">
        <v>15455</v>
      </c>
      <c r="B15455" s="2" t="str">
        <f>IFERROR(__xludf.DUMMYFUNCTION("GOOGLETRANSLATE(A15455, ""en"", ""mt"")"),"Organizzazzjoni Eġizzjana tal-Ġiħad Iżlamiku")</f>
        <v>Organizzazzjoni Eġizzjana tal-Ġiħad Iżlamiku</v>
      </c>
    </row>
    <row r="15456" ht="15.75" customHeight="1">
      <c r="A15456" s="2" t="s">
        <v>15456</v>
      </c>
      <c r="B15456" s="2" t="str">
        <f>IFERROR(__xludf.DUMMYFUNCTION("GOOGLETRANSLATE(A15456, ""en"", ""mt"")"),"Fejn il-ferroviji kollha jmorru l-Iskozja?")</f>
        <v>Fejn il-ferroviji kollha jmorru l-Iskozja?</v>
      </c>
    </row>
    <row r="15457" ht="15.75" customHeight="1">
      <c r="A15457" s="2" t="s">
        <v>15457</v>
      </c>
      <c r="B15457" s="2" t="str">
        <f>IFERROR(__xludf.DUMMYFUNCTION("GOOGLETRANSLATE(A15457, ""en"", ""mt"")"),"X'kienet l-okkupazzjoni ta 'Joseph Priestley?")</f>
        <v>X'kienet l-okkupazzjoni ta 'Joseph Priestley?</v>
      </c>
    </row>
    <row r="15458" ht="15.75" customHeight="1">
      <c r="A15458" s="2" t="s">
        <v>15458</v>
      </c>
      <c r="B15458" s="2" t="str">
        <f>IFERROR(__xludf.DUMMYFUNCTION("GOOGLETRANSLATE(A15458, ""en"", ""mt"")"),"L-Afrika tat-Tramuntana u tal-Punent")</f>
        <v>L-Afrika tat-Tramuntana u tal-Punent</v>
      </c>
    </row>
    <row r="15459" ht="15.75" customHeight="1">
      <c r="A15459" s="2" t="s">
        <v>15459</v>
      </c>
      <c r="B15459" s="2" t="str">
        <f>IFERROR(__xludf.DUMMYFUNCTION("GOOGLETRANSLATE(A15459, ""en"", ""mt"")"),"Għaliex id-ditti jissostitwixxu tagħmir għall-ħaddiema?")</f>
        <v>Għaliex id-ditti jissostitwixxu tagħmir għall-ħaddiema?</v>
      </c>
    </row>
    <row r="15460" ht="15.75" customHeight="1">
      <c r="A15460" s="2" t="s">
        <v>15460</v>
      </c>
      <c r="B15460" s="2" t="str">
        <f>IFERROR(__xludf.DUMMYFUNCTION("GOOGLETRANSLATE(A15460, ""en"", ""mt"")"),"Xi jfisser l-UMC taħt kontroll internazzjonali strett u effettiv?")</f>
        <v>Xi jfisser l-UMC taħt kontroll internazzjonali strett u effettiv?</v>
      </c>
    </row>
    <row r="15461" ht="15.75" customHeight="1">
      <c r="A15461" s="2" t="s">
        <v>15461</v>
      </c>
      <c r="B15461" s="2" t="str">
        <f>IFERROR(__xludf.DUMMYFUNCTION("GOOGLETRANSLATE(A15461, ""en"", ""mt"")"),"Xi jfisser rapport tal-2013 dwar in-Niġerja?")</f>
        <v>Xi jfisser rapport tal-2013 dwar in-Niġerja?</v>
      </c>
    </row>
    <row r="15462" ht="15.75" customHeight="1">
      <c r="A15462" s="2" t="s">
        <v>15462</v>
      </c>
      <c r="B15462" s="2" t="str">
        <f>IFERROR(__xludf.DUMMYFUNCTION("GOOGLETRANSLATE(A15462, ""en"", ""mt"")"),"mhux ċar")</f>
        <v>mhux ċar</v>
      </c>
    </row>
    <row r="15463" ht="15.75" customHeight="1">
      <c r="A15463" s="2" t="s">
        <v>15463</v>
      </c>
      <c r="B15463" s="2" t="str">
        <f>IFERROR(__xludf.DUMMYFUNCTION("GOOGLETRANSLATE(A15463, ""en"", ""mt"")"),"bejn p u pspace")</f>
        <v>bejn p u pspace</v>
      </c>
    </row>
    <row r="15464" ht="15.75" customHeight="1">
      <c r="A15464" s="2" t="s">
        <v>15464</v>
      </c>
      <c r="B15464" s="2" t="str">
        <f>IFERROR(__xludf.DUMMYFUNCTION("GOOGLETRANSLATE(A15464, ""en"", ""mt"")"),"Is-suċċess tal-Gran Brittanja jista 'jagħmel il-wirja wassal għall-ippjanar ta' liema wirja fl-1951?")</f>
        <v>Is-suċċess tal-Gran Brittanja jista 'jagħmel il-wirja wassal għall-ippjanar ta' liema wirja fl-1951?</v>
      </c>
    </row>
    <row r="15465" ht="15.75" customHeight="1">
      <c r="A15465" s="2" t="s">
        <v>15465</v>
      </c>
      <c r="B15465" s="2" t="str">
        <f>IFERROR(__xludf.DUMMYFUNCTION("GOOGLETRANSLATE(A15465, ""en"", ""mt"")"),"66 miljun sena")</f>
        <v>66 miljun sena</v>
      </c>
    </row>
    <row r="15466" ht="15.75" customHeight="1">
      <c r="A15466" s="2" t="s">
        <v>15466</v>
      </c>
      <c r="B15466" s="2" t="str">
        <f>IFERROR(__xludf.DUMMYFUNCTION("GOOGLETRANSLATE(A15466, ""en"", ""mt"")"),"Armata l-Ħamra")</f>
        <v>Armata l-Ħamra</v>
      </c>
    </row>
    <row r="15467" ht="15.75" customHeight="1">
      <c r="A15467" s="2" t="s">
        <v>15467</v>
      </c>
      <c r="B15467" s="2" t="str">
        <f>IFERROR(__xludf.DUMMYFUNCTION("GOOGLETRANSLATE(A15467, ""en"", ""mt"")"),"Id-delta tar-Rhine-Meuse hija delta tal-marea, iffurmata mhux biss mis-sedimentazzjoni tax-xmajjar, iżda wkoll mill-kurrenti tal-marea. Dan kien ifisser li l-marea għolja ffurmat riskju serju minħabba li kurrenti qawwija tal-marea jistgħu jqattgħu żoni kb"&amp;"ar ta 'art fil-baħar. Qabel il-kostruzzjoni tad-Delta jaħdem, l-influwenza tal-marea kienet palpabbli sa Nijmegen, u anke llum, wara l-azzjoni regolatorja tax-xogħlijiet tad-Delta, il-marea taġixxi 'l bogħod. Fil-Waal, pereżempju, l-iktar influwenza tal-m"&amp;"area tal-art tista 'tiġi skoperta bejn Brakel u Zaltbommel.")</f>
        <v>Id-delta tar-Rhine-Meuse hija delta tal-marea, iffurmata mhux biss mis-sedimentazzjoni tax-xmajjar, iżda wkoll mill-kurrenti tal-marea. Dan kien ifisser li l-marea għolja ffurmat riskju serju minħabba li kurrenti qawwija tal-marea jistgħu jqattgħu żoni kbar ta 'art fil-baħar. Qabel il-kostruzzjoni tad-Delta jaħdem, l-influwenza tal-marea kienet palpabbli sa Nijmegen, u anke llum, wara l-azzjoni regolatorja tax-xogħlijiet tad-Delta, il-marea taġixxi 'l bogħod. Fil-Waal, pereżempju, l-iktar influwenza tal-marea tal-art tista 'tiġi skoperta bejn Brakel u Zaltbommel.</v>
      </c>
    </row>
    <row r="15468" ht="15.75" customHeight="1">
      <c r="A15468" s="2" t="s">
        <v>15468</v>
      </c>
      <c r="B15468" s="2" t="str">
        <f>IFERROR(__xludf.DUMMYFUNCTION("GOOGLETRANSLATE(A15468, ""en"", ""mt"")"),"Min kien raġel li jistudja l-applikanti mediċinali tal-pjanti fil-Greċja antika?")</f>
        <v>Min kien raġel li jistudja l-applikanti mediċinali tal-pjanti fil-Greċja antika?</v>
      </c>
    </row>
    <row r="15469" ht="15.75" customHeight="1">
      <c r="A15469" s="2" t="s">
        <v>15469</v>
      </c>
      <c r="B15469" s="2" t="str">
        <f>IFERROR(__xludf.DUMMYFUNCTION("GOOGLETRANSLATE(A15469, ""en"", ""mt"")"),"Luteran u Riformat")</f>
        <v>Luteran u Riformat</v>
      </c>
    </row>
    <row r="15470" ht="15.75" customHeight="1">
      <c r="A15470" s="2" t="s">
        <v>15470</v>
      </c>
      <c r="B15470" s="2" t="str">
        <f>IFERROR(__xludf.DUMMYFUNCTION("GOOGLETRANSLATE(A15470, ""en"", ""mt"")"),"X'inhi l-akbar reliġjon mhux Kristjana tar-Rabat?")</f>
        <v>X'inhi l-akbar reliġjon mhux Kristjana tar-Rabat?</v>
      </c>
    </row>
    <row r="15471" ht="15.75" customHeight="1">
      <c r="A15471" s="2" t="s">
        <v>15471</v>
      </c>
      <c r="B15471" s="2" t="str">
        <f>IFERROR(__xludf.DUMMYFUNCTION("GOOGLETRANSLATE(A15471, ""en"", ""mt"")"),"l-ebda każ magħruf")</f>
        <v>l-ebda każ magħruf</v>
      </c>
    </row>
    <row r="15472" ht="15.75" customHeight="1">
      <c r="A15472" s="2" t="s">
        <v>15472</v>
      </c>
      <c r="B15472" s="2" t="str">
        <f>IFERROR(__xludf.DUMMYFUNCTION("GOOGLETRANSLATE(A15472, ""en"", ""mt"")"),"Fejn kienu inklużi l-innijiet ta 'Luther?")</f>
        <v>Fejn kienu inklużi l-innijiet ta 'Luther?</v>
      </c>
    </row>
    <row r="15473" ht="15.75" customHeight="1">
      <c r="A15473" s="2" t="s">
        <v>15473</v>
      </c>
      <c r="B15473" s="2" t="str">
        <f>IFERROR(__xludf.DUMMYFUNCTION("GOOGLETRANSLATE(A15473, ""en"", ""mt"")"),"Il-klassifikazzjoni industrijali standard u s-sistema l-aktar ġdida ta 'klassifikazzjoni tal-industrija tal-Amerika ta' Fuq")</f>
        <v>Il-klassifikazzjoni industrijali standard u s-sistema l-aktar ġdida ta 'klassifikazzjoni tal-industrija tal-Amerika ta' Fuq</v>
      </c>
    </row>
    <row r="15474" ht="15.75" customHeight="1">
      <c r="A15474" s="2" t="s">
        <v>15474</v>
      </c>
      <c r="B15474" s="2" t="str">
        <f>IFERROR(__xludf.DUMMYFUNCTION("GOOGLETRANSLATE(A15474, ""en"", ""mt"")"),"Fejn jinstabu l-mewġ lonġitudinali?")</f>
        <v>Fejn jinstabu l-mewġ lonġitudinali?</v>
      </c>
    </row>
    <row r="15475" ht="15.75" customHeight="1">
      <c r="A15475" s="2" t="s">
        <v>15475</v>
      </c>
      <c r="B15475" s="2" t="str">
        <f>IFERROR(__xludf.DUMMYFUNCTION("GOOGLETRANSLATE(A15475, ""en"", ""mt"")"),"Għal liema belt marret Tesla fl-1880?")</f>
        <v>Għal liema belt marret Tesla fl-1880?</v>
      </c>
    </row>
    <row r="15476" ht="15.75" customHeight="1">
      <c r="A15476" s="2" t="s">
        <v>15476</v>
      </c>
      <c r="B15476" s="2" t="str">
        <f>IFERROR(__xludf.DUMMYFUNCTION("GOOGLETRANSLATE(A15476, ""en"", ""mt"")"),"Minbarra l-kisbiet xjentifiċi tiegħu għal xiex kienet famuża Tesla?")</f>
        <v>Minbarra l-kisbiet xjentifiċi tiegħu għal xiex kienet famuża Tesla?</v>
      </c>
    </row>
    <row r="15477" ht="15.75" customHeight="1">
      <c r="A15477" s="2" t="s">
        <v>15477</v>
      </c>
      <c r="B15477" s="2" t="str">
        <f>IFERROR(__xludf.DUMMYFUNCTION("GOOGLETRANSLATE(A15477, ""en"", ""mt"")"),"Il-mediċina tal-Punent ġiet ipprattikata wkoll fiċ-Ċina mill-Insara Nestorjani tal-Qorti tal-Yuan, fejn xi kultant kienet ittikkettjata bħala Huihui jew Mediċina Musulmana. It-tabib Nestorjan Ġesù l-interpretu waqqaf l-uffiċċju tal-mediċina tal-Punent fl-"&amp;"1263 waqt ir-renju ta ’Kublai. It-tobba tal-Huihui b'persunal f'żewġ sptarijiet imperjali kienu responsabbli biex jittrattaw il-familja Imperjali u l-membri tal-qorti. It-tobba Ċiniżi opponew il-mediċina tal-Punent minħabba li s-sistema umoristika tagħha "&amp;"kienet tikkontradixxi l-filosofija yin-yang u wuxing sottostanti għall-mediċina tradizzjonali Ċiniża. L-ebda traduzzjoni Ċiniża ta 'xogħlijiet mediċi tal-Punent ma hija magħrufa, iżda huwa possibbli li ċ-Ċiniżi kellhom aċċess għall-Canon tal-Mediċina ta' "&amp;"Avicenna.")</f>
        <v>Il-mediċina tal-Punent ġiet ipprattikata wkoll fiċ-Ċina mill-Insara Nestorjani tal-Qorti tal-Yuan, fejn xi kultant kienet ittikkettjata bħala Huihui jew Mediċina Musulmana. It-tabib Nestorjan Ġesù l-interpretu waqqaf l-uffiċċju tal-mediċina tal-Punent fl-1263 waqt ir-renju ta ’Kublai. It-tobba tal-Huihui b'persunal f'żewġ sptarijiet imperjali kienu responsabbli biex jittrattaw il-familja Imperjali u l-membri tal-qorti. It-tobba Ċiniżi opponew il-mediċina tal-Punent minħabba li s-sistema umoristika tagħha kienet tikkontradixxi l-filosofija yin-yang u wuxing sottostanti għall-mediċina tradizzjonali Ċiniża. L-ebda traduzzjoni Ċiniża ta 'xogħlijiet mediċi tal-Punent ma hija magħrufa, iżda huwa possibbli li ċ-Ċiniżi kellhom aċċess għall-Canon tal-Mediċina ta' Avicenna.</v>
      </c>
    </row>
    <row r="15478" ht="15.75" customHeight="1">
      <c r="A15478" s="2" t="s">
        <v>15478</v>
      </c>
      <c r="B15478" s="2" t="str">
        <f>IFERROR(__xludf.DUMMYFUNCTION("GOOGLETRANSLATE(A15478, ""en"", ""mt"")"),"Kemm mili fin-Nofsinhar ta 'Edinburgh huwa Newcastle?")</f>
        <v>Kemm mili fin-Nofsinhar ta 'Edinburgh huwa Newcastle?</v>
      </c>
    </row>
    <row r="15479" ht="15.75" customHeight="1">
      <c r="A15479" s="2" t="s">
        <v>15479</v>
      </c>
      <c r="B15479" s="2" t="str">
        <f>IFERROR(__xludf.DUMMYFUNCTION("GOOGLETRANSLATE(A15479, ""en"", ""mt"")"),"finanzi")</f>
        <v>finanzi</v>
      </c>
    </row>
    <row r="15480" ht="15.75" customHeight="1">
      <c r="A15480" s="2" t="s">
        <v>15480</v>
      </c>
      <c r="B15480" s="2" t="str">
        <f>IFERROR(__xludf.DUMMYFUNCTION("GOOGLETRANSLATE(A15480, ""en"", ""mt"")"),"F'sistema ta 'sekrezzjoni tat-Tip III, il-proteini jiġu ttrasportati lejn iċ-ċellula ospitanti sabiex jagħmlu xiex?")</f>
        <v>F'sistema ta 'sekrezzjoni tat-Tip III, il-proteini jiġu ttrasportati lejn iċ-ċellula ospitanti sabiex jagħmlu xiex?</v>
      </c>
    </row>
    <row r="15481" ht="15.75" customHeight="1">
      <c r="A15481" s="2" t="s">
        <v>15481</v>
      </c>
      <c r="B15481" s="2" t="str">
        <f>IFERROR(__xludf.DUMMYFUNCTION("GOOGLETRANSLATE(A15481, ""en"", ""mt"")"),"Problemi tad-dixxiplina")</f>
        <v>Problemi tad-dixxiplina</v>
      </c>
    </row>
    <row r="15482" ht="15.75" customHeight="1">
      <c r="A15482" s="2" t="s">
        <v>15482</v>
      </c>
      <c r="B15482" s="2" t="str">
        <f>IFERROR(__xludf.DUMMYFUNCTION("GOOGLETRANSLATE(A15482, ""en"", ""mt"")"),"Il-V &amp; A għandha aktar minn 19,000 oġġett mid-dinja Iżlamika, li jvarjaw mill-perjodu Iżlamiku bikri (is-seklu 7) sal-bidu tas-seklu 20. Il-Gallerija Jameel ta 'l-Art Iżlamika, miftuħa fl-2006, tospita wirja rappreżentattiva ta' 400 oġġett bil-qofol huwa "&amp;"l-Ardabil Carpet, il-qofol tal-gallerija. Il-wirjiet f'din il-gallerija jkopru oġġetti minn Spanja, l-Afrika ta 'Fuq, il-Lvant Nofsani, l-Asja Ċentrali u l-Afganistan. Kapulavur ta 'l-arti Iżlamika huwa Ewer tal-Rock Crystal tas-seklu 10. Ħafna eżempji ta"&amp;" 'Koran b'kaligrafija exquisite li tmur minn diversi perjodi huma esposti. Minbar tas-seklu 15 minn moskea tal-Kajr b'avorju li jifforma xejriet ġeometriċi kumplessi intarsjati fl-injam huwa wieħed mill-akbar oġġetti għall-wiri. Eżempji estensivi ta 'ċera"&amp;"mika speċjalment fuħħar Iznik, xogħol tal-ħġieġ inkluż lampi tas-seklu 14 mill-moskej u xogħol tal-metall huma għall-wiri. Il-kollezzjoni ta 'twapet u twapet tal-Lvant Nofsani u Persjani hija fost l-ifjen fid-dinja, ħafna kienu parti mill-bequest tal-melħ"&amp;" ta' l-1909. u l-madum lewn mill-parti ta ’barra tal-bini minn Samarkand huma wkoll murija.")</f>
        <v>Il-V &amp; A għandha aktar minn 19,000 oġġett mid-dinja Iżlamika, li jvarjaw mill-perjodu Iżlamiku bikri (is-seklu 7) sal-bidu tas-seklu 20. Il-Gallerija Jameel ta 'l-Art Iżlamika, miftuħa fl-2006, tospita wirja rappreżentattiva ta' 400 oġġett bil-qofol huwa l-Ardabil Carpet, il-qofol tal-gallerija. Il-wirjiet f'din il-gallerija jkopru oġġetti minn Spanja, l-Afrika ta 'Fuq, il-Lvant Nofsani, l-Asja Ċentrali u l-Afganistan. Kapulavur ta 'l-arti Iżlamika huwa Ewer tal-Rock Crystal tas-seklu 10. Ħafna eżempji ta 'Koran b'kaligrafija exquisite li tmur minn diversi perjodi huma esposti. Minbar tas-seklu 15 minn moskea tal-Kajr b'avorju li jifforma xejriet ġeometriċi kumplessi intarsjati fl-injam huwa wieħed mill-akbar oġġetti għall-wiri. Eżempji estensivi ta 'ċeramika speċjalment fuħħar Iznik, xogħol tal-ħġieġ inkluż lampi tas-seklu 14 mill-moskej u xogħol tal-metall huma għall-wiri. Il-kollezzjoni ta 'twapet u twapet tal-Lvant Nofsani u Persjani hija fost l-ifjen fid-dinja, ħafna kienu parti mill-bequest tal-melħ ta' l-1909. u l-madum lewn mill-parti ta ’barra tal-bini minn Samarkand huma wkoll murija.</v>
      </c>
    </row>
    <row r="15483" ht="15.75" customHeight="1">
      <c r="A15483" s="2" t="s">
        <v>15483</v>
      </c>
      <c r="B15483" s="2" t="str">
        <f>IFERROR(__xludf.DUMMYFUNCTION("GOOGLETRANSLATE(A15483, ""en"", ""mt"")"),"Kemm innijiet ta 'Luther ġew inklużi fl-Achtliederbuch?")</f>
        <v>Kemm innijiet ta 'Luther ġew inklużi fl-Achtliederbuch?</v>
      </c>
    </row>
    <row r="15484" ht="15.75" customHeight="1">
      <c r="A15484" s="2" t="s">
        <v>15484</v>
      </c>
      <c r="B15484" s="2" t="str">
        <f>IFERROR(__xludf.DUMMYFUNCTION("GOOGLETRANSLATE(A15484, ""en"", ""mt"")"),"Seklu Dsatax")</f>
        <v>Seklu Dsatax</v>
      </c>
    </row>
    <row r="15485" ht="15.75" customHeight="1">
      <c r="A15485" s="2" t="s">
        <v>15485</v>
      </c>
      <c r="B15485" s="2" t="str">
        <f>IFERROR(__xludf.DUMMYFUNCTION("GOOGLETRANSLATE(A15485, ""en"", ""mt"")"),"Il-komunikazzjoni tal-modalità tal-pakketti tista 'tiġi implimentata bi jew mingħajr nodi ta' trasferiment intermedju (swiċċijiet tal-pakketti jew routers). Il-pakketti normalment jintbagħtu minn nodi intermedji tan-netwerk b'mod sinkroniku bl-użu ta 'l-e"&amp;"wwel, l-ewwel buffering, iżda jistgħu jintbagħtu skond xi dixxiplina ta' skedar għal kju ġust, iffurmar tat-traffiku, jew għal kwalità ta 'servizz differenzjata jew garantita, bħalma huma l-kju ġust barmil li jnixxi. F'każ ta 'mezz fiżiku maqsum (bħal rad"&amp;"ju jew 10Base5), il-pakketti jistgħu jitwasslu skond skema ta' aċċess multipli.")</f>
        <v>Il-komunikazzjoni tal-modalità tal-pakketti tista 'tiġi implimentata bi jew mingħajr nodi ta' trasferiment intermedju (swiċċijiet tal-pakketti jew routers). Il-pakketti normalment jintbagħtu minn nodi intermedji tan-netwerk b'mod sinkroniku bl-użu ta 'l-ewwel, l-ewwel buffering, iżda jistgħu jintbagħtu skond xi dixxiplina ta' skedar għal kju ġust, iffurmar tat-traffiku, jew għal kwalità ta 'servizz differenzjata jew garantita, bħalma huma l-kju ġust barmil li jnixxi. F'każ ta 'mezz fiżiku maqsum (bħal radju jew 10Base5), il-pakketti jistgħu jitwasslu skond skema ta' aċċess multipli.</v>
      </c>
    </row>
    <row r="15486" ht="15.75" customHeight="1">
      <c r="A15486" s="2" t="s">
        <v>15486</v>
      </c>
      <c r="B15486" s="2" t="str">
        <f>IFERROR(__xludf.DUMMYFUNCTION("GOOGLETRANSLATE(A15486, ""en"", ""mt"")"),"Trasferiment minn denominazzjoni Nisranija oħra")</f>
        <v>Trasferiment minn denominazzjoni Nisranija oħra</v>
      </c>
    </row>
    <row r="15487" ht="15.75" customHeight="1">
      <c r="A15487" s="2" t="s">
        <v>15487</v>
      </c>
      <c r="B15487" s="2" t="str">
        <f>IFERROR(__xludf.DUMMYFUNCTION("GOOGLETRANSLATE(A15487, ""en"", ""mt"")"),"L-aħħar tas-snin 1960")</f>
        <v>L-aħħar tas-snin 1960</v>
      </c>
    </row>
    <row r="15488" ht="15.75" customHeight="1">
      <c r="A15488" s="2" t="s">
        <v>15488</v>
      </c>
      <c r="B15488" s="2" t="str">
        <f>IFERROR(__xludf.DUMMYFUNCTION("GOOGLETRANSLATE(A15488, ""en"", ""mt"")"),"Ittrasferixxi u tinħela l-enerġija żejda")</f>
        <v>Ittrasferixxi u tinħela l-enerġija żejda</v>
      </c>
    </row>
    <row r="15489" ht="15.75" customHeight="1">
      <c r="A15489" s="2" t="s">
        <v>15489</v>
      </c>
      <c r="B15489" s="2" t="str">
        <f>IFERROR(__xludf.DUMMYFUNCTION("GOOGLETRANSLATE(A15489, ""en"", ""mt"")"),"reġjuni ripetuti maqluba")</f>
        <v>reġjuni ripetuti maqluba</v>
      </c>
    </row>
    <row r="15490" ht="15.75" customHeight="1">
      <c r="A15490" s="2" t="s">
        <v>15490</v>
      </c>
      <c r="B15490" s="2" t="str">
        <f>IFERROR(__xludf.DUMMYFUNCTION("GOOGLETRANSLATE(A15490, ""en"", ""mt"")"),"kwart tal-popolazzjoni")</f>
        <v>kwart tal-popolazzjoni</v>
      </c>
    </row>
    <row r="15491" ht="15.75" customHeight="1">
      <c r="A15491" s="2" t="s">
        <v>15491</v>
      </c>
      <c r="B15491" s="2" t="str">
        <f>IFERROR(__xludf.DUMMYFUNCTION("GOOGLETRANSLATE(A15491, ""en"", ""mt"")"),"direzzjoni li fiha l-ħalq qed jipponta")</f>
        <v>direzzjoni li fiha l-ħalq qed jipponta</v>
      </c>
    </row>
    <row r="15492" ht="15.75" customHeight="1">
      <c r="A15492" s="2" t="s">
        <v>15492</v>
      </c>
      <c r="B15492" s="2" t="str">
        <f>IFERROR(__xludf.DUMMYFUNCTION("GOOGLETRANSLATE(A15492, ""en"", ""mt"")"),"Dwight D. Eisenhower")</f>
        <v>Dwight D. Eisenhower</v>
      </c>
    </row>
    <row r="15493" ht="15.75" customHeight="1">
      <c r="A15493" s="2" t="s">
        <v>15493</v>
      </c>
      <c r="B15493" s="2" t="str">
        <f>IFERROR(__xludf.DUMMYFUNCTION("GOOGLETRANSLATE(A15493, ""en"", ""mt"")"),"Liema kliem huma miktuba fuq il-Mace tal-Parlament?")</f>
        <v>Liema kliem huma miktuba fuq il-Mace tal-Parlament?</v>
      </c>
    </row>
    <row r="15494" ht="15.75" customHeight="1">
      <c r="A15494" s="2" t="s">
        <v>15494</v>
      </c>
      <c r="B15494" s="2" t="str">
        <f>IFERROR(__xludf.DUMMYFUNCTION("GOOGLETRANSLATE(A15494, ""en"", ""mt"")"),"l-istituzzjonijiet komprensivi tal-wan kbir")</f>
        <v>l-istituzzjonijiet komprensivi tal-wan kbir</v>
      </c>
    </row>
    <row r="15495" ht="15.75" customHeight="1">
      <c r="A15495" s="2" t="s">
        <v>15495</v>
      </c>
      <c r="B15495" s="2" t="str">
        <f>IFERROR(__xludf.DUMMYFUNCTION("GOOGLETRANSLATE(A15495, ""en"", ""mt"")"),"""Blurreng ta 'differenzi teoloġiċi u konfessjonali fl-interessi ta' l-għaqda")</f>
        <v>"Blurreng ta 'differenzi teoloġiċi u konfessjonali fl-interessi ta' l-għaqda</v>
      </c>
    </row>
    <row r="15496" ht="15.75" customHeight="1">
      <c r="A15496" s="2" t="s">
        <v>15496</v>
      </c>
      <c r="B15496" s="2" t="str">
        <f>IFERROR(__xludf.DUMMYFUNCTION("GOOGLETRANSLATE(A15496, ""en"", ""mt"")"),"Magni tal-fwar jista 'jingħad li kienu l-forza li tiċċaqlaq wara r-rivoluzzjoni industrijali u rat makkinarju ta' sewqan ta 'użu kummerċjali mifrux f'fabbriki, imtieħen u minjieri; Stazzjonijiet ta 'l-ippumpjar li jħaddmu; u jimbotta apparat tat-trasport "&amp;"bħal lokomottivi tal-ferrovija, vapuri, dgħajjes tal-fwar u vetturi tat-triq. L-użu tagħhom fl-agrikoltura wassal għal żieda fl-art disponibbli għall-kultivazzjoni. F'ħin jew ieħor hemm tratturi tar-razzett li jaħdmu bil-fwar, muturi (mingħajr ħafna suċċe"&amp;"ss) u anke karozzi bħala l-Steamer Stanley.")</f>
        <v>Magni tal-fwar jista 'jingħad li kienu l-forza li tiċċaqlaq wara r-rivoluzzjoni industrijali u rat makkinarju ta' sewqan ta 'użu kummerċjali mifrux f'fabbriki, imtieħen u minjieri; Stazzjonijiet ta 'l-ippumpjar li jħaddmu; u jimbotta apparat tat-trasport bħal lokomottivi tal-ferrovija, vapuri, dgħajjes tal-fwar u vetturi tat-triq. L-użu tagħhom fl-agrikoltura wassal għal żieda fl-art disponibbli għall-kultivazzjoni. F'ħin jew ieħor hemm tratturi tar-razzett li jaħdmu bil-fwar, muturi (mingħajr ħafna suċċess) u anke karozzi bħala l-Steamer Stanley.</v>
      </c>
    </row>
    <row r="15497" ht="15.75" customHeight="1">
      <c r="A15497" s="2" t="s">
        <v>15497</v>
      </c>
      <c r="B15497" s="2" t="str">
        <f>IFERROR(__xludf.DUMMYFUNCTION("GOOGLETRANSLATE(A15497, ""en"", ""mt"")"),"ħati li ma għamel l-ebda ħażin")</f>
        <v>ħati li ma għamel l-ebda ħażin</v>
      </c>
    </row>
    <row r="15498" ht="15.75" customHeight="1">
      <c r="A15498" s="2" t="s">
        <v>15498</v>
      </c>
      <c r="B15498" s="2" t="str">
        <f>IFERROR(__xludf.DUMMYFUNCTION("GOOGLETRANSLATE(A15498, ""en"", ""mt"")"),"Il-veloċità tar-rispons tal-qtil tas-sistema immunitarja tal-bniedem hija prodott ta 'liema proċess?")</f>
        <v>Il-veloċità tar-rispons tal-qtil tas-sistema immunitarja tal-bniedem hija prodott ta 'liema proċess?</v>
      </c>
    </row>
    <row r="15499" ht="15.75" customHeight="1">
      <c r="A15499" s="2" t="s">
        <v>15499</v>
      </c>
      <c r="B15499" s="2" t="str">
        <f>IFERROR(__xludf.DUMMYFUNCTION("GOOGLETRANSLATE(A15499, ""en"", ""mt"")"),"Fejn ipprattikaw il-Panthers għal Super Bowl 50?")</f>
        <v>Fejn ipprattikaw il-Panthers għal Super Bowl 50?</v>
      </c>
    </row>
    <row r="15500" ht="15.75" customHeight="1">
      <c r="A15500" s="2" t="s">
        <v>15500</v>
      </c>
      <c r="B15500" s="2" t="str">
        <f>IFERROR(__xludf.DUMMYFUNCTION("GOOGLETRANSLATE(A15500, ""en"", ""mt"")"),"Korpi xjentifiċi oħra")</f>
        <v>Korpi xjentifiċi oħra</v>
      </c>
    </row>
    <row r="15501" ht="15.75" customHeight="1">
      <c r="A15501" s="2" t="s">
        <v>15501</v>
      </c>
      <c r="B15501" s="2" t="str">
        <f>IFERROR(__xludf.DUMMYFUNCTION("GOOGLETRANSLATE(A15501, ""en"", ""mt"")"),"X'tip ta 'kloroplasti għandhom il-kriptofiti?")</f>
        <v>X'tip ta 'kloroplasti għandhom il-kriptofiti?</v>
      </c>
    </row>
    <row r="15502" ht="15.75" customHeight="1">
      <c r="A15502" s="2" t="s">
        <v>15502</v>
      </c>
      <c r="B15502" s="2" t="str">
        <f>IFERROR(__xludf.DUMMYFUNCTION("GOOGLETRANSLATE(A15502, ""en"", ""mt"")"),"fanatiżmu")</f>
        <v>fanatiżmu</v>
      </c>
    </row>
    <row r="15503" ht="15.75" customHeight="1">
      <c r="A15503" s="2" t="s">
        <v>15503</v>
      </c>
      <c r="B15503" s="2" t="str">
        <f>IFERROR(__xludf.DUMMYFUNCTION("GOOGLETRANSLATE(A15503, ""en"", ""mt"")"),"Meta l-kloroplasti jirranġaw f'kolonni vertikali jew iduru mal-ġenb?")</f>
        <v>Meta l-kloroplasti jirranġaw f'kolonni vertikali jew iduru mal-ġenb?</v>
      </c>
    </row>
    <row r="15504" ht="15.75" customHeight="1">
      <c r="A15504" s="2" t="s">
        <v>15504</v>
      </c>
      <c r="B15504" s="2" t="str">
        <f>IFERROR(__xludf.DUMMYFUNCTION("GOOGLETRANSLATE(A15504, ""en"", ""mt"")"),"Denominazzjoni Metodista Protestanti Mainline")</f>
        <v>Denominazzjoni Metodista Protestanti Mainline</v>
      </c>
    </row>
    <row r="15505" ht="15.75" customHeight="1">
      <c r="A15505" s="2" t="s">
        <v>15505</v>
      </c>
      <c r="B15505" s="2" t="str">
        <f>IFERROR(__xludf.DUMMYFUNCTION("GOOGLETRANSLATE(A15505, ""en"", ""mt"")"),"Żona Amorfa tal-Ewropa Ċentrali")</f>
        <v>Żona Amorfa tal-Ewropa Ċentrali</v>
      </c>
    </row>
    <row r="15506" ht="15.75" customHeight="1">
      <c r="A15506" s="2" t="s">
        <v>15506</v>
      </c>
      <c r="B15506" s="2" t="str">
        <f>IFERROR(__xludf.DUMMYFUNCTION("GOOGLETRANSLATE(A15506, ""en"", ""mt"")"),"Triq l-Inkurunazzjoni")</f>
        <v>Triq l-Inkurunazzjoni</v>
      </c>
    </row>
    <row r="15507" ht="15.75" customHeight="1">
      <c r="A15507" s="2" t="s">
        <v>15507</v>
      </c>
      <c r="B15507" s="2" t="str">
        <f>IFERROR(__xludf.DUMMYFUNCTION("GOOGLETRANSLATE(A15507, ""en"", ""mt"")"),"Kemm għandha diviżjonijiet ta 'riċerka akkademika l-Università ta' Chicago?")</f>
        <v>Kemm għandha diviżjonijiet ta 'riċerka akkademika l-Università ta' Chicago?</v>
      </c>
    </row>
    <row r="15508" ht="15.75" customHeight="1">
      <c r="A15508" s="2" t="s">
        <v>15508</v>
      </c>
      <c r="B15508" s="2" t="str">
        <f>IFERROR(__xludf.DUMMYFUNCTION("GOOGLETRANSLATE(A15508, ""en"", ""mt"")"),"Liema deċiżjoni ta 'kodifikazzjoni teħtieġ li tittieħed sabiex tiddetermina definizzjoni eżatta tal-lingwa formali?")</f>
        <v>Liema deċiżjoni ta 'kodifikazzjoni teħtieġ li tittieħed sabiex tiddetermina definizzjoni eżatta tal-lingwa formali?</v>
      </c>
    </row>
    <row r="15509" ht="15.75" customHeight="1">
      <c r="A15509" s="2" t="s">
        <v>15509</v>
      </c>
      <c r="B15509" s="2" t="str">
        <f>IFERROR(__xludf.DUMMYFUNCTION("GOOGLETRANSLATE(A15509, ""en"", ""mt"")"),"Għal liema seklu huwa l-beaker tal-ħġieġ imsejjaħ xortih ta 'Edenhall datat?")</f>
        <v>Għal liema seklu huwa l-beaker tal-ħġieġ imsejjaħ xortih ta 'Edenhall datat?</v>
      </c>
    </row>
    <row r="15510" ht="15.75" customHeight="1">
      <c r="A15510" s="2" t="s">
        <v>15510</v>
      </c>
      <c r="B15510" s="2" t="str">
        <f>IFERROR(__xludf.DUMMYFUNCTION("GOOGLETRANSLATE(A15510, ""en"", ""mt"")"),"diskors")</f>
        <v>diskors</v>
      </c>
    </row>
    <row r="15511" ht="15.75" customHeight="1">
      <c r="A15511" s="2" t="s">
        <v>15511</v>
      </c>
      <c r="B15511" s="2" t="str">
        <f>IFERROR(__xludf.DUMMYFUNCTION("GOOGLETRANSLATE(A15511, ""en"", ""mt"")"),"Il-kuluri brillanti tagħhom kultant jwarrbu l-aħdar tal-klorofilla")</f>
        <v>Il-kuluri brillanti tagħhom kultant jwarrbu l-aħdar tal-klorofilla</v>
      </c>
    </row>
    <row r="15512" ht="15.75" customHeight="1">
      <c r="A15512" s="2" t="s">
        <v>15512</v>
      </c>
      <c r="B15512" s="2" t="str">
        <f>IFERROR(__xludf.DUMMYFUNCTION("GOOGLETRANSLATE(A15512, ""en"", ""mt"")"),"sanzjoni għall-qtil")</f>
        <v>sanzjoni għall-qtil</v>
      </c>
    </row>
    <row r="15513" ht="15.75" customHeight="1">
      <c r="A15513" s="2" t="s">
        <v>15513</v>
      </c>
      <c r="B15513" s="2" t="str">
        <f>IFERROR(__xludf.DUMMYFUNCTION("GOOGLETRANSLATE(A15513, ""en"", ""mt"")"),"Ir-Raba 'Gwerra Interkolonjali u l-Gwerra l-Kbira għall-Imperu")</f>
        <v>Ir-Raba 'Gwerra Interkolonjali u l-Gwerra l-Kbira għall-Imperu</v>
      </c>
    </row>
    <row r="15514" ht="15.75" customHeight="1">
      <c r="A15514" s="2" t="s">
        <v>15514</v>
      </c>
      <c r="B15514" s="2" t="str">
        <f>IFERROR(__xludf.DUMMYFUNCTION("GOOGLETRANSLATE(A15514, ""en"", ""mt"")"),"stabbiliti bħala wieħed mill-pilastri tal-istorja")</f>
        <v>stabbiliti bħala wieħed mill-pilastri tal-istorja</v>
      </c>
    </row>
    <row r="15515" ht="15.75" customHeight="1">
      <c r="A15515" s="2" t="s">
        <v>15515</v>
      </c>
      <c r="B15515" s="2" t="str">
        <f>IFERROR(__xludf.DUMMYFUNCTION("GOOGLETRANSLATE(A15515, ""en"", ""mt"")"),"Għaliex l-arċipelagos tal-gżira jinkludu numru iżgħar ta 'eletturi?")</f>
        <v>Għaliex l-arċipelagos tal-gżira jinkludu numru iżgħar ta 'eletturi?</v>
      </c>
    </row>
    <row r="15516" ht="15.75" customHeight="1">
      <c r="A15516" s="2" t="s">
        <v>15516</v>
      </c>
      <c r="B15516" s="2" t="str">
        <f>IFERROR(__xludf.DUMMYFUNCTION("GOOGLETRANSLATE(A15516, ""en"", ""mt"")"),"X'jiġri t-tieni jekk l-iskadenza ta 'direttiva ma tintlaħaqx?")</f>
        <v>X'jiġri t-tieni jekk l-iskadenza ta 'direttiva ma tintlaħaqx?</v>
      </c>
    </row>
    <row r="15517" ht="15.75" customHeight="1">
      <c r="A15517" s="2" t="s">
        <v>15517</v>
      </c>
      <c r="B15517" s="2" t="str">
        <f>IFERROR(__xludf.DUMMYFUNCTION("GOOGLETRANSLATE(A15517, ""en"", ""mt"")"),"X'kienet il-premessa ta 'l-inkjesta ta' Woodrow Wilson?")</f>
        <v>X'kienet il-premessa ta 'l-inkjesta ta' Woodrow Wilson?</v>
      </c>
    </row>
    <row r="15518" ht="15.75" customHeight="1">
      <c r="A15518" s="2" t="s">
        <v>15518</v>
      </c>
      <c r="B15518" s="2" t="str">
        <f>IFERROR(__xludf.DUMMYFUNCTION("GOOGLETRANSLATE(A15518, ""en"", ""mt"")"),"Fil-lejl tan-nar")</f>
        <v>Fil-lejl tan-nar</v>
      </c>
    </row>
    <row r="15519" ht="15.75" customHeight="1">
      <c r="A15519" s="2" t="s">
        <v>15519</v>
      </c>
      <c r="B15519" s="2" t="str">
        <f>IFERROR(__xludf.DUMMYFUNCTION("GOOGLETRANSLATE(A15519, ""en"", ""mt"")"),"Richard Allen u Absalom Jones saru l-ewwel Amerikani Afrikani ordnati mill-Knisja Metodista. Huma kienu liċenzjati mill-Knisja ta ’San Ġorġ fl-1784. Tliet snin wara, jipprotestaw is-segregazzjoni razzjali fis-servizzi ta’ qima, Allen mexxa ħafna mill-memb"&amp;"ri s-suwed barra minn San Ġorġ; Eventwalment huma waqqfu l-omm Bethel A.M.E. Il-Knisja u d-Denominazzjoni Episkopali Metodista Afrikana. Absalom Jones sar saċerdot Episkopali. Fl-1836, il-kantina tal-knisja ġiet skavata biex tagħmel spazju għal skola tal-"&amp;"Ħadd. Fis-snin 1920 każ tal-qorti salva lill-knisja milli titwaqqa 'biex tagħmel triq għall-Benjamin Franklin Bridge. Il-każ irriżulta li l-pont jiġi rilokat. St Georges storiku jilqa ’l-viżitaturi u huwa dar għall-arkivji u mużew dwar il-metodiżmu.")</f>
        <v>Richard Allen u Absalom Jones saru l-ewwel Amerikani Afrikani ordnati mill-Knisja Metodista. Huma kienu liċenzjati mill-Knisja ta ’San Ġorġ fl-1784. Tliet snin wara, jipprotestaw is-segregazzjoni razzjali fis-servizzi ta’ qima, Allen mexxa ħafna mill-membri s-suwed barra minn San Ġorġ; Eventwalment huma waqqfu l-omm Bethel A.M.E. Il-Knisja u d-Denominazzjoni Episkopali Metodista Afrikana. Absalom Jones sar saċerdot Episkopali. Fl-1836, il-kantina tal-knisja ġiet skavata biex tagħmel spazju għal skola tal-Ħadd. Fis-snin 1920 każ tal-qorti salva lill-knisja milli titwaqqa 'biex tagħmel triq għall-Benjamin Franklin Bridge. Il-każ irriżulta li l-pont jiġi rilokat. St Georges storiku jilqa ’l-viżitaturi u huwa dar għall-arkivji u mużew dwar il-metodiżmu.</v>
      </c>
    </row>
    <row r="15520" ht="15.75" customHeight="1">
      <c r="A15520" s="2" t="s">
        <v>15520</v>
      </c>
      <c r="B15520" s="2" t="str">
        <f>IFERROR(__xludf.DUMMYFUNCTION("GOOGLETRANSLATE(A15520, ""en"", ""mt"")"),"Meta għamlet Torchwood Premier?")</f>
        <v>Meta għamlet Torchwood Premier?</v>
      </c>
    </row>
    <row r="15521" ht="15.75" customHeight="1">
      <c r="A15521" s="2" t="s">
        <v>15521</v>
      </c>
      <c r="B15521" s="2" t="str">
        <f>IFERROR(__xludf.DUMMYFUNCTION("GOOGLETRANSLATE(A15521, ""en"", ""mt"")"),"Min mikrija l-Kumpanija Ingliża tal-Indja tal-Lvant?")</f>
        <v>Min mikrija l-Kumpanija Ingliża tal-Indja tal-Lvant?</v>
      </c>
    </row>
    <row r="15522" ht="15.75" customHeight="1">
      <c r="A15522" s="2" t="s">
        <v>15522</v>
      </c>
      <c r="B15522" s="2" t="str">
        <f>IFERROR(__xludf.DUMMYFUNCTION("GOOGLETRANSLATE(A15522, ""en"", ""mt"")"),"X’għamel lil Luther saħansitra aktar qasir ittemprat mis-soltu?")</f>
        <v>X’għamel lil Luther saħansitra aktar qasir ittemprat mis-soltu?</v>
      </c>
    </row>
    <row r="15523" ht="15.75" customHeight="1">
      <c r="A15523" s="2" t="s">
        <v>15523</v>
      </c>
      <c r="B15523" s="2" t="str">
        <f>IFERROR(__xludf.DUMMYFUNCTION("GOOGLETRANSLATE(A15523, ""en"", ""mt"")"),"Għaliex il-Konferenza Ġenerali tal-Knisja Episkopali Metodista qasmet f'żewġ konferenzi?")</f>
        <v>Għaliex il-Konferenza Ġenerali tal-Knisja Episkopali Metodista qasmet f'żewġ konferenzi?</v>
      </c>
    </row>
    <row r="15524" ht="15.75" customHeight="1">
      <c r="A15524" s="2" t="s">
        <v>15524</v>
      </c>
      <c r="B15524" s="2" t="str">
        <f>IFERROR(__xludf.DUMMYFUNCTION("GOOGLETRANSLATE(A15524, ""en"", ""mt"")"),"Il-gallerija tal-istrumenti mużikali għalqet il-25 ta ’Frar 2010, deċiżjoni li kienet kontroversjali ħafna. Petizzjoni online ta 'aktar minn 5,100 ismijiet fuq il-websajt Parlamentari wasslet biex Chris Smith jistaqsi lill-Parlament dwar il-futur tal-koll"&amp;"ezzjoni. It-tweġiba, minn Bryan Davies kienet li l-mużew kellu l-intenzjoni li jippreserva u jieħu ħsieb il-kollezzjoni u jżommha disponibbli għall-pubbliku, b'oġġetti jiġu mqassma mill-ġdid għall-galleriji Ingliżi, il-galleriji medjevali u tar-rinaxximen"&amp;"t, u l-galleriji ġodda ppjanati għall-għamara u l-Ewropa 1600-1800, u li l-Mużew Horniman u istituzzjonijiet oħra kienu kandidati possibbli għal self ta 'materjal biex jiżguraw li l-istrumenti jibqgħu pubblikament jidhru pubblikament. Il-Horniman kompla j"&amp;"ospita wirja konġunta mal-V &amp; A ta 'strumenti mużikali, u għandu s-self ta' 35 strument mill-mużew.")</f>
        <v>Il-gallerija tal-istrumenti mużikali għalqet il-25 ta ’Frar 2010, deċiżjoni li kienet kontroversjali ħafna. Petizzjoni online ta 'aktar minn 5,100 ismijiet fuq il-websajt Parlamentari wasslet biex Chris Smith jistaqsi lill-Parlament dwar il-futur tal-kollezzjoni. It-tweġiba, minn Bryan Davies kienet li l-mużew kellu l-intenzjoni li jippreserva u jieħu ħsieb il-kollezzjoni u jżommha disponibbli għall-pubbliku, b'oġġetti jiġu mqassma mill-ġdid għall-galleriji Ingliżi, il-galleriji medjevali u tar-rinaxximent, u l-galleriji ġodda ppjanati għall-għamara u l-Ewropa 1600-1800, u li l-Mużew Horniman u istituzzjonijiet oħra kienu kandidati possibbli għal self ta 'materjal biex jiżguraw li l-istrumenti jibqgħu pubblikament jidhru pubblikament. Il-Horniman kompla jospita wirja konġunta mal-V &amp; A ta 'strumenti mużikali, u għandu s-self ta' 35 strument mill-mużew.</v>
      </c>
    </row>
    <row r="15525" ht="15.75" customHeight="1">
      <c r="A15525" s="2" t="s">
        <v>15525</v>
      </c>
      <c r="B15525" s="2" t="str">
        <f>IFERROR(__xludf.DUMMYFUNCTION("GOOGLETRANSLATE(A15525, ""en"", ""mt"")"),"mhux vjolenti")</f>
        <v>mhux vjolenti</v>
      </c>
    </row>
    <row r="15526" ht="15.75" customHeight="1">
      <c r="A15526" s="2" t="s">
        <v>15526</v>
      </c>
      <c r="B15526" s="2" t="str">
        <f>IFERROR(__xludf.DUMMYFUNCTION("GOOGLETRANSLATE(A15526, ""en"", ""mt"")"),"Maġġoranza Parlamentari")</f>
        <v>Maġġoranza Parlamentari</v>
      </c>
    </row>
    <row r="15527" ht="15.75" customHeight="1">
      <c r="A15527" s="2" t="s">
        <v>15527</v>
      </c>
      <c r="B15527" s="2" t="str">
        <f>IFERROR(__xludf.DUMMYFUNCTION("GOOGLETRANSLATE(A15527, ""en"", ""mt"")"),"L-ewwel ivvjaġġar irreġistrat mill-Ewropej lejn iċ-Ċina u d-data ta 'wara minn dan iż-żmien. L-iktar vjaġġatur famuż tal-perjodu kien il-Venezjan Marco Polo, li r-rendikont tiegħu tal-vjaġġ tiegħu lejn ""Cambaluc,"" il-kapitali tal-Khan il-Kbir, u tal-ħaj"&amp;"ja hemm stagħġeb lin-nies tal-Ewropa. Ir-rendikont tal-ivvjaġġar tiegħu, IL Milione (jew, il-miljun, magħruf bl-Ingliż bħala l-ivvjaġġar ta 'Marco Polo), deher madwar is-sena 1299. Xi wħud jargumentaw fuq l-eżattezza tal-kontijiet ta' Marco Polo minħabba "&amp;"n-nuqqas li jsemmu l-Ħajt il-Kbir ta ' Iċ-Ċina, djar tat-te, li kienu jkunu vista prominenti peress li l-Ewropej kienu għadhom iridu jadottaw kultura tat-te, kif ukoll il-prattika ta 'marda li torbot min-nisa fil-kapitali tal-Khan il-Kbir. Xi wħud jissuġġ"&amp;"erixxu li Marco Polo akkwista ħafna mill-għarfien tiegħu permezz ta 'kuntatt ma' negozjanti Persjani peress li ħafna mill-postijiet li hu jismu kienu fil-Persjan.")</f>
        <v>L-ewwel ivvjaġġar irreġistrat mill-Ewropej lejn iċ-Ċina u d-data ta 'wara minn dan iż-żmien. L-iktar vjaġġatur famuż tal-perjodu kien il-Venezjan Marco Polo, li r-rendikont tiegħu tal-vjaġġ tiegħu lejn "Cambaluc," il-kapitali tal-Khan il-Kbir, u tal-ħajja hemm stagħġeb lin-nies tal-Ewropa. Ir-rendikont tal-ivvjaġġar tiegħu, IL Milione (jew, il-miljun, magħruf bl-Ingliż bħala l-ivvjaġġar ta 'Marco Polo), deher madwar is-sena 1299. Xi wħud jargumentaw fuq l-eżattezza tal-kontijiet ta' Marco Polo minħabba n-nuqqas li jsemmu l-Ħajt il-Kbir ta ' Iċ-Ċina, djar tat-te, li kienu jkunu vista prominenti peress li l-Ewropej kienu għadhom iridu jadottaw kultura tat-te, kif ukoll il-prattika ta 'marda li torbot min-nisa fil-kapitali tal-Khan il-Kbir. Xi wħud jissuġġerixxu li Marco Polo akkwista ħafna mill-għarfien tiegħu permezz ta 'kuntatt ma' negozjanti Persjani peress li ħafna mill-postijiet li hu jismu kienu fil-Persjan.</v>
      </c>
    </row>
    <row r="15528" ht="15.75" customHeight="1">
      <c r="A15528" s="2" t="s">
        <v>15528</v>
      </c>
      <c r="B15528" s="2" t="str">
        <f>IFERROR(__xludf.DUMMYFUNCTION("GOOGLETRANSLATE(A15528, ""en"", ""mt"")"),"Ma 'min ingħaqad in-Normanni fl-Anatolia?")</f>
        <v>Ma 'min ingħaqad in-Normanni fl-Anatolia?</v>
      </c>
    </row>
    <row r="15529" ht="15.75" customHeight="1">
      <c r="A15529" s="2" t="s">
        <v>15529</v>
      </c>
      <c r="B15529" s="2" t="str">
        <f>IFERROR(__xludf.DUMMYFUNCTION("GOOGLETRANSLATE(A15529, ""en"", ""mt"")"),"sfruttament tal-assi u provvisti siewja tan-nazzjon li ġie maħkum")</f>
        <v>sfruttament tal-assi u provvisti siewja tan-nazzjon li ġie maħkum</v>
      </c>
    </row>
    <row r="15530" ht="15.75" customHeight="1">
      <c r="A15530" s="2" t="s">
        <v>15530</v>
      </c>
      <c r="B15530" s="2" t="str">
        <f>IFERROR(__xludf.DUMMYFUNCTION("GOOGLETRANSLATE(A15530, ""en"", ""mt"")"),"It-teorija tal-kumplessità tikklassifika problemi bbażati fuq liema attribut primarju?")</f>
        <v>It-teorija tal-kumplessità tikklassifika problemi bbażati fuq liema attribut primarju?</v>
      </c>
    </row>
    <row r="15531" ht="15.75" customHeight="1">
      <c r="A15531" s="2" t="s">
        <v>15531</v>
      </c>
      <c r="B15531" s="2" t="str">
        <f>IFERROR(__xludf.DUMMYFUNCTION("GOOGLETRANSLATE(A15531, ""en"", ""mt"")"),"fehim intuwittiv")</f>
        <v>fehim intuwittiv</v>
      </c>
    </row>
    <row r="15532" ht="15.75" customHeight="1">
      <c r="A15532" s="2" t="s">
        <v>15532</v>
      </c>
      <c r="B15532" s="2" t="str">
        <f>IFERROR(__xludf.DUMMYFUNCTION("GOOGLETRANSLATE(A15532, ""en"", ""mt"")"),"Purus Arch")</f>
        <v>Purus Arch</v>
      </c>
    </row>
    <row r="15533" ht="15.75" customHeight="1">
      <c r="A15533" s="2" t="s">
        <v>15533</v>
      </c>
      <c r="B15533" s="2" t="str">
        <f>IFERROR(__xludf.DUMMYFUNCTION("GOOGLETRANSLATE(A15533, ""en"", ""mt"")"),"Ikklassifikat 'il fuq miż-żewġ tobba personali tal-Imperatur")</f>
        <v>Ikklassifikat 'il fuq miż-żewġ tobba personali tal-Imperatur</v>
      </c>
    </row>
    <row r="15534" ht="15.75" customHeight="1">
      <c r="A15534" s="2" t="s">
        <v>15534</v>
      </c>
      <c r="B15534" s="2" t="str">
        <f>IFERROR(__xludf.DUMMYFUNCTION("GOOGLETRANSLATE(A15534, ""en"", ""mt"")"),"Ġenerazzjoni ta 'enerġija elettrika")</f>
        <v>Ġenerazzjoni ta 'enerġija elettrika</v>
      </c>
    </row>
    <row r="15535" ht="15.75" customHeight="1">
      <c r="A15535" s="2" t="s">
        <v>15535</v>
      </c>
      <c r="B15535" s="2" t="str">
        <f>IFERROR(__xludf.DUMMYFUNCTION("GOOGLETRANSLATE(A15535, ""en"", ""mt"")"),"Kemm tista 'l-SP tbiddel it-taxxa fuq id-dħul fl-Iskozja?")</f>
        <v>Kemm tista 'l-SP tbiddel it-taxxa fuq id-dħul fl-Iskozja?</v>
      </c>
    </row>
    <row r="15536" ht="15.75" customHeight="1">
      <c r="A15536" s="2" t="s">
        <v>15536</v>
      </c>
      <c r="B15536" s="2" t="str">
        <f>IFERROR(__xludf.DUMMYFUNCTION("GOOGLETRANSLATE(A15536, ""en"", ""mt"")"),"X'jista 'jipproduċi l-ossiġnu kkonċentrat?")</f>
        <v>X'jista 'jipproduċi l-ossiġnu kkonċentrat?</v>
      </c>
    </row>
    <row r="15537" ht="15.75" customHeight="1">
      <c r="A15537" s="2" t="s">
        <v>15537</v>
      </c>
      <c r="B15537" s="2" t="str">
        <f>IFERROR(__xludf.DUMMYFUNCTION("GOOGLETRANSLATE(A15537, ""en"", ""mt"")"),"għandu problemi biex jiddistingwi bejn id-dijossidu tal-karbonju u l-ossiġnu")</f>
        <v>għandu problemi biex jiddistingwi bejn id-dijossidu tal-karbonju u l-ossiġnu</v>
      </c>
    </row>
    <row r="15538" ht="15.75" customHeight="1">
      <c r="A15538" s="2" t="s">
        <v>15538</v>
      </c>
      <c r="B15538" s="2" t="str">
        <f>IFERROR(__xludf.DUMMYFUNCTION("GOOGLETRANSLATE(A15538, ""en"", ""mt"")"),"Fibrożi pulmonari permanenti")</f>
        <v>Fibrożi pulmonari permanenti</v>
      </c>
    </row>
    <row r="15539" ht="15.75" customHeight="1">
      <c r="A15539" s="2" t="s">
        <v>15539</v>
      </c>
      <c r="B15539" s="2" t="str">
        <f>IFERROR(__xludf.DUMMYFUNCTION("GOOGLETRANSLATE(A15539, ""en"", ""mt"")"),"Wara li saħħaħ il-gvern tiegħu fit-Tramuntana taċ-Ċina, Kublai segwa politika espansjonista f'konformità mat-tradizzjoni tal-Mongolja u l-imperjalizmu Ċiniż. Huwa ġedded sewqan massiv kontra d-dinastija tal-kanzunetta fin-nofsinhar. Kublai assedja lil Xia"&amp;"ngyang bejn l-1268 u l-1273, l-aħħar ostaklu fi triqtu biex jaqbad il-baċin tax-Xmara Rich Yangzi. Sar spedizzjoni navali li ma rnexxietx kontra l-Ġappun fl-1274. Kublai qabad il-kanzunetta tal-kapitali ta 'Hangzhou fl-1276, l-iktar belt sinjura taċ-Ċina."&amp;" Kanzunetta Loyalists ħarbu mill-kapitali u enfasizzaw tifel żgħir bħala l-Imperatur Bing tal-Kanzunetta. Il-Mongoli għelbu lill-Loyalists fil-Battalja ta ’Yamen fl-1279. L-aħħar kanzunetta imperatur għerqet, u ġab fi tmiem id-dinastija tal-kanzunetta. Il"&amp;"-konkwista tal-kanzunetta reġgħet ingħaqdet iċ-Ċina tat-Tramuntana u tan-Nofsinhar għall-ewwel darba fi tliet mitt sena.")</f>
        <v>Wara li saħħaħ il-gvern tiegħu fit-Tramuntana taċ-Ċina, Kublai segwa politika espansjonista f'konformità mat-tradizzjoni tal-Mongolja u l-imperjalizmu Ċiniż. Huwa ġedded sewqan massiv kontra d-dinastija tal-kanzunetta fin-nofsinhar. Kublai assedja lil Xiangyang bejn l-1268 u l-1273, l-aħħar ostaklu fi triqtu biex jaqbad il-baċin tax-Xmara Rich Yangzi. Sar spedizzjoni navali li ma rnexxietx kontra l-Ġappun fl-1274. Kublai qabad il-kanzunetta tal-kapitali ta 'Hangzhou fl-1276, l-iktar belt sinjura taċ-Ċina. Kanzunetta Loyalists ħarbu mill-kapitali u enfasizzaw tifel żgħir bħala l-Imperatur Bing tal-Kanzunetta. Il-Mongoli għelbu lill-Loyalists fil-Battalja ta ’Yamen fl-1279. L-aħħar kanzunetta imperatur għerqet, u ġab fi tmiem id-dinastija tal-kanzunetta. Il-konkwista tal-kanzunetta reġgħet ingħaqdet iċ-Ċina tat-Tramuntana u tan-Nofsinhar għall-ewwel darba fi tliet mitt sena.</v>
      </c>
    </row>
    <row r="15540" ht="15.75" customHeight="1">
      <c r="A15540" s="2" t="s">
        <v>15540</v>
      </c>
      <c r="B15540" s="2" t="str">
        <f>IFERROR(__xludf.DUMMYFUNCTION("GOOGLETRANSLATE(A15540, ""en"", ""mt"")"),"Fl-1932 għal xiex inbidel il-kejl tar-Renu?")</f>
        <v>Fl-1932 għal xiex inbidel il-kejl tar-Renu?</v>
      </c>
    </row>
    <row r="15541" ht="15.75" customHeight="1">
      <c r="A15541" s="2" t="s">
        <v>15541</v>
      </c>
      <c r="B15541" s="2" t="str">
        <f>IFERROR(__xludf.DUMMYFUNCTION("GOOGLETRANSLATE(A15541, ""en"", ""mt"")"),"tagħlim bejn il-pari u d-dotazzjoni finanzjarja tal-iskola")</f>
        <v>tagħlim bejn il-pari u d-dotazzjoni finanzjarja tal-iskola</v>
      </c>
    </row>
    <row r="15542" ht="15.75" customHeight="1">
      <c r="A15542" s="2" t="s">
        <v>15542</v>
      </c>
      <c r="B15542" s="2" t="str">
        <f>IFERROR(__xludf.DUMMYFUNCTION("GOOGLETRANSLATE(A15542, ""en"", ""mt"")"),"X'kienu ż-żewġ forom ta 'determiniżmu ambjentali?")</f>
        <v>X'kienu ż-żewġ forom ta 'determiniżmu ambjentali?</v>
      </c>
    </row>
    <row r="15543" ht="15.75" customHeight="1">
      <c r="A15543" s="2" t="s">
        <v>15543</v>
      </c>
      <c r="B15543" s="2" t="str">
        <f>IFERROR(__xludf.DUMMYFUNCTION("GOOGLETRANSLATE(A15543, ""en"", ""mt"")"),"Liema żewġ gruppi għandhom ċelloli marbuta permezz ta 'konnessjonijiet inter-ċelloli u membrani, muskoli, sistema nervuża u organi sensorji?")</f>
        <v>Liema żewġ gruppi għandhom ċelloli marbuta permezz ta 'konnessjonijiet inter-ċelloli u membrani, muskoli, sistema nervuża u organi sensorji?</v>
      </c>
    </row>
    <row r="15544" ht="15.75" customHeight="1">
      <c r="A15544" s="2" t="s">
        <v>15544</v>
      </c>
      <c r="B15544" s="2" t="str">
        <f>IFERROR(__xludf.DUMMYFUNCTION("GOOGLETRANSLATE(A15544, ""en"", ""mt"")"),"ċaħdet l-eżistenza")</f>
        <v>ċaħdet l-eżistenza</v>
      </c>
    </row>
    <row r="15545" ht="15.75" customHeight="1">
      <c r="A15545" s="2" t="s">
        <v>15545</v>
      </c>
      <c r="B15545" s="2" t="str">
        <f>IFERROR(__xludf.DUMMYFUNCTION("GOOGLETRANSLATE(A15545, ""en"", ""mt"")"),"X’ħeġġeġ l-iskambju kulturali taħt il-wan?")</f>
        <v>X’ħeġġeġ l-iskambju kulturali taħt il-wan?</v>
      </c>
    </row>
    <row r="15546" ht="15.75" customHeight="1">
      <c r="A15546" s="2" t="s">
        <v>15546</v>
      </c>
      <c r="B15546" s="2" t="str">
        <f>IFERROR(__xludf.DUMMYFUNCTION("GOOGLETRANSLATE(A15546, ""en"", ""mt"")"),"Ix-xjentisti kif vvalutaw id-DNA / RNA ta 'Yersinia pestis?")</f>
        <v>Ix-xjentisti kif vvalutaw id-DNA / RNA ta 'Yersinia pestis?</v>
      </c>
    </row>
    <row r="15547" ht="15.75" customHeight="1">
      <c r="A15547" s="2" t="s">
        <v>15547</v>
      </c>
      <c r="B15547" s="2" t="str">
        <f>IFERROR(__xludf.DUMMYFUNCTION("GOOGLETRANSLATE(A15547, ""en"", ""mt"")"),"300 km twil")</f>
        <v>300 km twil</v>
      </c>
    </row>
    <row r="15548" ht="15.75" customHeight="1">
      <c r="A15548" s="2" t="s">
        <v>15548</v>
      </c>
      <c r="B15548" s="2" t="str">
        <f>IFERROR(__xludf.DUMMYFUNCTION("GOOGLETRANSLATE(A15548, ""en"", ""mt"")"),"Kemm mill-prodotti tal-proteina tal-ġeni trasferiti ma jmorrux lura għall-kloroplasti?")</f>
        <v>Kemm mill-prodotti tal-proteina tal-ġeni trasferiti ma jmorrux lura għall-kloroplasti?</v>
      </c>
    </row>
    <row r="15549" ht="15.75" customHeight="1">
      <c r="A15549" s="2" t="s">
        <v>15549</v>
      </c>
      <c r="B15549" s="2" t="str">
        <f>IFERROR(__xludf.DUMMYFUNCTION("GOOGLETRANSLATE(A15549, ""en"", ""mt"")"),"Kemm staġuni ddum NYPD Blue?")</f>
        <v>Kemm staġuni ddum NYPD Blue?</v>
      </c>
    </row>
    <row r="15550" ht="15.75" customHeight="1">
      <c r="A15550" s="2" t="s">
        <v>15550</v>
      </c>
      <c r="B15550" s="2" t="str">
        <f>IFERROR(__xludf.DUMMYFUNCTION("GOOGLETRANSLATE(A15550, ""en"", ""mt"")"),"Dożi baxxi ta 'anti-infjammatorji xi kultant jintużaw ma' liema klassijiet ta 'mediċini?")</f>
        <v>Dożi baxxi ta 'anti-infjammatorji xi kultant jintużaw ma' liema klassijiet ta 'mediċini?</v>
      </c>
    </row>
    <row r="15551" ht="15.75" customHeight="1">
      <c r="A15551" s="2" t="s">
        <v>15551</v>
      </c>
      <c r="B15551" s="2" t="str">
        <f>IFERROR(__xludf.DUMMYFUNCTION("GOOGLETRANSLATE(A15551, ""en"", ""mt"")"),"Festival taċ-ċikliżmu")</f>
        <v>Festival taċ-ċikliżmu</v>
      </c>
    </row>
    <row r="15552" ht="15.75" customHeight="1">
      <c r="A15552" s="2" t="s">
        <v>15552</v>
      </c>
      <c r="B15552" s="2" t="str">
        <f>IFERROR(__xludf.DUMMYFUNCTION("GOOGLETRANSLATE(A15552, ""en"", ""mt"")"),"Luther x'numni r-Rebels?")</f>
        <v>Luther x'numni r-Rebels?</v>
      </c>
    </row>
    <row r="15553" ht="15.75" customHeight="1">
      <c r="A15553" s="2" t="s">
        <v>15553</v>
      </c>
      <c r="B15553" s="2" t="str">
        <f>IFERROR(__xludf.DUMMYFUNCTION("GOOGLETRANSLATE(A15553, ""en"", ""mt"")"),"imnebbaħ")</f>
        <v>imnebbaħ</v>
      </c>
    </row>
    <row r="15554" ht="15.75" customHeight="1">
      <c r="A15554" s="2" t="s">
        <v>15554</v>
      </c>
      <c r="B15554" s="2" t="str">
        <f>IFERROR(__xludf.DUMMYFUNCTION("GOOGLETRANSLATE(A15554, ""en"", ""mt"")"),"Ġew miktuba algoritmi li jsolvu l-problema fi żminijiet raġonevoli f'ħafna każijiet")</f>
        <v>Ġew miktuba algoritmi li jsolvu l-problema fi żminijiet raġonevoli f'ħafna każijiet</v>
      </c>
    </row>
    <row r="15555" ht="15.75" customHeight="1">
      <c r="A15555" s="2" t="s">
        <v>15555</v>
      </c>
      <c r="B15555" s="2" t="str">
        <f>IFERROR(__xludf.DUMMYFUNCTION("GOOGLETRANSLATE(A15555, ""en"", ""mt"")"),"riċevimenti, laqgħat jew skopijiet ta 'esibizzjoni")</f>
        <v>riċevimenti, laqgħat jew skopijiet ta 'esibizzjoni</v>
      </c>
    </row>
    <row r="15556" ht="15.75" customHeight="1">
      <c r="A15556" s="2" t="s">
        <v>15556</v>
      </c>
      <c r="B15556" s="2" t="str">
        <f>IFERROR(__xludf.DUMMYFUNCTION("GOOGLETRANSLATE(A15556, ""en"", ""mt"")"),"Storja tal-Armi")</f>
        <v>Storja tal-Armi</v>
      </c>
    </row>
    <row r="15557" ht="15.75" customHeight="1">
      <c r="A15557" s="2" t="s">
        <v>15557</v>
      </c>
      <c r="B15557" s="2" t="str">
        <f>IFERROR(__xludf.DUMMYFUNCTION("GOOGLETRANSLATE(A15557, ""en"", ""mt"")"),"il-qalb")</f>
        <v>il-qalb</v>
      </c>
    </row>
    <row r="15558" ht="15.75" customHeight="1">
      <c r="A15558" s="2" t="s">
        <v>15558</v>
      </c>
      <c r="B15558" s="2" t="str">
        <f>IFERROR(__xludf.DUMMYFUNCTION("GOOGLETRANSLATE(A15558, ""en"", ""mt"")"),"kliem mitkellem")</f>
        <v>kliem mitkellem</v>
      </c>
    </row>
    <row r="15559" ht="15.75" customHeight="1">
      <c r="A15559" s="2" t="s">
        <v>15559</v>
      </c>
      <c r="B15559" s="2" t="str">
        <f>IFERROR(__xludf.DUMMYFUNCTION("GOOGLETRANSLATE(A15559, ""en"", ""mt"")"),"Meta ħadu l-moll tad-distributarji ewlenin tar-Rhine?")</f>
        <v>Meta ħadu l-moll tad-distributarji ewlenin tar-Rhine?</v>
      </c>
    </row>
    <row r="15560" ht="15.75" customHeight="1">
      <c r="A15560" s="2" t="s">
        <v>15560</v>
      </c>
      <c r="B15560" s="2" t="str">
        <f>IFERROR(__xludf.DUMMYFUNCTION("GOOGLETRANSLATE(A15560, ""en"", ""mt"")"),"Liema reġjun tar-Renu nbidel mill-programm ta 'rilaxx ta' Rhine?")</f>
        <v>Liema reġjun tar-Renu nbidel mill-programm ta 'rilaxx ta' Rhine?</v>
      </c>
    </row>
    <row r="15561" ht="15.75" customHeight="1">
      <c r="A15561" s="2" t="s">
        <v>15561</v>
      </c>
      <c r="B15561" s="2" t="str">
        <f>IFERROR(__xludf.DUMMYFUNCTION("GOOGLETRANSLATE(A15561, ""en"", ""mt"")"),"protesta")</f>
        <v>protesta</v>
      </c>
    </row>
    <row r="15562" ht="15.75" customHeight="1">
      <c r="A15562" s="2" t="s">
        <v>15562</v>
      </c>
      <c r="B15562" s="2" t="str">
        <f>IFERROR(__xludf.DUMMYFUNCTION("GOOGLETRANSLATE(A15562, ""en"", ""mt"")"),"Wara l-mewt ta 'Tugh Temür fl-1332 u l-mewt sussegwenti ta' Rinchinbal (Imperatur Ningzong) fl-istess sena, it-Togun Togür ta '13 -il sena (l-Imperatur Huizong), l-aħħar wieħed mid-disa 'suċċessuri ta' Kublai Khan, ġie mħarrek lura minn Guangxi u irnexxie"&amp;"lu fit-tron. Wara l-mewt ta 'El Temür, Bayan sar uffiċjali daqshekk qawwi daqs El Temür kien ilu fil-bidu tar-renju twil tiegħu. Hekk kif Togun Temür kiber, huwa ġie biex ma japprovax ir-regola awtokratika ta 'Bayan. Fl-1340 huwa alleat lilu nnifsu man-ne"&amp;"puti ta 'Bayan Toqto'a, li kien f'diskordja ma' Bayan, u mkeċċi lil Bayan mill-kolp ta 'stat. Bit-tkeċċija ta ’Bayan, Toghtogha ħatfet il-poter tal-qorti. L-ewwel amministrazzjoni tiegħu esibita b'mod ċar spirtu ġdid ġdid. Huwa ta wkoll ftit sinjali bikri"&amp;"ja ta 'direzzjoni ġdida u pożittiva fil-gvern ċentrali. Wieħed mill-proġetti ta 'suċċess tiegħu kien li jintemm l-istoriji uffiċjali staljati fit-tul tad-dinastiji ta' Liao, Jin, u Song, li eventwalment tlestew fl-1345. Madankollu, Toghtogha rriżenja mill"&amp;"-kariga tiegħu bl-approvazzjoni ta 'Toghun Temür, li mmarka t-tmiem tal-ewwel tiegħu Amministrazzjoni, u hu ma kienx imsejjaħ lura sal-1349.")</f>
        <v>Wara l-mewt ta 'Tugh Temür fl-1332 u l-mewt sussegwenti ta' Rinchinbal (Imperatur Ningzong) fl-istess sena, it-Togun Togür ta '13 -il sena (l-Imperatur Huizong), l-aħħar wieħed mid-disa 'suċċessuri ta' Kublai Khan, ġie mħarrek lura minn Guangxi u irnexxielu fit-tron. Wara l-mewt ta 'El Temür, Bayan sar uffiċjali daqshekk qawwi daqs El Temür kien ilu fil-bidu tar-renju twil tiegħu. Hekk kif Togun Temür kiber, huwa ġie biex ma japprovax ir-regola awtokratika ta 'Bayan. Fl-1340 huwa alleat lilu nnifsu man-neputi ta 'Bayan Toqto'a, li kien f'diskordja ma' Bayan, u mkeċċi lil Bayan mill-kolp ta 'stat. Bit-tkeċċija ta ’Bayan, Toghtogha ħatfet il-poter tal-qorti. L-ewwel amministrazzjoni tiegħu esibita b'mod ċar spirtu ġdid ġdid. Huwa ta wkoll ftit sinjali bikrija ta 'direzzjoni ġdida u pożittiva fil-gvern ċentrali. Wieħed mill-proġetti ta 'suċċess tiegħu kien li jintemm l-istoriji uffiċjali staljati fit-tul tad-dinastiji ta' Liao, Jin, u Song, li eventwalment tlestew fl-1345. Madankollu, Toghtogha rriżenja mill-kariga tiegħu bl-approvazzjoni ta 'Toghun Temür, li mmarka t-tmiem tal-ewwel tiegħu Amministrazzjoni, u hu ma kienx imsejjaħ lura sal-1349.</v>
      </c>
    </row>
    <row r="15563" ht="15.75" customHeight="1">
      <c r="A15563" s="2" t="s">
        <v>15563</v>
      </c>
      <c r="B15563" s="2" t="str">
        <f>IFERROR(__xludf.DUMMYFUNCTION("GOOGLETRANSLATE(A15563, ""en"", ""mt"")"),"X’jikkawżaw żieda fil-gassijiet b’effett ta ’serra?")</f>
        <v>X’jikkawżaw żieda fil-gassijiet b’effett ta ’serra?</v>
      </c>
    </row>
    <row r="15564" ht="15.75" customHeight="1">
      <c r="A15564" s="2" t="s">
        <v>15564</v>
      </c>
      <c r="B15564" s="2" t="str">
        <f>IFERROR(__xludf.DUMMYFUNCTION("GOOGLETRANSLATE(A15564, ""en"", ""mt"")"),"Kif jissejjaħ spiżjar li jgħaddi l-eżami tal-ispiżjar ambulatorju?")</f>
        <v>Kif jissejjaħ spiżjar li jgħaddi l-eżami tal-ispiżjar ambulatorju?</v>
      </c>
    </row>
    <row r="15565" ht="15.75" customHeight="1">
      <c r="A15565" s="2" t="s">
        <v>15565</v>
      </c>
      <c r="B15565" s="2" t="str">
        <f>IFERROR(__xludf.DUMMYFUNCTION("GOOGLETRANSLATE(A15565, ""en"", ""mt"")"),"Trade Unions")</f>
        <v>Trade Unions</v>
      </c>
    </row>
    <row r="15566" ht="15.75" customHeight="1">
      <c r="A15566" s="2" t="s">
        <v>15566</v>
      </c>
      <c r="B15566" s="2" t="str">
        <f>IFERROR(__xludf.DUMMYFUNCTION("GOOGLETRANSLATE(A15566, ""en"", ""mt"")"),"Datagrammi mhux affidabbli u mekkaniżmi ta 'protokoll end-to-end assoċjati")</f>
        <v>Datagrammi mhux affidabbli u mekkaniżmi ta 'protokoll end-to-end assoċjati</v>
      </c>
    </row>
    <row r="15567" ht="15.75" customHeight="1">
      <c r="A15567" s="2" t="s">
        <v>15567</v>
      </c>
      <c r="B15567" s="2" t="str">
        <f>IFERROR(__xludf.DUMMYFUNCTION("GOOGLETRANSLATE(A15567, ""en"", ""mt"")"),"Tylakoid spirali")</f>
        <v>Tylakoid spirali</v>
      </c>
    </row>
    <row r="15568" ht="15.75" customHeight="1">
      <c r="A15568" s="2" t="s">
        <v>15568</v>
      </c>
      <c r="B15568" s="2" t="str">
        <f>IFERROR(__xludf.DUMMYFUNCTION("GOOGLETRANSLATE(A15568, ""en"", ""mt"")"),"Xi wħud mill-ippjanar u d-dfin Kristjan")</f>
        <v>Xi wħud mill-ippjanar u d-dfin Kristjan</v>
      </c>
    </row>
    <row r="15569" ht="15.75" customHeight="1">
      <c r="A15569" s="2" t="s">
        <v>15569</v>
      </c>
      <c r="B15569" s="2" t="str">
        <f>IFERROR(__xludf.DUMMYFUNCTION("GOOGLETRANSLATE(A15569, ""en"", ""mt"")"),"Minn min, lil Luther, kienet il-ġustifikazzjoni għal kollox ix-xogħol?")</f>
        <v>Minn min, lil Luther, kienet il-ġustifikazzjoni għal kollox ix-xogħol?</v>
      </c>
    </row>
    <row r="15570" ht="15.75" customHeight="1">
      <c r="A15570" s="2" t="s">
        <v>15570</v>
      </c>
      <c r="B15570" s="2" t="str">
        <f>IFERROR(__xludf.DUMMYFUNCTION("GOOGLETRANSLATE(A15570, ""en"", ""mt"")"),"It-tielet tip ta 'konġetturi jikkonċerna aspetti tad-distribuzzjoni tal-primes. Huwa konġetta li hemm ħafna primes twin, pari ta 'primes b'differenza 2 (konġettura Twin Prime). Il-konġettura ta 'Polignac hija tisħiħ ta' dik il-konġettura, hija tiddikjara "&amp;"li għal kull numru sħiħ pożittiv, hemm ħafna pari ta 'primes konsekuttivi li huma differenti minn 2n. Huwa konġettat li hemm infinitament ħafna primes tal-forma N2 + 1. Dawn il-konġetturi huma każijiet speċjali tal-ipoteżi wiesgħa ta 'Schinzel H. Il-konġe"&amp;"ttura ta' Brocard tgħid li dejjem hemm mill-inqas erba 'primes bejn il-kwadri ta' primes konsekuttivi akbar minn 2. Il-konġettura ta 'Legendre jiddikjara li hemm numru ewlieni bejn N2 u (n + 1) 2 għal kull numru sħiħ pożittiv n. Huwa implikat mill-konġett"&amp;"ura ta 'Cramér aktar b'saħħitha.")</f>
        <v>It-tielet tip ta 'konġetturi jikkonċerna aspetti tad-distribuzzjoni tal-primes. Huwa konġetta li hemm ħafna primes twin, pari ta 'primes b'differenza 2 (konġettura Twin Prime). Il-konġettura ta 'Polignac hija tisħiħ ta' dik il-konġettura, hija tiddikjara li għal kull numru sħiħ pożittiv, hemm ħafna pari ta 'primes konsekuttivi li huma differenti minn 2n. Huwa konġettat li hemm infinitament ħafna primes tal-forma N2 + 1. Dawn il-konġetturi huma każijiet speċjali tal-ipoteżi wiesgħa ta 'Schinzel H. Il-konġettura ta' Brocard tgħid li dejjem hemm mill-inqas erba 'primes bejn il-kwadri ta' primes konsekuttivi akbar minn 2. Il-konġettura ta 'Legendre jiddikjara li hemm numru ewlieni bejn N2 u (n + 1) 2 għal kull numru sħiħ pożittiv n. Huwa implikat mill-konġettura ta 'Cramér aktar b'saħħitha.</v>
      </c>
    </row>
    <row r="15571" ht="15.75" customHeight="1">
      <c r="A15571" s="2" t="s">
        <v>15571</v>
      </c>
      <c r="B15571" s="2" t="str">
        <f>IFERROR(__xludf.DUMMYFUNCTION("GOOGLETRANSLATE(A15571, ""en"", ""mt"")"),"Netwerk tal-Fondazzjoni Nazzjonali tax-Xjenza")</f>
        <v>Netwerk tal-Fondazzjoni Nazzjonali tax-Xjenza</v>
      </c>
    </row>
    <row r="15572" ht="15.75" customHeight="1">
      <c r="A15572" s="2" t="s">
        <v>15572</v>
      </c>
      <c r="B15572" s="2" t="str">
        <f>IFERROR(__xludf.DUMMYFUNCTION("GOOGLETRANSLATE(A15572, ""en"", ""mt"")"),"Fejn se jitwaqqa 'Canonball mill-bejta taċ-ċawla ta' art tal-vapur skond Aristotile?")</f>
        <v>Fejn se jitwaqqa 'Canonball mill-bejta taċ-ċawla ta' art tal-vapur skond Aristotile?</v>
      </c>
    </row>
    <row r="15573" ht="15.75" customHeight="1">
      <c r="A15573" s="2" t="s">
        <v>15573</v>
      </c>
      <c r="B15573" s="2" t="str">
        <f>IFERROR(__xludf.DUMMYFUNCTION("GOOGLETRANSLATE(A15573, ""en"", ""mt"")"),"Sitt reġimenti għal Franza Ġdida")</f>
        <v>Sitt reġimenti għal Franza Ġdida</v>
      </c>
    </row>
    <row r="15574" ht="15.75" customHeight="1">
      <c r="A15574" s="2" t="s">
        <v>15574</v>
      </c>
      <c r="B15574" s="2" t="str">
        <f>IFERROR(__xludf.DUMMYFUNCTION("GOOGLETRANSLATE(A15574, ""en"", ""mt"")"),"figuri politiċi")</f>
        <v>figuri politiċi</v>
      </c>
    </row>
    <row r="15575" ht="15.75" customHeight="1">
      <c r="A15575" s="2" t="s">
        <v>15575</v>
      </c>
      <c r="B15575" s="2" t="str">
        <f>IFERROR(__xludf.DUMMYFUNCTION("GOOGLETRANSLATE(A15575, ""en"", ""mt"")"),"biex titlaq ir-riġenerazzjoni tal-Grigal")</f>
        <v>biex titlaq ir-riġenerazzjoni tal-Grigal</v>
      </c>
    </row>
    <row r="15576" ht="15.75" customHeight="1">
      <c r="A15576" s="2" t="s">
        <v>15576</v>
      </c>
      <c r="B15576" s="2" t="str">
        <f>IFERROR(__xludf.DUMMYFUNCTION("GOOGLETRANSLATE(A15576, ""en"", ""mt"")"),"żieda fid-daqs tal-input")</f>
        <v>żieda fid-daqs tal-input</v>
      </c>
    </row>
    <row r="15577" ht="15.75" customHeight="1">
      <c r="A15577" s="2" t="s">
        <v>15577</v>
      </c>
      <c r="B15577" s="2" t="str">
        <f>IFERROR(__xludf.DUMMYFUNCTION("GOOGLETRANSLATE(A15577, ""en"", ""mt"")"),"OAPEC ipproklama l-embargo li trażżan l-esportazzjonijiet lejn diversi pajjiżi")</f>
        <v>OAPEC ipproklama l-embargo li trażżan l-esportazzjonijiet lejn diversi pajjiżi</v>
      </c>
    </row>
    <row r="15578" ht="15.75" customHeight="1">
      <c r="A15578" s="2" t="s">
        <v>15578</v>
      </c>
      <c r="B15578" s="2" t="str">
        <f>IFERROR(__xludf.DUMMYFUNCTION("GOOGLETRANSLATE(A15578, ""en"", ""mt"")"),"Il-prinċipju tas-suċċessjoni faunal")</f>
        <v>Il-prinċipju tas-suċċessjoni faunal</v>
      </c>
    </row>
    <row r="15579" ht="15.75" customHeight="1">
      <c r="A15579" s="2" t="s">
        <v>15579</v>
      </c>
      <c r="B15579" s="2" t="str">
        <f>IFERROR(__xludf.DUMMYFUNCTION("GOOGLETRANSLATE(A15579, ""en"", ""mt"")"),"Liema sena l-prezz taż-żejt waqa 'għal $ 10 kull barmil?")</f>
        <v>Liema sena l-prezz taż-żejt waqa 'għal $ 10 kull barmil?</v>
      </c>
    </row>
    <row r="15580" ht="15.75" customHeight="1">
      <c r="A15580" s="2" t="s">
        <v>15580</v>
      </c>
      <c r="B15580" s="2" t="str">
        <f>IFERROR(__xludf.DUMMYFUNCTION("GOOGLETRANSLATE(A15580, ""en"", ""mt"")"),"problema ta 'diverġenza")</f>
        <v>problema ta 'diverġenza</v>
      </c>
    </row>
    <row r="15581" ht="15.75" customHeight="1">
      <c r="A15581" s="2" t="s">
        <v>15581</v>
      </c>
      <c r="B15581" s="2" t="str">
        <f>IFERROR(__xludf.DUMMYFUNCTION("GOOGLETRANSLATE(A15581, ""en"", ""mt"")"),"Terminu użat oriġinarjament fid-derision, Huguenot għandu oriġini mhux ċari. Ġew promossi diversi ipoteżijiet. Il-laqam seta 'kien referenza kkombinata għall-politikant Żvizzeru Besançon Hugues (miet fl-1532) u n-natura reliġjuża f'kunflitt tar-repubblika"&amp;"niżmu Żvizzeru fi żmienu, bl-użu ta' pun derogatorju għaqlija fuq l-isem Hugues permezz tal-kelma Olandiża Huisgenoten (litteralment akkomodati) , li tirreferi għall-konnotazzjonijiet ta 'kelma kemmxejn relatata fl-eidgenosse Ġermaniża (konfederati bħal f"&amp;"' ""ċittadin ta 'wieħed mill-istati tal-Konfederazzjoni Żvizzera""). Ġinevra kien id-dar adottata ta 'John Calvin u ċ-ċentru tal-moviment kalvinista. F'Ġinevra, Hugues, għalkemm Kattoliku, kien mexxej tal- ""Partit Konfederat"", hekk imsejjaħ minħabba li "&amp;"kien iffavorixxa l-indipendenza mid-Duka ta 'Savoy permezz ta' alleanza bejn l-istat tal-belt ta 'Ġinevra u l-Konfederazzjoni Żvizzera. It-tikketta Huguenot kienet suppost applikata l-ewwel fi Franza għal dawk il-konspiraturi (kollha kemm huma membri aris"&amp;"tokratiċi tal-knisja Riformata) involuti fil-plott tal-Amboise tal-1560: tentattiv fuljett biex iwaqqaf il-poter fi Franza mill-Kamra Influwenti tal-Iskuża. Il-mossa kienet ikollha l-effett sekondarju li titrawwem ir-relazzjonijiet mal-Isvizzeri. Għalhekk"&amp;", Hugues flimkien ma 'Eidgenosse permezz ta' Huisgenoten suppost sar Huguenot, laqam li jassoċja l-kawża Protestanti mal-politika mhux popolari fi Franza. [Ċitazzjoni meħtieġa]")</f>
        <v>Terminu użat oriġinarjament fid-derision, Huguenot għandu oriġini mhux ċari. Ġew promossi diversi ipoteżijiet. Il-laqam seta 'kien referenza kkombinata għall-politikant Żvizzeru Besançon Hugues (miet fl-1532) u n-natura reliġjuża f'kunflitt tar-repubblikaniżmu Żvizzeru fi żmienu, bl-użu ta' pun derogatorju għaqlija fuq l-isem Hugues permezz tal-kelma Olandiża Huisgenoten (litteralment akkomodati) , li tirreferi għall-konnotazzjonijiet ta 'kelma kemmxejn relatata fl-eidgenosse Ġermaniża (konfederati bħal f' "ċittadin ta 'wieħed mill-istati tal-Konfederazzjoni Żvizzera"). Ġinevra kien id-dar adottata ta 'John Calvin u ċ-ċentru tal-moviment kalvinista. F'Ġinevra, Hugues, għalkemm Kattoliku, kien mexxej tal- "Partit Konfederat", hekk imsejjaħ minħabba li kien iffavorixxa l-indipendenza mid-Duka ta 'Savoy permezz ta' alleanza bejn l-istat tal-belt ta 'Ġinevra u l-Konfederazzjoni Żvizzera. It-tikketta Huguenot kienet suppost applikata l-ewwel fi Franza għal dawk il-konspiraturi (kollha kemm huma membri aristokratiċi tal-knisja Riformata) involuti fil-plott tal-Amboise tal-1560: tentattiv fuljett biex iwaqqaf il-poter fi Franza mill-Kamra Influwenti tal-Iskuża. Il-mossa kienet ikollha l-effett sekondarju li titrawwem ir-relazzjonijiet mal-Isvizzeri. Għalhekk, Hugues flimkien ma 'Eidgenosse permezz ta' Huisgenoten suppost sar Huguenot, laqam li jassoċja l-kawża Protestanti mal-politika mhux popolari fi Franza. [Ċitazzjoni meħtieġa]</v>
      </c>
    </row>
    <row r="15582" ht="15.75" customHeight="1">
      <c r="A15582" s="2" t="s">
        <v>15582</v>
      </c>
      <c r="B15582" s="2" t="str">
        <f>IFERROR(__xludf.DUMMYFUNCTION("GOOGLETRANSLATE(A15582, ""en"", ""mt"")"),"Fejn hi dar tal-palm bi pjanti subtropiċi mid-dinja kollha għall-wiri?")</f>
        <v>Fejn hi dar tal-palm bi pjanti subtropiċi mid-dinja kollha għall-wiri?</v>
      </c>
    </row>
    <row r="15583" ht="15.75" customHeight="1">
      <c r="A15583" s="2" t="s">
        <v>15583</v>
      </c>
      <c r="B15583" s="2" t="str">
        <f>IFERROR(__xludf.DUMMYFUNCTION("GOOGLETRANSLATE(A15583, ""en"", ""mt"")"),"Netwerk tad-Dejta Qalba Pubblika")</f>
        <v>Netwerk tad-Dejta Qalba Pubblika</v>
      </c>
    </row>
    <row r="15584" ht="15.75" customHeight="1">
      <c r="A15584" s="2" t="s">
        <v>15584</v>
      </c>
      <c r="B15584" s="2" t="str">
        <f>IFERROR(__xludf.DUMMYFUNCTION("GOOGLETRANSLATE(A15584, ""en"", ""mt"")"),"Perjodu ta '4 ġimgħat")</f>
        <v>Perjodu ta '4 ġimgħat</v>
      </c>
    </row>
    <row r="15585" ht="15.75" customHeight="1">
      <c r="A15585" s="2" t="s">
        <v>15585</v>
      </c>
      <c r="B15585" s="2" t="str">
        <f>IFERROR(__xludf.DUMMYFUNCTION("GOOGLETRANSLATE(A15585, ""en"", ""mt"")"),"Min kien l-Elettur il-ġdid tas-Sassonja?")</f>
        <v>Min kien l-Elettur il-ġdid tas-Sassonja?</v>
      </c>
    </row>
    <row r="15586" ht="15.75" customHeight="1">
      <c r="A15586" s="2" t="s">
        <v>15586</v>
      </c>
      <c r="B15586" s="2" t="str">
        <f>IFERROR(__xludf.DUMMYFUNCTION("GOOGLETRANSLATE(A15586, ""en"", ""mt"")"),"sogħla u għatis")</f>
        <v>sogħla u għatis</v>
      </c>
    </row>
    <row r="15587" ht="15.75" customHeight="1">
      <c r="A15587" s="2" t="s">
        <v>15587</v>
      </c>
      <c r="B15587" s="2" t="str">
        <f>IFERROR(__xludf.DUMMYFUNCTION("GOOGLETRANSLATE(A15587, ""en"", ""mt"")"),"kikkra")</f>
        <v>kikkra</v>
      </c>
    </row>
    <row r="15588" ht="15.75" customHeight="1">
      <c r="A15588" s="2" t="s">
        <v>15588</v>
      </c>
      <c r="B15588" s="2" t="str">
        <f>IFERROR(__xludf.DUMMYFUNCTION("GOOGLETRANSLATE(A15588, ""en"", ""mt"")"),"rikreattiv")</f>
        <v>rikreattiv</v>
      </c>
    </row>
    <row r="15589" ht="15.75" customHeight="1">
      <c r="A15589" s="2" t="s">
        <v>15589</v>
      </c>
      <c r="B15589" s="2" t="str">
        <f>IFERROR(__xludf.DUMMYFUNCTION("GOOGLETRANSLATE(A15589, ""en"", ""mt"")"),"DECNET hija suite ta 'protokolli tan-netwerk maħluqa minn Digital Equipment Corporation, oriġinarjament rilaxxata fl-1975 sabiex tikkonnettja żewġ minikompjuters PDP-11. Huwa evolva f'waħda mill-ewwel arkitetturi tan-netwerk peer-to-peer, u b'hekk ittrasf"&amp;"orma DEC f'powerhouse ta 'netwerking fis-snin 80. Inizjalment mibnija bi tliet saffi, aktar tard (1982) evolviet fi protokoll ta 'netwerking konformi ma' seba 'saffi OSI. Il-protokolli DECNET ġew iddisinjati kompletament minn Digital Equipment Corporation"&amp;". Madankollu, il-fażi II ta 'Decnet (u aktar tard) kienu standards miftuħa bi speċifikazzjonijiet ippubblikati, u diversi implimentazzjonijiet ġew żviluppati barra minn DEC, inkluż waħda għal Linux.")</f>
        <v>DECNET hija suite ta 'protokolli tan-netwerk maħluqa minn Digital Equipment Corporation, oriġinarjament rilaxxata fl-1975 sabiex tikkonnettja żewġ minikompjuters PDP-11. Huwa evolva f'waħda mill-ewwel arkitetturi tan-netwerk peer-to-peer, u b'hekk ittrasforma DEC f'powerhouse ta 'netwerking fis-snin 80. Inizjalment mibnija bi tliet saffi, aktar tard (1982) evolviet fi protokoll ta 'netwerking konformi ma' seba 'saffi OSI. Il-protokolli DECNET ġew iddisinjati kompletament minn Digital Equipment Corporation. Madankollu, il-fażi II ta 'Decnet (u aktar tard) kienu standards miftuħa bi speċifikazzjonijiet ippubblikati, u diversi implimentazzjonijiet ġew żviluppati barra minn DEC, inkluż waħda għal Linux.</v>
      </c>
    </row>
    <row r="15590" ht="15.75" customHeight="1">
      <c r="A15590" s="2" t="s">
        <v>15590</v>
      </c>
      <c r="B15590" s="2" t="str">
        <f>IFERROR(__xludf.DUMMYFUNCTION("GOOGLETRANSLATE(A15590, ""en"", ""mt"")"),"X'inhu l-proċess li tinbidel id-dawl f'enerġija kimika?")</f>
        <v>X'inhu l-proċess li tinbidel id-dawl f'enerġija kimika?</v>
      </c>
    </row>
    <row r="15591" ht="15.75" customHeight="1">
      <c r="A15591" s="2" t="s">
        <v>15591</v>
      </c>
      <c r="B15591" s="2" t="str">
        <f>IFERROR(__xludf.DUMMYFUNCTION("GOOGLETRANSLATE(A15591, ""en"", ""mt"")"),"Turbini tal-fwar bl-irkaptu tat-tnaqqis")</f>
        <v>Turbini tal-fwar bl-irkaptu tat-tnaqqis</v>
      </c>
    </row>
    <row r="15592" ht="15.75" customHeight="1">
      <c r="A15592" s="2" t="s">
        <v>15592</v>
      </c>
      <c r="B15592" s="2" t="str">
        <f>IFERROR(__xludf.DUMMYFUNCTION("GOOGLETRANSLATE(A15592, ""en"", ""mt"")"),"Liema kejl tal-ħin jintuża fit-tnaqqis tal-ħin polinomjali?")</f>
        <v>Liema kejl tal-ħin jintuża fit-tnaqqis tal-ħin polinomjali?</v>
      </c>
    </row>
    <row r="15593" ht="15.75" customHeight="1">
      <c r="A15593" s="2" t="s">
        <v>15593</v>
      </c>
      <c r="B15593" s="2" t="str">
        <f>IFERROR(__xludf.DUMMYFUNCTION("GOOGLETRANSLATE(A15593, ""en"", ""mt"")"),"studenti gradwati u li għadhom ma ggradwawx")</f>
        <v>studenti gradwati u li għadhom ma ggradwawx</v>
      </c>
    </row>
    <row r="15594" ht="15.75" customHeight="1">
      <c r="A15594" s="2" t="s">
        <v>15594</v>
      </c>
      <c r="B15594" s="2" t="str">
        <f>IFERROR(__xludf.DUMMYFUNCTION("GOOGLETRANSLATE(A15594, ""en"", ""mt"")"),"żdied għal kariga politika ogħla")</f>
        <v>żdied għal kariga politika ogħla</v>
      </c>
    </row>
    <row r="15595" ht="15.75" customHeight="1">
      <c r="A15595" s="2" t="s">
        <v>15595</v>
      </c>
      <c r="B15595" s="2" t="str">
        <f>IFERROR(__xludf.DUMMYFUNCTION("GOOGLETRANSLATE(A15595, ""en"", ""mt"")"),"Elmu tradizzjonali tal-viżiera")</f>
        <v>Elmu tradizzjonali tal-viżiera</v>
      </c>
    </row>
    <row r="15596" ht="15.75" customHeight="1">
      <c r="A15596" s="2" t="s">
        <v>15596</v>
      </c>
      <c r="B15596" s="2" t="str">
        <f>IFERROR(__xludf.DUMMYFUNCTION("GOOGLETRANSLATE(A15596, ""en"", ""mt"")"),"nuqqas ta ’vjolenza")</f>
        <v>nuqqas ta ’vjolenza</v>
      </c>
    </row>
    <row r="15597" ht="15.75" customHeight="1">
      <c r="A15597" s="2" t="s">
        <v>15597</v>
      </c>
      <c r="B15597" s="2" t="str">
        <f>IFERROR(__xludf.DUMMYFUNCTION("GOOGLETRANSLATE(A15597, ""en"", ""mt"")"),"Test ta 'prelaunch")</f>
        <v>Test ta 'prelaunch</v>
      </c>
    </row>
    <row r="15598" ht="15.75" customHeight="1">
      <c r="A15598" s="2" t="s">
        <v>15598</v>
      </c>
      <c r="B15598" s="2" t="str">
        <f>IFERROR(__xludf.DUMMYFUNCTION("GOOGLETRANSLATE(A15598, ""en"", ""mt"")"),"Hemm tnejn minn liema tip ta 'istituzzjoni fi Newcastle?")</f>
        <v>Hemm tnejn minn liema tip ta 'istituzzjoni fi Newcastle?</v>
      </c>
    </row>
    <row r="15599" ht="15.75" customHeight="1">
      <c r="A15599" s="2" t="s">
        <v>15599</v>
      </c>
      <c r="B15599" s="2" t="str">
        <f>IFERROR(__xludf.DUMMYFUNCTION("GOOGLETRANSLATE(A15599, ""en"", ""mt"")"),"Ħin ta 'deċiżjoni")</f>
        <v>Ħin ta 'deċiżjoni</v>
      </c>
    </row>
    <row r="15600" ht="15.75" customHeight="1">
      <c r="A15600" s="2" t="s">
        <v>15600</v>
      </c>
      <c r="B15600" s="2" t="str">
        <f>IFERROR(__xludf.DUMMYFUNCTION("GOOGLETRANSLATE(A15600, ""en"", ""mt"")"),"X’għamlu l-kimiċi Ewropej li jistgħu jintużaw fil-gwerra?")</f>
        <v>X’għamlu l-kimiċi Ewropej li jistgħu jintużaw fil-gwerra?</v>
      </c>
    </row>
    <row r="15601" ht="15.75" customHeight="1">
      <c r="A15601" s="2" t="s">
        <v>15601</v>
      </c>
      <c r="B15601" s="2" t="str">
        <f>IFERROR(__xludf.DUMMYFUNCTION("GOOGLETRANSLATE(A15601, ""en"", ""mt"")"),"Liema pubblikazzjoni sejħet Doctor Who ""L-Ikbar Serje ta 'Fikzjoni tax-Xjenza tar-Renju Unit li qatt kien hemm""?")</f>
        <v>Liema pubblikazzjoni sejħet Doctor Who "L-Ikbar Serje ta 'Fikzjoni tax-Xjenza tar-Renju Unit li qatt kien hemm"?</v>
      </c>
    </row>
    <row r="15602" ht="15.75" customHeight="1">
      <c r="A15602" s="2" t="s">
        <v>15602</v>
      </c>
      <c r="B15602" s="2" t="str">
        <f>IFERROR(__xludf.DUMMYFUNCTION("GOOGLETRANSLATE(A15602, ""en"", ""mt"")"),"Pariġi")</f>
        <v>Pariġi</v>
      </c>
    </row>
    <row r="15603" ht="15.75" customHeight="1">
      <c r="A15603" s="2" t="s">
        <v>15603</v>
      </c>
      <c r="B15603" s="2" t="str">
        <f>IFERROR(__xludf.DUMMYFUNCTION("GOOGLETRANSLATE(A15603, ""en"", ""mt"")"),"Ix-xogħol tat-tfal huwa komuni fil-Kenja. Ħafna tfal li jaħdmu huma attivi fl-agrikoltura. Fl-2006, l-UNICEF stmat li sa 30% tal-bniet fiż-żoni kostali ta 'Malindi, Mombasa, Kilifi, u Diani kienu soġġetti għal prostituzzjoni. Il-biċċa l-kbira tal-prostitu"&amp;"ti fil-Kenja għandhom bejn 9 u 18-il sena. Il-Ministeru tal-Ġeneru u l-Affarijiet tat-Tfal impjegat 400 uffiċjal għall-protezzjoni tat-tfal fl-2009. Il-kawżi tax-xogħol tat-tfal jinkludu l-faqar, in-nuqqas ta 'aċċess għall-edukazzjoni u istituzzjonijiet t"&amp;"al-gvern dgħajfa. Il-Kenja rratifikat il-Konvenzjoni Nru 81 dwar l-Ispezzjoni tax-Xogħol fl-Industriji u l-Konvenzjoni Nru 129 dwar l-Ispezzjoni tax-Xogħol fl-Agrikoltura.")</f>
        <v>Ix-xogħol tat-tfal huwa komuni fil-Kenja. Ħafna tfal li jaħdmu huma attivi fl-agrikoltura. Fl-2006, l-UNICEF stmat li sa 30% tal-bniet fiż-żoni kostali ta 'Malindi, Mombasa, Kilifi, u Diani kienu soġġetti għal prostituzzjoni. Il-biċċa l-kbira tal-prostituti fil-Kenja għandhom bejn 9 u 18-il sena. Il-Ministeru tal-Ġeneru u l-Affarijiet tat-Tfal impjegat 400 uffiċjal għall-protezzjoni tat-tfal fl-2009. Il-kawżi tax-xogħol tat-tfal jinkludu l-faqar, in-nuqqas ta 'aċċess għall-edukazzjoni u istituzzjonijiet tal-gvern dgħajfa. Il-Kenja rratifikat il-Konvenzjoni Nru 81 dwar l-Ispezzjoni tax-Xogħol fl-Industriji u l-Konvenzjoni Nru 129 dwar l-Ispezzjoni tax-Xogħol fl-Agrikoltura.</v>
      </c>
    </row>
    <row r="15604" ht="15.75" customHeight="1">
      <c r="A15604" s="2" t="s">
        <v>15604</v>
      </c>
      <c r="B15604" s="2" t="str">
        <f>IFERROR(__xludf.DUMMYFUNCTION("GOOGLETRANSLATE(A15604, ""en"", ""mt"")"),"Muggers, Arsonists, Abbozzi ta ’Evaders, Hecklers tal-Kampanja, Militanti tal-Kampus, Dimostraturi Kontra l-Gwerra, Delinkwenti tal-Minorenni u Assassini Politiċi")</f>
        <v>Muggers, Arsonists, Abbozzi ta ’Evaders, Hecklers tal-Kampanja, Militanti tal-Kampus, Dimostraturi Kontra l-Gwerra, Delinkwenti tal-Minorenni u Assassini Politiċi</v>
      </c>
    </row>
    <row r="15605" ht="15.75" customHeight="1">
      <c r="A15605" s="2" t="s">
        <v>15605</v>
      </c>
      <c r="B15605" s="2" t="str">
        <f>IFERROR(__xludf.DUMMYFUNCTION("GOOGLETRANSLATE(A15605, ""en"", ""mt"")"),"Liema entità ffokat fuq il-moviment liberu tal-ħaddiema?")</f>
        <v>Liema entità ffokat fuq il-moviment liberu tal-ħaddiema?</v>
      </c>
    </row>
    <row r="15606" ht="15.75" customHeight="1">
      <c r="A15606" s="2" t="s">
        <v>15606</v>
      </c>
      <c r="B15606" s="2" t="str">
        <f>IFERROR(__xludf.DUMMYFUNCTION("GOOGLETRANSLATE(A15606, ""en"", ""mt"")"),"Ktieb tat-talb komuni.")</f>
        <v>Ktieb tat-talb komuni.</v>
      </c>
    </row>
    <row r="15607" ht="15.75" customHeight="1">
      <c r="A15607" s="2" t="s">
        <v>15607</v>
      </c>
      <c r="B15607" s="2" t="str">
        <f>IFERROR(__xludf.DUMMYFUNCTION("GOOGLETRANSLATE(A15607, ""en"", ""mt"")"),"kmieni fl-1960s")</f>
        <v>kmieni fl-1960s</v>
      </c>
    </row>
    <row r="15608" ht="15.75" customHeight="1">
      <c r="A15608" s="2" t="s">
        <v>15608</v>
      </c>
      <c r="B15608" s="2" t="str">
        <f>IFERROR(__xludf.DUMMYFUNCTION("GOOGLETRANSLATE(A15608, ""en"", ""mt"")"),"sfruttament tal-assi u provvisti siewja tan-nazzjon li ġie maħkum u n-nazzjon li jirbħu u mbagħad jikseb il-benefiċċji")</f>
        <v>sfruttament tal-assi u provvisti siewja tan-nazzjon li ġie maħkum u n-nazzjon li jirbħu u mbagħad jikseb il-benefiċċji</v>
      </c>
    </row>
    <row r="15609" ht="15.75" customHeight="1">
      <c r="A15609" s="2" t="s">
        <v>15609</v>
      </c>
      <c r="B15609" s="2" t="str">
        <f>IFERROR(__xludf.DUMMYFUNCTION("GOOGLETRANSLATE(A15609, ""en"", ""mt"")"),"Status ta 'osservatur")</f>
        <v>Status ta 'osservatur</v>
      </c>
    </row>
    <row r="15610" ht="15.75" customHeight="1">
      <c r="A15610" s="2" t="s">
        <v>15610</v>
      </c>
      <c r="B15610" s="2" t="str">
        <f>IFERROR(__xludf.DUMMYFUNCTION("GOOGLETRANSLATE(A15610, ""en"", ""mt"")"),"faqar u ġew trattati ħażin")</f>
        <v>faqar u ġew trattati ħażin</v>
      </c>
    </row>
    <row r="15611" ht="15.75" customHeight="1">
      <c r="A15611" s="2" t="s">
        <v>15611</v>
      </c>
      <c r="B15611" s="2" t="str">
        <f>IFERROR(__xludf.DUMMYFUNCTION("GOOGLETRANSLATE(A15611, ""en"", ""mt"")"),"Iffurmat fl-1946, l-Ajruport tas-Sierra Sky Park hija komunità ta 'ajruport residenzjali mwielda minn ftehim uniku fil-liġi tat-trasport biex tippermetti inġenji tal-ajru u karozzi personali jaqsmu ċerti toroq. Sierra Sky Park kienet l-ewwel komunità tal-"&amp;"avjazzjoni li nbniet [ċitazzjoni meħtieġa] u issa hemm bosta komunitajiet bħal dawn madwar l-Istati Uniti u madwar id-dinja. L-iżviluppatur William Smilie ħoloq l-ewwel komunità ppjanata tal-avjazzjoni tan-nazzjon. Għadha qed topera llum, l-ajruport tal-u"&amp;"żu pubbliku jipprovdi viċinat uniku li ġab l-interess u komunitajiet simili fil-pajjiż kollu.")</f>
        <v>Iffurmat fl-1946, l-Ajruport tas-Sierra Sky Park hija komunità ta 'ajruport residenzjali mwielda minn ftehim uniku fil-liġi tat-trasport biex tippermetti inġenji tal-ajru u karozzi personali jaqsmu ċerti toroq. Sierra Sky Park kienet l-ewwel komunità tal-avjazzjoni li nbniet [ċitazzjoni meħtieġa] u issa hemm bosta komunitajiet bħal dawn madwar l-Istati Uniti u madwar id-dinja. L-iżviluppatur William Smilie ħoloq l-ewwel komunità ppjanata tal-avjazzjoni tan-nazzjon. Għadha qed topera llum, l-ajruport tal-użu pubbliku jipprovdi viċinat uniku li ġab l-interess u komunitajiet simili fil-pajjiż kollu.</v>
      </c>
    </row>
    <row r="15612" ht="15.75" customHeight="1">
      <c r="A15612" s="2" t="s">
        <v>15612</v>
      </c>
      <c r="B15612" s="2" t="str">
        <f>IFERROR(__xludf.DUMMYFUNCTION("GOOGLETRANSLATE(A15612, ""en"", ""mt"")"),"Liema trattat intemm il-gwerer tar-reliġjon?")</f>
        <v>Liema trattat intemm il-gwerer tar-reliġjon?</v>
      </c>
    </row>
    <row r="15613" ht="15.75" customHeight="1">
      <c r="A15613" s="2" t="s">
        <v>15613</v>
      </c>
      <c r="B15613" s="2" t="str">
        <f>IFERROR(__xludf.DUMMYFUNCTION("GOOGLETRANSLATE(A15613, ""en"", ""mt"")"),"Oċeaniku")</f>
        <v>Oċeaniku</v>
      </c>
    </row>
    <row r="15614" ht="15.75" customHeight="1">
      <c r="A15614" s="2" t="s">
        <v>15614</v>
      </c>
      <c r="B15614" s="2" t="str">
        <f>IFERROR(__xludf.DUMMYFUNCTION("GOOGLETRANSLATE(A15614, ""en"", ""mt"")"),"Miżmuma fil-Knisja Metodista sabiħa")</f>
        <v>Miżmuma fil-Knisja Metodista sabiħa</v>
      </c>
    </row>
    <row r="15615" ht="15.75" customHeight="1">
      <c r="A15615" s="2" t="s">
        <v>15615</v>
      </c>
      <c r="B15615" s="2" t="str">
        <f>IFERROR(__xludf.DUMMYFUNCTION("GOOGLETRANSLATE(A15615, ""en"", ""mt"")"),"Epitelju")</f>
        <v>Epitelju</v>
      </c>
    </row>
    <row r="15616" ht="15.75" customHeight="1">
      <c r="A15616" s="2" t="s">
        <v>15616</v>
      </c>
      <c r="B15616" s="2" t="str">
        <f>IFERROR(__xludf.DUMMYFUNCTION("GOOGLETRANSLATE(A15616, ""en"", ""mt"")"),"Kif inkella jista 'tabib jieħu vantaġġ mill-interess innifsu?")</f>
        <v>Kif inkella jista 'tabib jieħu vantaġġ mill-interess innifsu?</v>
      </c>
    </row>
    <row r="15617" ht="15.75" customHeight="1">
      <c r="A15617" s="2" t="s">
        <v>15617</v>
      </c>
      <c r="B15617" s="2" t="str">
        <f>IFERROR(__xludf.DUMMYFUNCTION("GOOGLETRANSLATE(A15617, ""en"", ""mt"")"),"Min imexxi s-servizz tal-librerija nazzjonali u pubblika?")</f>
        <v>Min imexxi s-servizz tal-librerija nazzjonali u pubblika?</v>
      </c>
    </row>
    <row r="15618" ht="15.75" customHeight="1">
      <c r="A15618" s="2" t="s">
        <v>15618</v>
      </c>
      <c r="B15618" s="2" t="str">
        <f>IFERROR(__xludf.DUMMYFUNCTION("GOOGLETRANSLATE(A15618, ""en"", ""mt"")"),"era storika")</f>
        <v>era storika</v>
      </c>
    </row>
    <row r="15619" ht="15.75" customHeight="1">
      <c r="A15619" s="2" t="s">
        <v>15619</v>
      </c>
      <c r="B15619" s="2" t="str">
        <f>IFERROR(__xludf.DUMMYFUNCTION("GOOGLETRANSLATE(A15619, ""en"", ""mt"")"),"Komposti Organiċi")</f>
        <v>Komposti Organiċi</v>
      </c>
    </row>
    <row r="15620" ht="15.75" customHeight="1">
      <c r="A15620" s="2" t="s">
        <v>15620</v>
      </c>
      <c r="B15620" s="2" t="str">
        <f>IFERROR(__xludf.DUMMYFUNCTION("GOOGLETRANSLATE(A15620, ""en"", ""mt"")"),"L-Istati Uniti kif ippjanaw li jrażżnu tendenzi imperjalisti?")</f>
        <v>L-Istati Uniti kif ippjanaw li jrażżnu tendenzi imperjalisti?</v>
      </c>
    </row>
    <row r="15621" ht="15.75" customHeight="1">
      <c r="A15621" s="2" t="s">
        <v>15621</v>
      </c>
      <c r="B15621" s="2" t="str">
        <f>IFERROR(__xludf.DUMMYFUNCTION("GOOGLETRANSLATE(A15621, ""en"", ""mt"")"),"Kemm art agrikola Vittorjana hija mrobbija fil-ħbub?")</f>
        <v>Kemm art agrikola Vittorjana hija mrobbija fil-ħbub?</v>
      </c>
    </row>
    <row r="15622" ht="15.75" customHeight="1">
      <c r="A15622" s="2" t="s">
        <v>15622</v>
      </c>
      <c r="B15622" s="2" t="str">
        <f>IFERROR(__xludf.DUMMYFUNCTION("GOOGLETRANSLATE(A15622, ""en"", ""mt"")"),"Radjografija")</f>
        <v>Radjografija</v>
      </c>
    </row>
    <row r="15623" ht="15.75" customHeight="1">
      <c r="A15623" s="2" t="s">
        <v>15623</v>
      </c>
      <c r="B15623" s="2" t="str">
        <f>IFERROR(__xludf.DUMMYFUNCTION("GOOGLETRANSLATE(A15623, ""en"", ""mt"")"),"L-istazzjon ewlieni tan-netwerk proprjetà u mħaddma, WJZ-TV fi New York City (aktar tard imsejjaħ WABC-TV), iffirma fuq l-ajru fl-10 ta 'Awwissu, 1948, bl-ewwel xandira tagħha taħdem għal sagħtejn ta' filgħaxija. L-istazzjonijiet l-oħra ta 'ABC u mħaddma "&amp;"mnedija matul it-13-il xahar li ġejjin: WENR-TV f'Chicago ffirma fl-ajru fis-17 ta' Settembru, filwaqt li WXYZ-TV f'Detroit mar fuq l-ajru fid-9 ta 'Ottubru, 1948. f'Ottubru 1948 , bħala riżultat ta 'influss ta' applikazzjonijiet ta 'liċenzja ta' stazzjon"&amp;" televiżiv li kien ħareġ kif ukoll studju li wettaq dwar l-użu tal-ispettru VHF għal skopijiet ta 'xandir, l-FCC implimenta ffriżar fuq applikazzjonijiet ta' stazzjon ġodda. Madankollu, KGO-TV f'San Francisco, li kienet irċeviet il-liċenzja tagħha qabel l"&amp;"-iffriżar, iddebutta fil-5 ta 'Mejju, 1949. Fis-7 ta' Mejju, 1949, Billboard żvela li ABC kien ippropona investiment ta '$ 6.25 miljun, li tonfoq $ 2.5 miljun biex tikkonverti 20 acres (80,937 m2) ta 'art f'Hollywood f'dik li saret l-istudjows tal-prospet"&amp;"t, u tibni trasmettitur fuq Mount Wilson, b'antiċipazzjoni tat-tnedija ta' KECA-TV, li kienet skedata li tibda topera fl-1 ta 'Awwissu 1 (imma fil-fatt ma tiffirmax sas-16 ta 'Settembru).")</f>
        <v>L-istazzjon ewlieni tan-netwerk proprjetà u mħaddma, WJZ-TV fi New York City (aktar tard imsejjaħ WABC-TV), iffirma fuq l-ajru fl-10 ta 'Awwissu, 1948, bl-ewwel xandira tagħha taħdem għal sagħtejn ta' filgħaxija. L-istazzjonijiet l-oħra ta 'ABC u mħaddma mnedija matul it-13-il xahar li ġejjin: WENR-TV f'Chicago ffirma fl-ajru fis-17 ta' Settembru, filwaqt li WXYZ-TV f'Detroit mar fuq l-ajru fid-9 ta 'Ottubru, 1948. f'Ottubru 1948 , bħala riżultat ta 'influss ta' applikazzjonijiet ta 'liċenzja ta' stazzjon televiżiv li kien ħareġ kif ukoll studju li wettaq dwar l-użu tal-ispettru VHF għal skopijiet ta 'xandir, l-FCC implimenta ffriżar fuq applikazzjonijiet ta' stazzjon ġodda. Madankollu, KGO-TV f'San Francisco, li kienet irċeviet il-liċenzja tagħha qabel l-iffriżar, iddebutta fil-5 ta 'Mejju, 1949. Fis-7 ta' Mejju, 1949, Billboard żvela li ABC kien ippropona investiment ta '$ 6.25 miljun, li tonfoq $ 2.5 miljun biex tikkonverti 20 acres (80,937 m2) ta 'art f'Hollywood f'dik li saret l-istudjows tal-prospett, u tibni trasmettitur fuq Mount Wilson, b'antiċipazzjoni tat-tnedija ta' KECA-TV, li kienet skedata li tibda topera fl-1 ta 'Awwissu 1 (imma fil-fatt ma tiffirmax sas-16 ta 'Settembru).</v>
      </c>
    </row>
    <row r="15624" ht="15.75" customHeight="1">
      <c r="A15624" s="2" t="s">
        <v>15624</v>
      </c>
      <c r="B15624" s="2" t="str">
        <f>IFERROR(__xludf.DUMMYFUNCTION("GOOGLETRANSLATE(A15624, ""en"", ""mt"")"),"gravità")</f>
        <v>gravità</v>
      </c>
    </row>
    <row r="15625" ht="15.75" customHeight="1">
      <c r="A15625" s="2" t="s">
        <v>15625</v>
      </c>
      <c r="B15625" s="2" t="str">
        <f>IFERROR(__xludf.DUMMYFUNCTION("GOOGLETRANSLATE(A15625, ""en"", ""mt"")"),"li d-dinja kellha frekwenza reżonanti.")</f>
        <v>li d-dinja kellha frekwenza reżonanti.</v>
      </c>
    </row>
    <row r="15626" ht="15.75" customHeight="1">
      <c r="A15626" s="2" t="s">
        <v>15626</v>
      </c>
      <c r="B15626" s="2" t="str">
        <f>IFERROR(__xludf.DUMMYFUNCTION("GOOGLETRANSLATE(A15626, ""en"", ""mt"")"),"L-Assemblea Leġiżlattiva")</f>
        <v>L-Assemblea Leġiżlattiva</v>
      </c>
    </row>
    <row r="15627" ht="15.75" customHeight="1">
      <c r="A15627" s="2" t="s">
        <v>15627</v>
      </c>
      <c r="B15627" s="2" t="str">
        <f>IFERROR(__xludf.DUMMYFUNCTION("GOOGLETRANSLATE(A15627, ""en"", ""mt"")"),"X'inhi l-iktar biċċa magħrufa ta 'Norman Art?")</f>
        <v>X'inhi l-iktar biċċa magħrufa ta 'Norman Art?</v>
      </c>
    </row>
    <row r="15628" ht="15.75" customHeight="1">
      <c r="A15628" s="2" t="s">
        <v>15628</v>
      </c>
      <c r="B15628" s="2" t="str">
        <f>IFERROR(__xludf.DUMMYFUNCTION("GOOGLETRANSLATE(A15628, ""en"", ""mt"")"),"Matul l-istorja tal-edukazzjoni l-iktar forma komuni ta ’dixxiplina tal-iskola kienet il-kastig korporali. Waqt li tifel kien fl-iskola, għalliem kien mistenni li jaġixxi bħala ġenitur sostitut, bil-forom normali kollha ta ’dixxiplina tal-ġenituri miftuħa"&amp;" għalihom.")</f>
        <v>Matul l-istorja tal-edukazzjoni l-iktar forma komuni ta ’dixxiplina tal-iskola kienet il-kastig korporali. Waqt li tifel kien fl-iskola, għalliem kien mistenni li jaġixxi bħala ġenitur sostitut, bil-forom normali kollha ta ’dixxiplina tal-ġenituri miftuħa għalihom.</v>
      </c>
    </row>
    <row r="15629" ht="15.75" customHeight="1">
      <c r="A15629" s="2" t="s">
        <v>15629</v>
      </c>
      <c r="B15629" s="2" t="str">
        <f>IFERROR(__xludf.DUMMYFUNCTION("GOOGLETRANSLATE(A15629, ""en"", ""mt"")"),"lura lejn id-Dinja")</f>
        <v>lura lejn id-Dinja</v>
      </c>
    </row>
    <row r="15630" ht="15.75" customHeight="1">
      <c r="A15630" s="2" t="s">
        <v>15630</v>
      </c>
      <c r="B15630" s="2" t="str">
        <f>IFERROR(__xludf.DUMMYFUNCTION("GOOGLETRANSLATE(A15630, ""en"", ""mt"")"),"Assemblea Leġiżlattiva")</f>
        <v>Assemblea Leġiżlattiva</v>
      </c>
    </row>
    <row r="15631" ht="15.75" customHeight="1">
      <c r="A15631" s="2" t="s">
        <v>15631</v>
      </c>
      <c r="B15631" s="2" t="str">
        <f>IFERROR(__xludf.DUMMYFUNCTION("GOOGLETRANSLATE(A15631, ""en"", ""mt"")"),"miġbud mill-konvenjenza tal-ferrovija u inkwetat dwar l-għargħar")</f>
        <v>miġbud mill-konvenjenza tal-ferrovija u inkwetat dwar l-għargħar</v>
      </c>
    </row>
    <row r="15632" ht="15.75" customHeight="1">
      <c r="A15632" s="2" t="s">
        <v>15632</v>
      </c>
      <c r="B15632" s="2" t="str">
        <f>IFERROR(__xludf.DUMMYFUNCTION("GOOGLETRANSLATE(A15632, ""en"", ""mt"")"),"Biegħ mediċini bir-riċetta mingħajr ma teħtieġ riċetta")</f>
        <v>Biegħ mediċini bir-riċetta mingħajr ma teħtieġ riċetta</v>
      </c>
    </row>
    <row r="15633" ht="15.75" customHeight="1">
      <c r="A15633" s="2" t="s">
        <v>15633</v>
      </c>
      <c r="B15633" s="2" t="str">
        <f>IFERROR(__xludf.DUMMYFUNCTION("GOOGLETRANSLATE(A15633, ""en"", ""mt"")"),"Fuq liema huma r-rabtiet li ddeskrivew l-aħjar fuq liema ""tmien kontej"" huma bbażati?")</f>
        <v>Fuq liema huma r-rabtiet li ddeskrivew l-aħjar fuq liema "tmien kontej" huma bbażati?</v>
      </c>
    </row>
    <row r="15634" ht="15.75" customHeight="1">
      <c r="A15634" s="2" t="s">
        <v>15634</v>
      </c>
      <c r="B15634" s="2" t="str">
        <f>IFERROR(__xludf.DUMMYFUNCTION("GOOGLETRANSLATE(A15634, ""en"", ""mt"")"),"X'inhu l-iskop tal-ASER?")</f>
        <v>X'inhu l-iskop tal-ASER?</v>
      </c>
    </row>
    <row r="15635" ht="15.75" customHeight="1">
      <c r="A15635" s="2" t="s">
        <v>15635</v>
      </c>
      <c r="B15635" s="2" t="str">
        <f>IFERROR(__xludf.DUMMYFUNCTION("GOOGLETRANSLATE(A15635, ""en"", ""mt"")"),"Splużjoni tat-tank tal-ossiġnu")</f>
        <v>Splużjoni tat-tank tal-ossiġnu</v>
      </c>
    </row>
    <row r="15636" ht="15.75" customHeight="1">
      <c r="A15636" s="2" t="s">
        <v>15636</v>
      </c>
      <c r="B15636" s="2" t="str">
        <f>IFERROR(__xludf.DUMMYFUNCTION("GOOGLETRANSLATE(A15636, ""en"", ""mt"")"),"Kemm inġabru flus mill-kumitat ospitanti?")</f>
        <v>Kemm inġabru flus mill-kumitat ospitanti?</v>
      </c>
    </row>
    <row r="15637" ht="15.75" customHeight="1">
      <c r="A15637" s="2" t="s">
        <v>15637</v>
      </c>
      <c r="B15637" s="2" t="str">
        <f>IFERROR(__xludf.DUMMYFUNCTION("GOOGLETRANSLATE(A15637, ""en"", ""mt"")"),"dejjem aktar jissostitwixxi tagħmir kapitali għall-inputs tax-xogħol")</f>
        <v>dejjem aktar jissostitwixxi tagħmir kapitali għall-inputs tax-xogħol</v>
      </c>
    </row>
    <row r="15638" ht="15.75" customHeight="1">
      <c r="A15638" s="2" t="s">
        <v>15638</v>
      </c>
      <c r="B15638" s="2" t="str">
        <f>IFERROR(__xludf.DUMMYFUNCTION("GOOGLETRANSLATE(A15638, ""en"", ""mt"")"),"Applikazzjonijiet bħal imħatri onlajn, applikazzjonijiet finanzjarji")</f>
        <v>Applikazzjonijiet bħal imħatri onlajn, applikazzjonijiet finanzjarji</v>
      </c>
    </row>
    <row r="15639" ht="15.75" customHeight="1">
      <c r="A15639" s="2" t="s">
        <v>15639</v>
      </c>
      <c r="B15639" s="2" t="str">
        <f>IFERROR(__xludf.DUMMYFUNCTION("GOOGLETRANSLATE(A15639, ""en"", ""mt"")"),"Silikon")</f>
        <v>Silikon</v>
      </c>
    </row>
    <row r="15640" ht="15.75" customHeight="1">
      <c r="A15640" s="2" t="s">
        <v>15640</v>
      </c>
      <c r="B15640" s="2" t="str">
        <f>IFERROR(__xludf.DUMMYFUNCTION("GOOGLETRANSLATE(A15640, ""en"", ""mt"")"),"Sigurtà tal-Istat")</f>
        <v>Sigurtà tal-Istat</v>
      </c>
    </row>
    <row r="15641" ht="15.75" customHeight="1">
      <c r="A15641" s="2" t="s">
        <v>15641</v>
      </c>
      <c r="B15641" s="2" t="str">
        <f>IFERROR(__xludf.DUMMYFUNCTION("GOOGLETRANSLATE(A15641, ""en"", ""mt"")"),"$ 45,000")</f>
        <v>$ 45,000</v>
      </c>
    </row>
    <row r="15642" ht="15.75" customHeight="1">
      <c r="A15642" s="2" t="s">
        <v>15642</v>
      </c>
      <c r="B15642" s="2" t="str">
        <f>IFERROR(__xludf.DUMMYFUNCTION("GOOGLETRANSLATE(A15642, ""en"", ""mt"")"),"30 sa 50 elf abitant")</f>
        <v>30 sa 50 elf abitant</v>
      </c>
    </row>
    <row r="15643" ht="15.75" customHeight="1">
      <c r="A15643" s="2" t="s">
        <v>15643</v>
      </c>
      <c r="B15643" s="2" t="str">
        <f>IFERROR(__xludf.DUMMYFUNCTION("GOOGLETRANSLATE(A15643, ""en"", ""mt"")"),"Sentenzi minn Peter Lombard")</f>
        <v>Sentenzi minn Peter Lombard</v>
      </c>
    </row>
    <row r="15644" ht="15.75" customHeight="1">
      <c r="A15644" s="2" t="s">
        <v>15644</v>
      </c>
      <c r="B15644" s="2" t="str">
        <f>IFERROR(__xludf.DUMMYFUNCTION("GOOGLETRANSLATE(A15644, ""en"", ""mt"")"),"Liema konġettura żżomm li dejjem hemm minimu ta '4 primes bejn il-kwadri ta' primes konsekuttivi akbar minn 2?")</f>
        <v>Liema konġettura żżomm li dejjem hemm minimu ta '4 primes bejn il-kwadri ta' primes konsekuttivi akbar minn 2?</v>
      </c>
    </row>
    <row r="15645" ht="15.75" customHeight="1">
      <c r="A15645" s="2" t="s">
        <v>15645</v>
      </c>
      <c r="B15645" s="2" t="str">
        <f>IFERROR(__xludf.DUMMYFUNCTION("GOOGLETRANSLATE(A15645, ""en"", ""mt"")"),"Orange County huwa ċentru tan-negozju li qed jiżviluppa malajr li jinkludi d-downtown ta 'Santa Ana, id-distretti taċ-Ċentru ta' South Coast u Newport; kif ukoll iċ-ċentri tan-negozju Irvine tal-Irvine Spectrum, West Irvine, u korporazzjonijiet internazzj"&amp;"onali bil-kwartjieri ġenerali fl-Università ta ’California, Irvine. West Irvine tinkludi l-Irvine Tech Centre u l-Parks tan-Negozju Jamboree.")</f>
        <v>Orange County huwa ċentru tan-negozju li qed jiżviluppa malajr li jinkludi d-downtown ta 'Santa Ana, id-distretti taċ-Ċentru ta' South Coast u Newport; kif ukoll iċ-ċentri tan-negozju Irvine tal-Irvine Spectrum, West Irvine, u korporazzjonijiet internazzjonali bil-kwartjieri ġenerali fl-Università ta ’California, Irvine. West Irvine tinkludi l-Irvine Tech Centre u l-Parks tan-Negozju Jamboree.</v>
      </c>
    </row>
    <row r="15646" ht="15.75" customHeight="1">
      <c r="A15646" s="2" t="s">
        <v>15646</v>
      </c>
      <c r="B15646" s="2" t="str">
        <f>IFERROR(__xludf.DUMMYFUNCTION("GOOGLETRANSLATE(A15646, ""en"", ""mt"")"),"Minħabba l-fatt li l-burokrazija kienet iddominata minn El Temür, Tugh Temür huwa magħruf għall-kontribut kulturali tiegħu minflok. Huwa adotta bosta miżuri li jonoraw il-Confucianism u jippromwovu l-valuri kulturali Ċiniżi. L-isforz l-iktar konkret tiegħ"&amp;"u biex jippresonizza t-tagħlim Ċiniż kien li jwaqqaf l-Akkademja tal-Padiljun tal-Istilla tal-Letteratura (Ċiniż: 奎章閣學士院), l-ewwel stabbilit fir-rebbiegħa tal-1329 u ddisinjat biex iwettaq ""numru ta 'kompiti relatati mat-trasmissjoni ta 'kultura għolja C"&amp;"onfucian għall-istabbiliment imperjali Mongoljan "". L-akkademja kienet responsabbli biex tiġbor u tippubblika numru ta 'kotba, iżda l-iktar kisba importanti tagħha kienet il-kumpilazzjoni tagħha ta' kompendju istituzzjonali vast bl-isem ta 'Jingshi Dadia"&amp;"n (Ċiniż: 經世 經世 大典 大典 大典 經世 經世 經世 經世 經世 經世Tugh Temür appoġġa n-neo-konfuċjaniżmu ta 'Zhu Xi u ddedika ruħu wkoll fil-Buddiżmu.")</f>
        <v>Minħabba l-fatt li l-burokrazija kienet iddominata minn El Temür, Tugh Temür huwa magħruf għall-kontribut kulturali tiegħu minflok. Huwa adotta bosta miżuri li jonoraw il-Confucianism u jippromwovu l-valuri kulturali Ċiniżi. L-isforz l-iktar konkret tiegħu biex jippresonizza t-tagħlim Ċiniż kien li jwaqqaf l-Akkademja tal-Padiljun tal-Istilla tal-Letteratura (Ċiniż: 奎章閣學士院), l-ewwel stabbilit fir-rebbiegħa tal-1329 u ddisinjat biex iwettaq "numru ta 'kompiti relatati mat-trasmissjoni ta 'kultura għolja Confucian għall-istabbiliment imperjali Mongoljan ". L-akkademja kienet responsabbli biex tiġbor u tippubblika numru ta 'kotba, iżda l-iktar kisba importanti tagħha kienet il-kumpilazzjoni tagħha ta' kompendju istituzzjonali vast bl-isem ta 'Jingshi Dadian (Ċiniż: 經世 經世 大典 大典 大典 經世 經世 經世 經世 經世 經世Tugh Temür appoġġa n-neo-konfuċjaniżmu ta 'Zhu Xi u ddedika ruħu wkoll fil-Buddiżmu.</v>
      </c>
    </row>
    <row r="15647" ht="15.75" customHeight="1">
      <c r="A15647" s="2" t="s">
        <v>15647</v>
      </c>
      <c r="B15647" s="2" t="str">
        <f>IFERROR(__xludf.DUMMYFUNCTION("GOOGLETRANSLATE(A15647, ""en"", ""mt"")"),"X'inhu l-isem tad-deżert fuq il-fruntiera ta 'Arizona?")</f>
        <v>X'inhu l-isem tad-deżert fuq il-fruntiera ta 'Arizona?</v>
      </c>
    </row>
    <row r="15648" ht="15.75" customHeight="1">
      <c r="A15648" s="2" t="s">
        <v>15648</v>
      </c>
      <c r="B15648" s="2" t="str">
        <f>IFERROR(__xludf.DUMMYFUNCTION("GOOGLETRANSLATE(A15648, ""en"", ""mt"")"),"Kemm kien twil kull episodju ta 'Doctor Who fis-serje ta' qawmien mill-ġdid tal-2005 (inklużi reklami)?")</f>
        <v>Kemm kien twil kull episodju ta 'Doctor Who fis-serje ta' qawmien mill-ġdid tal-2005 (inklużi reklami)?</v>
      </c>
    </row>
    <row r="15649" ht="15.75" customHeight="1">
      <c r="A15649" s="2" t="s">
        <v>15649</v>
      </c>
      <c r="B15649" s="2" t="str">
        <f>IFERROR(__xludf.DUMMYFUNCTION("GOOGLETRANSLATE(A15649, ""en"", ""mt"")"),"Il-laboratorju tiegħu ġie mqatta '")</f>
        <v>Il-laboratorju tiegħu ġie mqatta '</v>
      </c>
    </row>
    <row r="15650" ht="15.75" customHeight="1">
      <c r="A15650" s="2" t="s">
        <v>15650</v>
      </c>
      <c r="B15650" s="2" t="str">
        <f>IFERROR(__xludf.DUMMYFUNCTION("GOOGLETRANSLATE(A15650, ""en"", ""mt"")"),"Bejn wieħed u ieħor kif il-kotba Alexander Dyce ingħata lill-mużew?")</f>
        <v>Bejn wieħed u ieħor kif il-kotba Alexander Dyce ingħata lill-mużew?</v>
      </c>
    </row>
    <row r="15651" ht="15.75" customHeight="1">
      <c r="A15651" s="2" t="s">
        <v>15651</v>
      </c>
      <c r="B15651" s="2" t="str">
        <f>IFERROR(__xludf.DUMMYFUNCTION("GOOGLETRANSLATE(A15651, ""en"", ""mt"")"),"Xi tfisser Ctenophora bil-Grieg?")</f>
        <v>Xi tfisser Ctenophora bil-Grieg?</v>
      </c>
    </row>
    <row r="15652" ht="15.75" customHeight="1">
      <c r="A15652" s="2" t="s">
        <v>15652</v>
      </c>
      <c r="B15652" s="2" t="str">
        <f>IFERROR(__xludf.DUMMYFUNCTION("GOOGLETRANSLATE(A15652, ""en"", ""mt"")"),"Pożizzjonijiet ikklassifikati")</f>
        <v>Pożizzjonijiet ikklassifikati</v>
      </c>
    </row>
    <row r="15653" ht="15.75" customHeight="1">
      <c r="A15653" s="2" t="s">
        <v>15653</v>
      </c>
      <c r="B15653" s="2" t="str">
        <f>IFERROR(__xludf.DUMMYFUNCTION("GOOGLETRANSLATE(A15653, ""en"", ""mt"")"),"L-iktar kontributur mużikali frekwenti matul l-ewwel 15-il sena kien Dudley Simpson, li huwa magħruf ukoll għat-tema u l-mużika inċidentali tiegħu għal Blake's 7, u għall-mużika u l-punteġġ tiegħu għall-verżjoni oriġinali tas-snin 70 ta 'Tomorrow People. "&amp;"L-ewwel Tabib ta 'Simpson Who Score kien Planet of Giants (1964) u kompla jikteb mużika għal ħafna avventuri tas-snin 1960 u 1970, inklużi ħafna mill-istejjer tal-perjodi Jon Pertwee / Tom Baker, li jispiċċaw bil-qrun ta' Nimon (1979 ). Huwa għamel ukoll "&amp;"dehra ta 'cameo fit-Talons ta' Weng-Chiang (bħala surmast tal-mużika).")</f>
        <v>L-iktar kontributur mużikali frekwenti matul l-ewwel 15-il sena kien Dudley Simpson, li huwa magħruf ukoll għat-tema u l-mużika inċidentali tiegħu għal Blake's 7, u għall-mużika u l-punteġġ tiegħu għall-verżjoni oriġinali tas-snin 70 ta 'Tomorrow People. L-ewwel Tabib ta 'Simpson Who Score kien Planet of Giants (1964) u kompla jikteb mużika għal ħafna avventuri tas-snin 1960 u 1970, inklużi ħafna mill-istejjer tal-perjodi Jon Pertwee / Tom Baker, li jispiċċaw bil-qrun ta' Nimon (1979 ). Huwa għamel ukoll dehra ta 'cameo fit-Talons ta' Weng-Chiang (bħala surmast tal-mużika).</v>
      </c>
    </row>
    <row r="15654" ht="15.75" customHeight="1">
      <c r="A15654" s="2" t="s">
        <v>15654</v>
      </c>
      <c r="B15654" s="2" t="str">
        <f>IFERROR(__xludf.DUMMYFUNCTION("GOOGLETRANSLATE(A15654, ""en"", ""mt"")"),"3–2.7 biljun sena ilu")</f>
        <v>3–2.7 biljun sena ilu</v>
      </c>
    </row>
    <row r="15655" ht="15.75" customHeight="1">
      <c r="A15655" s="2" t="s">
        <v>15655</v>
      </c>
      <c r="B15655" s="2" t="str">
        <f>IFERROR(__xludf.DUMMYFUNCTION("GOOGLETRANSLATE(A15655, ""en"", ""mt"")"),"Ma jiġbor fil-qosor ir-rapport sħiħ tal-WGI")</f>
        <v>Ma jiġbor fil-qosor ir-rapport sħiħ tal-WGI</v>
      </c>
    </row>
    <row r="15656" ht="15.75" customHeight="1">
      <c r="A15656" s="2" t="s">
        <v>15656</v>
      </c>
      <c r="B15656" s="2" t="str">
        <f>IFERROR(__xludf.DUMMYFUNCTION("GOOGLETRANSLATE(A15656, ""en"", ""mt"")"),"Hemm konċentrazzjonijiet ta 'pubs, bars u nightclubs madwar is-suq tal-Bigg u ż-żona tal-Quayside taċ-ċentru tal-belt. Hemm ħafna bars fis-suq tal-Bigg, u żoni popolari oħra għall-nightlife huma Triq Collingwood, popolarment imsejħa bħala l- ""strixxa tad"&amp;"-djamanti"" minħabba l-konċentrazzjoni tagħha ta 'bars high-end, Neville Street, iż-żona tal-istazzjon ċentrali u t-triq Osborne f'The Żona ta 'Jesmond tal-belt. F'dawn l-aħħar snin ""il-bieb"" fetaħ fiċ-ċentru tal-belt, kumpless ġdid ta 'ġewwa li jikkons"&amp;"isti minn bars, klabbs tal-bejgħ, ristoranti u ċinema multiplex ta' 12-il skrin. Ix-xena omosesswali ta 'Newcastle - ""The Pink Triangle"" - hija ċċentrata fuq iż-żona tat-Times Square ħdejn iċ-Ċentru għall-Ħajja u għandha firxa ta' bars, kafetteriji u kl"&amp;"abbs.")</f>
        <v>Hemm konċentrazzjonijiet ta 'pubs, bars u nightclubs madwar is-suq tal-Bigg u ż-żona tal-Quayside taċ-ċentru tal-belt. Hemm ħafna bars fis-suq tal-Bigg, u żoni popolari oħra għall-nightlife huma Triq Collingwood, popolarment imsejħa bħala l- "strixxa tad-djamanti" minħabba l-konċentrazzjoni tagħha ta 'bars high-end, Neville Street, iż-żona tal-istazzjon ċentrali u t-triq Osborne f'The Żona ta 'Jesmond tal-belt. F'dawn l-aħħar snin "il-bieb" fetaħ fiċ-ċentru tal-belt, kumpless ġdid ta 'ġewwa li jikkonsisti minn bars, klabbs tal-bejgħ, ristoranti u ċinema multiplex ta' 12-il skrin. Ix-xena omosesswali ta 'Newcastle - "The Pink Triangle" - hija ċċentrata fuq iż-żona tat-Times Square ħdejn iċ-Ċentru għall-Ħajja u għandha firxa ta' bars, kafetteriji u klabbs.</v>
      </c>
    </row>
    <row r="15657" ht="15.75" customHeight="1">
      <c r="A15657" s="2" t="s">
        <v>15657</v>
      </c>
      <c r="B15657" s="2" t="str">
        <f>IFERROR(__xludf.DUMMYFUNCTION("GOOGLETRANSLATE(A15657, ""en"", ""mt"")"),"X'inhu sors supplimentari tal-liġi tal-Unjoni Ewropea?")</f>
        <v>X'inhu sors supplimentari tal-liġi tal-Unjoni Ewropea?</v>
      </c>
    </row>
    <row r="15658" ht="15.75" customHeight="1">
      <c r="A15658" s="2" t="s">
        <v>15658</v>
      </c>
      <c r="B15658" s="2" t="str">
        <f>IFERROR(__xludf.DUMMYFUNCTION("GOOGLETRANSLATE(A15658, ""en"", ""mt"")"),"Swiss-Awstrijan")</f>
        <v>Swiss-Awstrijan</v>
      </c>
    </row>
    <row r="15659" ht="15.75" customHeight="1">
      <c r="A15659" s="2" t="s">
        <v>15659</v>
      </c>
      <c r="B15659" s="2" t="str">
        <f>IFERROR(__xludf.DUMMYFUNCTION("GOOGLETRANSLATE(A15659, ""en"", ""mt"")"),"inġust")</f>
        <v>inġust</v>
      </c>
    </row>
    <row r="15660" ht="15.75" customHeight="1">
      <c r="A15660" s="2" t="s">
        <v>15660</v>
      </c>
      <c r="B15660" s="2" t="str">
        <f>IFERROR(__xludf.DUMMYFUNCTION("GOOGLETRANSLATE(A15660, ""en"", ""mt"")"),"wieħed mill-aktar komuni")</f>
        <v>wieħed mill-aktar komuni</v>
      </c>
    </row>
    <row r="15661" ht="15.75" customHeight="1">
      <c r="A15661" s="2" t="s">
        <v>15661</v>
      </c>
      <c r="B15661" s="2" t="str">
        <f>IFERROR(__xludf.DUMMYFUNCTION("GOOGLETRANSLATE(A15661, ""en"", ""mt"")"),"151 vot")</f>
        <v>151 vot</v>
      </c>
    </row>
    <row r="15662" ht="15.75" customHeight="1">
      <c r="A15662" s="2" t="s">
        <v>15662</v>
      </c>
      <c r="B15662" s="2" t="str">
        <f>IFERROR(__xludf.DUMMYFUNCTION("GOOGLETRANSLATE(A15662, ""en"", ""mt"")"),"Spiżeriji tal-komunità tal-briks u l-mehrież li jservu lill-konsumaturi online u dawk li jimxu fil-bieb tagħhom")</f>
        <v>Spiżeriji tal-komunità tal-briks u l-mehrież li jservu lill-konsumaturi online u dawk li jimxu fil-bieb tagħhom</v>
      </c>
    </row>
    <row r="15663" ht="15.75" customHeight="1">
      <c r="A15663" s="2" t="s">
        <v>15663</v>
      </c>
      <c r="B15663" s="2" t="str">
        <f>IFERROR(__xludf.DUMMYFUNCTION("GOOGLETRANSLATE(A15663, ""en"", ""mt"")"),"kartelli")</f>
        <v>kartelli</v>
      </c>
    </row>
    <row r="15664" ht="15.75" customHeight="1">
      <c r="A15664" s="2" t="s">
        <v>15664</v>
      </c>
      <c r="B15664" s="2" t="str">
        <f>IFERROR(__xludf.DUMMYFUNCTION("GOOGLETRANSLATE(A15664, ""en"", ""mt"")"),"Gold Rush")</f>
        <v>Gold Rush</v>
      </c>
    </row>
    <row r="15665" ht="15.75" customHeight="1">
      <c r="A15665" s="2" t="s">
        <v>15665</v>
      </c>
      <c r="B15665" s="2" t="str">
        <f>IFERROR(__xludf.DUMMYFUNCTION("GOOGLETRANSLATE(A15665, ""en"", ""mt"")"),"tliet kwarti")</f>
        <v>tliet kwarti</v>
      </c>
    </row>
    <row r="15666" ht="15.75" customHeight="1">
      <c r="A15666" s="2" t="s">
        <v>15666</v>
      </c>
      <c r="B15666" s="2" t="str">
        <f>IFERROR(__xludf.DUMMYFUNCTION("GOOGLETRANSLATE(A15666, ""en"", ""mt"")"),"Editt ta 'Alès")</f>
        <v>Editt ta 'Alès</v>
      </c>
    </row>
    <row r="15667" ht="15.75" customHeight="1">
      <c r="A15667" s="2" t="s">
        <v>15667</v>
      </c>
      <c r="B15667" s="2" t="str">
        <f>IFERROR(__xludf.DUMMYFUNCTION("GOOGLETRANSLATE(A15667, ""en"", ""mt"")"),"X'kienet l-okkażjoni għad-dimostrazzjoni tad-dgħajsa?")</f>
        <v>X'kienet l-okkażjoni għad-dimostrazzjoni tad-dgħajsa?</v>
      </c>
    </row>
    <row r="15668" ht="15.75" customHeight="1">
      <c r="A15668" s="2" t="s">
        <v>15668</v>
      </c>
      <c r="B15668" s="2" t="str">
        <f>IFERROR(__xludf.DUMMYFUNCTION("GOOGLETRANSLATE(A15668, ""en"", ""mt"")"),"In-negozju huwa kronikament sottovalutat")</f>
        <v>In-negozju huwa kronikament sottovalutat</v>
      </c>
    </row>
    <row r="15669" ht="15.75" customHeight="1">
      <c r="A15669" s="2" t="s">
        <v>15669</v>
      </c>
      <c r="B15669" s="2" t="str">
        <f>IFERROR(__xludf.DUMMYFUNCTION("GOOGLETRANSLATE(A15669, ""en"", ""mt"")"),"Kważi l-istess ħaġa bħall-kloroplast")</f>
        <v>Kważi l-istess ħaġa bħall-kloroplast</v>
      </c>
    </row>
    <row r="15670" ht="15.75" customHeight="1">
      <c r="A15670" s="2" t="s">
        <v>15670</v>
      </c>
      <c r="B15670" s="2" t="str">
        <f>IFERROR(__xludf.DUMMYFUNCTION("GOOGLETRANSLATE(A15670, ""en"", ""mt"")"),"Il-Kunsill tal-Belt")</f>
        <v>Il-Kunsill tal-Belt</v>
      </c>
    </row>
    <row r="15671" ht="15.75" customHeight="1">
      <c r="A15671" s="2" t="s">
        <v>15671</v>
      </c>
      <c r="B15671" s="2" t="str">
        <f>IFERROR(__xludf.DUMMYFUNCTION("GOOGLETRANSLATE(A15671, ""en"", ""mt"")"),"Nagħmlu għodod tad-dar, apparat mekkaniku, u l-abbiltà li timmemorizza poeżiji epiċi Serbi")</f>
        <v>Nagħmlu għodod tad-dar, apparat mekkaniku, u l-abbiltà li timmemorizza poeżiji epiċi Serbi</v>
      </c>
    </row>
    <row r="15672" ht="15.75" customHeight="1">
      <c r="A15672" s="2" t="s">
        <v>15672</v>
      </c>
      <c r="B15672" s="2" t="str">
        <f>IFERROR(__xludf.DUMMYFUNCTION("GOOGLETRANSLATE(A15672, ""en"", ""mt"")"),"Fil-karità u xogħlijiet tajbin")</f>
        <v>Fil-karità u xogħlijiet tajbin</v>
      </c>
    </row>
    <row r="15673" ht="15.75" customHeight="1">
      <c r="A15673" s="2" t="s">
        <v>15673</v>
      </c>
      <c r="B15673" s="2" t="str">
        <f>IFERROR(__xludf.DUMMYFUNCTION("GOOGLETRANSLATE(A15673, ""en"", ""mt"")"),"Is-seba '")</f>
        <v>Is-seba '</v>
      </c>
    </row>
    <row r="15674" ht="15.75" customHeight="1">
      <c r="A15674" s="2" t="s">
        <v>15674</v>
      </c>
      <c r="B15674" s="2" t="str">
        <f>IFERROR(__xludf.DUMMYFUNCTION("GOOGLETRANSLATE(A15674, ""en"", ""mt"")"),"membru privat")</f>
        <v>membru privat</v>
      </c>
    </row>
    <row r="15675" ht="15.75" customHeight="1">
      <c r="A15675" s="2" t="s">
        <v>15675</v>
      </c>
      <c r="B15675" s="2" t="str">
        <f>IFERROR(__xludf.DUMMYFUNCTION("GOOGLETRANSLATE(A15675, ""en"", ""mt"")"),"Wara t-tmiem tal-Gwerra tal-Messiku")</f>
        <v>Wara t-tmiem tal-Gwerra tal-Messiku</v>
      </c>
    </row>
    <row r="15676" ht="15.75" customHeight="1">
      <c r="A15676" s="2" t="s">
        <v>15676</v>
      </c>
      <c r="B15676" s="2" t="str">
        <f>IFERROR(__xludf.DUMMYFUNCTION("GOOGLETRANSLATE(A15676, ""en"", ""mt"")"),"is-saffi tal-mesofilla")</f>
        <v>is-saffi tal-mesofilla</v>
      </c>
    </row>
    <row r="15677" ht="15.75" customHeight="1">
      <c r="A15677" s="2" t="s">
        <v>15677</v>
      </c>
      <c r="B15677" s="2" t="str">
        <f>IFERROR(__xludf.DUMMYFUNCTION("GOOGLETRANSLATE(A15677, ""en"", ""mt"")"),"qawwi u dgħajjef")</f>
        <v>qawwi u dgħajjef</v>
      </c>
    </row>
    <row r="15678" ht="15.75" customHeight="1">
      <c r="A15678" s="2" t="s">
        <v>15678</v>
      </c>
      <c r="B15678" s="2" t="str">
        <f>IFERROR(__xludf.DUMMYFUNCTION("GOOGLETRANSLATE(A15678, ""en"", ""mt"")"),"Fl-2000, ABC beda kampanja bbażata fuq l-internet iffokata fuq xiex?")</f>
        <v>Fl-2000, ABC beda kampanja bbażata fuq l-internet iffokata fuq xiex?</v>
      </c>
    </row>
    <row r="15679" ht="15.75" customHeight="1">
      <c r="A15679" s="2" t="s">
        <v>15679</v>
      </c>
      <c r="B15679" s="2" t="str">
        <f>IFERROR(__xludf.DUMMYFUNCTION("GOOGLETRANSLATE(A15679, ""en"", ""mt"")"),"Ċentru Athletic Malkin")</f>
        <v>Ċentru Athletic Malkin</v>
      </c>
    </row>
    <row r="15680" ht="15.75" customHeight="1">
      <c r="A15680" s="2" t="s">
        <v>15680</v>
      </c>
      <c r="B15680" s="2" t="str">
        <f>IFERROR(__xludf.DUMMYFUNCTION("GOOGLETRANSLATE(A15680, ""en"", ""mt"")"),"Art Moderna minn Artisti Pollakki u Internazzjonali")</f>
        <v>Art Moderna minn Artisti Pollakki u Internazzjonali</v>
      </c>
    </row>
    <row r="15681" ht="15.75" customHeight="1">
      <c r="A15681" s="2" t="s">
        <v>15681</v>
      </c>
      <c r="B15681" s="2" t="str">
        <f>IFERROR(__xludf.DUMMYFUNCTION("GOOGLETRANSLATE(A15681, ""en"", ""mt"")"),"Kemm huma kbar il-kloroplasti fil-pjanti tal-art?")</f>
        <v>Kemm huma kbar il-kloroplasti fil-pjanti tal-art?</v>
      </c>
    </row>
    <row r="15682" ht="15.75" customHeight="1">
      <c r="A15682" s="2" t="s">
        <v>15682</v>
      </c>
      <c r="B15682" s="2" t="str">
        <f>IFERROR(__xludf.DUMMYFUNCTION("GOOGLETRANSLATE(A15682, ""en"", ""mt"")"),"l-effetti tagħhom fuq il-moviment tal-ġisem")</f>
        <v>l-effetti tagħhom fuq il-moviment tal-ġisem</v>
      </c>
    </row>
    <row r="15683" ht="15.75" customHeight="1">
      <c r="A15683" s="2" t="s">
        <v>15683</v>
      </c>
      <c r="B15683" s="2" t="str">
        <f>IFERROR(__xludf.DUMMYFUNCTION("GOOGLETRANSLATE(A15683, ""en"", ""mt"")"),"Ħamsin fil-mija aktar")</f>
        <v>Ħamsin fil-mija aktar</v>
      </c>
    </row>
    <row r="15684" ht="15.75" customHeight="1">
      <c r="A15684" s="2" t="s">
        <v>15684</v>
      </c>
      <c r="B15684" s="2" t="str">
        <f>IFERROR(__xludf.DUMMYFUNCTION("GOOGLETRANSLATE(A15684, ""en"", ""mt"")"),"diskors sfidanti")</f>
        <v>diskors sfidanti</v>
      </c>
    </row>
    <row r="15685" ht="15.75" customHeight="1">
      <c r="A15685" s="2" t="s">
        <v>15685</v>
      </c>
      <c r="B15685" s="2" t="str">
        <f>IFERROR(__xludf.DUMMYFUNCTION("GOOGLETRANSLATE(A15685, ""en"", ""mt"")"),"Teżi ta 'Cobham-Edmonds")</f>
        <v>Teżi ta 'Cobham-Edmonds</v>
      </c>
    </row>
    <row r="15686" ht="15.75" customHeight="1">
      <c r="A15686" s="2" t="s">
        <v>15686</v>
      </c>
      <c r="B15686" s="2" t="str">
        <f>IFERROR(__xludf.DUMMYFUNCTION("GOOGLETRANSLATE(A15686, ""en"", ""mt"")"),"il-konservattiv")</f>
        <v>il-konservattiv</v>
      </c>
    </row>
    <row r="15687" ht="15.75" customHeight="1">
      <c r="A15687" s="2" t="s">
        <v>15687</v>
      </c>
      <c r="B15687" s="2" t="str">
        <f>IFERROR(__xludf.DUMMYFUNCTION("GOOGLETRANSLATE(A15687, ""en"", ""mt"")"),"Is-Soċjologu Jake Rosenfield ta 'l-Università ta' Washington jafferma li t-tnaqqis tax-xogħol organizzat fl-Istati Uniti kellu rwol aktar sinifikanti fl-espansjoni tad-distakk fid-dħul minn bidliet teknoloġiċi u globalizzazzjoni, li kienu wkoll esperjenza"&amp;"ti minn nazzjonijiet industrijalizzati oħra li ma esperjenzawx wieqfa żidiet fl-inugwaljanza. Huwa jirrimarka li n-nazzjonijiet b'rati għoljin ta 'unjonizzazzjoni, partikolarment fl-Iskandinavja, għandhom livelli baxxi ħafna ta' inugwaljanza, u jikkonklud"&amp;"i ""l-mudell storiku huwa ċar; ix-xejra transnazzjonali hija ċara: l-inugwaljanza għolja tmur id f'id ma 'xogħol dgħajjef movimenti u viċi versa. """)</f>
        <v>Is-Soċjologu Jake Rosenfield ta 'l-Università ta' Washington jafferma li t-tnaqqis tax-xogħol organizzat fl-Istati Uniti kellu rwol aktar sinifikanti fl-espansjoni tad-distakk fid-dħul minn bidliet teknoloġiċi u globalizzazzjoni, li kienu wkoll esperjenzati minn nazzjonijiet industrijalizzati oħra li ma esperjenzawx wieqfa żidiet fl-inugwaljanza. Huwa jirrimarka li n-nazzjonijiet b'rati għoljin ta 'unjonizzazzjoni, partikolarment fl-Iskandinavja, għandhom livelli baxxi ħafna ta' inugwaljanza, u jikkonkludi "l-mudell storiku huwa ċar; ix-xejra transnazzjonali hija ċara: l-inugwaljanza għolja tmur id f'id ma 'xogħol dgħajjef movimenti u viċi versa. "</v>
      </c>
    </row>
    <row r="15688" ht="15.75" customHeight="1">
      <c r="A15688" s="2" t="s">
        <v>15688</v>
      </c>
      <c r="B15688" s="2" t="str">
        <f>IFERROR(__xludf.DUMMYFUNCTION("GOOGLETRANSLATE(A15688, ""en"", ""mt"")"),"Analiżi bir-reqqa tal-medikazzjoni kollha (preskrizzjoni, nuqqas ta 'preskrizzjoni, u herbals) bħalissa qed tittieħed minn individwu.")</f>
        <v>Analiżi bir-reqqa tal-medikazzjoni kollha (preskrizzjoni, nuqqas ta 'preskrizzjoni, u herbals) bħalissa qed tittieħed minn individwu.</v>
      </c>
    </row>
    <row r="15689" ht="15.75" customHeight="1">
      <c r="A15689" s="2" t="s">
        <v>15689</v>
      </c>
      <c r="B15689" s="2" t="str">
        <f>IFERROR(__xludf.DUMMYFUNCTION("GOOGLETRANSLATE(A15689, ""en"", ""mt"")"),"X'inhu l-imperjalizmu kulturali li spiss jissejjaħ?")</f>
        <v>X'inhu l-imperjalizmu kulturali li spiss jissejjaħ?</v>
      </c>
    </row>
    <row r="15690" ht="15.75" customHeight="1">
      <c r="A15690" s="2" t="s">
        <v>15690</v>
      </c>
      <c r="B15690" s="2" t="str">
        <f>IFERROR(__xludf.DUMMYFUNCTION("GOOGLETRANSLATE(A15690, ""en"", ""mt"")"),"Liema gerijiet intuża fuq magni tal-baħar tat-turbina tal-fwar fis-seklu 20?")</f>
        <v>Liema gerijiet intuża fuq magni tal-baħar tat-turbina tal-fwar fis-seklu 20?</v>
      </c>
    </row>
    <row r="15691" ht="15.75" customHeight="1">
      <c r="A15691" s="2" t="s">
        <v>15691</v>
      </c>
      <c r="B15691" s="2" t="str">
        <f>IFERROR(__xludf.DUMMYFUNCTION("GOOGLETRANSLATE(A15691, ""en"", ""mt"")"),"ewkarioti")</f>
        <v>ewkarioti</v>
      </c>
    </row>
    <row r="15692" ht="15.75" customHeight="1">
      <c r="A15692" s="2" t="s">
        <v>15692</v>
      </c>
      <c r="B15692" s="2" t="str">
        <f>IFERROR(__xludf.DUMMYFUNCTION("GOOGLETRANSLATE(A15692, ""en"", ""mt"")"),"Liema attivitajiet oħra l-UNFCCC teħtieġ li l-IPCC titħaddem?")</f>
        <v>Liema attivitajiet oħra l-UNFCCC teħtieġ li l-IPCC titħaddem?</v>
      </c>
    </row>
    <row r="15693" ht="15.75" customHeight="1">
      <c r="A15693" s="2" t="s">
        <v>15693</v>
      </c>
      <c r="B15693" s="2" t="str">
        <f>IFERROR(__xludf.DUMMYFUNCTION("GOOGLETRANSLATE(A15693, ""en"", ""mt"")"),"Għaliex Newcastle u Gateshead marbuta flimkien taħt banner komuni?")</f>
        <v>Għaliex Newcastle u Gateshead marbuta flimkien taħt banner komuni?</v>
      </c>
    </row>
    <row r="15694" ht="15.75" customHeight="1">
      <c r="A15694" s="2" t="s">
        <v>15694</v>
      </c>
      <c r="B15694" s="2" t="str">
        <f>IFERROR(__xludf.DUMMYFUNCTION("GOOGLETRANSLATE(A15694, ""en"", ""mt"")"),"Mużika Medjevali")</f>
        <v>Mużika Medjevali</v>
      </c>
    </row>
    <row r="15695" ht="15.75" customHeight="1">
      <c r="A15695" s="2" t="s">
        <v>15695</v>
      </c>
      <c r="B15695" s="2" t="str">
        <f>IFERROR(__xludf.DUMMYFUNCTION("GOOGLETRANSLATE(A15695, ""en"", ""mt"")"),"Kwistjonijiet taħt il-ġurisdizzjoni tagħhom")</f>
        <v>Kwistjonijiet taħt il-ġurisdizzjoni tagħhom</v>
      </c>
    </row>
    <row r="15696" ht="15.75" customHeight="1">
      <c r="A15696" s="2" t="s">
        <v>15696</v>
      </c>
      <c r="B15696" s="2" t="str">
        <f>IFERROR(__xludf.DUMMYFUNCTION("GOOGLETRANSLATE(A15696, ""en"", ""mt"")"),"sid")</f>
        <v>sid</v>
      </c>
    </row>
    <row r="15697" ht="15.75" customHeight="1">
      <c r="A15697" s="2" t="s">
        <v>15697</v>
      </c>
      <c r="B15697" s="2" t="str">
        <f>IFERROR(__xludf.DUMMYFUNCTION("GOOGLETRANSLATE(A15697, ""en"", ""mt"")"),"X'tip ta 'pagi jirriżultaw minn impjiegi fejn hemm provvista baxxa iżda domanda għolja?")</f>
        <v>X'tip ta 'pagi jirriżultaw minn impjiegi fejn hemm provvista baxxa iżda domanda għolja?</v>
      </c>
    </row>
    <row r="15698" ht="15.75" customHeight="1">
      <c r="A15698" s="2" t="s">
        <v>15698</v>
      </c>
      <c r="B15698" s="2" t="str">
        <f>IFERROR(__xludf.DUMMYFUNCTION("GOOGLETRANSLATE(A15698, ""en"", ""mt"")"),"pressjoni għolja")</f>
        <v>pressjoni għolja</v>
      </c>
    </row>
    <row r="15699" ht="15.75" customHeight="1">
      <c r="A15699" s="2" t="s">
        <v>15699</v>
      </c>
      <c r="B15699" s="2" t="str">
        <f>IFERROR(__xludf.DUMMYFUNCTION("GOOGLETRANSLATE(A15699, ""en"", ""mt"")"),"Fis-6 ta ’Ottubru, 1973")</f>
        <v>Fis-6 ta ’Ottubru, 1973</v>
      </c>
    </row>
    <row r="15700" ht="15.75" customHeight="1">
      <c r="A15700" s="2" t="s">
        <v>15700</v>
      </c>
      <c r="B15700" s="2" t="str">
        <f>IFERROR(__xludf.DUMMYFUNCTION("GOOGLETRANSLATE(A15700, ""en"", ""mt"")"),"Liema gallerija ġiet iddisinjata mill-ġdid fid-disgħinijiet u aktar tard tjiebet fl-2002?")</f>
        <v>Liema gallerija ġiet iddisinjata mill-ġdid fid-disgħinijiet u aktar tard tjiebet fl-2002?</v>
      </c>
    </row>
    <row r="15701" ht="15.75" customHeight="1">
      <c r="A15701" s="2" t="s">
        <v>15701</v>
      </c>
      <c r="B15701" s="2" t="str">
        <f>IFERROR(__xludf.DUMMYFUNCTION("GOOGLETRANSLATE(A15701, ""en"", ""mt"")"),"Matul l-istorja twila tal-programm, kien hemm rivelazzjonijiet dwar it-tabib li qajmu mistoqsijiet addizzjonali. Fil-Moħħ ta 'Morbius (1976), ġie x'jifhem li l-ewwel tabib ma setax kien l-ewwel inkarnazzjoni (għalkemm l-uċuħ l-oħra mpinġi setgħu kienu ink"&amp;"arnazzjonijiet taż-żmien Lord Morbius). Fl-istejjer sussegwenti l-ewwel tabib kien jidher bħala l-ewwel inkarnazzjoni tat-tabib. F'Mawdryn Undead (1983), il-ħames tabib ikkonferma b'mod espliċitu li dak iż-żmien kien bħalissa fil-ħames inkarnazzjoni tiegħ"&amp;"u. Aktar tard dik l-istess sena, matul l-20 anniversarju speċjali tal-1983 Il-Ħames Tobba, l-ewwel Tabib jistaqsi fir-rigward tar-riġenerazzjoni tal-Ħames Tabib; Meta l-ħames tabib jikkonferma ""ir-raba '"", l-ewwel tabib jirrispondi b'mod eċċitat ""it-tj"&amp;"ubija lili. Allura hemm ħamsa minni issa."" Fl-2010, il-ħdax-il tabib bl-istess mod isejjaħ lilu nnifsu ""il-ħdax"" f '""The Lodger"". Fl-episodju tal-2013 ""The Time of the Doctor,"" il-ħdax-il tabib iċċara li kien il-prodott tat-tnax-il riġenerazzjoni, "&amp;"minħabba inkarnazzjoni preċedenti li huwa għażel li ma jgħoddx u wieħed ieħor abort ir-riġenerazzjoni. L-isem il-ħdax għadu użat għal din l-inkarnazzjoni; L-istess episodju juri l-profetizza ""Fall of the Elevth"" li kienet ġiet imrażżna matul is-serje.")</f>
        <v>Matul l-istorja twila tal-programm, kien hemm rivelazzjonijiet dwar it-tabib li qajmu mistoqsijiet addizzjonali. Fil-Moħħ ta 'Morbius (1976), ġie x'jifhem li l-ewwel tabib ma setax kien l-ewwel inkarnazzjoni (għalkemm l-uċuħ l-oħra mpinġi setgħu kienu inkarnazzjonijiet taż-żmien Lord Morbius). Fl-istejjer sussegwenti l-ewwel tabib kien jidher bħala l-ewwel inkarnazzjoni tat-tabib. F'Mawdryn Undead (1983), il-ħames tabib ikkonferma b'mod espliċitu li dak iż-żmien kien bħalissa fil-ħames inkarnazzjoni tiegħu. Aktar tard dik l-istess sena, matul l-20 anniversarju speċjali tal-1983 Il-Ħames Tobba, l-ewwel Tabib jistaqsi fir-rigward tar-riġenerazzjoni tal-Ħames Tabib; Meta l-ħames tabib jikkonferma "ir-raba '", l-ewwel tabib jirrispondi b'mod eċċitat "it-tjubija lili. Allura hemm ħamsa minni issa." Fl-2010, il-ħdax-il tabib bl-istess mod isejjaħ lilu nnifsu "il-ħdax" f '"The Lodger". Fl-episodju tal-2013 "The Time of the Doctor," il-ħdax-il tabib iċċara li kien il-prodott tat-tnax-il riġenerazzjoni, minħabba inkarnazzjoni preċedenti li huwa għażel li ma jgħoddx u wieħed ieħor abort ir-riġenerazzjoni. L-isem il-ħdax għadu użat għal din l-inkarnazzjoni; L-istess episodju juri l-profetizza "Fall of the Elevth" li kienet ġiet imrażżna matul is-serje.</v>
      </c>
    </row>
    <row r="15702" ht="15.75" customHeight="1">
      <c r="A15702" s="2" t="s">
        <v>15702</v>
      </c>
      <c r="B15702" s="2" t="str">
        <f>IFERROR(__xludf.DUMMYFUNCTION("GOOGLETRANSLATE(A15702, ""en"", ""mt"")"),"Liema stipendju jirreġistraw l-istudenti fil-korsijiet ta 'prijorità?")</f>
        <v>Liema stipendju jirreġistraw l-istudenti fil-korsijiet ta 'prijorità?</v>
      </c>
    </row>
    <row r="15703" ht="15.75" customHeight="1">
      <c r="A15703" s="2" t="s">
        <v>15703</v>
      </c>
      <c r="B15703" s="2" t="str">
        <f>IFERROR(__xludf.DUMMYFUNCTION("GOOGLETRANSLATE(A15703, ""en"", ""mt"")"),"X'bidliet il-kontenut minerali ta 'blat?")</f>
        <v>X'bidliet il-kontenut minerali ta 'blat?</v>
      </c>
    </row>
    <row r="15704" ht="15.75" customHeight="1">
      <c r="A15704" s="2" t="s">
        <v>15704</v>
      </c>
      <c r="B15704" s="2" t="str">
        <f>IFERROR(__xludf.DUMMYFUNCTION("GOOGLETRANSLATE(A15704, ""en"", ""mt"")"),"sitt diviżjonijiet")</f>
        <v>sitt diviżjonijiet</v>
      </c>
    </row>
    <row r="15705" ht="15.75" customHeight="1">
      <c r="A15705" s="2" t="s">
        <v>15705</v>
      </c>
      <c r="B15705" s="2" t="str">
        <f>IFERROR(__xludf.DUMMYFUNCTION("GOOGLETRANSLATE(A15705, ""en"", ""mt"")"),"X'inhu l-isem tal-akbar stampa universitarja fl-Istati Uniti?")</f>
        <v>X'inhu l-isem tal-akbar stampa universitarja fl-Istati Uniti?</v>
      </c>
    </row>
    <row r="15706" ht="15.75" customHeight="1">
      <c r="A15706" s="2" t="s">
        <v>15706</v>
      </c>
      <c r="B15706" s="2" t="str">
        <f>IFERROR(__xludf.DUMMYFUNCTION("GOOGLETRANSLATE(A15706, ""en"", ""mt"")"),"Kemm hemm viċi presidenti fil-Bord tal-Fiduċjarji?")</f>
        <v>Kemm hemm viċi presidenti fil-Bord tal-Fiduċjarji?</v>
      </c>
    </row>
    <row r="15707" ht="15.75" customHeight="1">
      <c r="A15707" s="2" t="s">
        <v>15707</v>
      </c>
      <c r="B15707" s="2" t="str">
        <f>IFERROR(__xludf.DUMMYFUNCTION("GOOGLETRANSLATE(A15707, ""en"", ""mt"")"),"X'inhuma żewġ fatturi li jaffettwaw direttament kemm tista 'tkun jew ma tistax tkun magna tat-Turing?")</f>
        <v>X'inhuma żewġ fatturi li jaffettwaw direttament kemm tista 'tkun jew ma tistax tkun magna tat-Turing?</v>
      </c>
    </row>
    <row r="15708" ht="15.75" customHeight="1">
      <c r="A15708" s="2" t="s">
        <v>15708</v>
      </c>
      <c r="B15708" s="2" t="str">
        <f>IFERROR(__xludf.DUMMYFUNCTION("GOOGLETRANSLATE(A15708, ""en"", ""mt"")"),"Biex ""widen [en] l-għażliet tan-nies u l-livell tal-benesseri miksub tagħhom""")</f>
        <v>Biex "widen [en] l-għażliet tan-nies u l-livell tal-benesseri miksub tagħhom"</v>
      </c>
    </row>
    <row r="15709" ht="15.75" customHeight="1">
      <c r="A15709" s="2" t="s">
        <v>15709</v>
      </c>
      <c r="B15709" s="2" t="str">
        <f>IFERROR(__xludf.DUMMYFUNCTION("GOOGLETRANSLATE(A15709, ""en"", ""mt"")"),"dawl aħdar")</f>
        <v>dawl aħdar</v>
      </c>
    </row>
    <row r="15710" ht="15.75" customHeight="1">
      <c r="A15710" s="2" t="s">
        <v>15710</v>
      </c>
      <c r="B15710" s="2" t="str">
        <f>IFERROR(__xludf.DUMMYFUNCTION("GOOGLETRANSLATE(A15710, ""en"", ""mt"")"),"L-imperjalizmu huwa konfuż ma 'liema terminu ieħor?")</f>
        <v>L-imperjalizmu huwa konfuż ma 'liema terminu ieħor?</v>
      </c>
    </row>
    <row r="15711" ht="15.75" customHeight="1">
      <c r="A15711" s="2" t="s">
        <v>15711</v>
      </c>
      <c r="B15711" s="2" t="str">
        <f>IFERROR(__xludf.DUMMYFUNCTION("GOOGLETRANSLATE(A15711, ""en"", ""mt"")"),"V&amp;A Museum of Childhood")</f>
        <v>V&amp;A Museum of Childhood</v>
      </c>
    </row>
    <row r="15712" ht="15.75" customHeight="1">
      <c r="A15712" s="2" t="s">
        <v>15712</v>
      </c>
      <c r="B15712" s="2" t="str">
        <f>IFERROR(__xludf.DUMMYFUNCTION("GOOGLETRANSLATE(A15712, ""en"", ""mt"")"),"Uni fl-Istati Uniti")</f>
        <v>Uni fl-Istati Uniti</v>
      </c>
    </row>
    <row r="15713" ht="15.75" customHeight="1">
      <c r="A15713" s="2" t="s">
        <v>15713</v>
      </c>
      <c r="B15713" s="2" t="str">
        <f>IFERROR(__xludf.DUMMYFUNCTION("GOOGLETRANSLATE(A15713, ""en"", ""mt"")"),"Gżira Phillip")</f>
        <v>Gżira Phillip</v>
      </c>
    </row>
    <row r="15714" ht="15.75" customHeight="1">
      <c r="A15714" s="2" t="s">
        <v>15714</v>
      </c>
      <c r="B15714" s="2" t="str">
        <f>IFERROR(__xludf.DUMMYFUNCTION("GOOGLETRANSLATE(A15714, ""en"", ""mt"")"),"Missier id-dar")</f>
        <v>Missier id-dar</v>
      </c>
    </row>
    <row r="15715" ht="15.75" customHeight="1">
      <c r="A15715" s="2" t="s">
        <v>15715</v>
      </c>
      <c r="B15715" s="2" t="str">
        <f>IFERROR(__xludf.DUMMYFUNCTION("GOOGLETRANSLATE(A15715, ""en"", ""mt"")"),"L-ewwel inugwaljanza tiżdied")</f>
        <v>L-ewwel inugwaljanza tiżdied</v>
      </c>
    </row>
    <row r="15716" ht="15.75" customHeight="1">
      <c r="A15716" s="2" t="s">
        <v>15716</v>
      </c>
      <c r="B15716" s="2" t="str">
        <f>IFERROR(__xludf.DUMMYFUNCTION("GOOGLETRANSLATE(A15716, ""en"", ""mt"")"),"Tim ta 'disinn formali jista' jkun immuntat biex jagħmel xiex?")</f>
        <v>Tim ta 'disinn formali jista' jkun immuntat biex jagħmel xiex?</v>
      </c>
    </row>
    <row r="15717" ht="15.75" customHeight="1">
      <c r="A15717" s="2" t="s">
        <v>15717</v>
      </c>
      <c r="B15717" s="2" t="str">
        <f>IFERROR(__xludf.DUMMYFUNCTION("GOOGLETRANSLATE(A15717, ""en"", ""mt"")"),"Minħabba li l-liġi tan-nazzjonalizzazzjoni kienet mill-1962, u t-trattat kien fis-seħħ mill-1958, Costa ma kellha l-ebda talba")</f>
        <v>Minħabba li l-liġi tan-nazzjonalizzazzjoni kienet mill-1962, u t-trattat kien fis-seħħ mill-1958, Costa ma kellha l-ebda talba</v>
      </c>
    </row>
    <row r="15718" ht="15.75" customHeight="1">
      <c r="A15718" s="2" t="s">
        <v>15718</v>
      </c>
      <c r="B15718" s="2" t="str">
        <f>IFERROR(__xludf.DUMMYFUNCTION("GOOGLETRANSLATE(A15718, ""en"", ""mt"")"),"Nofs")</f>
        <v>Nofs</v>
      </c>
    </row>
    <row r="15719" ht="15.75" customHeight="1">
      <c r="A15719" s="2" t="s">
        <v>15719</v>
      </c>
      <c r="B15719" s="2" t="str">
        <f>IFERROR(__xludf.DUMMYFUNCTION("GOOGLETRANSLATE(A15719, ""en"", ""mt"")"),"Il-ħatriet kollha tal-kleru jsiru u jiġu ffissati kull sena mill-Isqof Resident dwar il-parir tal-Kabinett tal-Konferenza Annwali, li huwa magħmul miż-żona ta 'provost / dekan (jekk wieħed jinħatar) u d-diversi superintendenti distrettwali tad-distretti t"&amp;"ad-distretti tal-konferenza annwali. Sakemm l-Isqof qara l-ħatriet fis-sessjoni tal-Konferenza Annwali, l-ebda ħatriet ma huma ffissati uffiċjalment. Ħafna konferenzi annwali jippruvaw jevitaw li jagħmlu bidliet fil-ħatra bejn sessjonijiet ta 'konferenza "&amp;"annwali. Filwaqt li appuntament isir sena kull darba, huwa l-iktar komuni għal appuntament li jitkompla għal bosta snin. Il-mandat tal-ħatra fil-ministeri ta 'estensjoni, bħal kappillan militari, ministeru tal-kampus, missjonijiet, edukazzjoni għolja u mi"&amp;"nisteri oħra lil hinn mill-knisja lokali ħafna drabi huma saħansitra itwal.")</f>
        <v>Il-ħatriet kollha tal-kleru jsiru u jiġu ffissati kull sena mill-Isqof Resident dwar il-parir tal-Kabinett tal-Konferenza Annwali, li huwa magħmul miż-żona ta 'provost / dekan (jekk wieħed jinħatar) u d-diversi superintendenti distrettwali tad-distretti tad-distretti tal-konferenza annwali. Sakemm l-Isqof qara l-ħatriet fis-sessjoni tal-Konferenza Annwali, l-ebda ħatriet ma huma ffissati uffiċjalment. Ħafna konferenzi annwali jippruvaw jevitaw li jagħmlu bidliet fil-ħatra bejn sessjonijiet ta 'konferenza annwali. Filwaqt li appuntament isir sena kull darba, huwa l-iktar komuni għal appuntament li jitkompla għal bosta snin. Il-mandat tal-ħatra fil-ministeri ta 'estensjoni, bħal kappillan militari, ministeru tal-kampus, missjonijiet, edukazzjoni għolja u ministeri oħra lil hinn mill-knisja lokali ħafna drabi huma saħansitra itwal.</v>
      </c>
    </row>
    <row r="15720" ht="15.75" customHeight="1">
      <c r="A15720" s="2" t="s">
        <v>15720</v>
      </c>
      <c r="B15720" s="2" t="str">
        <f>IFERROR(__xludf.DUMMYFUNCTION("GOOGLETRANSLATE(A15720, ""en"", ""mt"")"),"Min kienu l-ħallieqa tal-Flintstones?")</f>
        <v>Min kienu l-ħallieqa tal-Flintstones?</v>
      </c>
    </row>
    <row r="15721" ht="15.75" customHeight="1">
      <c r="A15721" s="2" t="s">
        <v>15721</v>
      </c>
      <c r="B15721" s="2" t="str">
        <f>IFERROR(__xludf.DUMMYFUNCTION("GOOGLETRANSLATE(A15721, ""en"", ""mt"")"),"Dak li nstab li kien tort għan-nar fil-kabina fuq Apollo 1 rigward id-disinn tas-CM?")</f>
        <v>Dak li nstab li kien tort għan-nar fil-kabina fuq Apollo 1 rigward id-disinn tas-CM?</v>
      </c>
    </row>
    <row r="15722" ht="15.75" customHeight="1">
      <c r="A15722" s="2" t="s">
        <v>15722</v>
      </c>
      <c r="B15722" s="2" t="str">
        <f>IFERROR(__xludf.DUMMYFUNCTION("GOOGLETRANSLATE(A15722, ""en"", ""mt"")"),"X'inhuma ż-żewġ faċilitajiet ta 'proċessar fil-viċinat?")</f>
        <v>X'inhuma ż-żewġ faċilitajiet ta 'proċessar fil-viċinat?</v>
      </c>
    </row>
    <row r="15723" ht="15.75" customHeight="1">
      <c r="A15723" s="2" t="s">
        <v>15723</v>
      </c>
      <c r="B15723" s="2" t="str">
        <f>IFERROR(__xludf.DUMMYFUNCTION("GOOGLETRANSLATE(A15723, ""en"", ""mt"")"),"il-belt Moor")</f>
        <v>il-belt Moor</v>
      </c>
    </row>
    <row r="15724" ht="15.75" customHeight="1">
      <c r="A15724" s="2" t="s">
        <v>15724</v>
      </c>
      <c r="B15724" s="2" t="str">
        <f>IFERROR(__xludf.DUMMYFUNCTION("GOOGLETRANSLATE(A15724, ""en"", ""mt"")"),"X'tistabx il-Konfederazzjoni ta 'Varsavja formalment fl-1573?")</f>
        <v>X'tistabx il-Konfederazzjoni ta 'Varsavja formalment fl-1573?</v>
      </c>
    </row>
    <row r="15725" ht="15.75" customHeight="1">
      <c r="A15725" s="2" t="s">
        <v>15725</v>
      </c>
      <c r="B15725" s="2" t="str">
        <f>IFERROR(__xludf.DUMMYFUNCTION("GOOGLETRANSLATE(A15725, ""en"", ""mt"")"),"Mgħollija")</f>
        <v>Mgħollija</v>
      </c>
    </row>
    <row r="15726" ht="15.75" customHeight="1">
      <c r="A15726" s="2" t="s">
        <v>15726</v>
      </c>
      <c r="B15726" s="2" t="str">
        <f>IFERROR(__xludf.DUMMYFUNCTION("GOOGLETRANSLATE(A15726, ""en"", ""mt"")"),"X’wassal is-separazzjoni tal-Metodisti fil-kolonji Amerikani?")</f>
        <v>X’wassal is-separazzjoni tal-Metodisti fil-kolonji Amerikani?</v>
      </c>
    </row>
    <row r="15727" ht="15.75" customHeight="1">
      <c r="A15727" s="2" t="s">
        <v>15727</v>
      </c>
      <c r="B15727" s="2" t="str">
        <f>IFERROR(__xludf.DUMMYFUNCTION("GOOGLETRANSLATE(A15727, ""en"", ""mt"")"),"1300")</f>
        <v>1300</v>
      </c>
    </row>
    <row r="15728" ht="15.75" customHeight="1">
      <c r="A15728" s="2" t="s">
        <v>15728</v>
      </c>
      <c r="B15728" s="2" t="str">
        <f>IFERROR(__xludf.DUMMYFUNCTION("GOOGLETRANSLATE(A15728, ""en"", ""mt"")"),"X’tara Tesla waqt il-mard stramb tiegħu meta kien żgħir?")</f>
        <v>X’tara Tesla waqt il-mard stramb tiegħu meta kien żgħir?</v>
      </c>
    </row>
    <row r="15729" ht="15.75" customHeight="1">
      <c r="A15729" s="2" t="s">
        <v>15729</v>
      </c>
      <c r="B15729" s="2" t="str">
        <f>IFERROR(__xludf.DUMMYFUNCTION("GOOGLETRANSLATE(A15729, ""en"", ""mt"")"),"Il-Kumpanija Walt Disney")</f>
        <v>Il-Kumpanija Walt Disney</v>
      </c>
    </row>
    <row r="15730" ht="15.75" customHeight="1">
      <c r="A15730" s="2" t="s">
        <v>15730</v>
      </c>
      <c r="B15730" s="2" t="str">
        <f>IFERROR(__xludf.DUMMYFUNCTION("GOOGLETRANSLATE(A15730, ""en"", ""mt"")"),"Ddejjaqhom għar-reliġjon tagħhom")</f>
        <v>Ddejjaqhom għar-reliġjon tagħhom</v>
      </c>
    </row>
    <row r="15731" ht="15.75" customHeight="1">
      <c r="A15731" s="2" t="s">
        <v>15731</v>
      </c>
      <c r="B15731" s="2" t="str">
        <f>IFERROR(__xludf.DUMMYFUNCTION("GOOGLETRANSLATE(A15731, ""en"", ""mt"")"),"turbina konnessa ma 'ġeneratur elettriku")</f>
        <v>turbina konnessa ma 'ġeneratur elettriku</v>
      </c>
    </row>
    <row r="15732" ht="15.75" customHeight="1">
      <c r="A15732" s="2" t="s">
        <v>15732</v>
      </c>
      <c r="B15732" s="2" t="str">
        <f>IFERROR(__xludf.DUMMYFUNCTION("GOOGLETRANSLATE(A15732, ""en"", ""mt"")"),"340 mil")</f>
        <v>340 mil</v>
      </c>
    </row>
    <row r="15733" ht="15.75" customHeight="1">
      <c r="A15733" s="2" t="s">
        <v>15733</v>
      </c>
      <c r="B15733" s="2" t="str">
        <f>IFERROR(__xludf.DUMMYFUNCTION("GOOGLETRANSLATE(A15733, ""en"", ""mt"")"),"Sultan Korean")</f>
        <v>Sultan Korean</v>
      </c>
    </row>
    <row r="15734" ht="15.75" customHeight="1">
      <c r="A15734" s="2" t="s">
        <v>15734</v>
      </c>
      <c r="B15734" s="2" t="str">
        <f>IFERROR(__xludf.DUMMYFUNCTION("GOOGLETRANSLATE(A15734, ""en"", ""mt"")"),"Liema ktieb qara Luther fl-1542?")</f>
        <v>Liema ktieb qara Luther fl-1542?</v>
      </c>
    </row>
    <row r="15735" ht="15.75" customHeight="1">
      <c r="A15735" s="2" t="s">
        <v>15735</v>
      </c>
      <c r="B15735" s="2" t="str">
        <f>IFERROR(__xludf.DUMMYFUNCTION("GOOGLETRANSLATE(A15735, ""en"", ""mt"")"),"Il-pjan li d-delegati qablu li qatt ma kien irratifikat")</f>
        <v>Il-pjan li d-delegati qablu li qatt ma kien irratifikat</v>
      </c>
    </row>
    <row r="15736" ht="15.75" customHeight="1">
      <c r="A15736" s="2" t="s">
        <v>15736</v>
      </c>
      <c r="B15736" s="2" t="str">
        <f>IFERROR(__xludf.DUMMYFUNCTION("GOOGLETRANSLATE(A15736, ""en"", ""mt"")"),"Jalla ma jibqax jeżisti")</f>
        <v>Jalla ma jibqax jeżisti</v>
      </c>
    </row>
    <row r="15737" ht="15.75" customHeight="1">
      <c r="A15737" s="2" t="s">
        <v>15737</v>
      </c>
      <c r="B15737" s="2" t="str">
        <f>IFERROR(__xludf.DUMMYFUNCTION("GOOGLETRANSLATE(A15737, ""en"", ""mt"")"),"Min għamel Kreditu Tesla għall-abbiltajiet tiegħu?")</f>
        <v>Min għamel Kreditu Tesla għall-abbiltajiet tiegħu?</v>
      </c>
    </row>
    <row r="15738" ht="15.75" customHeight="1">
      <c r="A15738" s="2" t="s">
        <v>15738</v>
      </c>
      <c r="B15738" s="2" t="str">
        <f>IFERROR(__xludf.DUMMYFUNCTION("GOOGLETRANSLATE(A15738, ""en"", ""mt"")"),"Euutelsat's Eurobind 1")</f>
        <v>Euutelsat's Eurobind 1</v>
      </c>
    </row>
    <row r="15739" ht="15.75" customHeight="1">
      <c r="A15739" s="2" t="s">
        <v>15739</v>
      </c>
      <c r="B15739" s="2" t="str">
        <f>IFERROR(__xludf.DUMMYFUNCTION("GOOGLETRANSLATE(A15739, ""en"", ""mt"")"),"Min għamel Temüjin Khan tal-Mongoli?")</f>
        <v>Min għamel Temüjin Khan tal-Mongoli?</v>
      </c>
    </row>
    <row r="15740" ht="15.75" customHeight="1">
      <c r="A15740" s="2" t="s">
        <v>15740</v>
      </c>
      <c r="B15740" s="2" t="str">
        <f>IFERROR(__xludf.DUMMYFUNCTION("GOOGLETRANSLATE(A15740, ""en"", ""mt"")"),"X’niedi l-Papa Leo X kontra Luther?")</f>
        <v>X’niedi l-Papa Leo X kontra Luther?</v>
      </c>
    </row>
    <row r="15741" ht="15.75" customHeight="1">
      <c r="A15741" s="2" t="s">
        <v>15741</v>
      </c>
      <c r="B15741" s="2" t="str">
        <f>IFERROR(__xludf.DUMMYFUNCTION("GOOGLETRANSLATE(A15741, ""en"", ""mt"")"),"Wojciech Bogusławski Theatre")</f>
        <v>Wojciech Bogusławski Theatre</v>
      </c>
    </row>
    <row r="15742" ht="15.75" customHeight="1">
      <c r="A15742" s="2" t="s">
        <v>15742</v>
      </c>
      <c r="B15742" s="2" t="str">
        <f>IFERROR(__xludf.DUMMYFUNCTION("GOOGLETRANSLATE(A15742, ""en"", ""mt"")"),"kanali bażiċi")</f>
        <v>kanali bażiċi</v>
      </c>
    </row>
    <row r="15743" ht="15.75" customHeight="1">
      <c r="A15743" s="2" t="s">
        <v>15743</v>
      </c>
      <c r="B15743" s="2" t="str">
        <f>IFERROR(__xludf.DUMMYFUNCTION("GOOGLETRANSLATE(A15743, ""en"", ""mt"")"),"Ġeografikament titkellem, fejn hu l-punt tan-nofsinhar fin-nofsinhar ta 'California f'termini ta' latitudni?")</f>
        <v>Ġeografikament titkellem, fejn hu l-punt tan-nofsinhar fin-nofsinhar ta 'California f'termini ta' latitudni?</v>
      </c>
    </row>
    <row r="15744" ht="15.75" customHeight="1">
      <c r="A15744" s="2" t="s">
        <v>15744</v>
      </c>
      <c r="B15744" s="2" t="str">
        <f>IFERROR(__xludf.DUMMYFUNCTION("GOOGLETRANSLATE(A15744, ""en"", ""mt"")"),"inkompatibbli")</f>
        <v>inkompatibbli</v>
      </c>
    </row>
    <row r="15745" ht="15.75" customHeight="1">
      <c r="A15745" s="2" t="s">
        <v>15745</v>
      </c>
      <c r="B15745" s="2" t="str">
        <f>IFERROR(__xludf.DUMMYFUNCTION("GOOGLETRANSLATE(A15745, ""en"", ""mt"")"),"is-sid")</f>
        <v>is-sid</v>
      </c>
    </row>
    <row r="15746" ht="15.75" customHeight="1">
      <c r="A15746" s="2" t="s">
        <v>15746</v>
      </c>
      <c r="B15746" s="2" t="str">
        <f>IFERROR(__xludf.DUMMYFUNCTION("GOOGLETRANSLATE(A15746, ""en"", ""mt"")"),"Liema artikolu tat-Trattat dwar l-Unjoni Ewropea jiddikjara li l-kummissarji għandhom ikunu kompletament indipendenti u ma jieħdu struzzjonijiet minn xi gvern?")</f>
        <v>Liema artikolu tat-Trattat dwar l-Unjoni Ewropea jiddikjara li l-kummissarji għandhom ikunu kompletament indipendenti u ma jieħdu struzzjonijiet minn xi gvern?</v>
      </c>
    </row>
    <row r="15747" ht="15.75" customHeight="1">
      <c r="A15747" s="2" t="s">
        <v>15747</v>
      </c>
      <c r="B15747" s="2" t="str">
        <f>IFERROR(__xludf.DUMMYFUNCTION("GOOGLETRANSLATE(A15747, ""en"", ""mt"")"),"Fil-ħamsinijiet")</f>
        <v>Fil-ħamsinijiet</v>
      </c>
    </row>
    <row r="15748" ht="15.75" customHeight="1">
      <c r="A15748" s="2" t="s">
        <v>15748</v>
      </c>
      <c r="B15748" s="2" t="str">
        <f>IFERROR(__xludf.DUMMYFUNCTION("GOOGLETRANSLATE(A15748, ""en"", ""mt"")"),"Xi jfittex l-approċċ tal-kapaċitajiet li jħares lejn il-faqar bħala forma ta '?")</f>
        <v>Xi jfittex l-approċċ tal-kapaċitajiet li jħares lejn il-faqar bħala forma ta '?</v>
      </c>
    </row>
    <row r="15749" ht="15.75" customHeight="1">
      <c r="A15749" s="2" t="s">
        <v>15749</v>
      </c>
      <c r="B15749" s="2" t="str">
        <f>IFERROR(__xludf.DUMMYFUNCTION("GOOGLETRANSLATE(A15749, ""en"", ""mt"")"),"Liema grupp ta 'xjenzati jfittxu li jkejlu l-ammonti ta' ossiġnu f'annimali tal-baħar?")</f>
        <v>Liema grupp ta 'xjenzati jfittxu li jkejlu l-ammonti ta' ossiġnu f'annimali tal-baħar?</v>
      </c>
    </row>
    <row r="15750" ht="15.75" customHeight="1">
      <c r="A15750" s="2" t="s">
        <v>15750</v>
      </c>
      <c r="B15750" s="2" t="str">
        <f>IFERROR(__xludf.DUMMYFUNCTION("GOOGLETRANSLATE(A15750, ""en"", ""mt"")"),"F'liema sena l-FCC bdiet investigazzjoni fl-operat tan-netwerks tar-radju fl-Amerika")</f>
        <v>F'liema sena l-FCC bdiet investigazzjoni fl-operat tan-netwerks tar-radju fl-Amerika</v>
      </c>
    </row>
    <row r="15751" ht="15.75" customHeight="1">
      <c r="A15751" s="2" t="s">
        <v>15751</v>
      </c>
      <c r="B15751" s="2" t="str">
        <f>IFERROR(__xludf.DUMMYFUNCTION("GOOGLETRANSLATE(A15751, ""en"", ""mt"")"),"Liema problema mhux prevista kkawżat lil Tesla biex tolqot l-esperiment tiegħu ma 'sledgehammer?")</f>
        <v>Liema problema mhux prevista kkawżat lil Tesla biex tolqot l-esperiment tiegħu ma 'sledgehammer?</v>
      </c>
    </row>
    <row r="15752" ht="15.75" customHeight="1">
      <c r="A15752" s="2" t="s">
        <v>15752</v>
      </c>
      <c r="B15752" s="2" t="str">
        <f>IFERROR(__xludf.DUMMYFUNCTION("GOOGLETRANSLATE(A15752, ""en"", ""mt"")"),"Żoni li fihom il-muntanji huma mibnija tul il-konfini tal-pjanċa tettonika konverġenti huma msejħa?")</f>
        <v>Żoni li fihom il-muntanji huma mibnija tul il-konfini tal-pjanċa tettonika konverġenti huma msejħa?</v>
      </c>
    </row>
    <row r="15753" ht="15.75" customHeight="1">
      <c r="A15753" s="2" t="s">
        <v>15753</v>
      </c>
      <c r="B15753" s="2" t="str">
        <f>IFERROR(__xludf.DUMMYFUNCTION("GOOGLETRANSLATE(A15753, ""en"", ""mt"")"),"Pont")</f>
        <v>Pont</v>
      </c>
    </row>
    <row r="15754" ht="15.75" customHeight="1">
      <c r="A15754" s="2" t="s">
        <v>15754</v>
      </c>
      <c r="B15754" s="2" t="str">
        <f>IFERROR(__xludf.DUMMYFUNCTION("GOOGLETRANSLATE(A15754, ""en"", ""mt"")"),"X'inhu prasinofita?")</f>
        <v>X'inhu prasinofita?</v>
      </c>
    </row>
    <row r="15755" ht="15.75" customHeight="1">
      <c r="A15755" s="2" t="s">
        <v>15755</v>
      </c>
      <c r="B15755" s="2" t="str">
        <f>IFERROR(__xludf.DUMMYFUNCTION("GOOGLETRANSLATE(A15755, ""en"", ""mt"")"),"Wied tard-glaċjali")</f>
        <v>Wied tard-glaċjali</v>
      </c>
    </row>
    <row r="15756" ht="15.75" customHeight="1">
      <c r="A15756" s="2" t="s">
        <v>15756</v>
      </c>
      <c r="B15756" s="2" t="str">
        <f>IFERROR(__xludf.DUMMYFUNCTION("GOOGLETRANSLATE(A15756, ""en"", ""mt"")"),"Ma jkun hemm l-ebda punteġġ aktar fit-tielet kwart, iżda kmieni fir-raba ', il-Broncos saq lejn il-linja ta' 41-tarzna tal-Panthers. Fil-logħob li jmiss, Ealy ħabbat il-ballun minn idejn Manning hekk kif kien qed jagħlaq għal pass, u mbagħad irkuprah għal"&amp;" Carolina fuq il-linja ta '50 -yard. Akkoljenza ta '16 -il tarzna minn Devin Funchess u 12-il tarzna mmexxija minn Stewart imbagħad waqqfu l-gowl ta 'Gano 39-yard, li qatgħu d-defiċit tal-Panthers għal skor wieħed f'16-110. It-tliet drives li ġejjin tal-l"&amp;"ogħba jispiċċaw fil-punti.")</f>
        <v>Ma jkun hemm l-ebda punteġġ aktar fit-tielet kwart, iżda kmieni fir-raba ', il-Broncos saq lejn il-linja ta' 41-tarzna tal-Panthers. Fil-logħob li jmiss, Ealy ħabbat il-ballun minn idejn Manning hekk kif kien qed jagħlaq għal pass, u mbagħad irkuprah għal Carolina fuq il-linja ta '50 -yard. Akkoljenza ta '16 -il tarzna minn Devin Funchess u 12-il tarzna mmexxija minn Stewart imbagħad waqqfu l-gowl ta 'Gano 39-yard, li qatgħu d-defiċit tal-Panthers għal skor wieħed f'16-110. It-tliet drives li ġejjin tal-logħba jispiċċaw fil-punti.</v>
      </c>
    </row>
    <row r="15757" ht="15.75" customHeight="1">
      <c r="A15757" s="2" t="s">
        <v>15757</v>
      </c>
      <c r="B15757" s="2" t="str">
        <f>IFERROR(__xludf.DUMMYFUNCTION("GOOGLETRANSLATE(A15757, ""en"", ""mt"")"),"Liema sistema ta 'qasma żviluppat fl-orogenija alpina?")</f>
        <v>Liema sistema ta 'qasma żviluppat fl-orogenija alpina?</v>
      </c>
    </row>
    <row r="15758" ht="15.75" customHeight="1">
      <c r="A15758" s="2" t="s">
        <v>15758</v>
      </c>
      <c r="B15758" s="2" t="str">
        <f>IFERROR(__xludf.DUMMYFUNCTION("GOOGLETRANSLATE(A15758, ""en"", ""mt"")"),"fit-tramuntana")</f>
        <v>fit-tramuntana</v>
      </c>
    </row>
    <row r="15759" ht="15.75" customHeight="1">
      <c r="A15759" s="2" t="s">
        <v>15759</v>
      </c>
      <c r="B15759" s="2" t="str">
        <f>IFERROR(__xludf.DUMMYFUNCTION("GOOGLETRANSLATE(A15759, ""en"", ""mt"")"),"il-grazzja li ""tmur quddiem"" magħna")</f>
        <v>il-grazzja li "tmur quddiem" magħna</v>
      </c>
    </row>
    <row r="15760" ht="15.75" customHeight="1">
      <c r="A15760" s="2" t="s">
        <v>15760</v>
      </c>
      <c r="B15760" s="2" t="str">
        <f>IFERROR(__xludf.DUMMYFUNCTION("GOOGLETRANSLATE(A15760, ""en"", ""mt"")"),"kostruzzjoni ta 'awtostradi")</f>
        <v>kostruzzjoni ta 'awtostradi</v>
      </c>
    </row>
    <row r="15761" ht="15.75" customHeight="1">
      <c r="A15761" s="2" t="s">
        <v>15761</v>
      </c>
      <c r="B15761" s="2" t="str">
        <f>IFERROR(__xludf.DUMMYFUNCTION("GOOGLETRANSLATE(A15761, ""en"", ""mt"")"),"Parlament tar-Renju Unit")</f>
        <v>Parlament tar-Renju Unit</v>
      </c>
    </row>
    <row r="15762" ht="15.75" customHeight="1">
      <c r="A15762" s="2" t="s">
        <v>15762</v>
      </c>
      <c r="B15762" s="2" t="str">
        <f>IFERROR(__xludf.DUMMYFUNCTION("GOOGLETRANSLATE(A15762, ""en"", ""mt"")"),"każ tal-ħġieġ")</f>
        <v>każ tal-ħġieġ</v>
      </c>
    </row>
    <row r="15763" ht="15.75" customHeight="1">
      <c r="A15763" s="2" t="s">
        <v>15763</v>
      </c>
      <c r="B15763" s="2" t="str">
        <f>IFERROR(__xludf.DUMMYFUNCTION("GOOGLETRANSLATE(A15763, ""en"", ""mt"")"),"Paul Revere kien imnissel mir-refuġjati Huguenot, kif kien Henry Laurens, li ffirma l-Artikoli tal-Konfederazzjoni għal South Carolina; Jack Jouett, li għamel ir-rikba minn Cuckoo Tavern biex iwissi lil Thomas Jefferson u oħrajn li Tarleton u l-irġiel tie"&amp;"għu kienu fi triqthom biex jarrestawh għal reati kontra r-re; Francis Marion, u numru ta ’mexxejja oħra tar-Rivoluzzjoni Amerikana u statisti aktar tard. L-aħħar kongregazzjoni attiva Huguenot fl-Amerika ta ’Fuq qima f’Charleston, South Carolina, fi knisj"&amp;"a li tmur għall-1844. Is-Soċjetà Huguenot tal-Amerika żżomm il-Knisja Episkopali Manakin f’V Virginia bħala santwarju storiku b’servizzi okkażjonali. Is-soċjetà għandha kapitoli f’bosta stati, b’dak f’Texas huwa l-akbar.")</f>
        <v>Paul Revere kien imnissel mir-refuġjati Huguenot, kif kien Henry Laurens, li ffirma l-Artikoli tal-Konfederazzjoni għal South Carolina; Jack Jouett, li għamel ir-rikba minn Cuckoo Tavern biex iwissi lil Thomas Jefferson u oħrajn li Tarleton u l-irġiel tiegħu kienu fi triqthom biex jarrestawh għal reati kontra r-re; Francis Marion, u numru ta ’mexxejja oħra tar-Rivoluzzjoni Amerikana u statisti aktar tard. L-aħħar kongregazzjoni attiva Huguenot fl-Amerika ta ’Fuq qima f’Charleston, South Carolina, fi knisja li tmur għall-1844. Is-Soċjetà Huguenot tal-Amerika żżomm il-Knisja Episkopali Manakin f’V Virginia bħala santwarju storiku b’servizzi okkażjonali. Is-soċjetà għandha kapitoli f’bosta stati, b’dak f’Texas huwa l-akbar.</v>
      </c>
    </row>
    <row r="15764" ht="15.75" customHeight="1">
      <c r="A15764" s="2" t="s">
        <v>15764</v>
      </c>
      <c r="B15764" s="2" t="str">
        <f>IFERROR(__xludf.DUMMYFUNCTION("GOOGLETRANSLATE(A15764, ""en"", ""mt"")"),"Franza ma riedx tirriskja konvoj kbar biex tgħin il-forzi limitati li kellha fi Franza l-ġdida")</f>
        <v>Franza ma riedx tirriskja konvoj kbar biex tgħin il-forzi limitati li kellha fi Franza l-ġdida</v>
      </c>
    </row>
    <row r="15765" ht="15.75" customHeight="1">
      <c r="A15765" s="2" t="s">
        <v>15765</v>
      </c>
      <c r="B15765" s="2" t="str">
        <f>IFERROR(__xludf.DUMMYFUNCTION("GOOGLETRANSLATE(A15765, ""en"", ""mt"")"),"Madwar 1.7 biljun sena ilu")</f>
        <v>Madwar 1.7 biljun sena ilu</v>
      </c>
    </row>
    <row r="15766" ht="15.75" customHeight="1">
      <c r="A15766" s="2" t="s">
        <v>15766</v>
      </c>
      <c r="B15766" s="2" t="str">
        <f>IFERROR(__xludf.DUMMYFUNCTION("GOOGLETRANSLATE(A15766, ""en"", ""mt"")"),"Distribuzzjoni elettrika")</f>
        <v>Distribuzzjoni elettrika</v>
      </c>
    </row>
    <row r="15767" ht="15.75" customHeight="1">
      <c r="A15767" s="2" t="s">
        <v>15767</v>
      </c>
      <c r="B15767" s="2" t="str">
        <f>IFERROR(__xludf.DUMMYFUNCTION("GOOGLETRANSLATE(A15767, ""en"", ""mt"")"),"Disney-ABC Television Group implimenta restrizzjonijiet għal Hulu u Watch ABC li għamlu episodji disponibbli biss wara kemm jiem wara xandira inizjali?")</f>
        <v>Disney-ABC Television Group implimenta restrizzjonijiet għal Hulu u Watch ABC li għamlu episodji disponibbli biss wara kemm jiem wara xandira inizjali?</v>
      </c>
    </row>
    <row r="15768" ht="15.75" customHeight="1">
      <c r="A15768" s="2" t="s">
        <v>15768</v>
      </c>
      <c r="B15768" s="2" t="str">
        <f>IFERROR(__xludf.DUMMYFUNCTION("GOOGLETRANSLATE(A15768, ""en"", ""mt"")"),"Hekk kif it-territorji indiġeni jibqgħu jinqerdu mid-deforestazzjoni u l-ekokokide, bħal fil-komunitajiet tal-foresti tal-foresti tal-popli indiġeni Peruvjani jibqgħu jisparixxu, filwaqt li oħrajn, bħall-Urarina jibqgħu jissieltu biex jiġġieldu għas-sopra"&amp;"vivenza kulturali tagħhom u d-destin tat-territorji forestati tagħhom. Sadanittant, ir-relazzjoni bejn il-primati mhux umani fis-sussistenza u s-simboliżmu tal-popli tal-Amerika t'Isfel Indiġeni kisbet attenzjoni akbar, bħalma għamlu l-isforzi tal-etno-bi"&amp;"joloġija u l-isforzi ta 'konservazzjoni bbażati fil-komunità.")</f>
        <v>Hekk kif it-territorji indiġeni jibqgħu jinqerdu mid-deforestazzjoni u l-ekokokide, bħal fil-komunitajiet tal-foresti tal-foresti tal-popli indiġeni Peruvjani jibqgħu jisparixxu, filwaqt li oħrajn, bħall-Urarina jibqgħu jissieltu biex jiġġieldu għas-sopravivenza kulturali tagħhom u d-destin tat-territorji forestati tagħhom. Sadanittant, ir-relazzjoni bejn il-primati mhux umani fis-sussistenza u s-simboliżmu tal-popli tal-Amerika t'Isfel Indiġeni kisbet attenzjoni akbar, bħalma għamlu l-isforzi tal-etno-bijoloġija u l-isforzi ta 'konservazzjoni bbażati fil-komunità.</v>
      </c>
    </row>
    <row r="15769" ht="15.75" customHeight="1">
      <c r="A15769" s="2" t="s">
        <v>15769</v>
      </c>
      <c r="B15769" s="2" t="str">
        <f>IFERROR(__xludf.DUMMYFUNCTION("GOOGLETRANSLATE(A15769, ""en"", ""mt"")"),"bini ta 'dħul ġdid")</f>
        <v>bini ta 'dħul ġdid</v>
      </c>
    </row>
    <row r="15770" ht="15.75" customHeight="1">
      <c r="A15770" s="2" t="s">
        <v>15770</v>
      </c>
      <c r="B15770" s="2" t="str">
        <f>IFERROR(__xludf.DUMMYFUNCTION("GOOGLETRANSLATE(A15770, ""en"", ""mt"")"),"Urbanizzazzjoni")</f>
        <v>Urbanizzazzjoni</v>
      </c>
    </row>
    <row r="15771" ht="15.75" customHeight="1">
      <c r="A15771" s="2" t="s">
        <v>15771</v>
      </c>
      <c r="B15771" s="2" t="str">
        <f>IFERROR(__xludf.DUMMYFUNCTION("GOOGLETRANSLATE(A15771, ""en"", ""mt"")"),"madwar tletin")</f>
        <v>madwar tletin</v>
      </c>
    </row>
    <row r="15772" ht="15.75" customHeight="1">
      <c r="A15772" s="2" t="s">
        <v>15772</v>
      </c>
      <c r="B15772" s="2" t="str">
        <f>IFERROR(__xludf.DUMMYFUNCTION("GOOGLETRANSLATE(A15772, ""en"", ""mt"")"),"Il-Katekiżmu")</f>
        <v>Il-Katekiżmu</v>
      </c>
    </row>
    <row r="15773" ht="15.75" customHeight="1">
      <c r="A15773" s="2" t="s">
        <v>15773</v>
      </c>
      <c r="B15773" s="2" t="str">
        <f>IFERROR(__xludf.DUMMYFUNCTION("GOOGLETRANSLATE(A15773, ""en"", ""mt"")"),"2,290 m3 / s")</f>
        <v>2,290 m3 / s</v>
      </c>
    </row>
    <row r="15774" ht="15.75" customHeight="1">
      <c r="A15774" s="2" t="s">
        <v>15774</v>
      </c>
      <c r="B15774" s="2" t="str">
        <f>IFERROR(__xludf.DUMMYFUNCTION("GOOGLETRANSLATE(A15774, ""en"", ""mt"")"),"Sqallija")</f>
        <v>Sqallija</v>
      </c>
    </row>
    <row r="15775" ht="15.75" customHeight="1">
      <c r="A15775" s="2" t="s">
        <v>15775</v>
      </c>
      <c r="B15775" s="2" t="str">
        <f>IFERROR(__xludf.DUMMYFUNCTION("GOOGLETRANSLATE(A15775, ""en"", ""mt"")"),"Jekk A u Q huma koprime, liema teorema jqis li progressjoni aritmetika għandha numru infinit ta 'primes?")</f>
        <v>Jekk A u Q huma koprime, liema teorema jqis li progressjoni aritmetika għandha numru infinit ta 'primes?</v>
      </c>
    </row>
    <row r="15776" ht="15.75" customHeight="1">
      <c r="A15776" s="2" t="s">
        <v>15776</v>
      </c>
      <c r="B15776" s="2" t="str">
        <f>IFERROR(__xludf.DUMMYFUNCTION("GOOGLETRANSLATE(A15776, ""en"", ""mt"")"),"X'għandu jirrappreżenta li ma jikkawża l-ebda forza netta li tkun il-kawża ta 'mozzjoni ta' veloċità kostanti?")</f>
        <v>X'għandu jirrappreżenta li ma jikkawża l-ebda forza netta li tkun il-kawża ta 'mozzjoni ta' veloċità kostanti?</v>
      </c>
    </row>
    <row r="15777" ht="15.75" customHeight="1">
      <c r="A15777" s="2" t="s">
        <v>15777</v>
      </c>
      <c r="B15777" s="2" t="str">
        <f>IFERROR(__xludf.DUMMYFUNCTION("GOOGLETRANSLATE(A15777, ""en"", ""mt"")"),"7 sa 10 fil-mija tat-tobba Amerikani")</f>
        <v>7 sa 10 fil-mija tat-tobba Amerikani</v>
      </c>
    </row>
    <row r="15778" ht="15.75" customHeight="1">
      <c r="A15778" s="2" t="s">
        <v>15778</v>
      </c>
      <c r="B15778" s="2" t="str">
        <f>IFERROR(__xludf.DUMMYFUNCTION("GOOGLETRANSLATE(A15778, ""en"", ""mt"")"),"Għal liema pajjiż hija din l-istatistika?")</f>
        <v>Għal liema pajjiż hija din l-istatistika?</v>
      </c>
    </row>
    <row r="15779" ht="15.75" customHeight="1">
      <c r="A15779" s="2" t="s">
        <v>15779</v>
      </c>
      <c r="B15779" s="2" t="str">
        <f>IFERROR(__xludf.DUMMYFUNCTION("GOOGLETRANSLATE(A15779, ""en"", ""mt"")"),"il-forza elettrostatika (minħabba l-kamp elettriku) u l-forza manjetika (minħabba l-kamp manjetiku).")</f>
        <v>il-forza elettrostatika (minħabba l-kamp elettriku) u l-forza manjetika (minħabba l-kamp manjetiku).</v>
      </c>
    </row>
    <row r="15780" ht="15.75" customHeight="1">
      <c r="A15780" s="2" t="s">
        <v>15780</v>
      </c>
      <c r="B15780" s="2" t="str">
        <f>IFERROR(__xludf.DUMMYFUNCTION("GOOGLETRANSLATE(A15780, ""en"", ""mt"")"),"kuntratturi")</f>
        <v>kuntratturi</v>
      </c>
    </row>
    <row r="15781" ht="15.75" customHeight="1">
      <c r="A15781" s="2" t="s">
        <v>15781</v>
      </c>
      <c r="B15781" s="2" t="str">
        <f>IFERROR(__xludf.DUMMYFUNCTION("GOOGLETRANSLATE(A15781, ""en"", ""mt"")"),"Kemm skejjel pubbliċi charter tmexxi l-università?")</f>
        <v>Kemm skejjel pubbliċi charter tmexxi l-università?</v>
      </c>
    </row>
    <row r="15782" ht="15.75" customHeight="1">
      <c r="A15782" s="2" t="s">
        <v>15782</v>
      </c>
      <c r="B15782" s="2" t="str">
        <f>IFERROR(__xludf.DUMMYFUNCTION("GOOGLETRANSLATE(A15782, ""en"", ""mt"")"),"ftit appoġġ")</f>
        <v>ftit appoġġ</v>
      </c>
    </row>
    <row r="15783" ht="15.75" customHeight="1">
      <c r="A15783" s="2" t="s">
        <v>15783</v>
      </c>
      <c r="B15783" s="2" t="str">
        <f>IFERROR(__xludf.DUMMYFUNCTION("GOOGLETRANSLATE(A15783, ""en"", ""mt"")"),"Kemm stazzjonijiet kellhom Boston fl-1952?")</f>
        <v>Kemm stazzjonijiet kellhom Boston fl-1952?</v>
      </c>
    </row>
    <row r="15784" ht="15.75" customHeight="1">
      <c r="A15784" s="2" t="s">
        <v>15784</v>
      </c>
      <c r="B15784" s="2" t="str">
        <f>IFERROR(__xludf.DUMMYFUNCTION("GOOGLETRANSLATE(A15784, ""en"", ""mt"")"),"psewdogeni mhux funzjonali")</f>
        <v>psewdogeni mhux funzjonali</v>
      </c>
    </row>
    <row r="15785" ht="15.75" customHeight="1">
      <c r="A15785" s="2" t="s">
        <v>15785</v>
      </c>
      <c r="B15785" s="2" t="str">
        <f>IFERROR(__xludf.DUMMYFUNCTION("GOOGLETRANSLATE(A15785, ""en"", ""mt"")"),"Dubbidjenza Ċivili Rivoluzzjonarja")</f>
        <v>Dubbidjenza Ċivili Rivoluzzjonarja</v>
      </c>
    </row>
    <row r="15786" ht="15.75" customHeight="1">
      <c r="A15786" s="2" t="s">
        <v>15786</v>
      </c>
      <c r="B15786" s="2" t="str">
        <f>IFERROR(__xludf.DUMMYFUNCTION("GOOGLETRANSLATE(A15786, ""en"", ""mt"")"),"ħin polinomjali")</f>
        <v>ħin polinomjali</v>
      </c>
    </row>
    <row r="15787" ht="15.75" customHeight="1">
      <c r="A15787" s="2" t="s">
        <v>15787</v>
      </c>
      <c r="B15787" s="2" t="str">
        <f>IFERROR(__xludf.DUMMYFUNCTION("GOOGLETRANSLATE(A15787, ""en"", ""mt"")"),"Min kien twil id-dewmien tax-xandir iddikjara li kien l-ewwel darba li s-serje ħarġet?")</f>
        <v>Min kien twil id-dewmien tax-xandir iddikjara li kien l-ewwel darba li s-serje ħarġet?</v>
      </c>
    </row>
    <row r="15788" ht="15.75" customHeight="1">
      <c r="A15788" s="2" t="s">
        <v>15788</v>
      </c>
      <c r="B15788" s="2" t="str">
        <f>IFERROR(__xludf.DUMMYFUNCTION("GOOGLETRANSLATE(A15788, ""en"", ""mt"")"),"X'inhu t-taħriġ għall-immaniġġjar tal-istress?")</f>
        <v>X'inhu t-taħriġ għall-immaniġġjar tal-istress?</v>
      </c>
    </row>
    <row r="15789" ht="15.75" customHeight="1">
      <c r="A15789" s="2" t="s">
        <v>15789</v>
      </c>
      <c r="B15789" s="2" t="str">
        <f>IFERROR(__xludf.DUMMYFUNCTION("GOOGLETRANSLATE(A15789, ""en"", ""mt"")"),"Demografikament")</f>
        <v>Demografikament</v>
      </c>
    </row>
    <row r="15790" ht="15.75" customHeight="1">
      <c r="A15790" s="2" t="s">
        <v>15790</v>
      </c>
      <c r="B15790" s="2" t="str">
        <f>IFERROR(__xludf.DUMMYFUNCTION("GOOGLETRANSLATE(A15790, ""en"", ""mt"")"),"X'inhu magħmul miż-żona ta 'provost / dekan ad d-diversi superintendenti distrettwali tad-distretti fil-konferenza annwali?")</f>
        <v>X'inhu magħmul miż-żona ta 'provost / dekan ad d-diversi superintendenti distrettwali tad-distretti fil-konferenza annwali?</v>
      </c>
    </row>
    <row r="15791" ht="15.75" customHeight="1">
      <c r="A15791" s="2" t="s">
        <v>15791</v>
      </c>
      <c r="B15791" s="2" t="str">
        <f>IFERROR(__xludf.DUMMYFUNCTION("GOOGLETRANSLATE(A15791, ""en"", ""mt"")"),"li ma jkollokx permess ta 'residenza")</f>
        <v>li ma jkollokx permess ta 'residenza</v>
      </c>
    </row>
    <row r="15792" ht="15.75" customHeight="1">
      <c r="A15792" s="2" t="s">
        <v>15792</v>
      </c>
      <c r="B15792" s="2" t="str">
        <f>IFERROR(__xludf.DUMMYFUNCTION("GOOGLETRANSLATE(A15792, ""en"", ""mt"")"),"il-linji ta 'applikazzjoni rispettivi tagħhom")</f>
        <v>il-linji ta 'applikazzjoni rispettivi tagħhom</v>
      </c>
    </row>
    <row r="15793" ht="15.75" customHeight="1">
      <c r="A15793" s="2" t="s">
        <v>15793</v>
      </c>
      <c r="B15793" s="2" t="str">
        <f>IFERROR(__xludf.DUMMYFUNCTION("GOOGLETRANSLATE(A15793, ""en"", ""mt"")"),"B'kuntrast, matul il-perjodi ta 'qawmien iddifferenzja ċelloli effetturi, bħal ċelloli killer naturali ċitotossiċi u CTLs (limfoċiti T ċitotossiċi), quċċata sabiex tinkiseb rispons effettiv kontra kwalunkwe patoġeni intrużi. Kif ukoll waqt żminijiet attiv"&amp;"i imqajjmin, molekuli anti-infjammatorji, bħal kortisol u katekolamini, quċċata. Hemm żewġ teoriji dwar għaliex l-istat pro-infjammatorju huwa riservat għall-ħin tal-irqad. L-ewwel, l-infjammazzjoni tikkawża indebolimenti konjittivi u fiżiċi serji jekk da"&amp;"n iseħħ waqt il-ħinijiet ta 'qawmien. It-tieni, infjammazzjoni tista 'sseħħ waqt il-ħinijiet ta' l-irqad minħabba l-preżenza ta 'melatonin. L-infjammazzjoni tikkawża ħafna stress ossidattiv u l-preżenza ta 'melatonin waqt il-ħinijiet ta' l-irqad tista 'ti"&amp;"kkontrolla b'mod attiv il-produzzjoni radikali ħielsa matul dan iż-żmien.")</f>
        <v>B'kuntrast, matul il-perjodi ta 'qawmien iddifferenzja ċelloli effetturi, bħal ċelloli killer naturali ċitotossiċi u CTLs (limfoċiti T ċitotossiċi), quċċata sabiex tinkiseb rispons effettiv kontra kwalunkwe patoġeni intrużi. Kif ukoll waqt żminijiet attivi imqajjmin, molekuli anti-infjammatorji, bħal kortisol u katekolamini, quċċata. Hemm żewġ teoriji dwar għaliex l-istat pro-infjammatorju huwa riservat għall-ħin tal-irqad. L-ewwel, l-infjammazzjoni tikkawża indebolimenti konjittivi u fiżiċi serji jekk dan iseħħ waqt il-ħinijiet ta 'qawmien. It-tieni, infjammazzjoni tista 'sseħħ waqt il-ħinijiet ta' l-irqad minħabba l-preżenza ta 'melatonin. L-infjammazzjoni tikkawża ħafna stress ossidattiv u l-preżenza ta 'melatonin waqt il-ħinijiet ta' l-irqad tista 'tikkontrolla b'mod attiv il-produzzjoni radikali ħielsa matul dan iż-żmien.</v>
      </c>
    </row>
    <row r="15794" ht="15.75" customHeight="1">
      <c r="A15794" s="2" t="s">
        <v>15794</v>
      </c>
      <c r="B15794" s="2" t="str">
        <f>IFERROR(__xludf.DUMMYFUNCTION("GOOGLETRANSLATE(A15794, ""en"", ""mt"")"),"Il-waqgħa tal-1937")</f>
        <v>Il-waqgħa tal-1937</v>
      </c>
    </row>
    <row r="15795" ht="15.75" customHeight="1">
      <c r="A15795" s="2" t="s">
        <v>15795</v>
      </c>
      <c r="B15795" s="2" t="str">
        <f>IFERROR(__xludf.DUMMYFUNCTION("GOOGLETRANSLATE(A15795, ""en"", ""mt"")"),"Rakkomandat mill-Konferenza tar-Ragħaj u tal-Knisja tagħhom jew tal-Konferenza tal-Ħlas, u Imla l-Kors Bażiku għal Qaddej Lajk")</f>
        <v>Rakkomandat mill-Konferenza tar-Ragħaj u tal-Knisja tagħhom jew tal-Konferenza tal-Ħlas, u Imla l-Kors Bażiku għal Qaddej Lajk</v>
      </c>
    </row>
    <row r="15796" ht="15.75" customHeight="1">
      <c r="A15796" s="2" t="s">
        <v>15796</v>
      </c>
      <c r="B15796" s="2" t="str">
        <f>IFERROR(__xludf.DUMMYFUNCTION("GOOGLETRANSLATE(A15796, ""en"", ""mt"")"),"Il-Ġermanja u r-Renju Unit")</f>
        <v>Il-Ġermanja u r-Renju Unit</v>
      </c>
    </row>
    <row r="15797" ht="15.75" customHeight="1">
      <c r="A15797" s="2" t="s">
        <v>15797</v>
      </c>
      <c r="B15797" s="2" t="str">
        <f>IFERROR(__xludf.DUMMYFUNCTION("GOOGLETRANSLATE(A15797, ""en"", ""mt"")"),"Repulsjoni Pauli")</f>
        <v>Repulsjoni Pauli</v>
      </c>
    </row>
    <row r="15798" ht="15.75" customHeight="1">
      <c r="A15798" s="2" t="s">
        <v>15798</v>
      </c>
      <c r="B15798" s="2" t="str">
        <f>IFERROR(__xludf.DUMMYFUNCTION("GOOGLETRANSLATE(A15798, ""en"", ""mt"")"),"Kardinali")</f>
        <v>Kardinali</v>
      </c>
    </row>
    <row r="15799" ht="15.75" customHeight="1">
      <c r="A15799" s="2" t="s">
        <v>15799</v>
      </c>
      <c r="B15799" s="2" t="str">
        <f>IFERROR(__xludf.DUMMYFUNCTION("GOOGLETRANSLATE(A15799, ""en"", ""mt"")"),"X'ġara mill-finanzjament ta 'Tesla ladarba bdiet il-gwerra?")</f>
        <v>X'ġara mill-finanzjament ta 'Tesla ladarba bdiet il-gwerra?</v>
      </c>
    </row>
    <row r="15800" ht="15.75" customHeight="1">
      <c r="A15800" s="2" t="s">
        <v>15800</v>
      </c>
      <c r="B15800" s="2" t="str">
        <f>IFERROR(__xludf.DUMMYFUNCTION("GOOGLETRANSLATE(A15800, ""en"", ""mt"")"),"Projezzjonijiet ġelatinużi mmarkati b'ċili li jipproduċu kurrenti tal-ilma")</f>
        <v>Projezzjonijiet ġelatinużi mmarkati b'ċili li jipproduċu kurrenti tal-ilma</v>
      </c>
    </row>
    <row r="15801" ht="15.75" customHeight="1">
      <c r="A15801" s="2" t="s">
        <v>15801</v>
      </c>
      <c r="B15801" s="2" t="str">
        <f>IFERROR(__xludf.DUMMYFUNCTION("GOOGLETRANSLATE(A15801, ""en"", ""mt"")"),"Liema tip ta 'skola għandha relazzjoni mill-qrib għalliem-tifel?")</f>
        <v>Liema tip ta 'skola għandha relazzjoni mill-qrib għalliem-tifel?</v>
      </c>
    </row>
    <row r="15802" ht="15.75" customHeight="1">
      <c r="A15802" s="2" t="s">
        <v>15802</v>
      </c>
      <c r="B15802" s="2" t="str">
        <f>IFERROR(__xludf.DUMMYFUNCTION("GOOGLETRANSLATE(A15802, ""en"", ""mt"")"),"Riċerka Privata")</f>
        <v>Riċerka Privata</v>
      </c>
    </row>
    <row r="15803" ht="15.75" customHeight="1">
      <c r="A15803" s="2" t="s">
        <v>15803</v>
      </c>
      <c r="B15803" s="2" t="str">
        <f>IFERROR(__xludf.DUMMYFUNCTION("GOOGLETRANSLATE(A15803, ""en"", ""mt"")"),"Liema gwida tiddikjara li l-univeristy ta 'Chicago hija magħrufa għall-ammont ta' xogħol qawwi tagħhom u d-diffikultà akkademika tagħhom?")</f>
        <v>Liema gwida tiddikjara li l-univeristy ta 'Chicago hija magħrufa għall-ammont ta' xogħol qawwi tagħhom u d-diffikultà akkademika tagħhom?</v>
      </c>
    </row>
    <row r="15804" ht="15.75" customHeight="1">
      <c r="A15804" s="2" t="s">
        <v>15804</v>
      </c>
      <c r="B15804" s="2" t="str">
        <f>IFERROR(__xludf.DUMMYFUNCTION("GOOGLETRANSLATE(A15804, ""en"", ""mt"")"),"Kemm X.25 kif ukoll Frame Relay jipprovdu operazzjonijiet orjentati lejn il-konnessjoni. Imma X.25 jagħmel dan fis-saff tan-netwerk tal-mudell OSI. Frame Relay jagħmel dan fil-livell tnejn, is-saff tal-link tad-dejta. Differenza ewlenija oħra bejn X.25 u "&amp;"Frame Relay hija li X.25 jirrikjedi handshake bejn il-partijiet li jikkomunikaw qabel ma jiġu trasmessi xi pakketti tal-utent. Frame Relay ma jiddefinixxi l-ebda handshakes bħal dawn. X.25 ma jiddefinixxi l-ebda operazzjoni ġewwa n-netwerk tal-pakketti. J"&amp;"opera biss fl-interface tal-utent-netwerk (UNI). Għalhekk, il-fornitur tan-netwerk huwa liberu li juża kwalunkwe proċedura li jixtieq fin-netwerk. X.25 jispeċifika xi proċeduri limitati ta 'trasmissjoni mill-ġdid fl-UNI, u l-protokoll tas-saff tal-link ti"&amp;"egħu (LAPB) jipprovdi proċeduri konvenzjonali ta' ġestjoni tat-tip HDLC. Frame Relay hija verżjoni modifikata tas-saff tal-ISDN Two Protocol, LAPD u LAPB. Bħala tali, l-operazzjonijiet ta 'integrità tagħha għandhom x'jaqsmu biss bejn l-għoqiedi fuq link, "&amp;"mhux end-to-end. Kull trażmissjonijiet għandhom jitwettqu minn protokolli ta 'saff ogħla. Il-protokoll X.25 UNI huwa parti mis-suite tal-protokoll X.25, li tikkonsisti fit-tliet saffi l-aktar baxxi tal-mudell OSI. Intuża ħafna fl-UNI għal netwerks ta 'qli"&amp;"b tal-pakketti matul is-snin 1980 u l-bidu tas-snin disgħin, biex jipprovdu interface standardizzata f'netwerks ta' pakketti u barra. Xi implimentazzjonijiet użaw X.25 fin-netwerk ukoll, iżda l-karatteristiċi orjentati lejn il-konnessjoni għamlu din is-se"&amp;"tup ingombranti u ineffiċjenti. Frame Relay jaħdem prinċipalment fis-saff tnejn tal-mudell OSI. Madankollu, il-qasam tal-indirizz tiegħu (l-ID tal-konnessjoni tal-link tad-dejta, jew DLCI) jista 'jintuża fis-saff tan-netwerk OSI, b'sett minimu ta' proċedu"&amp;"ri. Għalhekk, hija teħles lilha nnifisha minn ħafna x.25 saff 3 ta 'obbligu, iżda għad għandha d-DLCI bħala ID lil hinn minn saff ta' node-to-node b'żewġ protokoll ta 'rabta. Is-sempliċità tar-relay tal-qafas tagħmilha aktar mgħaġġla u aktar effiċjenti mi"&amp;"nn X.25. Minħabba li l-qafas tar-rilej huwa protokoll tas-saff tal-link tad-dejta, bħal x.25 ma jiddefinixxix operazzjonijiet ta 'rotta interna tan-netwerk. Għal x.25 l-IDs tal-pakketti tiegħu --- iċ-ċirkwit virtwali u n-numri tal-kanali virtwali għandhom"&amp;" ikunu korrelati mal-indirizzi tan-netwerk. L-istess jgħodd għar-rilejs tal-qafas DLCI. Kif dan isir huwa f'idejn il-fornitur tan-netwerk. Relay tal-qafas, bis-saħħa li ma jkollux proċeduri ta 'saff tan-netwerk huwa orjentat lejn il-konnessjoni fis-saff t"&amp;"nejn, billi tuża l-mod HDLC / LAPD / LAPB issettja l-mod asinkroniku bilanċjat (SABM). Il-konnessjonijiet X.25 huma tipikament stabbiliti għal kull sessjoni ta 'komunikazzjoni, iżda għandu karatteristika li tippermetti ammont limitat ta' traffiku li jiġi "&amp;"mgħoddi mill-UNI mingħajr il-handshake orjentat lejn il-konnessjoni. Għal ftit żmien, Frame Relay intuża biex jgħaqqad LANs ma 'netwerks ta' żona wiesgħa. Madankollu, X.25 u kif ukoll ir-relay tal-qafas ġew sostitwiti mill-Protokoll tal-Internet (IP) fis-"&amp;"saff tan-netwerk, u l-mod ta 'trasferiment mhux sinkroniku (ATM) u jew verżjonijiet ta' qlib tat-tikketta b'ħafna protokol (MPLS) fis-saff tnejn. Konfigurazzjoni tipika hija li tmexxi IP fuq ATM jew verżjoni ta 'MPLS. &lt;Uyless Black, X.25 u Protokolli Rela"&amp;"tati, IEEE Computer Society, 1991&gt; &lt;uyless Black, Frame Relay Networks, McGraw-Hill, 1998&gt; &lt;Uyless Black, MPLS u Networks ta 'Qlib tat-Tikketta, Prentice Hall, 2001&gt; &lt;Uyless Black, ATM, Volum I, Prentice Hall, 1995&gt;")</f>
        <v>Kemm X.25 kif ukoll Frame Relay jipprovdu operazzjonijiet orjentati lejn il-konnessjoni. Imma X.25 jagħmel dan fis-saff tan-netwerk tal-mudell OSI. Frame Relay jagħmel dan fil-livell tnejn, is-saff tal-link tad-dejta. Differenza ewlenija oħra bejn X.25 u Frame Relay hija li X.25 jirrikjedi handshake bejn il-partijiet li jikkomunikaw qabel ma jiġu trasmessi xi pakketti tal-utent. Frame Relay ma jiddefinixxi l-ebda handshakes bħal dawn. X.25 ma jiddefinixxi l-ebda operazzjoni ġewwa n-netwerk tal-pakketti. Jopera biss fl-interface tal-utent-netwerk (UNI). Għalhekk, il-fornitur tan-netwerk huwa liberu li juża kwalunkwe proċedura li jixtieq fin-netwerk. X.25 jispeċifika xi proċeduri limitati ta 'trasmissjoni mill-ġdid fl-UNI, u l-protokoll tas-saff tal-link tiegħu (LAPB) jipprovdi proċeduri konvenzjonali ta' ġestjoni tat-tip HDLC. Frame Relay hija verżjoni modifikata tas-saff tal-ISDN Two Protocol, LAPD u LAPB. Bħala tali, l-operazzjonijiet ta 'integrità tagħha għandhom x'jaqsmu biss bejn l-għoqiedi fuq link, mhux end-to-end. Kull trażmissjonijiet għandhom jitwettqu minn protokolli ta 'saff ogħla. Il-protokoll X.25 UNI huwa parti mis-suite tal-protokoll X.25, li tikkonsisti fit-tliet saffi l-aktar baxxi tal-mudell OSI. Intuża ħafna fl-UNI għal netwerks ta 'qlib tal-pakketti matul is-snin 1980 u l-bidu tas-snin disgħin, biex jipprovdu interface standardizzata f'netwerks ta' pakketti u barra. Xi implimentazzjonijiet użaw X.25 fin-netwerk ukoll, iżda l-karatteristiċi orjentati lejn il-konnessjoni għamlu din is-setup ingombranti u ineffiċjenti. Frame Relay jaħdem prinċipalment fis-saff tnejn tal-mudell OSI. Madankollu, il-qasam tal-indirizz tiegħu (l-ID tal-konnessjoni tal-link tad-dejta, jew DLCI) jista 'jintuża fis-saff tan-netwerk OSI, b'sett minimu ta' proċeduri. Għalhekk, hija teħles lilha nnifisha minn ħafna x.25 saff 3 ta 'obbligu, iżda għad għandha d-DLCI bħala ID lil hinn minn saff ta' node-to-node b'żewġ protokoll ta 'rabta. Is-sempliċità tar-relay tal-qafas tagħmilha aktar mgħaġġla u aktar effiċjenti minn X.25. Minħabba li l-qafas tar-rilej huwa protokoll tas-saff tal-link tad-dejta, bħal x.25 ma jiddefinixxix operazzjonijiet ta 'rotta interna tan-netwerk. Għal x.25 l-IDs tal-pakketti tiegħu --- iċ-ċirkwit virtwali u n-numri tal-kanali virtwali għandhom ikunu korrelati mal-indirizzi tan-netwerk. L-istess jgħodd għar-rilejs tal-qafas DLCI. Kif dan isir huwa f'idejn il-fornitur tan-netwerk. Relay tal-qafas, bis-saħħa li ma jkollux proċeduri ta 'saff tan-netwerk huwa orjentat lejn il-konnessjoni fis-saff tnejn, billi tuża l-mod HDLC / LAPD / LAPB issettja l-mod asinkroniku bilanċjat (SABM). Il-konnessjonijiet X.25 huma tipikament stabbiliti għal kull sessjoni ta 'komunikazzjoni, iżda għandu karatteristika li tippermetti ammont limitat ta' traffiku li jiġi mgħoddi mill-UNI mingħajr il-handshake orjentat lejn il-konnessjoni. Għal ftit żmien, Frame Relay intuża biex jgħaqqad LANs ma 'netwerks ta' żona wiesgħa. Madankollu, X.25 u kif ukoll ir-relay tal-qafas ġew sostitwiti mill-Protokoll tal-Internet (IP) fis-saff tan-netwerk, u l-mod ta 'trasferiment mhux sinkroniku (ATM) u jew verżjonijiet ta' qlib tat-tikketta b'ħafna protokol (MPLS) fis-saff tnejn. Konfigurazzjoni tipika hija li tmexxi IP fuq ATM jew verżjoni ta 'MPLS. &lt;Uyless Black, X.25 u Protokolli Relatati, IEEE Computer Society, 1991&gt; &lt;uyless Black, Frame Relay Networks, McGraw-Hill, 1998&gt; &lt;Uyless Black, MPLS u Networks ta 'Qlib tat-Tikketta, Prentice Hall, 2001&gt; &lt;Uyless Black, ATM, Volum I, Prentice Hall, 1995&gt;</v>
      </c>
    </row>
    <row r="15805" ht="15.75" customHeight="1">
      <c r="A15805" s="2" t="s">
        <v>15805</v>
      </c>
      <c r="B15805" s="2" t="str">
        <f>IFERROR(__xludf.DUMMYFUNCTION("GOOGLETRANSLATE(A15805, ""en"", ""mt"")"),"Il-ġeoloġi jużaw numru ta 'metodi ta' immudellar fuq il-post, tal-laboratorju u numeriċi biex jiddeċifraw l-istorja tad-dinja u jifhmu l-proċessi li jseħħu fuq u ġewwa d-Dinja. Fl-investigazzjonijiet ġeoloġiċi tipiċi, il-ġeoloġi jużaw informazzjoni primar"&amp;"ja relatata mal-petroloġija (l-istudju tal-blat), l-istratigrafija (l-istudju tas-saffi sedimentarji), u l-ġeoloġija strutturali (l-istudju tal-pożizzjonijiet tal-unitajiet tal-blat u d-deformazzjoni tagħhom). F’ħafna każijiet, il-ġeoloġi jistudjaw ukoll "&amp;"ħamrija moderna, xmajjar, pajsaġġi, u glaċieri; Investiga l-ħajja tal-passat u attwali u l-mogħdijiet bijokokimiċi, u uża metodi ġeofiżiċi biex tinvestiga l-wiċċ.")</f>
        <v>Il-ġeoloġi jużaw numru ta 'metodi ta' immudellar fuq il-post, tal-laboratorju u numeriċi biex jiddeċifraw l-istorja tad-dinja u jifhmu l-proċessi li jseħħu fuq u ġewwa d-Dinja. Fl-investigazzjonijiet ġeoloġiċi tipiċi, il-ġeoloġi jużaw informazzjoni primarja relatata mal-petroloġija (l-istudju tal-blat), l-istratigrafija (l-istudju tas-saffi sedimentarji), u l-ġeoloġija strutturali (l-istudju tal-pożizzjonijiet tal-unitajiet tal-blat u d-deformazzjoni tagħhom). F’ħafna każijiet, il-ġeoloġi jistudjaw ukoll ħamrija moderna, xmajjar, pajsaġġi, u glaċieri; Investiga l-ħajja tal-passat u attwali u l-mogħdijiet bijokokimiċi, u uża metodi ġeofiżiċi biex tinvestiga l-wiċċ.</v>
      </c>
    </row>
    <row r="15806" ht="15.75" customHeight="1">
      <c r="A15806" s="2" t="s">
        <v>15806</v>
      </c>
      <c r="B15806" s="2" t="str">
        <f>IFERROR(__xludf.DUMMYFUNCTION("GOOGLETRANSLATE(A15806, ""en"", ""mt"")"),"Il-mantell tad-dinja")</f>
        <v>Il-mantell tad-dinja</v>
      </c>
    </row>
    <row r="15807" ht="15.75" customHeight="1">
      <c r="A15807" s="2" t="s">
        <v>15807</v>
      </c>
      <c r="B15807" s="2" t="str">
        <f>IFERROR(__xludf.DUMMYFUNCTION("GOOGLETRANSLATE(A15807, ""en"", ""mt"")"),"Agħmel pjanijiet dettaljati u żżomm sorveljanza bir-reqqa matul il-proġett")</f>
        <v>Agħmel pjanijiet dettaljati u żżomm sorveljanza bir-reqqa matul il-proġett</v>
      </c>
    </row>
    <row r="15808" ht="15.75" customHeight="1">
      <c r="A15808" s="2" t="s">
        <v>15808</v>
      </c>
      <c r="B15808" s="2" t="str">
        <f>IFERROR(__xludf.DUMMYFUNCTION("GOOGLETRANSLATE(A15808, ""en"", ""mt"")"),"X'inhi l-ispiża tipika annwali għal skola privata Irlandiża?")</f>
        <v>X'inhi l-ispiża tipika annwali għal skola privata Irlandiża?</v>
      </c>
    </row>
    <row r="15809" ht="15.75" customHeight="1">
      <c r="A15809" s="2" t="s">
        <v>15809</v>
      </c>
      <c r="B15809" s="2" t="str">
        <f>IFERROR(__xludf.DUMMYFUNCTION("GOOGLETRANSLATE(A15809, ""en"", ""mt"")"),"Irkupra s-sehem tas-suq")</f>
        <v>Irkupra s-sehem tas-suq</v>
      </c>
    </row>
    <row r="15810" ht="15.75" customHeight="1">
      <c r="A15810" s="2" t="s">
        <v>15810</v>
      </c>
      <c r="B15810" s="2" t="str">
        <f>IFERROR(__xludf.DUMMYFUNCTION("GOOGLETRANSLATE(A15810, ""en"", ""mt"")"),"Fil-Lvant Nofsani, u partikolarment fl-Iran, Genghis Khan huwa kważi universalment ikkundannat bħala kmandant distruttiv u ġenoċidali li kkawża ħsara enormi u qerda lill-popolazzjoni ta 'dawn iż-żoni. Steven R. Ward kiteb li ""b'mod ġenerali, il-vjolenza "&amp;"u d-depredazzjonijiet tal-Mongolja qatlu sa tliet kwarti tal-popolazzjoni tal-Plateau Iranjan, possibilment minn 10 sa 15-il miljun persuna. Xi storiċi stmaw li l-popolazzjoni tal-Iran ma reġgħetx laħqet il-pre-Mongol tagħha livelli sa nofs is-seklu 20. "&amp;"""")</f>
        <v>Fil-Lvant Nofsani, u partikolarment fl-Iran, Genghis Khan huwa kważi universalment ikkundannat bħala kmandant distruttiv u ġenoċidali li kkawża ħsara enormi u qerda lill-popolazzjoni ta 'dawn iż-żoni. Steven R. Ward kiteb li "b'mod ġenerali, il-vjolenza u d-depredazzjonijiet tal-Mongolja qatlu sa tliet kwarti tal-popolazzjoni tal-Plateau Iranjan, possibilment minn 10 sa 15-il miljun persuna. Xi storiċi stmaw li l-popolazzjoni tal-Iran ma reġgħetx laħqet il-pre-Mongol tagħha livelli sa nofs is-seklu 20. "</v>
      </c>
    </row>
    <row r="15811" ht="15.75" customHeight="1">
      <c r="A15811" s="2" t="s">
        <v>15811</v>
      </c>
      <c r="B15811" s="2" t="str">
        <f>IFERROR(__xludf.DUMMYFUNCTION("GOOGLETRANSLATE(A15811, ""en"", ""mt"")"),"Għaliex iseħħ livell aktar baxx ta 'tkabbir ekonomiku minħabba konsum high-end?")</f>
        <v>Għaliex iseħħ livell aktar baxx ta 'tkabbir ekonomiku minħabba konsum high-end?</v>
      </c>
    </row>
    <row r="15812" ht="15.75" customHeight="1">
      <c r="A15812" s="2" t="s">
        <v>15812</v>
      </c>
      <c r="B15812" s="2" t="str">
        <f>IFERROR(__xludf.DUMMYFUNCTION("GOOGLETRANSLATE(A15812, ""en"", ""mt"")"),"X'tip ta 'dawl huwa importanti għall-kloroplasti biex jinqasmu?")</f>
        <v>X'tip ta 'dawl huwa importanti għall-kloroplasti biex jinqasmu?</v>
      </c>
    </row>
    <row r="15813" ht="15.75" customHeight="1">
      <c r="A15813" s="2" t="s">
        <v>15813</v>
      </c>
      <c r="B15813" s="2" t="str">
        <f>IFERROR(__xludf.DUMMYFUNCTION("GOOGLETRANSLATE(A15813, ""en"", ""mt"")"),"bjankerija")</f>
        <v>bjankerija</v>
      </c>
    </row>
    <row r="15814" ht="15.75" customHeight="1">
      <c r="A15814" s="2" t="s">
        <v>15814</v>
      </c>
      <c r="B15814" s="2" t="str">
        <f>IFERROR(__xludf.DUMMYFUNCTION("GOOGLETRANSLATE(A15814, ""en"", ""mt"")"),"DataNet 1 irrefera biss għan-netwerk u l-utenti konnessi permezz ta ’linji mikrija")</f>
        <v>DataNet 1 irrefera biss għan-netwerk u l-utenti konnessi permezz ta ’linji mikrija</v>
      </c>
    </row>
    <row r="15815" ht="15.75" customHeight="1">
      <c r="A15815" s="2" t="s">
        <v>15815</v>
      </c>
      <c r="B15815" s="2" t="str">
        <f>IFERROR(__xludf.DUMMYFUNCTION("GOOGLETRANSLATE(A15815, ""en"", ""mt"")"),"Xi jfisser Triumphans ta 'Fortiter Defendit?")</f>
        <v>Xi jfisser Triumphans ta 'Fortiter Defendit?</v>
      </c>
    </row>
    <row r="15816" ht="15.75" customHeight="1">
      <c r="A15816" s="2" t="s">
        <v>15816</v>
      </c>
      <c r="B15816" s="2" t="str">
        <f>IFERROR(__xludf.DUMMYFUNCTION("GOOGLETRANSLATE(A15816, ""en"", ""mt"")"),"Kemm-il darba Doctor Who rebaħ il-Hugo għall-aħjar preżentazzjoni drammatika?")</f>
        <v>Kemm-il darba Doctor Who rebaħ il-Hugo għall-aħjar preżentazzjoni drammatika?</v>
      </c>
    </row>
    <row r="15817" ht="15.75" customHeight="1">
      <c r="A15817" s="2" t="s">
        <v>15817</v>
      </c>
      <c r="B15817" s="2" t="str">
        <f>IFERROR(__xludf.DUMMYFUNCTION("GOOGLETRANSLATE(A15817, ""en"", ""mt"")"),"X'jistgħu jitolbu lill-gruppi ta 'fidi li jagħmlu l-uffiċjal li jagħmel għalihom?")</f>
        <v>X'jistgħu jitolbu lill-gruppi ta 'fidi li jagħmlu l-uffiċjal li jagħmel għalihom?</v>
      </c>
    </row>
    <row r="15818" ht="15.75" customHeight="1">
      <c r="A15818" s="2" t="s">
        <v>15818</v>
      </c>
      <c r="B15818" s="2" t="str">
        <f>IFERROR(__xludf.DUMMYFUNCTION("GOOGLETRANSLATE(A15818, ""en"", ""mt"")"),"Ippompja l-ilma barra mill-mesoglea")</f>
        <v>Ippompja l-ilma barra mill-mesoglea</v>
      </c>
    </row>
    <row r="15819" ht="15.75" customHeight="1">
      <c r="A15819" s="2" t="s">
        <v>15819</v>
      </c>
      <c r="B15819" s="2" t="str">
        <f>IFERROR(__xludf.DUMMYFUNCTION("GOOGLETRANSLATE(A15819, ""en"", ""mt"")"),"Kemm qatlet din l-epidemija fiċ-Ċina?")</f>
        <v>Kemm qatlet din l-epidemija fiċ-Ċina?</v>
      </c>
    </row>
    <row r="15820" ht="15.75" customHeight="1">
      <c r="A15820" s="2" t="s">
        <v>15820</v>
      </c>
      <c r="B15820" s="2" t="str">
        <f>IFERROR(__xludf.DUMMYFUNCTION("GOOGLETRANSLATE(A15820, ""en"", ""mt"")"),"id-dinastija Ming")</f>
        <v>id-dinastija Ming</v>
      </c>
    </row>
    <row r="15821" ht="15.75" customHeight="1">
      <c r="A15821" s="2" t="s">
        <v>15821</v>
      </c>
      <c r="B15821" s="2" t="str">
        <f>IFERROR(__xludf.DUMMYFUNCTION("GOOGLETRANSLATE(A15821, ""en"", ""mt"")"),"Sidien tal-NFL")</f>
        <v>Sidien tal-NFL</v>
      </c>
    </row>
    <row r="15822" ht="15.75" customHeight="1">
      <c r="A15822" s="2" t="s">
        <v>15822</v>
      </c>
      <c r="B15822" s="2" t="str">
        <f>IFERROR(__xludf.DUMMYFUNCTION("GOOGLETRANSLATE(A15822, ""en"", ""mt"")"),"Majjistral")</f>
        <v>Majjistral</v>
      </c>
    </row>
    <row r="15823" ht="15.75" customHeight="1">
      <c r="A15823" s="2" t="s">
        <v>15823</v>
      </c>
      <c r="B15823" s="2" t="str">
        <f>IFERROR(__xludf.DUMMYFUNCTION("GOOGLETRANSLATE(A15823, ""en"", ""mt"")"),"Fejn wieħed jista 'jsib l-irziezet li qabel kienu Huguenot fl-Afrika t'Isfel?")</f>
        <v>Fejn wieħed jista 'jsib l-irziezet li qabel kienu Huguenot fl-Afrika t'Isfel?</v>
      </c>
    </row>
    <row r="15824" ht="15.75" customHeight="1">
      <c r="A15824" s="2" t="s">
        <v>15824</v>
      </c>
      <c r="B15824" s="2" t="str">
        <f>IFERROR(__xludf.DUMMYFUNCTION("GOOGLETRANSLATE(A15824, ""en"", ""mt"")"),"L-Awstrija")</f>
        <v>L-Awstrija</v>
      </c>
    </row>
    <row r="15825" ht="15.75" customHeight="1">
      <c r="A15825" s="2" t="s">
        <v>15825</v>
      </c>
      <c r="B15825" s="2" t="str">
        <f>IFERROR(__xludf.DUMMYFUNCTION("GOOGLETRANSLATE(A15825, ""en"", ""mt"")"),"Kemm hemm pari bażi fid-DNA tal-kromatofor?")</f>
        <v>Kemm hemm pari bażi fid-DNA tal-kromatofor?</v>
      </c>
    </row>
    <row r="15826" ht="15.75" customHeight="1">
      <c r="A15826" s="2" t="s">
        <v>15826</v>
      </c>
      <c r="B15826" s="2" t="str">
        <f>IFERROR(__xludf.DUMMYFUNCTION("GOOGLETRANSLATE(A15826, ""en"", ""mt"")"),"12 sa 15-il miljun")</f>
        <v>12 sa 15-il miljun</v>
      </c>
    </row>
    <row r="15827" ht="15.75" customHeight="1">
      <c r="A15827" s="2" t="s">
        <v>15827</v>
      </c>
      <c r="B15827" s="2" t="str">
        <f>IFERROR(__xludf.DUMMYFUNCTION("GOOGLETRANSLATE(A15827, ""en"", ""mt"")"),"is-sekli 16 u 17")</f>
        <v>is-sekli 16 u 17</v>
      </c>
    </row>
    <row r="15828" ht="15.75" customHeight="1">
      <c r="A15828" s="2" t="s">
        <v>15828</v>
      </c>
      <c r="B15828" s="2" t="str">
        <f>IFERROR(__xludf.DUMMYFUNCTION("GOOGLETRANSLATE(A15828, ""en"", ""mt"")"),"6 miljun lira")</f>
        <v>6 miljun lira</v>
      </c>
    </row>
    <row r="15829" ht="15.75" customHeight="1">
      <c r="A15829" s="2" t="s">
        <v>15829</v>
      </c>
      <c r="B15829" s="2" t="str">
        <f>IFERROR(__xludf.DUMMYFUNCTION("GOOGLETRANSLATE(A15829, ""en"", ""mt"")"),"Meta twettaq tabib li promettenti?")</f>
        <v>Meta twettaq tabib li promettenti?</v>
      </c>
    </row>
    <row r="15830" ht="15.75" customHeight="1">
      <c r="A15830" s="2" t="s">
        <v>15830</v>
      </c>
      <c r="B15830" s="2" t="str">
        <f>IFERROR(__xludf.DUMMYFUNCTION("GOOGLETRANSLATE(A15830, ""en"", ""mt"")"),"Eġizzjani")</f>
        <v>Eġizzjani</v>
      </c>
    </row>
    <row r="15831" ht="15.75" customHeight="1">
      <c r="A15831" s="2" t="s">
        <v>15831</v>
      </c>
      <c r="B15831" s="2" t="str">
        <f>IFERROR(__xludf.DUMMYFUNCTION("GOOGLETRANSLATE(A15831, ""en"", ""mt"")"),"Novembru 2006 u Mejju 2008")</f>
        <v>Novembru 2006 u Mejju 2008</v>
      </c>
    </row>
    <row r="15832" ht="15.75" customHeight="1">
      <c r="A15832" s="2" t="s">
        <v>15832</v>
      </c>
      <c r="B15832" s="2" t="str">
        <f>IFERROR(__xludf.DUMMYFUNCTION("GOOGLETRANSLATE(A15832, ""en"", ""mt"")"),"baxx ħafna")</f>
        <v>baxx ħafna</v>
      </c>
    </row>
    <row r="15833" ht="15.75" customHeight="1">
      <c r="A15833" s="2" t="s">
        <v>15833</v>
      </c>
      <c r="B15833" s="2" t="str">
        <f>IFERROR(__xludf.DUMMYFUNCTION("GOOGLETRANSLATE(A15833, ""en"", ""mt"")"),"Missier, l-Iben, jew l-Ispirtu s-Santu.")</f>
        <v>Missier, l-Iben, jew l-Ispirtu s-Santu.</v>
      </c>
    </row>
    <row r="15834" ht="15.75" customHeight="1">
      <c r="A15834" s="2" t="s">
        <v>15834</v>
      </c>
      <c r="B15834" s="2" t="str">
        <f>IFERROR(__xludf.DUMMYFUNCTION("GOOGLETRANSLATE(A15834, ""en"", ""mt"")"),"Teorema ta 'Vinogradov")</f>
        <v>Teorema ta 'Vinogradov</v>
      </c>
    </row>
    <row r="15835" ht="15.75" customHeight="1">
      <c r="A15835" s="2" t="s">
        <v>15835</v>
      </c>
      <c r="B15835" s="2" t="str">
        <f>IFERROR(__xludf.DUMMYFUNCTION("GOOGLETRANSLATE(A15835, ""en"", ""mt"")"),"Fejn Franza tilfet gwerra fis-snin 1950?")</f>
        <v>Fejn Franza tilfet gwerra fis-snin 1950?</v>
      </c>
    </row>
    <row r="15836" ht="15.75" customHeight="1">
      <c r="A15836" s="2" t="s">
        <v>15836</v>
      </c>
      <c r="B15836" s="2" t="str">
        <f>IFERROR(__xludf.DUMMYFUNCTION("GOOGLETRANSLATE(A15836, ""en"", ""mt"")"),"Qattiel t")</f>
        <v>Qattiel t</v>
      </c>
    </row>
    <row r="15837" ht="15.75" customHeight="1">
      <c r="A15837" s="2" t="s">
        <v>15837</v>
      </c>
      <c r="B15837" s="2" t="str">
        <f>IFERROR(__xludf.DUMMYFUNCTION("GOOGLETRANSLATE(A15837, ""en"", ""mt"")"),"klima Mediterranja")</f>
        <v>klima Mediterranja</v>
      </c>
    </row>
    <row r="15838" ht="15.75" customHeight="1">
      <c r="A15838" s="2" t="s">
        <v>15838</v>
      </c>
      <c r="B15838" s="2" t="str">
        <f>IFERROR(__xludf.DUMMYFUNCTION("GOOGLETRANSLATE(A15838, ""en"", ""mt"")"),"Tmien snin fl-iskola primarja u erba 'snin fl-iskola għolja jew skola sekondarja.")</f>
        <v>Tmien snin fl-iskola primarja u erba 'snin fl-iskola għolja jew skola sekondarja.</v>
      </c>
    </row>
    <row r="15839" ht="15.75" customHeight="1">
      <c r="A15839" s="2" t="s">
        <v>15839</v>
      </c>
      <c r="B15839" s="2" t="str">
        <f>IFERROR(__xludf.DUMMYFUNCTION("GOOGLETRANSLATE(A15839, ""en"", ""mt"")"),"grana normali u thylakoids")</f>
        <v>grana normali u thylakoids</v>
      </c>
    </row>
    <row r="15840" ht="15.75" customHeight="1">
      <c r="A15840" s="2" t="s">
        <v>15840</v>
      </c>
      <c r="B15840" s="2" t="str">
        <f>IFERROR(__xludf.DUMMYFUNCTION("GOOGLETRANSLATE(A15840, ""en"", ""mt"")"),"Faċilità interim għar-rilokazzjoni taż-żona ta 'Fresno Amerikani Ġappuniżi għal kampijiet ta' internament")</f>
        <v>Faċilità interim għar-rilokazzjoni taż-żona ta 'Fresno Amerikani Ġappuniżi għal kampijiet ta' internament</v>
      </c>
    </row>
    <row r="15841" ht="15.75" customHeight="1">
      <c r="A15841" s="2" t="s">
        <v>15841</v>
      </c>
      <c r="B15841" s="2" t="str">
        <f>IFERROR(__xludf.DUMMYFUNCTION("GOOGLETRANSLATE(A15841, ""en"", ""mt"")"),"Liema skejjel tar-reliġjon ġew integrati fl-iskejjel pubbliċi ta 'New Zealand bejn l-1979 u l-1984?")</f>
        <v>Liema skejjel tar-reliġjon ġew integrati fl-iskejjel pubbliċi ta 'New Zealand bejn l-1979 u l-1984?</v>
      </c>
    </row>
    <row r="15842" ht="15.75" customHeight="1">
      <c r="A15842" s="2" t="s">
        <v>15842</v>
      </c>
      <c r="B15842" s="2" t="str">
        <f>IFERROR(__xludf.DUMMYFUNCTION("GOOGLETRANSLATE(A15842, ""en"", ""mt"")"),"X'inhuma żewġ tipi ta 'fagoċiti li jivvjaġġaw minn ġol-ġisem biex isibu patoġeni li jinvadu?")</f>
        <v>X'inhuma żewġ tipi ta 'fagoċiti li jivvjaġġaw minn ġol-ġisem biex isibu patoġeni li jinvadu?</v>
      </c>
    </row>
    <row r="15843" ht="15.75" customHeight="1">
      <c r="A15843" s="2" t="s">
        <v>15843</v>
      </c>
      <c r="B15843" s="2" t="str">
        <f>IFERROR(__xludf.DUMMYFUNCTION("GOOGLETRANSLATE(A15843, ""en"", ""mt"")"),"Innu")</f>
        <v>Innu</v>
      </c>
    </row>
    <row r="15844" ht="15.75" customHeight="1">
      <c r="A15844" s="2" t="s">
        <v>15844</v>
      </c>
      <c r="B15844" s="2" t="str">
        <f>IFERROR(__xludf.DUMMYFUNCTION("GOOGLETRANSLATE(A15844, ""en"", ""mt"")"),"Jim Nantz u Phil Simms")</f>
        <v>Jim Nantz u Phil Simms</v>
      </c>
    </row>
    <row r="15845" ht="15.75" customHeight="1">
      <c r="A15845" s="2" t="s">
        <v>15845</v>
      </c>
      <c r="B15845" s="2" t="str">
        <f>IFERROR(__xludf.DUMMYFUNCTION("GOOGLETRANSLATE(A15845, ""en"", ""mt"")"),"X'hemm bżonn li jkun ikbar biex l-istess xogħol joħroġ minn fwar ta 'pressjoni aktar baxxa?")</f>
        <v>X'hemm bżonn li jkun ikbar biex l-istess xogħol joħroġ minn fwar ta 'pressjoni aktar baxxa?</v>
      </c>
    </row>
    <row r="15846" ht="15.75" customHeight="1">
      <c r="A15846" s="2" t="s">
        <v>15846</v>
      </c>
      <c r="B15846" s="2" t="str">
        <f>IFERROR(__xludf.DUMMYFUNCTION("GOOGLETRANSLATE(A15846, ""en"", ""mt"")"),".2 biljun sena għall-kampjuni bażaltiċi derivati ​​mill-Lunar Maria, għal madwar 4.6 biljun sena għal kampjuni derivati ​​mill-Qoxra tal-Highlands")</f>
        <v>.2 biljun sena għall-kampjuni bażaltiċi derivati ​​mill-Lunar Maria, għal madwar 4.6 biljun sena għal kampjuni derivati ​​mill-Qoxra tal-Highlands</v>
      </c>
    </row>
    <row r="15847" ht="15.75" customHeight="1">
      <c r="A15847" s="2" t="s">
        <v>15847</v>
      </c>
      <c r="B15847" s="2" t="str">
        <f>IFERROR(__xludf.DUMMYFUNCTION("GOOGLETRANSLATE(A15847, ""en"", ""mt"")"),"ekonomisti")</f>
        <v>ekonomisti</v>
      </c>
    </row>
    <row r="15848" ht="15.75" customHeight="1">
      <c r="A15848" s="2" t="s">
        <v>15848</v>
      </c>
      <c r="B15848" s="2" t="str">
        <f>IFERROR(__xludf.DUMMYFUNCTION("GOOGLETRANSLATE(A15848, ""en"", ""mt"")"),"Biex tippermetti t-tfassil mill-ġdid tal-karattru prinċipali")</f>
        <v>Biex tippermetti t-tfassil mill-ġdid tal-karattru prinċipali</v>
      </c>
    </row>
    <row r="15849" ht="15.75" customHeight="1">
      <c r="A15849" s="2" t="s">
        <v>15849</v>
      </c>
      <c r="B15849" s="2" t="str">
        <f>IFERROR(__xludf.DUMMYFUNCTION("GOOGLETRANSLATE(A15849, ""en"", ""mt"")"),"Studju tal-blat")</f>
        <v>Studju tal-blat</v>
      </c>
    </row>
    <row r="15850" ht="15.75" customHeight="1">
      <c r="A15850" s="2" t="s">
        <v>15850</v>
      </c>
      <c r="B15850" s="2" t="str">
        <f>IFERROR(__xludf.DUMMYFUNCTION("GOOGLETRANSLATE(A15850, ""en"", ""mt"")"),"Fiżista")</f>
        <v>Fiżista</v>
      </c>
    </row>
    <row r="15851" ht="15.75" customHeight="1">
      <c r="A15851" s="2" t="s">
        <v>15851</v>
      </c>
      <c r="B15851" s="2" t="str">
        <f>IFERROR(__xludf.DUMMYFUNCTION("GOOGLETRANSLATE(A15851, ""en"", ""mt"")"),"Jaqa '")</f>
        <v>Jaqa '</v>
      </c>
    </row>
    <row r="15852" ht="15.75" customHeight="1">
      <c r="A15852" s="2" t="s">
        <v>15852</v>
      </c>
      <c r="B15852" s="2" t="str">
        <f>IFERROR(__xludf.DUMMYFUNCTION("GOOGLETRANSLATE(A15852, ""en"", ""mt"")"),"It-toroq tal-belt")</f>
        <v>It-toroq tal-belt</v>
      </c>
    </row>
    <row r="15853" ht="15.75" customHeight="1">
      <c r="A15853" s="2" t="s">
        <v>15853</v>
      </c>
      <c r="B15853" s="2" t="str">
        <f>IFERROR(__xludf.DUMMYFUNCTION("GOOGLETRANSLATE(A15853, ""en"", ""mt"")"),"Skejjel tal-Laboratorju tal-Università ta ’Chicago")</f>
        <v>Skejjel tal-Laboratorju tal-Università ta ’Chicago</v>
      </c>
    </row>
    <row r="15854" ht="15.75" customHeight="1">
      <c r="A15854" s="2" t="s">
        <v>15854</v>
      </c>
      <c r="B15854" s="2" t="str">
        <f>IFERROR(__xludf.DUMMYFUNCTION("GOOGLETRANSLATE(A15854, ""en"", ""mt"")"),"Deskrizzjoni tal-arkivju kodifikata (EAD)")</f>
        <v>Deskrizzjoni tal-arkivju kodifikata (EAD)</v>
      </c>
    </row>
    <row r="15855" ht="15.75" customHeight="1">
      <c r="A15855" s="2" t="s">
        <v>15855</v>
      </c>
      <c r="B15855" s="2" t="str">
        <f>IFERROR(__xludf.DUMMYFUNCTION("GOOGLETRANSLATE(A15855, ""en"", ""mt"")"),"F'liema galleriji huma murija l-pitturi Franċiżi mogħtija minn Jones?")</f>
        <v>F'liema galleriji huma murija l-pitturi Franċiżi mogħtija minn Jones?</v>
      </c>
    </row>
    <row r="15856" ht="15.75" customHeight="1">
      <c r="A15856" s="2" t="s">
        <v>15856</v>
      </c>
      <c r="B15856" s="2" t="str">
        <f>IFERROR(__xludf.DUMMYFUNCTION("GOOGLETRANSLATE(A15856, ""en"", ""mt"")"),"X'inhu mod wieħed ta 'diżubbidjenza ċivili diġitali li jista' jkollha konsegwenzi ferm?")</f>
        <v>X'inhu mod wieħed ta 'diżubbidjenza ċivili diġitali li jista' jkollha konsegwenzi ferm?</v>
      </c>
    </row>
    <row r="15857" ht="15.75" customHeight="1">
      <c r="A15857" s="2" t="s">
        <v>15857</v>
      </c>
      <c r="B15857" s="2" t="str">
        <f>IFERROR(__xludf.DUMMYFUNCTION("GOOGLETRANSLATE(A15857, ""en"", ""mt"")"),"Huguenots fil-Killeshandra u l-Kontea ta 'Cavan espandew liema industrija agrikola?")</f>
        <v>Huguenots fil-Killeshandra u l-Kontea ta 'Cavan espandew liema industrija agrikola?</v>
      </c>
    </row>
    <row r="15858" ht="15.75" customHeight="1">
      <c r="A15858" s="2" t="s">
        <v>15858</v>
      </c>
      <c r="B15858" s="2" t="str">
        <f>IFERROR(__xludf.DUMMYFUNCTION("GOOGLETRANSLATE(A15858, ""en"", ""mt"")"),"Kif tista 'titqies il-kelma apothecary minn kelliema Ingliżi kontemporanji?")</f>
        <v>Kif tista 'titqies il-kelma apothecary minn kelliema Ingliżi kontemporanji?</v>
      </c>
    </row>
    <row r="15859" ht="15.75" customHeight="1">
      <c r="A15859" s="2" t="s">
        <v>15859</v>
      </c>
      <c r="B15859" s="2" t="str">
        <f>IFERROR(__xludf.DUMMYFUNCTION("GOOGLETRANSLATE(A15859, ""en"", ""mt"")"),"Lvant")</f>
        <v>Lvant</v>
      </c>
    </row>
    <row r="15860" ht="15.75" customHeight="1">
      <c r="A15860" s="2" t="s">
        <v>15860</v>
      </c>
      <c r="B15860" s="2" t="str">
        <f>IFERROR(__xludf.DUMMYFUNCTION("GOOGLETRANSLATE(A15860, ""en"", ""mt"")"),"fokus politiku")</f>
        <v>fokus politiku</v>
      </c>
    </row>
    <row r="15861" ht="15.75" customHeight="1">
      <c r="A15861" s="2" t="s">
        <v>15861</v>
      </c>
      <c r="B15861" s="2" t="str">
        <f>IFERROR(__xludf.DUMMYFUNCTION("GOOGLETRANSLATE(A15861, ""en"", ""mt"")"),"Evakwa ċ-ċilindru")</f>
        <v>Evakwa ċ-ċilindru</v>
      </c>
    </row>
    <row r="15862" ht="15.75" customHeight="1">
      <c r="A15862" s="2" t="s">
        <v>15862</v>
      </c>
      <c r="B15862" s="2" t="str">
        <f>IFERROR(__xludf.DUMMYFUNCTION("GOOGLETRANSLATE(A15862, ""en"", ""mt"")"),"Skond reviżjoni tal-1955, x'kienu l-iffrankar mill-ħsieb sinjur?")</f>
        <v>Skond reviżjoni tal-1955, x'kienu l-iffrankar mill-ħsieb sinjur?</v>
      </c>
    </row>
    <row r="15863" ht="15.75" customHeight="1">
      <c r="A15863" s="2" t="s">
        <v>15863</v>
      </c>
      <c r="B15863" s="2" t="str">
        <f>IFERROR(__xludf.DUMMYFUNCTION("GOOGLETRANSLATE(A15863, ""en"", ""mt"")"),"għex fil-faqar u ġew trattati ħażin")</f>
        <v>għex fil-faqar u ġew trattati ħażin</v>
      </c>
    </row>
    <row r="15864" ht="15.75" customHeight="1">
      <c r="A15864" s="2" t="s">
        <v>15864</v>
      </c>
      <c r="B15864" s="2" t="str">
        <f>IFERROR(__xludf.DUMMYFUNCTION("GOOGLETRANSLATE(A15864, ""en"", ""mt"")"),"Għal liema tip ta 'mard jimmiraw l-apikoplasti?")</f>
        <v>Għal liema tip ta 'mard jimmiraw l-apikoplasti?</v>
      </c>
    </row>
    <row r="15865" ht="15.75" customHeight="1">
      <c r="A15865" s="2" t="s">
        <v>15865</v>
      </c>
      <c r="B15865" s="2" t="str">
        <f>IFERROR(__xludf.DUMMYFUNCTION("GOOGLETRANSLATE(A15865, ""en"", ""mt"")"),"Il-kloroplasti tal-kriptofiti kif jirranġaw il-pirenojdi u t-thylakoids tagħhom?")</f>
        <v>Il-kloroplasti tal-kriptofiti kif jirranġaw il-pirenojdi u t-thylakoids tagħhom?</v>
      </c>
    </row>
    <row r="15866" ht="15.75" customHeight="1">
      <c r="A15866" s="2" t="s">
        <v>15866</v>
      </c>
      <c r="B15866" s="2" t="str">
        <f>IFERROR(__xludf.DUMMYFUNCTION("GOOGLETRANSLATE(A15866, ""en"", ""mt"")"),"Prim Ministru Ingliż Edward Heath")</f>
        <v>Prim Ministru Ingliż Edward Heath</v>
      </c>
    </row>
    <row r="15867" ht="15.75" customHeight="1">
      <c r="A15867" s="2" t="s">
        <v>15867</v>
      </c>
      <c r="B15867" s="2" t="str">
        <f>IFERROR(__xludf.DUMMYFUNCTION("GOOGLETRANSLATE(A15867, ""en"", ""mt"")"),"X'inhi d-distanza minima bejn id-dar tal-pazjent u l-eqreb spiżerija li tippermetti lit-tabib jagħti medikazzjoni?")</f>
        <v>X'inhi d-distanza minima bejn id-dar tal-pazjent u l-eqreb spiżerija li tippermetti lit-tabib jagħti medikazzjoni?</v>
      </c>
    </row>
    <row r="15868" ht="15.75" customHeight="1">
      <c r="A15868" s="2" t="s">
        <v>15868</v>
      </c>
      <c r="B15868" s="2" t="str">
        <f>IFERROR(__xludf.DUMMYFUNCTION("GOOGLETRANSLATE(A15868, ""en"", ""mt"")"),"terz grupp ta 'pigmenti")</f>
        <v>terz grupp ta 'pigmenti</v>
      </c>
    </row>
    <row r="15869" ht="15.75" customHeight="1">
      <c r="A15869" s="2" t="s">
        <v>15869</v>
      </c>
      <c r="B15869" s="2" t="str">
        <f>IFERROR(__xludf.DUMMYFUNCTION("GOOGLETRANSLATE(A15869, ""en"", ""mt"")"),"l-iskambju tat-telefon Budapest")</f>
        <v>l-iskambju tat-telefon Budapest</v>
      </c>
    </row>
    <row r="15870" ht="15.75" customHeight="1">
      <c r="A15870" s="2" t="s">
        <v>15870</v>
      </c>
      <c r="B15870" s="2" t="str">
        <f>IFERROR(__xludf.DUMMYFUNCTION("GOOGLETRANSLATE(A15870, ""en"", ""mt"")"),"Dawn il-proċessi kollha mhux neċessarjament iseħħu f'ambjent wieħed, u mhux neċessarjament iseħħu f'ordni waħda. Il-gżejjer Ħawajjani, pereżempju, jikkonsistu kważi kompletament minn flussi ta 'lava bażaltika b'saffi. Is-sekwenzi sedimentarji ta 'l-Istati"&amp;" Uniti tan-Nofs Kontinentali u l-Grand Canyon fil-Lbiċ ta' l-Istati Uniti fihom munzelli kważi mhux deformati ta 'blat sedimentarji li baqgħu f'posthom sa minn żmien Cambrian. Żoni oħra huma ħafna iktar ġeoloġikament kumplessi. Fil-Lbiċ ta 'l-Istati Uniti"&amp;", il-blat sedimentarji, vulkaniċi u intrużivi ġew metamorfositi, difetti, foljati u mitwija. Anke blat anzjani, bħall-acasta gneiss tal-craton tal-iskjavi fil-majjistral tal-Kanada, l-eqdem blat magħruf fid-dinja ġew metamorfosi sal-punt fejn l-oriġini ta"&amp;"għhom ma tinstabx mingħajr analiżi tal-laboratorju. Barra minn hekk, dawn il-proċessi jistgħu jseħħu fi stadji. F’ħafna postijiet, il-Grand Canyon fil-Lbiċ ta ’l-Istati Uniti huwa eżempju viżibbli ħafna, l-unitajiet ta’ blat aktar baxxi ġew metamorfositi "&amp;"u deformati, u mbagħad id-deformazzjoni ntemmet u l-unitajiet ta ’fuq u mhux iffurmati ġew depożitati. Għalkemm jista 'jkun hemm kwalunkwe ammont ta' sostituzzjoni tal-blat u deformazzjoni tal-blat, u jistgħu jseħħu kwalunkwe numru ta 'drabi, dawn il-kunċ"&amp;"etti jipprovdu gwida biex tifhem l-istorja ġeoloġika ta' żona.")</f>
        <v>Dawn il-proċessi kollha mhux neċessarjament iseħħu f'ambjent wieħed, u mhux neċessarjament iseħħu f'ordni waħda. Il-gżejjer Ħawajjani, pereżempju, jikkonsistu kważi kompletament minn flussi ta 'lava bażaltika b'saffi. Is-sekwenzi sedimentarji ta 'l-Istati Uniti tan-Nofs Kontinentali u l-Grand Canyon fil-Lbiċ ta' l-Istati Uniti fihom munzelli kważi mhux deformati ta 'blat sedimentarji li baqgħu f'posthom sa minn żmien Cambrian. Żoni oħra huma ħafna iktar ġeoloġikament kumplessi. Fil-Lbiċ ta 'l-Istati Uniti, il-blat sedimentarji, vulkaniċi u intrużivi ġew metamorfositi, difetti, foljati u mitwija. Anke blat anzjani, bħall-acasta gneiss tal-craton tal-iskjavi fil-majjistral tal-Kanada, l-eqdem blat magħruf fid-dinja ġew metamorfosi sal-punt fejn l-oriġini tagħhom ma tinstabx mingħajr analiżi tal-laboratorju. Barra minn hekk, dawn il-proċessi jistgħu jseħħu fi stadji. F’ħafna postijiet, il-Grand Canyon fil-Lbiċ ta ’l-Istati Uniti huwa eżempju viżibbli ħafna, l-unitajiet ta’ blat aktar baxxi ġew metamorfositi u deformati, u mbagħad id-deformazzjoni ntemmet u l-unitajiet ta ’fuq u mhux iffurmati ġew depożitati. Għalkemm jista 'jkun hemm kwalunkwe ammont ta' sostituzzjoni tal-blat u deformazzjoni tal-blat, u jistgħu jseħħu kwalunkwe numru ta 'drabi, dawn il-kunċetti jipprovdu gwida biex tifhem l-istorja ġeoloġika ta' żona.</v>
      </c>
    </row>
    <row r="15871" ht="15.75" customHeight="1">
      <c r="A15871" s="2" t="s">
        <v>15871</v>
      </c>
      <c r="B15871" s="2" t="str">
        <f>IFERROR(__xludf.DUMMYFUNCTION("GOOGLETRANSLATE(A15871, ""en"", ""mt"")"),"Ingħaqad ma 'politeknika vokazzjonali taż-żgħażagħ / villaġġi jew agħmel l-arranġamenti tagħhom stess għal programm ta' apprendistat")</f>
        <v>Ingħaqad ma 'politeknika vokazzjonali taż-żgħażagħ / villaġġi jew agħmel l-arranġamenti tagħhom stess għal programm ta' apprendistat</v>
      </c>
    </row>
    <row r="15872" ht="15.75" customHeight="1">
      <c r="A15872" s="2" t="s">
        <v>15872</v>
      </c>
      <c r="B15872" s="2" t="str">
        <f>IFERROR(__xludf.DUMMYFUNCTION("GOOGLETRANSLATE(A15872, ""en"", ""mt"")"),"Vaudreuil u Montcalm ġew fornuti mill-ġdid minimament fl-1758, hekk kif l-imblokk Ingliż tal-kosta Franċiża limitat it-tbaħħir Franċiż. Is-sitwazzjoni fi Franza l-Ġdida kienet aktar aggravata minn ħsad fqir fl-1757, xitwa diffiċli, u l-makkinarji allegata"&amp;"ment korrotti ta 'François Bigot, l-intendent tat-territorju. L-iskemi tiegħu biex ifornu l-prezzijiet minfuħa tal-kolonja u kienu maħsuba minn Montcalm biex jillinjaw il-bwiet tiegħu u dawk tal-assoċjati tiegħu. Tfaqqigħ massiv ta 'ġidri fost it-tribujie"&amp;"t tal-Punent wassal lil ħafna minnhom biex jibqgħu' l bogħod milli jinnegozjaw fl-1758. Filwaqt li ħafna partijiet għall-kunflitt waħħlu lil oħrajn (l-Indjani waħħlu lill-Franċiżi talli ġabu ""mediċina ħażina"" kif ukoll li ċaħduhom premjijiet fil-Fort Wi"&amp;"lliam Henry ), il-marda kienet probabbilment mifruxa permezz tal-kundizzjonijiet iffullati f'William Henry wara l-battalja. Montcalm iffoka r-riżorsi dgħajfa tiegħu fuq id-difiża ta 'San Lawrenz, bid-difiżi primarji f'Carillon, Quebec, u Louisbourg, filwa"&amp;"qt li Vaudreuil argumenta mingħajr suċċess għal kontinwazzjoni tat-tattiċi tar-rejd li kienu ħadmu b'mod effettiv fis-snin preċedenti.")</f>
        <v>Vaudreuil u Montcalm ġew fornuti mill-ġdid minimament fl-1758, hekk kif l-imblokk Ingliż tal-kosta Franċiża limitat it-tbaħħir Franċiż. Is-sitwazzjoni fi Franza l-Ġdida kienet aktar aggravata minn ħsad fqir fl-1757, xitwa diffiċli, u l-makkinarji allegatament korrotti ta 'François Bigot, l-intendent tat-territorju. L-iskemi tiegħu biex ifornu l-prezzijiet minfuħa tal-kolonja u kienu maħsuba minn Montcalm biex jillinjaw il-bwiet tiegħu u dawk tal-assoċjati tiegħu. Tfaqqigħ massiv ta 'ġidri fost it-tribujiet tal-Punent wassal lil ħafna minnhom biex jibqgħu' l bogħod milli jinnegozjaw fl-1758. Filwaqt li ħafna partijiet għall-kunflitt waħħlu lil oħrajn (l-Indjani waħħlu lill-Franċiżi talli ġabu "mediċina ħażina" kif ukoll li ċaħduhom premjijiet fil-Fort William Henry ), il-marda kienet probabbilment mifruxa permezz tal-kundizzjonijiet iffullati f'William Henry wara l-battalja. Montcalm iffoka r-riżorsi dgħajfa tiegħu fuq id-difiża ta 'San Lawrenz, bid-difiżi primarji f'Carillon, Quebec, u Louisbourg, filwaqt li Vaudreuil argumenta mingħajr suċċess għal kontinwazzjoni tat-tattiċi tar-rejd li kienu ħadmu b'mod effettiv fis-snin preċedenti.</v>
      </c>
    </row>
    <row r="15873" ht="15.75" customHeight="1">
      <c r="A15873" s="2" t="s">
        <v>15873</v>
      </c>
      <c r="B15873" s="2" t="str">
        <f>IFERROR(__xludf.DUMMYFUNCTION("GOOGLETRANSLATE(A15873, ""en"", ""mt"")"),"Liema nazzjon fih il-maġġoranza tal-foresta tal-Amażonja?")</f>
        <v>Liema nazzjon fih il-maġġoranza tal-foresta tal-Amażonja?</v>
      </c>
    </row>
    <row r="15874" ht="15.75" customHeight="1">
      <c r="A15874" s="2" t="s">
        <v>15874</v>
      </c>
      <c r="B15874" s="2" t="str">
        <f>IFERROR(__xludf.DUMMYFUNCTION("GOOGLETRANSLATE(A15874, ""en"", ""mt"")"),"Kienet ikkunsidrata bidla kostituzzjonali li telimina l-pożizzjoni tal-Prim Ministru u fl-istess ħin tnaqqas il-poteri tal-president. Referendum biex jivvota fuq il-Kostituzzjoni proposta sar fl-4 ta 'Awwissu 2010, u l-kostituzzjoni l-ġdida għaddiet minn "&amp;"marġni wiesa'. Fost affarijiet oħra, il-Kostituzzjoni l-ġdida tiddelega aktar setgħa lill-gvernijiet lokali u tagħti lill-Kenyans Abbozz tad-Drittijiet. Ġie promulgat fis-27 ta 'Awwissu 2010 f'ċerimonja ewforika fil-Park Uhuru ta' Nairobi, akkumpanjat min"&amp;"n salut ta '21 gun. L-avveniment attendew diversi mexxejja Afrikani u mfaħħra mill-komunità internazzjonali. Minn dak in-nhar, il-kostituzzjoni l-ġdida li tħabbar it-tieni repubblika daħlet fis-seħħ.")</f>
        <v>Kienet ikkunsidrata bidla kostituzzjonali li telimina l-pożizzjoni tal-Prim Ministru u fl-istess ħin tnaqqas il-poteri tal-president. Referendum biex jivvota fuq il-Kostituzzjoni proposta sar fl-4 ta 'Awwissu 2010, u l-kostituzzjoni l-ġdida għaddiet minn marġni wiesa'. Fost affarijiet oħra, il-Kostituzzjoni l-ġdida tiddelega aktar setgħa lill-gvernijiet lokali u tagħti lill-Kenyans Abbozz tad-Drittijiet. Ġie promulgat fis-27 ta 'Awwissu 2010 f'ċerimonja ewforika fil-Park Uhuru ta' Nairobi, akkumpanjat minn salut ta '21 gun. L-avveniment attendew diversi mexxejja Afrikani u mfaħħra mill-komunità internazzjonali. Minn dak in-nhar, il-kostituzzjoni l-ġdida li tħabbar it-tieni repubblika daħlet fis-seħħ.</v>
      </c>
    </row>
    <row r="15875" ht="15.75" customHeight="1">
      <c r="A15875" s="2" t="s">
        <v>15875</v>
      </c>
      <c r="B15875" s="2" t="str">
        <f>IFERROR(__xludf.DUMMYFUNCTION("GOOGLETRANSLATE(A15875, ""en"", ""mt"")"),"vertebrati bikrija")</f>
        <v>vertebrati bikrija</v>
      </c>
    </row>
    <row r="15876" ht="15.75" customHeight="1">
      <c r="A15876" s="2" t="s">
        <v>15876</v>
      </c>
      <c r="B15876" s="2" t="str">
        <f>IFERROR(__xludf.DUMMYFUNCTION("GOOGLETRANSLATE(A15876, ""en"", ""mt"")"),"X'tipi ta 'mewġ jużaw is-sismologi biex jimmaġinaw l-intern tad-dinja?")</f>
        <v>X'tipi ta 'mewġ jużaw is-sismologi biex jimmaġinaw l-intern tad-dinja?</v>
      </c>
    </row>
    <row r="15877" ht="15.75" customHeight="1">
      <c r="A15877" s="2" t="s">
        <v>15877</v>
      </c>
      <c r="B15877" s="2" t="str">
        <f>IFERROR(__xludf.DUMMYFUNCTION("GOOGLETRANSLATE(A15877, ""en"", ""mt"")"),"Fuq liema kienet tiffoka l-enfasi?")</f>
        <v>Fuq liema kienet tiffoka l-enfasi?</v>
      </c>
    </row>
    <row r="15878" ht="15.75" customHeight="1">
      <c r="A15878" s="2" t="s">
        <v>15878</v>
      </c>
      <c r="B15878" s="2" t="str">
        <f>IFERROR(__xludf.DUMMYFUNCTION("GOOGLETRANSLATE(A15878, ""en"", ""mt"")"),"""Fir-rigward tat-taħrika li tibgħatli biex nirtira, ma naħsibx lili nnifsi obbligat li nobdiha.""")</f>
        <v>"Fir-rigward tat-taħrika li tibgħatli biex nirtira, ma naħsibx lili nnifsi obbligat li nobdiha."</v>
      </c>
    </row>
    <row r="15879" ht="15.75" customHeight="1">
      <c r="A15879" s="2" t="s">
        <v>15879</v>
      </c>
      <c r="B15879" s="2" t="str">
        <f>IFERROR(__xludf.DUMMYFUNCTION("GOOGLETRANSLATE(A15879, ""en"", ""mt"")"),"L-awtostradi mibnija fl-Amazon Rainforest inbnew primarjament għal x'tip ta 'bdiewa?")</f>
        <v>L-awtostradi mibnija fl-Amazon Rainforest inbnew primarjament għal x'tip ta 'bdiewa?</v>
      </c>
    </row>
    <row r="15880" ht="15.75" customHeight="1">
      <c r="A15880" s="2" t="s">
        <v>15880</v>
      </c>
      <c r="B15880" s="2" t="str">
        <f>IFERROR(__xludf.DUMMYFUNCTION("GOOGLETRANSLATE(A15880, ""en"", ""mt"")"),"Kważi $ 40 kull barmil")</f>
        <v>Kważi $ 40 kull barmil</v>
      </c>
    </row>
    <row r="15881" ht="15.75" customHeight="1">
      <c r="A15881" s="2" t="s">
        <v>15881</v>
      </c>
      <c r="B15881" s="2" t="str">
        <f>IFERROR(__xludf.DUMMYFUNCTION("GOOGLETRANSLATE(A15881, ""en"", ""mt"")"),"X’kienet l-isem tal-Kenja nnifisha fit-12 ta ’Diċembru, 1964?")</f>
        <v>X’kienet l-isem tal-Kenja nnifisha fit-12 ta ’Diċembru, 1964?</v>
      </c>
    </row>
    <row r="15882" ht="15.75" customHeight="1">
      <c r="A15882" s="2" t="s">
        <v>15882</v>
      </c>
      <c r="B15882" s="2" t="str">
        <f>IFERROR(__xludf.DUMMYFUNCTION("GOOGLETRANSLATE(A15882, ""en"", ""mt"")"),"Kattoliċi")</f>
        <v>Kattoliċi</v>
      </c>
    </row>
    <row r="15883" ht="15.75" customHeight="1">
      <c r="A15883" s="2" t="s">
        <v>15883</v>
      </c>
      <c r="B15883" s="2" t="str">
        <f>IFERROR(__xludf.DUMMYFUNCTION("GOOGLETRANSLATE(A15883, ""en"", ""mt"")"),"Sky + Pvr")</f>
        <v>Sky + Pvr</v>
      </c>
    </row>
    <row r="15884" ht="15.75" customHeight="1">
      <c r="A15884" s="2" t="s">
        <v>15884</v>
      </c>
      <c r="B15884" s="2" t="str">
        <f>IFERROR(__xludf.DUMMYFUNCTION("GOOGLETRANSLATE(A15884, ""en"", ""mt"")"),"X'inhuma xi kultant preżenti fil-kuruna tal-firebox tal-bojler?")</f>
        <v>X'inhuma xi kultant preżenti fil-kuruna tal-firebox tal-bojler?</v>
      </c>
    </row>
    <row r="15885" ht="15.75" customHeight="1">
      <c r="A15885" s="2" t="s">
        <v>15885</v>
      </c>
      <c r="B15885" s="2" t="str">
        <f>IFERROR(__xludf.DUMMYFUNCTION("GOOGLETRANSLATE(A15885, ""en"", ""mt"")"),"X'jikkawża estensjoni tal-blat?")</f>
        <v>X'jikkawża estensjoni tal-blat?</v>
      </c>
    </row>
    <row r="15886" ht="15.75" customHeight="1">
      <c r="A15886" s="2" t="s">
        <v>15886</v>
      </c>
      <c r="B15886" s="2" t="str">
        <f>IFERROR(__xludf.DUMMYFUNCTION("GOOGLETRANSLATE(A15886, ""en"", ""mt"")"),"Ir-riċetturi fuq ċellola T qattiel għandhom jorbtu ma 'kemm MHC: kumplessi ta' antiġen sabiex jattivaw iċ-ċellula?")</f>
        <v>Ir-riċetturi fuq ċellola T qattiel għandhom jorbtu ma 'kemm MHC: kumplessi ta' antiġen sabiex jattivaw iċ-ċellula?</v>
      </c>
    </row>
    <row r="15887" ht="15.75" customHeight="1">
      <c r="A15887" s="2" t="s">
        <v>15887</v>
      </c>
      <c r="B15887" s="2" t="str">
        <f>IFERROR(__xludf.DUMMYFUNCTION("GOOGLETRANSLATE(A15887, ""en"", ""mt"")"),"Min normalment jimmaniġġja xogħol ta 'kostruzzjoni?")</f>
        <v>Min normalment jimmaniġġja xogħol ta 'kostruzzjoni?</v>
      </c>
    </row>
    <row r="15888" ht="15.75" customHeight="1">
      <c r="A15888" s="2" t="s">
        <v>15888</v>
      </c>
      <c r="B15888" s="2" t="str">
        <f>IFERROR(__xludf.DUMMYFUNCTION("GOOGLETRANSLATE(A15888, ""en"", ""mt"")"),"xjenza tal-prattika tal-ispiżerija u x-xjenza tal-informazzjoni applikata")</f>
        <v>xjenza tal-prattika tal-ispiżerija u x-xjenza tal-informazzjoni applikata</v>
      </c>
    </row>
    <row r="15889" ht="15.75" customHeight="1">
      <c r="A15889" s="2" t="s">
        <v>15889</v>
      </c>
      <c r="B15889" s="2" t="str">
        <f>IFERROR(__xludf.DUMMYFUNCTION("GOOGLETRANSLATE(A15889, ""en"", ""mt"")"),"Isqfijiet")</f>
        <v>Isqfijiet</v>
      </c>
    </row>
    <row r="15890" ht="15.75" customHeight="1">
      <c r="A15890" s="2" t="s">
        <v>15890</v>
      </c>
      <c r="B15890" s="2" t="str">
        <f>IFERROR(__xludf.DUMMYFUNCTION("GOOGLETRANSLATE(A15890, ""en"", ""mt"")"),"X'għandek tagħmel Luther biex tevita l-exkomunikazzjoni?")</f>
        <v>X'għandek tagħmel Luther biex tevita l-exkomunikazzjoni?</v>
      </c>
    </row>
    <row r="15891" ht="15.75" customHeight="1">
      <c r="A15891" s="2" t="s">
        <v>15891</v>
      </c>
      <c r="B15891" s="2" t="str">
        <f>IFERROR(__xludf.DUMMYFUNCTION("GOOGLETRANSLATE(A15891, ""en"", ""mt"")"),"Biljetti intelliġenti")</f>
        <v>Biljetti intelliġenti</v>
      </c>
    </row>
    <row r="15892" ht="15.75" customHeight="1">
      <c r="A15892" s="2" t="s">
        <v>15892</v>
      </c>
      <c r="B15892" s="2" t="str">
        <f>IFERROR(__xludf.DUMMYFUNCTION("GOOGLETRANSLATE(A15892, ""en"", ""mt"")"),"tipprova twaqqafha milli tagħti lil ħuha Polynices dfin xieraq")</f>
        <v>tipprova twaqqafha milli tagħti lil ħuha Polynices dfin xieraq</v>
      </c>
    </row>
    <row r="15893" ht="15.75" customHeight="1">
      <c r="A15893" s="2" t="s">
        <v>15893</v>
      </c>
      <c r="B15893" s="2" t="str">
        <f>IFERROR(__xludf.DUMMYFUNCTION("GOOGLETRANSLATE(A15893, ""en"", ""mt"")"),"Uħud mill-eqdem skejjel fl-Afrika t'Isfel huma skejjel tal-knisja privata li ġew stabbiliti minn missjunarji fil-bidu tas-seklu dsatax. Is-settur privat kiber minn dakinhar. Wara l-abolizzjoni tal-apartheid, il-liġijiet li jirregolaw l-edukazzjoni privata"&amp;" fl-Afrika t'Isfel inbidlu b'mod sinifikanti. L-Att dwar l-Iskejjel tal-Afrika t'Isfel tal-1996 jirrikonoxxi żewġ kategoriji ta 'skejjel: ""pubbliċi"" (ikkontrollati mill-istat) u ""indipendenti"" (li jinkludu skejjel u skejjel privati ​​tradizzjonali li "&amp;"huma rregolati privatament [kjarifika meħtieġa].)")</f>
        <v>Uħud mill-eqdem skejjel fl-Afrika t'Isfel huma skejjel tal-knisja privata li ġew stabbiliti minn missjunarji fil-bidu tas-seklu dsatax. Is-settur privat kiber minn dakinhar. Wara l-abolizzjoni tal-apartheid, il-liġijiet li jirregolaw l-edukazzjoni privata fl-Afrika t'Isfel inbidlu b'mod sinifikanti. L-Att dwar l-Iskejjel tal-Afrika t'Isfel tal-1996 jirrikonoxxi żewġ kategoriji ta 'skejjel: "pubbliċi" (ikkontrollati mill-istat) u "indipendenti" (li jinkludu skejjel u skejjel privati ​​tradizzjonali li huma rregolati privatament [kjarifika meħtieġa].)</v>
      </c>
    </row>
    <row r="15894" ht="15.75" customHeight="1">
      <c r="A15894" s="2" t="s">
        <v>15894</v>
      </c>
      <c r="B15894" s="2" t="str">
        <f>IFERROR(__xludf.DUMMYFUNCTION("GOOGLETRANSLATE(A15894, ""en"", ""mt"")"),"Id-disponibbiltà tal-Bibbja f'lingwi vernakulari kienet importanti għat-tixrid tal-moviment Protestant u l-iżvilupp tal-Knisja Riformata fi Franza. Il-pajjiż kellu storja twila ta 'ġlidiet mal-papat sa meta fl-aħħar waslet ir-Riforma Protestanta. Madwar l"&amp;"-1294, verżjoni Franċiża tal-Iskrittura ġiet ippreparata mill-Kappillan Kattoliku Ruman, Guyard de Moulin. Verżjoni ta 'parafrażi tal-folio illustrata b'żewġ volumi bbażata fuq il-manuskritt tiegħu, minn Jean de Rély, ġiet stampata f'Pariġi fl-1487.")</f>
        <v>Id-disponibbiltà tal-Bibbja f'lingwi vernakulari kienet importanti għat-tixrid tal-moviment Protestant u l-iżvilupp tal-Knisja Riformata fi Franza. Il-pajjiż kellu storja twila ta 'ġlidiet mal-papat sa meta fl-aħħar waslet ir-Riforma Protestanta. Madwar l-1294, verżjoni Franċiża tal-Iskrittura ġiet ippreparata mill-Kappillan Kattoliku Ruman, Guyard de Moulin. Verżjoni ta 'parafrażi tal-folio illustrata b'żewġ volumi bbażata fuq il-manuskritt tiegħu, minn Jean de Rély, ġiet stampata f'Pariġi fl-1487.</v>
      </c>
    </row>
    <row r="15895" ht="15.75" customHeight="1">
      <c r="A15895" s="2" t="s">
        <v>15895</v>
      </c>
      <c r="B15895" s="2" t="str">
        <f>IFERROR(__xludf.DUMMYFUNCTION("GOOGLETRANSLATE(A15895, ""en"", ""mt"")"),"istantanjament f'pari ta 'reazzjoni ta' azzjoni")</f>
        <v>istantanjament f'pari ta 'reazzjoni ta' azzjoni</v>
      </c>
    </row>
    <row r="15896" ht="15.75" customHeight="1">
      <c r="A15896" s="2" t="s">
        <v>15896</v>
      </c>
      <c r="B15896" s="2" t="str">
        <f>IFERROR(__xludf.DUMMYFUNCTION("GOOGLETRANSLATE(A15896, ""en"", ""mt"")"),"darbtejn l-ispinta")</f>
        <v>darbtejn l-ispinta</v>
      </c>
    </row>
    <row r="15897" ht="15.75" customHeight="1">
      <c r="A15897" s="2" t="s">
        <v>15897</v>
      </c>
      <c r="B15897" s="2" t="str">
        <f>IFERROR(__xludf.DUMMYFUNCTION("GOOGLETRANSLATE(A15897, ""en"", ""mt"")"),"Kif irrapportaw id-dħul uffiċjali ta 'Brainbridge?")</f>
        <v>Kif irrapportaw id-dħul uffiċjali ta 'Brainbridge?</v>
      </c>
    </row>
    <row r="15898" ht="15.75" customHeight="1">
      <c r="A15898" s="2" t="s">
        <v>15898</v>
      </c>
      <c r="B15898" s="2" t="str">
        <f>IFERROR(__xludf.DUMMYFUNCTION("GOOGLETRANSLATE(A15898, ""en"", ""mt"")"),"Minn xiex kienu l-ktajjen ta 'Iżakk?")</f>
        <v>Minn xiex kienu l-ktajjen ta 'Iżakk?</v>
      </c>
    </row>
    <row r="15899" ht="15.75" customHeight="1">
      <c r="A15899" s="2" t="s">
        <v>15899</v>
      </c>
      <c r="B15899" s="2" t="str">
        <f>IFERROR(__xludf.DUMMYFUNCTION("GOOGLETRANSLATE(A15899, ""en"", ""mt"")"),"applikat")</f>
        <v>applikat</v>
      </c>
    </row>
    <row r="15900" ht="15.75" customHeight="1">
      <c r="A15900" s="2" t="s">
        <v>15900</v>
      </c>
      <c r="B15900" s="2" t="str">
        <f>IFERROR(__xludf.DUMMYFUNCTION("GOOGLETRANSLATE(A15900, ""en"", ""mt"")"),"X'inhu fattur importanti li jikkontribwixxi għall-inugwaljanza għall-individwi?")</f>
        <v>X'inhu fattur importanti li jikkontribwixxi għall-inugwaljanza għall-individwi?</v>
      </c>
    </row>
    <row r="15901" ht="15.75" customHeight="1">
      <c r="A15901" s="2" t="s">
        <v>15901</v>
      </c>
      <c r="B15901" s="2" t="str">
        <f>IFERROR(__xludf.DUMMYFUNCTION("GOOGLETRANSLATE(A15901, ""en"", ""mt"")"),"Taħteġ fuq is-Salmi")</f>
        <v>Taħteġ fuq is-Salmi</v>
      </c>
    </row>
    <row r="15902" ht="15.75" customHeight="1">
      <c r="A15902" s="2" t="s">
        <v>15902</v>
      </c>
      <c r="B15902" s="2" t="str">
        <f>IFERROR(__xludf.DUMMYFUNCTION("GOOGLETRANSLATE(A15902, ""en"", ""mt"")"),"X’kawża li r-reġjuni tas-savanna jikbru fit-tropiċi tal-Amerika t'Isfel fl-aħħar 34 miljun sena?")</f>
        <v>X’kawża li r-reġjuni tas-savanna jikbru fit-tropiċi tal-Amerika t'Isfel fl-aħħar 34 miljun sena?</v>
      </c>
    </row>
    <row r="15903" ht="15.75" customHeight="1">
      <c r="A15903" s="2" t="s">
        <v>15903</v>
      </c>
      <c r="B15903" s="2" t="str">
        <f>IFERROR(__xludf.DUMMYFUNCTION("GOOGLETRANSLATE(A15903, ""en"", ""mt"")"),"Fl-istess ħin huwa għamel tentattivi biex jgħin jikber ABC, Goldenson kien ilu jipprova minn nofs l-1953 biex jipprovdi kontenut għan-netwerk billi kkuntattja lill-konoxxenti antiki tiegħu f'Hollywood, li miegħu kien ħadem meta l-UPT kien sussidjarja ta '"&amp;"Paramount Pictures. L-għaqda ta 'ABC ma' UPT wasslet għall-ħolqien ta 'relazzjonijiet ma' l-istudjows ta 'produzzjoni ta' films ta 'Hollywood, li kisser kwarantina li kienet teżisti f'dak iż-żmien bejn il-film u t-televiżjoni, li l-aħħar li qabel kienet a"&amp;"ktar konnessa mar-radju. Il-produzzjonijiet ewlenin tal-ABC dak iż-żmien kienu l-Lone Ranger, ibbażat fuq il-programm tar-radju tal-istess titlu, u l-avventuri ta 'Ozzie u Harriet, li l-aħħar minnhom (fi 13-il staġun, li jmorru mill-1952 sal-1965) kellhom"&amp;" ir-rekord għall-itwal Il-kummiedja ta 'l-ewwel ħin fl-istorja tat-televiżjoni ta' l-Istati Uniti, sakemm inqabżet minn The Simpsons fl-2002.")</f>
        <v>Fl-istess ħin huwa għamel tentattivi biex jgħin jikber ABC, Goldenson kien ilu jipprova minn nofs l-1953 biex jipprovdi kontenut għan-netwerk billi kkuntattja lill-konoxxenti antiki tiegħu f'Hollywood, li miegħu kien ħadem meta l-UPT kien sussidjarja ta 'Paramount Pictures. L-għaqda ta 'ABC ma' UPT wasslet għall-ħolqien ta 'relazzjonijiet ma' l-istudjows ta 'produzzjoni ta' films ta 'Hollywood, li kisser kwarantina li kienet teżisti f'dak iż-żmien bejn il-film u t-televiżjoni, li l-aħħar li qabel kienet aktar konnessa mar-radju. Il-produzzjonijiet ewlenin tal-ABC dak iż-żmien kienu l-Lone Ranger, ibbażat fuq il-programm tar-radju tal-istess titlu, u l-avventuri ta 'Ozzie u Harriet, li l-aħħar minnhom (fi 13-il staġun, li jmorru mill-1952 sal-1965) kellhom ir-rekord għall-itwal Il-kummiedja ta 'l-ewwel ħin fl-istorja tat-televiżjoni ta' l-Istati Uniti, sakemm inqabżet minn The Simpsons fl-2002.</v>
      </c>
    </row>
    <row r="15904" ht="15.75" customHeight="1">
      <c r="A15904" s="2" t="s">
        <v>15904</v>
      </c>
      <c r="B15904" s="2" t="str">
        <f>IFERROR(__xludf.DUMMYFUNCTION("GOOGLETRANSLATE(A15904, ""en"", ""mt"")"),"Għaliex tant ma approvawx il-kont?")</f>
        <v>Għaliex tant ma approvawx il-kont?</v>
      </c>
    </row>
    <row r="15905" ht="15.75" customHeight="1">
      <c r="A15905" s="2" t="s">
        <v>15905</v>
      </c>
      <c r="B15905" s="2" t="str">
        <f>IFERROR(__xludf.DUMMYFUNCTION("GOOGLETRANSLATE(A15905, ""en"", ""mt"")"),"Adrijatiku")</f>
        <v>Adrijatiku</v>
      </c>
    </row>
    <row r="15906" ht="15.75" customHeight="1">
      <c r="A15906" s="2" t="s">
        <v>15906</v>
      </c>
      <c r="B15906" s="2" t="str">
        <f>IFERROR(__xludf.DUMMYFUNCTION("GOOGLETRANSLATE(A15906, ""en"", ""mt"")"),"Għal xiex tispikka l-AC?")</f>
        <v>Għal xiex tispikka l-AC?</v>
      </c>
    </row>
    <row r="15907" ht="15.75" customHeight="1">
      <c r="A15907" s="2" t="s">
        <v>15907</v>
      </c>
      <c r="B15907" s="2" t="str">
        <f>IFERROR(__xludf.DUMMYFUNCTION("GOOGLETRANSLATE(A15907, ""en"", ""mt"")"),"jimpjegaw sfurzar limitat")</f>
        <v>jimpjegaw sfurzar limitat</v>
      </c>
    </row>
    <row r="15908" ht="15.75" customHeight="1">
      <c r="A15908" s="2" t="s">
        <v>15908</v>
      </c>
      <c r="B15908" s="2" t="str">
        <f>IFERROR(__xludf.DUMMYFUNCTION("GOOGLETRANSLATE(A15908, ""en"", ""mt"")"),"X'tip ta 'wirjiet intużaw bħala kontrogrammazzjoni minn ABC fil-ħarifa ta' l-1959?")</f>
        <v>X'tip ta 'wirjiet intużaw bħala kontrogrammazzjoni minn ABC fil-ħarifa ta' l-1959?</v>
      </c>
    </row>
    <row r="15909" ht="15.75" customHeight="1">
      <c r="A15909" s="2" t="s">
        <v>15909</v>
      </c>
      <c r="B15909" s="2" t="str">
        <f>IFERROR(__xludf.DUMMYFUNCTION("GOOGLETRANSLATE(A15909, ""en"", ""mt"")"),"konspirazzjoni")</f>
        <v>konspirazzjoni</v>
      </c>
    </row>
    <row r="15910" ht="15.75" customHeight="1">
      <c r="A15910" s="2" t="s">
        <v>15910</v>
      </c>
      <c r="B15910" s="2" t="str">
        <f>IFERROR(__xludf.DUMMYFUNCTION("GOOGLETRANSLATE(A15910, ""en"", ""mt"")"),"kriptofita")</f>
        <v>kriptofita</v>
      </c>
    </row>
    <row r="15911" ht="15.75" customHeight="1">
      <c r="A15911" s="2" t="s">
        <v>15911</v>
      </c>
      <c r="B15911" s="2" t="str">
        <f>IFERROR(__xludf.DUMMYFUNCTION("GOOGLETRANSLATE(A15911, ""en"", ""mt"")"),"X'tip ta 'kurrikuli huwa li jista' jsegwi għalliem?")</f>
        <v>X'tip ta 'kurrikuli huwa li jista' jsegwi għalliem?</v>
      </c>
    </row>
    <row r="15912" ht="15.75" customHeight="1">
      <c r="A15912" s="2" t="s">
        <v>15912</v>
      </c>
      <c r="B15912" s="2" t="str">
        <f>IFERROR(__xludf.DUMMYFUNCTION("GOOGLETRANSLATE(A15912, ""en"", ""mt"")"),"4 ta ’Awwissu 1915 sa Novembru 1918")</f>
        <v>4 ta ’Awwissu 1915 sa Novembru 1918</v>
      </c>
    </row>
    <row r="15913" ht="15.75" customHeight="1">
      <c r="A15913" s="2" t="s">
        <v>15913</v>
      </c>
      <c r="B15913" s="2" t="str">
        <f>IFERROR(__xludf.DUMMYFUNCTION("GOOGLETRANSLATE(A15913, ""en"", ""mt"")"),"skejjel u skejjel privati ​​tradizzjonali li huma rregolati privatament")</f>
        <v>skejjel u skejjel privati ​​tradizzjonali li huma rregolati privatament</v>
      </c>
    </row>
    <row r="15914" ht="15.75" customHeight="1">
      <c r="A15914" s="2" t="s">
        <v>15914</v>
      </c>
      <c r="B15914" s="2" t="str">
        <f>IFERROR(__xludf.DUMMYFUNCTION("GOOGLETRANSLATE(A15914, ""en"", ""mt"")"),"Fl-1521 Luther ittrattat fil-biċċa l-kbira l-profezija, li fiha wessa 'l-pedamenti tar-Riforma billi poġġiethom fuq il-fidi profetika. L-interess ewlieni tiegħu kien iċċentrat fuq il-profezija tal-ħorn żgħir f'Daniel 8: 9–12, 23-25. L-Antichrist tat-2 Tes"&amp;"salonjani 2 ġie identifikat bħala l-poter tal-papat. Hekk ukoll kien il-ħorn żgħir ta 'Daniel 7, li wasal fost id-diviżjonijiet ta' Ruma, applikat b'mod espliċitu.")</f>
        <v>Fl-1521 Luther ittrattat fil-biċċa l-kbira l-profezija, li fiha wessa 'l-pedamenti tar-Riforma billi poġġiethom fuq il-fidi profetika. L-interess ewlieni tiegħu kien iċċentrat fuq il-profezija tal-ħorn żgħir f'Daniel 8: 9–12, 23-25. L-Antichrist tat-2 Tessalonjani 2 ġie identifikat bħala l-poter tal-papat. Hekk ukoll kien il-ħorn żgħir ta 'Daniel 7, li wasal fost id-diviżjonijiet ta' Ruma, applikat b'mod espliċitu.</v>
      </c>
    </row>
    <row r="15915" ht="15.75" customHeight="1">
      <c r="A15915" s="2" t="s">
        <v>15915</v>
      </c>
      <c r="B15915" s="2" t="str">
        <f>IFERROR(__xludf.DUMMYFUNCTION("GOOGLETRANSLATE(A15915, ""en"", ""mt"")"),"100")</f>
        <v>100</v>
      </c>
    </row>
    <row r="15916" ht="15.75" customHeight="1">
      <c r="A15916" s="2" t="s">
        <v>15916</v>
      </c>
      <c r="B15916" s="2" t="str">
        <f>IFERROR(__xludf.DUMMYFUNCTION("GOOGLETRANSLATE(A15916, ""en"", ""mt"")"),"sa ħamsa")</f>
        <v>sa ħamsa</v>
      </c>
    </row>
    <row r="15917" ht="15.75" customHeight="1">
      <c r="A15917" s="2" t="s">
        <v>15917</v>
      </c>
      <c r="B15917" s="2" t="str">
        <f>IFERROR(__xludf.DUMMYFUNCTION("GOOGLETRANSLATE(A15917, ""en"", ""mt"")"),"Definizzjonijiet tal-kumplessità tal-ħin u l-ispazju")</f>
        <v>Definizzjonijiet tal-kumplessità tal-ħin u l-ispazju</v>
      </c>
    </row>
    <row r="15918" ht="15.75" customHeight="1">
      <c r="A15918" s="2" t="s">
        <v>15918</v>
      </c>
      <c r="B15918" s="2" t="str">
        <f>IFERROR(__xludf.DUMMYFUNCTION("GOOGLETRANSLATE(A15918, ""en"", ""mt"")"),"Madwar 2.5 miljun sena ilu (li ntemm 11,600 sena ilu) kien il-perjodu ġeoloġiku tal-etajiet tas-silġ. Minn madwar 600,000 sena ilu, seħħew sitt etajiet kbar tas-silġ, li fihom il-livell tal-baħar niżel 120 m (390 pied) u ħafna mill-marġini kontinentali sa"&amp;"ru esposti. Fil-Pleistocene bikri, ir-Renu segwa kors lejn il-majjistral, permezz tal-Baħar tat-Tramuntana preżenti. Matul l-hekk imsejħa glaciation Anglian (~ 450,000 yr bp, l-isotopi tal-ossiġnu tal-baħar stadju 12), il-parti tat-tramuntana tal-Baħar ta"&amp;"t-Tramuntana preżenti kienet imblukkata mis-silġ u lag kbir żviluppat, li tfur mill-Kanal Ingliż. Dan ikkawża li l-kors tar-Rhine jiġi ddevjat mill-Kanal Ingliż. Minn dakinhar, fi żminijiet glaċjali, il-ħalq tax-xmara kien jinsab barra mill-kosta ta 'Bres"&amp;"t, Franza u xmajjar, bħat-Thames u s-Seine, saru tributarji għar-Renu. Matul l-interglacials, meta l-livell tal-baħar tela 'għal bejn wieħed u ieħor il-livell preżenti, ir-Rhine bena deltas, f'dak li issa huwa l-Olanda.")</f>
        <v>Madwar 2.5 miljun sena ilu (li ntemm 11,600 sena ilu) kien il-perjodu ġeoloġiku tal-etajiet tas-silġ. Minn madwar 600,000 sena ilu, seħħew sitt etajiet kbar tas-silġ, li fihom il-livell tal-baħar niżel 120 m (390 pied) u ħafna mill-marġini kontinentali saru esposti. Fil-Pleistocene bikri, ir-Renu segwa kors lejn il-majjistral, permezz tal-Baħar tat-Tramuntana preżenti. Matul l-hekk imsejħa glaciation Anglian (~ 450,000 yr bp, l-isotopi tal-ossiġnu tal-baħar stadju 12), il-parti tat-tramuntana tal-Baħar tat-Tramuntana preżenti kienet imblukkata mis-silġ u lag kbir żviluppat, li tfur mill-Kanal Ingliż. Dan ikkawża li l-kors tar-Rhine jiġi ddevjat mill-Kanal Ingliż. Minn dakinhar, fi żminijiet glaċjali, il-ħalq tax-xmara kien jinsab barra mill-kosta ta 'Brest, Franza u xmajjar, bħat-Thames u s-Seine, saru tributarji għar-Renu. Matul l-interglacials, meta l-livell tal-baħar tela 'għal bejn wieħed u ieħor il-livell preżenti, ir-Rhine bena deltas, f'dak li issa huwa l-Olanda.</v>
      </c>
    </row>
    <row r="15919" ht="15.75" customHeight="1">
      <c r="A15919" s="2" t="s">
        <v>15919</v>
      </c>
      <c r="B15919" s="2" t="str">
        <f>IFERROR(__xludf.DUMMYFUNCTION("GOOGLETRANSLATE(A15919, ""en"", ""mt"")"),"dewmien fit-titjira")</f>
        <v>dewmien fit-titjira</v>
      </c>
    </row>
    <row r="15920" ht="15.75" customHeight="1">
      <c r="A15920" s="2" t="s">
        <v>15920</v>
      </c>
      <c r="B15920" s="2" t="str">
        <f>IFERROR(__xludf.DUMMYFUNCTION("GOOGLETRANSLATE(A15920, ""en"", ""mt"")"),"l-ewwel xogħol ewlieni biex jikkontesta direttament it-teorija tal-pesta bubonika")</f>
        <v>l-ewwel xogħol ewlieni biex jikkontesta direttament it-teorija tal-pesta bubonika</v>
      </c>
    </row>
    <row r="15921" ht="15.75" customHeight="1">
      <c r="A15921" s="2" t="s">
        <v>15921</v>
      </c>
      <c r="B15921" s="2" t="str">
        <f>IFERROR(__xludf.DUMMYFUNCTION("GOOGLETRANSLATE(A15921, ""en"", ""mt"")"),"fil-punent ta 'Kashgar")</f>
        <v>fil-punent ta 'Kashgar</v>
      </c>
    </row>
    <row r="15922" ht="15.75" customHeight="1">
      <c r="A15922" s="2" t="s">
        <v>15922</v>
      </c>
      <c r="B15922" s="2" t="str">
        <f>IFERROR(__xludf.DUMMYFUNCTION("GOOGLETRANSLATE(A15922, ""en"", ""mt"")"),"Luther's 1541 Innu ""Kristu Unser Herr Zum Jordan Kam"" (""Lil il-Ġordan wasal il-Kristu Sidna"") jirrifletti l-istruttura u s-sustanza tal-mistoqsijiet u t-tweġibiet tiegħu dwar il-magħmudija fil-katekiżmu żgħir. Luther adotta melodija li teżisti minn Jo"&amp;"hann Walter assoċjata ma 'l-issettjar tal-innu ta' talb għall-grazzja tas-Salm 67; L-issettjar ta 'l-innu ta' erba 'partijiet ta' Wolf Heintz intuża biex jintroduċi r-Riforma tal-Luterana f'Halle fl-1541. Predikaturi u kompożituri tas-seklu 18, inkluż J. "&amp;"S. Bach, użaw dan l-innu rikk bħala suġġett għax-xogħol tagħhom stess, għalkemm it-teoloġija tal-magħmudija oġġettiva tagħha stess, għalkemm it-teoloġija tal-magħmudija. ġie spostat minn innijiet aktar suġġettivi taħt l-influwenza tal-pietiżmu Luteran tas"&amp;"-seklu 19.")</f>
        <v>Luther's 1541 Innu "Kristu Unser Herr Zum Jordan Kam" ("Lil il-Ġordan wasal il-Kristu Sidna") jirrifletti l-istruttura u s-sustanza tal-mistoqsijiet u t-tweġibiet tiegħu dwar il-magħmudija fil-katekiżmu żgħir. Luther adotta melodija li teżisti minn Johann Walter assoċjata ma 'l-issettjar tal-innu ta' talb għall-grazzja tas-Salm 67; L-issettjar ta 'l-innu ta' erba 'partijiet ta' Wolf Heintz intuża biex jintroduċi r-Riforma tal-Luterana f'Halle fl-1541. Predikaturi u kompożituri tas-seklu 18, inkluż J. S. Bach, użaw dan l-innu rikk bħala suġġett għax-xogħol tagħhom stess, għalkemm it-teoloġija tal-magħmudija oġġettiva tagħha stess, għalkemm it-teoloġija tal-magħmudija. ġie spostat minn innijiet aktar suġġettivi taħt l-influwenza tal-pietiżmu Luteran tas-seklu 19.</v>
      </c>
    </row>
    <row r="15923" ht="15.75" customHeight="1">
      <c r="A15923" s="2" t="s">
        <v>15923</v>
      </c>
      <c r="B15923" s="2" t="str">
        <f>IFERROR(__xludf.DUMMYFUNCTION("GOOGLETRANSLATE(A15923, ""en"", ""mt"")"),"Einstein's")</f>
        <v>Einstein's</v>
      </c>
    </row>
    <row r="15924" ht="15.75" customHeight="1">
      <c r="A15924" s="2" t="s">
        <v>15924</v>
      </c>
      <c r="B15924" s="2" t="str">
        <f>IFERROR(__xludf.DUMMYFUNCTION("GOOGLETRANSLATE(A15924, ""en"", ""mt"")"),"Qorti Suprema ta 'l-Istati Uniti")</f>
        <v>Qorti Suprema ta 'l-Istati Uniti</v>
      </c>
    </row>
    <row r="15925" ht="15.75" customHeight="1">
      <c r="A15925" s="2" t="s">
        <v>15925</v>
      </c>
      <c r="B15925" s="2" t="str">
        <f>IFERROR(__xludf.DUMMYFUNCTION("GOOGLETRANSLATE(A15925, ""en"", ""mt"")"),"Levi's Stadium")</f>
        <v>Levi's Stadium</v>
      </c>
    </row>
    <row r="15926" ht="15.75" customHeight="1">
      <c r="A15926" s="2" t="s">
        <v>15926</v>
      </c>
      <c r="B15926" s="2" t="str">
        <f>IFERROR(__xludf.DUMMYFUNCTION("GOOGLETRANSLATE(A15926, ""en"", ""mt"")"),"Jitlob mhux ħati")</f>
        <v>Jitlob mhux ħati</v>
      </c>
    </row>
    <row r="15927" ht="15.75" customHeight="1">
      <c r="A15927" s="2" t="s">
        <v>15927</v>
      </c>
      <c r="B15927" s="2" t="str">
        <f>IFERROR(__xludf.DUMMYFUNCTION("GOOGLETRANSLATE(A15927, ""en"", ""mt"")"),"Ix-xejra moderna fid-disinn hija lejn l-integrazzjoni ta 'speċjalitajiet separati qabel, speċjalment fost ditti kbar. Fil-passat, periti, disinjaturi interni, inġiniera, żviluppaturi, maniġers tal-kostruzzjoni, u kuntratturi ġenerali kienu aktar probabbli"&amp;" li jkunu kumpaniji kompletament separati, anke fid-ditti akbar. Bħalissa, ditta li hija ""arkitettura"" jew ditta ta '""ġestjoni tal-kostruzzjoni"" jista' jkollha esperti mill-oqsma relatati kollha bħala impjegati, jew li jkollha kumpanija assoċjata li t"&amp;"ipprovdi kull ħila meħtieġa. Għalhekk, kull ditta bħal din tista 'toffri lilha nnifisha bħala ""shopping one-stop"" għal proġett ta' kostruzzjoni, mill-bidu sal-aħħar. Dan huwa nominat bħala kuntratt ta '""bini tad-disinn"" fejn il-kuntrattur jingħata spe"&amp;"ċifikazzjoni ta' prestazzjoni u għandu jwettaq il-proġett mid-disinn għall-kostruzzjoni, filwaqt li jeħel mal-ispeċifikazzjonijiet tal-prestazzjoni.")</f>
        <v>Ix-xejra moderna fid-disinn hija lejn l-integrazzjoni ta 'speċjalitajiet separati qabel, speċjalment fost ditti kbar. Fil-passat, periti, disinjaturi interni, inġiniera, żviluppaturi, maniġers tal-kostruzzjoni, u kuntratturi ġenerali kienu aktar probabbli li jkunu kumpaniji kompletament separati, anke fid-ditti akbar. Bħalissa, ditta li hija "arkitettura" jew ditta ta '"ġestjoni tal-kostruzzjoni" jista' jkollha esperti mill-oqsma relatati kollha bħala impjegati, jew li jkollha kumpanija assoċjata li tipprovdi kull ħila meħtieġa. Għalhekk, kull ditta bħal din tista 'toffri lilha nnifisha bħala "shopping one-stop" għal proġett ta' kostruzzjoni, mill-bidu sal-aħħar. Dan huwa nominat bħala kuntratt ta '"bini tad-disinn" fejn il-kuntrattur jingħata speċifikazzjoni ta' prestazzjoni u għandu jwettaq il-proġett mid-disinn għall-kostruzzjoni, filwaqt li jeħel mal-ispeċifikazzjonijiet tal-prestazzjoni.</v>
      </c>
    </row>
    <row r="15928" ht="15.75" customHeight="1">
      <c r="A15928" s="2" t="s">
        <v>15928</v>
      </c>
      <c r="B15928" s="2" t="str">
        <f>IFERROR(__xludf.DUMMYFUNCTION("GOOGLETRANSLATE(A15928, ""en"", ""mt"")"),"Il-Verġni u t-Tifel ta 'Carlo Crivelli")</f>
        <v>Il-Verġni u t-Tifel ta 'Carlo Crivelli</v>
      </c>
    </row>
    <row r="15929" ht="15.75" customHeight="1">
      <c r="A15929" s="2" t="s">
        <v>15929</v>
      </c>
      <c r="B15929" s="2" t="str">
        <f>IFERROR(__xludf.DUMMYFUNCTION("GOOGLETRANSLATE(A15929, ""en"", ""mt"")"),"Kemm hemm sorsi tal-liġi tal-Unjoni Ewropea?")</f>
        <v>Kemm hemm sorsi tal-liġi tal-Unjoni Ewropea?</v>
      </c>
    </row>
    <row r="15930" ht="15.75" customHeight="1">
      <c r="A15930" s="2" t="s">
        <v>15930</v>
      </c>
      <c r="B15930" s="2" t="str">
        <f>IFERROR(__xludf.DUMMYFUNCTION("GOOGLETRANSLATE(A15930, ""en"", ""mt"")"),"X'inhuma ż-żewġ affiljati ABC għal Kansas City, Missouri?")</f>
        <v>X'inhuma ż-żewġ affiljati ABC għal Kansas City, Missouri?</v>
      </c>
    </row>
    <row r="15931" ht="15.75" customHeight="1">
      <c r="A15931" s="2" t="s">
        <v>15931</v>
      </c>
      <c r="B15931" s="2" t="str">
        <f>IFERROR(__xludf.DUMMYFUNCTION("GOOGLETRANSLATE(A15931, ""en"", ""mt"")"),"forma ta ’lenti")</f>
        <v>forma ta ’lenti</v>
      </c>
    </row>
    <row r="15932" ht="15.75" customHeight="1">
      <c r="A15932" s="2" t="s">
        <v>15932</v>
      </c>
      <c r="B15932" s="2" t="str">
        <f>IFERROR(__xludf.DUMMYFUNCTION("GOOGLETRANSLATE(A15932, ""en"", ""mt"")"),"Uża l-proċeduri bħala forum biex tinforma lill-ġurija u lill-pubbliku dwar iċ-ċirkostanzi politiċi li jdawru l-każ")</f>
        <v>Uża l-proċeduri bħala forum biex tinforma lill-ġurija u lill-pubbliku dwar iċ-ċirkostanzi politiċi li jdawru l-każ</v>
      </c>
    </row>
    <row r="15933" ht="15.75" customHeight="1">
      <c r="A15933" s="2" t="s">
        <v>15933</v>
      </c>
      <c r="B15933" s="2" t="str">
        <f>IFERROR(__xludf.DUMMYFUNCTION("GOOGLETRANSLATE(A15933, ""en"", ""mt"")"),"bniedem")</f>
        <v>bniedem</v>
      </c>
    </row>
    <row r="15934" ht="15.75" customHeight="1">
      <c r="A15934" s="2" t="s">
        <v>15934</v>
      </c>
      <c r="B15934" s="2" t="str">
        <f>IFERROR(__xludf.DUMMYFUNCTION("GOOGLETRANSLATE(A15934, ""en"", ""mt"")"),"Liema Jersey ilbes il-Broncos għal Super Bowl 50?")</f>
        <v>Liema Jersey ilbes il-Broncos għal Super Bowl 50?</v>
      </c>
    </row>
    <row r="15935" ht="15.75" customHeight="1">
      <c r="A15935" s="2" t="s">
        <v>15935</v>
      </c>
      <c r="B15935" s="2" t="str">
        <f>IFERROR(__xludf.DUMMYFUNCTION("GOOGLETRANSLATE(A15935, ""en"", ""mt"")"),"Iżlamisti domestiċi")</f>
        <v>Iżlamisti domestiċi</v>
      </c>
    </row>
    <row r="15936" ht="15.75" customHeight="1">
      <c r="A15936" s="2" t="s">
        <v>15936</v>
      </c>
      <c r="B15936" s="2" t="str">
        <f>IFERROR(__xludf.DUMMYFUNCTION("GOOGLETRANSLATE(A15936, ""en"", ""mt"")"),"Min hu mgħallem fil-kulleġġi tal-għalliema?")</f>
        <v>Min hu mgħallem fil-kulleġġi tal-għalliema?</v>
      </c>
    </row>
    <row r="15937" ht="15.75" customHeight="1">
      <c r="A15937" s="2" t="s">
        <v>15937</v>
      </c>
      <c r="B15937" s="2" t="str">
        <f>IFERROR(__xludf.DUMMYFUNCTION("GOOGLETRANSLATE(A15937, ""en"", ""mt"")"),"Għat-tliet mitt sena li ġejjin, l-Iskozja kienet direttament regolata mill-Parlament tal-Gran Brittanja u l-Parlament Sussegwenti tar-Renju Unit, it-tnejn bilqiegħda f'Westminster, u n-nuqqas ta 'Parlament ta' l-Iskozja baqa 'element importanti fl-identit"&amp;"à nazzjonali Skoċċiża. Suġġerimenti għal parlament 'devolut' saru qabel l-1914, iżda ġew imkabbra minħabba t-tifqigħa tal-Ewwel Gwerra Dinjija. Żieda qawwija fin-nazzjonaliżmu fl-Iskozja matul l-aħħar tas-snin 1960 xprunat it-talbiet għal xi forma ta 'reg"&amp;"ola tad-dar jew indipendenza sħiħa, u fl-1969 wasslet lill-gvern Laburista eżistenti ta' Harold Wilson biex iwaqqaf il-Kummissjoni Kilbrandon biex tikkunsidra l-Kostituzzjoni Ingliża. Wieħed mill-għanijiet ewlenin tal-Kummissjoni kien li jeżamina modi kif"&amp;" tippermetti aktar awto-gvern għall-Iskozja, fl-istat unitarju tar-Renju Unit. Kilbrandon ippubblika r-rapport tiegħu fl-1973 li rrakkomanda t-twaqqif ta 'assemblea Skoċċiża eletta direttament biex tilleġiżla għall-maġġoranza tal-affarijiet Skoċċiżi domes"&amp;"tiċi.")</f>
        <v>Għat-tliet mitt sena li ġejjin, l-Iskozja kienet direttament regolata mill-Parlament tal-Gran Brittanja u l-Parlament Sussegwenti tar-Renju Unit, it-tnejn bilqiegħda f'Westminster, u n-nuqqas ta 'Parlament ta' l-Iskozja baqa 'element importanti fl-identità nazzjonali Skoċċiża. Suġġerimenti għal parlament 'devolut' saru qabel l-1914, iżda ġew imkabbra minħabba t-tifqigħa tal-Ewwel Gwerra Dinjija. Żieda qawwija fin-nazzjonaliżmu fl-Iskozja matul l-aħħar tas-snin 1960 xprunat it-talbiet għal xi forma ta 'regola tad-dar jew indipendenza sħiħa, u fl-1969 wasslet lill-gvern Laburista eżistenti ta' Harold Wilson biex iwaqqaf il-Kummissjoni Kilbrandon biex tikkunsidra l-Kostituzzjoni Ingliża. Wieħed mill-għanijiet ewlenin tal-Kummissjoni kien li jeżamina modi kif tippermetti aktar awto-gvern għall-Iskozja, fl-istat unitarju tar-Renju Unit. Kilbrandon ippubblika r-rapport tiegħu fl-1973 li rrakkomanda t-twaqqif ta 'assemblea Skoċċiża eletta direttament biex tilleġiżla għall-maġġoranza tal-affarijiet Skoċċiżi domestiċi.</v>
      </c>
    </row>
    <row r="15938" ht="15.75" customHeight="1">
      <c r="A15938" s="2" t="s">
        <v>15938</v>
      </c>
      <c r="B15938" s="2" t="str">
        <f>IFERROR(__xludf.DUMMYFUNCTION("GOOGLETRANSLATE(A15938, ""en"", ""mt"")"),"Kemm hemm risponsi immuni kbar li għandhom il-pjanti?")</f>
        <v>Kemm hemm risponsi immuni kbar li għandhom il-pjanti?</v>
      </c>
    </row>
    <row r="15939" ht="15.75" customHeight="1">
      <c r="A15939" s="2" t="s">
        <v>15939</v>
      </c>
      <c r="B15939" s="2" t="str">
        <f>IFERROR(__xludf.DUMMYFUNCTION("GOOGLETRANSLATE(A15939, ""en"", ""mt"")"),"l-ambjent li fihom għexu")</f>
        <v>l-ambjent li fihom għexu</v>
      </c>
    </row>
    <row r="15940" ht="15.75" customHeight="1">
      <c r="A15940" s="2" t="s">
        <v>15940</v>
      </c>
      <c r="B15940" s="2" t="str">
        <f>IFERROR(__xludf.DUMMYFUNCTION("GOOGLETRANSLATE(A15940, ""en"", ""mt"")"),"MSP jista 'jintroduċi kont bħal dak?")</f>
        <v>MSP jista 'jintroduċi kont bħal dak?</v>
      </c>
    </row>
    <row r="15941" ht="15.75" customHeight="1">
      <c r="A15941" s="2" t="s">
        <v>15941</v>
      </c>
      <c r="B15941" s="2" t="str">
        <f>IFERROR(__xludf.DUMMYFUNCTION("GOOGLETRANSLATE(A15941, ""en"", ""mt"")"),"Ġunju 1978")</f>
        <v>Ġunju 1978</v>
      </c>
    </row>
    <row r="15942" ht="15.75" customHeight="1">
      <c r="A15942" s="2" t="s">
        <v>15942</v>
      </c>
      <c r="B15942" s="2" t="str">
        <f>IFERROR(__xludf.DUMMYFUNCTION("GOOGLETRANSLATE(A15942, ""en"", ""mt"")"),"X'tip ta 'konfini ta' difett huwa definit billi jkollok terremoti qawwija mifruxa, bħal fl-istat ta 'California?")</f>
        <v>X'tip ta 'konfini ta' difett huwa definit billi jkollok terremoti qawwija mifruxa, bħal fl-istat ta 'California?</v>
      </c>
    </row>
    <row r="15943" ht="15.75" customHeight="1">
      <c r="A15943" s="2" t="s">
        <v>15943</v>
      </c>
      <c r="B15943" s="2" t="str">
        <f>IFERROR(__xludf.DUMMYFUNCTION("GOOGLETRANSLATE(A15943, ""en"", ""mt"")"),"vertebrati")</f>
        <v>vertebrati</v>
      </c>
    </row>
    <row r="15944" ht="15.75" customHeight="1">
      <c r="A15944" s="2" t="s">
        <v>15944</v>
      </c>
      <c r="B15944" s="2" t="str">
        <f>IFERROR(__xludf.DUMMYFUNCTION("GOOGLETRANSLATE(A15944, ""en"", ""mt"")"),"Kemm segmenti oriġinarjament kellu l-ispeċjal?")</f>
        <v>Kemm segmenti oriġinarjament kellu l-ispeċjal?</v>
      </c>
    </row>
    <row r="15945" ht="15.75" customHeight="1">
      <c r="A15945" s="2" t="s">
        <v>15945</v>
      </c>
      <c r="B15945" s="2" t="str">
        <f>IFERROR(__xludf.DUMMYFUNCTION("GOOGLETRANSLATE(A15945, ""en"", ""mt"")"),"bħala bdiewa itineranti")</f>
        <v>bħala bdiewa itineranti</v>
      </c>
    </row>
    <row r="15946" ht="15.75" customHeight="1">
      <c r="A15946" s="2" t="s">
        <v>15946</v>
      </c>
      <c r="B15946" s="2" t="str">
        <f>IFERROR(__xludf.DUMMYFUNCTION("GOOGLETRANSLATE(A15946, ""en"", ""mt"")"),"X'inhu s-soltu l-għan li tieħu bargain ta 'motiv?")</f>
        <v>X'inhu s-soltu l-għan li tieħu bargain ta 'motiv?</v>
      </c>
    </row>
    <row r="15947" ht="15.75" customHeight="1">
      <c r="A15947" s="2" t="s">
        <v>15947</v>
      </c>
      <c r="B15947" s="2" t="str">
        <f>IFERROR(__xludf.DUMMYFUNCTION("GOOGLETRANSLATE(A15947, ""en"", ""mt"")"),"Il-bini huwa lest biex jokkupa")</f>
        <v>Il-bini huwa lest biex jokkupa</v>
      </c>
    </row>
    <row r="15948" ht="15.75" customHeight="1">
      <c r="A15948" s="2" t="s">
        <v>15948</v>
      </c>
      <c r="B15948" s="2" t="str">
        <f>IFERROR(__xludf.DUMMYFUNCTION("GOOGLETRANSLATE(A15948, ""en"", ""mt"")"),"Sorsi mhux riveduti mill-peer")</f>
        <v>Sorsi mhux riveduti mill-peer</v>
      </c>
    </row>
    <row r="15949" ht="15.75" customHeight="1">
      <c r="A15949" s="2" t="s">
        <v>15949</v>
      </c>
      <c r="B15949" s="2" t="str">
        <f>IFERROR(__xludf.DUMMYFUNCTION("GOOGLETRANSLATE(A15949, ""en"", ""mt"")"),"Liema karru ta 'Lionsgate kien muri matul is-Super Bowl?")</f>
        <v>Liema karru ta 'Lionsgate kien muri matul is-Super Bowl?</v>
      </c>
    </row>
    <row r="15950" ht="15.75" customHeight="1">
      <c r="A15950" s="2" t="s">
        <v>15950</v>
      </c>
      <c r="B15950" s="2" t="str">
        <f>IFERROR(__xludf.DUMMYFUNCTION("GOOGLETRANSLATE(A15950, ""en"", ""mt"")"),"Fil-15 ta ’Awwissu, 1971")</f>
        <v>Fil-15 ta ’Awwissu, 1971</v>
      </c>
    </row>
    <row r="15951" ht="15.75" customHeight="1">
      <c r="A15951" s="2" t="s">
        <v>15951</v>
      </c>
      <c r="B15951" s="2" t="str">
        <f>IFERROR(__xludf.DUMMYFUNCTION("GOOGLETRANSLATE(A15951, ""en"", ""mt"")"),"Liema flussi bejn il-bingen u l-bonn?")</f>
        <v>Liema flussi bejn il-bingen u l-bonn?</v>
      </c>
    </row>
    <row r="15952" ht="15.75" customHeight="1">
      <c r="A15952" s="2" t="s">
        <v>15952</v>
      </c>
      <c r="B15952" s="2" t="str">
        <f>IFERROR(__xludf.DUMMYFUNCTION("GOOGLETRANSLATE(A15952, ""en"", ""mt"")"),"Molekuli tal-Klassi I MHC")</f>
        <v>Molekuli tal-Klassi I MHC</v>
      </c>
    </row>
    <row r="15953" ht="15.75" customHeight="1">
      <c r="A15953" s="2" t="s">
        <v>15953</v>
      </c>
      <c r="B15953" s="2" t="str">
        <f>IFERROR(__xludf.DUMMYFUNCTION("GOOGLETRANSLATE(A15953, ""en"", ""mt"")"),"Għawwiema iżgħar u aktar dgħajfa bħal rotifers u larva tal-molluski u tal-krustaċji.")</f>
        <v>Għawwiema iżgħar u aktar dgħajfa bħal rotifers u larva tal-molluski u tal-krustaċji.</v>
      </c>
    </row>
    <row r="15954" ht="15.75" customHeight="1">
      <c r="A15954" s="2" t="s">
        <v>15954</v>
      </c>
      <c r="B15954" s="2" t="str">
        <f>IFERROR(__xludf.DUMMYFUNCTION("GOOGLETRANSLATE(A15954, ""en"", ""mt"")"),"L-ittestjar tal-LM matul Apollo 5 kien falliment jew suċċess?")</f>
        <v>L-ittestjar tal-LM matul Apollo 5 kien falliment jew suċċess?</v>
      </c>
    </row>
    <row r="15955" ht="15.75" customHeight="1">
      <c r="A15955" s="2" t="s">
        <v>15955</v>
      </c>
      <c r="B15955" s="2" t="str">
        <f>IFERROR(__xludf.DUMMYFUNCTION("GOOGLETRANSLATE(A15955, ""en"", ""mt"")"),"Baċin tal-Amazonas")</f>
        <v>Baċin tal-Amazonas</v>
      </c>
    </row>
    <row r="15956" ht="15.75" customHeight="1">
      <c r="A15956" s="2" t="s">
        <v>15956</v>
      </c>
      <c r="B15956" s="2" t="str">
        <f>IFERROR(__xludf.DUMMYFUNCTION("GOOGLETRANSLATE(A15956, ""en"", ""mt"")"),"Ċapta l-lobi tagħhom")</f>
        <v>Ċapta l-lobi tagħhom</v>
      </c>
    </row>
    <row r="15957" ht="15.75" customHeight="1">
      <c r="A15957" s="2" t="s">
        <v>15957</v>
      </c>
      <c r="B15957" s="2" t="str">
        <f>IFERROR(__xludf.DUMMYFUNCTION("GOOGLETRANSLATE(A15957, ""en"", ""mt"")"),"Fejn bagħtu l-Franċiżi numru kbir ta 'kolonizzaturi?")</f>
        <v>Fejn bagħtu l-Franċiżi numru kbir ta 'kolonizzaturi?</v>
      </c>
    </row>
    <row r="15958" ht="15.75" customHeight="1">
      <c r="A15958" s="2" t="s">
        <v>15958</v>
      </c>
      <c r="B15958" s="2" t="str">
        <f>IFERROR(__xludf.DUMMYFUNCTION("GOOGLETRANSLATE(A15958, ""en"", ""mt"")"),"Madwar kemm ismijiet ġew iffirmati fuq petizzjoni online fuq il-websajt Parlamentari b'reazzjoni għall-għeluq tal-gallerija tal-istrumenti mużikali?")</f>
        <v>Madwar kemm ismijiet ġew iffirmati fuq petizzjoni online fuq il-websajt Parlamentari b'reazzjoni għall-għeluq tal-gallerija tal-istrumenti mużikali?</v>
      </c>
    </row>
    <row r="15959" ht="15.75" customHeight="1">
      <c r="A15959" s="2" t="s">
        <v>15959</v>
      </c>
      <c r="B15959" s="2" t="str">
        <f>IFERROR(__xludf.DUMMYFUNCTION("GOOGLETRANSLATE(A15959, ""en"", ""mt"")"),"Motivazzjonijiet orjentati lejn il-kisba")</f>
        <v>Motivazzjonijiet orjentati lejn il-kisba</v>
      </c>
    </row>
    <row r="15960" ht="15.75" customHeight="1">
      <c r="A15960" s="2" t="s">
        <v>15960</v>
      </c>
      <c r="B15960" s="2" t="str">
        <f>IFERROR(__xludf.DUMMYFUNCTION("GOOGLETRANSLATE(A15960, ""en"", ""mt"")"),"ATL, NUT jew NASUWT")</f>
        <v>ATL, NUT jew NASUWT</v>
      </c>
    </row>
    <row r="15961" ht="15.75" customHeight="1">
      <c r="A15961" s="2" t="s">
        <v>15961</v>
      </c>
      <c r="B15961" s="2" t="str">
        <f>IFERROR(__xludf.DUMMYFUNCTION("GOOGLETRANSLATE(A15961, ""en"", ""mt"")"),"BRISINGR U SWIZARDRIJA GĦOLJA")</f>
        <v>BRISINGR U SWIZARDRIJA GĦOLJA</v>
      </c>
    </row>
    <row r="15962" ht="15.75" customHeight="1">
      <c r="A15962" s="2" t="s">
        <v>15962</v>
      </c>
      <c r="B15962" s="2" t="str">
        <f>IFERROR(__xludf.DUMMYFUNCTION("GOOGLETRANSLATE(A15962, ""en"", ""mt"")"),"Il-Profeta Mohammad")</f>
        <v>Il-Profeta Mohammad</v>
      </c>
    </row>
    <row r="15963" ht="15.75" customHeight="1">
      <c r="A15963" s="2" t="s">
        <v>15963</v>
      </c>
      <c r="B15963" s="2" t="str">
        <f>IFERROR(__xludf.DUMMYFUNCTION("GOOGLETRANSLATE(A15963, ""en"", ""mt"")"),"xadina mħarrġa")</f>
        <v>xadina mħarrġa</v>
      </c>
    </row>
    <row r="15964" ht="15.75" customHeight="1">
      <c r="A15964" s="2" t="s">
        <v>15964</v>
      </c>
      <c r="B15964" s="2" t="str">
        <f>IFERROR(__xludf.DUMMYFUNCTION("GOOGLETRANSLATE(A15964, ""en"", ""mt"")"),"Mill-irvellijiet elettorali, l-organizzazzjonijiet tal-gvern u tas-soċjetà ċivili bdew programmi biex jevitaw diżastri simili fil-futur, qal Agnes R. M. Aboum - Direttur Eżekuttiv tat-TAABCO Research and Development Consultants f'Nairobi - fir-rivista D +"&amp;" C għall-iżvilupp u l-kooperazzjoni. Pereżempju, il-Kummissjoni tal-Verità, il-Ġustizzja u r-Rikonċiljazzjoni bdiet djalogi fil-komunità, il-Knisja Evanġelika Luterana fil-Kenja bdiet laqgħat ta 'paċi u l-proċess ta' djalogu u rikonċiljazzjoni nazzjonali "&amp;"tal-Kenja beda.")</f>
        <v>Mill-irvellijiet elettorali, l-organizzazzjonijiet tal-gvern u tas-soċjetà ċivili bdew programmi biex jevitaw diżastri simili fil-futur, qal Agnes R. M. Aboum - Direttur Eżekuttiv tat-TAABCO Research and Development Consultants f'Nairobi - fir-rivista D + C għall-iżvilupp u l-kooperazzjoni. Pereżempju, il-Kummissjoni tal-Verità, il-Ġustizzja u r-Rikonċiljazzjoni bdiet djalogi fil-komunità, il-Knisja Evanġelika Luterana fil-Kenja bdiet laqgħat ta 'paċi u l-proċess ta' djalogu u rikonċiljazzjoni nazzjonali tal-Kenja beda.</v>
      </c>
    </row>
    <row r="15965" ht="15.75" customHeight="1">
      <c r="A15965" s="2" t="s">
        <v>15965</v>
      </c>
      <c r="B15965" s="2" t="str">
        <f>IFERROR(__xludf.DUMMYFUNCTION("GOOGLETRANSLATE(A15965, ""en"", ""mt"")"),"Ċittadin jista 'jistrieħ fuq id-direttiva f'tali azzjoni (hekk imsejjaħ effett dirett ""vertikali"")")</f>
        <v>Ċittadin jista 'jistrieħ fuq id-direttiva f'tali azzjoni (hekk imsejjaħ effett dirett "vertikali")</v>
      </c>
    </row>
    <row r="15966" ht="15.75" customHeight="1">
      <c r="A15966" s="2" t="s">
        <v>15966</v>
      </c>
      <c r="B15966" s="2" t="str">
        <f>IFERROR(__xludf.DUMMYFUNCTION("GOOGLETRANSLATE(A15966, ""en"", ""mt"")"),"Kemm netwerks tat-TV differenti huma meqjusa bħala l-imsieħba prinċipali, meta niġu biex ixandru avvenimenti tal-NFL?")</f>
        <v>Kemm netwerks tat-TV differenti huma meqjusa bħala l-imsieħba prinċipali, meta niġu biex ixandru avvenimenti tal-NFL?</v>
      </c>
    </row>
    <row r="15967" ht="15.75" customHeight="1">
      <c r="A15967" s="2" t="s">
        <v>15967</v>
      </c>
      <c r="B15967" s="2" t="str">
        <f>IFERROR(__xludf.DUMMYFUNCTION("GOOGLETRANSLATE(A15967, ""en"", ""mt"")"),"Madwar nofs it-300,000 abitant ta 'Napli")</f>
        <v>Madwar nofs it-300,000 abitant ta 'Napli</v>
      </c>
    </row>
    <row r="15968" ht="15.75" customHeight="1">
      <c r="A15968" s="2" t="s">
        <v>15968</v>
      </c>
      <c r="B15968" s="2" t="str">
        <f>IFERROR(__xludf.DUMMYFUNCTION("GOOGLETRANSLATE(A15968, ""en"", ""mt"")"),"Minn xiex isiru l-plastoglobuli?")</f>
        <v>Minn xiex isiru l-plastoglobuli?</v>
      </c>
    </row>
    <row r="15969" ht="15.75" customHeight="1">
      <c r="A15969" s="2" t="s">
        <v>15969</v>
      </c>
      <c r="B15969" s="2" t="str">
        <f>IFERROR(__xludf.DUMMYFUNCTION("GOOGLETRANSLATE(A15969, ""en"", ""mt"")"),"Minbarra l-uffiċjal kap tal-liġi tal-Iskozja, minn fejn jinġibdu l-biċċa l-kbira tal-ministri?")</f>
        <v>Minbarra l-uffiċjal kap tal-liġi tal-Iskozja, minn fejn jinġibdu l-biċċa l-kbira tal-ministri?</v>
      </c>
    </row>
    <row r="15970" ht="15.75" customHeight="1">
      <c r="A15970" s="2" t="s">
        <v>15970</v>
      </c>
      <c r="B15970" s="2" t="str">
        <f>IFERROR(__xludf.DUMMYFUNCTION("GOOGLETRANSLATE(A15970, ""en"", ""mt"")"),"F'liema pajjiż jista 'jinstab ħafna mill-foresta tropikali tal-Amażonja?")</f>
        <v>F'liema pajjiż jista 'jinstab ħafna mill-foresta tropikali tal-Amażonja?</v>
      </c>
    </row>
    <row r="15971" ht="15.75" customHeight="1">
      <c r="A15971" s="2" t="s">
        <v>15971</v>
      </c>
      <c r="B15971" s="2" t="str">
        <f>IFERROR(__xludf.DUMMYFUNCTION("GOOGLETRANSLATE(A15971, ""en"", ""mt"")"),"Fejn l-ilma lejn il-lvant tal-Baċin tad-Drenaġġ tal-Amażonja ħareġ?")</f>
        <v>Fejn l-ilma lejn il-lvant tal-Baċin tad-Drenaġġ tal-Amażonja ħareġ?</v>
      </c>
    </row>
    <row r="15972" ht="15.75" customHeight="1">
      <c r="A15972" s="2" t="s">
        <v>15972</v>
      </c>
      <c r="B15972" s="2" t="str">
        <f>IFERROR(__xludf.DUMMYFUNCTION("GOOGLETRANSLATE(A15972, ""en"", ""mt"")"),"Liema amministrazzjoni kienet Ludwig Mies van der Rohe designa Buiding?")</f>
        <v>Liema amministrazzjoni kienet Ludwig Mies van der Rohe designa Buiding?</v>
      </c>
    </row>
    <row r="15973" ht="15.75" customHeight="1">
      <c r="A15973" s="2" t="s">
        <v>15973</v>
      </c>
      <c r="B15973" s="2" t="str">
        <f>IFERROR(__xludf.DUMMYFUNCTION("GOOGLETRANSLATE(A15973, ""en"", ""mt"")"),"Min rappurta li ried il-kumpanija ta 'Tesla?")</f>
        <v>Min rappurta li ried il-kumpanija ta 'Tesla?</v>
      </c>
    </row>
    <row r="15974" ht="15.75" customHeight="1">
      <c r="A15974" s="2" t="s">
        <v>15974</v>
      </c>
      <c r="B15974" s="2" t="str">
        <f>IFERROR(__xludf.DUMMYFUNCTION("GOOGLETRANSLATE(A15974, ""en"", ""mt"")"),"X'jikkawża l-ossiġnu biex tifforma fuq il-metalli?")</f>
        <v>X'jikkawża l-ossiġnu biex tifforma fuq il-metalli?</v>
      </c>
    </row>
    <row r="15975" ht="15.75" customHeight="1">
      <c r="A15975" s="2" t="s">
        <v>15975</v>
      </c>
      <c r="B15975" s="2" t="str">
        <f>IFERROR(__xludf.DUMMYFUNCTION("GOOGLETRANSLATE(A15975, ""en"", ""mt"")"),"Wara n-nar ta 'Jacksonville, x'għamel il-gvernatur ta' Florida?")</f>
        <v>Wara n-nar ta 'Jacksonville, x'għamel il-gvernatur ta' Florida?</v>
      </c>
    </row>
    <row r="15976" ht="15.75" customHeight="1">
      <c r="A15976" s="2" t="s">
        <v>15976</v>
      </c>
      <c r="B15976" s="2" t="str">
        <f>IFERROR(__xludf.DUMMYFUNCTION("GOOGLETRANSLATE(A15976, ""en"", ""mt"")"),"aqbad u tiġri fuq uċuħ")</f>
        <v>aqbad u tiġri fuq uċuħ</v>
      </c>
    </row>
    <row r="15977" ht="15.75" customHeight="1">
      <c r="A15977" s="2" t="s">
        <v>15977</v>
      </c>
      <c r="B15977" s="2" t="str">
        <f>IFERROR(__xludf.DUMMYFUNCTION("GOOGLETRANSLATE(A15977, ""en"", ""mt"")"),"Ġeneratur tat-turbo stabbilit bi propulsjoni pprovduta minn muturi elettriċi")</f>
        <v>Ġeneratur tat-turbo stabbilit bi propulsjoni pprovduta minn muturi elettriċi</v>
      </c>
    </row>
    <row r="15978" ht="15.75" customHeight="1">
      <c r="A15978" s="2" t="s">
        <v>15978</v>
      </c>
      <c r="B15978" s="2" t="str">
        <f>IFERROR(__xludf.DUMMYFUNCTION("GOOGLETRANSLATE(A15978, ""en"", ""mt"")"),"individwi")</f>
        <v>individwi</v>
      </c>
    </row>
    <row r="15979" ht="15.75" customHeight="1">
      <c r="A15979" s="2" t="s">
        <v>15979</v>
      </c>
      <c r="B15979" s="2" t="str">
        <f>IFERROR(__xludf.DUMMYFUNCTION("GOOGLETRANSLATE(A15979, ""en"", ""mt"")"),"Te, kafè, sisal, piretru, qamħ, u qamħ")</f>
        <v>Te, kafè, sisal, piretru, qamħ, u qamħ</v>
      </c>
    </row>
    <row r="15980" ht="15.75" customHeight="1">
      <c r="A15980" s="2" t="s">
        <v>15980</v>
      </c>
      <c r="B15980" s="2" t="str">
        <f>IFERROR(__xludf.DUMMYFUNCTION("GOOGLETRANSLATE(A15980, ""en"", ""mt"")"),"24 sena mandat")</f>
        <v>24 sena mandat</v>
      </c>
    </row>
    <row r="15981" ht="15.75" customHeight="1">
      <c r="A15981" s="2" t="s">
        <v>15981</v>
      </c>
      <c r="B15981" s="2" t="str">
        <f>IFERROR(__xludf.DUMMYFUNCTION("GOOGLETRANSLATE(A15981, ""en"", ""mt"")"),"Koordinatur tal-Proġett")</f>
        <v>Koordinatur tal-Proġett</v>
      </c>
    </row>
    <row r="15982" ht="15.75" customHeight="1">
      <c r="A15982" s="2" t="s">
        <v>15982</v>
      </c>
      <c r="B15982" s="2" t="str">
        <f>IFERROR(__xludf.DUMMYFUNCTION("GOOGLETRANSLATE(A15982, ""en"", ""mt"")"),"Qlib tal-pakketti")</f>
        <v>Qlib tal-pakketti</v>
      </c>
    </row>
    <row r="15983" ht="15.75" customHeight="1">
      <c r="A15983" s="2" t="s">
        <v>15983</v>
      </c>
      <c r="B15983" s="2" t="str">
        <f>IFERROR(__xludf.DUMMYFUNCTION("GOOGLETRANSLATE(A15983, ""en"", ""mt"")"),"Liema pożizzjoni kellha Tesla fl-Istitut Amerikan tal-Inġiniera Elettriċi?")</f>
        <v>Liema pożizzjoni kellha Tesla fl-Istitut Amerikan tal-Inġiniera Elettriċi?</v>
      </c>
    </row>
    <row r="15984" ht="15.75" customHeight="1">
      <c r="A15984" s="2" t="s">
        <v>15984</v>
      </c>
      <c r="B15984" s="2" t="str">
        <f>IFERROR(__xludf.DUMMYFUNCTION("GOOGLETRANSLATE(A15984, ""en"", ""mt"")"),"defiċit")</f>
        <v>defiċit</v>
      </c>
    </row>
    <row r="15985" ht="15.75" customHeight="1">
      <c r="A15985" s="2" t="s">
        <v>15985</v>
      </c>
      <c r="B15985" s="2" t="str">
        <f>IFERROR(__xludf.DUMMYFUNCTION("GOOGLETRANSLATE(A15985, ""en"", ""mt"")"),"mutur ta 'trazzjoni DC")</f>
        <v>mutur ta 'trazzjoni DC</v>
      </c>
    </row>
    <row r="15986" ht="15.75" customHeight="1">
      <c r="A15986" s="2" t="s">
        <v>15986</v>
      </c>
      <c r="B15986" s="2" t="str">
        <f>IFERROR(__xludf.DUMMYFUNCTION("GOOGLETRANSLATE(A15986, ""en"", ""mt"")"),"Kif inhi l-klima ħdejn il-ħaxix tas-savanna?")</f>
        <v>Kif inhi l-klima ħdejn il-ħaxix tas-savanna?</v>
      </c>
    </row>
    <row r="15987" ht="15.75" customHeight="1">
      <c r="A15987" s="2" t="s">
        <v>15987</v>
      </c>
      <c r="B15987" s="2" t="str">
        <f>IFERROR(__xludf.DUMMYFUNCTION("GOOGLETRANSLATE(A15987, ""en"", ""mt"")"),"Legrande jikteb li ""l-formulazzjoni ta 'definizzjoni waħda li tiġbor fiha t-terminu hija estremament diffiċli, jekk mhux impossibbli. Meta tirrevedi l-letteratura voluminuża dwar is-suġġett, l-istudent ta' diżubbidjenza ċivili malajr isib ruħu mdawwar mi"&amp;"nn labirint ta 'problemi semantiċi u grammatikali Niceties. Bħal Alice in Wonderland, huwa spiss isib li t-terminoloġija speċifika m'għandhiex aktar (jew xejn inqas) tifsira minn dak li l-orator individwali għandu l-intenzjoni li jkollu. "" Huwa jinkoraġġ"&amp;"ixxi distinzjoni bejn dimostrazzjoni ta 'protesta legali, diżubbidjenza ċivili mhux vjolenti, u diżubbidjenza ċivili vjolenti.")</f>
        <v>Legrande jikteb li "l-formulazzjoni ta 'definizzjoni waħda li tiġbor fiha t-terminu hija estremament diffiċli, jekk mhux impossibbli. Meta tirrevedi l-letteratura voluminuża dwar is-suġġett, l-istudent ta' diżubbidjenza ċivili malajr isib ruħu mdawwar minn labirint ta 'problemi semantiċi u grammatikali Niceties. Bħal Alice in Wonderland, huwa spiss isib li t-terminoloġija speċifika m'għandhiex aktar (jew xejn inqas) tifsira minn dak li l-orator individwali għandu l-intenzjoni li jkollu. " Huwa jinkoraġġixxi distinzjoni bejn dimostrazzjoni ta 'protesta legali, diżubbidjenza ċivili mhux vjolenti, u diżubbidjenza ċivili vjolenti.</v>
      </c>
    </row>
    <row r="15988" ht="15.75" customHeight="1">
      <c r="A15988" s="2" t="s">
        <v>15988</v>
      </c>
      <c r="B15988" s="2" t="str">
        <f>IFERROR(__xludf.DUMMYFUNCTION("GOOGLETRANSLATE(A15988, ""en"", ""mt"")"),"ġew stabbiliti bosta pedamenti minn diversi riċerkaturi")</f>
        <v>ġew stabbiliti bosta pedamenti minn diversi riċerkaturi</v>
      </c>
    </row>
    <row r="15989" ht="15.75" customHeight="1">
      <c r="A15989" s="2" t="s">
        <v>15989</v>
      </c>
      <c r="B15989" s="2" t="str">
        <f>IFERROR(__xludf.DUMMYFUNCTION("GOOGLETRANSLATE(A15989, ""en"", ""mt"")"),"X'inhu l-isem għal rispons tas-sistema immunitarja li tagħmel ħsara lit-tessuti indiġeni tal-ġisem?")</f>
        <v>X'inhu l-isem għal rispons tas-sistema immunitarja li tagħmel ħsara lit-tessuti indiġeni tal-ġisem?</v>
      </c>
    </row>
    <row r="15990" ht="15.75" customHeight="1">
      <c r="A15990" s="2" t="s">
        <v>15990</v>
      </c>
      <c r="B15990" s="2" t="str">
        <f>IFERROR(__xludf.DUMMYFUNCTION("GOOGLETRANSLATE(A15990, ""en"", ""mt"")"),"X'inhu importanti daqs l-identifikazzjoni tas-sintomi tal-pesta?")</f>
        <v>X'inhu importanti daqs l-identifikazzjoni tas-sintomi tal-pesta?</v>
      </c>
    </row>
    <row r="15991" ht="15.75" customHeight="1">
      <c r="A15991" s="2" t="s">
        <v>15991</v>
      </c>
      <c r="B15991" s="2" t="str">
        <f>IFERROR(__xludf.DUMMYFUNCTION("GOOGLETRANSLATE(A15991, ""en"", ""mt"")"),"awtomatikament devolut")</f>
        <v>awtomatikament devolut</v>
      </c>
    </row>
    <row r="15992" ht="15.75" customHeight="1">
      <c r="A15992" s="2" t="s">
        <v>15992</v>
      </c>
      <c r="B15992" s="2" t="str">
        <f>IFERROR(__xludf.DUMMYFUNCTION("GOOGLETRANSLATE(A15992, ""en"", ""mt"")"),"Il-programmi akkademiċi ta 'Harvard joperaw fuq kalendarju tas-semestru li jibda fil-bidu ta' Settembru u jispiċċa f'nofs Mejju. L-universitarji tipikament jieħdu erba 'nofs korsijiet għal kull terminu u għandhom iżommu medja ta' erba 'korsijiet biex titq"&amp;"ies full-time. F’ħafna konċentrazzjonijiet, l-istudenti jistgħu jagħżlu li jsegwu programm bażiku jew programm eliġibbli għall-unuri li jeħtieġ teżi anzjana u / jew xogħol ta ’kors avvanzat. Studenti li jiggradwaw fl-aqwa 4-5% tal-klassi jingħataw gradi s"&amp;"umma cum laude, studenti fil-15% li ġejjin tal-klassi jingħataw Magna Cum Laude, u t-30% li jmiss tal-klassi jingħataw cum laude. Harvard għandu kapitoli ta 'soċjetajiet ta' unur akkademiku bħal Phi Beta Kappa u kumitati u dipartimenti varji wkoll jagħtu "&amp;"wkoll bosta mijiet ta 'premjijiet imsemmija kull sena. Harvard, flimkien ma 'universitajiet oħra, ġie akkużat b'inflazzjoni ta' grad, għalkemm hemm evidenza li l-kwalità tal-korp tal-istudenti u l-motivazzjoni tiegħu żdiedet ukoll. Il-Kulleġġ ta 'Harvard "&amp;"naqqas in-numru ta' studenti li jirċievu unuri Latini minn 90% fl-2004 għal 60% fl-2005. Barra minn hekk, l-unuri ta '""John Harvard Scholar"" u ""Harvard College Scholar"" issa se jingħataw biss lill-aqwa 5 fil-mija u 5 fil-mija li jmiss ta 'kull klassi.")</f>
        <v>Il-programmi akkademiċi ta 'Harvard joperaw fuq kalendarju tas-semestru li jibda fil-bidu ta' Settembru u jispiċċa f'nofs Mejju. L-universitarji tipikament jieħdu erba 'nofs korsijiet għal kull terminu u għandhom iżommu medja ta' erba 'korsijiet biex titqies full-time. F’ħafna konċentrazzjonijiet, l-istudenti jistgħu jagħżlu li jsegwu programm bażiku jew programm eliġibbli għall-unuri li jeħtieġ teżi anzjana u / jew xogħol ta ’kors avvanzat. Studenti li jiggradwaw fl-aqwa 4-5% tal-klassi jingħataw gradi summa cum laude, studenti fil-15% li ġejjin tal-klassi jingħataw Magna Cum Laude, u t-30% li jmiss tal-klassi jingħataw cum laude. Harvard għandu kapitoli ta 'soċjetajiet ta' unur akkademiku bħal Phi Beta Kappa u kumitati u dipartimenti varji wkoll jagħtu wkoll bosta mijiet ta 'premjijiet imsemmija kull sena. Harvard, flimkien ma 'universitajiet oħra, ġie akkużat b'inflazzjoni ta' grad, għalkemm hemm evidenza li l-kwalità tal-korp tal-istudenti u l-motivazzjoni tiegħu żdiedet ukoll. Il-Kulleġġ ta 'Harvard naqqas in-numru ta' studenti li jirċievu unuri Latini minn 90% fl-2004 għal 60% fl-2005. Barra minn hekk, l-unuri ta '"John Harvard Scholar" u "Harvard College Scholar" issa se jingħataw biss lill-aqwa 5 fil-mija u 5 fil-mija li jmiss ta 'kull klassi.</v>
      </c>
    </row>
    <row r="15993" ht="15.75" customHeight="1">
      <c r="A15993" s="2" t="s">
        <v>15993</v>
      </c>
      <c r="B15993" s="2" t="str">
        <f>IFERROR(__xludf.DUMMYFUNCTION("GOOGLETRANSLATE(A15993, ""en"", ""mt"")"),"Il-livelli ta 'ossiġnu atmosferiku qed jitilgħu,' l isfel, jew joqogħdu l-istess?")</f>
        <v>Il-livelli ta 'ossiġnu atmosferiku qed jitilgħu,' l isfel, jew joqogħdu l-istess?</v>
      </c>
    </row>
    <row r="15994" ht="15.75" customHeight="1">
      <c r="A15994" s="2" t="s">
        <v>15994</v>
      </c>
      <c r="B15994" s="2" t="str">
        <f>IFERROR(__xludf.DUMMYFUNCTION("GOOGLETRANSLATE(A15994, ""en"", ""mt"")"),"Kotba, films, radju, TV, mużika, teatru live, komiks u logħob tal-kompjuter")</f>
        <v>Kotba, films, radju, TV, mużika, teatru live, komiks u logħob tal-kompjuter</v>
      </c>
    </row>
    <row r="15995" ht="15.75" customHeight="1">
      <c r="A15995" s="2" t="s">
        <v>15995</v>
      </c>
      <c r="B15995" s="2" t="str">
        <f>IFERROR(__xludf.DUMMYFUNCTION("GOOGLETRANSLATE(A15995, ""en"", ""mt"")"),"ħmistax")</f>
        <v>ħmistax</v>
      </c>
    </row>
    <row r="15996" ht="15.75" customHeight="1">
      <c r="A15996" s="2" t="s">
        <v>15996</v>
      </c>
      <c r="B15996" s="2" t="str">
        <f>IFERROR(__xludf.DUMMYFUNCTION("GOOGLETRANSLATE(A15996, ""en"", ""mt"")"),"Varsavja tinsab fil-Polonja ċentrali tal-lvant madwar 300 km (190 mi) mill-Muntanji tal-Karpazji u madwar 260 km (160 mi) mill-Baħar Baltiku, 523 km (325 mi) fil-lvant ta 'Berlin, il-Ġermanja. Il-belt tmur ix-xmara Vistula. Hija tinsab fil-qalba tal-pjanu"&amp;"ra Masovjana, u l-elevazzjoni medja tagħha hija ta '100 metru (330 ft)' il fuq mil-livell tal-baħar. L-ogħla punt fuq in-naħa tax-xellug tal-belt jinsab f'għoli ta '115.7 metri (379.6 ft) (""Redutowa"" Bus Depot, Distrett ta' Wola), fuq in-naħa tal-lemin "&amp;"- 122.1 metri (400.6 ft) (proprjetà ""Groszówka"", Distrett ta 'Wesoła, mill-fruntiera tal-Lvant). L-iktar punt baxx jinsab f'għoli ta '75.6 metri (248.0 ft) (fix-xatt tal-lemin tal-Vistula, mill-fruntiera tal-Lvant ta' Varsavja). Hemm xi għoljiet (l-akta"&amp;"r artifiċjali) li jinsabu fil-konfini tal-belt - p.e. Varsavja Rebbiegħa Hill (121 metru (397.0 ft)), Szczęśliwice Hill (138 metru (452.8 ft) - l-ogħla punt ta ’Varsavja b’mod ġenerali).")</f>
        <v>Varsavja tinsab fil-Polonja ċentrali tal-lvant madwar 300 km (190 mi) mill-Muntanji tal-Karpazji u madwar 260 km (160 mi) mill-Baħar Baltiku, 523 km (325 mi) fil-lvant ta 'Berlin, il-Ġermanja. Il-belt tmur ix-xmara Vistula. Hija tinsab fil-qalba tal-pjanura Masovjana, u l-elevazzjoni medja tagħha hija ta '100 metru (330 ft)' il fuq mil-livell tal-baħar. L-ogħla punt fuq in-naħa tax-xellug tal-belt jinsab f'għoli ta '115.7 metri (379.6 ft) ("Redutowa" Bus Depot, Distrett ta' Wola), fuq in-naħa tal-lemin - 122.1 metri (400.6 ft) (proprjetà "Groszówka", Distrett ta 'Wesoła, mill-fruntiera tal-Lvant). L-iktar punt baxx jinsab f'għoli ta '75.6 metri (248.0 ft) (fix-xatt tal-lemin tal-Vistula, mill-fruntiera tal-Lvant ta' Varsavja). Hemm xi għoljiet (l-aktar artifiċjali) li jinsabu fil-konfini tal-belt - p.e. Varsavja Rebbiegħa Hill (121 metru (397.0 ft)), Szczęśliwice Hill (138 metru (452.8 ft) - l-ogħla punt ta ’Varsavja b’mod ġenerali).</v>
      </c>
    </row>
    <row r="15997" ht="15.75" customHeight="1">
      <c r="A15997" s="2" t="s">
        <v>15997</v>
      </c>
      <c r="B15997" s="2" t="str">
        <f>IFERROR(__xludf.DUMMYFUNCTION("GOOGLETRANSLATE(A15997, ""en"", ""mt"")"),"X'xogħol kellu missier Tesla fil-Gospika?")</f>
        <v>X'xogħol kellu missier Tesla fil-Gospika?</v>
      </c>
    </row>
    <row r="15998" ht="15.75" customHeight="1">
      <c r="A15998" s="2" t="s">
        <v>15998</v>
      </c>
      <c r="B15998" s="2" t="str">
        <f>IFERROR(__xludf.DUMMYFUNCTION("GOOGLETRANSLATE(A15998, ""en"", ""mt"")"),"L-Uffiċċju taċ-Ċensiment tal-Istati Uniti")</f>
        <v>L-Uffiċċju taċ-Ċensiment tal-Istati Uniti</v>
      </c>
    </row>
    <row r="15999" ht="15.75" customHeight="1">
      <c r="A15999" s="2" t="s">
        <v>15999</v>
      </c>
      <c r="B15999" s="2" t="str">
        <f>IFERROR(__xludf.DUMMYFUNCTION("GOOGLETRANSLATE(A15999, ""en"", ""mt"")"),"Imfakkar u mibdul minn Jeffery Amherst, Victor fi Louisbourg.")</f>
        <v>Imfakkar u mibdul minn Jeffery Amherst, Victor fi Louisbourg.</v>
      </c>
    </row>
    <row r="16000" ht="15.75" customHeight="1">
      <c r="A16000" s="2" t="s">
        <v>16000</v>
      </c>
      <c r="B16000" s="2" t="str">
        <f>IFERROR(__xludf.DUMMYFUNCTION("GOOGLETRANSLATE(A16000, ""en"", ""mt"")"),"Min għeleb lil Denver fil-logħba tal-kampjonat AFC 2015?")</f>
        <v>Min għeleb lil Denver fil-logħba tal-kampjonat AFC 2015?</v>
      </c>
    </row>
    <row r="16001" ht="15.75" customHeight="1">
      <c r="A16001" s="2" t="s">
        <v>16001</v>
      </c>
      <c r="B16001" s="2" t="str">
        <f>IFERROR(__xludf.DUMMYFUNCTION("GOOGLETRANSLATE(A16001, ""en"", ""mt"")"),"Għaliex il-librerija pubblika hija magħrufa bħala università tan-nies?")</f>
        <v>Għaliex il-librerija pubblika hija magħrufa bħala università tan-nies?</v>
      </c>
    </row>
    <row r="16002" ht="15.75" customHeight="1">
      <c r="A16002" s="2" t="s">
        <v>16002</v>
      </c>
      <c r="B16002" s="2" t="str">
        <f>IFERROR(__xludf.DUMMYFUNCTION("GOOGLETRANSLATE(A16002, ""en"", ""mt"")"),"Oxxillaturi / ġeneraturi mekkaniċi, tubi ta 'kwittanza elettrika, u immaġni tar-raġġi X bikrija")</f>
        <v>Oxxillaturi / ġeneraturi mekkaniċi, tubi ta 'kwittanza elettrika, u immaġni tar-raġġi X bikrija</v>
      </c>
    </row>
    <row r="16003" ht="15.75" customHeight="1">
      <c r="A16003" s="2" t="s">
        <v>16003</v>
      </c>
      <c r="B16003" s="2" t="str">
        <f>IFERROR(__xludf.DUMMYFUNCTION("GOOGLETRANSLATE(A16003, ""en"", ""mt"")"),"Xi jfisser l-akronimu CSM?")</f>
        <v>Xi jfisser l-akronimu CSM?</v>
      </c>
    </row>
    <row r="16004" ht="15.75" customHeight="1">
      <c r="A16004" s="2" t="s">
        <v>16004</v>
      </c>
      <c r="B16004" s="2" t="str">
        <f>IFERROR(__xludf.DUMMYFUNCTION("GOOGLETRANSLATE(A16004, ""en"", ""mt"")"),"Personalità ġdida")</f>
        <v>Personalità ġdida</v>
      </c>
    </row>
    <row r="16005" ht="15.75" customHeight="1">
      <c r="A16005" s="2" t="s">
        <v>16005</v>
      </c>
      <c r="B16005" s="2" t="str">
        <f>IFERROR(__xludf.DUMMYFUNCTION("GOOGLETRANSLATE(A16005, ""en"", ""mt"")"),"Knisja Metodista sabiħa tal-Lane,")</f>
        <v>Knisja Metodista sabiħa tal-Lane,</v>
      </c>
    </row>
    <row r="16006" ht="15.75" customHeight="1">
      <c r="A16006" s="2" t="s">
        <v>16006</v>
      </c>
      <c r="B16006" s="2" t="str">
        <f>IFERROR(__xludf.DUMMYFUNCTION("GOOGLETRANSLATE(A16006, ""en"", ""mt"")"),"Liema festival iseħħ f'April fi Newcastle?")</f>
        <v>Liema festival iseħħ f'April fi Newcastle?</v>
      </c>
    </row>
    <row r="16007" ht="15.75" customHeight="1">
      <c r="A16007" s="2" t="s">
        <v>16007</v>
      </c>
      <c r="B16007" s="2" t="str">
        <f>IFERROR(__xludf.DUMMYFUNCTION("GOOGLETRANSLATE(A16007, ""en"", ""mt"")"),"L-embargo ma kienx uniformi madwar l-Ewropa. Mid-disa 'membri tal-Komunità Ekonomika Ewropea (KEE), l-Olanda ffaċċjaw embargo komplet, ir-Renju Unit u Franza rċevew provvisti kważi bla interruzzjoni (wara li rrifjutaw li jippermettu lill-Amerika tuża l-mi"&amp;"tjar tal-ajru u l-armi u l-provvisti embargoed tagħhom kemm lill-Għarab kif ukoll lill-Iżraeljani ), filwaqt li s-sitta l-oħra ffaċċjaw cutbacks parzjali. Ir-Renju Unit kien tradizzjonalment alleat tal-Iżrael, u l-gvern ta 'Harold Wilson appoġġa lill-Iżra"&amp;"eljani matul il-gwerra ta' sitt ijiem. Is-suċċessur tiegħu, Ted Heath, qaleb din il-politika fl-1970, u talab lill-Iżrael biex jirtira għall-fruntieri tiegħu qabel l-1967.")</f>
        <v>L-embargo ma kienx uniformi madwar l-Ewropa. Mid-disa 'membri tal-Komunità Ekonomika Ewropea (KEE), l-Olanda ffaċċjaw embargo komplet, ir-Renju Unit u Franza rċevew provvisti kważi bla interruzzjoni (wara li rrifjutaw li jippermettu lill-Amerika tuża l-mitjar tal-ajru u l-armi u l-provvisti embargoed tagħhom kemm lill-Għarab kif ukoll lill-Iżraeljani ), filwaqt li s-sitta l-oħra ffaċċjaw cutbacks parzjali. Ir-Renju Unit kien tradizzjonalment alleat tal-Iżrael, u l-gvern ta 'Harold Wilson appoġġa lill-Iżraeljani matul il-gwerra ta' sitt ijiem. Is-suċċessur tiegħu, Ted Heath, qaleb din il-politika fl-1970, u talab lill-Iżrael biex jirtira għall-fruntieri tiegħu qabel l-1967.</v>
      </c>
    </row>
    <row r="16008" ht="15.75" customHeight="1">
      <c r="A16008" s="2" t="s">
        <v>16008</v>
      </c>
      <c r="B16008" s="2" t="str">
        <f>IFERROR(__xludf.DUMMYFUNCTION("GOOGLETRANSLATE(A16008, ""en"", ""mt"")"),"Highlands fertili")</f>
        <v>Highlands fertili</v>
      </c>
    </row>
    <row r="16009" ht="15.75" customHeight="1">
      <c r="A16009" s="2" t="s">
        <v>16009</v>
      </c>
      <c r="B16009" s="2" t="str">
        <f>IFERROR(__xludf.DUMMYFUNCTION("GOOGLETRANSLATE(A16009, ""en"", ""mt"")"),"X'tip ta 'teknoloġija li tibgħat qed tintuża biex tipproteġi l-artijiet tribali fl-Amażonja?")</f>
        <v>X'tip ta 'teknoloġija li tibgħat qed tintuża biex tipproteġi l-artijiet tribali fl-Amażonja?</v>
      </c>
    </row>
    <row r="16010" ht="15.75" customHeight="1">
      <c r="A16010" s="2" t="s">
        <v>16010</v>
      </c>
      <c r="B16010" s="2" t="str">
        <f>IFERROR(__xludf.DUMMYFUNCTION("GOOGLETRANSLATE(A16010, ""en"", ""mt"")"),"−11.7 ° C.")</f>
        <v>−11.7 ° C.</v>
      </c>
    </row>
    <row r="16011" ht="15.75" customHeight="1">
      <c r="A16011" s="2" t="s">
        <v>16011</v>
      </c>
      <c r="B16011" s="2" t="str">
        <f>IFERROR(__xludf.DUMMYFUNCTION("GOOGLETRANSLATE(A16011, ""en"", ""mt"")"),"effett")</f>
        <v>effett</v>
      </c>
    </row>
    <row r="16012" ht="15.75" customHeight="1">
      <c r="A16012" s="2" t="s">
        <v>16012</v>
      </c>
      <c r="B16012" s="2" t="str">
        <f>IFERROR(__xludf.DUMMYFUNCTION("GOOGLETRANSLATE(A16012, ""en"", ""mt"")"),"sitwazzjoni finanzjarja diżastruża.")</f>
        <v>sitwazzjoni finanzjarja diżastruża.</v>
      </c>
    </row>
    <row r="16013" ht="15.75" customHeight="1">
      <c r="A16013" s="2" t="s">
        <v>16013</v>
      </c>
      <c r="B16013" s="2" t="str">
        <f>IFERROR(__xludf.DUMMYFUNCTION("GOOGLETRANSLATE(A16013, ""en"", ""mt"")"),"l-istat")</f>
        <v>l-istat</v>
      </c>
    </row>
    <row r="16014" ht="15.75" customHeight="1">
      <c r="A16014" s="2" t="s">
        <v>16014</v>
      </c>
      <c r="B16014" s="2" t="str">
        <f>IFERROR(__xludf.DUMMYFUNCTION("GOOGLETRANSLATE(A16014, ""en"", ""mt"")"),"Problemi ta 'deċiżjoni huma wieħed mill-oġġetti ċentrali ta' studju fit-teorija tal-kumplessità tal-komputazzjoni. Problema ta 'deċiżjoni hija tip speċjali ta' problema tal-komputazzjoni li t-tweġiba tagħha hija jew iva jew le, jew alternattivament jew 1 "&amp;"jew 0. Problema ta 'deċiżjoni tista' titqies bħala lingwa formali, fejn il-membri tal-lingwa huma każijiet li l-produzzjoni tagħhom hija iva, u Il-membri mhux huma dawk il-każijiet li l-produzzjoni tagħhom hija le. L-għan huwa li tiddeċiedi, bl-għajnuna t"&amp;"a 'algoritmu, jekk korda ta' input partikolari hijiex membru tal-lingwa formali li qed tiġi kkunsidrata. Jekk l-algoritmu jiddeċiedi din il-problema jirritorna t-tweġiba iva, l-algoritmu jingħad li jaċċetta l-korda tal-input, inkella jingħad li jirrifjuta"&amp;" l-input.")</f>
        <v>Problemi ta 'deċiżjoni huma wieħed mill-oġġetti ċentrali ta' studju fit-teorija tal-kumplessità tal-komputazzjoni. Problema ta 'deċiżjoni hija tip speċjali ta' problema tal-komputazzjoni li t-tweġiba tagħha hija jew iva jew le, jew alternattivament jew 1 jew 0. Problema ta 'deċiżjoni tista' titqies bħala lingwa formali, fejn il-membri tal-lingwa huma każijiet li l-produzzjoni tagħhom hija iva, u Il-membri mhux huma dawk il-każijiet li l-produzzjoni tagħhom hija le. L-għan huwa li tiddeċiedi, bl-għajnuna ta 'algoritmu, jekk korda ta' input partikolari hijiex membru tal-lingwa formali li qed tiġi kkunsidrata. Jekk l-algoritmu jiddeċiedi din il-problema jirritorna t-tweġiba iva, l-algoritmu jingħad li jaċċetta l-korda tal-input, inkella jingħad li jirrifjuta l-input.</v>
      </c>
    </row>
    <row r="16015" ht="15.75" customHeight="1">
      <c r="A16015" s="2" t="s">
        <v>16015</v>
      </c>
      <c r="B16015" s="2" t="str">
        <f>IFERROR(__xludf.DUMMYFUNCTION("GOOGLETRANSLATE(A16015, ""en"", ""mt"")"),"CBS stabbilixxa r-rata bażi għal reklam ta '30 sekonda għal $ 5,000,000, prezz rekord għoli għal Super Bowl AD. Mis-26 ta 'Jannar, ir-reklami għadhom ma nbiegħux. CBS mandat li r-reklamaturi kollha jixtru pakkett li jkopri kemm ix-xandiriet tat-televiżjon"&amp;"i kif ukoll fuq il-logħba, li jfisser li għall-ewwel darba, flussi diġitali tal-logħba jġorru r-reklamar nazzjonali kollha bil-mudell max-xandira tat-televiżjoni. Din tkun l-aħħar sena f'kuntratt ta 'bosta snin ma' Anheuser-Busch InBEV li ppermettiet lill"&amp;"-manifattur tal-birra jixxandar reklami multipli matul il-logħba bi skont qawwi. Kienet ukoll l-aħħar sena li Doritos, sponsor ta 'żmien twil tal-logħba, żamm il-konkors tiegħu ""Crash the Super Bowl"" li ppermetta lit-telespettaturi joħolqu r-reklami Dor"&amp;"itos tagħhom stess għal ċans li jixxandru waqt il-logħba. Nintendo u l-Kumpanija Pokémon għamlu wkoll id-debutt tagħhom tas-Super Bowl, u ppromwovi l-20 anniversarju tal-video game Pokémon u l-franchise tal-midja.")</f>
        <v>CBS stabbilixxa r-rata bażi għal reklam ta '30 sekonda għal $ 5,000,000, prezz rekord għoli għal Super Bowl AD. Mis-26 ta 'Jannar, ir-reklami għadhom ma nbiegħux. CBS mandat li r-reklamaturi kollha jixtru pakkett li jkopri kemm ix-xandiriet tat-televiżjoni kif ukoll fuq il-logħba, li jfisser li għall-ewwel darba, flussi diġitali tal-logħba jġorru r-reklamar nazzjonali kollha bil-mudell max-xandira tat-televiżjoni. Din tkun l-aħħar sena f'kuntratt ta 'bosta snin ma' Anheuser-Busch InBEV li ppermettiet lill-manifattur tal-birra jixxandar reklami multipli matul il-logħba bi skont qawwi. Kienet ukoll l-aħħar sena li Doritos, sponsor ta 'żmien twil tal-logħba, żamm il-konkors tiegħu "Crash the Super Bowl" li ppermetta lit-telespettaturi joħolqu r-reklami Doritos tagħhom stess għal ċans li jixxandru waqt il-logħba. Nintendo u l-Kumpanija Pokémon għamlu wkoll id-debutt tagħhom tas-Super Bowl, u ppromwovi l-20 anniversarju tal-video game Pokémon u l-franchise tal-midja.</v>
      </c>
    </row>
    <row r="16016" ht="15.75" customHeight="1">
      <c r="A16016" s="2" t="s">
        <v>16016</v>
      </c>
      <c r="B16016" s="2" t="str">
        <f>IFERROR(__xludf.DUMMYFUNCTION("GOOGLETRANSLATE(A16016, ""en"", ""mt"")"),"annimali u bnedmin iwettqu diversi azzjonijiet")</f>
        <v>annimali u bnedmin iwettqu diversi azzjonijiet</v>
      </c>
    </row>
    <row r="16017" ht="15.75" customHeight="1">
      <c r="A16017" s="2" t="s">
        <v>16017</v>
      </c>
      <c r="B16017" s="2" t="str">
        <f>IFERROR(__xludf.DUMMYFUNCTION("GOOGLETRANSLATE(A16017, ""en"", ""mt"")"),"It-Trattat tal-1997 ta ’Amsterdam")</f>
        <v>It-Trattat tal-1997 ta ’Amsterdam</v>
      </c>
    </row>
    <row r="16018" ht="15.75" customHeight="1">
      <c r="A16018" s="2" t="s">
        <v>16018</v>
      </c>
      <c r="B16018" s="2" t="str">
        <f>IFERROR(__xludf.DUMMYFUNCTION("GOOGLETRANSLATE(A16018, ""en"", ""mt"")"),"X'tip ta 'kumitat ikkunsidra leġislazzjoni dwar l-iżvilupp tan-netwerk tat-tram f'Edinburgu?")</f>
        <v>X'tip ta 'kumitat ikkunsidra leġislazzjoni dwar l-iżvilupp tan-netwerk tat-tram f'Edinburgu?</v>
      </c>
    </row>
    <row r="16019" ht="15.75" customHeight="1">
      <c r="A16019" s="2" t="s">
        <v>16019</v>
      </c>
      <c r="B16019" s="2" t="str">
        <f>IFERROR(__xludf.DUMMYFUNCTION("GOOGLETRANSLATE(A16019, ""en"", ""mt"")"),"Il-kisba tal-kontroll tal-kriminalità")</f>
        <v>Il-kisba tal-kontroll tal-kriminalità</v>
      </c>
    </row>
    <row r="16020" ht="15.75" customHeight="1">
      <c r="A16020" s="2" t="s">
        <v>16020</v>
      </c>
      <c r="B16020" s="2" t="str">
        <f>IFERROR(__xludf.DUMMYFUNCTION("GOOGLETRANSLATE(A16020, ""en"", ""mt"")"),"Il-weekend li għadda ta 'Settembru")</f>
        <v>Il-weekend li għadda ta 'Settembru</v>
      </c>
    </row>
    <row r="16021" ht="15.75" customHeight="1">
      <c r="A16021" s="2" t="s">
        <v>16021</v>
      </c>
      <c r="B16021" s="2" t="str">
        <f>IFERROR(__xludf.DUMMYFUNCTION("GOOGLETRANSLATE(A16021, ""en"", ""mt"")"),"Kemm unitajiet akkademiċi jiffurmaw l-iskola?")</f>
        <v>Kemm unitajiet akkademiċi jiffurmaw l-iskola?</v>
      </c>
    </row>
    <row r="16022" ht="15.75" customHeight="1">
      <c r="A16022" s="2" t="s">
        <v>16022</v>
      </c>
      <c r="B16022" s="2" t="str">
        <f>IFERROR(__xludf.DUMMYFUNCTION("GOOGLETRANSLATE(A16022, ""en"", ""mt"")"),"Il-korp akkademiku tal-università huwa magħmul minn kemm diviżjonijiet tal-gradwati?")</f>
        <v>Il-korp akkademiku tal-università huwa magħmul minn kemm diviżjonijiet tal-gradwati?</v>
      </c>
    </row>
    <row r="16023" ht="15.75" customHeight="1">
      <c r="A16023" s="2" t="s">
        <v>16023</v>
      </c>
      <c r="B16023" s="2" t="str">
        <f>IFERROR(__xludf.DUMMYFUNCTION("GOOGLETRANSLATE(A16023, ""en"", ""mt"")"),"sapun sponża")</f>
        <v>sapun sponża</v>
      </c>
    </row>
    <row r="16024" ht="15.75" customHeight="1">
      <c r="A16024" s="2" t="s">
        <v>16024</v>
      </c>
      <c r="B16024" s="2" t="str">
        <f>IFERROR(__xludf.DUMMYFUNCTION("GOOGLETRANSLATE(A16024, ""en"", ""mt"")"),"iżgħar mit-tort")</f>
        <v>iżgħar mit-tort</v>
      </c>
    </row>
    <row r="16025" ht="15.75" customHeight="1">
      <c r="A16025" s="2" t="s">
        <v>16025</v>
      </c>
      <c r="B16025" s="2" t="str">
        <f>IFERROR(__xludf.DUMMYFUNCTION("GOOGLETRANSLATE(A16025, ""en"", ""mt"")"),"1.7 miljun")</f>
        <v>1.7 miljun</v>
      </c>
    </row>
    <row r="16026" ht="15.75" customHeight="1">
      <c r="A16026" s="2" t="s">
        <v>16026</v>
      </c>
      <c r="B16026" s="2" t="str">
        <f>IFERROR(__xludf.DUMMYFUNCTION("GOOGLETRANSLATE(A16026, ""en"", ""mt"")"),"Grafika arbitrarja")</f>
        <v>Grafika arbitrarja</v>
      </c>
    </row>
    <row r="16027" ht="15.75" customHeight="1">
      <c r="A16027" s="2" t="s">
        <v>16027</v>
      </c>
      <c r="B16027" s="2" t="str">
        <f>IFERROR(__xludf.DUMMYFUNCTION("GOOGLETRANSLATE(A16027, ""en"", ""mt"")"),"qalulhom biex jitilqu")</f>
        <v>qalulhom biex jitilqu</v>
      </c>
    </row>
    <row r="16028" ht="15.75" customHeight="1">
      <c r="A16028" s="2" t="s">
        <v>16028</v>
      </c>
      <c r="B16028" s="2" t="str">
        <f>IFERROR(__xludf.DUMMYFUNCTION("GOOGLETRANSLATE(A16028, ""en"", ""mt"")"),"Meta nħolqot l-ewwel darba l-aħbarijiet 20/20?")</f>
        <v>Meta nħolqot l-ewwel darba l-aħbarijiet 20/20?</v>
      </c>
    </row>
    <row r="16029" ht="15.75" customHeight="1">
      <c r="A16029" s="2" t="s">
        <v>16029</v>
      </c>
      <c r="B16029" s="2" t="str">
        <f>IFERROR(__xludf.DUMMYFUNCTION("GOOGLETRANSLATE(A16029, ""en"", ""mt"")"),"X’biża ’Luther li ġġiegħlu jevita ż-żwieġ?")</f>
        <v>X’biża ’Luther li ġġiegħlu jevita ż-żwieġ?</v>
      </c>
    </row>
    <row r="16030" ht="15.75" customHeight="1">
      <c r="A16030" s="2" t="s">
        <v>16030</v>
      </c>
      <c r="B16030" s="2" t="str">
        <f>IFERROR(__xludf.DUMMYFUNCTION("GOOGLETRANSLATE(A16030, ""en"", ""mt"")"),"F'liema sena saru l-ewwel esperimenti magħrufa dwar il-kombustjoni u l-arja?")</f>
        <v>F'liema sena saru l-ewwel esperimenti magħrufa dwar il-kombustjoni u l-arja?</v>
      </c>
    </row>
    <row r="16031" ht="15.75" customHeight="1">
      <c r="A16031" s="2" t="s">
        <v>16031</v>
      </c>
      <c r="B16031" s="2" t="str">
        <f>IFERROR(__xludf.DUMMYFUNCTION("GOOGLETRANSLATE(A16031, ""en"", ""mt"")"),"X'titlu jaqsmu kemm it-tabib min kif ukoll il-kaptan?")</f>
        <v>X'titlu jaqsmu kemm it-tabib min kif ukoll il-kaptan?</v>
      </c>
    </row>
    <row r="16032" ht="15.75" customHeight="1">
      <c r="A16032" s="2" t="s">
        <v>16032</v>
      </c>
      <c r="B16032" s="2" t="str">
        <f>IFERROR(__xludf.DUMMYFUNCTION("GOOGLETRANSLATE(A16032, ""en"", ""mt"")"),"Buddiżmu, speċjalment il-varjanti tat-Tibet")</f>
        <v>Buddiżmu, speċjalment il-varjanti tat-Tibet</v>
      </c>
    </row>
    <row r="16033" ht="15.75" customHeight="1">
      <c r="A16033" s="2" t="s">
        <v>16033</v>
      </c>
      <c r="B16033" s="2" t="str">
        <f>IFERROR(__xludf.DUMMYFUNCTION("GOOGLETRANSLATE(A16033, ""en"", ""mt"")"),"X'inhu l-isem tal-pont li jingħaqad ma 'partijiet tal-kampus tax-xmara Charles?")</f>
        <v>X'inhu l-isem tal-pont li jingħaqad ma 'partijiet tal-kampus tax-xmara Charles?</v>
      </c>
    </row>
    <row r="16034" ht="15.75" customHeight="1">
      <c r="A16034" s="2" t="s">
        <v>16034</v>
      </c>
      <c r="B16034" s="2" t="str">
        <f>IFERROR(__xludf.DUMMYFUNCTION("GOOGLETRANSLATE(A16034, ""en"", ""mt"")"),"Diviżjoni tal-Prova")</f>
        <v>Diviżjoni tal-Prova</v>
      </c>
    </row>
    <row r="16035" ht="15.75" customHeight="1">
      <c r="A16035" s="2" t="s">
        <v>16035</v>
      </c>
      <c r="B16035" s="2" t="str">
        <f>IFERROR(__xludf.DUMMYFUNCTION("GOOGLETRANSLATE(A16035, ""en"", ""mt"")"),"Konfigurazzjoni tipika hija li tmexxi IP fuq ATM jew verżjoni ta 'MPLS")</f>
        <v>Konfigurazzjoni tipika hija li tmexxi IP fuq ATM jew verżjoni ta 'MPLS</v>
      </c>
    </row>
    <row r="16036" ht="15.75" customHeight="1">
      <c r="A16036" s="2" t="s">
        <v>16036</v>
      </c>
      <c r="B16036" s="2" t="str">
        <f>IFERROR(__xludf.DUMMYFUNCTION("GOOGLETRANSLATE(A16036, ""en"", ""mt"")"),"Matul is-snin 1960, ABC kompla fl-istess triq li bdiet tieħu f'nofs is-snin 1950, billi kkonsolida n-netwerk bħala parti mill-isforz tagħha biex tikseb lealtà mill-pubbliku. Il-finanzi tan-netwerk tjiebu u ppermettewha tinvesti fi proprjetajiet u programm"&amp;"azzjoni oħra. F'Mejju 1960, ABC xtrat Chicago Radio Station WLS, li kienet qasmet il-ħin tal-arja ma 'WENR mill-1920. Dan l-akkwist ippermetta lil ABC biex tikkonsolida l-preżenza tagħha fis-suq. Fid-9 ta 'Mejju, 1960, WLS nediet lineup ġdid li jikkonsist"&amp;"i fi programmazzjoni tar-radju ABC. Fl-1960, l-intraprenditur Kanadiż John Bassett, li kien qed jipprova jistabbilixxi stazzjon tat-televiżjoni f'Toronto, fittex l-għajnuna ta 'ABC biex tniedi l-istazzjon. Leonard Goldenson aċċetta li jakkwista interess t"&amp;"a '25% fis-CFTO-TV; Madankollu, il-leġislazzjoni mill-Kummissjoni Kanadiża tar-Radju-Televiżjoni pprojbixxiet l-involviment ta 'ABC, li rriżultat fil-kumpanija li tirtira mill-proġett qabel it-tnedija tal-istazzjon.")</f>
        <v>Matul is-snin 1960, ABC kompla fl-istess triq li bdiet tieħu f'nofs is-snin 1950, billi kkonsolida n-netwerk bħala parti mill-isforz tagħha biex tikseb lealtà mill-pubbliku. Il-finanzi tan-netwerk tjiebu u ppermettewha tinvesti fi proprjetajiet u programmazzjoni oħra. F'Mejju 1960, ABC xtrat Chicago Radio Station WLS, li kienet qasmet il-ħin tal-arja ma 'WENR mill-1920. Dan l-akkwist ippermetta lil ABC biex tikkonsolida l-preżenza tagħha fis-suq. Fid-9 ta 'Mejju, 1960, WLS nediet lineup ġdid li jikkonsisti fi programmazzjoni tar-radju ABC. Fl-1960, l-intraprenditur Kanadiż John Bassett, li kien qed jipprova jistabbilixxi stazzjon tat-televiżjoni f'Toronto, fittex l-għajnuna ta 'ABC biex tniedi l-istazzjon. Leonard Goldenson aċċetta li jakkwista interess ta '25% fis-CFTO-TV; Madankollu, il-leġislazzjoni mill-Kummissjoni Kanadiża tar-Radju-Televiżjoni pprojbixxiet l-involviment ta 'ABC, li rriżultat fil-kumpanija li tirtira mill-proġett qabel it-tnedija tal-istazzjon.</v>
      </c>
    </row>
    <row r="16037" ht="15.75" customHeight="1">
      <c r="A16037" s="2" t="s">
        <v>16037</v>
      </c>
      <c r="B16037" s="2" t="str">
        <f>IFERROR(__xludf.DUMMYFUNCTION("GOOGLETRANSLATE(A16037, ""en"", ""mt"")"),"Meta ġie aċċettat il-Ġappun bħala stat favur l-Għarbi?")</f>
        <v>Meta ġie aċċettat il-Ġappun bħala stat favur l-Għarbi?</v>
      </c>
    </row>
    <row r="16038" ht="15.75" customHeight="1">
      <c r="A16038" s="2" t="s">
        <v>16038</v>
      </c>
      <c r="B16038" s="2" t="str">
        <f>IFERROR(__xludf.DUMMYFUNCTION("GOOGLETRANSLATE(A16038, ""en"", ""mt"")"),"l-ewwel liġi")</f>
        <v>l-ewwel liġi</v>
      </c>
    </row>
    <row r="16039" ht="15.75" customHeight="1">
      <c r="A16039" s="2" t="s">
        <v>16039</v>
      </c>
      <c r="B16039" s="2" t="str">
        <f>IFERROR(__xludf.DUMMYFUNCTION("GOOGLETRANSLATE(A16039, ""en"", ""mt"")"),"tiżżewweġ waħda mill-onorevoli ta 'martu fl-istennija")</f>
        <v>tiżżewweġ waħda mill-onorevoli ta 'martu fl-istennija</v>
      </c>
    </row>
    <row r="16040" ht="15.75" customHeight="1">
      <c r="A16040" s="2" t="s">
        <v>16040</v>
      </c>
      <c r="B16040" s="2" t="str">
        <f>IFERROR(__xludf.DUMMYFUNCTION("GOOGLETRANSLATE(A16040, ""en"", ""mt"")"),"Liema jum tal-ġimgħa jsiru l-elezzjonijiet ġenerali?")</f>
        <v>Liema jum tal-ġimgħa jsiru l-elezzjonijiet ġenerali?</v>
      </c>
    </row>
    <row r="16041" ht="15.75" customHeight="1">
      <c r="A16041" s="2" t="s">
        <v>16041</v>
      </c>
      <c r="B16041" s="2" t="str">
        <f>IFERROR(__xludf.DUMMYFUNCTION("GOOGLETRANSLATE(A16041, ""en"", ""mt"")"),"24 ta 'Lulju")</f>
        <v>24 ta 'Lulju</v>
      </c>
    </row>
    <row r="16042" ht="15.75" customHeight="1">
      <c r="A16042" s="2" t="s">
        <v>16042</v>
      </c>
      <c r="B16042" s="2" t="str">
        <f>IFERROR(__xludf.DUMMYFUNCTION("GOOGLETRANSLATE(A16042, ""en"", ""mt"")"),"Hemm 13-il riżerva naturali f'Varsavja - fost oħrajn, Bielany Forest, Kabaty Woods, Lag Czerniaków. Madwar 15-il kilometru (9 mili) minn Varsavja, l-ambjent tax-Xmara Vistula jinbidel b'mod impressjonanti u għandu ekosistema perfettament ippreservata, b'a"&amp;"bitat ta 'annimali li jinkludi l-lontra, il-kastur u mijiet ta' speċi ta 'għasafar. Hemm ukoll diversi lagi f'Varsavja - l-aktar il-lagi ta 'Oxbow, bħall-Lag Czerniaków, il-lagi fil-parks łazienki jew wilanów, Lag Kamionek. Hemm ħafna lagi żgħar fil-parks"&amp;", iżda ftit biss huma permanenti - il-maġġoranza huma mbattla qabel ix-xitwa biex jitnaddfuhom minn pjanti u sedimenti.")</f>
        <v>Hemm 13-il riżerva naturali f'Varsavja - fost oħrajn, Bielany Forest, Kabaty Woods, Lag Czerniaków. Madwar 15-il kilometru (9 mili) minn Varsavja, l-ambjent tax-Xmara Vistula jinbidel b'mod impressjonanti u għandu ekosistema perfettament ippreservata, b'abitat ta 'annimali li jinkludi l-lontra, il-kastur u mijiet ta' speċi ta 'għasafar. Hemm ukoll diversi lagi f'Varsavja - l-aktar il-lagi ta 'Oxbow, bħall-Lag Czerniaków, il-lagi fil-parks łazienki jew wilanów, Lag Kamionek. Hemm ħafna lagi żgħar fil-parks, iżda ftit biss huma permanenti - il-maġġoranza huma mbattla qabel ix-xitwa biex jitnaddfuhom minn pjanti u sedimenti.</v>
      </c>
    </row>
    <row r="16043" ht="15.75" customHeight="1">
      <c r="A16043" s="2" t="s">
        <v>16043</v>
      </c>
      <c r="B16043" s="2" t="str">
        <f>IFERROR(__xludf.DUMMYFUNCTION("GOOGLETRANSLATE(A16043, ""en"", ""mt"")"),"erba 'klassijiet")</f>
        <v>erba 'klassijiet</v>
      </c>
    </row>
    <row r="16044" ht="15.75" customHeight="1">
      <c r="A16044" s="2" t="s">
        <v>16044</v>
      </c>
      <c r="B16044" s="2" t="str">
        <f>IFERROR(__xludf.DUMMYFUNCTION("GOOGLETRANSLATE(A16044, ""en"", ""mt"")"),"X'jistgħu jdawru t-thylakoids konċentriċi mhux stacked?")</f>
        <v>X'jistgħu jdawru t-thylakoids konċentriċi mhux stacked?</v>
      </c>
    </row>
    <row r="16045" ht="15.75" customHeight="1">
      <c r="A16045" s="2" t="s">
        <v>16045</v>
      </c>
      <c r="B16045" s="2" t="str">
        <f>IFERROR(__xludf.DUMMYFUNCTION("GOOGLETRANSLATE(A16045, ""en"", ""mt"")"),"Aktar minn 48 siegħa")</f>
        <v>Aktar minn 48 siegħa</v>
      </c>
    </row>
    <row r="16046" ht="15.75" customHeight="1">
      <c r="A16046" s="2" t="s">
        <v>16046</v>
      </c>
      <c r="B16046" s="2" t="str">
        <f>IFERROR(__xludf.DUMMYFUNCTION("GOOGLETRANSLATE(A16046, ""en"", ""mt"")"),"Il-kollezzjoni tal-ġojjelli, li fiha aktar minn 6000 oġġett hija waħda mill-ifjen u l-aktar komprensivi ta 'ġojjelli fid-dinja u tinkludi xogħlijiet li jmorru mill-Eġittu tal-qedem sal-lum, kif ukoll disinji ta' ġojjelli fuq il-karta. Il-mużew jippossjedi"&amp;" biċċiet minn ġojjelli rinomati Cartier, Jean Schlumberger, Peter Carl Fabergé, Hemmerle u Lalique. Oġġetti oħra fil-kollezzjoni jinkludu ornamenti tal-libsa tad-djamanti magħmula għal Catherine l-kbar, bracelet ladarba li jagħmlu parti minn Marie Antoine"&amp;"tte, u l-ġiżirana Emerald Beauharnais ippreżentata minn Napuljun lit-tifla adottata tiegħu Hortense de Beauharnais fl-1806. Il-mużew jiġbor ukoll ġojjelli moderni internazzjonali minn disinjaturi Bħal Gijs Bakker, Onno Boekhoudt, Peter Chang, Gerda Flocki"&amp;"nger, Lucy Sarneel, Dorothea Prühl u Wendy Ramshaw, u l-ġojjelli tradizzjonali Afrikani u Ażjatiċi. Bequests ewlenin jinkludu l-kollezzjoni ta 'Reverend Chauncy Hare Townshend ta' 154 ħaġar prezzjuż fl-1869, ir-rigal ta 'Lady Cory tal-1951 ta' ġojjelli ta"&amp;"d-djamanti maġġuri mis-sekli 18 u 19, u l-istudjuża tal-ġojjelli Dame Joan Evans 'rigal ta' aktar minn 800 ġawhar li jmorru mill-Medju għall-età sa il-bidu tas-seklu 19. Gallerija ġdida tal-ġojjelli, iffinanzjata minn William u Judith Bollinger, infetħet "&amp;"fl-24 ta 'Mejju 2008.")</f>
        <v>Il-kollezzjoni tal-ġojjelli, li fiha aktar minn 6000 oġġett hija waħda mill-ifjen u l-aktar komprensivi ta 'ġojjelli fid-dinja u tinkludi xogħlijiet li jmorru mill-Eġittu tal-qedem sal-lum, kif ukoll disinji ta' ġojjelli fuq il-karta. Il-mużew jippossjedi biċċiet minn ġojjelli rinomati Cartier, Jean Schlumberger, Peter Carl Fabergé, Hemmerle u Lalique. Oġġetti oħra fil-kollezzjoni jinkludu ornamenti tal-libsa tad-djamanti magħmula għal Catherine l-kbar, bracelet ladarba li jagħmlu parti minn Marie Antoinette, u l-ġiżirana Emerald Beauharnais ippreżentata minn Napuljun lit-tifla adottata tiegħu Hortense de Beauharnais fl-1806. Il-mużew jiġbor ukoll ġojjelli moderni internazzjonali minn disinjaturi Bħal Gijs Bakker, Onno Boekhoudt, Peter Chang, Gerda Flockinger, Lucy Sarneel, Dorothea Prühl u Wendy Ramshaw, u l-ġojjelli tradizzjonali Afrikani u Ażjatiċi. Bequests ewlenin jinkludu l-kollezzjoni ta 'Reverend Chauncy Hare Townshend ta' 154 ħaġar prezzjuż fl-1869, ir-rigal ta 'Lady Cory tal-1951 ta' ġojjelli tad-djamanti maġġuri mis-sekli 18 u 19, u l-istudjuża tal-ġojjelli Dame Joan Evans 'rigal ta' aktar minn 800 ġawhar li jmorru mill-Medju għall-età sa il-bidu tas-seklu 19. Gallerija ġdida tal-ġojjelli, iffinanzjata minn William u Judith Bollinger, infetħet fl-24 ta 'Mejju 2008.</v>
      </c>
    </row>
    <row r="16047" ht="15.75" customHeight="1">
      <c r="A16047" s="2" t="s">
        <v>16047</v>
      </c>
      <c r="B16047" s="2" t="str">
        <f>IFERROR(__xludf.DUMMYFUNCTION("GOOGLETRANSLATE(A16047, ""en"", ""mt"")"),"b'mekkaniżmu ta 'ċirku rolling")</f>
        <v>b'mekkaniżmu ta 'ċirku rolling</v>
      </c>
    </row>
    <row r="16048" ht="15.75" customHeight="1">
      <c r="A16048" s="2" t="s">
        <v>16048</v>
      </c>
      <c r="B16048" s="2" t="str">
        <f>IFERROR(__xludf.DUMMYFUNCTION("GOOGLETRANSLATE(A16048, ""en"", ""mt"")"),"Liema organizzazzjoni kompliet tkun forza ta 'tfixkil kbira fil-Palestina?")</f>
        <v>Liema organizzazzjoni kompliet tkun forza ta 'tfixkil kbira fil-Palestina?</v>
      </c>
    </row>
    <row r="16049" ht="15.75" customHeight="1">
      <c r="A16049" s="2" t="s">
        <v>16049</v>
      </c>
      <c r="B16049" s="2" t="str">
        <f>IFERROR(__xludf.DUMMYFUNCTION("GOOGLETRANSLATE(A16049, ""en"", ""mt"")"),"Għalliema li juru entużjażmu jistgħu jwasslu għal studenti li huma aktar probabbli li jkunu impenjati, interessati, enerġetiċi u kurjużi dwar it-tagħlim tas-suġġett. Riċerka riċenti sabet korrelazzjoni bejn l-entużjażmu tal-għalliema u l-motivazzjoni intr"&amp;"insika tal-istudenti biex titgħallem u l-vitalità fil-klassi. Studji sperimentali kkontrollati u li jesploraw il-motivazzjoni intrinsika ta 'studenti tal-kulleġġ urew li espressjonijiet mhux verbali ta' entużjażmu, bħal ġesti dimostrattivi, movimenti dram"&amp;"matiċi li huma varjati, u espressjonijiet tal-wiċċ emozzjonali, jirriżultaw fi studenti tal-kulleġġ li jirrappurtaw livelli ogħla ta 'motivazzjoni intrinsika biex jitgħallmu. Studenti li esperjenzaw għalliem entużjastiku ħafna kienu aktar probabbli li jaq"&amp;"raw materjal ta ’taħdita barra mill-klassi.")</f>
        <v>Għalliema li juru entużjażmu jistgħu jwasslu għal studenti li huma aktar probabbli li jkunu impenjati, interessati, enerġetiċi u kurjużi dwar it-tagħlim tas-suġġett. Riċerka riċenti sabet korrelazzjoni bejn l-entużjażmu tal-għalliema u l-motivazzjoni intrinsika tal-istudenti biex titgħallem u l-vitalità fil-klassi. Studji sperimentali kkontrollati u li jesploraw il-motivazzjoni intrinsika ta 'studenti tal-kulleġġ urew li espressjonijiet mhux verbali ta' entużjażmu, bħal ġesti dimostrattivi, movimenti drammatiċi li huma varjati, u espressjonijiet tal-wiċċ emozzjonali, jirriżultaw fi studenti tal-kulleġġ li jirrappurtaw livelli ogħla ta 'motivazzjoni intrinsika biex jitgħallmu. Studenti li esperjenzaw għalliem entużjastiku ħafna kienu aktar probabbli li jaqraw materjal ta ’taħdita barra mill-klassi.</v>
      </c>
    </row>
    <row r="16050" ht="15.75" customHeight="1">
      <c r="A16050" s="2" t="s">
        <v>16050</v>
      </c>
      <c r="B16050" s="2" t="str">
        <f>IFERROR(__xludf.DUMMYFUNCTION("GOOGLETRANSLATE(A16050, ""en"", ""mt"")"),"Genghis Khan kien konxju tal-frizzjoni bejn uliedu (partikolarment bejn Chagatai u Jochi) u inkwetat dwar kunflitt possibbli bejniethom jekk miet. Huwa għalhekk iddeċieda li jaqsam l-imperu tiegħu bejn uliedu u jagħmluhom kollha Khan fid-dritt tagħhom ste"&amp;"ss, waqt li ħatru lil wieħed minn uliedu bħala s-suċċessur tiegħu. Chagatai kien meqjus instabbli minħabba l-imġieba tat-tempra u r-raxx tiegħu, minħabba dikjarazzjonijiet li għamel li ma kienx se jsegwi lil Jochi kieku kellu jsir is-suċċessur ta 'missier"&amp;"u. Tolui, l-iżgħar tifel ta 'Genghis Khan, ma kellux ikun is-suċċessur tiegħu minħabba li kien l-iżgħar u fil-kultura Mongoljana, ulied l-iżgħar ma ngħatawx ħafna responsabbiltà minħabba l-età tagħhom. Jekk Jochi kellu jsir suċċessur, kien probabbli li Ch"&amp;"agatai jidħol fil-gwerra miegħu u jikkollassa l-imperu. Għalhekk, Genghis Khan iddeċieda li jagħti t-tron lil Ögedei. Ögedei kien meqjus minn Genghis Khan bħala karattru affidabbli u relattivament stabbli u 'l isfel lejn id-Dinja u jkun kandidat newtrali "&amp;"u jista' jneħħi s-sitwazzjoni bejn ħutu.")</f>
        <v>Genghis Khan kien konxju tal-frizzjoni bejn uliedu (partikolarment bejn Chagatai u Jochi) u inkwetat dwar kunflitt possibbli bejniethom jekk miet. Huwa għalhekk iddeċieda li jaqsam l-imperu tiegħu bejn uliedu u jagħmluhom kollha Khan fid-dritt tagħhom stess, waqt li ħatru lil wieħed minn uliedu bħala s-suċċessur tiegħu. Chagatai kien meqjus instabbli minħabba l-imġieba tat-tempra u r-raxx tiegħu, minħabba dikjarazzjonijiet li għamel li ma kienx se jsegwi lil Jochi kieku kellu jsir is-suċċessur ta 'missieru. Tolui, l-iżgħar tifel ta 'Genghis Khan, ma kellux ikun is-suċċessur tiegħu minħabba li kien l-iżgħar u fil-kultura Mongoljana, ulied l-iżgħar ma ngħatawx ħafna responsabbiltà minħabba l-età tagħhom. Jekk Jochi kellu jsir suċċessur, kien probabbli li Chagatai jidħol fil-gwerra miegħu u jikkollassa l-imperu. Għalhekk, Genghis Khan iddeċieda li jagħti t-tron lil Ögedei. Ögedei kien meqjus minn Genghis Khan bħala karattru affidabbli u relattivament stabbli u 'l isfel lejn id-Dinja u jkun kandidat newtrali u jista' jneħħi s-sitwazzjoni bejn ħutu.</v>
      </c>
    </row>
    <row r="16051" ht="15.75" customHeight="1">
      <c r="A16051" s="2" t="s">
        <v>16051</v>
      </c>
      <c r="B16051" s="2" t="str">
        <f>IFERROR(__xludf.DUMMYFUNCTION("GOOGLETRANSLATE(A16051, ""en"", ""mt"")"),"Kemm-il linji għandha s-sistema ferrovjarja tal-vjaġġatur?")</f>
        <v>Kemm-il linji għandha s-sistema ferrovjarja tal-vjaġġatur?</v>
      </c>
    </row>
    <row r="16052" ht="15.75" customHeight="1">
      <c r="A16052" s="2" t="s">
        <v>16052</v>
      </c>
      <c r="B16052" s="2" t="str">
        <f>IFERROR(__xludf.DUMMYFUNCTION("GOOGLETRANSLATE(A16052, ""en"", ""mt"")"),"magni tat-turbini")</f>
        <v>magni tat-turbini</v>
      </c>
    </row>
    <row r="16053" ht="15.75" customHeight="1">
      <c r="A16053" s="2" t="s">
        <v>16053</v>
      </c>
      <c r="B16053" s="2" t="str">
        <f>IFERROR(__xludf.DUMMYFUNCTION("GOOGLETRANSLATE(A16053, ""en"", ""mt"")"),"veduta differenti")</f>
        <v>veduta differenti</v>
      </c>
    </row>
    <row r="16054" ht="15.75" customHeight="1">
      <c r="A16054" s="2" t="s">
        <v>16054</v>
      </c>
      <c r="B16054" s="2" t="str">
        <f>IFERROR(__xludf.DUMMYFUNCTION("GOOGLETRANSLATE(A16054, ""en"", ""mt"")"),"Adattat malajr u spiss miżżewweġ barra l-komunitajiet Franċiżi immedjati tagħhom")</f>
        <v>Adattat malajr u spiss miżżewweġ barra l-komunitajiet Franċiżi immedjati tagħhom</v>
      </c>
    </row>
    <row r="16055" ht="15.75" customHeight="1">
      <c r="A16055" s="2" t="s">
        <v>16055</v>
      </c>
      <c r="B16055" s="2" t="str">
        <f>IFERROR(__xludf.DUMMYFUNCTION("GOOGLETRANSLATE(A16055, ""en"", ""mt"")"),"X'tip ta 'distribuzzjoni ewlenija hija kkaratterizzata dwar x / log x ta' numri inqas minn x?")</f>
        <v>X'tip ta 'distribuzzjoni ewlenija hija kkaratterizzata dwar x / log x ta' numri inqas minn x?</v>
      </c>
    </row>
    <row r="16056" ht="15.75" customHeight="1">
      <c r="A16056" s="2" t="s">
        <v>16056</v>
      </c>
      <c r="B16056" s="2" t="str">
        <f>IFERROR(__xludf.DUMMYFUNCTION("GOOGLETRANSLATE(A16056, ""en"", ""mt"")"),"Cryptofiti, jew cryptomonads huma grupp ta 'alka li fihom kloroplast derivat mill-alka ħamra. Il-kloroplasti tal-kriptofiti fihom nukleomorf li jixbah superfiċjalment dak tal-chlorarachniophytes. Il-kloroplasti tal-kriptofiti għandhom erba 'membrani, li l"&amp;"-iktar imbiegħda huma kontinwi bir-retikolu endoplasmiku mhux maħdum. Huma sintetizzati lamtu ordinarju, li huwa maħżun fil-granuli misjuba fl-ispazju tal-periplastid - jegħlbu l-membrana doppja oriġinali, fil-post li jikkorrispondi għaċ-ċitoplasma tal-al"&amp;"ka ħamra. Ġewwa l-kloroplasti tal-kriptofiti hemm pyrenoid u thylakoids fi munzelli ta 'tnejn.")</f>
        <v>Cryptofiti, jew cryptomonads huma grupp ta 'alka li fihom kloroplast derivat mill-alka ħamra. Il-kloroplasti tal-kriptofiti fihom nukleomorf li jixbah superfiċjalment dak tal-chlorarachniophytes. Il-kloroplasti tal-kriptofiti għandhom erba 'membrani, li l-iktar imbiegħda huma kontinwi bir-retikolu endoplasmiku mhux maħdum. Huma sintetizzati lamtu ordinarju, li huwa maħżun fil-granuli misjuba fl-ispazju tal-periplastid - jegħlbu l-membrana doppja oriġinali, fil-post li jikkorrispondi għaċ-ċitoplasma tal-alka ħamra. Ġewwa l-kloroplasti tal-kriptofiti hemm pyrenoid u thylakoids fi munzelli ta 'tnejn.</v>
      </c>
    </row>
    <row r="16057" ht="15.75" customHeight="1">
      <c r="A16057" s="2" t="s">
        <v>16057</v>
      </c>
      <c r="B16057" s="2" t="str">
        <f>IFERROR(__xludf.DUMMYFUNCTION("GOOGLETRANSLATE(A16057, ""en"", ""mt"")"),"Ir-Rivoluzzjoni Industrijali")</f>
        <v>Ir-Rivoluzzjoni Industrijali</v>
      </c>
    </row>
    <row r="16058" ht="15.75" customHeight="1">
      <c r="A16058" s="2" t="s">
        <v>16058</v>
      </c>
      <c r="B16058" s="2" t="str">
        <f>IFERROR(__xludf.DUMMYFUNCTION("GOOGLETRANSLATE(A16058, ""en"", ""mt"")"),"Bejn l-1500 u l-1850")</f>
        <v>Bejn l-1500 u l-1850</v>
      </c>
    </row>
    <row r="16059" ht="15.75" customHeight="1">
      <c r="A16059" s="2" t="s">
        <v>16059</v>
      </c>
      <c r="B16059" s="2" t="str">
        <f>IFERROR(__xludf.DUMMYFUNCTION("GOOGLETRANSLATE(A16059, ""en"", ""mt"")"),"X'esplora Tesla f'Tominaj?")</f>
        <v>X'esplora Tesla f'Tominaj?</v>
      </c>
    </row>
    <row r="16060" ht="15.75" customHeight="1">
      <c r="A16060" s="2" t="s">
        <v>16060</v>
      </c>
      <c r="B16060" s="2" t="str">
        <f>IFERROR(__xludf.DUMMYFUNCTION("GOOGLETRANSLATE(A16060, ""en"", ""mt"")"),"Magazine tax-Xjenza")</f>
        <v>Magazine tax-Xjenza</v>
      </c>
    </row>
    <row r="16061" ht="15.75" customHeight="1">
      <c r="A16061" s="2" t="s">
        <v>16061</v>
      </c>
      <c r="B16061" s="2" t="str">
        <f>IFERROR(__xludf.DUMMYFUNCTION("GOOGLETRANSLATE(A16061, ""en"", ""mt"")"),"forma ta 'weraq")</f>
        <v>forma ta 'weraq</v>
      </c>
    </row>
    <row r="16062" ht="15.75" customHeight="1">
      <c r="A16062" s="2" t="s">
        <v>16062</v>
      </c>
      <c r="B16062" s="2" t="str">
        <f>IFERROR(__xludf.DUMMYFUNCTION("GOOGLETRANSLATE(A16062, ""en"", ""mt"")"),"Ipprovdi metodu ta 'rotta tolleranti għall-ħsarat u effiċjenti għal messaġġi tat-telekomunikazzjoni")</f>
        <v>Ipprovdi metodu ta 'rotta tolleranti għall-ħsarat u effiċjenti għal messaġġi tat-telekomunikazzjoni</v>
      </c>
    </row>
    <row r="16063" ht="15.75" customHeight="1">
      <c r="A16063" s="2" t="s">
        <v>16063</v>
      </c>
      <c r="B16063" s="2" t="str">
        <f>IFERROR(__xludf.DUMMYFUNCTION("GOOGLETRANSLATE(A16063, ""en"", ""mt"")"),"Min ikun il-kulleġġ tal-għalliem jipproteġi?")</f>
        <v>Min ikun il-kulleġġ tal-għalliem jipproteġi?</v>
      </c>
    </row>
    <row r="16064" ht="15.75" customHeight="1">
      <c r="A16064" s="2" t="s">
        <v>16064</v>
      </c>
      <c r="B16064" s="2" t="str">
        <f>IFERROR(__xludf.DUMMYFUNCTION("GOOGLETRANSLATE(A16064, ""en"", ""mt"")"),"komputazzjoni")</f>
        <v>komputazzjoni</v>
      </c>
    </row>
    <row r="16065" ht="15.75" customHeight="1">
      <c r="A16065" s="2" t="s">
        <v>16065</v>
      </c>
      <c r="B16065" s="2" t="str">
        <f>IFERROR(__xludf.DUMMYFUNCTION("GOOGLETRANSLATE(A16065, ""en"", ""mt"")"),"Ġerarkija xierqa")</f>
        <v>Ġerarkija xierqa</v>
      </c>
    </row>
    <row r="16066" ht="15.75" customHeight="1">
      <c r="A16066" s="2" t="s">
        <v>16066</v>
      </c>
      <c r="B16066" s="2" t="str">
        <f>IFERROR(__xludf.DUMMYFUNCTION("GOOGLETRANSLATE(A16066, ""en"", ""mt"")"),"Ċittadini Ġermaniżi Meta l-pulizija sigrieta ta ’Hitler talbu jkunu jafu jekk kinux qed jaħbu Lhudi f’darhom")</f>
        <v>Ċittadini Ġermaniżi Meta l-pulizija sigrieta ta ’Hitler talbu jkunu jafu jekk kinux qed jaħbu Lhudi f’darhom</v>
      </c>
    </row>
    <row r="16067" ht="15.75" customHeight="1">
      <c r="A16067" s="2" t="s">
        <v>16067</v>
      </c>
      <c r="B16067" s="2" t="str">
        <f>IFERROR(__xludf.DUMMYFUNCTION("GOOGLETRANSLATE(A16067, ""en"", ""mt"")"),"Fl-Iskozja, kull min jixtieq jgħallem għandu jkun irreġistrat mal-Kunsill tat-Tagħlim Ġenerali għall-Iskozja (GTCs). It-tagħlim fl-Iskozja hija professjoni gradwata kollha u r-rotta normali għall-gradwati li jixtiequ jgħallmu hija li tlesti programm ta 'e"&amp;"dukazzjoni inizjali tal-għalliema (ITE) f'waħda mis-seba' universitajiet Skoċċiżi li joffru dawn il-korsijiet. Ladarba tlestiet b'suċċess, ""reġistrazzjoni proviżorja"" tingħata mill-GTCs li titqajjem għal status ta '""reġistrazzjoni sħiħa"" wara sena jek"&amp;"k ikun hemm biżżejjed evidenza biex turi li l-istandard ""għar-reġistrazzjoni sħiħa"" ġie sodisfatt.")</f>
        <v>Fl-Iskozja, kull min jixtieq jgħallem għandu jkun irreġistrat mal-Kunsill tat-Tagħlim Ġenerali għall-Iskozja (GTCs). It-tagħlim fl-Iskozja hija professjoni gradwata kollha u r-rotta normali għall-gradwati li jixtiequ jgħallmu hija li tlesti programm ta 'edukazzjoni inizjali tal-għalliema (ITE) f'waħda mis-seba' universitajiet Skoċċiżi li joffru dawn il-korsijiet. Ladarba tlestiet b'suċċess, "reġistrazzjoni proviżorja" tingħata mill-GTCs li titqajjem għal status ta '"reġistrazzjoni sħiħa" wara sena jekk ikun hemm biżżejjed evidenza biex turi li l-istandard "għar-reġistrazzjoni sħiħa" ġie sodisfatt.</v>
      </c>
    </row>
    <row r="16068" ht="15.75" customHeight="1">
      <c r="A16068" s="2" t="s">
        <v>16068</v>
      </c>
      <c r="B16068" s="2" t="str">
        <f>IFERROR(__xludf.DUMMYFUNCTION("GOOGLETRANSLATE(A16068, ""en"", ""mt"")"),"Liema ""teorija dinamika"" Tesla qalet li spiċċa fl-1937?")</f>
        <v>Liema "teorija dinamika" Tesla qalet li spiċċa fl-1937?</v>
      </c>
    </row>
    <row r="16069" ht="15.75" customHeight="1">
      <c r="A16069" s="2" t="s">
        <v>16069</v>
      </c>
      <c r="B16069" s="2" t="str">
        <f>IFERROR(__xludf.DUMMYFUNCTION("GOOGLETRANSLATE(A16069, ""en"", ""mt"")"),"Ħafna siġġijiet")</f>
        <v>Ħafna siġġijiet</v>
      </c>
    </row>
    <row r="16070" ht="15.75" customHeight="1">
      <c r="A16070" s="2" t="s">
        <v>16070</v>
      </c>
      <c r="B16070" s="2" t="str">
        <f>IFERROR(__xludf.DUMMYFUNCTION("GOOGLETRANSLATE(A16070, ""en"", ""mt"")"),"X'tifhem l-elettroliżi ta 'l-ilma?")</f>
        <v>X'tifhem l-elettroliżi ta 'l-ilma?</v>
      </c>
    </row>
    <row r="16071" ht="15.75" customHeight="1">
      <c r="A16071" s="2" t="s">
        <v>16071</v>
      </c>
      <c r="B16071" s="2" t="str">
        <f>IFERROR(__xludf.DUMMYFUNCTION("GOOGLETRANSLATE(A16071, ""en"", ""mt"")"),"Kemm ilu meta l-ilma għadda mill-arkata Purus?")</f>
        <v>Kemm ilu meta l-ilma għadda mill-arkata Purus?</v>
      </c>
    </row>
    <row r="16072" ht="15.75" customHeight="1">
      <c r="A16072" s="2" t="s">
        <v>16072</v>
      </c>
      <c r="B16072" s="2" t="str">
        <f>IFERROR(__xludf.DUMMYFUNCTION("GOOGLETRANSLATE(A16072, ""en"", ""mt"")"),"X’ser iservu x-xmajjar magħluqa wara li jagħlqu?")</f>
        <v>X’ser iservu x-xmajjar magħluqa wara li jagħlqu?</v>
      </c>
    </row>
    <row r="16073" ht="15.75" customHeight="1">
      <c r="A16073" s="2" t="s">
        <v>16073</v>
      </c>
      <c r="B16073" s="2" t="str">
        <f>IFERROR(__xludf.DUMMYFUNCTION("GOOGLETRANSLATE(A16073, ""en"", ""mt"")"),"Fi tmiem dan id-diskors, Luther għolla driegħu ""fis-salut tradizzjonali ta 'kavallier li rebaħ bout."" Michael Mullett iqis dan id-diskors bħala ""klassika dinjija ta 'oratorju li jagħmel l-epoka.""")</f>
        <v>Fi tmiem dan id-diskors, Luther għolla driegħu "fis-salut tradizzjonali ta 'kavallier li rebaħ bout." Michael Mullett iqis dan id-diskors bħala "klassika dinjija ta 'oratorju li jagħmel l-epoka."</v>
      </c>
    </row>
    <row r="16074" ht="15.75" customHeight="1">
      <c r="A16074" s="2" t="s">
        <v>16074</v>
      </c>
      <c r="B16074" s="2" t="str">
        <f>IFERROR(__xludf.DUMMYFUNCTION("GOOGLETRANSLATE(A16074, ""en"", ""mt"")"),"Iġġenera l-enerġija ATP")</f>
        <v>Iġġenera l-enerġija ATP</v>
      </c>
    </row>
    <row r="16075" ht="15.75" customHeight="1">
      <c r="A16075" s="2" t="s">
        <v>16075</v>
      </c>
      <c r="B16075" s="2" t="str">
        <f>IFERROR(__xludf.DUMMYFUNCTION("GOOGLETRANSLATE(A16075, ""en"", ""mt"")"),"X'kien il-valur tal-kollezzjoni John Jones meta tħalliet fil-mużew?")</f>
        <v>X'kien il-valur tal-kollezzjoni John Jones meta tħalliet fil-mużew?</v>
      </c>
    </row>
    <row r="16076" ht="15.75" customHeight="1">
      <c r="A16076" s="2" t="s">
        <v>16076</v>
      </c>
      <c r="B16076" s="2" t="str">
        <f>IFERROR(__xludf.DUMMYFUNCTION("GOOGLETRANSLATE(A16076, ""en"", ""mt"")"),"Bejn l-1978 D2008 studenti li għadhom ma ggradwawx full time D2008 kienu meħtieġa jlestu kemm klassijiet barra mill-konċentrazzjoni tagħhom?")</f>
        <v>Bejn l-1978 D2008 studenti li għadhom ma ggradwawx full time D2008 kienu meħtieġa jlestu kemm klassijiet barra mill-konċentrazzjoni tagħhom?</v>
      </c>
    </row>
    <row r="16077" ht="15.75" customHeight="1">
      <c r="A16077" s="2" t="s">
        <v>16077</v>
      </c>
      <c r="B16077" s="2" t="str">
        <f>IFERROR(__xludf.DUMMYFUNCTION("GOOGLETRANSLATE(A16077, ""en"", ""mt"")"),"Triq Collingwood,")</f>
        <v>Triq Collingwood,</v>
      </c>
    </row>
    <row r="16078" ht="15.75" customHeight="1">
      <c r="A16078" s="2" t="s">
        <v>16078</v>
      </c>
      <c r="B16078" s="2" t="str">
        <f>IFERROR(__xludf.DUMMYFUNCTION("GOOGLETRANSLATE(A16078, ""en"", ""mt"")"),"Rivoluzzjoni Iżlamika")</f>
        <v>Rivoluzzjoni Iżlamika</v>
      </c>
    </row>
    <row r="16079" ht="15.75" customHeight="1">
      <c r="A16079" s="2" t="s">
        <v>16079</v>
      </c>
      <c r="B16079" s="2" t="str">
        <f>IFERROR(__xludf.DUMMYFUNCTION("GOOGLETRANSLATE(A16079, ""en"", ""mt"")"),"valv tal-plagg")</f>
        <v>valv tal-plagg</v>
      </c>
    </row>
    <row r="16080" ht="15.75" customHeight="1">
      <c r="A16080" s="2" t="s">
        <v>16080</v>
      </c>
      <c r="B16080" s="2" t="str">
        <f>IFERROR(__xludf.DUMMYFUNCTION("GOOGLETRANSLATE(A16080, ""en"", ""mt"")"),"X'inhuma ż-żewġ tweġibiet ta 'kliem sempliċi għal problema ta' deċiżjoni?")</f>
        <v>X'inhuma ż-żewġ tweġibiet ta 'kliem sempliċi għal problema ta' deċiżjoni?</v>
      </c>
    </row>
    <row r="16081" ht="15.75" customHeight="1">
      <c r="A16081" s="2" t="s">
        <v>16081</v>
      </c>
      <c r="B16081" s="2" t="str">
        <f>IFERROR(__xludf.DUMMYFUNCTION("GOOGLETRANSLATE(A16081, ""en"", ""mt"")"),"Sensittività eċċessiva")</f>
        <v>Sensittività eċċessiva</v>
      </c>
    </row>
    <row r="16082" ht="15.75" customHeight="1">
      <c r="A16082" s="2" t="s">
        <v>16082</v>
      </c>
      <c r="B16082" s="2" t="str">
        <f>IFERROR(__xludf.DUMMYFUNCTION("GOOGLETRANSLATE(A16082, ""en"", ""mt"")"),"Port ta 'San Diego")</f>
        <v>Port ta 'San Diego</v>
      </c>
    </row>
    <row r="16083" ht="15.75" customHeight="1">
      <c r="A16083" s="2" t="s">
        <v>16083</v>
      </c>
      <c r="B16083" s="2" t="str">
        <f>IFERROR(__xludf.DUMMYFUNCTION("GOOGLETRANSLATE(A16083, ""en"", ""mt"")"),"il-Qorti Suprema")</f>
        <v>il-Qorti Suprema</v>
      </c>
    </row>
    <row r="16084" ht="15.75" customHeight="1">
      <c r="A16084" s="2" t="s">
        <v>16084</v>
      </c>
      <c r="B16084" s="2" t="str">
        <f>IFERROR(__xludf.DUMMYFUNCTION("GOOGLETRANSLATE(A16084, ""en"", ""mt"")"),"Il-prestazzjoni tard tagħha tas-snin 1980 minn tlieta sa ħames miljun telespettatur")</f>
        <v>Il-prestazzjoni tard tagħha tas-snin 1980 minn tlieta sa ħames miljun telespettatur</v>
      </c>
    </row>
    <row r="16085" ht="15.75" customHeight="1">
      <c r="A16085" s="2" t="s">
        <v>16085</v>
      </c>
      <c r="B16085" s="2" t="str">
        <f>IFERROR(__xludf.DUMMYFUNCTION("GOOGLETRANSLATE(A16085, ""en"", ""mt"")"),"L-inkorporazzjonijiet jiġu annullati biss għal lista fissa ta 'raġunijiet")</f>
        <v>L-inkorporazzjonijiet jiġu annullati biss għal lista fissa ta 'raġunijiet</v>
      </c>
    </row>
    <row r="16086" ht="15.75" customHeight="1">
      <c r="A16086" s="2" t="s">
        <v>16086</v>
      </c>
      <c r="B16086" s="2" t="str">
        <f>IFERROR(__xludf.DUMMYFUNCTION("GOOGLETRANSLATE(A16086, ""en"", ""mt"")"),"l-animosità tagħhom lejn xulxin")</f>
        <v>l-animosità tagħhom lejn xulxin</v>
      </c>
    </row>
    <row r="16087" ht="15.75" customHeight="1">
      <c r="A16087" s="2" t="s">
        <v>16087</v>
      </c>
      <c r="B16087" s="2" t="str">
        <f>IFERROR(__xludf.DUMMYFUNCTION("GOOGLETRANSLATE(A16087, ""en"", ""mt"")"),"Għall-bqija tal-ħajja ta 'Tesla")</f>
        <v>Għall-bqija tal-ħajja ta 'Tesla</v>
      </c>
    </row>
    <row r="16088" ht="15.75" customHeight="1">
      <c r="A16088" s="2" t="s">
        <v>16088</v>
      </c>
      <c r="B16088" s="2" t="str">
        <f>IFERROR(__xludf.DUMMYFUNCTION("GOOGLETRANSLATE(A16088, ""en"", ""mt"")"),"Għal għaxart ijiem")</f>
        <v>Għal għaxart ijiem</v>
      </c>
    </row>
    <row r="16089" ht="15.75" customHeight="1">
      <c r="A16089" s="2" t="s">
        <v>16089</v>
      </c>
      <c r="B16089" s="2" t="str">
        <f>IFERROR(__xludf.DUMMYFUNCTION("GOOGLETRANSLATE(A16089, ""en"", ""mt"")"),"Fl-Istati Uniti, l-istudjużi jargumentaw li diġà kien hemm soluzzjoni negozjata bbażata fuq l-ugwaljanza bejn iż-żewġ partijiet qabel l-1973. Il-possibbiltà li l-Lvant Nofsani jista 'jsir konfrontazzjoni oħra ta' superpotenza mal-USSR kienet ta 'tħassib a"&amp;"ktar għall-Istati Uniti milli ż-żejt. Barra minn hekk, gruppi ta 'interess u aġenziji tal-gvern aktar inkwetati dwar l-enerġija ma kinux jaqblu għad-dominanza ta' Kissinger. Fil-produzzjoni, distribuzzjoni u tfixkil tal-prezz tal-Istati Uniti ""inżammu re"&amp;"sponsabbli għar-riċessjonijiet, perjodi ta 'inflazzjoni eċċessiva, produttività mnaqqsa, u tkabbir ekonomiku aktar baxx.""")</f>
        <v>Fl-Istati Uniti, l-istudjużi jargumentaw li diġà kien hemm soluzzjoni negozjata bbażata fuq l-ugwaljanza bejn iż-żewġ partijiet qabel l-1973. Il-possibbiltà li l-Lvant Nofsani jista 'jsir konfrontazzjoni oħra ta' superpotenza mal-USSR kienet ta 'tħassib aktar għall-Istati Uniti milli ż-żejt. Barra minn hekk, gruppi ta 'interess u aġenziji tal-gvern aktar inkwetati dwar l-enerġija ma kinux jaqblu għad-dominanza ta' Kissinger. Fil-produzzjoni, distribuzzjoni u tfixkil tal-prezz tal-Istati Uniti "inżammu responsabbli għar-riċessjonijiet, perjodi ta 'inflazzjoni eċċessiva, produttività mnaqqsa, u tkabbir ekonomiku aktar baxx."</v>
      </c>
    </row>
    <row r="16090" ht="15.75" customHeight="1">
      <c r="A16090" s="2" t="s">
        <v>16090</v>
      </c>
      <c r="B16090" s="2" t="str">
        <f>IFERROR(__xludf.DUMMYFUNCTION("GOOGLETRANSLATE(A16090, ""en"", ""mt"")"),"ippeżat invers għad-daqs tal-istat membru")</f>
        <v>ippeżat invers għad-daqs tal-istat membru</v>
      </c>
    </row>
    <row r="16091" ht="15.75" customHeight="1">
      <c r="A16091" s="2" t="s">
        <v>16091</v>
      </c>
      <c r="B16091" s="2" t="str">
        <f>IFERROR(__xludf.DUMMYFUNCTION("GOOGLETRANSLATE(A16091, ""en"", ""mt"")"),"Min ifakkar l-istatwa ta 'ftit ribelli?")</f>
        <v>Min ifakkar l-istatwa ta 'ftit ribelli?</v>
      </c>
    </row>
    <row r="16092" ht="15.75" customHeight="1">
      <c r="A16092" s="2" t="s">
        <v>16092</v>
      </c>
      <c r="B16092" s="2" t="str">
        <f>IFERROR(__xludf.DUMMYFUNCTION("GOOGLETRANSLATE(A16092, ""en"", ""mt"")"),"L-Amazon tirrappreżenta aktar minn nofs il-foresti tropikali li fadal tal-pjaneta")</f>
        <v>L-Amazon tirrappreżenta aktar minn nofs il-foresti tropikali li fadal tal-pjaneta</v>
      </c>
    </row>
    <row r="16093" ht="15.75" customHeight="1">
      <c r="A16093" s="2" t="s">
        <v>16093</v>
      </c>
      <c r="B16093" s="2" t="str">
        <f>IFERROR(__xludf.DUMMYFUNCTION("GOOGLETRANSLATE(A16093, ""en"", ""mt"")"),"X'tip ta 'organizzazzjoni jkollha bżonn kwantitajiet kbar ta' ossiġnu pur?")</f>
        <v>X'tip ta 'organizzazzjoni jkollha bżonn kwantitajiet kbar ta' ossiġnu pur?</v>
      </c>
    </row>
    <row r="16094" ht="15.75" customHeight="1">
      <c r="A16094" s="2" t="s">
        <v>16094</v>
      </c>
      <c r="B16094" s="2" t="str">
        <f>IFERROR(__xludf.DUMMYFUNCTION("GOOGLETRANSLATE(A16094, ""en"", ""mt"")"),"Għal dak li hu ugwali ta '50 kilopascals?")</f>
        <v>Għal dak li hu ugwali ta '50 kilopascals?</v>
      </c>
    </row>
    <row r="16095" ht="15.75" customHeight="1">
      <c r="A16095" s="2" t="s">
        <v>16095</v>
      </c>
      <c r="B16095" s="2" t="str">
        <f>IFERROR(__xludf.DUMMYFUNCTION("GOOGLETRANSLATE(A16095, ""en"", ""mt"")"),"Ewropa")</f>
        <v>Ewropa</v>
      </c>
    </row>
    <row r="16096" ht="15.75" customHeight="1">
      <c r="A16096" s="2" t="s">
        <v>16096</v>
      </c>
      <c r="B16096" s="2" t="str">
        <f>IFERROR(__xludf.DUMMYFUNCTION("GOOGLETRANSLATE(A16096, ""en"", ""mt"")"),"2 millimetri (0.079 in)")</f>
        <v>2 millimetri (0.079 in)</v>
      </c>
    </row>
    <row r="16097" ht="15.75" customHeight="1">
      <c r="A16097" s="2" t="s">
        <v>16097</v>
      </c>
      <c r="B16097" s="2" t="str">
        <f>IFERROR(__xludf.DUMMYFUNCTION("GOOGLETRANSLATE(A16097, ""en"", ""mt"")"),"Bil-mewt tal-Kaptan Francis Fowke, inġiniera rjali l-perit li jmiss biex jaħdem fil-mużew kien il-Kurunell (aktar tard Ġeneral Maġġur) Henry Young Darracott Scott, ukoll tal-Inġiniera Rjali. Huwa ddisinjat fil-majjistral tal-ġnien l-iskola ta 'ħames sular"&amp;"i għall-periti navali (magħrufa wkoll bħala l-iskejjel tax-xjenza), issa l-Wing Henry Cole fl-1867–72. L-assistent ta ’Scott J.W. Selvaġġ iddisinja t-taraġ impressjonanti li jitla 'l-għoli sħiħ tal-bini, magħmul mill-ġebla Cadeby il-passi huma ta' 7 piedi"&amp;" (2.1 m) fit-tul, il-balavostri u l-kolonni huma Portland Stone. Issa huwa użat biex jospita b'mod konġunt il-marki u t-tpinġijiet arkitettoniċi tal-V &amp; A (stampi, tpinġijiet, pitturi u ritratti) u l-Istitut Irjali tal-Periti Brittaniċi (tpinġijiet RIBA u"&amp;" kollezzjonijiet ta 'arkivji); u ċ-Ċentru Sackler għall-Edukazzjoni tal-Arti, li nfetaħ fl-2008.")</f>
        <v>Bil-mewt tal-Kaptan Francis Fowke, inġiniera rjali l-perit li jmiss biex jaħdem fil-mużew kien il-Kurunell (aktar tard Ġeneral Maġġur) Henry Young Darracott Scott, ukoll tal-Inġiniera Rjali. Huwa ddisinjat fil-majjistral tal-ġnien l-iskola ta 'ħames sulari għall-periti navali (magħrufa wkoll bħala l-iskejjel tax-xjenza), issa l-Wing Henry Cole fl-1867–72. L-assistent ta ’Scott J.W. Selvaġġ iddisinja t-taraġ impressjonanti li jitla 'l-għoli sħiħ tal-bini, magħmul mill-ġebla Cadeby il-passi huma ta' 7 piedi (2.1 m) fit-tul, il-balavostri u l-kolonni huma Portland Stone. Issa huwa użat biex jospita b'mod konġunt il-marki u t-tpinġijiet arkitettoniċi tal-V &amp; A (stampi, tpinġijiet, pitturi u ritratti) u l-Istitut Irjali tal-Periti Brittaniċi (tpinġijiet RIBA u kollezzjonijiet ta 'arkivji); u ċ-Ċentru Sackler għall-Edukazzjoni tal-Arti, li nfetaħ fl-2008.</v>
      </c>
    </row>
    <row r="16098" ht="15.75" customHeight="1">
      <c r="A16098" s="2" t="s">
        <v>16098</v>
      </c>
      <c r="B16098" s="2" t="str">
        <f>IFERROR(__xludf.DUMMYFUNCTION("GOOGLETRANSLATE(A16098, ""en"", ""mt"")"),"kondensaturi")</f>
        <v>kondensaturi</v>
      </c>
    </row>
    <row r="16099" ht="15.75" customHeight="1">
      <c r="A16099" s="2" t="s">
        <v>16099</v>
      </c>
      <c r="B16099" s="2" t="str">
        <f>IFERROR(__xludf.DUMMYFUNCTION("GOOGLETRANSLATE(A16099, ""en"", ""mt"")"),"Passi tad-Dar Harambee ta 'Nairobi")</f>
        <v>Passi tad-Dar Harambee ta 'Nairobi</v>
      </c>
    </row>
    <row r="16100" ht="15.75" customHeight="1">
      <c r="A16100" s="2" t="s">
        <v>16100</v>
      </c>
      <c r="B16100" s="2" t="str">
        <f>IFERROR(__xludf.DUMMYFUNCTION("GOOGLETRANSLATE(A16100, ""en"", ""mt"")"),"Liema grad irċieva Martin Luther fid-19 ta 'Ottubru, 1512?")</f>
        <v>Liema grad irċieva Martin Luther fid-19 ta 'Ottubru, 1512?</v>
      </c>
    </row>
    <row r="16101" ht="15.75" customHeight="1">
      <c r="A16101" s="2" t="s">
        <v>16101</v>
      </c>
      <c r="B16101" s="2" t="str">
        <f>IFERROR(__xludf.DUMMYFUNCTION("GOOGLETRANSLATE(A16101, ""en"", ""mt"")"),"sekulariżmu u nazzjonaliżmu sekulari")</f>
        <v>sekulariżmu u nazzjonaliżmu sekulari</v>
      </c>
    </row>
    <row r="16102" ht="15.75" customHeight="1">
      <c r="A16102" s="2" t="s">
        <v>16102</v>
      </c>
      <c r="B16102" s="2" t="str">
        <f>IFERROR(__xludf.DUMMYFUNCTION("GOOGLETRANSLATE(A16102, ""en"", ""mt"")"),"X’gruppat Paul Baran")</f>
        <v>X’gruppat Paul Baran</v>
      </c>
    </row>
    <row r="16103" ht="15.75" customHeight="1">
      <c r="A16103" s="2" t="s">
        <v>16103</v>
      </c>
      <c r="B16103" s="2" t="str">
        <f>IFERROR(__xludf.DUMMYFUNCTION("GOOGLETRANSLATE(A16103, ""en"", ""mt"")"),"X’għamel l-impjegat meta ma kienx jogħġobha l-ilbies tagħha?")</f>
        <v>X’għamel l-impjegat meta ma kienx jogħġobha l-ilbies tagħha?</v>
      </c>
    </row>
    <row r="16104" ht="15.75" customHeight="1">
      <c r="A16104" s="2" t="s">
        <v>16104</v>
      </c>
      <c r="B16104" s="2" t="str">
        <f>IFERROR(__xludf.DUMMYFUNCTION("GOOGLETRANSLATE(A16104, ""en"", ""mt"")"),"X'inhi l-importanza tal-ispiżjar fid-deċennji li ġejjin?")</f>
        <v>X'inhi l-importanza tal-ispiżjar fid-deċennji li ġejjin?</v>
      </c>
    </row>
    <row r="16105" ht="15.75" customHeight="1">
      <c r="A16105" s="2" t="s">
        <v>16105</v>
      </c>
      <c r="B16105" s="2" t="str">
        <f>IFERROR(__xludf.DUMMYFUNCTION("GOOGLETRANSLATE(A16105, ""en"", ""mt"")"),"vapuri merkantili")</f>
        <v>vapuri merkantili</v>
      </c>
    </row>
    <row r="16106" ht="15.75" customHeight="1">
      <c r="A16106" s="2" t="s">
        <v>16106</v>
      </c>
      <c r="B16106" s="2" t="str">
        <f>IFERROR(__xludf.DUMMYFUNCTION("GOOGLETRANSLATE(A16106, ""en"", ""mt"")"),"Meta ġie ffirmat l-Att Nazzjonali tal-Awtostrada Nazzjonali?")</f>
        <v>Meta ġie ffirmat l-Att Nazzjonali tal-Awtostrada Nazzjonali?</v>
      </c>
    </row>
    <row r="16107" ht="15.75" customHeight="1">
      <c r="A16107" s="2" t="s">
        <v>16107</v>
      </c>
      <c r="B16107" s="2" t="str">
        <f>IFERROR(__xludf.DUMMYFUNCTION("GOOGLETRANSLATE(A16107, ""en"", ""mt"")"),"Pikes Peak għal Pariġi")</f>
        <v>Pikes Peak għal Pariġi</v>
      </c>
    </row>
    <row r="16108" ht="15.75" customHeight="1">
      <c r="A16108" s="2" t="s">
        <v>16108</v>
      </c>
      <c r="B16108" s="2" t="str">
        <f>IFERROR(__xludf.DUMMYFUNCTION("GOOGLETRANSLATE(A16108, ""en"", ""mt"")"),"X'kien il-PGD nominali totali ta 'Varsavja fl-2010?")</f>
        <v>X'kien il-PGD nominali totali ta 'Varsavja fl-2010?</v>
      </c>
    </row>
    <row r="16109" ht="15.75" customHeight="1">
      <c r="A16109" s="2" t="s">
        <v>16109</v>
      </c>
      <c r="B16109" s="2" t="str">
        <f>IFERROR(__xludf.DUMMYFUNCTION("GOOGLETRANSLATE(A16109, ""en"", ""mt"")"),"X'kienet innumerata mill-ġdid fi Newcastle mat-tlestija tal-bypass tal-Punent?")</f>
        <v>X'kienet innumerata mill-ġdid fi Newcastle mat-tlestija tal-bypass tal-Punent?</v>
      </c>
    </row>
    <row r="16110" ht="15.75" customHeight="1">
      <c r="A16110" s="2" t="s">
        <v>16110</v>
      </c>
      <c r="B16110" s="2" t="str">
        <f>IFERROR(__xludf.DUMMYFUNCTION("GOOGLETRANSLATE(A16110, ""en"", ""mt"")"),"In-Netwerk tax-Xjenza tal-Kompjuter")</f>
        <v>In-Netwerk tax-Xjenza tal-Kompjuter</v>
      </c>
    </row>
    <row r="16111" ht="15.75" customHeight="1">
      <c r="A16111" s="2" t="s">
        <v>16111</v>
      </c>
      <c r="B16111" s="2" t="str">
        <f>IFERROR(__xludf.DUMMYFUNCTION("GOOGLETRANSLATE(A16111, ""en"", ""mt"")"),"diżastru")</f>
        <v>diżastru</v>
      </c>
    </row>
    <row r="16112" ht="15.75" customHeight="1">
      <c r="A16112" s="2" t="s">
        <v>16112</v>
      </c>
      <c r="B16112" s="2" t="str">
        <f>IFERROR(__xludf.DUMMYFUNCTION("GOOGLETRANSLATE(A16112, ""en"", ""mt"")"),"Dublin, Cork, Youghal u Waterford")</f>
        <v>Dublin, Cork, Youghal u Waterford</v>
      </c>
    </row>
    <row r="16113" ht="15.75" customHeight="1">
      <c r="A16113" s="2" t="s">
        <v>16113</v>
      </c>
      <c r="B16113" s="2" t="str">
        <f>IFERROR(__xludf.DUMMYFUNCTION("GOOGLETRANSLATE(A16113, ""en"", ""mt"")"),"Billi tassumi l-kompitu li jinterpretaw it-trattati, u taċċellera l-integrazzjoni ekonomika u politika")</f>
        <v>Billi tassumi l-kompitu li jinterpretaw it-trattati, u taċċellera l-integrazzjoni ekonomika u politika</v>
      </c>
    </row>
    <row r="16114" ht="15.75" customHeight="1">
      <c r="A16114" s="2" t="s">
        <v>16114</v>
      </c>
      <c r="B16114" s="2" t="str">
        <f>IFERROR(__xludf.DUMMYFUNCTION("GOOGLETRANSLATE(A16114, ""en"", ""mt"")"),"Fejn kienu t-tagħlim ta 'Tetzel f'konformità mad-dogma tal-knisja?")</f>
        <v>Fejn kienu t-tagħlim ta 'Tetzel f'konformità mad-dogma tal-knisja?</v>
      </c>
    </row>
    <row r="16115" ht="15.75" customHeight="1">
      <c r="A16115" s="2" t="s">
        <v>16115</v>
      </c>
      <c r="B16115" s="2" t="str">
        <f>IFERROR(__xludf.DUMMYFUNCTION("GOOGLETRANSLATE(A16115, ""en"", ""mt"")"),"kant ta 'innijiet Ġermaniżi b'rabta mal-qima")</f>
        <v>kant ta 'innijiet Ġermaniżi b'rabta mal-qima</v>
      </c>
    </row>
    <row r="16116" ht="15.75" customHeight="1">
      <c r="A16116" s="2" t="s">
        <v>16116</v>
      </c>
      <c r="B16116" s="2" t="str">
        <f>IFERROR(__xludf.DUMMYFUNCTION("GOOGLETRANSLATE(A16116, ""en"", ""mt"")"),"Żviluppa u tipproduċi sistema ta 'dawl ġdida")</f>
        <v>Żviluppa u tipproduċi sistema ta 'dawl ġdida</v>
      </c>
    </row>
    <row r="16117" ht="15.75" customHeight="1">
      <c r="A16117" s="2" t="s">
        <v>16117</v>
      </c>
      <c r="B16117" s="2" t="str">
        <f>IFERROR(__xludf.DUMMYFUNCTION("GOOGLETRANSLATE(A16117, ""en"", ""mt"")"),"L-UMC jappoġġja riċerka dwar liema ċelloli meħuda minn kurduni umbilikali?")</f>
        <v>L-UMC jappoġġja riċerka dwar liema ċelloli meħuda minn kurduni umbilikali?</v>
      </c>
    </row>
    <row r="16118" ht="15.75" customHeight="1">
      <c r="A16118" s="2" t="s">
        <v>16118</v>
      </c>
      <c r="B16118" s="2" t="str">
        <f>IFERROR(__xludf.DUMMYFUNCTION("GOOGLETRANSLATE(A16118, ""en"", ""mt"")"),"relattivament ugwali")</f>
        <v>relattivament ugwali</v>
      </c>
    </row>
    <row r="16119" ht="15.75" customHeight="1">
      <c r="A16119" s="2" t="s">
        <v>16119</v>
      </c>
      <c r="B16119" s="2" t="str">
        <f>IFERROR(__xludf.DUMMYFUNCTION("GOOGLETRANSLATE(A16119, ""en"", ""mt"")"),"il-Lhud")</f>
        <v>il-Lhud</v>
      </c>
    </row>
    <row r="16120" ht="15.75" customHeight="1">
      <c r="A16120" s="2" t="s">
        <v>16120</v>
      </c>
      <c r="B16120" s="2" t="str">
        <f>IFERROR(__xludf.DUMMYFUNCTION("GOOGLETRANSLATE(A16120, ""en"", ""mt"")"),"Kemm diviżjonijiet huma meħtieġa biex jivverifikaw il-primalità tan-numru 37?")</f>
        <v>Kemm diviżjonijiet huma meħtieġa biex jivverifikaw il-primalità tan-numru 37?</v>
      </c>
    </row>
    <row r="16121" ht="15.75" customHeight="1">
      <c r="A16121" s="2" t="s">
        <v>16121</v>
      </c>
      <c r="B16121" s="2" t="str">
        <f>IFERROR(__xludf.DUMMYFUNCTION("GOOGLETRANSLATE(A16121, ""en"", ""mt"")"),"aġitazzjoni għar-riforma kostituzzjonali")</f>
        <v>aġitazzjoni għar-riforma kostituzzjonali</v>
      </c>
    </row>
    <row r="16122" ht="15.75" customHeight="1">
      <c r="A16122" s="2" t="s">
        <v>16122</v>
      </c>
      <c r="B16122" s="2" t="str">
        <f>IFERROR(__xludf.DUMMYFUNCTION("GOOGLETRANSLATE(A16122, ""en"", ""mt"")"),"16,000 sa 35,000")</f>
        <v>16,000 sa 35,000</v>
      </c>
    </row>
    <row r="16123" ht="15.75" customHeight="1">
      <c r="A16123" s="2" t="s">
        <v>16123</v>
      </c>
      <c r="B16123" s="2" t="str">
        <f>IFERROR(__xludf.DUMMYFUNCTION("GOOGLETRANSLATE(A16123, ""en"", ""mt"")"),"Liema dilemma hija eżempju tajjeb ta 'diżubbidjenza ċivili morali?")</f>
        <v>Liema dilemma hija eżempju tajjeb ta 'diżubbidjenza ċivili morali?</v>
      </c>
    </row>
    <row r="16124" ht="15.75" customHeight="1">
      <c r="A16124" s="2" t="s">
        <v>16124</v>
      </c>
      <c r="B16124" s="2" t="str">
        <f>IFERROR(__xludf.DUMMYFUNCTION("GOOGLETRANSLATE(A16124, ""en"", ""mt"")"),"Te Deum Ġermaniż")</f>
        <v>Te Deum Ġermaniż</v>
      </c>
    </row>
    <row r="16125" ht="15.75" customHeight="1">
      <c r="A16125" s="2" t="s">
        <v>16125</v>
      </c>
      <c r="B16125" s="2" t="str">
        <f>IFERROR(__xludf.DUMMYFUNCTION("GOOGLETRANSLATE(A16125, ""en"", ""mt"")"),"Meta nqatel in-nofs ħuh ta 'Temüjin maqtula?")</f>
        <v>Meta nqatel in-nofs ħuh ta 'Temüjin maqtula?</v>
      </c>
    </row>
    <row r="16126" ht="15.75" customHeight="1">
      <c r="A16126" s="2" t="s">
        <v>16126</v>
      </c>
      <c r="B16126" s="2" t="str">
        <f>IFERROR(__xludf.DUMMYFUNCTION("GOOGLETRANSLATE(A16126, ""en"", ""mt"")"),"it-tilkoids u l-ispazju intermembrane")</f>
        <v>it-tilkoids u l-ispazju intermembrane</v>
      </c>
    </row>
    <row r="16127" ht="15.75" customHeight="1">
      <c r="A16127" s="2" t="s">
        <v>16127</v>
      </c>
      <c r="B16127" s="2" t="str">
        <f>IFERROR(__xludf.DUMMYFUNCTION("GOOGLETRANSLATE(A16127, ""en"", ""mt"")"),"Kastelli u Vinji")</f>
        <v>Kastelli u Vinji</v>
      </c>
    </row>
    <row r="16128" ht="15.75" customHeight="1">
      <c r="A16128" s="2" t="s">
        <v>16128</v>
      </c>
      <c r="B16128" s="2" t="str">
        <f>IFERROR(__xludf.DUMMYFUNCTION("GOOGLETRANSLATE(A16128, ""en"", ""mt"")"),"Liema unità titkejjel biex tiddetermina l-kumplessità taċ-ċirkwit?")</f>
        <v>Liema unità titkejjel biex tiddetermina l-kumplessità taċ-ċirkwit?</v>
      </c>
    </row>
    <row r="16129" ht="15.75" customHeight="1">
      <c r="A16129" s="2" t="s">
        <v>16129</v>
      </c>
      <c r="B16129" s="2" t="str">
        <f>IFERROR(__xludf.DUMMYFUNCTION("GOOGLETRANSLATE(A16129, ""en"", ""mt"")"),"kollox")</f>
        <v>kollox</v>
      </c>
    </row>
    <row r="16130" ht="15.75" customHeight="1">
      <c r="A16130" s="2" t="s">
        <v>16130</v>
      </c>
      <c r="B16130" s="2" t="str">
        <f>IFERROR(__xludf.DUMMYFUNCTION("GOOGLETRANSLATE(A16130, ""en"", ""mt"")"),"Minn xiex issir il-Mace Parlamentari?")</f>
        <v>Minn xiex issir il-Mace Parlamentari?</v>
      </c>
    </row>
    <row r="16131" ht="15.75" customHeight="1">
      <c r="A16131" s="2" t="s">
        <v>16131</v>
      </c>
      <c r="B16131" s="2" t="str">
        <f>IFERROR(__xludf.DUMMYFUNCTION("GOOGLETRANSLATE(A16131, ""en"", ""mt"")"),"Fl-2005, x’kien jaħseb Doctor Who li kien jaħseb il-kundizzjoni tal-pjaneta tad-dar tiegħu?")</f>
        <v>Fl-2005, x’kien jaħseb Doctor Who li kien jaħseb il-kundizzjoni tal-pjaneta tad-dar tiegħu?</v>
      </c>
    </row>
    <row r="16132" ht="15.75" customHeight="1">
      <c r="A16132" s="2" t="s">
        <v>16132</v>
      </c>
      <c r="B16132" s="2" t="str">
        <f>IFERROR(__xludf.DUMMYFUNCTION("GOOGLETRANSLATE(A16132, ""en"", ""mt"")"),"elettromanjetiku unifikat")</f>
        <v>elettromanjetiku unifikat</v>
      </c>
    </row>
    <row r="16133" ht="15.75" customHeight="1">
      <c r="A16133" s="2" t="s">
        <v>16133</v>
      </c>
      <c r="B16133" s="2" t="str">
        <f>IFERROR(__xludf.DUMMYFUNCTION("GOOGLETRANSLATE(A16133, ""en"", ""mt"")"),"X'tip ta 'dikjarazzjoni hija magħmula fl-isforz li tistabbilixxi r-rekwiżiti tal-ħin u l-ispazju meħtieġa biex titjieb in-numru aħħari ta' problemi solvuti?")</f>
        <v>X'tip ta 'dikjarazzjoni hija magħmula fl-isforz li tistabbilixxi r-rekwiżiti tal-ħin u l-ispazju meħtieġa biex titjieb in-numru aħħari ta' problemi solvuti?</v>
      </c>
    </row>
    <row r="16134" ht="15.75" customHeight="1">
      <c r="A16134" s="2" t="s">
        <v>16134</v>
      </c>
      <c r="B16134" s="2" t="str">
        <f>IFERROR(__xludf.DUMMYFUNCTION("GOOGLETRANSLATE(A16134, ""en"", ""mt"")"),"X'kien il-proporzjon ta 'rebħa / telf fl-2015 għall-Panthers Carolina matul l-istaġun regolari tagħhom?")</f>
        <v>X'kien il-proporzjon ta 'rebħa / telf fl-2015 għall-Panthers Carolina matul l-istaġun regolari tagħhom?</v>
      </c>
    </row>
    <row r="16135" ht="15.75" customHeight="1">
      <c r="A16135" s="2" t="s">
        <v>16135</v>
      </c>
      <c r="B16135" s="2" t="str">
        <f>IFERROR(__xludf.DUMMYFUNCTION("GOOGLETRANSLATE(A16135, ""en"", ""mt"")"),"$ 37.6 biljun")</f>
        <v>$ 37.6 biljun</v>
      </c>
    </row>
    <row r="16136" ht="15.75" customHeight="1">
      <c r="A16136" s="2" t="s">
        <v>16136</v>
      </c>
      <c r="B16136" s="2" t="str">
        <f>IFERROR(__xludf.DUMMYFUNCTION("GOOGLETRANSLATE(A16136, ""en"", ""mt"")"),"Meritokrazija")</f>
        <v>Meritokrazija</v>
      </c>
    </row>
    <row r="16137" ht="15.75" customHeight="1">
      <c r="A16137" s="2" t="s">
        <v>16137</v>
      </c>
      <c r="B16137" s="2" t="str">
        <f>IFERROR(__xludf.DUMMYFUNCTION("GOOGLETRANSLATE(A16137, ""en"", ""mt"")"),"Manifattura fuq skala żgħira ta 'oġġetti tad-dar, partijiet ta' vetturi bil-mutur, u implimentazzjoni tar-razzett")</f>
        <v>Manifattura fuq skala żgħira ta 'oġġetti tad-dar, partijiet ta' vetturi bil-mutur, u implimentazzjoni tar-razzett</v>
      </c>
    </row>
    <row r="16138" ht="15.75" customHeight="1">
      <c r="A16138" s="2" t="s">
        <v>16138</v>
      </c>
      <c r="B16138" s="2" t="str">
        <f>IFERROR(__xludf.DUMMYFUNCTION("GOOGLETRANSLATE(A16138, ""en"", ""mt"")"),"Knisja Metodista ta ’San Ġorġ Magħquda")</f>
        <v>Knisja Metodista ta ’San Ġorġ Magħquda</v>
      </c>
    </row>
    <row r="16139" ht="15.75" customHeight="1">
      <c r="A16139" s="2" t="s">
        <v>16139</v>
      </c>
      <c r="B16139" s="2" t="str">
        <f>IFERROR(__xludf.DUMMYFUNCTION("GOOGLETRANSLATE(A16139, ""en"", ""mt"")"),"Għall-ewwel x’taħseb Tesla kienet il-kawża ewlenija tal-ħsara liċ-ċelloli tal-ġilda meta kienu esposti għar-raġġi X?")</f>
        <v>Għall-ewwel x’taħseb Tesla kienet il-kawża ewlenija tal-ħsara liċ-ċelloli tal-ġilda meta kienu esposti għar-raġġi X?</v>
      </c>
    </row>
    <row r="16140" ht="15.75" customHeight="1">
      <c r="A16140" s="2" t="s">
        <v>16140</v>
      </c>
      <c r="B16140" s="2" t="str">
        <f>IFERROR(__xludf.DUMMYFUNCTION("GOOGLETRANSLATE(A16140, ""en"", ""mt"")"),"Liema sistema Tesla rrakkomandat lil Niagara Falls fl-1893?")</f>
        <v>Liema sistema Tesla rrakkomandat lil Niagara Falls fl-1893?</v>
      </c>
    </row>
    <row r="16141" ht="15.75" customHeight="1">
      <c r="A16141" s="2" t="s">
        <v>16141</v>
      </c>
      <c r="B16141" s="2" t="str">
        <f>IFERROR(__xludf.DUMMYFUNCTION("GOOGLETRANSLATE(A16141, ""en"", ""mt"")"),"Użu ta 'netwerk deċentralizzat b'ħafna mogħdijiet bejn kwalunkwe żewġ punti, billi taqsam il-messaġġi tal-utent fi blokki ta' messaġġi")</f>
        <v>Użu ta 'netwerk deċentralizzat b'ħafna mogħdijiet bejn kwalunkwe żewġ punti, billi taqsam il-messaġġi tal-utent fi blokki ta' messaġġi</v>
      </c>
    </row>
    <row r="16142" ht="15.75" customHeight="1">
      <c r="A16142" s="2" t="s">
        <v>16142</v>
      </c>
      <c r="B16142" s="2" t="str">
        <f>IFERROR(__xludf.DUMMYFUNCTION("GOOGLETRANSLATE(A16142, ""en"", ""mt"")"),"X'inhi l-unità bażika ta 'organizzazzjoni fi ħdan l-UMC?")</f>
        <v>X'inhi l-unità bażika ta 'organizzazzjoni fi ħdan l-UMC?</v>
      </c>
    </row>
    <row r="16143" ht="15.75" customHeight="1">
      <c r="A16143" s="2" t="s">
        <v>16143</v>
      </c>
      <c r="B16143" s="2" t="str">
        <f>IFERROR(__xludf.DUMMYFUNCTION("GOOGLETRANSLATE(A16143, ""en"", ""mt"")"),"Supretendenti Distrettwali")</f>
        <v>Supretendenti Distrettwali</v>
      </c>
    </row>
    <row r="16144" ht="15.75" customHeight="1">
      <c r="A16144" s="2" t="s">
        <v>16144</v>
      </c>
      <c r="B16144" s="2" t="str">
        <f>IFERROR(__xludf.DUMMYFUNCTION("GOOGLETRANSLATE(A16144, ""en"", ""mt"")"),"Min hu kkreditat bl-isem modern għal din is-sistema")</f>
        <v>Min hu kkreditat bl-isem modern għal din is-sistema</v>
      </c>
    </row>
    <row r="16145" ht="15.75" customHeight="1">
      <c r="A16145" s="2" t="s">
        <v>16145</v>
      </c>
      <c r="B16145" s="2" t="str">
        <f>IFERROR(__xludf.DUMMYFUNCTION("GOOGLETRANSLATE(A16145, ""en"", ""mt"")"),"Missier il-Mongoli")</f>
        <v>Missier il-Mongoli</v>
      </c>
    </row>
    <row r="16146" ht="15.75" customHeight="1">
      <c r="A16146" s="2" t="s">
        <v>16146</v>
      </c>
      <c r="B16146" s="2" t="str">
        <f>IFERROR(__xludf.DUMMYFUNCTION("GOOGLETRANSLATE(A16146, ""en"", ""mt"")"),"Ibbażat fuq il-ħtieġa")</f>
        <v>Ibbażat fuq il-ħtieġa</v>
      </c>
    </row>
    <row r="16147" ht="15.75" customHeight="1">
      <c r="A16147" s="2" t="s">
        <v>16147</v>
      </c>
      <c r="B16147" s="2" t="str">
        <f>IFERROR(__xludf.DUMMYFUNCTION("GOOGLETRANSLATE(A16147, ""en"", ""mt"")"),"Spanja, l-Afrika ta ’Fuq, il-Lvant Nofsani, l-Asja Ċentrali u l-Afganistan")</f>
        <v>Spanja, l-Afrika ta ’Fuq, il-Lvant Nofsani, l-Asja Ċentrali u l-Afganistan</v>
      </c>
    </row>
    <row r="16148" ht="15.75" customHeight="1">
      <c r="A16148" s="2" t="s">
        <v>16148</v>
      </c>
      <c r="B16148" s="2" t="str">
        <f>IFERROR(__xludf.DUMMYFUNCTION("GOOGLETRANSLATE(A16148, ""en"", ""mt"")"),"Jum l-Indipendenza")</f>
        <v>Jum l-Indipendenza</v>
      </c>
    </row>
    <row r="16149" ht="15.75" customHeight="1">
      <c r="A16149" s="2" t="s">
        <v>16149</v>
      </c>
      <c r="B16149" s="2" t="str">
        <f>IFERROR(__xludf.DUMMYFUNCTION("GOOGLETRANSLATE(A16149, ""en"", ""mt"")"),"Stat ta 'San Jose")</f>
        <v>Stat ta 'San Jose</v>
      </c>
    </row>
    <row r="16150" ht="15.75" customHeight="1">
      <c r="A16150" s="2" t="s">
        <v>16150</v>
      </c>
      <c r="B16150" s="2" t="str">
        <f>IFERROR(__xludf.DUMMYFUNCTION("GOOGLETRANSLATE(A16150, ""en"", ""mt"")"),"X'kienet il-popolazzjoni tar-Repubblika Olandiża qabel din l-emigrazzjoni?")</f>
        <v>X'kienet il-popolazzjoni tar-Repubblika Olandiża qabel din l-emigrazzjoni?</v>
      </c>
    </row>
    <row r="16151" ht="15.75" customHeight="1">
      <c r="A16151" s="2" t="s">
        <v>16151</v>
      </c>
      <c r="B16151" s="2" t="str">
        <f>IFERROR(__xludf.DUMMYFUNCTION("GOOGLETRANSLATE(A16151, ""en"", ""mt"")"),"Liema karatteristika dovuta l-biċċa l-kbira tal-oġġetti juru wara l-ħruq?")</f>
        <v>Liema karatteristika dovuta l-biċċa l-kbira tal-oġġetti juru wara l-ħruq?</v>
      </c>
    </row>
    <row r="16152" ht="15.75" customHeight="1">
      <c r="A16152" s="2" t="s">
        <v>16152</v>
      </c>
      <c r="B16152" s="2" t="str">
        <f>IFERROR(__xludf.DUMMYFUNCTION("GOOGLETRANSLATE(A16152, ""en"", ""mt"")"),"Liema simboli ta 'rebħa bnew il-Mongoli fuq il-pjanuri barra Samarkand?")</f>
        <v>Liema simboli ta 'rebħa bnew il-Mongoli fuq il-pjanuri barra Samarkand?</v>
      </c>
    </row>
    <row r="16153" ht="15.75" customHeight="1">
      <c r="A16153" s="2" t="s">
        <v>16153</v>
      </c>
      <c r="B16153" s="2" t="str">
        <f>IFERROR(__xludf.DUMMYFUNCTION("GOOGLETRANSLATE(A16153, ""en"", ""mt"")"),"korp ta 'trattati u leġislazzjoni, bħal regolamenti u direttivi")</f>
        <v>korp ta 'trattati u leġislazzjoni, bħal regolamenti u direttivi</v>
      </c>
    </row>
    <row r="16154" ht="15.75" customHeight="1">
      <c r="A16154" s="2" t="s">
        <v>16154</v>
      </c>
      <c r="B16154" s="2" t="str">
        <f>IFERROR(__xludf.DUMMYFUNCTION("GOOGLETRANSLATE(A16154, ""en"", ""mt"")"),"X'kienet l-entità korporattiva teatri Amerikani-paramount Amerikana msejħa fl-1965?")</f>
        <v>X'kienet l-entità korporattiva teatri Amerikani-paramount Amerikana msejħa fl-1965?</v>
      </c>
    </row>
    <row r="16155" ht="15.75" customHeight="1">
      <c r="A16155" s="2" t="s">
        <v>16155</v>
      </c>
      <c r="B16155" s="2" t="str">
        <f>IFERROR(__xludf.DUMMYFUNCTION("GOOGLETRANSLATE(A16155, ""en"", ""mt"")"),"l-iktar siġġijiet fl-assemblea leġiżlattiva")</f>
        <v>l-iktar siġġijiet fl-assemblea leġiżlattiva</v>
      </c>
    </row>
    <row r="16156" ht="15.75" customHeight="1">
      <c r="A16156" s="2" t="s">
        <v>16156</v>
      </c>
      <c r="B16156" s="2" t="str">
        <f>IFERROR(__xludf.DUMMYFUNCTION("GOOGLETRANSLATE(A16156, ""en"", ""mt"")"),"Dak kollu li jintuża biex jaħdem niket fuq id-dnub jissejjaħ il-liġi,")</f>
        <v>Dak kollu li jintuża biex jaħdem niket fuq id-dnub jissejjaħ il-liġi,</v>
      </c>
    </row>
    <row r="16157" ht="15.75" customHeight="1">
      <c r="A16157" s="2" t="s">
        <v>16157</v>
      </c>
      <c r="B16157" s="2" t="str">
        <f>IFERROR(__xludf.DUMMYFUNCTION("GOOGLETRANSLATE(A16157, ""en"", ""mt"")"),"Assoċjazzjoni ta 'Universitajiet Amerikani")</f>
        <v>Assoċjazzjoni ta 'Universitajiet Amerikani</v>
      </c>
    </row>
    <row r="16158" ht="15.75" customHeight="1">
      <c r="A16158" s="2" t="s">
        <v>16158</v>
      </c>
      <c r="B16158" s="2" t="str">
        <f>IFERROR(__xludf.DUMMYFUNCTION("GOOGLETRANSLATE(A16158, ""en"", ""mt"")"),"biex tmexxi pompi tal-protoni")</f>
        <v>biex tmexxi pompi tal-protoni</v>
      </c>
    </row>
    <row r="16159" ht="15.75" customHeight="1">
      <c r="A16159" s="2" t="s">
        <v>16159</v>
      </c>
      <c r="B16159" s="2" t="str">
        <f>IFERROR(__xludf.DUMMYFUNCTION("GOOGLETRANSLATE(A16159, ""en"", ""mt"")"),"cortisol u katekolamini")</f>
        <v>cortisol u katekolamini</v>
      </c>
    </row>
    <row r="16160" ht="15.75" customHeight="1">
      <c r="A16160" s="2" t="s">
        <v>16160</v>
      </c>
      <c r="B16160" s="2" t="str">
        <f>IFERROR(__xludf.DUMMYFUNCTION("GOOGLETRANSLATE(A16160, ""en"", ""mt"")"),"Kif intużaw il-fieri ta 'Fresno?")</f>
        <v>Kif intużaw il-fieri ta 'Fresno?</v>
      </c>
    </row>
    <row r="16161" ht="15.75" customHeight="1">
      <c r="A16161" s="2" t="s">
        <v>16161</v>
      </c>
      <c r="B16161" s="2" t="str">
        <f>IFERROR(__xludf.DUMMYFUNCTION("GOOGLETRANSLATE(A16161, ""en"", ""mt"")"),"Il-funzjoni Zeta hija relatata mill-qrib man-numri ewlenin. Pereżempju, il-fatt imsemmi hawn fuq li hemm ħafna primes infinitament jista 'jidher ukoll bl-użu tal-funzjoni Zeta: jekk kien hemm biss ħafna primes finitament allura ζ (1) ikollu valur finit. M"&amp;"adankollu, is-Serje Armonika 1 + 1/2 + 1/3 + 1/4 + ... tvarja (i.e., taqbeż kull numru partikolari), u għalhekk għandu jkun hemm ħafna primes infinitament. Eżempju ieħor tar-rikkezza tal-funzjoni Zeta u idea tat-teorija moderna tan-numru alġebrin huwa l-i"&amp;"dentità li ġejja (problema ta 'Basel), minħabba Euler,")</f>
        <v>Il-funzjoni Zeta hija relatata mill-qrib man-numri ewlenin. Pereżempju, il-fatt imsemmi hawn fuq li hemm ħafna primes infinitament jista 'jidher ukoll bl-użu tal-funzjoni Zeta: jekk kien hemm biss ħafna primes finitament allura ζ (1) ikollu valur finit. Madankollu, is-Serje Armonika 1 + 1/2 + 1/3 + 1/4 + ... tvarja (i.e., taqbeż kull numru partikolari), u għalhekk għandu jkun hemm ħafna primes infinitament. Eżempju ieħor tar-rikkezza tal-funzjoni Zeta u idea tat-teorija moderna tan-numru alġebrin huwa l-identità li ġejja (problema ta 'Basel), minħabba Euler,</v>
      </c>
    </row>
    <row r="16162" ht="15.75" customHeight="1">
      <c r="A16162" s="2" t="s">
        <v>16162</v>
      </c>
      <c r="B16162" s="2" t="str">
        <f>IFERROR(__xludf.DUMMYFUNCTION("GOOGLETRANSLATE(A16162, ""en"", ""mt"")"),"Biegħ aktar mediċini lill-pazjent")</f>
        <v>Biegħ aktar mediċini lill-pazjent</v>
      </c>
    </row>
    <row r="16163" ht="15.75" customHeight="1">
      <c r="A16163" s="2" t="s">
        <v>16163</v>
      </c>
      <c r="B16163" s="2" t="str">
        <f>IFERROR(__xludf.DUMMYFUNCTION("GOOGLETRANSLATE(A16163, ""en"", ""mt"")"),"L-Istati Uniti / il-Kanada")</f>
        <v>L-Istati Uniti / il-Kanada</v>
      </c>
    </row>
    <row r="16164" ht="15.75" customHeight="1">
      <c r="A16164" s="2" t="s">
        <v>16164</v>
      </c>
      <c r="B16164" s="2" t="str">
        <f>IFERROR(__xludf.DUMMYFUNCTION("GOOGLETRANSLATE(A16164, ""en"", ""mt"")"),"Tramuntana")</f>
        <v>Tramuntana</v>
      </c>
    </row>
    <row r="16165" ht="15.75" customHeight="1">
      <c r="A16165" s="2" t="s">
        <v>16165</v>
      </c>
      <c r="B16165" s="2" t="str">
        <f>IFERROR(__xludf.DUMMYFUNCTION("GOOGLETRANSLATE(A16165, ""en"", ""mt"")"),"Speċjalisti tas-suġġetti differenti")</f>
        <v>Speċjalisti tas-suġġetti differenti</v>
      </c>
    </row>
    <row r="16166" ht="15.75" customHeight="1">
      <c r="A16166" s="2" t="s">
        <v>16166</v>
      </c>
      <c r="B16166" s="2" t="str">
        <f>IFERROR(__xludf.DUMMYFUNCTION("GOOGLETRANSLATE(A16166, ""en"", ""mt"")"),"L-Enerġija tad-Dawl tax-Xemx")</f>
        <v>L-Enerġija tad-Dawl tax-Xemx</v>
      </c>
    </row>
    <row r="16167" ht="15.75" customHeight="1">
      <c r="A16167" s="2" t="s">
        <v>16167</v>
      </c>
      <c r="B16167" s="2" t="str">
        <f>IFERROR(__xludf.DUMMYFUNCTION("GOOGLETRANSLATE(A16167, ""en"", ""mt"")"),"X'inhi l-ispiża stmata tal-Gallerija tad-ditta V&amp;A?")</f>
        <v>X'inhi l-ispiża stmata tal-Gallerija tad-ditta V&amp;A?</v>
      </c>
    </row>
    <row r="16168" ht="15.75" customHeight="1">
      <c r="A16168" s="2" t="s">
        <v>16168</v>
      </c>
      <c r="B16168" s="2" t="str">
        <f>IFERROR(__xludf.DUMMYFUNCTION("GOOGLETRANSLATE(A16168, ""en"", ""mt"")"),"Sitt ta 'fuq")</f>
        <v>Sitt ta 'fuq</v>
      </c>
    </row>
    <row r="16169" ht="15.75" customHeight="1">
      <c r="A16169" s="2" t="s">
        <v>16169</v>
      </c>
      <c r="B16169" s="2" t="str">
        <f>IFERROR(__xludf.DUMMYFUNCTION("GOOGLETRANSLATE(A16169, ""en"", ""mt"")"),"aktar minn $ 2,000,")</f>
        <v>aktar minn $ 2,000,</v>
      </c>
    </row>
    <row r="16170" ht="15.75" customHeight="1">
      <c r="A16170" s="2" t="s">
        <v>16170</v>
      </c>
      <c r="B16170" s="2" t="str">
        <f>IFERROR(__xludf.DUMMYFUNCTION("GOOGLETRANSLATE(A16170, ""en"", ""mt"")"),"Magni ta 'kombustjoni interna jew muturi elettriċi")</f>
        <v>Magni ta 'kombustjoni interna jew muturi elettriċi</v>
      </c>
    </row>
    <row r="16171" ht="15.75" customHeight="1">
      <c r="A16171" s="2" t="s">
        <v>16171</v>
      </c>
      <c r="B16171" s="2" t="str">
        <f>IFERROR(__xludf.DUMMYFUNCTION("GOOGLETRANSLATE(A16171, ""en"", ""mt"")"),"L-ebda armata regolari Franċiża")</f>
        <v>L-ebda armata regolari Franċiża</v>
      </c>
    </row>
    <row r="16172" ht="15.75" customHeight="1">
      <c r="A16172" s="2" t="s">
        <v>16172</v>
      </c>
      <c r="B16172" s="2" t="str">
        <f>IFERROR(__xludf.DUMMYFUNCTION("GOOGLETRANSLATE(A16172, ""en"", ""mt"")"),"antropoloġiku")</f>
        <v>antropoloġiku</v>
      </c>
    </row>
    <row r="16173" ht="15.75" customHeight="1">
      <c r="A16173" s="2" t="s">
        <v>16173</v>
      </c>
      <c r="B16173" s="2" t="str">
        <f>IFERROR(__xludf.DUMMYFUNCTION("GOOGLETRANSLATE(A16173, ""en"", ""mt"")"),"X'jagħmlu ħafna mill-ispiżeriji onlajn?")</f>
        <v>X'jagħmlu ħafna mill-ispiżeriji onlajn?</v>
      </c>
    </row>
    <row r="16174" ht="15.75" customHeight="1">
      <c r="A16174" s="2" t="s">
        <v>16174</v>
      </c>
      <c r="B16174" s="2" t="str">
        <f>IFERROR(__xludf.DUMMYFUNCTION("GOOGLETRANSLATE(A16174, ""en"", ""mt"")"),"Produzzjoni radikali ħielsa")</f>
        <v>Produzzjoni radikali ħielsa</v>
      </c>
    </row>
    <row r="16175" ht="15.75" customHeight="1">
      <c r="A16175" s="2" t="s">
        <v>16175</v>
      </c>
      <c r="B16175" s="2" t="str">
        <f>IFERROR(__xludf.DUMMYFUNCTION("GOOGLETRANSLATE(A16175, ""en"", ""mt"")"),"Fejn tnejn mill-bniet ta 'Triton waqqfu vjaġġ?")</f>
        <v>Fejn tnejn mill-bniet ta 'Triton waqqfu vjaġġ?</v>
      </c>
    </row>
    <row r="16176" ht="15.75" customHeight="1">
      <c r="A16176" s="2" t="s">
        <v>16176</v>
      </c>
      <c r="B16176" s="2" t="str">
        <f>IFERROR(__xludf.DUMMYFUNCTION("GOOGLETRANSLATE(A16176, ""en"", ""mt"")"),"Public Pad Service Telepad")</f>
        <v>Public Pad Service Telepad</v>
      </c>
    </row>
    <row r="16177" ht="15.75" customHeight="1">
      <c r="A16177" s="2" t="s">
        <v>16177</v>
      </c>
      <c r="B16177" s="2" t="str">
        <f>IFERROR(__xludf.DUMMYFUNCTION("GOOGLETRANSLATE(A16177, ""en"", ""mt"")"),"Għal liema tradizzjoni kienu magħrufa l-patrijiet Saint-Evroul?")</f>
        <v>Għal liema tradizzjoni kienu magħrufa l-patrijiet Saint-Evroul?</v>
      </c>
    </row>
    <row r="16178" ht="15.75" customHeight="1">
      <c r="A16178" s="2" t="s">
        <v>16178</v>
      </c>
      <c r="B16178" s="2" t="str">
        <f>IFERROR(__xludf.DUMMYFUNCTION("GOOGLETRANSLATE(A16178, ""en"", ""mt"")"),"Tesla ġiet offruta l-kompitu li tfassal mill-ġdid kompletament il-ġeneraturi kurrenti diretti tal-kumpanija Edison. Fl-1885, huwa qal li jista 'jiddisinja mill-ġdid il-mutur u l-ġeneraturi ineffiċjenti ta' Edison, u jagħmel titjib kemm fis-servizz kif uko"&amp;"ll fl-ekonomija. Skond Tesla, Edison irrimarka, ""Hemm ħamsin elf dollaru għalik - jekk tista 'tagħmel dan."": 54–57: 64 Dan ġie nnutat bħala dikjarazzjoni fard minn Edison li l-kumpanija tagħha kienet stingy bil-paga u min għamel M'għandekx dik it-tip ta"&amp;" 'flus kontanti. Wara xhur ta 'xogħol, Tesla ssodisfat il-kompitu u staqsiet dwar il-ħlas. Edison, u qal li kien qed jiċċajta biss, wieġeb, ""Tesla, ma tifhimx l-umoriżmu Amerikan tagħna."": 64 Minflok, Edison offra $ 10 fil-ġimgħa li ġabret fuq is-salarj"&amp;"u ta 'Tesla ta' $ 18 fil-ġimgħa; Tesla rrifjutat l-offerta u rriżenja minnufih.")</f>
        <v>Tesla ġiet offruta l-kompitu li tfassal mill-ġdid kompletament il-ġeneraturi kurrenti diretti tal-kumpanija Edison. Fl-1885, huwa qal li jista 'jiddisinja mill-ġdid il-mutur u l-ġeneraturi ineffiċjenti ta' Edison, u jagħmel titjib kemm fis-servizz kif ukoll fl-ekonomija. Skond Tesla, Edison irrimarka, "Hemm ħamsin elf dollaru għalik - jekk tista 'tagħmel dan.": 54–57: 64 Dan ġie nnutat bħala dikjarazzjoni fard minn Edison li l-kumpanija tagħha kienet stingy bil-paga u min għamel M'għandekx dik it-tip ta 'flus kontanti. Wara xhur ta 'xogħol, Tesla ssodisfat il-kompitu u staqsiet dwar il-ħlas. Edison, u qal li kien qed jiċċajta biss, wieġeb, "Tesla, ma tifhimx l-umoriżmu Amerikan tagħna.": 64 Minflok, Edison offra $ 10 fil-ġimgħa li ġabret fuq is-salarju ta 'Tesla ta' $ 18 fil-ġimgħa; Tesla rrifjutat l-offerta u rriżenja minnufih.</v>
      </c>
    </row>
    <row r="16179" ht="15.75" customHeight="1">
      <c r="A16179" s="2" t="s">
        <v>16179</v>
      </c>
      <c r="B16179" s="2" t="str">
        <f>IFERROR(__xludf.DUMMYFUNCTION("GOOGLETRANSLATE(A16179, ""en"", ""mt"")"),"Għaliex iċ-Ċiniżi tan-Nofsinhar ġew ikklassifikati aktar baxxi?")</f>
        <v>Għaliex iċ-Ċiniżi tan-Nofsinhar ġew ikklassifikati aktar baxxi?</v>
      </c>
    </row>
    <row r="16180" ht="15.75" customHeight="1">
      <c r="A16180" s="2" t="s">
        <v>16180</v>
      </c>
      <c r="B16180" s="2" t="str">
        <f>IFERROR(__xludf.DUMMYFUNCTION("GOOGLETRANSLATE(A16180, ""en"", ""mt"")"),"Fluke storiku")</f>
        <v>Fluke storiku</v>
      </c>
    </row>
    <row r="16181" ht="15.75" customHeight="1">
      <c r="A16181" s="2" t="s">
        <v>16181</v>
      </c>
      <c r="B16181" s="2" t="str">
        <f>IFERROR(__xludf.DUMMYFUNCTION("GOOGLETRANSLATE(A16181, ""en"", ""mt"")"),"X'inhi meqjusa bħala professjoni gradwata kollha fl-Iskozja?")</f>
        <v>X'inhi meqjusa bħala professjoni gradwata kollha fl-Iskozja?</v>
      </c>
    </row>
    <row r="16182" ht="15.75" customHeight="1">
      <c r="A16182" s="2" t="s">
        <v>16182</v>
      </c>
      <c r="B16182" s="2" t="str">
        <f>IFERROR(__xludf.DUMMYFUNCTION("GOOGLETRANSLATE(A16182, ""en"", ""mt"")"),"imħabbra pubblikament")</f>
        <v>imħabbra pubblikament</v>
      </c>
    </row>
    <row r="16183" ht="15.75" customHeight="1">
      <c r="A16183" s="2" t="s">
        <v>16183</v>
      </c>
      <c r="B16183" s="2" t="str">
        <f>IFERROR(__xludf.DUMMYFUNCTION("GOOGLETRANSLATE(A16183, ""en"", ""mt"")"),"Taħt liema mexxej il-Huguenots ġġieldu f'dan il-kunflitt?")</f>
        <v>Taħt liema mexxej il-Huguenots ġġieldu f'dan il-kunflitt?</v>
      </c>
    </row>
    <row r="16184" ht="15.75" customHeight="1">
      <c r="A16184" s="2" t="s">
        <v>16184</v>
      </c>
      <c r="B16184" s="2" t="str">
        <f>IFERROR(__xludf.DUMMYFUNCTION("GOOGLETRANSLATE(A16184, ""en"", ""mt"")"),"Kemm-il għażliet kellhom AQIB Talib?")</f>
        <v>Kemm-il għażliet kellhom AQIB Talib?</v>
      </c>
    </row>
    <row r="16185" ht="15.75" customHeight="1">
      <c r="A16185" s="2" t="s">
        <v>16185</v>
      </c>
      <c r="B16185" s="2" t="str">
        <f>IFERROR(__xludf.DUMMYFUNCTION("GOOGLETRANSLATE(A16185, ""en"", ""mt"")"),"Ħsad tal-kerrejja Ċiniżi tagħhom")</f>
        <v>Ħsad tal-kerrejja Ċiniżi tagħhom</v>
      </c>
    </row>
    <row r="16186" ht="15.75" customHeight="1">
      <c r="A16186" s="2" t="s">
        <v>16186</v>
      </c>
      <c r="B16186" s="2" t="str">
        <f>IFERROR(__xludf.DUMMYFUNCTION("GOOGLETRANSLATE(A16186, ""en"", ""mt"")"),"gwerra sekulari")</f>
        <v>gwerra sekulari</v>
      </c>
    </row>
    <row r="16187" ht="15.75" customHeight="1">
      <c r="A16187" s="2" t="s">
        <v>16187</v>
      </c>
      <c r="B16187" s="2" t="str">
        <f>IFERROR(__xludf.DUMMYFUNCTION("GOOGLETRANSLATE(A16187, ""en"", ""mt"")"),"Arranġament differenti ġie rreġistrat minn Peter Howell għall-Istaġun 18 (1980), li mbagħad ġie sostitwit bl-arranġament ta 'Dominic Glynn għas-serje tal-istaġun tul il-prova ta' Time Lord fl-istaġun 23 (1986). Keff McCulloch ipprovda l-arranġament il-ġdi"&amp;"d għas-Seba 'Era tat-Tabib li dam mill-Istaġun 24 (1987) sas-serje' Sospensjoni fl-1989. Il-kompożitur Amerikan John Debney ħoloq arranġament ġdid tat-tema oriġinali ta 'Ron Grainer għal Doctor Who fl-1996. Is-serje fl-2005, Murray Gold ipprovdiet arranġa"&amp;"ment ġdid li kien jidher kampjuni mill-oriġinal tal-1963 b'aktar elementi miżjuda; Fl-episodju tal-Milied tal-2005 ""The Christmas Invasion"", Gold introduċa arranġament ta 'krediti ta' għeluq modifikat li ntuża sal-konklużjoni tas-serje 2007. [Ċitazzjoni"&amp;" meħtieġa]")</f>
        <v>Arranġament differenti ġie rreġistrat minn Peter Howell għall-Istaġun 18 (1980), li mbagħad ġie sostitwit bl-arranġament ta 'Dominic Glynn għas-serje tal-istaġun tul il-prova ta' Time Lord fl-istaġun 23 (1986). Keff McCulloch ipprovda l-arranġament il-ġdid għas-Seba 'Era tat-Tabib li dam mill-Istaġun 24 (1987) sas-serje' Sospensjoni fl-1989. Il-kompożitur Amerikan John Debney ħoloq arranġament ġdid tat-tema oriġinali ta 'Ron Grainer għal Doctor Who fl-1996. Is-serje fl-2005, Murray Gold ipprovdiet arranġament ġdid li kien jidher kampjuni mill-oriġinal tal-1963 b'aktar elementi miżjuda; Fl-episodju tal-Milied tal-2005 "The Christmas Invasion", Gold introduċa arranġament ta 'krediti ta' għeluq modifikat li ntuża sal-konklużjoni tas-serje 2007. [Ċitazzjoni meħtieġa]</v>
      </c>
    </row>
    <row r="16188" ht="15.75" customHeight="1">
      <c r="A16188" s="2" t="s">
        <v>16188</v>
      </c>
      <c r="B16188" s="2" t="str">
        <f>IFERROR(__xludf.DUMMYFUNCTION("GOOGLETRANSLATE(A16188, ""en"", ""mt"")"),"Il-gvern ta 'l-Istati Uniti involva sforzi biex jiġġieled l-Iżlamiżmu, jew l-Iżlamiżmu vjolenti, mill-2001. Dawn l-isforzi kienu ċċentrati fl-Istati Uniti madwar programmi ta' diplomazija pubblika mmexxija mid-Dipartiment ta 'l-Istat. Kien hemm sejħiet bi"&amp;"ex tinħoloq aġenzija indipendenti fl-Istati Uniti b'missjoni speċifika li ddgħajjef l-Iżlamiżmu u l-Ġiħadiżmu. Christian Whiton, uffiċjal fl-amministrazzjoni ta 'George W. Bush, talab għal aġenzija ġdida ffokata fuq il-prattika mhux vjolenti ta' ""gwerra "&amp;"politika"" immirata biex timmina l-ideoloġija. Is-Segretarju tad-Difiża ta 'l-Istati Uniti Robert Gates appella biex jistabbilixxi xi ħaġa simili għall-Aġenzija ta' l-Informazzjoni ta 'l-Istati Uniti li ma tħaddimx, li ġiet akkużata li ddgħajjef l-ideoloġ"&amp;"ija Komunista matul il-Gwerra Bierda.")</f>
        <v>Il-gvern ta 'l-Istati Uniti involva sforzi biex jiġġieled l-Iżlamiżmu, jew l-Iżlamiżmu vjolenti, mill-2001. Dawn l-isforzi kienu ċċentrati fl-Istati Uniti madwar programmi ta' diplomazija pubblika mmexxija mid-Dipartiment ta 'l-Istat. Kien hemm sejħiet biex tinħoloq aġenzija indipendenti fl-Istati Uniti b'missjoni speċifika li ddgħajjef l-Iżlamiżmu u l-Ġiħadiżmu. Christian Whiton, uffiċjal fl-amministrazzjoni ta 'George W. Bush, talab għal aġenzija ġdida ffokata fuq il-prattika mhux vjolenti ta' "gwerra politika" immirata biex timmina l-ideoloġija. Is-Segretarju tad-Difiża ta 'l-Istati Uniti Robert Gates appella biex jistabbilixxi xi ħaġa simili għall-Aġenzija ta' l-Informazzjoni ta 'l-Istati Uniti li ma tħaddimx, li ġiet akkużata li ddgħajjef l-ideoloġija Komunista matul il-Gwerra Bierda.</v>
      </c>
    </row>
    <row r="16189" ht="15.75" customHeight="1">
      <c r="A16189" s="2" t="s">
        <v>16189</v>
      </c>
      <c r="B16189" s="2" t="str">
        <f>IFERROR(__xludf.DUMMYFUNCTION("GOOGLETRANSLATE(A16189, ""en"", ""mt"")"),"Dħul għall-Istandard Wieħed")</f>
        <v>Dħul għall-Istandard Wieħed</v>
      </c>
    </row>
    <row r="16190" ht="15.75" customHeight="1">
      <c r="A16190" s="2" t="s">
        <v>16190</v>
      </c>
      <c r="B16190" s="2" t="str">
        <f>IFERROR(__xludf.DUMMYFUNCTION("GOOGLETRANSLATE(A16190, ""en"", ""mt"")"),"Kemm timijiet kellhom rekord ta '15 -1 għall-istaġun regolari?")</f>
        <v>Kemm timijiet kellhom rekord ta '15 -1 għall-istaġun regolari?</v>
      </c>
    </row>
    <row r="16191" ht="15.75" customHeight="1">
      <c r="A16191" s="2" t="s">
        <v>16191</v>
      </c>
      <c r="B16191" s="2" t="str">
        <f>IFERROR(__xludf.DUMMYFUNCTION("GOOGLETRANSLATE(A16191, ""en"", ""mt"")"),"Studjużi oħra jargumentaw li, anke jekk il-fehmiet tiegħu kienu sempliċement anti-Ġudaiċi - jiġifieri, opposti għall-Ġudaiżmu u l-aderenza tiegħu aktar milli l-Lhud bħala grupp etniku - il-vjolenza tagħhom issellef element ġdid għas-suspett standard Nisra"&amp;"ni tal-Ġudaiżmu. Ronald Berger jikteb li Luther huwa kkreditat b '""ġernanizzazzjoni tal-kritika Nisranija tal-Ġudaiżmu u li tistabbilixxi l-antisemitiżmu bħala element ewlieni tal-kultura Ġermaniża u l-identità nazzjonali."" Paul Rose jargumenta li huwa "&amp;"kkawża ""mentalità isterika u demonizzanti"" dwar il-Lhud biex jidħlu fil-ħsieb u d-diskors Ġermaniż, mentalità li setgħet kienet assenti. Christopher J. Probst fil-ktieb tiegħu Demonizing the Lhud: Luther and the Protestant Church fil-Ġermanja Nażista (2"&amp;"012), juri li numru kbir ta ’kleru Luteran Ġermaniż u teologi waqt it-Tielet Reich Nażista użaw pubblikazzjonijiet ostili ta’ Luther lejn il-Lhud u r-reliġjon Lhudija tagħhom Biex tiġġustifika mill-inqas parzjalment il-politiki antisemitiċi tas-Soċjalisti"&amp;" Nazzjonali.")</f>
        <v>Studjużi oħra jargumentaw li, anke jekk il-fehmiet tiegħu kienu sempliċement anti-Ġudaiċi - jiġifieri, opposti għall-Ġudaiżmu u l-aderenza tiegħu aktar milli l-Lhud bħala grupp etniku - il-vjolenza tagħhom issellef element ġdid għas-suspett standard Nisrani tal-Ġudaiżmu. Ronald Berger jikteb li Luther huwa kkreditat b '"ġernanizzazzjoni tal-kritika Nisranija tal-Ġudaiżmu u li tistabbilixxi l-antisemitiżmu bħala element ewlieni tal-kultura Ġermaniża u l-identità nazzjonali." Paul Rose jargumenta li huwa kkawża "mentalità isterika u demonizzanti" dwar il-Lhud biex jidħlu fil-ħsieb u d-diskors Ġermaniż, mentalità li setgħet kienet assenti. Christopher J. Probst fil-ktieb tiegħu Demonizing the Lhud: Luther and the Protestant Church fil-Ġermanja Nażista (2012), juri li numru kbir ta ’kleru Luteran Ġermaniż u teologi waqt it-Tielet Reich Nażista użaw pubblikazzjonijiet ostili ta’ Luther lejn il-Lhud u r-reliġjon Lhudija tagħhom Biex tiġġustifika mill-inqas parzjalment il-politiki antisemitiċi tas-Soċjalisti Nazzjonali.</v>
      </c>
    </row>
    <row r="16192" ht="15.75" customHeight="1">
      <c r="A16192" s="2" t="s">
        <v>16192</v>
      </c>
      <c r="B16192" s="2" t="str">
        <f>IFERROR(__xludf.DUMMYFUNCTION("GOOGLETRANSLATE(A16192, ""en"", ""mt"")"),"Iċ-ċjanobatterji huma meqjusa bħala l-antenati tal-kloroplasti. Xi drabi jissejħu alka blu-aħdar minkejja li huma prokarioti. Huma phylum differenti ta 'batterji li kapaċi jwettqu fotosintesi, u huma gram-negattivi, li jfisser li għandhom żewġ membrani ta"&amp;"ċ-ċelluli. Iċ-ċjanobatterji fihom ukoll ħajt taċ-ċellula peptidoglycan, li huwa eħxen milli f'batterji gram-negattivi oħra, u li jinsab bejn iż-żewġ membrani taċ-ċelluli tagħhom. Bħall-kloroplasti, huma għandhom thylakoids ġewwa. Fuq il-membrani tat-tilko"&amp;"id hemm pigmenti fotosintetiċi, inkluż il-klorofilla a. Il-phycobilins huma wkoll pigmenti ċjanobatteriċi komuni, ġeneralment organizzati fi phycobilisomi emisferiċi mwaħħlin ma 'barra tal-membrani tat-tilkoid (il-phycobilins mhumiex maqsuma mal-kloroplas"&amp;"ti kollha għalkemm).")</f>
        <v>Iċ-ċjanobatterji huma meqjusa bħala l-antenati tal-kloroplasti. Xi drabi jissejħu alka blu-aħdar minkejja li huma prokarioti. Huma phylum differenti ta 'batterji li kapaċi jwettqu fotosintesi, u huma gram-negattivi, li jfisser li għandhom żewġ membrani taċ-ċelluli. Iċ-ċjanobatterji fihom ukoll ħajt taċ-ċellula peptidoglycan, li huwa eħxen milli f'batterji gram-negattivi oħra, u li jinsab bejn iż-żewġ membrani taċ-ċelluli tagħhom. Bħall-kloroplasti, huma għandhom thylakoids ġewwa. Fuq il-membrani tat-tilkoid hemm pigmenti fotosintetiċi, inkluż il-klorofilla a. Il-phycobilins huma wkoll pigmenti ċjanobatteriċi komuni, ġeneralment organizzati fi phycobilisomi emisferiċi mwaħħlin ma 'barra tal-membrani tat-tilkoid (il-phycobilins mhumiex maqsuma mal-kloroplasti kollha għalkemm).</v>
      </c>
    </row>
    <row r="16193" ht="15.75" customHeight="1">
      <c r="A16193" s="2" t="s">
        <v>16193</v>
      </c>
      <c r="B16193" s="2" t="str">
        <f>IFERROR(__xludf.DUMMYFUNCTION("GOOGLETRANSLATE(A16193, ""en"", ""mt"")"),"Politiki dgħajfa, korruzzjoni, ħaddiema tas-saħħa inadegwati, ġestjoni dgħajfa u tmexxija fqira")</f>
        <v>Politiki dgħajfa, korruzzjoni, ħaddiema tas-saħħa inadegwati, ġestjoni dgħajfa u tmexxija fqira</v>
      </c>
    </row>
    <row r="16194" ht="15.75" customHeight="1">
      <c r="A16194" s="2" t="s">
        <v>16194</v>
      </c>
      <c r="B16194" s="2" t="str">
        <f>IFERROR(__xludf.DUMMYFUNCTION("GOOGLETRANSLATE(A16194, ""en"", ""mt"")"),"1.7 biljun sena ilu")</f>
        <v>1.7 biljun sena ilu</v>
      </c>
    </row>
    <row r="16195" ht="15.75" customHeight="1">
      <c r="A16195" s="2" t="s">
        <v>16195</v>
      </c>
      <c r="B16195" s="2" t="str">
        <f>IFERROR(__xludf.DUMMYFUNCTION("GOOGLETRANSLATE(A16195, ""en"", ""mt"")"),"Rich u sew")</f>
        <v>Rich u sew</v>
      </c>
    </row>
    <row r="16196" ht="15.75" customHeight="1">
      <c r="A16196" s="2" t="s">
        <v>16196</v>
      </c>
      <c r="B16196" s="2" t="str">
        <f>IFERROR(__xludf.DUMMYFUNCTION("GOOGLETRANSLATE(A16196, ""en"", ""mt"")"),"X'jista 'jikkawża ""tisbiħ motivazzjonali""?")</f>
        <v>X'jista 'jikkawża "tisbiħ motivazzjonali"?</v>
      </c>
    </row>
    <row r="16197" ht="15.75" customHeight="1">
      <c r="A16197" s="2" t="s">
        <v>16197</v>
      </c>
      <c r="B16197" s="2" t="str">
        <f>IFERROR(__xludf.DUMMYFUNCTION("GOOGLETRANSLATE(A16197, ""en"", ""mt"")"),"ċelloli T tal-għajnuna, ċelloli T ċitotossiċi")</f>
        <v>ċelloli T tal-għajnuna, ċelloli T ċitotossiċi</v>
      </c>
    </row>
    <row r="16198" ht="15.75" customHeight="1">
      <c r="A16198" s="2" t="s">
        <v>16198</v>
      </c>
      <c r="B16198" s="2" t="str">
        <f>IFERROR(__xludf.DUMMYFUNCTION("GOOGLETRANSLATE(A16198, ""en"", ""mt"")"),"kumplessità tal-ħin u l-ispazju")</f>
        <v>kumplessità tal-ħin u l-ispazju</v>
      </c>
    </row>
    <row r="16199" ht="15.75" customHeight="1">
      <c r="A16199" s="2" t="s">
        <v>16199</v>
      </c>
      <c r="B16199" s="2" t="str">
        <f>IFERROR(__xludf.DUMMYFUNCTION("GOOGLETRANSLATE(A16199, ""en"", ""mt"")"),"it-tielet")</f>
        <v>it-tielet</v>
      </c>
    </row>
    <row r="16200" ht="15.75" customHeight="1">
      <c r="A16200" s="2" t="s">
        <v>16200</v>
      </c>
      <c r="B16200" s="2" t="str">
        <f>IFERROR(__xludf.DUMMYFUNCTION("GOOGLETRANSLATE(A16200, ""en"", ""mt"")"),"P mhix daqs np")</f>
        <v>P mhix daqs np</v>
      </c>
    </row>
    <row r="16201" ht="15.75" customHeight="1">
      <c r="A16201" s="2" t="s">
        <v>16201</v>
      </c>
      <c r="B16201" s="2" t="str">
        <f>IFERROR(__xludf.DUMMYFUNCTION("GOOGLETRANSLATE(A16201, ""en"", ""mt"")"),"Korrelazzjoni stratigrafika")</f>
        <v>Korrelazzjoni stratigrafika</v>
      </c>
    </row>
    <row r="16202" ht="15.75" customHeight="1">
      <c r="A16202" s="2" t="s">
        <v>16202</v>
      </c>
      <c r="B16202" s="2" t="str">
        <f>IFERROR(__xludf.DUMMYFUNCTION("GOOGLETRANSLATE(A16202, ""en"", ""mt"")"),"Trombożi koronarja")</f>
        <v>Trombożi koronarja</v>
      </c>
    </row>
    <row r="16203" ht="15.75" customHeight="1">
      <c r="A16203" s="2" t="s">
        <v>16203</v>
      </c>
      <c r="B16203" s="2" t="str">
        <f>IFERROR(__xludf.DUMMYFUNCTION("GOOGLETRANSLATE(A16203, ""en"", ""mt"")"),"Suite ta 'protokolli tan-netwerk maħluqa minn Digital Equipment Corporation")</f>
        <v>Suite ta 'protokolli tan-netwerk maħluqa minn Digital Equipment Corporation</v>
      </c>
    </row>
    <row r="16204" ht="15.75" customHeight="1">
      <c r="A16204" s="2" t="s">
        <v>16204</v>
      </c>
      <c r="B16204" s="2" t="str">
        <f>IFERROR(__xludf.DUMMYFUNCTION("GOOGLETRANSLATE(A16204, ""en"", ""mt"")"),"F'liema rriżultaw it-tliet drives li ġejjin?")</f>
        <v>F'liema rriżultaw it-tliet drives li ġejjin?</v>
      </c>
    </row>
    <row r="16205" ht="15.75" customHeight="1">
      <c r="A16205" s="2" t="s">
        <v>16205</v>
      </c>
      <c r="B16205" s="2" t="str">
        <f>IFERROR(__xludf.DUMMYFUNCTION("GOOGLETRANSLATE(A16205, ""en"", ""mt"")"),"X'għandu jsegwi Nisrani f'ħajtu?")</f>
        <v>X'għandu jsegwi Nisrani f'ħajtu?</v>
      </c>
    </row>
    <row r="16206" ht="15.75" customHeight="1">
      <c r="A16206" s="2" t="s">
        <v>16206</v>
      </c>
      <c r="B16206" s="2" t="str">
        <f>IFERROR(__xludf.DUMMYFUNCTION("GOOGLETRANSLATE(A16206, ""en"", ""mt"")"),"Il-Ġermanja rreferiet għal liema żona aktar minn pajjiż attwali?")</f>
        <v>Il-Ġermanja rreferiet għal liema żona aktar minn pajjiż attwali?</v>
      </c>
    </row>
    <row r="16207" ht="15.75" customHeight="1">
      <c r="A16207" s="2" t="s">
        <v>16207</v>
      </c>
      <c r="B16207" s="2" t="str">
        <f>IFERROR(__xludf.DUMMYFUNCTION("GOOGLETRANSLATE(A16207, ""en"", ""mt"")"),"jinħall")</f>
        <v>jinħall</v>
      </c>
    </row>
    <row r="16208" ht="15.75" customHeight="1">
      <c r="A16208" s="2" t="s">
        <v>16208</v>
      </c>
      <c r="B16208" s="2" t="str">
        <f>IFERROR(__xludf.DUMMYFUNCTION("GOOGLETRANSLATE(A16208, ""en"", ""mt"")"),"Meta kienet soġġetta Rhineland għat-Trattat ta 'Versailles?")</f>
        <v>Meta kienet soġġetta Rhineland għat-Trattat ta 'Versailles?</v>
      </c>
    </row>
    <row r="16209" ht="15.75" customHeight="1">
      <c r="A16209" s="2" t="s">
        <v>16209</v>
      </c>
      <c r="B16209" s="2" t="str">
        <f>IFERROR(__xludf.DUMMYFUNCTION("GOOGLETRANSLATE(A16209, ""en"", ""mt"")"),"gradjent tal-potenzjal")</f>
        <v>gradjent tal-potenzjal</v>
      </c>
    </row>
    <row r="16210" ht="15.75" customHeight="1">
      <c r="A16210" s="2" t="s">
        <v>16210</v>
      </c>
      <c r="B16210" s="2" t="str">
        <f>IFERROR(__xludf.DUMMYFUNCTION("GOOGLETRANSLATE(A16210, ""en"", ""mt"")"),"Kif jindikaw Fortnow &amp; Homer (2003), il-bidu ta 'studji sistematiċi fil-kumplessità tal-komputazzjoni huwa attribwit għall-karta seminali ""dwar il-kumplessità tal-komputazzjoni tal-algoritmi"" minn Juris Hartmanis u Richard Stearns (1965), li stabbilixxe"&amp;"w id-definizzjonijiet tal-ħin u kumplessità spazjali u wera t-teoremi tal-ġerarkija. Ukoll, fl-1965 Edmonds iddefinixxa algoritmu ""tajjeb"" bħala wieħed b'ħin ta 'tħaddim imdawwar minn polinomju tad-daqs tal-input.")</f>
        <v>Kif jindikaw Fortnow &amp; Homer (2003), il-bidu ta 'studji sistematiċi fil-kumplessità tal-komputazzjoni huwa attribwit għall-karta seminali "dwar il-kumplessità tal-komputazzjoni tal-algoritmi" minn Juris Hartmanis u Richard Stearns (1965), li stabbilixxew id-definizzjonijiet tal-ħin u kumplessità spazjali u wera t-teoremi tal-ġerarkija. Ukoll, fl-1965 Edmonds iddefinixxa algoritmu "tajjeb" bħala wieħed b'ħin ta 'tħaddim imdawwar minn polinomju tad-daqs tal-input.</v>
      </c>
    </row>
    <row r="16211" ht="15.75" customHeight="1">
      <c r="A16211" s="2" t="s">
        <v>16211</v>
      </c>
      <c r="B16211" s="2" t="str">
        <f>IFERROR(__xludf.DUMMYFUNCTION("GOOGLETRANSLATE(A16211, ""en"", ""mt"")"),"Kul!")</f>
        <v>Kul!</v>
      </c>
    </row>
    <row r="16212" ht="15.75" customHeight="1">
      <c r="A16212" s="2" t="s">
        <v>16212</v>
      </c>
      <c r="B16212" s="2" t="str">
        <f>IFERROR(__xludf.DUMMYFUNCTION("GOOGLETRANSLATE(A16212, ""en"", ""mt"")"),"hemicycle")</f>
        <v>hemicycle</v>
      </c>
    </row>
    <row r="16213" ht="15.75" customHeight="1">
      <c r="A16213" s="2" t="s">
        <v>16213</v>
      </c>
      <c r="B16213" s="2" t="str">
        <f>IFERROR(__xludf.DUMMYFUNCTION("GOOGLETRANSLATE(A16213, ""en"", ""mt"")"),"Knisja Kattolika Medjevali tard")</f>
        <v>Knisja Kattolika Medjevali tard</v>
      </c>
    </row>
    <row r="16214" ht="15.75" customHeight="1">
      <c r="A16214" s="2" t="s">
        <v>16214</v>
      </c>
      <c r="B16214" s="2" t="str">
        <f>IFERROR(__xludf.DUMMYFUNCTION("GOOGLETRANSLATE(A16214, ""en"", ""mt"")"),"flussi tal-magma jew tal-lava")</f>
        <v>flussi tal-magma jew tal-lava</v>
      </c>
    </row>
    <row r="16215" ht="15.75" customHeight="1">
      <c r="A16215" s="2" t="s">
        <v>16215</v>
      </c>
      <c r="B16215" s="2" t="str">
        <f>IFERROR(__xludf.DUMMYFUNCTION("GOOGLETRANSLATE(A16215, ""en"", ""mt"")"),"L-IPCC mir-Rapport WWF")</f>
        <v>L-IPCC mir-Rapport WWF</v>
      </c>
    </row>
    <row r="16216" ht="15.75" customHeight="1">
      <c r="A16216" s="2" t="s">
        <v>16216</v>
      </c>
      <c r="B16216" s="2" t="str">
        <f>IFERROR(__xludf.DUMMYFUNCTION("GOOGLETRANSLATE(A16216, ""en"", ""mt"")"),"65.5 miljun sena ilu")</f>
        <v>65.5 miljun sena ilu</v>
      </c>
    </row>
    <row r="16217" ht="15.75" customHeight="1">
      <c r="A16217" s="2" t="s">
        <v>16217</v>
      </c>
      <c r="B16217" s="2" t="str">
        <f>IFERROR(__xludf.DUMMYFUNCTION("GOOGLETRANSLATE(A16217, ""en"", ""mt"")"),"rati aktar baxxi")</f>
        <v>rati aktar baxxi</v>
      </c>
    </row>
    <row r="16218" ht="15.75" customHeight="1">
      <c r="A16218" s="2" t="s">
        <v>16218</v>
      </c>
      <c r="B16218" s="2" t="str">
        <f>IFERROR(__xludf.DUMMYFUNCTION("GOOGLETRANSLATE(A16218, ""en"", ""mt"")"),"ABC iddomina l-pajsaġġ tat-televiżjoni Amerikan matul is-snin sebgħin u l-bidu tas-snin 1980 (sal-1980, it-tliet netwerks ewlenin kienu jirrappreżentaw 90% tat-televiżjoni tat-televiżjoni ewlenin kollha fl-Istati Uniti). Bosta serje ewlenin iddebuttaw fuq"&amp;" in-netwerk matul dan iż-żmien fosthom Dynasty, drama opulenti minn Aaron Spelling li saret suċċess meta premiered bħala serje ta 'nofs it-tiswija fl-1981, ħames xhur qabel l-ABC l-oħra ta' Spelling li laqat Charlie Angels temm il-ġirja tiegħu. In-netwerk"&amp;" ġie mmexxi wkoll matul il-bidu tas-snin 1980 mis-suċċessi kontinwi ta 'Happy Days, il-kumpanija Three, Laverne &amp; Shirley u Fantasy Island, u kiseb suċċessi ġodda fil-viċin wisq għall-kumdità, SOAP Spinoff Benson u Happy Days Spinoff Mork &amp; Mindy. Fl-1981"&amp;", ABC (permezz tad-Diviżjoni tas-Servizzi tal-Vidjow ABC tagħha) nediet is-Servizz tat-Televiżjoni Repertorju Alpha (ARTS), kanal tal-kejbil imħaddem bħala impriża konġunta mal-Hearst Corporation li toffri programmazzjoni kulturali u tal-arti, li xxandar "&amp;"bħala servizz bil-lejl fuq l-ispazju tal-kanali ta 'Nickelodeon.")</f>
        <v>ABC iddomina l-pajsaġġ tat-televiżjoni Amerikan matul is-snin sebgħin u l-bidu tas-snin 1980 (sal-1980, it-tliet netwerks ewlenin kienu jirrappreżentaw 90% tat-televiżjoni tat-televiżjoni ewlenin kollha fl-Istati Uniti). Bosta serje ewlenin iddebuttaw fuq in-netwerk matul dan iż-żmien fosthom Dynasty, drama opulenti minn Aaron Spelling li saret suċċess meta premiered bħala serje ta 'nofs it-tiswija fl-1981, ħames xhur qabel l-ABC l-oħra ta' Spelling li laqat Charlie Angels temm il-ġirja tiegħu. In-netwerk ġie mmexxi wkoll matul il-bidu tas-snin 1980 mis-suċċessi kontinwi ta 'Happy Days, il-kumpanija Three, Laverne &amp; Shirley u Fantasy Island, u kiseb suċċessi ġodda fil-viċin wisq għall-kumdità, SOAP Spinoff Benson u Happy Days Spinoff Mork &amp; Mindy. Fl-1981, ABC (permezz tad-Diviżjoni tas-Servizzi tal-Vidjow ABC tagħha) nediet is-Servizz tat-Televiżjoni Repertorju Alpha (ARTS), kanal tal-kejbil imħaddem bħala impriża konġunta mal-Hearst Corporation li toffri programmazzjoni kulturali u tal-arti, li xxandar bħala servizz bil-lejl fuq l-ispazju tal-kanali ta 'Nickelodeon.</v>
      </c>
    </row>
    <row r="16219" ht="15.75" customHeight="1">
      <c r="A16219" s="2" t="s">
        <v>16219</v>
      </c>
      <c r="B16219" s="2" t="str">
        <f>IFERROR(__xludf.DUMMYFUNCTION("GOOGLETRANSLATE(A16219, ""en"", ""mt"")"),"żieda fl-użu tat-teknoloġija")</f>
        <v>żieda fl-użu tat-teknoloġija</v>
      </c>
    </row>
    <row r="16220" ht="15.75" customHeight="1">
      <c r="A16220" s="2" t="s">
        <v>16220</v>
      </c>
      <c r="B16220" s="2" t="str">
        <f>IFERROR(__xludf.DUMMYFUNCTION("GOOGLETRANSLATE(A16220, ""en"", ""mt"")"),"X'qed iqisu l-awtoritajiet tas-saħħa Olandiżi bħala bla bżonn fil-Geraets-Smits v Stichting Ziekenfonds?")</f>
        <v>X'qed iqisu l-awtoritajiet tas-saħħa Olandiżi bħala bla bżonn fil-Geraets-Smits v Stichting Ziekenfonds?</v>
      </c>
    </row>
    <row r="16221" ht="15.75" customHeight="1">
      <c r="A16221" s="2" t="s">
        <v>16221</v>
      </c>
      <c r="B16221" s="2" t="str">
        <f>IFERROR(__xludf.DUMMYFUNCTION("GOOGLETRANSLATE(A16221, ""en"", ""mt"")"),"Għaliex Varsavja rat ħafna titjib matul l-aħħar għaxar snin?")</f>
        <v>Għaliex Varsavja rat ħafna titjib matul l-aħħar għaxar snin?</v>
      </c>
    </row>
    <row r="16222" ht="15.75" customHeight="1">
      <c r="A16222" s="2" t="s">
        <v>16222</v>
      </c>
      <c r="B16222" s="2" t="str">
        <f>IFERROR(__xludf.DUMMYFUNCTION("GOOGLETRANSLATE(A16222, ""en"", ""mt"")"),"Min Tesla rrifjutat li tara wara l-inċident?")</f>
        <v>Min Tesla rrifjutat li tara wara l-inċident?</v>
      </c>
    </row>
    <row r="16223" ht="15.75" customHeight="1">
      <c r="A16223" s="2" t="s">
        <v>16223</v>
      </c>
      <c r="B16223" s="2" t="str">
        <f>IFERROR(__xludf.DUMMYFUNCTION("GOOGLETRANSLATE(A16223, ""en"", ""mt"")"),"Meta l-Ingilterra ddikjarat formalment il-gwerra fuq Franza?")</f>
        <v>Meta l-Ingilterra ddikjarat formalment il-gwerra fuq Franza?</v>
      </c>
    </row>
    <row r="16224" ht="15.75" customHeight="1">
      <c r="A16224" s="2" t="s">
        <v>16224</v>
      </c>
      <c r="B16224" s="2" t="str">
        <f>IFERROR(__xludf.DUMMYFUNCTION("GOOGLETRANSLATE(A16224, ""en"", ""mt"")"),"X'tip ta 'territorji qed jinqerdu mill-Ecocide fl-Amażonja?")</f>
        <v>X'tip ta 'territorji qed jinqerdu mill-Ecocide fl-Amażonja?</v>
      </c>
    </row>
    <row r="16225" ht="15.75" customHeight="1">
      <c r="A16225" s="2" t="s">
        <v>16225</v>
      </c>
      <c r="B16225" s="2" t="str">
        <f>IFERROR(__xludf.DUMMYFUNCTION("GOOGLETRANSLATE(A16225, ""en"", ""mt"")"),"Mudell ta 'Sudbury L-iskejjel Demokratiċi jsostnu li awtorità bbażata b'mod popolari tista' żżomm l-ordni b'mod aktar effettiv mill-awtorità dittatorjali għall-gvernijiet u l-iskejjel bl-istess mod. Huma jsostnu wkoll li f'dawn l-iskejjel il-preservazzjon"&amp;"i tal-ordni pubblika hija aktar faċli u aktar effiċjenti minn kullimkien ieħor. Prinċipalment minħabba li r-regoli u r-regolamenti jsiru mill-komunità kollha kemm hi, minn hemm l-atmosfera tal-iskola hija waħda ta 'persważjoni u negozjar, aktar milli konf"&amp;"rontazzjoni peress li m'hemm ħadd li jikkonfronta. Mudell ta 'Sudbury Il-proponenti tal-iskejjel Demokratiċi jargumentaw li skola li għandha liġijiet tajbin, ċari, mgħoddija b'mod ġust u demokratikament mill-komunità skolastika kollha, u sistema ġudizzjar"&amp;"ja tajba għall-infurzar ta' dawn il-liġijiet, hija skola li fiha tipprevali dixxiplina fil-komunità, u li fiha Il-kunċett dejjem aktar sofistikat tal-liġi u l-ordni jiżviluppa, kontra skejjel oħra llum, fejn ir-regoli huma arbitrarji, l-awtorità hija asso"&amp;"luta, il-kastig huwa kapriċjuż, u l-proċess dovut tal-liġi għadu mhux magħruf.")</f>
        <v>Mudell ta 'Sudbury L-iskejjel Demokratiċi jsostnu li awtorità bbażata b'mod popolari tista' żżomm l-ordni b'mod aktar effettiv mill-awtorità dittatorjali għall-gvernijiet u l-iskejjel bl-istess mod. Huma jsostnu wkoll li f'dawn l-iskejjel il-preservazzjoni tal-ordni pubblika hija aktar faċli u aktar effiċjenti minn kullimkien ieħor. Prinċipalment minħabba li r-regoli u r-regolamenti jsiru mill-komunità kollha kemm hi, minn hemm l-atmosfera tal-iskola hija waħda ta 'persważjoni u negozjar, aktar milli konfrontazzjoni peress li m'hemm ħadd li jikkonfronta. Mudell ta 'Sudbury Il-proponenti tal-iskejjel Demokratiċi jargumentaw li skola li għandha liġijiet tajbin, ċari, mgħoddija b'mod ġust u demokratikament mill-komunità skolastika kollha, u sistema ġudizzjarja tajba għall-infurzar ta' dawn il-liġijiet, hija skola li fiha tipprevali dixxiplina fil-komunità, u li fiha Il-kunċett dejjem aktar sofistikat tal-liġi u l-ordni jiżviluppa, kontra skejjel oħra llum, fejn ir-regoli huma arbitrarji, l-awtorità hija assoluta, il-kastig huwa kapriċjuż, u l-proċess dovut tal-liġi għadu mhux magħruf.</v>
      </c>
    </row>
    <row r="16226" ht="15.75" customHeight="1">
      <c r="A16226" s="2" t="s">
        <v>16226</v>
      </c>
      <c r="B16226" s="2" t="str">
        <f>IFERROR(__xludf.DUMMYFUNCTION("GOOGLETRANSLATE(A16226, ""en"", ""mt"")"),"Liema kundanna motivat lil Eliot biex jersaq lejn sekularizzazzjoni?")</f>
        <v>Liema kundanna motivat lil Eliot biex jersaq lejn sekularizzazzjoni?</v>
      </c>
    </row>
    <row r="16227" ht="15.75" customHeight="1">
      <c r="A16227" s="2" t="s">
        <v>16227</v>
      </c>
      <c r="B16227" s="2" t="str">
        <f>IFERROR(__xludf.DUMMYFUNCTION("GOOGLETRANSLATE(A16227, ""en"", ""mt"")"),"F'liema ħin ir-rivalità ta 'Harvard-Yale titwarrab?")</f>
        <v>F'liema ħin ir-rivalità ta 'Harvard-Yale titwarrab?</v>
      </c>
    </row>
    <row r="16228" ht="15.75" customHeight="1">
      <c r="A16228" s="2" t="s">
        <v>16228</v>
      </c>
      <c r="B16228" s="2" t="str">
        <f>IFERROR(__xludf.DUMMYFUNCTION("GOOGLETRANSLATE(A16228, ""en"", ""mt"")"),"Edukazzjoni Primarja")</f>
        <v>Edukazzjoni Primarja</v>
      </c>
    </row>
    <row r="16229" ht="15.75" customHeight="1">
      <c r="A16229" s="2" t="s">
        <v>16229</v>
      </c>
      <c r="B16229" s="2" t="str">
        <f>IFERROR(__xludf.DUMMYFUNCTION("GOOGLETRANSLATE(A16229, ""en"", ""mt"")"),"maqbud Fort Beauséjour")</f>
        <v>maqbud Fort Beauséjour</v>
      </c>
    </row>
    <row r="16230" ht="15.75" customHeight="1">
      <c r="A16230" s="2" t="s">
        <v>16230</v>
      </c>
      <c r="B16230" s="2" t="str">
        <f>IFERROR(__xludf.DUMMYFUNCTION("GOOGLETRANSLATE(A16230, ""en"", ""mt"")"),"L-ożonu ġġenerat f'kuntatt mal-ġilda, u sa ċertu punt, bl-aċidu nitruż.")</f>
        <v>L-ożonu ġġenerat f'kuntatt mal-ġilda, u sa ċertu punt, bl-aċidu nitruż.</v>
      </c>
    </row>
    <row r="16231" ht="15.75" customHeight="1">
      <c r="A16231" s="2" t="s">
        <v>16231</v>
      </c>
      <c r="B16231" s="2" t="str">
        <f>IFERROR(__xludf.DUMMYFUNCTION("GOOGLETRANSLATE(A16231, ""en"", ""mt"")"),"L-ispiżjara biss jistgħu jfornu farmaċewtiċi skedati lill-pubbliku")</f>
        <v>L-ispiżjara biss jistgħu jfornu farmaċewtiċi skedati lill-pubbliku</v>
      </c>
    </row>
    <row r="16232" ht="15.75" customHeight="1">
      <c r="A16232" s="2" t="s">
        <v>16232</v>
      </c>
      <c r="B16232" s="2" t="str">
        <f>IFERROR(__xludf.DUMMYFUNCTION("GOOGLETRANSLATE(A16232, ""en"", ""mt"")"),"acupuncture, moxibustion, dijanjosi tal-polz, u diversi mediċini tal-ħxejjex u elixirs")</f>
        <v>acupuncture, moxibustion, dijanjosi tal-polz, u diversi mediċini tal-ħxejjex u elixirs</v>
      </c>
    </row>
    <row r="16233" ht="15.75" customHeight="1">
      <c r="A16233" s="2" t="s">
        <v>16233</v>
      </c>
      <c r="B16233" s="2" t="str">
        <f>IFERROR(__xludf.DUMMYFUNCTION("GOOGLETRANSLATE(A16233, ""en"", ""mt"")"),"X'tissel il-kloni barranin ta 'Datapac")</f>
        <v>X'tissel il-kloni barranin ta 'Datapac</v>
      </c>
    </row>
    <row r="16234" ht="15.75" customHeight="1">
      <c r="A16234" s="2" t="s">
        <v>16234</v>
      </c>
      <c r="B16234" s="2" t="str">
        <f>IFERROR(__xludf.DUMMYFUNCTION("GOOGLETRANSLATE(A16234, ""en"", ""mt"")"),"Dynasty Ming")</f>
        <v>Dynasty Ming</v>
      </c>
    </row>
    <row r="16235" ht="15.75" customHeight="1">
      <c r="A16235" s="2" t="s">
        <v>16235</v>
      </c>
      <c r="B16235" s="2" t="str">
        <f>IFERROR(__xludf.DUMMYFUNCTION("GOOGLETRANSLATE(A16235, ""en"", ""mt"")"),"Forzi mhux konservattivi")</f>
        <v>Forzi mhux konservattivi</v>
      </c>
    </row>
    <row r="16236" ht="15.75" customHeight="1">
      <c r="A16236" s="2" t="s">
        <v>16236</v>
      </c>
      <c r="B16236" s="2" t="str">
        <f>IFERROR(__xludf.DUMMYFUNCTION("GOOGLETRANSLATE(A16236, ""en"", ""mt"")"),"Aktar minn $ 45,000")</f>
        <v>Aktar minn $ 45,000</v>
      </c>
    </row>
    <row r="16237" ht="15.75" customHeight="1">
      <c r="A16237" s="2" t="s">
        <v>16237</v>
      </c>
      <c r="B16237" s="2" t="str">
        <f>IFERROR(__xludf.DUMMYFUNCTION("GOOGLETRANSLATE(A16237, ""en"", ""mt"")"),"l-1950s")</f>
        <v>l-1950s</v>
      </c>
    </row>
    <row r="16238" ht="15.75" customHeight="1">
      <c r="A16238" s="2" t="s">
        <v>16238</v>
      </c>
      <c r="B16238" s="2" t="str">
        <f>IFERROR(__xludf.DUMMYFUNCTION("GOOGLETRANSLATE(A16238, ""en"", ""mt"")"),"il-mudell tal-komputazzjoni")</f>
        <v>il-mudell tal-komputazzjoni</v>
      </c>
    </row>
    <row r="16239" ht="15.75" customHeight="1">
      <c r="A16239" s="2" t="s">
        <v>16239</v>
      </c>
      <c r="B16239" s="2" t="str">
        <f>IFERROR(__xludf.DUMMYFUNCTION("GOOGLETRANSLATE(A16239, ""en"", ""mt"")"),"Kemm kien twil l-ewwel awdjo ta 'storja ta' tabib min?")</f>
        <v>Kemm kien twil l-ewwel awdjo ta 'storja ta' tabib min?</v>
      </c>
    </row>
    <row r="16240" ht="15.75" customHeight="1">
      <c r="A16240" s="2" t="s">
        <v>16240</v>
      </c>
      <c r="B16240" s="2" t="str">
        <f>IFERROR(__xludf.DUMMYFUNCTION("GOOGLETRANSLATE(A16240, ""en"", ""mt"")"),"Mill-aħħar tas-1340s 'il quddiem")</f>
        <v>Mill-aħħar tas-1340s 'il quddiem</v>
      </c>
    </row>
    <row r="16241" ht="15.75" customHeight="1">
      <c r="A16241" s="2" t="s">
        <v>16241</v>
      </c>
      <c r="B16241" s="2" t="str">
        <f>IFERROR(__xludf.DUMMYFUNCTION("GOOGLETRANSLATE(A16241, ""en"", ""mt"")"),"Editur tal-gazzetta")</f>
        <v>Editur tal-gazzetta</v>
      </c>
    </row>
    <row r="16242" ht="15.75" customHeight="1">
      <c r="A16242" s="2" t="s">
        <v>16242</v>
      </c>
      <c r="B16242" s="2" t="str">
        <f>IFERROR(__xludf.DUMMYFUNCTION("GOOGLETRANSLATE(A16242, ""en"", ""mt"")"),"X'ġara għar-rata ta 'deforestazzjoni fir-reġjun tal-Amażonja tal-Brażil bejn l-2004 u l-2014?")</f>
        <v>X'ġara għar-rata ta 'deforestazzjoni fir-reġjun tal-Amażonja tal-Brażil bejn l-2004 u l-2014?</v>
      </c>
    </row>
    <row r="16243" ht="15.75" customHeight="1">
      <c r="A16243" s="2" t="s">
        <v>16243</v>
      </c>
      <c r="B16243" s="2" t="str">
        <f>IFERROR(__xludf.DUMMYFUNCTION("GOOGLETRANSLATE(A16243, ""en"", ""mt"")"),"tista 'tipproduċi kemm bajd kif ukoll sperma fl-istess ħin.")</f>
        <v>tista 'tipproduċi kemm bajd kif ukoll sperma fl-istess ħin.</v>
      </c>
    </row>
    <row r="16244" ht="15.75" customHeight="1">
      <c r="A16244" s="2" t="s">
        <v>16244</v>
      </c>
      <c r="B16244" s="2" t="str">
        <f>IFERROR(__xludf.DUMMYFUNCTION("GOOGLETRANSLATE(A16244, ""en"", ""mt"")"),"ACL imqatta '")</f>
        <v>ACL imqatta '</v>
      </c>
    </row>
    <row r="16245" ht="15.75" customHeight="1">
      <c r="A16245" s="2" t="s">
        <v>16245</v>
      </c>
      <c r="B16245" s="2" t="str">
        <f>IFERROR(__xludf.DUMMYFUNCTION("GOOGLETRANSLATE(A16245, ""en"", ""mt"")"),"Impass kostituzzjonali")</f>
        <v>Impass kostituzzjonali</v>
      </c>
    </row>
    <row r="16246" ht="15.75" customHeight="1">
      <c r="A16246" s="2" t="s">
        <v>16246</v>
      </c>
      <c r="B16246" s="2" t="str">
        <f>IFERROR(__xludf.DUMMYFUNCTION("GOOGLETRANSLATE(A16246, ""en"", ""mt"")"),"Min iktar Luther uża retorika vjolenti lejn?")</f>
        <v>Min iktar Luther uża retorika vjolenti lejn?</v>
      </c>
    </row>
    <row r="16247" ht="15.75" customHeight="1">
      <c r="A16247" s="2" t="s">
        <v>16247</v>
      </c>
      <c r="B16247" s="2" t="str">
        <f>IFERROR(__xludf.DUMMYFUNCTION("GOOGLETRANSLATE(A16247, ""en"", ""mt"")"),"Għal kemm snin intwera evidenza li l-bnedmin iffurmaw l-Amażonja?")</f>
        <v>Għal kemm snin intwera evidenza li l-bnedmin iffurmaw l-Amażonja?</v>
      </c>
    </row>
    <row r="16248" ht="15.75" customHeight="1">
      <c r="A16248" s="2" t="s">
        <v>16248</v>
      </c>
      <c r="B16248" s="2" t="str">
        <f>IFERROR(__xludf.DUMMYFUNCTION("GOOGLETRANSLATE(A16248, ""en"", ""mt"")"),"Drogi anti-infjammatorji spiss jintużaw biex jikkontrollaw l-effetti ta 'infjammazzjoni. Il-glukokortikojdi huma l-aktar qawwija minn dawn il-mediċini; Madankollu, dawn il-mediċini jista 'jkollhom ħafna effetti sekondarji mhux mixtieqa, bħal obeżità ċentr"&amp;"ali, ipergliċemija, osteoporożi, u l-użu tagħhom għandu jkun ikkontrollat ​​sewwa. Dożi aktar baxxi ta 'mediċini anti-infjammatorji ħafna drabi jintużaw flimkien ma' mediċini ċitotossiċi jew immunosoppressivi bħal methotrexate jew azathioprine. Drogi ċito"&amp;"tossiċi jinibixxu r-rispons immuni billi joqtlu ċelloli diviżorji bħal ċelloli T attivati. Madankollu, il-qtil huwa indiskriminat u ċelloli oħra li jinqasmu kontinwament u l-organi tagħhom huma affettwati, u dan jikkawża effetti sekondarji tossiċi. Drogi "&amp;"immunosoppressivi bħal cyclosporin jipprevjenu ċ-ċelloli T milli jirrispondu għal sinjali b'mod korrett billi jinibixxu l-mogħdijiet ta 'transduzzjoni tas-sinjal.")</f>
        <v>Drogi anti-infjammatorji spiss jintużaw biex jikkontrollaw l-effetti ta 'infjammazzjoni. Il-glukokortikojdi huma l-aktar qawwija minn dawn il-mediċini; Madankollu, dawn il-mediċini jista 'jkollhom ħafna effetti sekondarji mhux mixtieqa, bħal obeżità ċentrali, ipergliċemija, osteoporożi, u l-użu tagħhom għandu jkun ikkontrollat ​​sewwa. Dożi aktar baxxi ta 'mediċini anti-infjammatorji ħafna drabi jintużaw flimkien ma' mediċini ċitotossiċi jew immunosoppressivi bħal methotrexate jew azathioprine. Drogi ċitotossiċi jinibixxu r-rispons immuni billi joqtlu ċelloli diviżorji bħal ċelloli T attivati. Madankollu, il-qtil huwa indiskriminat u ċelloli oħra li jinqasmu kontinwament u l-organi tagħhom huma affettwati, u dan jikkawża effetti sekondarji tossiċi. Drogi immunosoppressivi bħal cyclosporin jipprevjenu ċ-ċelloli T milli jirrispondu għal sinjali b'mod korrett billi jinibixxu l-mogħdijiet ta 'transduzzjoni tas-sinjal.</v>
      </c>
    </row>
    <row r="16249" ht="15.75" customHeight="1">
      <c r="A16249" s="2" t="s">
        <v>16249</v>
      </c>
      <c r="B16249" s="2" t="str">
        <f>IFERROR(__xludf.DUMMYFUNCTION("GOOGLETRANSLATE(A16249, ""en"", ""mt"")"),"is-sistema interna tat-tilakoid")</f>
        <v>is-sistema interna tat-tilakoid</v>
      </c>
    </row>
    <row r="16250" ht="15.75" customHeight="1">
      <c r="A16250" s="2" t="s">
        <v>16250</v>
      </c>
      <c r="B16250" s="2" t="str">
        <f>IFERROR(__xludf.DUMMYFUNCTION("GOOGLETRANSLATE(A16250, ""en"", ""mt"")"),"$ 2.2 biljun")</f>
        <v>$ 2.2 biljun</v>
      </c>
    </row>
    <row r="16251" ht="15.75" customHeight="1">
      <c r="A16251" s="2" t="s">
        <v>16251</v>
      </c>
      <c r="B16251" s="2" t="str">
        <f>IFERROR(__xludf.DUMMYFUNCTION("GOOGLETRANSLATE(A16251, ""en"", ""mt"")"),"X'inhu terminu ieħor għal kompressjoni eċċessiva?")</f>
        <v>X'inhu terminu ieħor għal kompressjoni eċċessiva?</v>
      </c>
    </row>
    <row r="16252" ht="15.75" customHeight="1">
      <c r="A16252" s="2" t="s">
        <v>16252</v>
      </c>
      <c r="B16252" s="2" t="str">
        <f>IFERROR(__xludf.DUMMYFUNCTION("GOOGLETRANSLATE(A16252, ""en"", ""mt"")"),"Għaliex isiru dibattiti dwar mozzjonijiet proposti minn MSP?")</f>
        <v>Għaliex isiru dibattiti dwar mozzjonijiet proposti minn MSP?</v>
      </c>
    </row>
    <row r="16253" ht="15.75" customHeight="1">
      <c r="A16253" s="2" t="s">
        <v>16253</v>
      </c>
      <c r="B16253" s="2" t="str">
        <f>IFERROR(__xludf.DUMMYFUNCTION("GOOGLETRANSLATE(A16253, ""en"", ""mt"")"),"Mediterran")</f>
        <v>Mediterran</v>
      </c>
    </row>
    <row r="16254" ht="15.75" customHeight="1">
      <c r="A16254" s="2" t="s">
        <v>16254</v>
      </c>
      <c r="B16254" s="2" t="str">
        <f>IFERROR(__xludf.DUMMYFUNCTION("GOOGLETRANSLATE(A16254, ""en"", ""mt"")"),"Meta l-antenati tal-homo sapiens moderni jgħixu l-Kenja?")</f>
        <v>Meta l-antenati tal-homo sapiens moderni jgħixu l-Kenja?</v>
      </c>
    </row>
    <row r="16255" ht="15.75" customHeight="1">
      <c r="A16255" s="2" t="s">
        <v>16255</v>
      </c>
      <c r="B16255" s="2" t="str">
        <f>IFERROR(__xludf.DUMMYFUNCTION("GOOGLETRANSLATE(A16255, ""en"", ""mt"")"),"razza finanzjarja")</f>
        <v>razza finanzjarja</v>
      </c>
    </row>
    <row r="16256" ht="15.75" customHeight="1">
      <c r="A16256" s="2" t="s">
        <v>16256</v>
      </c>
      <c r="B16256" s="2" t="str">
        <f>IFERROR(__xludf.DUMMYFUNCTION("GOOGLETRANSLATE(A16256, ""en"", ""mt"")"),"Minn fejn ġej l-akbar numru ta 'turisti?")</f>
        <v>Minn fejn ġej l-akbar numru ta 'turisti?</v>
      </c>
    </row>
    <row r="16257" ht="15.75" customHeight="1">
      <c r="A16257" s="2" t="s">
        <v>16257</v>
      </c>
      <c r="B16257" s="2" t="str">
        <f>IFERROR(__xludf.DUMMYFUNCTION("GOOGLETRANSLATE(A16257, ""en"", ""mt"")"),"Fredericia (id-Danimarka), Berlin, Stokkolma, Hamburg, Frankfurt, Ħelsinki, u Emden")</f>
        <v>Fredericia (id-Danimarka), Berlin, Stokkolma, Hamburg, Frankfurt, Ħelsinki, u Emden</v>
      </c>
    </row>
    <row r="16258" ht="15.75" customHeight="1">
      <c r="A16258" s="2" t="s">
        <v>16258</v>
      </c>
      <c r="B16258" s="2" t="str">
        <f>IFERROR(__xludf.DUMMYFUNCTION("GOOGLETRANSLATE(A16258, ""en"", ""mt"")"),"Il-fidi hija dik li ġġib l-Ispirtu s-Santu permezz tal-mertu ta ’Kristu")</f>
        <v>Il-fidi hija dik li ġġib l-Ispirtu s-Santu permezz tal-mertu ta ’Kristu</v>
      </c>
    </row>
    <row r="16259" ht="15.75" customHeight="1">
      <c r="A16259" s="2" t="s">
        <v>16259</v>
      </c>
      <c r="B16259" s="2" t="str">
        <f>IFERROR(__xludf.DUMMYFUNCTION("GOOGLETRANSLATE(A16259, ""en"", ""mt"")"),"X'inhi r-replikazzjoni ta 'CPDNA simili għal?")</f>
        <v>X'inhi r-replikazzjoni ta 'CPDNA simili għal?</v>
      </c>
    </row>
    <row r="16260" ht="15.75" customHeight="1">
      <c r="A16260" s="2" t="s">
        <v>16260</v>
      </c>
      <c r="B16260" s="2" t="str">
        <f>IFERROR(__xludf.DUMMYFUNCTION("GOOGLETRANSLATE(A16260, ""en"", ""mt"")"),"Sala tal-Assemblea Ġenerali tal-Knisja tal-Iskozja")</f>
        <v>Sala tal-Assemblea Ġenerali tal-Knisja tal-Iskozja</v>
      </c>
    </row>
    <row r="16261" ht="15.75" customHeight="1">
      <c r="A16261" s="2" t="s">
        <v>16261</v>
      </c>
      <c r="B16261" s="2" t="str">
        <f>IFERROR(__xludf.DUMMYFUNCTION("GOOGLETRANSLATE(A16261, ""en"", ""mt"")"),"Fejn tinsab l-Iskola Hyde Park Day?")</f>
        <v>Fejn tinsab l-Iskola Hyde Park Day?</v>
      </c>
    </row>
    <row r="16262" ht="15.75" customHeight="1">
      <c r="A16262" s="2" t="s">
        <v>16262</v>
      </c>
      <c r="B16262" s="2" t="str">
        <f>IFERROR(__xludf.DUMMYFUNCTION("GOOGLETRANSLATE(A16262, ""en"", ""mt"")"),"Liema ghadu tat-tabib min hu wkoll il-mulej?")</f>
        <v>Liema ghadu tat-tabib min hu wkoll il-mulej?</v>
      </c>
    </row>
    <row r="16263" ht="15.75" customHeight="1">
      <c r="A16263" s="2" t="s">
        <v>16263</v>
      </c>
      <c r="B16263" s="2" t="str">
        <f>IFERROR(__xludf.DUMMYFUNCTION("GOOGLETRANSLATE(A16263, ""en"", ""mt"")"),"munita fiċ-ċrieki tal-coffer, ir-ruħ mill-purgatorju")</f>
        <v>munita fiċ-ċrieki tal-coffer, ir-ruħ mill-purgatorju</v>
      </c>
    </row>
    <row r="16264" ht="15.75" customHeight="1">
      <c r="A16264" s="2" t="s">
        <v>16264</v>
      </c>
      <c r="B16264" s="2" t="str">
        <f>IFERROR(__xludf.DUMMYFUNCTION("GOOGLETRANSLATE(A16264, ""en"", ""mt"")"),"Mudelli molekulari marbuta mal-patoġeni jew PAMPs")</f>
        <v>Mudelli molekulari marbuta mal-patoġeni jew PAMPs</v>
      </c>
    </row>
    <row r="16265" ht="15.75" customHeight="1">
      <c r="A16265" s="2" t="s">
        <v>16265</v>
      </c>
      <c r="B16265" s="2" t="str">
        <f>IFERROR(__xludf.DUMMYFUNCTION("GOOGLETRANSLATE(A16265, ""en"", ""mt"")"),"Sevenfold")</f>
        <v>Sevenfold</v>
      </c>
    </row>
    <row r="16266" ht="15.75" customHeight="1">
      <c r="A16266" s="2" t="s">
        <v>16266</v>
      </c>
      <c r="B16266" s="2" t="str">
        <f>IFERROR(__xludf.DUMMYFUNCTION("GOOGLETRANSLATE(A16266, ""en"", ""mt"")"),"memorja passiva għal żmien qasir jew memorja attiva fit-tul")</f>
        <v>memorja passiva għal żmien qasir jew memorja attiva fit-tul</v>
      </c>
    </row>
    <row r="16267" ht="15.75" customHeight="1">
      <c r="A16267" s="2" t="s">
        <v>16267</v>
      </c>
      <c r="B16267" s="2" t="str">
        <f>IFERROR(__xludf.DUMMYFUNCTION("GOOGLETRANSLATE(A16267, ""en"", ""mt"")"),"disa 'xhur")</f>
        <v>disa 'xhur</v>
      </c>
    </row>
    <row r="16268" ht="15.75" customHeight="1">
      <c r="A16268" s="2" t="s">
        <v>16268</v>
      </c>
      <c r="B16268" s="2" t="str">
        <f>IFERROR(__xludf.DUMMYFUNCTION("GOOGLETRANSLATE(A16268, ""en"", ""mt"")"),"Edukazzjoni Terzjarja")</f>
        <v>Edukazzjoni Terzjarja</v>
      </c>
    </row>
    <row r="16269" ht="15.75" customHeight="1">
      <c r="A16269" s="2" t="s">
        <v>16269</v>
      </c>
      <c r="B16269" s="2" t="str">
        <f>IFERROR(__xludf.DUMMYFUNCTION("GOOGLETRANSLATE(A16269, ""en"", ""mt"")"),"Biex tevita interferenza ma 'stazzjonijiet tat-televiżjoni VHF eżistenti")</f>
        <v>Biex tevita interferenza ma 'stazzjonijiet tat-televiżjoni VHF eżistenti</v>
      </c>
    </row>
    <row r="16270" ht="15.75" customHeight="1">
      <c r="A16270" s="2" t="s">
        <v>16270</v>
      </c>
      <c r="B16270" s="2" t="str">
        <f>IFERROR(__xludf.DUMMYFUNCTION("GOOGLETRANSLATE(A16270, ""en"", ""mt"")"),"Huwa aktar tard attribwixxa d-deċiżjoni tiegħu għal avveniment: Fit-2 ta 'Lulju 1505, huwa kien qed jirritorna l-università fuq żiemel wara vjaġġ id-dar. Waqt maltempata, sajjetti laqtu ħdejh. Aktar tard qal lil missieru li kien imdejjaq bil-mewt u l-ġudi"&amp;"zzju divin, huwa għajjat, ""Għajnuna! Santa Anna, se nsir monk!"" Huwa daħal biex jara l-għajta tiegħu għall-għajnuna bħala wegħda li qatt ma seta 'jkisser. Huwa telaq mill-iskola tal-liġi, biegħ il-kotba tiegħu, u daħal fi kustodju Agostinjan magħluq f'E"&amp;"rfurt fis-17 ta 'Lulju 1505. Ħabib wieħed waħħal id-deċiżjoni dwar id-dwejjaq ta' Luther fuq l-imwiet ta 'żewġ ħbieb. Luther innifsu deher imdejjaq bil-mossa. Dawk li attendew ikla ta ’tislima telqu lejn il-bieb tal-kustodju s-sewda. ""Din il-ġurnata tara"&amp;" lili, u allura, mhux għal darb'oħra,"" qal. Missieru kien furious fuq dak li ra bħala ħela ta 'edukazzjoni ta' Luther.")</f>
        <v>Huwa aktar tard attribwixxa d-deċiżjoni tiegħu għal avveniment: Fit-2 ta 'Lulju 1505, huwa kien qed jirritorna l-università fuq żiemel wara vjaġġ id-dar. Waqt maltempata, sajjetti laqtu ħdejh. Aktar tard qal lil missieru li kien imdejjaq bil-mewt u l-ġudizzju divin, huwa għajjat, "Għajnuna! Santa Anna, se nsir monk!" Huwa daħal biex jara l-għajta tiegħu għall-għajnuna bħala wegħda li qatt ma seta 'jkisser. Huwa telaq mill-iskola tal-liġi, biegħ il-kotba tiegħu, u daħal fi kustodju Agostinjan magħluq f'Erfurt fis-17 ta 'Lulju 1505. Ħabib wieħed waħħal id-deċiżjoni dwar id-dwejjaq ta' Luther fuq l-imwiet ta 'żewġ ħbieb. Luther innifsu deher imdejjaq bil-mossa. Dawk li attendew ikla ta ’tislima telqu lejn il-bieb tal-kustodju s-sewda. "Din il-ġurnata tara lili, u allura, mhux għal darb'oħra," qal. Missieru kien furious fuq dak li ra bħala ħela ta 'edukazzjoni ta' Luther.</v>
      </c>
    </row>
    <row r="16271" ht="15.75" customHeight="1">
      <c r="A16271" s="2" t="s">
        <v>16271</v>
      </c>
      <c r="B16271" s="2" t="str">
        <f>IFERROR(__xludf.DUMMYFUNCTION("GOOGLETRANSLATE(A16271, ""en"", ""mt"")"),"Uffiċjali tal-gvern li jheddu")</f>
        <v>Uffiċjali tal-gvern li jheddu</v>
      </c>
    </row>
    <row r="16272" ht="15.75" customHeight="1">
      <c r="A16272" s="2" t="s">
        <v>16272</v>
      </c>
      <c r="B16272" s="2" t="str">
        <f>IFERROR(__xludf.DUMMYFUNCTION("GOOGLETRANSLATE(A16272, ""en"", ""mt"")"),"Wara referendum fl-1997, li fih l-elettorat Skoċċiż ivvota għad-devoluzzjoni, il-Parlament attwali ġie mlaqqa 'bl-Att tal-1998 tal-Iskozja, li jistabbilixxi s-setgħat tiegħu bħala leġiżlatura devolta. L-Att jiddelinja l-kompetenza leġiżlattiva tal-Parlame"&amp;"nt - l-oqsma li fihom jista 'jagħmel liġijiet - billi jispeċifika b'mod espliċitu setgħat li huma ""riservati"" lill-Parlament tar-Renju Unit. Il-Parlament Skoċċiż għandu s-setgħa li jilleġiżla fl-oqsma kollha li mhumiex espliċitament riservati għal Westm"&amp;"inster. Il-Parlament Brittaniku jżomm il-kapaċità li jemenda t-Termini ta 'Referenza tal-Parlament Skoċċiż, u jista' jestendi jew inaqqas l-oqsma li fihom jista 'jagħmel liġijiet. L-ewwel laqgħa tal-Parlament il-ġdid saret fit-12 ta 'Mejju 1999.")</f>
        <v>Wara referendum fl-1997, li fih l-elettorat Skoċċiż ivvota għad-devoluzzjoni, il-Parlament attwali ġie mlaqqa 'bl-Att tal-1998 tal-Iskozja, li jistabbilixxi s-setgħat tiegħu bħala leġiżlatura devolta. L-Att jiddelinja l-kompetenza leġiżlattiva tal-Parlament - l-oqsma li fihom jista 'jagħmel liġijiet - billi jispeċifika b'mod espliċitu setgħat li huma "riservati" lill-Parlament tar-Renju Unit. Il-Parlament Skoċċiż għandu s-setgħa li jilleġiżla fl-oqsma kollha li mhumiex espliċitament riservati għal Westminster. Il-Parlament Brittaniku jżomm il-kapaċità li jemenda t-Termini ta 'Referenza tal-Parlament Skoċċiż, u jista' jestendi jew inaqqas l-oqsma li fihom jista 'jagħmel liġijiet. L-ewwel laqgħa tal-Parlament il-ġdid saret fit-12 ta 'Mejju 1999.</v>
      </c>
    </row>
    <row r="16273" ht="15.75" customHeight="1">
      <c r="A16273" s="2" t="s">
        <v>16273</v>
      </c>
      <c r="B16273" s="2" t="str">
        <f>IFERROR(__xludf.DUMMYFUNCTION("GOOGLETRANSLATE(A16273, ""en"", ""mt"")"),"Żwieġ bejn Han u Jurchen")</f>
        <v>Żwieġ bejn Han u Jurchen</v>
      </c>
    </row>
    <row r="16274" ht="15.75" customHeight="1">
      <c r="A16274" s="2" t="s">
        <v>16274</v>
      </c>
      <c r="B16274" s="2" t="str">
        <f>IFERROR(__xludf.DUMMYFUNCTION("GOOGLETRANSLATE(A16274, ""en"", ""mt"")"),"Liema kontinent huma l-Gżejjer Kanarini barra mill-kosta ta '?")</f>
        <v>Liema kontinent huma l-Gżejjer Kanarini barra mill-kosta ta '?</v>
      </c>
    </row>
    <row r="16275" ht="15.75" customHeight="1">
      <c r="A16275" s="2" t="s">
        <v>16275</v>
      </c>
      <c r="B16275" s="2" t="str">
        <f>IFERROR(__xludf.DUMMYFUNCTION("GOOGLETRANSLATE(A16275, ""en"", ""mt"")"),"Liema parti tal-kollezzjoni V &amp; A tejjeb il-Bequest tat-Talting?")</f>
        <v>Liema parti tal-kollezzjoni V &amp; A tejjeb il-Bequest tat-Talting?</v>
      </c>
    </row>
    <row r="16276" ht="15.75" customHeight="1">
      <c r="A16276" s="2" t="s">
        <v>16276</v>
      </c>
      <c r="B16276" s="2" t="str">
        <f>IFERROR(__xludf.DUMMYFUNCTION("GOOGLETRANSLATE(A16276, ""en"", ""mt"")"),"squiled saqajh")</f>
        <v>squiled saqajh</v>
      </c>
    </row>
    <row r="16277" ht="15.75" customHeight="1">
      <c r="A16277" s="2" t="s">
        <v>16277</v>
      </c>
      <c r="B16277" s="2" t="str">
        <f>IFERROR(__xludf.DUMMYFUNCTION("GOOGLETRANSLATE(A16277, ""en"", ""mt"")"),"il-koalizzjoni reliġjuża għall-għażla riproduttiva")</f>
        <v>il-koalizzjoni reliġjuża għall-għażla riproduttiva</v>
      </c>
    </row>
    <row r="16278" ht="15.75" customHeight="1">
      <c r="A16278" s="2" t="s">
        <v>16278</v>
      </c>
      <c r="B16278" s="2" t="str">
        <f>IFERROR(__xludf.DUMMYFUNCTION("GOOGLETRANSLATE(A16278, ""en"", ""mt"")"),"Kif hija miktuba l-kumplessità tal-ħin tal-agħar każ bħala espressjoni?")</f>
        <v>Kif hija miktuba l-kumplessità tal-ħin tal-agħar każ bħala espressjoni?</v>
      </c>
    </row>
    <row r="16279" ht="15.75" customHeight="1">
      <c r="A16279" s="2" t="s">
        <v>16279</v>
      </c>
      <c r="B16279" s="2" t="str">
        <f>IFERROR(__xludf.DUMMYFUNCTION("GOOGLETRANSLATE(A16279, ""en"", ""mt"")"),"Kemm damet il-5 President tal-President?")</f>
        <v>Kemm damet il-5 President tal-President?</v>
      </c>
    </row>
    <row r="16280" ht="15.75" customHeight="1">
      <c r="A16280" s="2" t="s">
        <v>16280</v>
      </c>
      <c r="B16280" s="2" t="str">
        <f>IFERROR(__xludf.DUMMYFUNCTION("GOOGLETRANSLATE(A16280, ""en"", ""mt"")"),"istanza")</f>
        <v>istanza</v>
      </c>
    </row>
    <row r="16281" ht="15.75" customHeight="1">
      <c r="A16281" s="2" t="s">
        <v>16281</v>
      </c>
      <c r="B16281" s="2" t="str">
        <f>IFERROR(__xludf.DUMMYFUNCTION("GOOGLETRANSLATE(A16281, ""en"", ""mt"")"),"id-deżert")</f>
        <v>id-deżert</v>
      </c>
    </row>
    <row r="16282" ht="15.75" customHeight="1">
      <c r="A16282" s="2" t="s">
        <v>16282</v>
      </c>
      <c r="B16282" s="2" t="str">
        <f>IFERROR(__xludf.DUMMYFUNCTION("GOOGLETRANSLATE(A16282, ""en"", ""mt"")"),"John F. Kennedy's")</f>
        <v>John F. Kennedy's</v>
      </c>
    </row>
    <row r="16283" ht="15.75" customHeight="1">
      <c r="A16283" s="2" t="s">
        <v>16283</v>
      </c>
      <c r="B16283" s="2" t="str">
        <f>IFERROR(__xludf.DUMMYFUNCTION("GOOGLETRANSLATE(A16283, ""en"", ""mt"")"),"X'tip ta 'akkomodazzjoni nbniet f'Varsavja bħala parti mill-proċess tal-briks għall-Varsavja?")</f>
        <v>X'tip ta 'akkomodazzjoni nbniet f'Varsavja bħala parti mill-proċess tal-briks għall-Varsavja?</v>
      </c>
    </row>
    <row r="16284" ht="15.75" customHeight="1">
      <c r="A16284" s="2" t="s">
        <v>16284</v>
      </c>
      <c r="B16284" s="2" t="str">
        <f>IFERROR(__xludf.DUMMYFUNCTION("GOOGLETRANSLATE(A16284, ""en"", ""mt"")"),"X'jiġri hekk kif jibnu l-fażi 1?")</f>
        <v>X'jiġri hekk kif jibnu l-fażi 1?</v>
      </c>
    </row>
    <row r="16285" ht="15.75" customHeight="1">
      <c r="A16285" s="2" t="s">
        <v>16285</v>
      </c>
      <c r="B16285" s="2" t="str">
        <f>IFERROR(__xludf.DUMMYFUNCTION("GOOGLETRANSLATE(A16285, ""en"", ""mt"")"),"Deheb tleqq")</f>
        <v>Deheb tleqq</v>
      </c>
    </row>
    <row r="16286" ht="15.75" customHeight="1">
      <c r="A16286" s="2" t="s">
        <v>16286</v>
      </c>
      <c r="B16286" s="2" t="str">
        <f>IFERROR(__xludf.DUMMYFUNCTION("GOOGLETRANSLATE(A16286, ""en"", ""mt"")"),"Minn xiex ġej l-ipoteżi ta 'Riemann li ġej is-sors ta' irregolarità fid-distribuzzjoni tal-punti?")</f>
        <v>Minn xiex ġej l-ipoteżi ta 'Riemann li ġej is-sors ta' irregolarità fid-distribuzzjoni tal-punti?</v>
      </c>
    </row>
    <row r="16287" ht="15.75" customHeight="1">
      <c r="A16287" s="2" t="s">
        <v>16287</v>
      </c>
      <c r="B16287" s="2" t="str">
        <f>IFERROR(__xludf.DUMMYFUNCTION("GOOGLETRANSLATE(A16287, ""en"", ""mt"")"),"21 ta ’Ottubru 1512")</f>
        <v>21 ta ’Ottubru 1512</v>
      </c>
    </row>
    <row r="16288" ht="15.75" customHeight="1">
      <c r="A16288" s="2" t="s">
        <v>16288</v>
      </c>
      <c r="B16288" s="2" t="str">
        <f>IFERROR(__xludf.DUMMYFUNCTION("GOOGLETRANSLATE(A16288, ""en"", ""mt"")"),"Kemm hemm livelli fil-forma ta 'tagħlim Awstraljan?")</f>
        <v>Kemm hemm livelli fil-forma ta 'tagħlim Awstraljan?</v>
      </c>
    </row>
    <row r="16289" ht="15.75" customHeight="1">
      <c r="A16289" s="2" t="s">
        <v>16289</v>
      </c>
      <c r="B16289" s="2" t="str">
        <f>IFERROR(__xludf.DUMMYFUNCTION("GOOGLETRANSLATE(A16289, ""en"", ""mt"")"),"Dubbidjenza ċivili solitarja")</f>
        <v>Dubbidjenza ċivili solitarja</v>
      </c>
    </row>
    <row r="16290" ht="15.75" customHeight="1">
      <c r="A16290" s="2" t="s">
        <v>16290</v>
      </c>
      <c r="B16290" s="2" t="str">
        <f>IFERROR(__xludf.DUMMYFUNCTION("GOOGLETRANSLATE(A16290, ""en"", ""mt"")"),"Upstate New York u l-pajjiż Ohio")</f>
        <v>Upstate New York u l-pajjiż Ohio</v>
      </c>
    </row>
    <row r="16291" ht="15.75" customHeight="1">
      <c r="A16291" s="2" t="s">
        <v>16291</v>
      </c>
      <c r="B16291" s="2" t="str">
        <f>IFERROR(__xludf.DUMMYFUNCTION("GOOGLETRANSLATE(A16291, ""en"", ""mt"")"),"Metodisti Magħquda dwar l-Abort u s-Sesswalità (TUMAS)")</f>
        <v>Metodisti Magħquda dwar l-Abort u s-Sesswalità (TUMAS)</v>
      </c>
    </row>
    <row r="16292" ht="15.75" customHeight="1">
      <c r="A16292" s="2" t="s">
        <v>16292</v>
      </c>
      <c r="B16292" s="2" t="str">
        <f>IFERROR(__xludf.DUMMYFUNCTION("GOOGLETRANSLATE(A16292, ""en"", ""mt"")"),"Tarka tas-sħana ablattiva")</f>
        <v>Tarka tas-sħana ablattiva</v>
      </c>
    </row>
    <row r="16293" ht="15.75" customHeight="1">
      <c r="A16293" s="2" t="s">
        <v>16293</v>
      </c>
      <c r="B16293" s="2" t="str">
        <f>IFERROR(__xludf.DUMMYFUNCTION("GOOGLETRANSLATE(A16293, ""en"", ""mt"")"),"Bi tweġiba għat-talbiet għal liturġija Ġermaniża, Luther kiteb massa Ġermaniża, li ppubblika fil-bidu tal-1526. Huwa ma kellux l-intenzjoni bħala sostitut għall-adattament 1523 tiegħu tal-massa Latina iżda bħala alternattiva għan- ""nies sempliċi"", a ""S"&amp;"timulazzjoni pubblika biex in-nies jemmnu u jsiru Kristjani."" Luther ibbaża l-ordni tiegħu fuq is-servizz Kattoliku iżda ħalla barra ""dak kollu li jinqata 'ta' sagrifiċċju""; U l-Quddiesa saret ċelebrazzjoni fejn kulħadd irċieva l-inbid kif ukoll il-ħob"&amp;"ż. Huwa żamm l-elevazzjoni tal-ospitanti u tal-kalċi, filwaqt li t-trappings bħall-ilbies tal-massa, l-artal, u x-xemgħat saru fakultattivi, li jippermettu l-libertà taċ-ċerimonja. Xi riformaturi, inklużi segwaċi ta 'Huldrych Zwingli, ikkunsidraw is-servi"&amp;"zz ta' Luther wisq papistiku; U l-istudjużi moderni jinnutaw il-konservattiviżmu tal-alternattiva tiegħu għall-Quddiesa Kattolika. Is-servizz ta 'Luther, madankollu, kien jinkludi kant kongregazzjonali ta' innijiet u salmi bil-Ġermaniż, kif ukoll f'partij"&amp;"iet tal-liturġija, inkluż l-issettjar unison ta 'Luther tal-Kredu. Biex tasal għand in-nies sempliċi u ż-żgħażagħ, Luther inkorpora l-istruzzjoni reliġjuża fis-servizzi tal-ġimgħa fil-forma tal-katekiżmu. Huwa pprovda wkoll verżjonijiet simplifikati tal-m"&amp;"agħmudija u s-servizzi taż-żwieġ.")</f>
        <v>Bi tweġiba għat-talbiet għal liturġija Ġermaniża, Luther kiteb massa Ġermaniża, li ppubblika fil-bidu tal-1526. Huwa ma kellux l-intenzjoni bħala sostitut għall-adattament 1523 tiegħu tal-massa Latina iżda bħala alternattiva għan- "nies sempliċi", a "Stimulazzjoni pubblika biex in-nies jemmnu u jsiru Kristjani." Luther ibbaża l-ordni tiegħu fuq is-servizz Kattoliku iżda ħalla barra "dak kollu li jinqata 'ta' sagrifiċċju"; U l-Quddiesa saret ċelebrazzjoni fejn kulħadd irċieva l-inbid kif ukoll il-ħobż. Huwa żamm l-elevazzjoni tal-ospitanti u tal-kalċi, filwaqt li t-trappings bħall-ilbies tal-massa, l-artal, u x-xemgħat saru fakultattivi, li jippermettu l-libertà taċ-ċerimonja. Xi riformaturi, inklużi segwaċi ta 'Huldrych Zwingli, ikkunsidraw is-servizz ta' Luther wisq papistiku; U l-istudjużi moderni jinnutaw il-konservattiviżmu tal-alternattiva tiegħu għall-Quddiesa Kattolika. Is-servizz ta 'Luther, madankollu, kien jinkludi kant kongregazzjonali ta' innijiet u salmi bil-Ġermaniż, kif ukoll f'partijiet tal-liturġija, inkluż l-issettjar unison ta 'Luther tal-Kredu. Biex tasal għand in-nies sempliċi u ż-żgħażagħ, Luther inkorpora l-istruzzjoni reliġjuża fis-servizzi tal-ġimgħa fil-forma tal-katekiżmu. Huwa pprovda wkoll verżjonijiet simplifikati tal-magħmudija u s-servizzi taż-żwieġ.</v>
      </c>
    </row>
    <row r="16294" ht="15.75" customHeight="1">
      <c r="A16294" s="2" t="s">
        <v>16294</v>
      </c>
      <c r="B16294" s="2" t="str">
        <f>IFERROR(__xludf.DUMMYFUNCTION("GOOGLETRANSLATE(A16294, ""en"", ""mt"")"),"1,000 m3 / s")</f>
        <v>1,000 m3 / s</v>
      </c>
    </row>
    <row r="16295" ht="15.75" customHeight="1">
      <c r="A16295" s="2" t="s">
        <v>16295</v>
      </c>
      <c r="B16295" s="2" t="str">
        <f>IFERROR(__xludf.DUMMYFUNCTION("GOOGLETRANSLATE(A16295, ""en"", ""mt"")"),"F'liema data ġiet murija s-serje tnejn mill-CBC?")</f>
        <v>F'liema data ġiet murija s-serje tnejn mill-CBC?</v>
      </c>
    </row>
    <row r="16296" ht="15.75" customHeight="1">
      <c r="A16296" s="2" t="s">
        <v>16296</v>
      </c>
      <c r="B16296" s="2" t="str">
        <f>IFERROR(__xludf.DUMMYFUNCTION("GOOGLETRANSLATE(A16296, ""en"", ""mt"")"),"ġeneralment umani, jew aljeni umanojdi")</f>
        <v>ġeneralment umani, jew aljeni umanojdi</v>
      </c>
    </row>
    <row r="16297" ht="15.75" customHeight="1">
      <c r="A16297" s="2" t="s">
        <v>16297</v>
      </c>
      <c r="B16297" s="2" t="str">
        <f>IFERROR(__xludf.DUMMYFUNCTION("GOOGLETRANSLATE(A16297, ""en"", ""mt"")"),"Kummissjoni Kanadiża tar-Radju-Televiżjoni u tat-Telekomunikazzjoni")</f>
        <v>Kummissjoni Kanadiża tar-Radju-Televiżjoni u tat-Telekomunikazzjoni</v>
      </c>
    </row>
    <row r="16298" ht="15.75" customHeight="1">
      <c r="A16298" s="2" t="s">
        <v>16298</v>
      </c>
      <c r="B16298" s="2" t="str">
        <f>IFERROR(__xludf.DUMMYFUNCTION("GOOGLETRANSLATE(A16298, ""en"", ""mt"")"),"Biex tevita l- ""inkonvenjent"" li żżur tabib jew li jiksbu mediċini li t-tobba tagħhom ma riedux jippreskrivu")</f>
        <v>Biex tevita l- "inkonvenjent" li żżur tabib jew li jiksbu mediċini li t-tobba tagħhom ma riedux jippreskrivu</v>
      </c>
    </row>
    <row r="16299" ht="15.75" customHeight="1">
      <c r="A16299" s="2" t="s">
        <v>16299</v>
      </c>
      <c r="B16299" s="2" t="str">
        <f>IFERROR(__xludf.DUMMYFUNCTION("GOOGLETRANSLATE(A16299, ""en"", ""mt"")"),"Bħala eżempji interessanti ta 'esponimenti l-iktar notevoli huma: l-ewwel mużew tal-posters tad-dinja li jiftaħar waħda mill-ikbar kollezzjonijiet ta' posters tal-arti fid-dinja, Mużew tal-Kaċċa u l-Irkib u l-Mużew tal-Ferrovija. Minn fost is-60 mużew ta "&amp;"'Varsavja, l-iktar prestiġjużi huma Mużew Nazzjonali b'kollezzjoni ta' xogħlijiet li l-oriġini tagħhom tvarja fil-ħin mill-antikità sal-epoka preżenti kif ukoll waħda mill-aqwa kollezzjonijiet ta 'pitturi fil-pajjiż inklużi xi pitturi mill-kollezzjoni pri"&amp;"vata ta' Adolf Hitler , u l-Mużew tal-Armata Pollakka li s-sett juri l-istorja tal-armi.")</f>
        <v>Bħala eżempji interessanti ta 'esponimenti l-iktar notevoli huma: l-ewwel mużew tal-posters tad-dinja li jiftaħar waħda mill-ikbar kollezzjonijiet ta' posters tal-arti fid-dinja, Mużew tal-Kaċċa u l-Irkib u l-Mużew tal-Ferrovija. Minn fost is-60 mużew ta 'Varsavja, l-iktar prestiġjużi huma Mużew Nazzjonali b'kollezzjoni ta' xogħlijiet li l-oriġini tagħhom tvarja fil-ħin mill-antikità sal-epoka preżenti kif ukoll waħda mill-aqwa kollezzjonijiet ta 'pitturi fil-pajjiż inklużi xi pitturi mill-kollezzjoni privata ta' Adolf Hitler , u l-Mużew tal-Armata Pollakka li s-sett juri l-istorja tal-armi.</v>
      </c>
    </row>
    <row r="16300" ht="15.75" customHeight="1">
      <c r="A16300" s="2" t="s">
        <v>16300</v>
      </c>
      <c r="B16300" s="2" t="str">
        <f>IFERROR(__xludf.DUMMYFUNCTION("GOOGLETRANSLATE(A16300, ""en"", ""mt"")"),"Warner Bros. tippreżenta")</f>
        <v>Warner Bros. tippreżenta</v>
      </c>
    </row>
    <row r="16301" ht="15.75" customHeight="1">
      <c r="A16301" s="2" t="s">
        <v>16301</v>
      </c>
      <c r="B16301" s="2" t="str">
        <f>IFERROR(__xludf.DUMMYFUNCTION("GOOGLETRANSLATE(A16301, ""en"", ""mt"")"),"32 ° C.")</f>
        <v>32 ° C.</v>
      </c>
    </row>
    <row r="16302" ht="15.75" customHeight="1">
      <c r="A16302" s="2" t="s">
        <v>16302</v>
      </c>
      <c r="B16302" s="2" t="str">
        <f>IFERROR(__xludf.DUMMYFUNCTION("GOOGLETRANSLATE(A16302, ""en"", ""mt"")"),"F'liema każ il-qorti ddikjarat li l-Awstrija ma tħallietx iżżomm postijiet fl-iskejjel Awstrijaċi esklussivament għall-istudenti Awstrijaċi?")</f>
        <v>F'liema każ il-qorti ddikjarat li l-Awstrija ma tħallietx iżżomm postijiet fl-iskejjel Awstrijaċi esklussivament għall-istudenti Awstrijaċi?</v>
      </c>
    </row>
    <row r="16303" ht="15.75" customHeight="1">
      <c r="A16303" s="2" t="s">
        <v>16303</v>
      </c>
      <c r="B16303" s="2" t="str">
        <f>IFERROR(__xludf.DUMMYFUNCTION("GOOGLETRANSLATE(A16303, ""en"", ""mt"")"),"L-Imperatur tal-Kanzunetta għal Quzhou")</f>
        <v>L-Imperatur tal-Kanzunetta għal Quzhou</v>
      </c>
    </row>
    <row r="16304" ht="15.75" customHeight="1">
      <c r="A16304" s="2" t="s">
        <v>16304</v>
      </c>
      <c r="B16304" s="2" t="str">
        <f>IFERROR(__xludf.DUMMYFUNCTION("GOOGLETRANSLATE(A16304, ""en"", ""mt"")"),"Fl-2006, skart tossiku jinxtered 'il barra mill-kosta ta' Côte d'Ivoire, minn vapur Ewropew, wassal lill-kummissjoni biex tistudja leġislazzjoni kontra l-iskart tossiku. Il-Kummissarju għall-Ambjent Stavros Dimas iddikjara li ""tali skart tossiku ħafna m'"&amp;"għandu qatt ħalla l-Unjoni Ewropea"". Ma 'pajjiżi bħal Spanja li lanqas biss ikollhom reat kontra t-tbaħħir ta' skart tossiku, Franco Fratini, il-Kummissarju tal-Ġustizzja, il-Libertà u s-Sigurtà, proposti ma 'Dimas biex joħolqu sentenzi kriminali għal """&amp;"reati ekoloġiċi"". Il-kompetenza għall-unjoni biex tagħmel dan ġiet ikkontestata fl-2005 fil-Qorti tal-Ġustizzja li rriżultat f'rebħa għall-kummissjoni. Din id-deċiżjoni stabbilixxiet preċedent li l-Kummissjoni, fuq bażi supranazzjonali, tista 'tilleġiżla"&amp;" fil-liġi kriminali - xi ħaġa li qatt ma saret qabel. S’issa, l-unika proposta oħra kienet l-abbozz tad-Direttiva dwar id-Drittijiet tal-Propjetà Intellettwali. Il-mozzjonijiet ġew imressqa fil-Parlament Ewropew kontra dik il-leġislazzjoni fuq il-bażi li "&amp;"l-liġi kriminali m'għandhiex tkun kompetenza tal-UE, iżda ġiet miċħuda bil-vot. Madankollu, f'Ottubru 2007, il-Qorti tal-Ġustizzja ddeċidiet li l-Kummissjoni ma setgħetx tipproponi x'jistgħu jkunu s-sanzjonijiet kriminali, biss li għandu jkun hemm xi wħud"&amp;".")</f>
        <v>Fl-2006, skart tossiku jinxtered 'il barra mill-kosta ta' Côte d'Ivoire, minn vapur Ewropew, wassal lill-kummissjoni biex tistudja leġislazzjoni kontra l-iskart tossiku. Il-Kummissarju għall-Ambjent Stavros Dimas iddikjara li "tali skart tossiku ħafna m'għandu qatt ħalla l-Unjoni Ewropea". Ma 'pajjiżi bħal Spanja li lanqas biss ikollhom reat kontra t-tbaħħir ta' skart tossiku, Franco Fratini, il-Kummissarju tal-Ġustizzja, il-Libertà u s-Sigurtà, proposti ma 'Dimas biex joħolqu sentenzi kriminali għal "reati ekoloġiċi". Il-kompetenza għall-unjoni biex tagħmel dan ġiet ikkontestata fl-2005 fil-Qorti tal-Ġustizzja li rriżultat f'rebħa għall-kummissjoni. Din id-deċiżjoni stabbilixxiet preċedent li l-Kummissjoni, fuq bażi supranazzjonali, tista 'tilleġiżla fil-liġi kriminali - xi ħaġa li qatt ma saret qabel. S’issa, l-unika proposta oħra kienet l-abbozz tad-Direttiva dwar id-Drittijiet tal-Propjetà Intellettwali. Il-mozzjonijiet ġew imressqa fil-Parlament Ewropew kontra dik il-leġislazzjoni fuq il-bażi li l-liġi kriminali m'għandhiex tkun kompetenza tal-UE, iżda ġiet miċħuda bil-vot. Madankollu, f'Ottubru 2007, il-Qorti tal-Ġustizzja ddeċidiet li l-Kummissjoni ma setgħetx tipproponi x'jistgħu jkunu s-sanzjonijiet kriminali, biss li għandu jkun hemm xi wħud.</v>
      </c>
    </row>
    <row r="16305" ht="15.75" customHeight="1">
      <c r="A16305" s="2" t="s">
        <v>16305</v>
      </c>
      <c r="B16305" s="2" t="str">
        <f>IFERROR(__xludf.DUMMYFUNCTION("GOOGLETRANSLATE(A16305, ""en"", ""mt"")"),"X'inhuma kawżi oħra ta 'fatalità?")</f>
        <v>X'inhuma kawżi oħra ta 'fatalità?</v>
      </c>
    </row>
    <row r="16306" ht="15.75" customHeight="1">
      <c r="A16306" s="2" t="s">
        <v>16306</v>
      </c>
      <c r="B16306" s="2" t="str">
        <f>IFERROR(__xludf.DUMMYFUNCTION("GOOGLETRANSLATE(A16306, ""en"", ""mt"")"),"Appoġġ tal-Militia")</f>
        <v>Appoġġ tal-Militia</v>
      </c>
    </row>
    <row r="16307" ht="15.75" customHeight="1">
      <c r="A16307" s="2" t="s">
        <v>16307</v>
      </c>
      <c r="B16307" s="2" t="str">
        <f>IFERROR(__xludf.DUMMYFUNCTION("GOOGLETRANSLATE(A16307, ""en"", ""mt"")"),"Il-battalja ntemmet inkonklussivament")</f>
        <v>Il-battalja ntemmet inkonklussivament</v>
      </c>
    </row>
    <row r="16308" ht="15.75" customHeight="1">
      <c r="A16308" s="2" t="s">
        <v>16308</v>
      </c>
      <c r="B16308" s="2" t="str">
        <f>IFERROR(__xludf.DUMMYFUNCTION("GOOGLETRANSLATE(A16308, ""en"", ""mt"")"),"1 ta 'Lulju 1851")</f>
        <v>1 ta 'Lulju 1851</v>
      </c>
    </row>
    <row r="16309" ht="15.75" customHeight="1">
      <c r="A16309" s="2" t="s">
        <v>16309</v>
      </c>
      <c r="B16309" s="2" t="str">
        <f>IFERROR(__xludf.DUMMYFUNCTION("GOOGLETRANSLATE(A16309, ""en"", ""mt"")"),"Liema dipartiment tal-gvern għalaq Buyantu?")</f>
        <v>Liema dipartiment tal-gvern għalaq Buyantu?</v>
      </c>
    </row>
    <row r="16310" ht="15.75" customHeight="1">
      <c r="A16310" s="2" t="s">
        <v>16310</v>
      </c>
      <c r="B16310" s="2" t="str">
        <f>IFERROR(__xludf.DUMMYFUNCTION("GOOGLETRANSLATE(A16310, ""en"", ""mt"")"),"Ingħaqad ma 'Politeknika jew kulleġġ tekniku ieħor u studja għal tliet snin jew ipproċedi direttament fl-università u studja għal erba' snin")</f>
        <v>Ingħaqad ma 'Politeknika jew kulleġġ tekniku ieħor u studja għal tliet snin jew ipproċedi direttament fl-università u studja għal erba' snin</v>
      </c>
    </row>
    <row r="16311" ht="15.75" customHeight="1">
      <c r="A16311" s="2" t="s">
        <v>16311</v>
      </c>
      <c r="B16311" s="2" t="str">
        <f>IFERROR(__xludf.DUMMYFUNCTION("GOOGLETRANSLATE(A16311, ""en"", ""mt"")"),"Liema rwol ieħor għandhom ħafna spiżjara?")</f>
        <v>Liema rwol ieħor għandhom ħafna spiżjara?</v>
      </c>
    </row>
    <row r="16312" ht="15.75" customHeight="1">
      <c r="A16312" s="2" t="s">
        <v>16312</v>
      </c>
      <c r="B16312" s="2" t="str">
        <f>IFERROR(__xludf.DUMMYFUNCTION("GOOGLETRANSLATE(A16312, ""en"", ""mt"")"),"X'inhi t-tieni skola akkademika tat-teknoloġija fil-Polonja?")</f>
        <v>X'inhi t-tieni skola akkademika tat-teknoloġija fil-Polonja?</v>
      </c>
    </row>
    <row r="16313" ht="15.75" customHeight="1">
      <c r="A16313" s="2" t="s">
        <v>16313</v>
      </c>
      <c r="B16313" s="2" t="str">
        <f>IFERROR(__xludf.DUMMYFUNCTION("GOOGLETRANSLATE(A16313, ""en"", ""mt"")"),"X'inhuma l-korpi leġiżlattivi ewlenin tal-Unjoni Ewropea?")</f>
        <v>X'inhuma l-korpi leġiżlattivi ewlenin tal-Unjoni Ewropea?</v>
      </c>
    </row>
    <row r="16314" ht="15.75" customHeight="1">
      <c r="A16314" s="2" t="s">
        <v>16314</v>
      </c>
      <c r="B16314" s="2" t="str">
        <f>IFERROR(__xludf.DUMMYFUNCTION("GOOGLETRANSLATE(A16314, ""en"", ""mt"")"),"Approċċ interdixxiplinarju")</f>
        <v>Approċċ interdixxiplinarju</v>
      </c>
    </row>
    <row r="16315" ht="15.75" customHeight="1">
      <c r="A16315" s="2" t="s">
        <v>16315</v>
      </c>
      <c r="B16315" s="2" t="str">
        <f>IFERROR(__xludf.DUMMYFUNCTION("GOOGLETRANSLATE(A16315, ""en"", ""mt"")"),"katalogu kollox")</f>
        <v>katalogu kollox</v>
      </c>
    </row>
    <row r="16316" ht="15.75" customHeight="1">
      <c r="A16316" s="2" t="s">
        <v>16316</v>
      </c>
      <c r="B16316" s="2" t="str">
        <f>IFERROR(__xludf.DUMMYFUNCTION("GOOGLETRANSLATE(A16316, ""en"", ""mt"")"),"Għaliex hemm bżonn it-tieni skeda ta 'żmien?")</f>
        <v>Għaliex hemm bżonn it-tieni skeda ta 'żmien?</v>
      </c>
    </row>
    <row r="16317" ht="15.75" customHeight="1">
      <c r="A16317" s="2" t="s">
        <v>16317</v>
      </c>
      <c r="B16317" s="2" t="str">
        <f>IFERROR(__xludf.DUMMYFUNCTION("GOOGLETRANSLATE(A16317, ""en"", ""mt"")"),"Moviment li jdur kontinwu")</f>
        <v>Moviment li jdur kontinwu</v>
      </c>
    </row>
    <row r="16318" ht="15.75" customHeight="1">
      <c r="A16318" s="2" t="s">
        <v>16318</v>
      </c>
      <c r="B16318" s="2" t="str">
        <f>IFERROR(__xludf.DUMMYFUNCTION("GOOGLETRANSLATE(A16318, ""en"", ""mt"")"),"6 ta 'Ottubru, 1973")</f>
        <v>6 ta 'Ottubru, 1973</v>
      </c>
    </row>
    <row r="16319" ht="15.75" customHeight="1">
      <c r="A16319" s="2" t="s">
        <v>16319</v>
      </c>
      <c r="B16319" s="2" t="str">
        <f>IFERROR(__xludf.DUMMYFUNCTION("GOOGLETRANSLATE(A16319, ""en"", ""mt"")"),"indaqs il-ġisem")</f>
        <v>indaqs il-ġisem</v>
      </c>
    </row>
    <row r="16320" ht="15.75" customHeight="1">
      <c r="A16320" s="2" t="s">
        <v>16320</v>
      </c>
      <c r="B16320" s="2" t="str">
        <f>IFERROR(__xludf.DUMMYFUNCTION("GOOGLETRANSLATE(A16320, ""en"", ""mt"")"),"Kemm qed tikber l-informatika tal-ispiżerija?")</f>
        <v>Kemm qed tikber l-informatika tal-ispiżerija?</v>
      </c>
    </row>
    <row r="16321" ht="15.75" customHeight="1">
      <c r="A16321" s="2" t="s">
        <v>16321</v>
      </c>
      <c r="B16321" s="2" t="str">
        <f>IFERROR(__xludf.DUMMYFUNCTION("GOOGLETRANSLATE(A16321, ""en"", ""mt"")"),"Avvenimenti u Festivals")</f>
        <v>Avvenimenti u Festivals</v>
      </c>
    </row>
    <row r="16322" ht="15.75" customHeight="1">
      <c r="A16322" s="2" t="s">
        <v>16322</v>
      </c>
      <c r="B16322" s="2" t="str">
        <f>IFERROR(__xludf.DUMMYFUNCTION("GOOGLETRANSLATE(A16322, ""en"", ""mt"")"),"Kostruzzjoni fuq skala kbira teħtieġ kollaborazzjoni f'dixxiplini multipli. Perit normalment jimmaniġġja l-impjieg, u maniġer tal-kostruzzjoni, inġinier tad-disinn, inġinier tal-kostruzzjoni jew maniġer tal-proġett jissorveljah. Għall-eżekuzzjoni b'suċċes"&amp;"s ta 'proġett, l-ippjanar effettiv huwa essenzjali. Dawk involuti fid-disinn u l-eżekuzzjoni tal-infrastruttura in kwistjoni għandhom jikkunsidraw ir-rekwiżiti taż-żoni, l-impatt ambjentali tax-xogħol, l-iskedar b'suċċess, l-ibbaġitjar, is-sigurtà tas-sit"&amp;" tal-kostruzzjoni, id-disponibbiltà u t-trasport ta 'materjali tal-bini, loġistika, inkonvenjenza għall-pubbliku kkawżat minn Dewmien fil-kostruzzjoni u offerti, eċċ. L-akbar proġetti ta 'kostruzzjoni huma msejħa megaprojects.")</f>
        <v>Kostruzzjoni fuq skala kbira teħtieġ kollaborazzjoni f'dixxiplini multipli. Perit normalment jimmaniġġja l-impjieg, u maniġer tal-kostruzzjoni, inġinier tad-disinn, inġinier tal-kostruzzjoni jew maniġer tal-proġett jissorveljah. Għall-eżekuzzjoni b'suċċess ta 'proġett, l-ippjanar effettiv huwa essenzjali. Dawk involuti fid-disinn u l-eżekuzzjoni tal-infrastruttura in kwistjoni għandhom jikkunsidraw ir-rekwiżiti taż-żoni, l-impatt ambjentali tax-xogħol, l-iskedar b'suċċess, l-ibbaġitjar, is-sigurtà tas-sit tal-kostruzzjoni, id-disponibbiltà u t-trasport ta 'materjali tal-bini, loġistika, inkonvenjenza għall-pubbliku kkawżat minn Dewmien fil-kostruzzjoni u offerti, eċċ. L-akbar proġetti ta 'kostruzzjoni huma msejħa megaprojects.</v>
      </c>
    </row>
    <row r="16323" ht="15.75" customHeight="1">
      <c r="A16323" s="2" t="s">
        <v>16323</v>
      </c>
      <c r="B16323" s="2" t="str">
        <f>IFERROR(__xludf.DUMMYFUNCTION("GOOGLETRANSLATE(A16323, ""en"", ""mt"")"),"Kemm Panthers marru għand il-Pro Bowl?")</f>
        <v>Kemm Panthers marru għand il-Pro Bowl?</v>
      </c>
    </row>
    <row r="16324" ht="15.75" customHeight="1">
      <c r="A16324" s="2" t="s">
        <v>16324</v>
      </c>
      <c r="B16324" s="2" t="str">
        <f>IFERROR(__xludf.DUMMYFUNCTION("GOOGLETRANSLATE(A16324, ""en"", ""mt"")"),"Monument tar-rewwixta ta 'Varsavja")</f>
        <v>Monument tar-rewwixta ta 'Varsavja</v>
      </c>
    </row>
    <row r="16325" ht="15.75" customHeight="1">
      <c r="A16325" s="2" t="s">
        <v>16325</v>
      </c>
      <c r="B16325" s="2" t="str">
        <f>IFERROR(__xludf.DUMMYFUNCTION("GOOGLETRANSLATE(A16325, ""en"", ""mt"")"),"Fl-1935, f'intervista annwali ta 'ċelebrazzjoni ta' għeluq snin, Tesla ħabbret metodu ta 'trasmissjoni ta' enerġija mekkanika b'telf minimu fuq kwalunkwe distanza terrestri, mezz ġdid relatat ta 'komunikazzjoni, u metodu ta' determinazzjoni preċiża tal-lo"&amp;"k ta 'depożiti minerali taħt l-art.")</f>
        <v>Fl-1935, f'intervista annwali ta 'ċelebrazzjoni ta' għeluq snin, Tesla ħabbret metodu ta 'trasmissjoni ta' enerġija mekkanika b'telf minimu fuq kwalunkwe distanza terrestri, mezz ġdid relatat ta 'komunikazzjoni, u metodu ta' determinazzjoni preċiża tal-lok ta 'depożiti minerali taħt l-art.</v>
      </c>
    </row>
    <row r="16326" ht="15.75" customHeight="1">
      <c r="A16326" s="2" t="s">
        <v>16326</v>
      </c>
      <c r="B16326" s="2" t="str">
        <f>IFERROR(__xludf.DUMMYFUNCTION("GOOGLETRANSLATE(A16326, ""en"", ""mt"")"),"Kemm ġiet stmata l-ispinta għat-titjira tat-trans transtunar?")</f>
        <v>Kemm ġiet stmata l-ispinta għat-titjira tat-trans transtunar?</v>
      </c>
    </row>
    <row r="16327" ht="15.75" customHeight="1">
      <c r="A16327" s="2" t="s">
        <v>16327</v>
      </c>
      <c r="B16327" s="2" t="str">
        <f>IFERROR(__xludf.DUMMYFUNCTION("GOOGLETRANSLATE(A16327, ""en"", ""mt"")"),"Flimkien mal-kongregazzjoni ta 'Brothers Christian, x'inhu grupp reliġjuż notevoli li jmexxi skejjel li jħallsu l-ħlas fl-Irlanda?")</f>
        <v>Flimkien mal-kongregazzjoni ta 'Brothers Christian, x'inhu grupp reliġjuż notevoli li jmexxi skejjel li jħallsu l-ħlas fl-Irlanda?</v>
      </c>
    </row>
    <row r="16328" ht="15.75" customHeight="1">
      <c r="A16328" s="2" t="s">
        <v>16328</v>
      </c>
      <c r="B16328" s="2" t="str">
        <f>IFERROR(__xludf.DUMMYFUNCTION("GOOGLETRANSLATE(A16328, ""en"", ""mt"")"),"Ġerarkija xierqa fuq il-klassijiet")</f>
        <v>Ġerarkija xierqa fuq il-klassijiet</v>
      </c>
    </row>
    <row r="16329" ht="15.75" customHeight="1">
      <c r="A16329" s="2" t="s">
        <v>16329</v>
      </c>
      <c r="B16329" s="2" t="str">
        <f>IFERROR(__xludf.DUMMYFUNCTION("GOOGLETRANSLATE(A16329, ""en"", ""mt"")"),"Ir-riġenerazzjoni fuq skala kbira ħadet post l-ex-bini tat-tbaħħir bl-impożizzjoni ta 'żviluppi ġodda fl-uffiċċju; Pont innovattiv ta 'inklinazzjoni, il-Pont tal-Millennju Gateshead ġie kkummissjonat mill-Kunsill ta' Gateshead u integra l-anzjani ta 'Newc"&amp;"astle Quayside aktar mill-qrib ma' żviluppi kulturali ewlenin f'Gateshead, inkluż iċ-Ċentru Baltiku għall-Arti Kontemporanja, il-post għall-Premju Turner 2011 u l-Foster Norman Iddisinjat iċ-Ċentru tal-Mużika Sage Gateshead. In-Newcastle and Gateshead Qua"&amp;"ysides issa huma żona b'saħħitha u kożmopolitana bi bars, ristoranti u spazji pubbliċi. Bħala promozzjoni turistika, Newcastle u Gateshead marbuta flimkien taħt il-banner ""Newcastlegateshead"", biex imexxu r-riġenerazzjoni tal-Grigal. Ix-Xmara Tyne kellh"&amp;"a l-Pont Bambuco temporanju fl-2008 għal għaxart ijiem; Ma kienx magħmul għall-mixi, it-triq jew iċ-ċikliżmu, iżda kien biss skultura.")</f>
        <v>Ir-riġenerazzjoni fuq skala kbira ħadet post l-ex-bini tat-tbaħħir bl-impożizzjoni ta 'żviluppi ġodda fl-uffiċċju; Pont innovattiv ta 'inklinazzjoni, il-Pont tal-Millennju Gateshead ġie kkummissjonat mill-Kunsill ta' Gateshead u integra l-anzjani ta 'Newcastle Quayside aktar mill-qrib ma' żviluppi kulturali ewlenin f'Gateshead, inkluż iċ-Ċentru Baltiku għall-Arti Kontemporanja, il-post għall-Premju Turner 2011 u l-Foster Norman Iddisinjat iċ-Ċentru tal-Mużika Sage Gateshead. In-Newcastle and Gateshead Quaysides issa huma żona b'saħħitha u kożmopolitana bi bars, ristoranti u spazji pubbliċi. Bħala promozzjoni turistika, Newcastle u Gateshead marbuta flimkien taħt il-banner "Newcastlegateshead", biex imexxu r-riġenerazzjoni tal-Grigal. Ix-Xmara Tyne kellha l-Pont Bambuco temporanju fl-2008 għal għaxart ijiem; Ma kienx magħmul għall-mixi, it-triq jew iċ-ċikliżmu, iżda kien biss skultura.</v>
      </c>
    </row>
    <row r="16330" ht="15.75" customHeight="1">
      <c r="A16330" s="2" t="s">
        <v>16330</v>
      </c>
      <c r="B16330" s="2" t="str">
        <f>IFERROR(__xludf.DUMMYFUNCTION("GOOGLETRANSLATE(A16330, ""en"", ""mt"")"),"fost il-plankton")</f>
        <v>fost il-plankton</v>
      </c>
    </row>
    <row r="16331" ht="15.75" customHeight="1">
      <c r="A16331" s="2" t="s">
        <v>16331</v>
      </c>
      <c r="B16331" s="2" t="str">
        <f>IFERROR(__xludf.DUMMYFUNCTION("GOOGLETRANSLATE(A16331, ""en"", ""mt"")"),"piż")</f>
        <v>piż</v>
      </c>
    </row>
    <row r="16332" ht="15.75" customHeight="1">
      <c r="A16332" s="2" t="s">
        <v>16332</v>
      </c>
      <c r="B16332" s="2" t="str">
        <f>IFERROR(__xludf.DUMMYFUNCTION("GOOGLETRANSLATE(A16332, ""en"", ""mt"")"),"vapuri merkantili.")</f>
        <v>vapuri merkantili.</v>
      </c>
    </row>
    <row r="16333" ht="15.75" customHeight="1">
      <c r="A16333" s="2" t="s">
        <v>16333</v>
      </c>
      <c r="B16333" s="2" t="str">
        <f>IFERROR(__xludf.DUMMYFUNCTION("GOOGLETRANSLATE(A16333, ""en"", ""mt"")"),"aktar minn 70")</f>
        <v>aktar minn 70</v>
      </c>
    </row>
    <row r="16334" ht="15.75" customHeight="1">
      <c r="A16334" s="2" t="s">
        <v>16334</v>
      </c>
      <c r="B16334" s="2" t="str">
        <f>IFERROR(__xludf.DUMMYFUNCTION("GOOGLETRANSLATE(A16334, ""en"", ""mt"")"),"mitluba mill-gvernijiet")</f>
        <v>mitluba mill-gvernijiet</v>
      </c>
    </row>
    <row r="16335" ht="15.75" customHeight="1">
      <c r="A16335" s="2" t="s">
        <v>16335</v>
      </c>
      <c r="B16335" s="2" t="str">
        <f>IFERROR(__xludf.DUMMYFUNCTION("GOOGLETRANSLATE(A16335, ""en"", ""mt"")"),"aggressività")</f>
        <v>aggressività</v>
      </c>
    </row>
    <row r="16336" ht="15.75" customHeight="1">
      <c r="A16336" s="2" t="s">
        <v>16336</v>
      </c>
      <c r="B16336" s="2" t="str">
        <f>IFERROR(__xludf.DUMMYFUNCTION("GOOGLETRANSLATE(A16336, ""en"", ""mt"")"),"Tossiċità akuta ta 'ossiġnu")</f>
        <v>Tossiċità akuta ta 'ossiġnu</v>
      </c>
    </row>
    <row r="16337" ht="15.75" customHeight="1">
      <c r="A16337" s="2" t="s">
        <v>16337</v>
      </c>
      <c r="B16337" s="2" t="str">
        <f>IFERROR(__xludf.DUMMYFUNCTION("GOOGLETRANSLATE(A16337, ""en"", ""mt"")"),"Kemm jemigraw il-wildebeest ifittxu ikel u ilma?")</f>
        <v>Kemm jemigraw il-wildebeest ifittxu ikel u ilma?</v>
      </c>
    </row>
    <row r="16338" ht="15.75" customHeight="1">
      <c r="A16338" s="2" t="s">
        <v>16338</v>
      </c>
      <c r="B16338" s="2" t="str">
        <f>IFERROR(__xludf.DUMMYFUNCTION("GOOGLETRANSLATE(A16338, ""en"", ""mt"")"),"X’għamel dan il-presage tal-innu?")</f>
        <v>X’għamel dan il-presage tal-innu?</v>
      </c>
    </row>
    <row r="16339" ht="15.75" customHeight="1">
      <c r="A16339" s="2" t="s">
        <v>16339</v>
      </c>
      <c r="B16339" s="2" t="str">
        <f>IFERROR(__xludf.DUMMYFUNCTION("GOOGLETRANSLATE(A16339, ""en"", ""mt"")"),"Kummissjoni v Italja")</f>
        <v>Kummissjoni v Italja</v>
      </c>
    </row>
    <row r="16340" ht="15.75" customHeight="1">
      <c r="A16340" s="2" t="s">
        <v>16340</v>
      </c>
      <c r="B16340" s="2" t="str">
        <f>IFERROR(__xludf.DUMMYFUNCTION("GOOGLETRANSLATE(A16340, ""en"", ""mt"")"),"Minħabba li ħafna nies anzjani issa qed jieħdu bosta mediċini iżda jkomplu jgħixu barra minn settings istituzzjonali")</f>
        <v>Minħabba li ħafna nies anzjani issa qed jieħdu bosta mediċini iżda jkomplu jgħixu barra minn settings istituzzjonali</v>
      </c>
    </row>
    <row r="16341" ht="15.75" customHeight="1">
      <c r="A16341" s="2" t="s">
        <v>16341</v>
      </c>
      <c r="B16341" s="2" t="str">
        <f>IFERROR(__xludf.DUMMYFUNCTION("GOOGLETRANSLATE(A16341, ""en"", ""mt"")"),"Xi nies jiddeskrivu dak bejn individwi jew gruppi bħala imperjalizmu jew kolonjaliżmu?")</f>
        <v>Xi nies jiddeskrivu dak bejn individwi jew gruppi bħala imperjalizmu jew kolonjaliżmu?</v>
      </c>
    </row>
    <row r="16342" ht="15.75" customHeight="1">
      <c r="A16342" s="2" t="s">
        <v>16342</v>
      </c>
      <c r="B16342" s="2" t="str">
        <f>IFERROR(__xludf.DUMMYFUNCTION("GOOGLETRANSLATE(A16342, ""en"", ""mt"")"),"50 ittra")</f>
        <v>50 ittra</v>
      </c>
    </row>
    <row r="16343" ht="15.75" customHeight="1">
      <c r="A16343" s="2" t="s">
        <v>16343</v>
      </c>
      <c r="B16343" s="2" t="str">
        <f>IFERROR(__xludf.DUMMYFUNCTION("GOOGLETRANSLATE(A16343, ""en"", ""mt"")"),"Meta rtira għal formazzjoni interna?")</f>
        <v>Meta rtira għal formazzjoni interna?</v>
      </c>
    </row>
    <row r="16344" ht="15.75" customHeight="1">
      <c r="A16344" s="2" t="s">
        <v>16344</v>
      </c>
      <c r="B16344" s="2" t="str">
        <f>IFERROR(__xludf.DUMMYFUNCTION("GOOGLETRANSLATE(A16344, ""en"", ""mt"")"),"Uża datagrammi mhux affidabbli u mekkaniżmi ta 'protokoll end-to-end assoċjati")</f>
        <v>Uża datagrammi mhux affidabbli u mekkaniżmi ta 'protokoll end-to-end assoċjati</v>
      </c>
    </row>
    <row r="16345" ht="15.75" customHeight="1">
      <c r="A16345" s="2" t="s">
        <v>16345</v>
      </c>
      <c r="B16345" s="2" t="str">
        <f>IFERROR(__xludf.DUMMYFUNCTION("GOOGLETRANSLATE(A16345, ""en"", ""mt"")"),"Ma 'liema innovazzjoni teknoloġika u awtomazzjoni ssostitwiet impjiegi b'ħiliet baxxi?")</f>
        <v>Ma 'liema innovazzjoni teknoloġika u awtomazzjoni ssostitwiet impjiegi b'ħiliet baxxi?</v>
      </c>
    </row>
    <row r="16346" ht="15.75" customHeight="1">
      <c r="A16346" s="2" t="s">
        <v>16346</v>
      </c>
      <c r="B16346" s="2" t="str">
        <f>IFERROR(__xludf.DUMMYFUNCTION("GOOGLETRANSLATE(A16346, ""en"", ""mt"")"),"Perjodu Ediacaran")</f>
        <v>Perjodu Ediacaran</v>
      </c>
    </row>
    <row r="16347" ht="15.75" customHeight="1">
      <c r="A16347" s="2" t="s">
        <v>16347</v>
      </c>
      <c r="B16347" s="2" t="str">
        <f>IFERROR(__xludf.DUMMYFUNCTION("GOOGLETRANSLATE(A16347, ""en"", ""mt"")"),"X inaqqas għal y")</f>
        <v>X inaqqas għal y</v>
      </c>
    </row>
    <row r="16348" ht="15.75" customHeight="1">
      <c r="A16348" s="2" t="s">
        <v>16348</v>
      </c>
      <c r="B16348" s="2" t="str">
        <f>IFERROR(__xludf.DUMMYFUNCTION("GOOGLETRANSLATE(A16348, ""en"", ""mt"")"),"Qlib taċ-ċirkwit")</f>
        <v>Qlib taċ-ċirkwit</v>
      </c>
    </row>
    <row r="16349" ht="15.75" customHeight="1">
      <c r="A16349" s="2" t="s">
        <v>16349</v>
      </c>
      <c r="B16349" s="2" t="str">
        <f>IFERROR(__xludf.DUMMYFUNCTION("GOOGLETRANSLATE(A16349, ""en"", ""mt"")"),"Problemi li jistgħu jiġu solvuti fit-teorija (per eżempju, minħabba ħin kbir iżda finit), iżda li fil-prattika jdumu wisq biex is-soluzzjonijiet tagħhom ikunu utli, huma magħrufa bħala problemi intrattabbli. Fit-teorija tal-kumplessità, problemi li m'għan"&amp;"dhomx soluzzjonijiet ta 'ħin polinomjali huma kkunsidrati li huma intrattabbli għal aktar mill-iżgħar inputs. Fil-fatt, it-teżi ta 'Cobham-Edmonds tiddikjara li dawk il-problemi biss li jistgħu jissolvew fi żmien polinomjali jistgħu jiġu kkalkulati b'mod "&amp;"fattibbli fuq xi apparat komputazzjonali. Problemi li huma magħrufa li huma intrattabbli f'dan is-sens jinkludu dawk li huma iebsa. Jekk NP ma jkunx l-istess bħal P, allura l-problemi kompluti NP huma wkoll intrattabbli f'dan is-sens. Biex tara għaliex l-"&amp;"algoritmi ta 'ħin esponenzjali jistgħu ma jistgħux jintużaw fil-prattika, ikkunsidra programm li jagħmel operazzjonijiet 2N qabel ma jieqaf. Għal N żgħar, ngħidu 100, u jekk wieħed jassumi għall-finijiet ta 'eżempju li l-kompjuter jagħmel 1012 operazzjoni"&amp;"jiet kull sekonda, il-programm jibqa' għaddej għal madwar 4 × 1010 snin, li huwa l-istess ordni ta 'kobor bħall-età tal-univers. Anke b'kompjuter ferm aktar mgħaġġel, il-programm ikun utli biss għal każijiet żgħar ħafna u f'dak is-sens l-intrattabilità ta"&amp;" 'problema hija kemmxejn indipendenti mill-progress teknoloġiku. Madankollu, algoritmu ta 'ħin polinomjali mhux dejjem huwa prattiku. Jekk il-ħin ta 'tħaddim tiegħu huwa, ngħidu aħna, N15, huwa raġonevoli li tikkunsidrah effiċjenti u għadu inutli ħlief fu"&amp;"q każijiet żgħar.")</f>
        <v>Problemi li jistgħu jiġu solvuti fit-teorija (per eżempju, minħabba ħin kbir iżda finit), iżda li fil-prattika jdumu wisq biex is-soluzzjonijiet tagħhom ikunu utli, huma magħrufa bħala problemi intrattabbli. Fit-teorija tal-kumplessità, problemi li m'għandhomx soluzzjonijiet ta 'ħin polinomjali huma kkunsidrati li huma intrattabbli għal aktar mill-iżgħar inputs. Fil-fatt, it-teżi ta 'Cobham-Edmonds tiddikjara li dawk il-problemi biss li jistgħu jissolvew fi żmien polinomjali jistgħu jiġu kkalkulati b'mod fattibbli fuq xi apparat komputazzjonali. Problemi li huma magħrufa li huma intrattabbli f'dan is-sens jinkludu dawk li huma iebsa. Jekk NP ma jkunx l-istess bħal P, allura l-problemi kompluti NP huma wkoll intrattabbli f'dan is-sens. Biex tara għaliex l-algoritmi ta 'ħin esponenzjali jistgħu ma jistgħux jintużaw fil-prattika, ikkunsidra programm li jagħmel operazzjonijiet 2N qabel ma jieqaf. Għal N żgħar, ngħidu 100, u jekk wieħed jassumi għall-finijiet ta 'eżempju li l-kompjuter jagħmel 1012 operazzjonijiet kull sekonda, il-programm jibqa' għaddej għal madwar 4 × 1010 snin, li huwa l-istess ordni ta 'kobor bħall-età tal-univers. Anke b'kompjuter ferm aktar mgħaġġel, il-programm ikun utli biss għal każijiet żgħar ħafna u f'dak is-sens l-intrattabilità ta 'problema hija kemmxejn indipendenti mill-progress teknoloġiku. Madankollu, algoritmu ta 'ħin polinomjali mhux dejjem huwa prattiku. Jekk il-ħin ta 'tħaddim tiegħu huwa, ngħidu aħna, N15, huwa raġonevoli li tikkunsidrah effiċjenti u għadu inutli ħlief fuq każijiet żgħar.</v>
      </c>
    </row>
    <row r="16350" ht="15.75" customHeight="1">
      <c r="A16350" s="2" t="s">
        <v>16350</v>
      </c>
      <c r="B16350" s="2" t="str">
        <f>IFERROR(__xludf.DUMMYFUNCTION("GOOGLETRANSLATE(A16350, ""en"", ""mt"")"),"Il-monitoraġġ tal-livelli ta 'ossiġnu atmosferiku juri xejra' l isfel globali")</f>
        <v>Il-monitoraġġ tal-livelli ta 'ossiġnu atmosferiku juri xejra' l isfel globali</v>
      </c>
    </row>
    <row r="16351" ht="15.75" customHeight="1">
      <c r="A16351" s="2" t="s">
        <v>16351</v>
      </c>
      <c r="B16351" s="2" t="str">
        <f>IFERROR(__xludf.DUMMYFUNCTION("GOOGLETRANSLATE(A16351, ""en"", ""mt"")"),"Korp kbir ta 'xogħol matematiku xorta jkun validu meta jsejjaħ 1 prim, iżda t-teorema fundamentali ta' Euclid ta 'l-aritmetika (imsemmija hawn fuq) ma żżommx kif intqal. Pereżempju, in-numru 15 jista 'jiġi kkunsidrat bħala 3 · 5 u 1 · 3 · 5; Jekk 1 ġew am"&amp;"messi bħala prim, dawn iż-żewġ preżentazzjonijiet ikunu kkunsidrati fatturizzazzjonijiet differenti ta '15 f'numri ewlenin, u għalhekk id-dikjarazzjoni ta 'dak it-teorema kellha tiġi modifikata. Bl-istess mod, l-passatur ta 'Eratosthenes ma jaħdimx sew je"&amp;"kk 1 kien ikkunsidrat bħala prim: verżjoni modifikata ta' l-għarbiel li tqis 1 bħala Prime li telimina l-multipli kollha ta '1 (jiġifieri, in-numri l-oħra kollha) u tipproduċi bħala output biss in-numru uniku 1. Barra minn hekk, in-numri ewlenin għandhom "&amp;"diversi proprjetajiet li n-numru 1 jonqos, bħar-relazzjoni tan-numru mal-valur korrispondenti tiegħu tal-funzjoni totjenti ta 'Euler jew is-somma tal-funzjoni tad-diviżuri.")</f>
        <v>Korp kbir ta 'xogħol matematiku xorta jkun validu meta jsejjaħ 1 prim, iżda t-teorema fundamentali ta' Euclid ta 'l-aritmetika (imsemmija hawn fuq) ma żżommx kif intqal. Pereżempju, in-numru 15 jista 'jiġi kkunsidrat bħala 3 · 5 u 1 · 3 · 5; Jekk 1 ġew ammessi bħala prim, dawn iż-żewġ preżentazzjonijiet ikunu kkunsidrati fatturizzazzjonijiet differenti ta '15 f'numri ewlenin, u għalhekk id-dikjarazzjoni ta 'dak it-teorema kellha tiġi modifikata. Bl-istess mod, l-passatur ta 'Eratosthenes ma jaħdimx sew jekk 1 kien ikkunsidrat bħala prim: verżjoni modifikata ta' l-għarbiel li tqis 1 bħala Prime li telimina l-multipli kollha ta '1 (jiġifieri, in-numri l-oħra kollha) u tipproduċi bħala output biss in-numru uniku 1. Barra minn hekk, in-numri ewlenin għandhom diversi proprjetajiet li n-numru 1 jonqos, bħar-relazzjoni tan-numru mal-valur korrispondenti tiegħu tal-funzjoni totjenti ta 'Euler jew is-somma tal-funzjoni tad-diviżuri.</v>
      </c>
    </row>
    <row r="16352" ht="15.75" customHeight="1">
      <c r="A16352" s="2" t="s">
        <v>16352</v>
      </c>
      <c r="B16352" s="2" t="str">
        <f>IFERROR(__xludf.DUMMYFUNCTION("GOOGLETRANSLATE(A16352, ""en"", ""mt"")"),"Triq Fresno u Thorne Ave")</f>
        <v>Triq Fresno u Thorne Ave</v>
      </c>
    </row>
    <row r="16353" ht="15.75" customHeight="1">
      <c r="A16353" s="2" t="s">
        <v>16353</v>
      </c>
      <c r="B16353" s="2" t="str">
        <f>IFERROR(__xludf.DUMMYFUNCTION("GOOGLETRANSLATE(A16353, ""en"", ""mt"")"),"Għaliex l-Arabja Sawdita ppruvat iżżid il-produzzjoni, u naqqas il-profitti għal produtturi ta 'spejjeż għoljin?")</f>
        <v>Għaliex l-Arabja Sawdita ppruvat iżżid il-produzzjoni, u naqqas il-profitti għal produtturi ta 'spejjeż għoljin?</v>
      </c>
    </row>
    <row r="16354" ht="15.75" customHeight="1">
      <c r="A16354" s="2" t="s">
        <v>16354</v>
      </c>
      <c r="B16354" s="2" t="str">
        <f>IFERROR(__xludf.DUMMYFUNCTION("GOOGLETRANSLATE(A16354, ""en"", ""mt"")"),"Katekiżmu żgħir,")</f>
        <v>Katekiżmu żgħir,</v>
      </c>
    </row>
    <row r="16355" ht="15.75" customHeight="1">
      <c r="A16355" s="2" t="s">
        <v>16355</v>
      </c>
      <c r="B16355" s="2" t="str">
        <f>IFERROR(__xludf.DUMMYFUNCTION("GOOGLETRANSLATE(A16355, ""en"", ""mt"")"),"Fl-1096, il-kruċjati li jgħaddu mill-assedju ta 'Amalfi ġew magħquda minn Bohemond ta' Taranto u n-neputi tiegħu Tancred ma 'armata ta' Italo-Normans. Bohemond kien il-mexxej de facto tal-kruċjata matul il-passaġġ tagħha mill-Asja Minuri. Wara l-assedju t"&amp;"a 'suċċess ta' Antijokja fl-1097, Bohemond beda jinqata 'prinċipat indipendenti madwar dik il-belt. Tancred kien strumentali fil-konkwista ta ’Ġerusalemm u ħadem għall-espansjoni tar-renju Crusader fi Transjordan u r-reġjun tal-Galilija. [Ċitazzjoni meħti"&amp;"eġa]")</f>
        <v>Fl-1096, il-kruċjati li jgħaddu mill-assedju ta 'Amalfi ġew magħquda minn Bohemond ta' Taranto u n-neputi tiegħu Tancred ma 'armata ta' Italo-Normans. Bohemond kien il-mexxej de facto tal-kruċjata matul il-passaġġ tagħha mill-Asja Minuri. Wara l-assedju ta 'suċċess ta' Antijokja fl-1097, Bohemond beda jinqata 'prinċipat indipendenti madwar dik il-belt. Tancred kien strumentali fil-konkwista ta ’Ġerusalemm u ħadem għall-espansjoni tar-renju Crusader fi Transjordan u r-reġjun tal-Galilija. [Ċitazzjoni meħtieġa]</v>
      </c>
    </row>
    <row r="16356" ht="15.75" customHeight="1">
      <c r="A16356" s="2" t="s">
        <v>16356</v>
      </c>
      <c r="B16356" s="2" t="str">
        <f>IFERROR(__xludf.DUMMYFUNCTION("GOOGLETRANSLATE(A16356, ""en"", ""mt"")"),"Netwerk deċentralizzat b'ħafna mogħdijiet bejn kwalunkwe żewġ punti")</f>
        <v>Netwerk deċentralizzat b'ħafna mogħdijiet bejn kwalunkwe żewġ punti</v>
      </c>
    </row>
    <row r="16357" ht="15.75" customHeight="1">
      <c r="A16357" s="2" t="s">
        <v>16357</v>
      </c>
      <c r="B16357" s="2" t="str">
        <f>IFERROR(__xludf.DUMMYFUNCTION("GOOGLETRANSLATE(A16357, ""en"", ""mt"")"),"neħħejt xi partijiet")</f>
        <v>neħħejt xi partijiet</v>
      </c>
    </row>
    <row r="16358" ht="15.75" customHeight="1">
      <c r="A16358" s="2" t="s">
        <v>16358</v>
      </c>
      <c r="B16358" s="2" t="str">
        <f>IFERROR(__xludf.DUMMYFUNCTION("GOOGLETRANSLATE(A16358, ""en"", ""mt"")"),"Kemm flussi ewlenin huma ramifikati mill-Nederrijn?")</f>
        <v>Kemm flussi ewlenin huma ramifikati mill-Nederrijn?</v>
      </c>
    </row>
    <row r="16359" ht="15.75" customHeight="1">
      <c r="A16359" s="2" t="s">
        <v>16359</v>
      </c>
      <c r="B16359" s="2" t="str">
        <f>IFERROR(__xludf.DUMMYFUNCTION("GOOGLETRANSLATE(A16359, ""en"", ""mt"")"),"ex monasteru")</f>
        <v>ex monasteru</v>
      </c>
    </row>
    <row r="16360" ht="15.75" customHeight="1">
      <c r="A16360" s="2" t="s">
        <v>16360</v>
      </c>
      <c r="B16360" s="2" t="str">
        <f>IFERROR(__xludf.DUMMYFUNCTION("GOOGLETRANSLATE(A16360, ""en"", ""mt"")"),"X'inhi konfigurazzjoni tipika")</f>
        <v>X'inhi konfigurazzjoni tipika</v>
      </c>
    </row>
    <row r="16361" ht="15.75" customHeight="1">
      <c r="A16361" s="2" t="s">
        <v>16361</v>
      </c>
      <c r="B16361" s="2" t="str">
        <f>IFERROR(__xludf.DUMMYFUNCTION("GOOGLETRANSLATE(A16361, ""en"", ""mt"")"),"bħala likwidu")</f>
        <v>bħala likwidu</v>
      </c>
    </row>
    <row r="16362" ht="15.75" customHeight="1">
      <c r="A16362" s="2" t="s">
        <v>16362</v>
      </c>
      <c r="B16362" s="2" t="str">
        <f>IFERROR(__xludf.DUMMYFUNCTION("GOOGLETRANSLATE(A16362, ""en"", ""mt"")"),"Għal veduti Luterani")</f>
        <v>Għal veduti Luterani</v>
      </c>
    </row>
    <row r="16363" ht="15.75" customHeight="1">
      <c r="A16363" s="2" t="s">
        <v>16363</v>
      </c>
      <c r="B16363" s="2" t="str">
        <f>IFERROR(__xludf.DUMMYFUNCTION("GOOGLETRANSLATE(A16363, ""en"", ""mt"")"),"Skond it-teorija umoristika tal-immunità, x'kienu l-aġenti immuni tal-korpi?")</f>
        <v>Skond it-teorija umoristika tal-immunità, x'kienu l-aġenti immuni tal-korpi?</v>
      </c>
    </row>
    <row r="16364" ht="15.75" customHeight="1">
      <c r="A16364" s="2" t="s">
        <v>16364</v>
      </c>
      <c r="B16364" s="2" t="str">
        <f>IFERROR(__xludf.DUMMYFUNCTION("GOOGLETRANSLATE(A16364, ""en"", ""mt"")"),"Liema jum tal-ġimgħa saret il-Jum tal-Midja għal Super Bowl 50?")</f>
        <v>Liema jum tal-ġimgħa saret il-Jum tal-Midja għal Super Bowl 50?</v>
      </c>
    </row>
    <row r="16365" ht="15.75" customHeight="1">
      <c r="A16365" s="2" t="s">
        <v>16365</v>
      </c>
      <c r="B16365" s="2" t="str">
        <f>IFERROR(__xludf.DUMMYFUNCTION("GOOGLETRANSLATE(A16365, ""en"", ""mt"")"),"fin-Nofsinhar")</f>
        <v>fin-Nofsinhar</v>
      </c>
    </row>
    <row r="16366" ht="15.75" customHeight="1">
      <c r="A16366" s="2" t="s">
        <v>16366</v>
      </c>
      <c r="B16366" s="2" t="str">
        <f>IFERROR(__xludf.DUMMYFUNCTION("GOOGLETRANSLATE(A16366, ""en"", ""mt"")"),"Fil-31 ta 'Lulju, 1995")</f>
        <v>Fil-31 ta 'Lulju, 1995</v>
      </c>
    </row>
    <row r="16367" ht="15.75" customHeight="1">
      <c r="A16367" s="2" t="s">
        <v>16367</v>
      </c>
      <c r="B16367" s="2" t="str">
        <f>IFERROR(__xludf.DUMMYFUNCTION("GOOGLETRANSLATE(A16367, ""en"", ""mt"")"),"X'inhu d-daqs tad-dotazzjoni tal-iskola?")</f>
        <v>X'inhu d-daqs tad-dotazzjoni tal-iskola?</v>
      </c>
    </row>
    <row r="16368" ht="15.75" customHeight="1">
      <c r="A16368" s="2" t="s">
        <v>16368</v>
      </c>
      <c r="B16368" s="2" t="str">
        <f>IFERROR(__xludf.DUMMYFUNCTION("GOOGLETRANSLATE(A16368, ""en"", ""mt"")"),"Ċentru tat-Televiżjoni ABC")</f>
        <v>Ċentru tat-Televiżjoni ABC</v>
      </c>
    </row>
    <row r="16369" ht="15.75" customHeight="1">
      <c r="A16369" s="2" t="s">
        <v>16369</v>
      </c>
      <c r="B16369" s="2" t="str">
        <f>IFERROR(__xludf.DUMMYFUNCTION("GOOGLETRANSLATE(A16369, ""en"", ""mt"")"),"Tribujiet Nattivi")</f>
        <v>Tribujiet Nattivi</v>
      </c>
    </row>
    <row r="16370" ht="15.75" customHeight="1">
      <c r="A16370" s="2" t="s">
        <v>16370</v>
      </c>
      <c r="B16370" s="2" t="str">
        <f>IFERROR(__xludf.DUMMYFUNCTION("GOOGLETRANSLATE(A16370, ""en"", ""mt"")"),"tneħħi l-fondazzjoni ekonomika tagħha.")</f>
        <v>tneħħi l-fondazzjoni ekonomika tagħha.</v>
      </c>
    </row>
    <row r="16371" ht="15.75" customHeight="1">
      <c r="A16371" s="2" t="s">
        <v>16371</v>
      </c>
      <c r="B16371" s="2" t="str">
        <f>IFERROR(__xludf.DUMMYFUNCTION("GOOGLETRANSLATE(A16371, ""en"", ""mt"")"),"X'jiġri jekk ir-rimjiet ta 'Angiosperm ma jkollhomx biżżejjed dawl?")</f>
        <v>X'jiġri jekk ir-rimjiet ta 'Angiosperm ma jkollhomx biżżejjed dawl?</v>
      </c>
    </row>
    <row r="16372" ht="15.75" customHeight="1">
      <c r="A16372" s="2" t="s">
        <v>16372</v>
      </c>
      <c r="B16372" s="2" t="str">
        <f>IFERROR(__xludf.DUMMYFUNCTION("GOOGLETRANSLATE(A16372, ""en"", ""mt"")"),"Kurrikulu")</f>
        <v>Kurrikulu</v>
      </c>
    </row>
    <row r="16373" ht="15.75" customHeight="1">
      <c r="A16373" s="2" t="s">
        <v>16373</v>
      </c>
      <c r="B16373" s="2" t="str">
        <f>IFERROR(__xludf.DUMMYFUNCTION("GOOGLETRANSLATE(A16373, ""en"", ""mt"")"),"iżolat")</f>
        <v>iżolat</v>
      </c>
    </row>
    <row r="16374" ht="15.75" customHeight="1">
      <c r="A16374" s="2" t="s">
        <v>16374</v>
      </c>
      <c r="B16374" s="2" t="str">
        <f>IFERROR(__xludf.DUMMYFUNCTION("GOOGLETRANSLATE(A16374, ""en"", ""mt"")"),"X'inhu d-dmir tas-CJEU?")</f>
        <v>X'inhu d-dmir tas-CJEU?</v>
      </c>
    </row>
    <row r="16375" ht="15.75" customHeight="1">
      <c r="A16375" s="2" t="s">
        <v>16375</v>
      </c>
      <c r="B16375" s="2" t="str">
        <f>IFERROR(__xludf.DUMMYFUNCTION("GOOGLETRANSLATE(A16375, ""en"", ""mt"")"),"Il-frażi ""moħbija wara (jew"" tara minn wara "") is-sufan"" daħlet fil-kultura pop Ingliża, li tindika fl-umoriżmu l-imġieba sterjotipika tas-serje bikrija tat-tfal li riedu jevitaw li jaraw partijiet tal-biża 'ta' programm televiżiv waqt li baqgħu fil-k"&amp;"amra biex jaraw il-kumplament ta 'dan. Il-frażi żżomm din l-assoċjazzjoni ma 'Doctor Who, sal-punt li fl-1991 il-Mużew ta' l-Immaġni Moving f'Londra semma l-wirja tagħhom li tiċċelebra l-programm ""wara s-sufan"". Il-mużika tema elettronika wkoll kienet p"&amp;"erċepita bħala stramba, ġdida u tal-biża 'dak iż-żmien. Artiklu tal-2012 poġġa din it-tfulija ta 'biża' ta 'biża' u eċċitament ""fiċ-ċentru tar-relazzjoni ta 'ħafna nies ma' l-ispettaklu"", u vot onlajn tal-2011 fuq diġitali spy qies is-serje ""l-ispettak"&amp;"lu tat-TV scariest ta 'kull żmien"".")</f>
        <v>Il-frażi "moħbija wara (jew" tara minn wara ") is-sufan" daħlet fil-kultura pop Ingliża, li tindika fl-umoriżmu l-imġieba sterjotipika tas-serje bikrija tat-tfal li riedu jevitaw li jaraw partijiet tal-biża 'ta' programm televiżiv waqt li baqgħu fil-kamra biex jaraw il-kumplament ta 'dan. Il-frażi żżomm din l-assoċjazzjoni ma 'Doctor Who, sal-punt li fl-1991 il-Mużew ta' l-Immaġni Moving f'Londra semma l-wirja tagħhom li tiċċelebra l-programm "wara s-sufan". Il-mużika tema elettronika wkoll kienet perċepita bħala stramba, ġdida u tal-biża 'dak iż-żmien. Artiklu tal-2012 poġġa din it-tfulija ta 'biża' ta 'biża' u eċċitament "fiċ-ċentru tar-relazzjoni ta 'ħafna nies ma' l-ispettaklu", u vot onlajn tal-2011 fuq diġitali spy qies is-serje "l-ispettaklu tat-TV scariest ta 'kull żmien".</v>
      </c>
    </row>
    <row r="16376" ht="15.75" customHeight="1">
      <c r="A16376" s="2" t="s">
        <v>16376</v>
      </c>
      <c r="B16376" s="2" t="str">
        <f>IFERROR(__xludf.DUMMYFUNCTION("GOOGLETRANSLATE(A16376, ""en"", ""mt"")"),"Fejn kienet il-forza Kievjana li kkonfrontat l-armata ta 'Subutai megħluba fl-1223?")</f>
        <v>Fejn kienet il-forza Kievjana li kkonfrontat l-armata ta 'Subutai megħluba fl-1223?</v>
      </c>
    </row>
    <row r="16377" ht="15.75" customHeight="1">
      <c r="A16377" s="2" t="s">
        <v>16377</v>
      </c>
      <c r="B16377" s="2" t="str">
        <f>IFERROR(__xludf.DUMMYFUNCTION("GOOGLETRANSLATE(A16377, ""en"", ""mt"")"),"Kompjuters ospitanti")</f>
        <v>Kompjuters ospitanti</v>
      </c>
    </row>
    <row r="16378" ht="15.75" customHeight="1">
      <c r="A16378" s="2" t="s">
        <v>16378</v>
      </c>
      <c r="B16378" s="2" t="str">
        <f>IFERROR(__xludf.DUMMYFUNCTION("GOOGLETRANSLATE(A16378, ""en"", ""mt"")"),"jissimplifika l-faċċata tal-annimal")</f>
        <v>jissimplifika l-faċċata tal-annimal</v>
      </c>
    </row>
    <row r="16379" ht="15.75" customHeight="1">
      <c r="A16379" s="2" t="s">
        <v>16379</v>
      </c>
      <c r="B16379" s="2" t="str">
        <f>IFERROR(__xludf.DUMMYFUNCTION("GOOGLETRANSLATE(A16379, ""en"", ""mt"")"),"sfruttament")</f>
        <v>sfruttament</v>
      </c>
    </row>
    <row r="16380" ht="15.75" customHeight="1">
      <c r="A16380" s="2" t="s">
        <v>16380</v>
      </c>
      <c r="B16380" s="2" t="str">
        <f>IFERROR(__xludf.DUMMYFUNCTION("GOOGLETRANSLATE(A16380, ""en"", ""mt"")"),"L- ""10 miljun dollaru miljunarji"" kiber għal kważi $ 41 triljun fl-2008")</f>
        <v>L- "10 miljun dollaru miljunarji" kiber għal kważi $ 41 triljun fl-2008</v>
      </c>
    </row>
    <row r="16381" ht="15.75" customHeight="1">
      <c r="A16381" s="2" t="s">
        <v>16381</v>
      </c>
      <c r="B16381" s="2" t="str">
        <f>IFERROR(__xludf.DUMMYFUNCTION("GOOGLETRANSLATE(A16381, ""en"", ""mt"")"),"In- ""naħa tal-punent"" ta 'Fresno, li wkoll tissejjaħ ukoll ""Southwest Fresno"", hija waħda mill-eqdem kwartieri fil-belt. Il-viċinat jinsab fil-Lbiċ tad-99 Freeway (li jaqsamha minn Downtown Fresno), fil-punent tal-Freeway 41 u fin-Nofsinhar ta 'Nielse"&amp;"n Ave (jew il-180 awtostrada li għadha kemm ġiet mibnija), u testendi sal-limiti tal-belt lejn il-punent u fin-nofsinhar. Il-viċinat huwa tradizzjonalment ikkunsidrat bħala ċ-ċentru tal-komunità Afrikana-Amerikana ta 'Fresno. Huwa kulturalment divers u ji"&amp;"nkludi wkoll popolazzjonijiet sinifikanti Messikani-Amerikani u Ażjatiċi (prinċipalment Hmong jew Laotian).")</f>
        <v>In- "naħa tal-punent" ta 'Fresno, li wkoll tissejjaħ ukoll "Southwest Fresno", hija waħda mill-eqdem kwartieri fil-belt. Il-viċinat jinsab fil-Lbiċ tad-99 Freeway (li jaqsamha minn Downtown Fresno), fil-punent tal-Freeway 41 u fin-Nofsinhar ta 'Nielsen Ave (jew il-180 awtostrada li għadha kemm ġiet mibnija), u testendi sal-limiti tal-belt lejn il-punent u fin-nofsinhar. Il-viċinat huwa tradizzjonalment ikkunsidrat bħala ċ-ċentru tal-komunità Afrikana-Amerikana ta 'Fresno. Huwa kulturalment divers u jinkludi wkoll popolazzjonijiet sinifikanti Messikani-Amerikani u Ażjatiċi (prinċipalment Hmong jew Laotian).</v>
      </c>
    </row>
    <row r="16382" ht="15.75" customHeight="1">
      <c r="A16382" s="2" t="s">
        <v>16382</v>
      </c>
      <c r="B16382" s="2" t="str">
        <f>IFERROR(__xludf.DUMMYFUNCTION("GOOGLETRANSLATE(A16382, ""en"", ""mt"")"),"Prinċipju ta 'inklużjonijiet u komponenti")</f>
        <v>Prinċipju ta 'inklużjonijiet u komponenti</v>
      </c>
    </row>
    <row r="16383" ht="15.75" customHeight="1">
      <c r="A16383" s="2" t="s">
        <v>16383</v>
      </c>
      <c r="B16383" s="2" t="str">
        <f>IFERROR(__xludf.DUMMYFUNCTION("GOOGLETRANSLATE(A16383, ""en"", ""mt"")"),"Skeċċ taż-żejt ta 'daqs sħiħ tal-1821 li fih ingħata pittura Ingliża famuża minn bint John Sheepshank fl-1888?")</f>
        <v>Skeċċ taż-żejt ta 'daqs sħiħ tal-1821 li fih ingħata pittura Ingliża famuża minn bint John Sheepshank fl-1888?</v>
      </c>
    </row>
    <row r="16384" ht="15.75" customHeight="1">
      <c r="A16384" s="2" t="s">
        <v>16384</v>
      </c>
      <c r="B16384" s="2" t="str">
        <f>IFERROR(__xludf.DUMMYFUNCTION("GOOGLETRANSLATE(A16384, ""en"", ""mt"")"),"Min kien mikri biex jipproduċi l-identità tal-ABC 2001-02?")</f>
        <v>Min kien mikri biex jipproduċi l-identità tal-ABC 2001-02?</v>
      </c>
    </row>
    <row r="16385" ht="15.75" customHeight="1">
      <c r="A16385" s="2" t="s">
        <v>16385</v>
      </c>
      <c r="B16385" s="2" t="str">
        <f>IFERROR(__xludf.DUMMYFUNCTION("GOOGLETRANSLATE(A16385, ""en"", ""mt"")"),"Il-membrani tal-kloroplast kultant joħorġu fiċ-ċitoplasma, li jiffurmaw stromule, jew tubu li fih stroma. Stromules huma rari ħafna fil-kloroplasti, u huma ħafna iktar komuni fi plastidi oħra bħal kromoplasti u amiloplasti fil-petali u l-għeruq, rispettiv"&amp;"ament. Jistgħu jeżistu biex iżżid l-erja tal-wiċċ tal-kloroplast għat-trasport inkroċjat, minħabba li ħafna drabi huma ramifikati u mqabbda mar-retikolu endoplasmiku. Meta ġew osservati għall-ewwel darba fl-1962, xi bijoloġisti tal-pjanti ċaħdu l-istruttu"&amp;"ri bħala artifattwali, fejn qalu li l-istromules kienu biss kloroplasti ffurmati stramba b'reġjuni ristretti jew qsim ta 'kloroplasti. Madankollu, hemm korp dejjem jikber ta 'evidenza li l-istromoli huma karatteristiċi funzjonali, integrali tal-plastidi t"&amp;"aċ-ċelloli tal-pjanti, mhux biss artifatti.")</f>
        <v>Il-membrani tal-kloroplast kultant joħorġu fiċ-ċitoplasma, li jiffurmaw stromule, jew tubu li fih stroma. Stromules huma rari ħafna fil-kloroplasti, u huma ħafna iktar komuni fi plastidi oħra bħal kromoplasti u amiloplasti fil-petali u l-għeruq, rispettivament. Jistgħu jeżistu biex iżżid l-erja tal-wiċċ tal-kloroplast għat-trasport inkroċjat, minħabba li ħafna drabi huma ramifikati u mqabbda mar-retikolu endoplasmiku. Meta ġew osservati għall-ewwel darba fl-1962, xi bijoloġisti tal-pjanti ċaħdu l-istrutturi bħala artifattwali, fejn qalu li l-istromules kienu biss kloroplasti ffurmati stramba b'reġjuni ristretti jew qsim ta 'kloroplasti. Madankollu, hemm korp dejjem jikber ta 'evidenza li l-istromoli huma karatteristiċi funzjonali, integrali tal-plastidi taċ-ċelloli tal-pjanti, mhux biss artifatti.</v>
      </c>
    </row>
    <row r="16386" ht="15.75" customHeight="1">
      <c r="A16386" s="2" t="s">
        <v>16386</v>
      </c>
      <c r="B16386" s="2" t="str">
        <f>IFERROR(__xludf.DUMMYFUNCTION("GOOGLETRANSLATE(A16386, ""en"", ""mt"")"),"Friedrich Ratzel ħaseb li l-imperjalizmu kien dak għall-pajjiż?")</f>
        <v>Friedrich Ratzel ħaseb li l-imperjalizmu kien dak għall-pajjiż?</v>
      </c>
    </row>
    <row r="16387" ht="15.75" customHeight="1">
      <c r="A16387" s="2" t="s">
        <v>16387</v>
      </c>
      <c r="B16387" s="2" t="str">
        <f>IFERROR(__xludf.DUMMYFUNCTION("GOOGLETRANSLATE(A16387, ""en"", ""mt"")"),"Liema grupp beda laqgħat ta 'paċi?")</f>
        <v>Liema grupp beda laqgħat ta 'paċi?</v>
      </c>
    </row>
    <row r="16388" ht="15.75" customHeight="1">
      <c r="A16388" s="2" t="s">
        <v>16388</v>
      </c>
      <c r="B16388" s="2" t="str">
        <f>IFERROR(__xludf.DUMMYFUNCTION("GOOGLETRANSLATE(A16388, ""en"", ""mt"")"),"Imħabba ġenwina ta 'Alla b'qalb, ruħ, moħħ, u saħħa,")</f>
        <v>Imħabba ġenwina ta 'Alla b'qalb, ruħ, moħħ, u saħħa,</v>
      </c>
    </row>
    <row r="16389" ht="15.75" customHeight="1">
      <c r="A16389" s="2" t="s">
        <v>16389</v>
      </c>
      <c r="B16389" s="2" t="str">
        <f>IFERROR(__xludf.DUMMYFUNCTION("GOOGLETRANSLATE(A16389, ""en"", ""mt"")"),"Kemm modi Luther jiġġustifika l-oppożizzjoni tiegħu għar-rewwixta?")</f>
        <v>Kemm modi Luther jiġġustifika l-oppożizzjoni tiegħu għar-rewwixta?</v>
      </c>
    </row>
    <row r="16390" ht="15.75" customHeight="1">
      <c r="A16390" s="2" t="s">
        <v>16390</v>
      </c>
      <c r="B16390" s="2" t="str">
        <f>IFERROR(__xludf.DUMMYFUNCTION("GOOGLETRANSLATE(A16390, ""en"", ""mt"")"),"Il-bżonnijiet ta 'min se jissodisfa t-tkabbir fl-informatika tal-ispiżerija?")</f>
        <v>Il-bżonnijiet ta 'min se jissodisfa t-tkabbir fl-informatika tal-ispiżerija?</v>
      </c>
    </row>
    <row r="16391" ht="15.75" customHeight="1">
      <c r="A16391" s="2" t="s">
        <v>16391</v>
      </c>
      <c r="B16391" s="2" t="str">
        <f>IFERROR(__xludf.DUMMYFUNCTION("GOOGLETRANSLATE(A16391, ""en"", ""mt"")"),"l-istess")</f>
        <v>l-istess</v>
      </c>
    </row>
    <row r="16392" ht="15.75" customHeight="1">
      <c r="A16392" s="2" t="s">
        <v>16392</v>
      </c>
      <c r="B16392" s="2" t="str">
        <f>IFERROR(__xludf.DUMMYFUNCTION("GOOGLETRANSLATE(A16392, ""en"", ""mt"")"),"Settembru 2001")</f>
        <v>Settembru 2001</v>
      </c>
    </row>
    <row r="16393" ht="15.75" customHeight="1">
      <c r="A16393" s="2" t="s">
        <v>16393</v>
      </c>
      <c r="B16393" s="2" t="str">
        <f>IFERROR(__xludf.DUMMYFUNCTION("GOOGLETRANSLATE(A16393, ""en"", ""mt"")"),"It-tielet l-akbar")</f>
        <v>It-tielet l-akbar</v>
      </c>
    </row>
    <row r="16394" ht="15.75" customHeight="1">
      <c r="A16394" s="2" t="s">
        <v>16394</v>
      </c>
      <c r="B16394" s="2" t="str">
        <f>IFERROR(__xludf.DUMMYFUNCTION("GOOGLETRANSLATE(A16394, ""en"", ""mt"")"),"Gap tal-missili")</f>
        <v>Gap tal-missili</v>
      </c>
    </row>
    <row r="16395" ht="15.75" customHeight="1">
      <c r="A16395" s="2" t="s">
        <v>16395</v>
      </c>
      <c r="B16395" s="2" t="str">
        <f>IFERROR(__xludf.DUMMYFUNCTION("GOOGLETRANSLATE(A16395, ""en"", ""mt"")"),"ir-rapport uffiċjali")</f>
        <v>ir-rapport uffiċjali</v>
      </c>
    </row>
    <row r="16396" ht="15.75" customHeight="1">
      <c r="A16396" s="2" t="s">
        <v>16396</v>
      </c>
      <c r="B16396" s="2" t="str">
        <f>IFERROR(__xludf.DUMMYFUNCTION("GOOGLETRANSLATE(A16396, ""en"", ""mt"")"),"It-teorija tal-pesta ġiet ikkontestata b'mod sinifikanti mill-ħidma tal-batterjologu Brittaniku J. F. D. Shrewsbury fl-1970, li nnota li r-rati rrappurtati ta 'mortalità fiż-żoni rurali matul il-pandemija tas-seklu 14 kienu inkonsistenti mal-pesta moderna"&amp;" Bubonic, li wasslitu biex jikkonkludi li l-kontijiet kontemporanji kienu esaġerazzjonijiet. Fl-1984 iż-żoologu Graham Twigg ipproduċa l-ewwel xogħol ewlieni biex jikkontesta direttament it-teorija tal-pesta bubonika, u d-dubji tiegħu dwar l-identità tal-"&amp;"mewt sewda ġew meħuda minn numru ta 'awturi, inkluż Samuel K. Cohn, Jr. (2002), David Herlihy (1997), u Susan Scott u Christopher Duncan (2001).")</f>
        <v>It-teorija tal-pesta ġiet ikkontestata b'mod sinifikanti mill-ħidma tal-batterjologu Brittaniku J. F. D. Shrewsbury fl-1970, li nnota li r-rati rrappurtati ta 'mortalità fiż-żoni rurali matul il-pandemija tas-seklu 14 kienu inkonsistenti mal-pesta moderna Bubonic, li wasslitu biex jikkonkludi li l-kontijiet kontemporanji kienu esaġerazzjonijiet. Fl-1984 iż-żoologu Graham Twigg ipproduċa l-ewwel xogħol ewlieni biex jikkontesta direttament it-teorija tal-pesta bubonika, u d-dubji tiegħu dwar l-identità tal-mewt sewda ġew meħuda minn numru ta 'awturi, inkluż Samuel K. Cohn, Jr. (2002), David Herlihy (1997), u Susan Scott u Christopher Duncan (2001).</v>
      </c>
    </row>
    <row r="16397" ht="15.75" customHeight="1">
      <c r="A16397" s="2" t="s">
        <v>16397</v>
      </c>
      <c r="B16397" s="2" t="str">
        <f>IFERROR(__xludf.DUMMYFUNCTION("GOOGLETRANSLATE(A16397, ""en"", ""mt"")"),"Liema protezzjoni kkawżat li tiffjorixxi r-riforma ta 'Luther?")</f>
        <v>Liema protezzjoni kkawżat li tiffjorixxi r-riforma ta 'Luther?</v>
      </c>
    </row>
    <row r="16398" ht="15.75" customHeight="1">
      <c r="A16398" s="2" t="s">
        <v>16398</v>
      </c>
      <c r="B16398" s="2" t="str">
        <f>IFERROR(__xludf.DUMMYFUNCTION("GOOGLETRANSLATE(A16398, ""en"", ""mt"")"),"Imperjalizmu")</f>
        <v>Imperjalizmu</v>
      </c>
    </row>
    <row r="16399" ht="15.75" customHeight="1">
      <c r="A16399" s="2" t="s">
        <v>16399</v>
      </c>
      <c r="B16399" s="2" t="str">
        <f>IFERROR(__xludf.DUMMYFUNCTION("GOOGLETRANSLATE(A16399, ""en"", ""mt"")"),"Liema ktieb minn Edward qal ippreżenta l-Lvant bħala l- ""oħrajn?""")</f>
        <v>Liema ktieb minn Edward qal ippreżenta l-Lvant bħala l- "oħrajn?"</v>
      </c>
    </row>
    <row r="16400" ht="15.75" customHeight="1">
      <c r="A16400" s="2" t="s">
        <v>16400</v>
      </c>
      <c r="B16400" s="2" t="str">
        <f>IFERROR(__xludf.DUMMYFUNCTION("GOOGLETRANSLATE(A16400, ""en"", ""mt"")"),"Dak li jiddistingwi t-Tylakoids Granal?")</f>
        <v>Dak li jiddistingwi t-Tylakoids Granal?</v>
      </c>
    </row>
    <row r="16401" ht="15.75" customHeight="1">
      <c r="A16401" s="2" t="s">
        <v>16401</v>
      </c>
      <c r="B16401" s="2" t="str">
        <f>IFERROR(__xludf.DUMMYFUNCTION("GOOGLETRANSLATE(A16401, ""en"", ""mt"")"),"Miżuri ta 'kumplessità")</f>
        <v>Miżuri ta 'kumplessità</v>
      </c>
    </row>
    <row r="16402" ht="15.75" customHeight="1">
      <c r="A16402" s="2" t="s">
        <v>16402</v>
      </c>
      <c r="B16402" s="2" t="str">
        <f>IFERROR(__xludf.DUMMYFUNCTION("GOOGLETRANSLATE(A16402, ""en"", ""mt"")"),"Vertebrati primittivi ta 'xedaq għandhom firxa ta' riċetturi msemmija bħala xiex?")</f>
        <v>Vertebrati primittivi ta 'xedaq għandhom firxa ta' riċetturi msemmija bħala xiex?</v>
      </c>
    </row>
    <row r="16403" ht="15.75" customHeight="1">
      <c r="A16403" s="2" t="s">
        <v>16403</v>
      </c>
      <c r="B16403" s="2" t="str">
        <f>IFERROR(__xludf.DUMMYFUNCTION("GOOGLETRANSLATE(A16403, ""en"", ""mt"")"),"Liema gwerra tal-Istati Uniti kkawżat ammont għoli ta 'diżubbidjenza ċivili?")</f>
        <v>Liema gwerra tal-Istati Uniti kkawżat ammont għoli ta 'diżubbidjenza ċivili?</v>
      </c>
    </row>
    <row r="16404" ht="15.75" customHeight="1">
      <c r="A16404" s="2" t="s">
        <v>16404</v>
      </c>
      <c r="B16404" s="2" t="str">
        <f>IFERROR(__xludf.DUMMYFUNCTION("GOOGLETRANSLATE(A16404, ""en"", ""mt"")"),"Otter, kastur u mijiet ta 'speċi ta' għasafar")</f>
        <v>Otter, kastur u mijiet ta 'speċi ta' għasafar</v>
      </c>
    </row>
    <row r="16405" ht="15.75" customHeight="1">
      <c r="A16405" s="2" t="s">
        <v>16405</v>
      </c>
      <c r="B16405" s="2" t="str">
        <f>IFERROR(__xludf.DUMMYFUNCTION("GOOGLETRANSLATE(A16405, ""en"", ""mt"")"),"X'kienet it-tellieqa primarja ta 'studenti li jattendu akkademji Kristjani wara d-deċiżjoni ta' Brown?")</f>
        <v>X'kienet it-tellieqa primarja ta 'studenti li jattendu akkademji Kristjani wara d-deċiżjoni ta' Brown?</v>
      </c>
    </row>
    <row r="16406" ht="15.75" customHeight="1">
      <c r="A16406" s="2" t="s">
        <v>16406</v>
      </c>
      <c r="B16406" s="2" t="str">
        <f>IFERROR(__xludf.DUMMYFUNCTION("GOOGLETRANSLATE(A16406, ""en"", ""mt"")"),"is-sistema immuni innata")</f>
        <v>is-sistema immuni innata</v>
      </c>
    </row>
    <row r="16407" ht="15.75" customHeight="1">
      <c r="A16407" s="2" t="s">
        <v>16407</v>
      </c>
      <c r="B16407" s="2" t="str">
        <f>IFERROR(__xludf.DUMMYFUNCTION("GOOGLETRANSLATE(A16407, ""en"", ""mt"")"),"Kemm kien stmat li l-proġett Apollo kien jiswa mill-1959 sal-1973, it-tul tal-programm?")</f>
        <v>Kemm kien stmat li l-proġett Apollo kien jiswa mill-1959 sal-1973, it-tul tal-programm?</v>
      </c>
    </row>
    <row r="16408" ht="15.75" customHeight="1">
      <c r="A16408" s="2" t="s">
        <v>16408</v>
      </c>
      <c r="B16408" s="2" t="str">
        <f>IFERROR(__xludf.DUMMYFUNCTION("GOOGLETRANSLATE(A16408, ""en"", ""mt"")"),"Meta ABC Premier il-Flintstones?")</f>
        <v>Meta ABC Premier il-Flintstones?</v>
      </c>
    </row>
    <row r="16409" ht="15.75" customHeight="1">
      <c r="A16409" s="2" t="s">
        <v>16409</v>
      </c>
      <c r="B16409" s="2" t="str">
        <f>IFERROR(__xludf.DUMMYFUNCTION("GOOGLETRANSLATE(A16409, ""en"", ""mt"")"),"il-professjoni tat-tagħlim")</f>
        <v>il-professjoni tat-tagħlim</v>
      </c>
    </row>
    <row r="16410" ht="15.75" customHeight="1">
      <c r="A16410" s="2" t="s">
        <v>16410</v>
      </c>
      <c r="B16410" s="2" t="str">
        <f>IFERROR(__xludf.DUMMYFUNCTION("GOOGLETRANSLATE(A16410, ""en"", ""mt"")"),"X'inhi l-akbar differenza fir-relazzjoni ta 'tagħlim għall-iskola primarja u sekondarja?")</f>
        <v>X'inhi l-akbar differenza fir-relazzjoni ta 'tagħlim għall-iskola primarja u sekondarja?</v>
      </c>
    </row>
    <row r="16411" ht="15.75" customHeight="1">
      <c r="A16411" s="2" t="s">
        <v>16411</v>
      </c>
      <c r="B16411" s="2" t="str">
        <f>IFERROR(__xludf.DUMMYFUNCTION("GOOGLETRANSLATE(A16411, ""en"", ""mt"")"),"iżommha milli tiwi qabel iż-żmien")</f>
        <v>iżommha milli tiwi qabel iż-żmien</v>
      </c>
    </row>
    <row r="16412" ht="15.75" customHeight="1">
      <c r="A16412" s="2" t="s">
        <v>16412</v>
      </c>
      <c r="B16412" s="2" t="str">
        <f>IFERROR(__xludf.DUMMYFUNCTION("GOOGLETRANSLATE(A16412, ""en"", ""mt"")"),"Fejn jinstab il-paragun tal-innu talb ta 'dan il-Mulej?")</f>
        <v>Fejn jinstab il-paragun tal-innu talb ta 'dan il-Mulej?</v>
      </c>
    </row>
    <row r="16413" ht="15.75" customHeight="1">
      <c r="A16413" s="2" t="s">
        <v>16413</v>
      </c>
      <c r="B16413" s="2" t="str">
        <f>IFERROR(__xludf.DUMMYFUNCTION("GOOGLETRANSLATE(A16413, ""en"", ""mt"")"),"Deportazzjoni tal-popolazzjoni Akkadjana li titkellem bil-Franċiż miż-żona")</f>
        <v>Deportazzjoni tal-popolazzjoni Akkadjana li titkellem bil-Franċiż miż-żona</v>
      </c>
    </row>
    <row r="16414" ht="15.75" customHeight="1">
      <c r="A16414" s="2" t="s">
        <v>16414</v>
      </c>
      <c r="B16414" s="2" t="str">
        <f>IFERROR(__xludf.DUMMYFUNCTION("GOOGLETRANSLATE(A16414, ""en"", ""mt"")"),"Kif tissejjaħ iż-żona fejn żewġ pjanċi jiċċaqalqu?")</f>
        <v>Kif tissejjaħ iż-żona fejn żewġ pjanċi jiċċaqalqu?</v>
      </c>
    </row>
    <row r="16415" ht="15.75" customHeight="1">
      <c r="A16415" s="2" t="s">
        <v>16415</v>
      </c>
      <c r="B16415" s="2" t="str">
        <f>IFERROR(__xludf.DUMMYFUNCTION("GOOGLETRANSLATE(A16415, ""en"", ""mt"")"),"Awtokratiku-burokratiku")</f>
        <v>Awtokratiku-burokratiku</v>
      </c>
    </row>
    <row r="16416" ht="15.75" customHeight="1">
      <c r="A16416" s="2" t="s">
        <v>16416</v>
      </c>
      <c r="B16416" s="2" t="str">
        <f>IFERROR(__xludf.DUMMYFUNCTION("GOOGLETRANSLATE(A16416, ""en"", ""mt"")"),"billi toffri paga ogħla")</f>
        <v>billi toffri paga ogħla</v>
      </c>
    </row>
    <row r="16417" ht="15.75" customHeight="1">
      <c r="A16417" s="2" t="s">
        <v>16417</v>
      </c>
      <c r="B16417" s="2" t="str">
        <f>IFERROR(__xludf.DUMMYFUNCTION("GOOGLETRANSLATE(A16417, ""en"", ""mt"")"),"tħassib")</f>
        <v>tħassib</v>
      </c>
    </row>
    <row r="16418" ht="15.75" customHeight="1">
      <c r="A16418" s="2" t="s">
        <v>16418</v>
      </c>
      <c r="B16418" s="2" t="str">
        <f>IFERROR(__xludf.DUMMYFUNCTION("GOOGLETRANSLATE(A16418, ""en"", ""mt"")"),"Fejn ivvjaġġa l-ilma fuq in-naħa tal-Lvant tal-Baċin tal-Amażonja wara l-qasma?")</f>
        <v>Fejn ivvjaġġa l-ilma fuq in-naħa tal-Lvant tal-Baċin tal-Amażonja wara l-qasma?</v>
      </c>
    </row>
    <row r="16419" ht="15.75" customHeight="1">
      <c r="A16419" s="2" t="s">
        <v>16419</v>
      </c>
      <c r="B16419" s="2" t="str">
        <f>IFERROR(__xludf.DUMMYFUNCTION("GOOGLETRANSLATE(A16419, ""en"", ""mt"")"),"Finanzjament parzjali")</f>
        <v>Finanzjament parzjali</v>
      </c>
    </row>
    <row r="16420" ht="15.75" customHeight="1">
      <c r="A16420" s="2" t="s">
        <v>16420</v>
      </c>
      <c r="B16420" s="2" t="str">
        <f>IFERROR(__xludf.DUMMYFUNCTION("GOOGLETRANSLATE(A16420, ""en"", ""mt"")"),"Analiżi tal-algoritmi")</f>
        <v>Analiżi tal-algoritmi</v>
      </c>
    </row>
    <row r="16421" ht="15.75" customHeight="1">
      <c r="A16421" s="2" t="s">
        <v>16421</v>
      </c>
      <c r="B16421" s="2" t="str">
        <f>IFERROR(__xludf.DUMMYFUNCTION("GOOGLETRANSLATE(A16421, ""en"", ""mt"")"),"Il-prinċipju tas-suċċessjoni faunali huwa bbażat fuq id-dehra tal-fossili fil-blat sedimentarji. Hekk kif jeżistu organiżmi fl-istess perjodu ta 'żmien madwar id-dinja, il-preżenza tagħhom jew (xi kultant) assenza tista' tintuża biex tipprovdi età relatti"&amp;"va tal-formazzjonijiet li fihom jinstabu. Ibbażat fuq prinċipji stipulati minn William Smith kważi mitt sena qabel il-pubblikazzjoni tat-teorija ta 'Charles Darwin dwar l-evoluzzjoni, il-prinċipji ta' suċċessjoni ġew żviluppati indipendentement mill-ħsieb"&amp;" evoluzzjonarju. Il-prinċipju jsir pjuttost kumpless, madankollu, minħabba l-inċertezzi tal-fossilizzazzjoni, il-lokalizzazzjoni ta 'tipi ta' fossili minħabba bidliet laterali fl-abitat (faces jinbidlu fl-istrati sedimentarji), u li mhux il-fossili kollha"&amp;" jistgħu jinstabu globalment fl-istess ħin.")</f>
        <v>Il-prinċipju tas-suċċessjoni faunali huwa bbażat fuq id-dehra tal-fossili fil-blat sedimentarji. Hekk kif jeżistu organiżmi fl-istess perjodu ta 'żmien madwar id-dinja, il-preżenza tagħhom jew (xi kultant) assenza tista' tintuża biex tipprovdi età relattiva tal-formazzjonijiet li fihom jinstabu. Ibbażat fuq prinċipji stipulati minn William Smith kważi mitt sena qabel il-pubblikazzjoni tat-teorija ta 'Charles Darwin dwar l-evoluzzjoni, il-prinċipji ta' suċċessjoni ġew żviluppati indipendentement mill-ħsieb evoluzzjonarju. Il-prinċipju jsir pjuttost kumpless, madankollu, minħabba l-inċertezzi tal-fossilizzazzjoni, il-lokalizzazzjoni ta 'tipi ta' fossili minħabba bidliet laterali fl-abitat (faces jinbidlu fl-istrati sedimentarji), u li mhux il-fossili kollha jistgħu jinstabu globalment fl-istess ħin.</v>
      </c>
    </row>
    <row r="16422" ht="15.75" customHeight="1">
      <c r="A16422" s="2" t="s">
        <v>16422</v>
      </c>
      <c r="B16422" s="2" t="str">
        <f>IFERROR(__xludf.DUMMYFUNCTION("GOOGLETRANSLATE(A16422, ""en"", ""mt"")"),"Fejn reġgħu reġgħu Brittaniċi ħafna Akkadjani?")</f>
        <v>Fejn reġgħu reġgħu Brittaniċi ħafna Akkadjani?</v>
      </c>
    </row>
    <row r="16423" ht="15.75" customHeight="1">
      <c r="A16423" s="2" t="s">
        <v>16423</v>
      </c>
      <c r="B16423" s="2" t="str">
        <f>IFERROR(__xludf.DUMMYFUNCTION("GOOGLETRANSLATE(A16423, ""en"", ""mt"")"),"L-Isvizzera u l-Olanda.")</f>
        <v>L-Isvizzera u l-Olanda.</v>
      </c>
    </row>
    <row r="16424" ht="15.75" customHeight="1">
      <c r="A16424" s="2" t="s">
        <v>16424</v>
      </c>
      <c r="B16424" s="2" t="str">
        <f>IFERROR(__xludf.DUMMYFUNCTION("GOOGLETRANSLATE(A16424, ""en"", ""mt"")"),"Kummissjoni v Italja l-Qorti tal-Ġustizzja")</f>
        <v>Kummissjoni v Italja l-Qorti tal-Ġustizzja</v>
      </c>
    </row>
    <row r="16425" ht="15.75" customHeight="1">
      <c r="A16425" s="2" t="s">
        <v>16425</v>
      </c>
      <c r="B16425" s="2" t="str">
        <f>IFERROR(__xludf.DUMMYFUNCTION("GOOGLETRANSLATE(A16425, ""en"", ""mt"")"),"Il-kontijiet jistgħu jiġu introdotti fil-Parlament f'numru ta 'modi; Il-gvern Skoċċiż jista 'jintroduċi liġijiet jew emendi ġodda għal-liġijiet eżistenti bħala abbozz ta' liġi; Kumitat tal-Parlament jista 'jippreżenta abbozz f'wieħed mill-oqsma taħt il-ma"&amp;"ndat tiegħu; Membru tal-Parlament Skoċċiż jista 'jintroduċi abbozz bħala membru privat; jew kont privat jista 'jiġi sottomess lill-Parlament minn proponent estern. Il-biċċa l-kbira tal-liġijiet tal-abbozzi huma kontijiet tal-gvern introdotti mill-ministri"&amp;" fil-partit governattiv. Il-kontijiet jgħaddu mill-Parlament f'numru ta 'stadji:")</f>
        <v>Il-kontijiet jistgħu jiġu introdotti fil-Parlament f'numru ta 'modi; Il-gvern Skoċċiż jista 'jintroduċi liġijiet jew emendi ġodda għal-liġijiet eżistenti bħala abbozz ta' liġi; Kumitat tal-Parlament jista 'jippreżenta abbozz f'wieħed mill-oqsma taħt il-mandat tiegħu; Membru tal-Parlament Skoċċiż jista 'jintroduċi abbozz bħala membru privat; jew kont privat jista 'jiġi sottomess lill-Parlament minn proponent estern. Il-biċċa l-kbira tal-liġijiet tal-abbozzi huma kontijiet tal-gvern introdotti mill-ministri fil-partit governattiv. Il-kontijiet jgħaddu mill-Parlament f'numru ta 'stadji:</v>
      </c>
    </row>
    <row r="16426" ht="15.75" customHeight="1">
      <c r="A16426" s="2" t="s">
        <v>16426</v>
      </c>
      <c r="B16426" s="2" t="str">
        <f>IFERROR(__xludf.DUMMYFUNCTION("GOOGLETRANSLATE(A16426, ""en"", ""mt"")"),"superjuri")</f>
        <v>superjuri</v>
      </c>
    </row>
    <row r="16427" ht="15.75" customHeight="1">
      <c r="A16427" s="2" t="s">
        <v>16427</v>
      </c>
      <c r="B16427" s="2" t="str">
        <f>IFERROR(__xludf.DUMMYFUNCTION("GOOGLETRANSLATE(A16427, ""en"", ""mt"")"),"Ħafna mill-oġġetti fil-kollezzjoni tal-arti Ġappuniża huma datati sa liema perjodu ta 'żmien?")</f>
        <v>Ħafna mill-oġġetti fil-kollezzjoni tal-arti Ġappuniża huma datati sa liema perjodu ta 'żmien?</v>
      </c>
    </row>
    <row r="16428" ht="15.75" customHeight="1">
      <c r="A16428" s="2" t="s">
        <v>16428</v>
      </c>
      <c r="B16428" s="2" t="str">
        <f>IFERROR(__xludf.DUMMYFUNCTION("GOOGLETRANSLATE(A16428, ""en"", ""mt"")"),"X'għandhom il-fossili attwali li nstabu ma kellhomx?")</f>
        <v>X'għandhom il-fossili attwali li nstabu ma kellhomx?</v>
      </c>
    </row>
    <row r="16429" ht="15.75" customHeight="1">
      <c r="A16429" s="2" t="s">
        <v>16429</v>
      </c>
      <c r="B16429" s="2" t="str">
        <f>IFERROR(__xludf.DUMMYFUNCTION("GOOGLETRANSLATE(A16429, ""en"", ""mt"")"),"l-ogħla 'effiċjenza soċjali'")</f>
        <v>l-ogħla 'effiċjenza soċjali'</v>
      </c>
    </row>
    <row r="16430" ht="15.75" customHeight="1">
      <c r="A16430" s="2" t="s">
        <v>16430</v>
      </c>
      <c r="B16430" s="2" t="str">
        <f>IFERROR(__xludf.DUMMYFUNCTION("GOOGLETRANSLATE(A16430, ""en"", ""mt"")"),"inklużjonijiet u komponenti")</f>
        <v>inklużjonijiet u komponenti</v>
      </c>
    </row>
    <row r="16431" ht="15.75" customHeight="1">
      <c r="A16431" s="2" t="s">
        <v>16431</v>
      </c>
      <c r="B16431" s="2" t="str">
        <f>IFERROR(__xludf.DUMMYFUNCTION("GOOGLETRANSLATE(A16431, ""en"", ""mt"")"),"kamp manjetiku")</f>
        <v>kamp manjetiku</v>
      </c>
    </row>
    <row r="16432" ht="15.75" customHeight="1">
      <c r="A16432" s="2" t="s">
        <v>16432</v>
      </c>
      <c r="B16432" s="2" t="str">
        <f>IFERROR(__xludf.DUMMYFUNCTION("GOOGLETRANSLATE(A16432, ""en"", ""mt"")"),"Liema poter hija disponibbli għall-iskejjel privati ​​Awstraljani imma ġeneralment mhix preżenti fl-iskejjel pubbliċi?")</f>
        <v>Liema poter hija disponibbli għall-iskejjel privati ​​Awstraljani imma ġeneralment mhix preżenti fl-iskejjel pubbliċi?</v>
      </c>
    </row>
    <row r="16433" ht="15.75" customHeight="1">
      <c r="A16433" s="2" t="s">
        <v>16433</v>
      </c>
      <c r="B16433" s="2" t="str">
        <f>IFERROR(__xludf.DUMMYFUNCTION("GOOGLETRANSLATE(A16433, ""en"", ""mt"")"),"Xi jfisser l-UMC bħala inkompatibbli mat-tagħlim tal-Iskrittura?")</f>
        <v>Xi jfisser l-UMC bħala inkompatibbli mat-tagħlim tal-Iskrittura?</v>
      </c>
    </row>
    <row r="16434" ht="15.75" customHeight="1">
      <c r="A16434" s="2" t="s">
        <v>16434</v>
      </c>
      <c r="B16434" s="2" t="str">
        <f>IFERROR(__xludf.DUMMYFUNCTION("GOOGLETRANSLATE(A16434, ""en"", ""mt"")"),"Video on Demand Content")</f>
        <v>Video on Demand Content</v>
      </c>
    </row>
    <row r="16435" ht="15.75" customHeight="1">
      <c r="A16435" s="2" t="s">
        <v>16435</v>
      </c>
      <c r="B16435" s="2" t="str">
        <f>IFERROR(__xludf.DUMMYFUNCTION("GOOGLETRANSLATE(A16435, ""en"", ""mt"")"),"X'inhuma l-proteini li l-organiżmi jużaw biex jidentifikaw molekuli assoċjati ma 'patoġeni?")</f>
        <v>X'inhuma l-proteini li l-organiżmi jużaw biex jidentifikaw molekuli assoċjati ma 'patoġeni?</v>
      </c>
    </row>
    <row r="16436" ht="15.75" customHeight="1">
      <c r="A16436" s="2" t="s">
        <v>16436</v>
      </c>
      <c r="B16436" s="2" t="str">
        <f>IFERROR(__xludf.DUMMYFUNCTION("GOOGLETRANSLATE(A16436, ""en"", ""mt"")"),"tifforma sħubijiet kummerċjali ma 'tobba jew tagħtihom ħlasijiet ""kickback""")</f>
        <v>tifforma sħubijiet kummerċjali ma 'tobba jew tagħtihom ħlasijiet "kickback"</v>
      </c>
    </row>
    <row r="16437" ht="15.75" customHeight="1">
      <c r="A16437" s="2" t="s">
        <v>16437</v>
      </c>
      <c r="B16437" s="2" t="str">
        <f>IFERROR(__xludf.DUMMYFUNCTION("GOOGLETRANSLATE(A16437, ""en"", ""mt"")"),"kompletament reliġjuż")</f>
        <v>kompletament reliġjuż</v>
      </c>
    </row>
    <row r="16438" ht="15.75" customHeight="1">
      <c r="A16438" s="2" t="s">
        <v>16438</v>
      </c>
      <c r="B16438" s="2" t="str">
        <f>IFERROR(__xludf.DUMMYFUNCTION("GOOGLETRANSLATE(A16438, ""en"", ""mt"")"),"Għaliex tgħallimhom jikbru l-piżelli?")</f>
        <v>Għaliex tgħallimhom jikbru l-piżelli?</v>
      </c>
    </row>
    <row r="16439" ht="15.75" customHeight="1">
      <c r="A16439" s="2" t="s">
        <v>16439</v>
      </c>
      <c r="B16439" s="2" t="str">
        <f>IFERROR(__xludf.DUMMYFUNCTION("GOOGLETRANSLATE(A16439, ""en"", ""mt"")"),"Liema innovazzjoni bil-lingwa Mongoljana hija kkreditata lil Genghis Khan?")</f>
        <v>Liema innovazzjoni bil-lingwa Mongoljana hija kkreditata lil Genghis Khan?</v>
      </c>
    </row>
    <row r="16440" ht="15.75" customHeight="1">
      <c r="A16440" s="2" t="s">
        <v>16440</v>
      </c>
      <c r="B16440" s="2" t="str">
        <f>IFERROR(__xludf.DUMMYFUNCTION("GOOGLETRANSLATE(A16440, ""en"", ""mt"")"),"Truppi Franċiżi waqqfu r-rewwixti tal-camisard bejn liema snin?")</f>
        <v>Truppi Franċiżi waqqfu r-rewwixti tal-camisard bejn liema snin?</v>
      </c>
    </row>
    <row r="16441" ht="15.75" customHeight="1">
      <c r="A16441" s="2" t="s">
        <v>16441</v>
      </c>
      <c r="B16441" s="2" t="str">
        <f>IFERROR(__xludf.DUMMYFUNCTION("GOOGLETRANSLATE(A16441, ""en"", ""mt"")"),"Fejn hija ż-żona trasversali rilevanti għall-volum li għalih qed jiġi kkalkulat it-tensjoni tal-istress. Dan il-formalizmu jinkludi termini ta 'pressjoni assoċjati ma' forzi li jaġixxu normali għaż-żona ta 'sezzjoni trasversali (id-djagonali tal-matriċi t"&amp;"at-tensjoni) kif ukoll termini ta' shear assoċjati ma 'forzi li jaġixxu paralleli maż-żona ta' sezzjoni trasversali (l-elementi barra d-djagonali). It-tensjoni tal-istress tirrappreżenta forzi li jikkawżaw ir-razez kollha (deformazzjonijiet) inklużi wkoll"&amp;" tensjonijiet u kompressjonijiet tat-tensjoni.: 133–134:38-1–38-11")</f>
        <v>Fejn hija ż-żona trasversali rilevanti għall-volum li għalih qed jiġi kkalkulat it-tensjoni tal-istress. Dan il-formalizmu jinkludi termini ta 'pressjoni assoċjati ma' forzi li jaġixxu normali għaż-żona ta 'sezzjoni trasversali (id-djagonali tal-matriċi tat-tensjoni) kif ukoll termini ta' shear assoċjati ma 'forzi li jaġixxu paralleli maż-żona ta' sezzjoni trasversali (l-elementi barra d-djagonali). It-tensjoni tal-istress tirrappreżenta forzi li jikkawżaw ir-razez kollha (deformazzjonijiet) inklużi wkoll tensjonijiet u kompressjonijiet tat-tensjoni.: 133–134:38-1–38-11</v>
      </c>
    </row>
    <row r="16442" ht="15.75" customHeight="1">
      <c r="A16442" s="2" t="s">
        <v>16442</v>
      </c>
      <c r="B16442" s="2" t="str">
        <f>IFERROR(__xludf.DUMMYFUNCTION("GOOGLETRANSLATE(A16442, ""en"", ""mt"")"),"Olanda")</f>
        <v>Olanda</v>
      </c>
    </row>
    <row r="16443" ht="15.75" customHeight="1">
      <c r="A16443" s="2" t="s">
        <v>16443</v>
      </c>
      <c r="B16443" s="2" t="str">
        <f>IFERROR(__xludf.DUMMYFUNCTION("GOOGLETRANSLATE(A16443, ""en"", ""mt"")"),"Sistema immunitarja adattiva")</f>
        <v>Sistema immunitarja adattiva</v>
      </c>
    </row>
    <row r="16444" ht="15.75" customHeight="1">
      <c r="A16444" s="2" t="s">
        <v>16444</v>
      </c>
      <c r="B16444" s="2" t="str">
        <f>IFERROR(__xludf.DUMMYFUNCTION("GOOGLETRANSLATE(A16444, ""en"", ""mt"")"),"Min organizza l-Gran Brittanja jista 'jagħmilha wirja?")</f>
        <v>Min organizza l-Gran Brittanja jista 'jagħmilha wirja?</v>
      </c>
    </row>
    <row r="16445" ht="15.75" customHeight="1">
      <c r="A16445" s="2" t="s">
        <v>16445</v>
      </c>
      <c r="B16445" s="2" t="str">
        <f>IFERROR(__xludf.DUMMYFUNCTION("GOOGLETRANSLATE(A16445, ""en"", ""mt"")"),"X'kien il-vantaġġ li l-metodu LOR prodott f'każ ta 'falliment tal-vettura spazjali?")</f>
        <v>X'kien il-vantaġġ li l-metodu LOR prodott f'każ ta 'falliment tal-vettura spazjali?</v>
      </c>
    </row>
    <row r="16446" ht="15.75" customHeight="1">
      <c r="A16446" s="2" t="s">
        <v>16446</v>
      </c>
      <c r="B16446" s="2" t="str">
        <f>IFERROR(__xludf.DUMMYFUNCTION("GOOGLETRANSLATE(A16446, ""en"", ""mt"")"),"forzi")</f>
        <v>forzi</v>
      </c>
    </row>
    <row r="16447" ht="15.75" customHeight="1">
      <c r="A16447" s="2" t="s">
        <v>16447</v>
      </c>
      <c r="B16447" s="2" t="str">
        <f>IFERROR(__xludf.DUMMYFUNCTION("GOOGLETRANSLATE(A16447, ""en"", ""mt"")"),"reċenti għexieren ta ’snin")</f>
        <v>reċenti għexieren ta ’snin</v>
      </c>
    </row>
    <row r="16448" ht="15.75" customHeight="1">
      <c r="A16448" s="2" t="s">
        <v>16448</v>
      </c>
      <c r="B16448" s="2" t="str">
        <f>IFERROR(__xludf.DUMMYFUNCTION("GOOGLETRANSLATE(A16448, ""en"", ""mt"")"),"Bl-introduzzjoni aċċidentali tal-Mnemiopsis li jiekol Ctenophore Beroe Ovata,")</f>
        <v>Bl-introduzzjoni aċċidentali tal-Mnemiopsis li jiekol Ctenophore Beroe Ovata,</v>
      </c>
    </row>
    <row r="16449" ht="15.75" customHeight="1">
      <c r="A16449" s="2" t="s">
        <v>16449</v>
      </c>
      <c r="B16449" s="2" t="str">
        <f>IFERROR(__xludf.DUMMYFUNCTION("GOOGLETRANSLATE(A16449, ""en"", ""mt"")"),"Liema klassifikazzjoni għandha l-ispettaklu tas-Super Bowl 50 f'ħin il-mistrieħ fil-lista tax-xandiriet tat-TV l-iktar osservati?")</f>
        <v>Liema klassifikazzjoni għandha l-ispettaklu tas-Super Bowl 50 f'ħin il-mistrieħ fil-lista tax-xandiriet tat-TV l-iktar osservati?</v>
      </c>
    </row>
    <row r="16450" ht="15.75" customHeight="1">
      <c r="A16450" s="2" t="s">
        <v>16450</v>
      </c>
      <c r="B16450" s="2" t="str">
        <f>IFERROR(__xludf.DUMMYFUNCTION("GOOGLETRANSLATE(A16450, ""en"", ""mt"")"),"Imblokka l-portijiet Franċiżi")</f>
        <v>Imblokka l-portijiet Franċiżi</v>
      </c>
    </row>
    <row r="16451" ht="15.75" customHeight="1">
      <c r="A16451" s="2" t="s">
        <v>16451</v>
      </c>
      <c r="B16451" s="2" t="str">
        <f>IFERROR(__xludf.DUMMYFUNCTION("GOOGLETRANSLATE(A16451, ""en"", ""mt"")"),"Liema żerriegħa kienet id-Denver Broncos?")</f>
        <v>Liema żerriegħa kienet id-Denver Broncos?</v>
      </c>
    </row>
    <row r="16452" ht="15.75" customHeight="1">
      <c r="A16452" s="2" t="s">
        <v>16452</v>
      </c>
      <c r="B16452" s="2" t="str">
        <f>IFERROR(__xludf.DUMMYFUNCTION("GOOGLETRANSLATE(A16452, ""en"", ""mt"")"),"Sa kemm liġijiet tesla emmnu li l-liġijiet fundamentali jistgħu jitnaqqsu?")</f>
        <v>Sa kemm liġijiet tesla emmnu li l-liġijiet fundamentali jistgħu jitnaqqsu?</v>
      </c>
    </row>
    <row r="16453" ht="15.75" customHeight="1">
      <c r="A16453" s="2" t="s">
        <v>16453</v>
      </c>
      <c r="B16453" s="2" t="str">
        <f>IFERROR(__xludf.DUMMYFUNCTION("GOOGLETRANSLATE(A16453, ""en"", ""mt"")"),"Minbarra ċ-ċelloli T, liema ċelloli immuni oħra jesprimu CYP27B1?")</f>
        <v>Minbarra ċ-ċelloli T, liema ċelloli immuni oħra jesprimu CYP27B1?</v>
      </c>
    </row>
    <row r="16454" ht="15.75" customHeight="1">
      <c r="A16454" s="2" t="s">
        <v>16454</v>
      </c>
      <c r="B16454" s="2" t="str">
        <f>IFERROR(__xludf.DUMMYFUNCTION("GOOGLETRANSLATE(A16454, ""en"", ""mt"")"),"jidhru li jsiru eħfef u jidhru li jitilfu xi ħaġa fil-proċess")</f>
        <v>jidhru li jsiru eħfef u jidhru li jitilfu xi ħaġa fil-proċess</v>
      </c>
    </row>
    <row r="16455" ht="15.75" customHeight="1">
      <c r="A16455" s="2" t="s">
        <v>16455</v>
      </c>
      <c r="B16455" s="2" t="str">
        <f>IFERROR(__xludf.DUMMYFUNCTION("GOOGLETRANSLATE(A16455, ""en"", ""mt"")"),"mhedda")</f>
        <v>mhedda</v>
      </c>
    </row>
    <row r="16456" ht="15.75" customHeight="1">
      <c r="A16456" s="2" t="s">
        <v>16456</v>
      </c>
      <c r="B16456" s="2" t="str">
        <f>IFERROR(__xludf.DUMMYFUNCTION("GOOGLETRANSLATE(A16456, ""en"", ""mt"")"),"""tqassar il-cutoff""")</f>
        <v>"tqassar il-cutoff"</v>
      </c>
    </row>
    <row r="16457" ht="15.75" customHeight="1">
      <c r="A16457" s="2" t="s">
        <v>16457</v>
      </c>
      <c r="B16457" s="2" t="str">
        <f>IFERROR(__xludf.DUMMYFUNCTION("GOOGLETRANSLATE(A16457, ""en"", ""mt"")"),"Ir-rata tal-fluss żdiedet")</f>
        <v>Ir-rata tal-fluss żdiedet</v>
      </c>
    </row>
    <row r="16458" ht="15.75" customHeight="1">
      <c r="A16458" s="2" t="s">
        <v>16458</v>
      </c>
      <c r="B16458" s="2" t="str">
        <f>IFERROR(__xludf.DUMMYFUNCTION("GOOGLETRANSLATE(A16458, ""en"", ""mt"")"),"Il-Passi tad-Dar Harambee ta 'Nairobi")</f>
        <v>Il-Passi tad-Dar Harambee ta 'Nairobi</v>
      </c>
    </row>
    <row r="16459" ht="15.75" customHeight="1">
      <c r="A16459" s="2" t="s">
        <v>16459</v>
      </c>
      <c r="B16459" s="2" t="str">
        <f>IFERROR(__xludf.DUMMYFUNCTION("GOOGLETRANSLATE(A16459, ""en"", ""mt"")"),"Molekuli instabbli ta 'sitt karboniċi li jqassmu immedjatament")</f>
        <v>Molekuli instabbli ta 'sitt karboniċi li jqassmu immedjatament</v>
      </c>
    </row>
    <row r="16460" ht="15.75" customHeight="1">
      <c r="A16460" s="2" t="s">
        <v>16460</v>
      </c>
      <c r="B16460" s="2" t="str">
        <f>IFERROR(__xludf.DUMMYFUNCTION("GOOGLETRANSLATE(A16460, ""en"", ""mt"")"),"L-ogħla bini fl-orizzont ta ’Downtown Jacksonville huwa t-Torri tal-Bank of America, mibni fl-1990 bħala ċ-Ċentru Barnett. Għandu għoli ta '617 ft (188 m) u jinkludi 42 sular. Strutturi oħra notevoli jinkludu ċ-Ċentru Fargo Wells 37-Istorja (bil-bażi flar"&amp;"ed distintiva tiegħu li tagħmilha l-bini li jiddefinixxi fl-orizzont ta 'Jacksonville), oriġinarjament mibni fl-1972-74 mill-Kumpanija Indipendenti tal-Ħajja u l-Inċidenti tal-Inċidenti, u t-28 Torri tax-Xmara Floor li , meta tlestiet fl-1967, kienet l-og"&amp;"ħla struttura tal-konkrit precast, wara t-tensjoni fid-dinja.")</f>
        <v>L-ogħla bini fl-orizzont ta ’Downtown Jacksonville huwa t-Torri tal-Bank of America, mibni fl-1990 bħala ċ-Ċentru Barnett. Għandu għoli ta '617 ft (188 m) u jinkludi 42 sular. Strutturi oħra notevoli jinkludu ċ-Ċentru Fargo Wells 37-Istorja (bil-bażi flared distintiva tiegħu li tagħmilha l-bini li jiddefinixxi fl-orizzont ta 'Jacksonville), oriġinarjament mibni fl-1972-74 mill-Kumpanija Indipendenti tal-Ħajja u l-Inċidenti tal-Inċidenti, u t-28 Torri tax-Xmara Floor li , meta tlestiet fl-1967, kienet l-ogħla struttura tal-konkrit precast, wara t-tensjoni fid-dinja.</v>
      </c>
    </row>
    <row r="16461" ht="15.75" customHeight="1">
      <c r="A16461" s="2" t="s">
        <v>16461</v>
      </c>
      <c r="B16461" s="2" t="str">
        <f>IFERROR(__xludf.DUMMYFUNCTION("GOOGLETRANSLATE(A16461, ""en"", ""mt"")"),"Liema pajjiżi saru dipendenti fuq l-assigurazzjoni tas-sigurtà tal-Istati Uniti għat-theddid?")</f>
        <v>Liema pajjiżi saru dipendenti fuq l-assigurazzjoni tas-sigurtà tal-Istati Uniti għat-theddid?</v>
      </c>
    </row>
    <row r="16462" ht="15.75" customHeight="1">
      <c r="A16462" s="2" t="s">
        <v>16462</v>
      </c>
      <c r="B16462" s="2" t="str">
        <f>IFERROR(__xludf.DUMMYFUNCTION("GOOGLETRANSLATE(A16462, ""en"", ""mt"")"),"Liema pajjiż ġiegħel il-Ġappun f'alleanza?")</f>
        <v>Liema pajjiż ġiegħel il-Ġappun f'alleanza?</v>
      </c>
    </row>
    <row r="16463" ht="15.75" customHeight="1">
      <c r="A16463" s="2" t="s">
        <v>16463</v>
      </c>
      <c r="B16463" s="2" t="str">
        <f>IFERROR(__xludf.DUMMYFUNCTION("GOOGLETRANSLATE(A16463, ""en"", ""mt"")"),"Kamra tad-Dibattitu")</f>
        <v>Kamra tad-Dibattitu</v>
      </c>
    </row>
    <row r="16464" ht="15.75" customHeight="1">
      <c r="A16464" s="2" t="s">
        <v>16464</v>
      </c>
      <c r="B16464" s="2" t="str">
        <f>IFERROR(__xludf.DUMMYFUNCTION("GOOGLETRANSLATE(A16464, ""en"", ""mt"")"),"Editur tar-rivista tad-dinja elettrika")</f>
        <v>Editur tar-rivista tad-dinja elettrika</v>
      </c>
    </row>
    <row r="16465" ht="15.75" customHeight="1">
      <c r="A16465" s="2" t="s">
        <v>16465</v>
      </c>
      <c r="B16465" s="2" t="str">
        <f>IFERROR(__xludf.DUMMYFUNCTION("GOOGLETRANSLATE(A16465, ""en"", ""mt"")"),"Liema artikolu tat-TEFU jiddikjara li l-ebda restrizzjonijiet kwantitattivi ma jistgħu jitqiegħdu fuq il-kummerċ?")</f>
        <v>Liema artikolu tat-TEFU jiddikjara li l-ebda restrizzjonijiet kwantitattivi ma jistgħu jitqiegħdu fuq il-kummerċ?</v>
      </c>
    </row>
    <row r="16466" ht="15.75" customHeight="1">
      <c r="A16466" s="2" t="s">
        <v>16466</v>
      </c>
      <c r="B16466" s="2" t="str">
        <f>IFERROR(__xludf.DUMMYFUNCTION("GOOGLETRANSLATE(A16466, ""en"", ""mt"")"),"Dejta bis-satellita")</f>
        <v>Dejta bis-satellita</v>
      </c>
    </row>
    <row r="16467" ht="15.75" customHeight="1">
      <c r="A16467" s="2" t="s">
        <v>16467</v>
      </c>
      <c r="B16467" s="2" t="str">
        <f>IFERROR(__xludf.DUMMYFUNCTION("GOOGLETRANSLATE(A16467, ""en"", ""mt"")"),"X'inhu l-isem ta 'tip wieħed ta' test tal-primalità moderna?")</f>
        <v>X'inhu l-isem ta 'tip wieħed ta' test tal-primalità moderna?</v>
      </c>
    </row>
    <row r="16468" ht="15.75" customHeight="1">
      <c r="A16468" s="2" t="s">
        <v>16468</v>
      </c>
      <c r="B16468" s="2" t="str">
        <f>IFERROR(__xludf.DUMMYFUNCTION("GOOGLETRANSLATE(A16468, ""en"", ""mt"")"),"Kemm mill-art agrikola tar-Rabat tikber il-ħuxlief?")</f>
        <v>Kemm mill-art agrikola tar-Rabat tikber il-ħuxlief?</v>
      </c>
    </row>
    <row r="16469" ht="15.75" customHeight="1">
      <c r="A16469" s="2" t="s">
        <v>16469</v>
      </c>
      <c r="B16469" s="2" t="str">
        <f>IFERROR(__xludf.DUMMYFUNCTION("GOOGLETRANSLATE(A16469, ""en"", ""mt"")"),"X’kienet l-isem tal-Konferenza Ġenerali dwar il-Piżijiet u l-Miżuri wara Tesla fl-1960?")</f>
        <v>X’kienet l-isem tal-Konferenza Ġenerali dwar il-Piżijiet u l-Miżuri wara Tesla fl-1960?</v>
      </c>
    </row>
    <row r="16470" ht="15.75" customHeight="1">
      <c r="A16470" s="2" t="s">
        <v>16470</v>
      </c>
      <c r="B16470" s="2" t="str">
        <f>IFERROR(__xludf.DUMMYFUNCTION("GOOGLETRANSLATE(A16470, ""en"", ""mt"")"),"Trijonf minn difiża kuraġġuża")</f>
        <v>Trijonf minn difiża kuraġġuża</v>
      </c>
    </row>
    <row r="16471" ht="15.75" customHeight="1">
      <c r="A16471" s="2" t="s">
        <v>16471</v>
      </c>
      <c r="B16471" s="2" t="str">
        <f>IFERROR(__xludf.DUMMYFUNCTION("GOOGLETRANSLATE(A16471, ""en"", ""mt"")"),"Id-Danubju")</f>
        <v>Id-Danubju</v>
      </c>
    </row>
    <row r="16472" ht="15.75" customHeight="1">
      <c r="A16472" s="2" t="s">
        <v>16472</v>
      </c>
      <c r="B16472" s="2" t="str">
        <f>IFERROR(__xludf.DUMMYFUNCTION("GOOGLETRANSLATE(A16472, ""en"", ""mt"")"),"forza")</f>
        <v>forza</v>
      </c>
    </row>
    <row r="16473" ht="15.75" customHeight="1">
      <c r="A16473" s="2" t="s">
        <v>16473</v>
      </c>
      <c r="B16473" s="2" t="str">
        <f>IFERROR(__xludf.DUMMYFUNCTION("GOOGLETRANSLATE(A16473, ""en"", ""mt"")"),"Tekniki ġodda tal-kostruzzjoni tal-bini qed jiġu riċerkati, li huma possibbli permezz ta 'avvanzi?")</f>
        <v>Tekniki ġodda tal-kostruzzjoni tal-bini qed jiġu riċerkati, li huma possibbli permezz ta 'avvanzi?</v>
      </c>
    </row>
    <row r="16474" ht="15.75" customHeight="1">
      <c r="A16474" s="2" t="s">
        <v>16474</v>
      </c>
      <c r="B16474" s="2" t="str">
        <f>IFERROR(__xludf.DUMMYFUNCTION("GOOGLETRANSLATE(A16474, ""en"", ""mt"")"),"Porzjon sostanzjali tal-Asja Ċentrali u ċ-Ċina")</f>
        <v>Porzjon sostanzjali tal-Asja Ċentrali u ċ-Ċina</v>
      </c>
    </row>
    <row r="16475" ht="15.75" customHeight="1">
      <c r="A16475" s="2" t="s">
        <v>16475</v>
      </c>
      <c r="B16475" s="2" t="str">
        <f>IFERROR(__xludf.DUMMYFUNCTION("GOOGLETRANSLATE(A16475, ""en"", ""mt"")"),"Liema terminu jikkorrispondi għall-kejl massimu tal-ħin fil-funzjonijiet kollha ta 'N?")</f>
        <v>Liema terminu jikkorrispondi għall-kejl massimu tal-ħin fil-funzjonijiet kollha ta 'N?</v>
      </c>
    </row>
    <row r="16476" ht="15.75" customHeight="1">
      <c r="A16476" s="2" t="s">
        <v>16476</v>
      </c>
      <c r="B16476" s="2" t="str">
        <f>IFERROR(__xludf.DUMMYFUNCTION("GOOGLETRANSLATE(A16476, ""en"", ""mt"")"),"Dan il-filmat kien kompatibbli jew inkompatibbli ma 'formati tat-TV ta' xandir live?")</f>
        <v>Dan il-filmat kien kompatibbli jew inkompatibbli ma 'formati tat-TV ta' xandir live?</v>
      </c>
    </row>
    <row r="16477" ht="15.75" customHeight="1">
      <c r="A16477" s="2" t="s">
        <v>16477</v>
      </c>
      <c r="B16477" s="2" t="str">
        <f>IFERROR(__xludf.DUMMYFUNCTION("GOOGLETRANSLATE(A16477, ""en"", ""mt"")"),"Funzjoni tal-paviment")</f>
        <v>Funzjoni tal-paviment</v>
      </c>
    </row>
    <row r="16478" ht="15.75" customHeight="1">
      <c r="A16478" s="2" t="s">
        <v>16478</v>
      </c>
      <c r="B16478" s="2" t="str">
        <f>IFERROR(__xludf.DUMMYFUNCTION("GOOGLETRANSLATE(A16478, ""en"", ""mt"")"),"L-aħħar ta ’Ottubru 2006")</f>
        <v>L-aħħar ta ’Ottubru 2006</v>
      </c>
    </row>
    <row r="16479" ht="15.75" customHeight="1">
      <c r="A16479" s="2" t="s">
        <v>16479</v>
      </c>
      <c r="B16479" s="2" t="str">
        <f>IFERROR(__xludf.DUMMYFUNCTION("GOOGLETRANSLATE(A16479, ""en"", ""mt"")"),"demokratiku")</f>
        <v>demokratiku</v>
      </c>
    </row>
    <row r="16480" ht="15.75" customHeight="1">
      <c r="A16480" s="2" t="s">
        <v>16480</v>
      </c>
      <c r="B16480" s="2" t="str">
        <f>IFERROR(__xludf.DUMMYFUNCTION("GOOGLETRANSLATE(A16480, ""en"", ""mt"")"),"Huma għandhom żewġ membrani taċ-ċelloli")</f>
        <v>Huma għandhom żewġ membrani taċ-ċelloli</v>
      </c>
    </row>
    <row r="16481" ht="15.75" customHeight="1">
      <c r="A16481" s="2" t="s">
        <v>16481</v>
      </c>
      <c r="B16481" s="2" t="str">
        <f>IFERROR(__xludf.DUMMYFUNCTION("GOOGLETRANSLATE(A16481, ""en"", ""mt"")"),"saċerdoti, mexxejja reliġjużi, u ħaddiema tal-każijiet kif ukoll għalliema")</f>
        <v>saċerdoti, mexxejja reliġjużi, u ħaddiema tal-każijiet kif ukoll għalliema</v>
      </c>
    </row>
    <row r="16482" ht="15.75" customHeight="1">
      <c r="A16482" s="2" t="s">
        <v>16482</v>
      </c>
      <c r="B16482" s="2" t="str">
        <f>IFERROR(__xludf.DUMMYFUNCTION("GOOGLETRANSLATE(A16482, ""en"", ""mt"")"),"Meta kienu Joseph Schumpeter u Norman Angell fil-perjodu l-iktar prolifiku tagħhom?")</f>
        <v>Meta kienu Joseph Schumpeter u Norman Angell fil-perjodu l-iktar prolifiku tagħhom?</v>
      </c>
    </row>
    <row r="16483" ht="15.75" customHeight="1">
      <c r="A16483" s="2" t="s">
        <v>16483</v>
      </c>
      <c r="B16483" s="2" t="str">
        <f>IFERROR(__xludf.DUMMYFUNCTION("GOOGLETRANSLATE(A16483, ""en"", ""mt"")"),"Fejn ċediet Von Lettow?")</f>
        <v>Fejn ċediet Von Lettow?</v>
      </c>
    </row>
    <row r="16484" ht="15.75" customHeight="1">
      <c r="A16484" s="2" t="s">
        <v>16484</v>
      </c>
      <c r="B16484" s="2" t="str">
        <f>IFERROR(__xludf.DUMMYFUNCTION("GOOGLETRANSLATE(A16484, ""en"", ""mt"")"),"Time Lord")</f>
        <v>Time Lord</v>
      </c>
    </row>
    <row r="16485" ht="15.75" customHeight="1">
      <c r="A16485" s="2" t="s">
        <v>16485</v>
      </c>
      <c r="B16485" s="2" t="str">
        <f>IFERROR(__xludf.DUMMYFUNCTION("GOOGLETRANSLATE(A16485, ""en"", ""mt"")"),"Is-suċċess tal-ewwel żewġ inżul ippermetta li l-missjonijiet li fadal jiġu ekwipaġġ ma 'veteran wieħed bħala kmandant, b'żewġ rookies. Apollo 13 nedew Lovell, Jack Swigert, u Fred Haise f'April 1970, intitolati għall-Formazzjoni Fra Mauro. Imma jumejn bar"&amp;"ra, sploda tank tal-ossiġnu likwidu, diżattiva l-modulu tas-servizz u ġiegħel lill-ekwipaġġ juża l-LM bħala ""dgħajsa tal-ħajja"" biex tirritorna fid-Dinja. Bord ieħor ta 'reviżjoni tan-NASA ġie mlaqqa' biex jiddetermina l-kawża, li rriżulta li kienet taħ"&amp;"lita ta 'ħsara tat-tank fil-fabbrika, u sottokuntrattur li ma jagħmilx komponent tat-tank skont l-ispeċifikazzjonijiet tad-disinn aġġornati. Apollo reġa 'ġie ertjat, għall-bqija tal-1970 waqt li t-tank tal-ossiġnu ġie mfassal mill-ġdid u ġie miżjud żejjed"&amp;".")</f>
        <v>Is-suċċess tal-ewwel żewġ inżul ippermetta li l-missjonijiet li fadal jiġu ekwipaġġ ma 'veteran wieħed bħala kmandant, b'żewġ rookies. Apollo 13 nedew Lovell, Jack Swigert, u Fred Haise f'April 1970, intitolati għall-Formazzjoni Fra Mauro. Imma jumejn barra, sploda tank tal-ossiġnu likwidu, diżattiva l-modulu tas-servizz u ġiegħel lill-ekwipaġġ juża l-LM bħala "dgħajsa tal-ħajja" biex tirritorna fid-Dinja. Bord ieħor ta 'reviżjoni tan-NASA ġie mlaqqa' biex jiddetermina l-kawża, li rriżulta li kienet taħlita ta 'ħsara tat-tank fil-fabbrika, u sottokuntrattur li ma jagħmilx komponent tat-tank skont l-ispeċifikazzjonijiet tad-disinn aġġornati. Apollo reġa 'ġie ertjat, għall-bqija tal-1970 waqt li t-tank tal-ossiġnu ġie mfassal mill-ġdid u ġie miżjud żejjed.</v>
      </c>
    </row>
    <row r="16486" ht="15.75" customHeight="1">
      <c r="A16486" s="2" t="s">
        <v>16486</v>
      </c>
      <c r="B16486" s="2" t="str">
        <f>IFERROR(__xludf.DUMMYFUNCTION("GOOGLETRANSLATE(A16486, ""en"", ""mt"")"),"Kif ġie introdott iċ-Ctenophore Mnemiopsis Leidyi fil-Baħar l-Iswed u fil-Baħar ta 'Azov?")</f>
        <v>Kif ġie introdott iċ-Ctenophore Mnemiopsis Leidyi fil-Baħar l-Iswed u fil-Baħar ta 'Azov?</v>
      </c>
    </row>
    <row r="16487" ht="15.75" customHeight="1">
      <c r="A16487" s="2" t="s">
        <v>16487</v>
      </c>
      <c r="B16487" s="2" t="str">
        <f>IFERROR(__xludf.DUMMYFUNCTION("GOOGLETRANSLATE(A16487, ""en"", ""mt"")"),"Taħt il-qasam Stagg tal-università")</f>
        <v>Taħt il-qasam Stagg tal-università</v>
      </c>
    </row>
    <row r="16488" ht="15.75" customHeight="1">
      <c r="A16488" s="2" t="s">
        <v>16488</v>
      </c>
      <c r="B16488" s="2" t="str">
        <f>IFERROR(__xludf.DUMMYFUNCTION("GOOGLETRANSLATE(A16488, ""en"", ""mt"")"),"Trattat dwar l-Unjoni Ewropea (TEU)")</f>
        <v>Trattat dwar l-Unjoni Ewropea (TEU)</v>
      </c>
    </row>
    <row r="16489" ht="15.75" customHeight="1">
      <c r="A16489" s="2" t="s">
        <v>16489</v>
      </c>
      <c r="B16489" s="2" t="str">
        <f>IFERROR(__xludf.DUMMYFUNCTION("GOOGLETRANSLATE(A16489, ""en"", ""mt"")"),"L-ewwel tentattivi biex jiġu internazzjonalizzati n-netwerk tat-televiżjoni ABC imorru lura għall-ħamsinijiet, wara li Leonard Goldenson, wara l-mudell tat-Teatri tal-Paramount United, ipprova juża fuq ABC l-istess strateġiji li kien għamel fl-espansjoni "&amp;"tal-operazzjoni teatrali tal-UPT għas-suq internazzjonali. Leonard Goldenson qal li l-ewwel attività internazzjonali ta 'ABC kienet qed ixandar l-inkurunazzjoni tar-Reġina Eliżabetta II f'Ġunju tal-1953; CBS u NBC ma setgħux ikopru l-inkurunazzjoni live m"&amp;"inħabba kwistjonijiet rispettivi bi problemi tekniċi u dewmien fit-titjira. L-ajruplan tal-NBC żbarka fl-Amerika Latina [fejn?], Li jwassal lil ABC biex jitgħallem dwar sussidjarji f'dak ir-reġjun. Goldenson ipprova jinvesti internazzjonali, wara li ABC j"&amp;"investi fis-suq tal-Amerika Latina, akkwista interess ta '51% f'netwerk li jkopri l-Amerika Ċentrali. Goldenson ikkwota wkoll l-interess fil-Ġappun fil-bidu tas-snin 1950, akkwista sehem ta '5% f'żewġ netwerks domestiċi ġodda, is-sistema tax-xandir Mainic"&amp;"hi fl-1951 u t-televiżjoni edukattiva ta' Nihon fl-1957. Goldenson investa wkoll fix-xandir ta 'proprjetajiet f'Beirut f'nofs is-snin 1960.")</f>
        <v>L-ewwel tentattivi biex jiġu internazzjonalizzati n-netwerk tat-televiżjoni ABC imorru lura għall-ħamsinijiet, wara li Leonard Goldenson, wara l-mudell tat-Teatri tal-Paramount United, ipprova juża fuq ABC l-istess strateġiji li kien għamel fl-espansjoni tal-operazzjoni teatrali tal-UPT għas-suq internazzjonali. Leonard Goldenson qal li l-ewwel attività internazzjonali ta 'ABC kienet qed ixandar l-inkurunazzjoni tar-Reġina Eliżabetta II f'Ġunju tal-1953; CBS u NBC ma setgħux ikopru l-inkurunazzjoni live minħabba kwistjonijiet rispettivi bi problemi tekniċi u dewmien fit-titjira. L-ajruplan tal-NBC żbarka fl-Amerika Latina [fejn?], Li jwassal lil ABC biex jitgħallem dwar sussidjarji f'dak ir-reġjun. Goldenson ipprova jinvesti internazzjonali, wara li ABC jinvesti fis-suq tal-Amerika Latina, akkwista interess ta '51% f'netwerk li jkopri l-Amerika Ċentrali. Goldenson ikkwota wkoll l-interess fil-Ġappun fil-bidu tas-snin 1950, akkwista sehem ta '5% f'żewġ netwerks domestiċi ġodda, is-sistema tax-xandir Mainichi fl-1951 u t-televiżjoni edukattiva ta' Nihon fl-1957. Goldenson investa wkoll fix-xandir ta 'proprjetajiet f'Beirut f'nofs is-snin 1960.</v>
      </c>
    </row>
    <row r="16490" ht="15.75" customHeight="1">
      <c r="A16490" s="2" t="s">
        <v>16490</v>
      </c>
      <c r="B16490" s="2" t="str">
        <f>IFERROR(__xludf.DUMMYFUNCTION("GOOGLETRANSLATE(A16490, ""en"", ""mt"")"),"Ferrovija tat-Tramuntana")</f>
        <v>Ferrovija tat-Tramuntana</v>
      </c>
    </row>
    <row r="16491" ht="15.75" customHeight="1">
      <c r="A16491" s="2" t="s">
        <v>16491</v>
      </c>
      <c r="B16491" s="2" t="str">
        <f>IFERROR(__xludf.DUMMYFUNCTION("GOOGLETRANSLATE(A16491, ""en"", ""mt"")"),"Kemm kienu nies fuq il-proġett li segwew il-proġett Merkurju?")</f>
        <v>Kemm kienu nies fuq il-proġett li segwew il-proġett Merkurju?</v>
      </c>
    </row>
    <row r="16492" ht="15.75" customHeight="1">
      <c r="A16492" s="2" t="s">
        <v>16492</v>
      </c>
      <c r="B16492" s="2" t="str">
        <f>IFERROR(__xludf.DUMMYFUNCTION("GOOGLETRANSLATE(A16492, ""en"", ""mt"")"),"Statwa tal-Eroj")</f>
        <v>Statwa tal-Eroj</v>
      </c>
    </row>
    <row r="16493" ht="15.75" customHeight="1">
      <c r="A16493" s="2" t="s">
        <v>16493</v>
      </c>
      <c r="B16493" s="2" t="str">
        <f>IFERROR(__xludf.DUMMYFUNCTION("GOOGLETRANSLATE(A16493, ""en"", ""mt"")"),"Ladarba l-appelli ta 'Mutual kontra l-FCC ġew miċħuda, RCA ddeċidiet li tbiegħ NBC Blue fl-1941, u tat lill-mandat biex jagħmel hekk biex jimmarka Woods. RCA kkonvertiet in-Netwerk Blu NBC f'sussidjarja indipendenti, li tiddivorzja formalment l-operazzjon"&amp;"ijiet ta 'NBC Red u NBC Blue fit-8 ta' Jannar, 1942, bin-netwerk blu jiġi riferut fuq l-arja bħala ""blu"" jew ""netwerk blu"". L-NBC Red u l-NBC Blue separati ġodda qasmu l-assi korporattivi rispettivi tagħhom. Bejn l-1942 u l-1943, Woods offra li jbiegħ"&amp;" in-Netwerk Blu NBC kollu, pakkett li kien jinkludi kirjiet fuq linji fissi, tliet liċenzji tat-televiżjoni pendenti (WJZ-TV fi New York City, KGO-TV f'San Francisco u WENR-TV f'Chicago), 60 affiljati, erba 'faċilitajiet ta' operazzjonijiet (fi New York C"&amp;"ity, Chicago, Los Angeles u Washington D.C.), kuntratti ma 'atturi, u l-marka assoċjata man-Netwerk Blu. Id-ditta ta ’investiment Dillon, Read &amp; Co. (li aktar tard ġiet akkwistata mill-Korporazzjoni Swiss Bank fl-1997) offriet $ 7.5 miljun biex tixtri n-n"&amp;"etwerk, iżda l-offerta ġiet rifjutata mill-Woods u l-President tal-RCA David Sarnoff.")</f>
        <v>Ladarba l-appelli ta 'Mutual kontra l-FCC ġew miċħuda, RCA ddeċidiet li tbiegħ NBC Blue fl-1941, u tat lill-mandat biex jagħmel hekk biex jimmarka Woods. RCA kkonvertiet in-Netwerk Blu NBC f'sussidjarja indipendenti, li tiddivorzja formalment l-operazzjonijiet ta 'NBC Red u NBC Blue fit-8 ta' Jannar, 1942, bin-netwerk blu jiġi riferut fuq l-arja bħala "blu" jew "netwerk blu". L-NBC Red u l-NBC Blue separati ġodda qasmu l-assi korporattivi rispettivi tagħhom. Bejn l-1942 u l-1943, Woods offra li jbiegħ in-Netwerk Blu NBC kollu, pakkett li kien jinkludi kirjiet fuq linji fissi, tliet liċenzji tat-televiżjoni pendenti (WJZ-TV fi New York City, KGO-TV f'San Francisco u WENR-TV f'Chicago), 60 affiljati, erba 'faċilitajiet ta' operazzjonijiet (fi New York City, Chicago, Los Angeles u Washington D.C.), kuntratti ma 'atturi, u l-marka assoċjata man-Netwerk Blu. Id-ditta ta ’investiment Dillon, Read &amp; Co. (li aktar tard ġiet akkwistata mill-Korporazzjoni Swiss Bank fl-1997) offriet $ 7.5 miljun biex tixtri n-netwerk, iżda l-offerta ġiet rifjutata mill-Woods u l-President tal-RCA David Sarnoff.</v>
      </c>
    </row>
    <row r="16494" ht="15.75" customHeight="1">
      <c r="A16494" s="2" t="s">
        <v>16494</v>
      </c>
      <c r="B16494" s="2" t="str">
        <f>IFERROR(__xludf.DUMMYFUNCTION("GOOGLETRANSLATE(A16494, ""en"", ""mt"")"),"13-il sena")</f>
        <v>13-il sena</v>
      </c>
    </row>
    <row r="16495" ht="15.75" customHeight="1">
      <c r="A16495" s="2" t="s">
        <v>16495</v>
      </c>
      <c r="B16495" s="2" t="str">
        <f>IFERROR(__xludf.DUMMYFUNCTION("GOOGLETRANSLATE(A16495, ""en"", ""mt"")"),"Denver ħa l-bidu tal-ftuħ u beda b’saħħtu ma ’Peyton Manning li temm pass ta ’18 -il tarzna għal tmiem strett ta’ Owen Daniels u tarmi ta ’22 tarzna għar-riċevitur Andre Caldwell. Par ta 'ġarr ta' C. J. Anderson ressaq il-ballun fuq 20 tarzna għal-linja t"&amp;"a '14-il bitħa tal-Panthers, iżda d-difiża ta' Carolina ħaffer matul it-tliet logħbiet li ġejjin. L-ewwel, il-linebacker Shaq Thompson ittratta lil Ronnie Hillman għal telfa ta '3-tarzna. Imbagħad wara inkompli, Thomas Davis ittratta lil Anderson għal qli"&amp;"għ ta '1-tarzna fit-tielet l-isfel, u ġiegħel lil Denver joqgħod għal vantaġġ ta' 3-0 fuq gowl ta 'Brandon McManus ta' 34-yard. L-iskor immarka l-ewwel darba fil-postseason kollu li Carolina kienet qed tiffaċċja defiċit.")</f>
        <v>Denver ħa l-bidu tal-ftuħ u beda b’saħħtu ma ’Peyton Manning li temm pass ta ’18 -il tarzna għal tmiem strett ta’ Owen Daniels u tarmi ta ’22 tarzna għar-riċevitur Andre Caldwell. Par ta 'ġarr ta' C. J. Anderson ressaq il-ballun fuq 20 tarzna għal-linja ta '14-il bitħa tal-Panthers, iżda d-difiża ta' Carolina ħaffer matul it-tliet logħbiet li ġejjin. L-ewwel, il-linebacker Shaq Thompson ittratta lil Ronnie Hillman għal telfa ta '3-tarzna. Imbagħad wara inkompli, Thomas Davis ittratta lil Anderson għal qligħ ta '1-tarzna fit-tielet l-isfel, u ġiegħel lil Denver joqgħod għal vantaġġ ta' 3-0 fuq gowl ta 'Brandon McManus ta' 34-yard. L-iskor immarka l-ewwel darba fil-postseason kollu li Carolina kienet qed tiffaċċja defiċit.</v>
      </c>
    </row>
    <row r="16496" ht="15.75" customHeight="1">
      <c r="A16496" s="2" t="s">
        <v>16496</v>
      </c>
      <c r="B16496" s="2" t="str">
        <f>IFERROR(__xludf.DUMMYFUNCTION("GOOGLETRANSLATE(A16496, ""en"", ""mt"")"),"Għal min kien miktub ir-rapport mediku?")</f>
        <v>Għal min kien miktub ir-rapport mediku?</v>
      </c>
    </row>
    <row r="16497" ht="15.75" customHeight="1">
      <c r="A16497" s="2" t="s">
        <v>16497</v>
      </c>
      <c r="B16497" s="2" t="str">
        <f>IFERROR(__xludf.DUMMYFUNCTION("GOOGLETRANSLATE(A16497, ""en"", ""mt"")"),"Kampanja għal Indja Ħieles")</f>
        <v>Kampanja għal Indja Ħieles</v>
      </c>
    </row>
    <row r="16498" ht="15.75" customHeight="1">
      <c r="A16498" s="2" t="s">
        <v>16498</v>
      </c>
      <c r="B16498" s="2" t="str">
        <f>IFERROR(__xludf.DUMMYFUNCTION("GOOGLETRANSLATE(A16498, ""en"", ""mt"")"),"Han Ċiniż, Khitans, Jurchens, Mongols, u Buddisti Tibetani")</f>
        <v>Han Ċiniż, Khitans, Jurchens, Mongols, u Buddisti Tibetani</v>
      </c>
    </row>
    <row r="16499" ht="15.75" customHeight="1">
      <c r="A16499" s="2" t="s">
        <v>16499</v>
      </c>
      <c r="B16499" s="2" t="str">
        <f>IFERROR(__xludf.DUMMYFUNCTION("GOOGLETRANSLATE(A16499, ""en"", ""mt"")"),"Kemm residenti ta ’Sivilja mietu bil-pesta fl-1649?")</f>
        <v>Kemm residenti ta ’Sivilja mietu bil-pesta fl-1649?</v>
      </c>
    </row>
    <row r="16500" ht="15.75" customHeight="1">
      <c r="A16500" s="2" t="s">
        <v>16500</v>
      </c>
      <c r="B16500" s="2" t="str">
        <f>IFERROR(__xludf.DUMMYFUNCTION("GOOGLETRANSLATE(A16500, ""en"", ""mt"")"),"bejn 10% u 18%")</f>
        <v>bejn 10% u 18%</v>
      </c>
    </row>
    <row r="16501" ht="15.75" customHeight="1">
      <c r="A16501" s="2" t="s">
        <v>16501</v>
      </c>
      <c r="B16501" s="2" t="str">
        <f>IFERROR(__xludf.DUMMYFUNCTION("GOOGLETRANSLATE(A16501, ""en"", ""mt"")"),"Aristotile pprovda diskussjoni filosofika tal-kunċett ta 'forza bħala parti integrali tal-kosmoloġija Aristoteljana. Fil-fehma ta 'Aristotile, l-isfera terrestri kien fiha erba' elementi li jiġu għall-mistrieħ f'postijiet naturali differenti fihom. Aristo"&amp;"tile kien jemmen li oġġetti bla waqfien fid-dinja, dawk komposti l-aktar mill-elementi tad-dinja u l-ilma, biex ikunu fil-post naturali tagħhom fuq l-art u li jibqgħu hekk jekk jitħallew waħedhom. Huwa ddistingwa bejn it-tendenza intrinsika ta 'oġġetti li"&amp;" jsibu l- ""post naturali"" tagħhom (per eżempju, biex il-korpi tqal jaqgħu), li wasslu għal ""moviment naturali"", u moviment mhux naturali jew sfurzat, li kien jeħtieġ l-applikazzjoni kontinwa ta' forza. Din it-teorija, ibbażata fuq l-esperjenza ta 'kul"&amp;"jum ta' kif l-oġġetti jiċċaqalqu, bħall-applikazzjoni kostanti ta 'forza meħtieġa biex iżżomm karrettun miexi, kellha problemi kunċettwali li tirrappreżenta l-imġieba tal-projettili, bħat-titjira tal-vleġeġ. Il-post fejn l-Archer jiċċaqlaq il-projettili k"&amp;"ien fil-bidu tat-titjira, u filwaqt li l-projettili baħħru fl-arja, l-ebda kawża effiċjenti li tista 'tinstab ma taġixxi fuqha. Aristotile kien konxju ta 'din il-problema u ppropona li l-arja spostata permezz tat-triq tal-projettili ġġorr il-projettili għ"&amp;"all-mira tagħha. Din l-ispjegazzjoni titlob kontinwu bħall-arja għall-bidla fil-post b'mod ġenerali.")</f>
        <v>Aristotile pprovda diskussjoni filosofika tal-kunċett ta 'forza bħala parti integrali tal-kosmoloġija Aristoteljana. Fil-fehma ta 'Aristotile, l-isfera terrestri kien fiha erba' elementi li jiġu għall-mistrieħ f'postijiet naturali differenti fihom. Aristotile kien jemmen li oġġetti bla waqfien fid-dinja, dawk komposti l-aktar mill-elementi tad-dinja u l-ilma, biex ikunu fil-post naturali tagħhom fuq l-art u li jibqgħu hekk jekk jitħallew waħedhom. Huwa ddistingwa bejn it-tendenza intrinsika ta 'oġġetti li jsibu l- "post naturali" tagħhom (per eżempju, biex il-korpi tqal jaqgħu), li wasslu għal "moviment naturali", u moviment mhux naturali jew sfurzat, li kien jeħtieġ l-applikazzjoni kontinwa ta' forza. Din it-teorija, ibbażata fuq l-esperjenza ta 'kuljum ta' kif l-oġġetti jiċċaqalqu, bħall-applikazzjoni kostanti ta 'forza meħtieġa biex iżżomm karrettun miexi, kellha problemi kunċettwali li tirrappreżenta l-imġieba tal-projettili, bħat-titjira tal-vleġeġ. Il-post fejn l-Archer jiċċaqlaq il-projettili kien fil-bidu tat-titjira, u filwaqt li l-projettili baħħru fl-arja, l-ebda kawża effiċjenti li tista 'tinstab ma taġixxi fuqha. Aristotile kien konxju ta 'din il-problema u ppropona li l-arja spostata permezz tat-triq tal-projettili ġġorr il-projettili għall-mira tagħha. Din l-ispjegazzjoni titlob kontinwu bħall-arja għall-bidla fil-post b'mod ġenerali.</v>
      </c>
    </row>
    <row r="16502" ht="15.75" customHeight="1">
      <c r="A16502" s="2" t="s">
        <v>16502</v>
      </c>
      <c r="B16502" s="2" t="str">
        <f>IFERROR(__xludf.DUMMYFUNCTION("GOOGLETRANSLATE(A16502, ""en"", ""mt"")"),"Trattat ta 'Logstown")</f>
        <v>Trattat ta 'Logstown</v>
      </c>
    </row>
    <row r="16503" ht="15.75" customHeight="1">
      <c r="A16503" s="2" t="s">
        <v>16503</v>
      </c>
      <c r="B16503" s="2" t="str">
        <f>IFERROR(__xludf.DUMMYFUNCTION("GOOGLETRANSLATE(A16503, ""en"", ""mt"")"),"disa '")</f>
        <v>disa '</v>
      </c>
    </row>
    <row r="16504" ht="15.75" customHeight="1">
      <c r="A16504" s="2" t="s">
        <v>16504</v>
      </c>
      <c r="B16504" s="2" t="str">
        <f>IFERROR(__xludf.DUMMYFUNCTION("GOOGLETRANSLATE(A16504, ""en"", ""mt"")"),"L-evoluzzjoni tas-sistema immunitarja adattiva seħħet f'antenat tal-vertebrati tax-xedaq. Ħafna mill-molekuli klassiċi tas-sistema immuni adatta (per eżempju, immunoglobulini u riċetturi taċ-ċelloli T) jeżistu biss fil-vertebrati tax-xedaq. Madankollu, ġi"&amp;"et skoperta molekula derivata minn limfoċiti distinta fil-vertebrati primittivi tax-xedaq, bħalma huma l-lamprey u l-hagfish. Dawn l-annimali għandhom firxa kbira ta 'molekuli msejħa riċetturi ta' limfoċiti varjabbli (VLRs) li, bħar-riċetturi ta 'l-antiġe"&amp;"n ta' vertebrati tax-xedaq, huma prodotti minn numru żgħir biss (wieħed jew tnejn) ta 'ġeni. Dawn il-molekuli huma maħsuba li jorbtu antiġeni patoġeniċi b'mod simili għal antikorpi, u bl-istess grad ta 'speċifiċità.")</f>
        <v>L-evoluzzjoni tas-sistema immunitarja adattiva seħħet f'antenat tal-vertebrati tax-xedaq. Ħafna mill-molekuli klassiċi tas-sistema immuni adatta (per eżempju, immunoglobulini u riċetturi taċ-ċelloli T) jeżistu biss fil-vertebrati tax-xedaq. Madankollu, ġiet skoperta molekula derivata minn limfoċiti distinta fil-vertebrati primittivi tax-xedaq, bħalma huma l-lamprey u l-hagfish. Dawn l-annimali għandhom firxa kbira ta 'molekuli msejħa riċetturi ta' limfoċiti varjabbli (VLRs) li, bħar-riċetturi ta 'l-antiġen ta' vertebrati tax-xedaq, huma prodotti minn numru żgħir biss (wieħed jew tnejn) ta 'ġeni. Dawn il-molekuli huma maħsuba li jorbtu antiġeni patoġeniċi b'mod simili għal antikorpi, u bl-istess grad ta 'speċifiċità.</v>
      </c>
    </row>
    <row r="16505" ht="15.75" customHeight="1">
      <c r="A16505" s="2" t="s">
        <v>16505</v>
      </c>
      <c r="B16505" s="2" t="str">
        <f>IFERROR(__xludf.DUMMYFUNCTION("GOOGLETRANSLATE(A16505, ""en"", ""mt"")"),"Spazjali Ġenesi tal-Ġenesi")</f>
        <v>Spazjali Ġenesi tal-Ġenesi</v>
      </c>
    </row>
    <row r="16506" ht="15.75" customHeight="1">
      <c r="A16506" s="2" t="s">
        <v>16506</v>
      </c>
      <c r="B16506" s="2" t="str">
        <f>IFERROR(__xludf.DUMMYFUNCTION("GOOGLETRANSLATE(A16506, ""en"", ""mt"")"),"X’tistaw it-tribujiet Ġermaniċi bl-għajnuna mir-Rhine?")</f>
        <v>X’tistaw it-tribujiet Ġermaniċi bl-għajnuna mir-Rhine?</v>
      </c>
    </row>
    <row r="16507" ht="15.75" customHeight="1">
      <c r="A16507" s="2" t="s">
        <v>16507</v>
      </c>
      <c r="B16507" s="2" t="str">
        <f>IFERROR(__xludf.DUMMYFUNCTION("GOOGLETRANSLATE(A16507, ""en"", ""mt"")"),"X'inhu l-effett osservabbli tal-iskambju tal-boson w u z?")</f>
        <v>X'inhu l-effett osservabbli tal-iskambju tal-boson w u z?</v>
      </c>
    </row>
    <row r="16508" ht="15.75" customHeight="1">
      <c r="A16508" s="2" t="s">
        <v>16508</v>
      </c>
      <c r="B16508" s="2" t="str">
        <f>IFERROR(__xludf.DUMMYFUNCTION("GOOGLETRANSLATE(A16508, ""en"", ""mt"")"),"X’għamel Graham Twigg fl-1984?")</f>
        <v>X’għamel Graham Twigg fl-1984?</v>
      </c>
    </row>
    <row r="16509" ht="15.75" customHeight="1">
      <c r="A16509" s="2" t="s">
        <v>16509</v>
      </c>
      <c r="B16509" s="2" t="str">
        <f>IFERROR(__xludf.DUMMYFUNCTION("GOOGLETRANSLATE(A16509, ""en"", ""mt"")"),"Liema aspett ieħor tal-ħajja ta 'Luther kien affettwat minn saħħtu?")</f>
        <v>Liema aspett ieħor tal-ħajja ta 'Luther kien affettwat minn saħħtu?</v>
      </c>
    </row>
    <row r="16510" ht="15.75" customHeight="1">
      <c r="A16510" s="2" t="s">
        <v>16510</v>
      </c>
      <c r="B16510" s="2" t="str">
        <f>IFERROR(__xludf.DUMMYFUNCTION("GOOGLETRANSLATE(A16510, ""en"", ""mt"")"),"ewforika ħafifa suppost")</f>
        <v>ewforika ħafifa suppost</v>
      </c>
    </row>
    <row r="16511" ht="15.75" customHeight="1">
      <c r="A16511" s="2" t="s">
        <v>16511</v>
      </c>
      <c r="B16511" s="2" t="str">
        <f>IFERROR(__xludf.DUMMYFUNCTION("GOOGLETRANSLATE(A16511, ""en"", ""mt"")"),"Legalment, trusts u soċjetajiet li ma jagħmlux profitt biss jistgħu jmexxu skejjel fl-Indja. Huma ser ikollhom jissodisfaw numru ta 'kriterji ta' infrastruttura u riżorsi umani biex jiksbu rikonoxximent (forma ta 'liċenzja) mill-gvern. Kritiċi ta 'din is-"&amp;"sistema jindikaw li dan iwassal għal korruzzjoni minn spetturi ta' l-iskejjel li jivverifikaw il-konformità u għal inqas skejjel f'pajjiż li għandu l-akbar popolazzjoni analfabet adulta fid-dinja. Filwaqt li d-dejta uffiċjali ma taqbadx il-firxa reali ta "&amp;"'skola privata fil-pajjiż, studji varji rrappurtaw nuqqas ta' popolarità ta 'skejjel tal-gvern u numru dejjem jiżdied ta' skejjel privati. Ir-Rapport Annwali tal-Istatus tal-Edukazzjoni (ASER), li jevalwa l-livelli ta ’tagħlim fl-Indja rurali, kien jirrap"&amp;"porta kisba akkademika ifqar fl-iskejjel tal-gvern milli fi skejjel privati. Differenza ewlenija bejn il-gvern u l-iskejjel privati ​​hija li l-mezz ta 'edukazzjoni fl-iskejjel privati ​​huwa l-Ingliż waqt li huwa l-lingwa lokali fl-iskejjel tal-gvern.")</f>
        <v>Legalment, trusts u soċjetajiet li ma jagħmlux profitt biss jistgħu jmexxu skejjel fl-Indja. Huma ser ikollhom jissodisfaw numru ta 'kriterji ta' infrastruttura u riżorsi umani biex jiksbu rikonoxximent (forma ta 'liċenzja) mill-gvern. Kritiċi ta 'din is-sistema jindikaw li dan iwassal għal korruzzjoni minn spetturi ta' l-iskejjel li jivverifikaw il-konformità u għal inqas skejjel f'pajjiż li għandu l-akbar popolazzjoni analfabet adulta fid-dinja. Filwaqt li d-dejta uffiċjali ma taqbadx il-firxa reali ta 'skola privata fil-pajjiż, studji varji rrappurtaw nuqqas ta' popolarità ta 'skejjel tal-gvern u numru dejjem jiżdied ta' skejjel privati. Ir-Rapport Annwali tal-Istatus tal-Edukazzjoni (ASER), li jevalwa l-livelli ta ’tagħlim fl-Indja rurali, kien jirrapporta kisba akkademika ifqar fl-iskejjel tal-gvern milli fi skejjel privati. Differenza ewlenija bejn il-gvern u l-iskejjel privati ​​hija li l-mezz ta 'edukazzjoni fl-iskejjel privati ​​huwa l-Ingliż waqt li huwa l-lingwa lokali fl-iskejjel tal-gvern.</v>
      </c>
    </row>
    <row r="16512" ht="15.75" customHeight="1">
      <c r="A16512" s="2" t="s">
        <v>16512</v>
      </c>
      <c r="B16512" s="2" t="str">
        <f>IFERROR(__xludf.DUMMYFUNCTION("GOOGLETRANSLATE(A16512, ""en"", ""mt"")"),"kriminali")</f>
        <v>kriminali</v>
      </c>
    </row>
    <row r="16513" ht="15.75" customHeight="1">
      <c r="A16513" s="2" t="s">
        <v>16513</v>
      </c>
      <c r="B16513" s="2" t="str">
        <f>IFERROR(__xludf.DUMMYFUNCTION("GOOGLETRANSLATE(A16513, ""en"", ""mt"")"),"Kif huwa kkommemorat Luther fuq il-kalendarji Luterani, Episkopali u tal-Knisja tal-Ingilterra?")</f>
        <v>Kif huwa kkommemorat Luther fuq il-kalendarji Luterani, Episkopali u tal-Knisja tal-Ingilterra?</v>
      </c>
    </row>
    <row r="16514" ht="15.75" customHeight="1">
      <c r="A16514" s="2" t="s">
        <v>16514</v>
      </c>
      <c r="B16514" s="2" t="str">
        <f>IFERROR(__xludf.DUMMYFUNCTION("GOOGLETRANSLATE(A16514, ""en"", ""mt"")"),"ħolm")</f>
        <v>ħolm</v>
      </c>
    </row>
    <row r="16515" ht="15.75" customHeight="1">
      <c r="A16515" s="2" t="s">
        <v>16515</v>
      </c>
      <c r="B16515" s="2" t="str">
        <f>IFERROR(__xludf.DUMMYFUNCTION("GOOGLETRANSLATE(A16515, ""en"", ""mt"")"),"każ tal-ġurisprudenza mill-Qorti tal-Ġustizzja, il-Liġi Internazzjonali u l-Prinċipji Ġenerali tal-Liġi tal-Unjoni Ewropea")</f>
        <v>każ tal-ġurisprudenza mill-Qorti tal-Ġustizzja, il-Liġi Internazzjonali u l-Prinċipji Ġenerali tal-Liġi tal-Unjoni Ewropea</v>
      </c>
    </row>
    <row r="16516" ht="15.75" customHeight="1">
      <c r="A16516" s="2" t="s">
        <v>16516</v>
      </c>
      <c r="B16516" s="2" t="str">
        <f>IFERROR(__xludf.DUMMYFUNCTION("GOOGLETRANSLATE(A16516, ""en"", ""mt"")"),"L-Att tal-2012")</f>
        <v>L-Att tal-2012</v>
      </c>
    </row>
    <row r="16517" ht="15.75" customHeight="1">
      <c r="A16517" s="2" t="s">
        <v>16517</v>
      </c>
      <c r="B16517" s="2" t="str">
        <f>IFERROR(__xludf.DUMMYFUNCTION("GOOGLETRANSLATE(A16517, ""en"", ""mt"")"),"X'inhi kimika sekretata minn tumuri li jrażżnu r-rispons immuni?")</f>
        <v>X'inhi kimika sekretata minn tumuri li jrażżnu r-rispons immuni?</v>
      </c>
    </row>
    <row r="16518" ht="15.75" customHeight="1">
      <c r="A16518" s="2" t="s">
        <v>16518</v>
      </c>
      <c r="B16518" s="2" t="str">
        <f>IFERROR(__xludf.DUMMYFUNCTION("GOOGLETRANSLATE(A16518, ""en"", ""mt"")"),"X'kienet it-total ta 'Harvard Dotament fl-2011?")</f>
        <v>X'kienet it-total ta 'Harvard Dotament fl-2011?</v>
      </c>
    </row>
    <row r="16519" ht="15.75" customHeight="1">
      <c r="A16519" s="2" t="s">
        <v>16519</v>
      </c>
      <c r="B16519" s="2" t="str">
        <f>IFERROR(__xludf.DUMMYFUNCTION("GOOGLETRANSLATE(A16519, ""en"", ""mt"")"),"Il-privattivi tiegħu")</f>
        <v>Il-privattivi tiegħu</v>
      </c>
    </row>
    <row r="16520" ht="15.75" customHeight="1">
      <c r="A16520" s="2" t="s">
        <v>16520</v>
      </c>
      <c r="B16520" s="2" t="str">
        <f>IFERROR(__xludf.DUMMYFUNCTION("GOOGLETRANSLATE(A16520, ""en"", ""mt"")"),"reklutaġġ u akkwist ta 'trasportaturi ta' persunal armati")</f>
        <v>reklutaġġ u akkwist ta 'trasportaturi ta' persunal armati</v>
      </c>
    </row>
    <row r="16521" ht="15.75" customHeight="1">
      <c r="A16521" s="2" t="s">
        <v>16521</v>
      </c>
      <c r="B16521" s="2" t="str">
        <f>IFERROR(__xludf.DUMMYFUNCTION("GOOGLETRANSLATE(A16521, ""en"", ""mt"")"),"Mill-1960s")</f>
        <v>Mill-1960s</v>
      </c>
    </row>
    <row r="16522" ht="15.75" customHeight="1">
      <c r="A16522" s="2" t="s">
        <v>16522</v>
      </c>
      <c r="B16522" s="2" t="str">
        <f>IFERROR(__xludf.DUMMYFUNCTION("GOOGLETRANSLATE(A16522, ""en"", ""mt"")"),"Stat")</f>
        <v>Stat</v>
      </c>
    </row>
    <row r="16523" ht="15.75" customHeight="1">
      <c r="A16523" s="2" t="s">
        <v>16523</v>
      </c>
      <c r="B16523" s="2" t="str">
        <f>IFERROR(__xludf.DUMMYFUNCTION("GOOGLETRANSLATE(A16523, ""en"", ""mt"")"),"Fejn għandhom it-tendenza li jaħdmu maġġoranza ta 'spiżjara konsulenti?")</f>
        <v>Fejn għandhom it-tendenza li jaħdmu maġġoranza ta 'spiżjara konsulenti?</v>
      </c>
    </row>
    <row r="16524" ht="15.75" customHeight="1">
      <c r="A16524" s="2" t="s">
        <v>16524</v>
      </c>
      <c r="B16524" s="2" t="str">
        <f>IFERROR(__xludf.DUMMYFUNCTION("GOOGLETRANSLATE(A16524, ""en"", ""mt"")"),"klorofilla b")</f>
        <v>klorofilla b</v>
      </c>
    </row>
    <row r="16525" ht="15.75" customHeight="1">
      <c r="A16525" s="2" t="s">
        <v>16525</v>
      </c>
      <c r="B16525" s="2" t="str">
        <f>IFERROR(__xludf.DUMMYFUNCTION("GOOGLETRANSLATE(A16525, ""en"", ""mt"")"),"il-pulizija u l-forzi armati")</f>
        <v>il-pulizija u l-forzi armati</v>
      </c>
    </row>
    <row r="16526" ht="15.75" customHeight="1">
      <c r="A16526" s="2" t="s">
        <v>16526</v>
      </c>
      <c r="B16526" s="2" t="str">
        <f>IFERROR(__xludf.DUMMYFUNCTION("GOOGLETRANSLATE(A16526, ""en"", ""mt"")"),"Siġill tal-Approvazzjoni")</f>
        <v>Siġill tal-Approvazzjoni</v>
      </c>
    </row>
    <row r="16527" ht="15.75" customHeight="1">
      <c r="A16527" s="2" t="s">
        <v>16527</v>
      </c>
      <c r="B16527" s="2" t="str">
        <f>IFERROR(__xludf.DUMMYFUNCTION("GOOGLETRANSLATE(A16527, ""en"", ""mt"")"),"X'qed Josel ta 'Rosheim sostna li Luther qal dwar dawk li jistgħu jgħinu lill-Lhud?")</f>
        <v>X'qed Josel ta 'Rosheim sostna li Luther qal dwar dawk li jistgħu jgħinu lill-Lhud?</v>
      </c>
    </row>
    <row r="16528" ht="15.75" customHeight="1">
      <c r="A16528" s="2" t="s">
        <v>16528</v>
      </c>
      <c r="B16528" s="2" t="str">
        <f>IFERROR(__xludf.DUMMYFUNCTION("GOOGLETRANSLATE(A16528, ""en"", ""mt"")"),"Gvern tal-Knisja taħt is-sovran temporali")</f>
        <v>Gvern tal-Knisja taħt is-sovran temporali</v>
      </c>
    </row>
    <row r="16529" ht="15.75" customHeight="1">
      <c r="A16529" s="2" t="s">
        <v>16529</v>
      </c>
      <c r="B16529" s="2" t="str">
        <f>IFERROR(__xludf.DUMMYFUNCTION("GOOGLETRANSLATE(A16529, ""en"", ""mt"")"),"Filwaqt li tirrikonoxxi r-rwol ċentrali tat-tkabbir ekonomiku jista 'potenzjalment jilgħab fl-iżvilupp tal-bniedem, it-tnaqqis tal-faqar u l-kisba tal-għanijiet tal-iżvilupp tal-millennju, qed jinftiehem ħafna fost il-komunità tal-iżvilupp li għandhom isi"&amp;"ru sforzi speċjali biex jiżguraw li sezzjonijiet ifqar tas-soċjetà jkunu kapaċi jipparteċipaw fit-tkabbir ekonomiku. L-effett tat-tkabbir ekonomiku fuq it-tnaqqis tal-faqar - l-elastiċità tat-tkabbir tal-faqar - jista 'jiddependi fuq il-livell eżistenti t"&amp;"a' inugwaljanza. Pereżempju, bl-inugwaljanza baxxa pajjiż b'rata ta 'tkabbir ta' 2% għal kull ras u 40% tal-popolazzjoni tiegħu li tgħix fil-faqar, tista 'tnaqqas bin-nofs il-faqar f'għaxar snin, iżda pajjiż b'inugwaljanza għolja jieħu kważi 60 sena biex "&amp;"jinkiseb l-istess tnaqqis - Fi kliem is-Segretarju Ġenerali tal-projbizzjoni tan-Nazzjonijiet Uniti Ki-moon: ""Filwaqt li t-tkabbir ekonomiku huwa meħtieġ, mhuwiex biżżejjed għall-progress fit-tnaqqis tal-faqar.""")</f>
        <v>Filwaqt li tirrikonoxxi r-rwol ċentrali tat-tkabbir ekonomiku jista 'potenzjalment jilgħab fl-iżvilupp tal-bniedem, it-tnaqqis tal-faqar u l-kisba tal-għanijiet tal-iżvilupp tal-millennju, qed jinftiehem ħafna fost il-komunità tal-iżvilupp li għandhom isiru sforzi speċjali biex jiżguraw li sezzjonijiet ifqar tas-soċjetà jkunu kapaċi jipparteċipaw fit-tkabbir ekonomiku. L-effett tat-tkabbir ekonomiku fuq it-tnaqqis tal-faqar - l-elastiċità tat-tkabbir tal-faqar - jista 'jiddependi fuq il-livell eżistenti ta' inugwaljanza. Pereżempju, bl-inugwaljanza baxxa pajjiż b'rata ta 'tkabbir ta' 2% għal kull ras u 40% tal-popolazzjoni tiegħu li tgħix fil-faqar, tista 'tnaqqas bin-nofs il-faqar f'għaxar snin, iżda pajjiż b'inugwaljanza għolja jieħu kważi 60 sena biex jinkiseb l-istess tnaqqis - Fi kliem is-Segretarju Ġenerali tal-projbizzjoni tan-Nazzjonijiet Uniti Ki-moon: "Filwaqt li t-tkabbir ekonomiku huwa meħtieġ, mhuwiex biżżejjed għall-progress fit-tnaqqis tal-faqar."</v>
      </c>
    </row>
    <row r="16530" ht="15.75" customHeight="1">
      <c r="A16530" s="2" t="s">
        <v>16530</v>
      </c>
      <c r="B16530" s="2" t="str">
        <f>IFERROR(__xludf.DUMMYFUNCTION("GOOGLETRANSLATE(A16530, ""en"", ""mt"")"),"Studenti li għadhom ma ggradwawx huma meħtieġa jieħdu distribuzzjoni ta 'korsijiet biex jissodisfaw il-kurrikulu ewlieni tal-università magħruf bħala l-Qofol Komuni. Fl-2012-2013, il-klassijiet ewlenin f'Chicago kienu limitati għal 17-il student, u ġenera"&amp;"lment huma mmexxija minn professur full-time (għall-kuntrarju ta 'assistent tat-tagħlim). Mis-sena skolastika 2013–2014, 15-il kors u kompetenza murija f'lingwa barranija huma meħtieġa taħt il-qalba. Korsijiet li għadhom ma ggradwawx fl-Università ta ’Chi"&amp;"cago huma magħrufa għall-istandards eżiġenti tagħhom, ammont ta’ xogħol qawwi u diffikultà akkademika; Skond l-UNI fl-Istati Uniti, ""fost il-krema akkademika ta 'universitajiet Amerikani - Harvard, Yale, Princeton, MIT, u l-Università ta' Chicago - huwa "&amp;"Uchicago li jista 'jallega b'mod konvinċenti li jipprovdi l-iktar esperjenza ta' tagħlim intensa.""")</f>
        <v>Studenti li għadhom ma ggradwawx huma meħtieġa jieħdu distribuzzjoni ta 'korsijiet biex jissodisfaw il-kurrikulu ewlieni tal-università magħruf bħala l-Qofol Komuni. Fl-2012-2013, il-klassijiet ewlenin f'Chicago kienu limitati għal 17-il student, u ġeneralment huma mmexxija minn professur full-time (għall-kuntrarju ta 'assistent tat-tagħlim). Mis-sena skolastika 2013–2014, 15-il kors u kompetenza murija f'lingwa barranija huma meħtieġa taħt il-qalba. Korsijiet li għadhom ma ggradwawx fl-Università ta ’Chicago huma magħrufa għall-istandards eżiġenti tagħhom, ammont ta’ xogħol qawwi u diffikultà akkademika; Skond l-UNI fl-Istati Uniti, "fost il-krema akkademika ta 'universitajiet Amerikani - Harvard, Yale, Princeton, MIT, u l-Università ta' Chicago - huwa Uchicago li jista 'jallega b'mod konvinċenti li jipprovdi l-iktar esperjenza ta' tagħlim intensa."</v>
      </c>
    </row>
    <row r="16531" ht="15.75" customHeight="1">
      <c r="A16531" s="2" t="s">
        <v>16531</v>
      </c>
      <c r="B16531" s="2" t="str">
        <f>IFERROR(__xludf.DUMMYFUNCTION("GOOGLETRANSLATE(A16531, ""en"", ""mt"")"),"Magni tal-fwar jirreċiprokaw")</f>
        <v>Magni tal-fwar jirreċiprokaw</v>
      </c>
    </row>
    <row r="16532" ht="15.75" customHeight="1">
      <c r="A16532" s="2" t="s">
        <v>16532</v>
      </c>
      <c r="B16532" s="2" t="str">
        <f>IFERROR(__xludf.DUMMYFUNCTION("GOOGLETRANSLATE(A16532, ""en"", ""mt"")"),"X'inhu l-Parlament Skoċċiż bħalissa fir-raba 'ta'?")</f>
        <v>X'inhu l-Parlament Skoċċiż bħalissa fir-raba 'ta'?</v>
      </c>
    </row>
    <row r="16533" ht="15.75" customHeight="1">
      <c r="A16533" s="2" t="s">
        <v>16533</v>
      </c>
      <c r="B16533" s="2" t="str">
        <f>IFERROR(__xludf.DUMMYFUNCTION("GOOGLETRANSLATE(A16533, ""en"", ""mt"")"),"X'inhuma d-djakni mogħtija jekk jinħatru bħala ragħaj fi knisja lokali?")</f>
        <v>X'inhuma d-djakni mogħtija jekk jinħatru bħala ragħaj fi knisja lokali?</v>
      </c>
    </row>
    <row r="16534" ht="15.75" customHeight="1">
      <c r="A16534" s="2" t="s">
        <v>16534</v>
      </c>
      <c r="B16534" s="2" t="str">
        <f>IFERROR(__xludf.DUMMYFUNCTION("GOOGLETRANSLATE(A16534, ""en"", ""mt"")"),"Liema charter sar aspett importanti tal-liġi tal-UE?")</f>
        <v>Liema charter sar aspett importanti tal-liġi tal-UE?</v>
      </c>
    </row>
    <row r="16535" ht="15.75" customHeight="1">
      <c r="A16535" s="2" t="s">
        <v>16535</v>
      </c>
      <c r="B16535" s="2" t="str">
        <f>IFERROR(__xludf.DUMMYFUNCTION("GOOGLETRANSLATE(A16535, ""en"", ""mt"")"),"Awto nieqes")</f>
        <v>Awto nieqes</v>
      </c>
    </row>
    <row r="16536" ht="15.75" customHeight="1">
      <c r="A16536" s="2" t="s">
        <v>16536</v>
      </c>
      <c r="B16536" s="2" t="str">
        <f>IFERROR(__xludf.DUMMYFUNCTION("GOOGLETRANSLATE(A16536, ""en"", ""mt"")"),"Rivoluzzjoni Kulturali")</f>
        <v>Rivoluzzjoni Kulturali</v>
      </c>
    </row>
    <row r="16537" ht="15.75" customHeight="1">
      <c r="A16537" s="2" t="s">
        <v>16537</v>
      </c>
      <c r="B16537" s="2" t="str">
        <f>IFERROR(__xludf.DUMMYFUNCTION("GOOGLETRANSLATE(A16537, ""en"", ""mt"")"),"sitt deheb")</f>
        <v>sitt deheb</v>
      </c>
    </row>
    <row r="16538" ht="15.75" customHeight="1">
      <c r="A16538" s="2" t="s">
        <v>16538</v>
      </c>
      <c r="B16538" s="2" t="str">
        <f>IFERROR(__xludf.DUMMYFUNCTION("GOOGLETRANSLATE(A16538, ""en"", ""mt"")"),"X'tip ta 'graff huwa eżempju ta' input użat fi problema ta 'deċiżjoni?")</f>
        <v>X'tip ta 'graff huwa eżempju ta' input użat fi problema ta 'deċiżjoni?</v>
      </c>
    </row>
    <row r="16539" ht="15.75" customHeight="1">
      <c r="A16539" s="2" t="s">
        <v>16539</v>
      </c>
      <c r="B16539" s="2" t="str">
        <f>IFERROR(__xludf.DUMMYFUNCTION("GOOGLETRANSLATE(A16539, ""en"", ""mt"")"),"Fejn ġiet iffurmata l-FIS?")</f>
        <v>Fejn ġiet iffurmata l-FIS?</v>
      </c>
    </row>
    <row r="16540" ht="15.75" customHeight="1">
      <c r="A16540" s="2" t="s">
        <v>16540</v>
      </c>
      <c r="B16540" s="2" t="str">
        <f>IFERROR(__xludf.DUMMYFUNCTION("GOOGLETRANSLATE(A16540, ""en"", ""mt"")"),"BRISINGR u SWIZARDRIJA GĦOLJA,")</f>
        <v>BRISINGR u SWIZARDRIJA GĦOLJA,</v>
      </c>
    </row>
    <row r="16541" ht="15.75" customHeight="1">
      <c r="A16541" s="2" t="s">
        <v>16541</v>
      </c>
      <c r="B16541" s="2" t="str">
        <f>IFERROR(__xludf.DUMMYFUNCTION("GOOGLETRANSLATE(A16541, ""en"", ""mt"")"),"X'kienet waħda mill-esportazzjonijiet ewlenin tan-Norman?")</f>
        <v>X'kienet waħda mill-esportazzjonijiet ewlenin tan-Norman?</v>
      </c>
    </row>
    <row r="16542" ht="15.75" customHeight="1">
      <c r="A16542" s="2" t="s">
        <v>16542</v>
      </c>
      <c r="B16542" s="2" t="str">
        <f>IFERROR(__xludf.DUMMYFUNCTION("GOOGLETRANSLATE(A16542, ""en"", ""mt"")"),"X'inhu ddominat is-settur tas-servizzi?")</f>
        <v>X'inhu ddominat is-settur tas-servizzi?</v>
      </c>
    </row>
    <row r="16543" ht="15.75" customHeight="1">
      <c r="A16543" s="2" t="s">
        <v>16543</v>
      </c>
      <c r="B16543" s="2" t="str">
        <f>IFERROR(__xludf.DUMMYFUNCTION("GOOGLETRANSLATE(A16543, ""en"", ""mt"")"),"Min mexxa l-vot onlajn tal-2011?")</f>
        <v>Min mexxa l-vot onlajn tal-2011?</v>
      </c>
    </row>
    <row r="16544" ht="15.75" customHeight="1">
      <c r="A16544" s="2" t="s">
        <v>16544</v>
      </c>
      <c r="B16544" s="2" t="str">
        <f>IFERROR(__xludf.DUMMYFUNCTION("GOOGLETRANSLATE(A16544, ""en"", ""mt"")"),"Politika Barranija Nazzjonali")</f>
        <v>Politika Barranija Nazzjonali</v>
      </c>
    </row>
    <row r="16545" ht="15.75" customHeight="1">
      <c r="A16545" s="2" t="s">
        <v>16545</v>
      </c>
      <c r="B16545" s="2" t="str">
        <f>IFERROR(__xludf.DUMMYFUNCTION("GOOGLETRANSLATE(A16545, ""en"", ""mt"")"),"Telf sħiħ ta 'kopertura tal-foresta tropikali jista' jkun ikkawżat minn liema tip ta 'emissjonijiet?")</f>
        <v>Telf sħiħ ta 'kopertura tal-foresta tropikali jista' jkun ikkawżat minn liema tip ta 'emissjonijiet?</v>
      </c>
    </row>
    <row r="16546" ht="15.75" customHeight="1">
      <c r="A16546" s="2" t="s">
        <v>16546</v>
      </c>
      <c r="B16546" s="2" t="str">
        <f>IFERROR(__xludf.DUMMYFUNCTION("GOOGLETRANSLATE(A16546, ""en"", ""mt"")"),"Liema partit politiku huwa l-iktar qawwi fis-subborgi tal-klassi tal-ħaddiema ta 'Melbourne?")</f>
        <v>Liema partit politiku huwa l-iktar qawwi fis-subborgi tal-klassi tal-ħaddiema ta 'Melbourne?</v>
      </c>
    </row>
    <row r="16547" ht="15.75" customHeight="1">
      <c r="A16547" s="2" t="s">
        <v>16547</v>
      </c>
      <c r="B16547" s="2" t="str">
        <f>IFERROR(__xludf.DUMMYFUNCTION("GOOGLETRANSLATE(A16547, ""en"", ""mt"")"),"ħażna")</f>
        <v>ħażna</v>
      </c>
    </row>
    <row r="16548" ht="15.75" customHeight="1">
      <c r="A16548" s="2" t="s">
        <v>16548</v>
      </c>
      <c r="B16548" s="2" t="str">
        <f>IFERROR(__xludf.DUMMYFUNCTION("GOOGLETRANSLATE(A16548, ""en"", ""mt"")"),"Il-Kapitali tal-Arti tar-Renju Unit")</f>
        <v>Il-Kapitali tal-Arti tar-Renju Unit</v>
      </c>
    </row>
    <row r="16549" ht="15.75" customHeight="1">
      <c r="A16549" s="2" t="s">
        <v>16549</v>
      </c>
      <c r="B16549" s="2" t="str">
        <f>IFERROR(__xludf.DUMMYFUNCTION("GOOGLETRANSLATE(A16549, ""en"", ""mt"")"),"Proġett ta 'kostruzzjoni huwa xibka kumplessa ta' kuntratti u obbligi legali oħra, li kull wieħed minnhom il-partijiet kollha għandhom jikkunsidraw bir-reqqa. Kuntratt huwa l-iskambju ta 'sett ta' obbligi bejn żewġ partijiet jew aktar, iżda mhix kwistjoni"&amp;" daqshekk sempliċi daqs kemm tipprova tikseb in-naħa l-oħra biex taqbel kemm jista 'jkun bi skambju għal kemm jista' jkun. L-element ta 'ħin fil-kostruzzjoni jfisser li dewmien jiswa l-flus, u f'każijiet ta' konġestjonijiet, id-dewmien jista 'jiswa ħafna."&amp;" Għalhekk, il-kuntratti għandhom ikunu ddisinjati biex jiżguraw li kull naħa tkun kapaċi twettaq l-obbligi stabbiliti. Il-kuntratti li jistabbilixxu aspettattivi ċari u mogħdijiet ċari għat-twettiq ta 'dawk l-aspettattivi huma ferm aktar probabbli li jirr"&amp;"iżultaw fil-proġett li jiċċirkola bla xkiel, filwaqt li kuntratti abbozzati ħażin iwasslu għal konfużjoni u kollass.")</f>
        <v>Proġett ta 'kostruzzjoni huwa xibka kumplessa ta' kuntratti u obbligi legali oħra, li kull wieħed minnhom il-partijiet kollha għandhom jikkunsidraw bir-reqqa. Kuntratt huwa l-iskambju ta 'sett ta' obbligi bejn żewġ partijiet jew aktar, iżda mhix kwistjoni daqshekk sempliċi daqs kemm tipprova tikseb in-naħa l-oħra biex taqbel kemm jista 'jkun bi skambju għal kemm jista' jkun. L-element ta 'ħin fil-kostruzzjoni jfisser li dewmien jiswa l-flus, u f'każijiet ta' konġestjonijiet, id-dewmien jista 'jiswa ħafna. Għalhekk, il-kuntratti għandhom ikunu ddisinjati biex jiżguraw li kull naħa tkun kapaċi twettaq l-obbligi stabbiliti. Il-kuntratti li jistabbilixxu aspettattivi ċari u mogħdijiet ċari għat-twettiq ta 'dawk l-aspettattivi huma ferm aktar probabbli li jirriżultaw fil-proġett li jiċċirkola bla xkiel, filwaqt li kuntratti abbozzati ħażin iwasslu għal konfużjoni u kollass.</v>
      </c>
    </row>
    <row r="16550" ht="15.75" customHeight="1">
      <c r="A16550" s="2" t="s">
        <v>16550</v>
      </c>
      <c r="B16550" s="2" t="str">
        <f>IFERROR(__xludf.DUMMYFUNCTION("GOOGLETRANSLATE(A16550, ""en"", ""mt"")"),"il-forza tal-gravità")</f>
        <v>il-forza tal-gravità</v>
      </c>
    </row>
    <row r="16551" ht="15.75" customHeight="1">
      <c r="A16551" s="2" t="s">
        <v>16551</v>
      </c>
      <c r="B16551" s="2" t="str">
        <f>IFERROR(__xludf.DUMMYFUNCTION("GOOGLETRANSLATE(A16551, ""en"", ""mt"")"),"Differenzi fil-valur miżjud minn klassifikazzjonijiet differenti tal-ħaddiema")</f>
        <v>Differenzi fil-valur miżjud minn klassifikazzjonijiet differenti tal-ħaddiema</v>
      </c>
    </row>
    <row r="16552" ht="15.75" customHeight="1">
      <c r="A16552" s="2" t="s">
        <v>16552</v>
      </c>
      <c r="B16552" s="2" t="str">
        <f>IFERROR(__xludf.DUMMYFUNCTION("GOOGLETRANSLATE(A16552, ""en"", ""mt"")"),"QuickBooks sponsorja konkors ta '""Logħba Kbira ta' Negozji Żgħar"", li fih Death Wish Coffee kellu 30 sekonda kummerċjali imxandra mingħajr ħlas b'korteżija ta 'QuickBooks. Death Wish Coffee tħabbat disa 'kontendenti oħra minn madwar l-Istati Uniti għar-"&amp;"riklam b'xejn.")</f>
        <v>QuickBooks sponsorja konkors ta '"Logħba Kbira ta' Negozji Żgħar", li fih Death Wish Coffee kellu 30 sekonda kummerċjali imxandra mingħajr ħlas b'korteżija ta 'QuickBooks. Death Wish Coffee tħabbat disa 'kontendenti oħra minn madwar l-Istati Uniti għar-riklam b'xejn.</v>
      </c>
    </row>
    <row r="16553" ht="15.75" customHeight="1">
      <c r="A16553" s="2" t="s">
        <v>16553</v>
      </c>
      <c r="B16553" s="2" t="str">
        <f>IFERROR(__xludf.DUMMYFUNCTION("GOOGLETRANSLATE(A16553, ""en"", ""mt"")"),"Xkupilji mekkaniċi")</f>
        <v>Xkupilji mekkaniċi</v>
      </c>
    </row>
    <row r="16554" ht="15.75" customHeight="1">
      <c r="A16554" s="2" t="s">
        <v>16554</v>
      </c>
      <c r="B16554" s="2" t="str">
        <f>IFERROR(__xludf.DUMMYFUNCTION("GOOGLETRANSLATE(A16554, ""en"", ""mt"")"),"kmieni fl-1938")</f>
        <v>kmieni fl-1938</v>
      </c>
    </row>
    <row r="16555" ht="15.75" customHeight="1">
      <c r="A16555" s="2" t="s">
        <v>16555</v>
      </c>
      <c r="B16555" s="2" t="str">
        <f>IFERROR(__xludf.DUMMYFUNCTION("GOOGLETRANSLATE(A16555, ""en"", ""mt"")"),"Għall-Librerija Presidenzjali George W. Bush")</f>
        <v>Għall-Librerija Presidenzjali George W. Bush</v>
      </c>
    </row>
    <row r="16556" ht="15.75" customHeight="1">
      <c r="A16556" s="2" t="s">
        <v>16556</v>
      </c>
      <c r="B16556" s="2" t="str">
        <f>IFERROR(__xludf.DUMMYFUNCTION("GOOGLETRANSLATE(A16556, ""en"", ""mt"")"),"Biex ""tiżgura li fl-interpretazzjoni u l-applikazzjoni tat-trattati tkun osservata l-liġi""")</f>
        <v>Biex "tiżgura li fl-interpretazzjoni u l-applikazzjoni tat-trattati tkun osservata l-liġi"</v>
      </c>
    </row>
    <row r="16557" ht="15.75" customHeight="1">
      <c r="A16557" s="2" t="s">
        <v>16557</v>
      </c>
      <c r="B16557" s="2" t="str">
        <f>IFERROR(__xludf.DUMMYFUNCTION("GOOGLETRANSLATE(A16557, ""en"", ""mt"")"),"A → G DEAMINAMINA")</f>
        <v>A → G DEAMINAMINA</v>
      </c>
    </row>
    <row r="16558" ht="15.75" customHeight="1">
      <c r="A16558" s="2" t="s">
        <v>16558</v>
      </c>
      <c r="B16558" s="2" t="str">
        <f>IFERROR(__xludf.DUMMYFUNCTION("GOOGLETRANSLATE(A16558, ""en"", ""mt"")"),"Liema Tim tad-Disinn tal-Għamara Moderna tar-Raġel u l-Mara huma rrappreżentati fil-kollezzjoni tal-għamara V&amp;A?")</f>
        <v>Liema Tim tad-Disinn tal-Għamara Moderna tar-Raġel u l-Mara huma rrappreżentati fil-kollezzjoni tal-għamara V&amp;A?</v>
      </c>
    </row>
    <row r="16559" ht="15.75" customHeight="1">
      <c r="A16559" s="2" t="s">
        <v>16559</v>
      </c>
      <c r="B16559" s="2" t="str">
        <f>IFERROR(__xludf.DUMMYFUNCTION("GOOGLETRANSLATE(A16559, ""en"", ""mt"")"),"Fl-1 ta 'Lulju 1851, inħarġu kitbiet għall-elezzjoni tal-ewwel Kunsill Leġiżlattiv Vittorjan, u l-indipendenza assoluta tar-Rabat minn New South Wales twaqqfet ix-xandir ta' kolonja ġdida tar-Rabat. Jiem wara, għadu fl-1851 id-deheb ġie skopert qrib Balla"&amp;"rat, u sussegwentement f'Bendigo. Aktar tard skoperti f’ħafna siti madwar ir-Rabat. Dan qajjem waħda mill-ikbar għaġġla tad-deheb li qatt rat id-dinja. Il-kolonja kibret malajr kemm fil-popolazzjoni kif ukoll fil-poter ekonomiku. Fl-għaxar snin il-popolaz"&amp;"zjoni ta ’Victoria żdiedet b’seba’ darbiet minn 76,000 għal 540,000. Kull xorta ta 'rekords tad-deheb ġew prodotti inkluż l- ""aktar sinjur ta' goldfield alluvjali baxx fid-dinja"" u l-akbar nugget tad-deheb. Victoria pproduċiet fid-deċennju 1851-1860 20 "&amp;"miljun uqija ta 'deheb, terz tal-produzzjoni tad-dinja [ċitazzjoni meħtieġa].")</f>
        <v>Fl-1 ta 'Lulju 1851, inħarġu kitbiet għall-elezzjoni tal-ewwel Kunsill Leġiżlattiv Vittorjan, u l-indipendenza assoluta tar-Rabat minn New South Wales twaqqfet ix-xandir ta' kolonja ġdida tar-Rabat. Jiem wara, għadu fl-1851 id-deheb ġie skopert qrib Ballarat, u sussegwentement f'Bendigo. Aktar tard skoperti f’ħafna siti madwar ir-Rabat. Dan qajjem waħda mill-ikbar għaġġla tad-deheb li qatt rat id-dinja. Il-kolonja kibret malajr kemm fil-popolazzjoni kif ukoll fil-poter ekonomiku. Fl-għaxar snin il-popolazzjoni ta ’Victoria żdiedet b’seba’ darbiet minn 76,000 għal 540,000. Kull xorta ta 'rekords tad-deheb ġew prodotti inkluż l- "aktar sinjur ta' goldfield alluvjali baxx fid-dinja" u l-akbar nugget tad-deheb. Victoria pproduċiet fid-deċennju 1851-1860 20 miljun uqija ta 'deheb, terz tal-produzzjoni tad-dinja [ċitazzjoni meħtieġa].</v>
      </c>
    </row>
    <row r="16560" ht="15.75" customHeight="1">
      <c r="A16560" s="2" t="s">
        <v>16560</v>
      </c>
      <c r="B16560" s="2" t="str">
        <f>IFERROR(__xludf.DUMMYFUNCTION("GOOGLETRANSLATE(A16560, ""en"", ""mt"")"),"Alka")</f>
        <v>Alka</v>
      </c>
    </row>
    <row r="16561" ht="15.75" customHeight="1">
      <c r="A16561" s="2" t="s">
        <v>16561</v>
      </c>
      <c r="B16561" s="2" t="str">
        <f>IFERROR(__xludf.DUMMYFUNCTION("GOOGLETRANSLATE(A16561, ""en"", ""mt"")"),"90,790 tunnellata")</f>
        <v>90,790 tunnellata</v>
      </c>
    </row>
    <row r="16562" ht="15.75" customHeight="1">
      <c r="A16562" s="2" t="s">
        <v>16562</v>
      </c>
      <c r="B16562" s="2" t="str">
        <f>IFERROR(__xludf.DUMMYFUNCTION("GOOGLETRANSLATE(A16562, ""en"", ""mt"")"),"Tama għal kampanji fuq il-Lag Ontario")</f>
        <v>Tama għal kampanji fuq il-Lag Ontario</v>
      </c>
    </row>
    <row r="16563" ht="15.75" customHeight="1">
      <c r="A16563" s="2" t="s">
        <v>16563</v>
      </c>
      <c r="B16563" s="2" t="str">
        <f>IFERROR(__xludf.DUMMYFUNCTION("GOOGLETRANSLATE(A16563, ""en"", ""mt"")"),"Il-Knisja Metodista Magħquda, flimkien ma 'knejjes Metodisti oħra, tikkundanna l-piena kapitali, u tgħid li ma tistax taċċetta ritribuzzjoni jew vendetta soċjali bħala raġuni biex tieħu l-ħajja tal-bniedem. Il-knisja tgħid ukoll li l-piena tal-mewt taqa '"&amp;"b'mod inġust u mhux ugwali fuq persuni emarġinati inklużi l-foqra, il-minoranzi mhux edukati, etniċi u reliġjużi, u persuni b'mard mentali u emozzjonali. Il-Knisja Metodista Magħquda temmen ukoll li Ġesù rrifjuta b’mod espliċitu l-Lex Talionis f’Mattew 5:"&amp;" 38-39 u abolixxa l-piena tal-mewt fi Ġwanni 8: 7. Il-Konferenza Ġenerali tal-Knisja Metodista Magħquda titlob li l-isqfijiet tagħha jżommu l-oppożizzjoni għall-piena kapitali u biex il-gvernijiet jippromulgaw moratorju immedjat fit-twettiq tas-sentenza t"&amp;"al-piena tal-mewt.")</f>
        <v>Il-Knisja Metodista Magħquda, flimkien ma 'knejjes Metodisti oħra, tikkundanna l-piena kapitali, u tgħid li ma tistax taċċetta ritribuzzjoni jew vendetta soċjali bħala raġuni biex tieħu l-ħajja tal-bniedem. Il-knisja tgħid ukoll li l-piena tal-mewt taqa 'b'mod inġust u mhux ugwali fuq persuni emarġinati inklużi l-foqra, il-minoranzi mhux edukati, etniċi u reliġjużi, u persuni b'mard mentali u emozzjonali. Il-Knisja Metodista Magħquda temmen ukoll li Ġesù rrifjuta b’mod espliċitu l-Lex Talionis f’Mattew 5: 38-39 u abolixxa l-piena tal-mewt fi Ġwanni 8: 7. Il-Konferenza Ġenerali tal-Knisja Metodista Magħquda titlob li l-isqfijiet tagħha jżommu l-oppożizzjoni għall-piena kapitali u biex il-gvernijiet jippromulgaw moratorju immedjat fit-twettiq tas-sentenza tal-piena tal-mewt.</v>
      </c>
    </row>
    <row r="16564" ht="15.75" customHeight="1">
      <c r="A16564" s="2" t="s">
        <v>16564</v>
      </c>
      <c r="B16564" s="2" t="str">
        <f>IFERROR(__xludf.DUMMYFUNCTION("GOOGLETRANSLATE(A16564, ""en"", ""mt"")"),"Wara s-sitt priedka")</f>
        <v>Wara s-sitt priedka</v>
      </c>
    </row>
    <row r="16565" ht="15.75" customHeight="1">
      <c r="A16565" s="2" t="s">
        <v>16565</v>
      </c>
      <c r="B16565" s="2" t="str">
        <f>IFERROR(__xludf.DUMMYFUNCTION("GOOGLETRANSLATE(A16565, ""en"", ""mt"")"),"dgħajjes tal-fwar u vetturi tat-triq")</f>
        <v>dgħajjes tal-fwar u vetturi tat-triq</v>
      </c>
    </row>
    <row r="16566" ht="15.75" customHeight="1">
      <c r="A16566" s="2" t="s">
        <v>16566</v>
      </c>
      <c r="B16566" s="2" t="str">
        <f>IFERROR(__xludf.DUMMYFUNCTION("GOOGLETRANSLATE(A16566, ""en"", ""mt"")"),"difensini")</f>
        <v>difensini</v>
      </c>
    </row>
    <row r="16567" ht="15.75" customHeight="1">
      <c r="A16567" s="2" t="s">
        <v>16567</v>
      </c>
      <c r="B16567" s="2" t="str">
        <f>IFERROR(__xludf.DUMMYFUNCTION("GOOGLETRANSLATE(A16567, ""en"", ""mt"")"),"X'jagħmlu David Castlles-Quintana u Vicente Royuela għal għajxien?")</f>
        <v>X'jagħmlu David Castlles-Quintana u Vicente Royuela għal għajxien?</v>
      </c>
    </row>
    <row r="16568" ht="15.75" customHeight="1">
      <c r="A16568" s="2" t="s">
        <v>16568</v>
      </c>
      <c r="B16568" s="2" t="str">
        <f>IFERROR(__xludf.DUMMYFUNCTION("GOOGLETRANSLATE(A16568, ""en"", ""mt"")"),"Ħodor")</f>
        <v>Ħodor</v>
      </c>
    </row>
    <row r="16569" ht="15.75" customHeight="1">
      <c r="A16569" s="2" t="s">
        <v>16569</v>
      </c>
      <c r="B16569" s="2" t="str">
        <f>IFERROR(__xludf.DUMMYFUNCTION("GOOGLETRANSLATE(A16569, ""en"", ""mt"")"),"dgħajjef ħafna")</f>
        <v>dgħajjef ħafna</v>
      </c>
    </row>
    <row r="16570" ht="15.75" customHeight="1">
      <c r="A16570" s="2" t="s">
        <v>16570</v>
      </c>
      <c r="B16570" s="2" t="str">
        <f>IFERROR(__xludf.DUMMYFUNCTION("GOOGLETRANSLATE(A16570, ""en"", ""mt"")"),"ħama")</f>
        <v>ħama</v>
      </c>
    </row>
    <row r="16571" ht="15.75" customHeight="1">
      <c r="A16571" s="2" t="s">
        <v>16571</v>
      </c>
      <c r="B16571" s="2" t="str">
        <f>IFERROR(__xludf.DUMMYFUNCTION("GOOGLETRANSLATE(A16571, ""en"", ""mt"")"),"Perjodu kwaternarju")</f>
        <v>Perjodu kwaternarju</v>
      </c>
    </row>
    <row r="16572" ht="15.75" customHeight="1">
      <c r="A16572" s="2" t="s">
        <v>16572</v>
      </c>
      <c r="B16572" s="2" t="str">
        <f>IFERROR(__xludf.DUMMYFUNCTION("GOOGLETRANSLATE(A16572, ""en"", ""mt"")"),"Erba 'stejjer għoljin")</f>
        <v>Erba 'stejjer għoljin</v>
      </c>
    </row>
    <row r="16573" ht="15.75" customHeight="1">
      <c r="A16573" s="2" t="s">
        <v>16573</v>
      </c>
      <c r="B16573" s="2" t="str">
        <f>IFERROR(__xludf.DUMMYFUNCTION("GOOGLETRANSLATE(A16573, ""en"", ""mt"")"),"Meta l-bennejja jitolbu ftit flus biex jitlestew il-proġett")</f>
        <v>Meta l-bennejja jitolbu ftit flus biex jitlestew il-proġett</v>
      </c>
    </row>
    <row r="16574" ht="15.75" customHeight="1">
      <c r="A16574" s="2" t="s">
        <v>16574</v>
      </c>
      <c r="B16574" s="2" t="str">
        <f>IFERROR(__xludf.DUMMYFUNCTION("GOOGLETRANSLATE(A16574, ""en"", ""mt"")"),"Kif akkwistaw il-Mongoli Teknoloġija tal-Istampar Ċiniża?")</f>
        <v>Kif akkwistaw il-Mongoli Teknoloġija tal-Istampar Ċiniża?</v>
      </c>
    </row>
    <row r="16575" ht="15.75" customHeight="1">
      <c r="A16575" s="2" t="s">
        <v>16575</v>
      </c>
      <c r="B16575" s="2" t="str">
        <f>IFERROR(__xludf.DUMMYFUNCTION("GOOGLETRANSLATE(A16575, ""en"", ""mt"")"),"Dipartimenti tat-Teknoloġija tal-Informazzjoni jew għal kumpaniji tal-bejjiegħ tat-teknoloġija tal-informazzjoni dwar il-kura tas-saħħa")</f>
        <v>Dipartimenti tat-Teknoloġija tal-Informazzjoni jew għal kumpaniji tal-bejjiegħ tat-teknoloġija tal-informazzjoni dwar il-kura tas-saħħa</v>
      </c>
    </row>
    <row r="16576" ht="15.75" customHeight="1">
      <c r="A16576" s="2" t="s">
        <v>16576</v>
      </c>
      <c r="B16576" s="2" t="str">
        <f>IFERROR(__xludf.DUMMYFUNCTION("GOOGLETRANSLATE(A16576, ""en"", ""mt"")"),"Parlament tar-Rabat")</f>
        <v>Parlament tar-Rabat</v>
      </c>
    </row>
    <row r="16577" ht="15.75" customHeight="1">
      <c r="A16577" s="2" t="s">
        <v>16577</v>
      </c>
      <c r="B16577" s="2" t="str">
        <f>IFERROR(__xludf.DUMMYFUNCTION("GOOGLETRANSLATE(A16577, ""en"", ""mt"")"),"jerġa 'lura għall-ewwel Ħamis ta' Mejju, multiplu ta 'erba' snin wara l-1999")</f>
        <v>jerġa 'lura għall-ewwel Ħamis ta' Mejju, multiplu ta 'erba' snin wara l-1999</v>
      </c>
    </row>
    <row r="16578" ht="15.75" customHeight="1">
      <c r="A16578" s="2" t="s">
        <v>16578</v>
      </c>
      <c r="B16578" s="2" t="str">
        <f>IFERROR(__xludf.DUMMYFUNCTION("GOOGLETRANSLATE(A16578, ""en"", ""mt"")"),"L-esperimenti tiegħu ta 'Colorado Springs")</f>
        <v>L-esperimenti tiegħu ta 'Colorado Springs</v>
      </c>
    </row>
    <row r="16579" ht="15.75" customHeight="1">
      <c r="A16579" s="2" t="s">
        <v>16579</v>
      </c>
      <c r="B16579" s="2" t="str">
        <f>IFERROR(__xludf.DUMMYFUNCTION("GOOGLETRANSLATE(A16579, ""en"", ""mt"")"),"pistun")</f>
        <v>pistun</v>
      </c>
    </row>
    <row r="16580" ht="15.75" customHeight="1">
      <c r="A16580" s="2" t="s">
        <v>16580</v>
      </c>
      <c r="B16580" s="2" t="str">
        <f>IFERROR(__xludf.DUMMYFUNCTION("GOOGLETRANSLATE(A16580, ""en"", ""mt"")"),"Algoritmu RSA")</f>
        <v>Algoritmu RSA</v>
      </c>
    </row>
    <row r="16581" ht="15.75" customHeight="1">
      <c r="A16581" s="2" t="s">
        <v>16581</v>
      </c>
      <c r="B16581" s="2" t="str">
        <f>IFERROR(__xludf.DUMMYFUNCTION("GOOGLETRANSLATE(A16581, ""en"", ""mt"")"),"F'Lulju 1960, id-deputat amministratur tan-NASA Hugh L. Dryden ħabbar il-programm Apollo lir-rappreżentanti tal-industrija f'serje ta 'konferenzi tal-grupp ta' kompiti spazjali. L-ispeċifikazzjonijiet preliminari ġew stabbiliti għal vettura spazjali b'kab"&amp;"ina tal-modulu tal-missjoni separata mill-modulu tal-kmand (pilota u kabina tad-dħul mill-ġdid), u modulu ta 'propulsjoni u tagħmir. Fit-30 ta 'Awwissu, tħabbret kompetizzjoni ta' studju ta 'fattibilità, u fil-25 ta' Ottubru, ġew mogħtija tliet kuntratti "&amp;"ta 'studju lil General Dynamics / Convair, General Electric, u l-Kumpanija Glenn L. Martin. Sadanittant, in-NASA wettqet studji tad-disinn spazjali tagħha stess immexxija minn Maxime Faget, biex isservi bħala gauge biex tiġġudika u tissorvelja t-tliet dis"&amp;"inji tal-industrija.")</f>
        <v>F'Lulju 1960, id-deputat amministratur tan-NASA Hugh L. Dryden ħabbar il-programm Apollo lir-rappreżentanti tal-industrija f'serje ta 'konferenzi tal-grupp ta' kompiti spazjali. L-ispeċifikazzjonijiet preliminari ġew stabbiliti għal vettura spazjali b'kabina tal-modulu tal-missjoni separata mill-modulu tal-kmand (pilota u kabina tad-dħul mill-ġdid), u modulu ta 'propulsjoni u tagħmir. Fit-30 ta 'Awwissu, tħabbret kompetizzjoni ta' studju ta 'fattibilità, u fil-25 ta' Ottubru, ġew mogħtija tliet kuntratti ta 'studju lil General Dynamics / Convair, General Electric, u l-Kumpanija Glenn L. Martin. Sadanittant, in-NASA wettqet studji tad-disinn spazjali tagħha stess immexxija minn Maxime Faget, biex isservi bħala gauge biex tiġġudika u tissorvelja t-tliet disinji tal-industrija.</v>
      </c>
    </row>
    <row r="16582" ht="15.75" customHeight="1">
      <c r="A16582" s="2" t="s">
        <v>16582</v>
      </c>
      <c r="B16582" s="2" t="str">
        <f>IFERROR(__xludf.DUMMYFUNCTION("GOOGLETRANSLATE(A16582, ""en"", ""mt"")"),"it-tmiem dojoq")</f>
        <v>it-tmiem dojoq</v>
      </c>
    </row>
    <row r="16583" ht="15.75" customHeight="1">
      <c r="A16583" s="2" t="s">
        <v>16583</v>
      </c>
      <c r="B16583" s="2" t="str">
        <f>IFERROR(__xludf.DUMMYFUNCTION("GOOGLETRANSLATE(A16583, ""en"", ""mt"")"),"Fil-modalità mingħajr konnessjoni kull pakkett jinkludi informazzjoni kompluta dwar l-indirizzar. Il-pakketti huma mgħoddija individwalment, u xi kultant jirriżultaw fi mogħdijiet differenti u kunsinna barra mill-ordni. Kull pakkett huwa ttikkettjat b'ind"&amp;"irizz ta 'destinazzjoni, indirizz tas-sors, u numri tal-port. Jista 'jkun ukoll ittikkettat bin-numru tas-sekwenza tal-pakkett. Dan jipprekludi l-ħtieġa għal triq iddedikata biex tgħin lill-pakkett isib triqtu lejn id-destinazzjoni tiegħu, iżda jfisser li"&amp;" hemm bżonn ta 'ħafna aktar informazzjoni fl-intestatura tal-pakkett, li hija għalhekk ikbar, u din l-informazzjoni teħtieġ li titħares fil-kontenut bil-ġuħ tal-enerġija Memorja Addressabbli. Kull pakkett jintbagħat u jista 'jmur permezz ta' rotot differe"&amp;"nti; Potenzjalment, is-sistema trid tagħmel daqshekk xogħol għal kull pakkett kif is-sistema orjentata lejn il-konnessjoni għandha tagħmel f'konnessjoni stabbilita, iżda b'inqas informazzjoni dwar ir-rekwiżiti tal-applikazzjoni. Fid-destinazzjoni, il-mess"&amp;"aġġ / dejta oriġinali huwa mmuntat mill-ġdid fl-ordni korretta, ibbażat fuq in-numru tas-sekwenza tal-pakketti. Għalhekk konnessjoni virtwali, magħrufa wkoll bħala ċirkwit virtwali jew fluss ta 'byte hija pprovduta lill-utent aħħari minn protokoll ta' saf"&amp;"f tat-trasport, għalkemm l-għoqiedi tan-netwerk intermedju jipprovdi biss servizz ta 'saff ta' netwerk mingħajr konnessjoni.")</f>
        <v>Fil-modalità mingħajr konnessjoni kull pakkett jinkludi informazzjoni kompluta dwar l-indirizzar. Il-pakketti huma mgħoddija individwalment, u xi kultant jirriżultaw fi mogħdijiet differenti u kunsinna barra mill-ordni. Kull pakkett huwa ttikkettjat b'indirizz ta 'destinazzjoni, indirizz tas-sors, u numri tal-port. Jista 'jkun ukoll ittikkettat bin-numru tas-sekwenza tal-pakkett. Dan jipprekludi l-ħtieġa għal triq iddedikata biex tgħin lill-pakkett isib triqtu lejn id-destinazzjoni tiegħu, iżda jfisser li hemm bżonn ta 'ħafna aktar informazzjoni fl-intestatura tal-pakkett, li hija għalhekk ikbar, u din l-informazzjoni teħtieġ li titħares fil-kontenut bil-ġuħ tal-enerġija Memorja Addressabbli. Kull pakkett jintbagħat u jista 'jmur permezz ta' rotot differenti; Potenzjalment, is-sistema trid tagħmel daqshekk xogħol għal kull pakkett kif is-sistema orjentata lejn il-konnessjoni għandha tagħmel f'konnessjoni stabbilita, iżda b'inqas informazzjoni dwar ir-rekwiżiti tal-applikazzjoni. Fid-destinazzjoni, il-messaġġ / dejta oriġinali huwa mmuntat mill-ġdid fl-ordni korretta, ibbażat fuq in-numru tas-sekwenza tal-pakketti. Għalhekk konnessjoni virtwali, magħrufa wkoll bħala ċirkwit virtwali jew fluss ta 'byte hija pprovduta lill-utent aħħari minn protokoll ta' saff tat-trasport, għalkemm l-għoqiedi tan-netwerk intermedju jipprovdi biss servizz ta 'saff ta' netwerk mingħajr konnessjoni.</v>
      </c>
    </row>
    <row r="16584" ht="15.75" customHeight="1">
      <c r="A16584" s="2" t="s">
        <v>16584</v>
      </c>
      <c r="B16584" s="2" t="str">
        <f>IFERROR(__xludf.DUMMYFUNCTION("GOOGLETRANSLATE(A16584, ""en"", ""mt"")"),"Fil-75 anniversarju ta 'Tesla fl-1931, Time Magazine poġġietu fuq il-qoxra tiegħu. Il-cover caption ""id-dinja kollha tad-dinja tiegħu"" innota l-kontribut tiegħu għall-ġenerazzjoni tal-enerġija elettrika. Huwa rċieva ittri ta 'awguri minn aktar minn 70 p"&amp;"ijunier fix-xjenza u l-inġinerija, inkluż Albert Einstein.")</f>
        <v>Fil-75 anniversarju ta 'Tesla fl-1931, Time Magazine poġġietu fuq il-qoxra tiegħu. Il-cover caption "id-dinja kollha tad-dinja tiegħu" innota l-kontribut tiegħu għall-ġenerazzjoni tal-enerġija elettrika. Huwa rċieva ittri ta 'awguri minn aktar minn 70 pijunier fix-xjenza u l-inġinerija, inkluż Albert Einstein.</v>
      </c>
    </row>
    <row r="16585" ht="15.75" customHeight="1">
      <c r="A16585" s="2" t="s">
        <v>16585</v>
      </c>
      <c r="B16585" s="2" t="str">
        <f>IFERROR(__xludf.DUMMYFUNCTION("GOOGLETRANSLATE(A16585, ""en"", ""mt"")"),"Il-frizzjoni statika tibbilanċja liema forza meta ma jkun hemm l-ebda moviment ta 'oġġett fuq wiċċ?")</f>
        <v>Il-frizzjoni statika tibbilanċja liema forza meta ma jkun hemm l-ebda moviment ta 'oġġett fuq wiċċ?</v>
      </c>
    </row>
    <row r="16586" ht="15.75" customHeight="1">
      <c r="A16586" s="2" t="s">
        <v>16586</v>
      </c>
      <c r="B16586" s="2" t="str">
        <f>IFERROR(__xludf.DUMMYFUNCTION("GOOGLETRANSLATE(A16586, ""en"", ""mt"")"),"tenfasizza l-użu taċ-ċikliżmu")</f>
        <v>tenfasizza l-użu taċ-ċikliżmu</v>
      </c>
    </row>
    <row r="16587" ht="15.75" customHeight="1">
      <c r="A16587" s="2" t="s">
        <v>16587</v>
      </c>
      <c r="B16587" s="2" t="str">
        <f>IFERROR(__xludf.DUMMYFUNCTION("GOOGLETRANSLATE(A16587, ""en"", ""mt"")"),"Alka ħamra")</f>
        <v>Alka ħamra</v>
      </c>
    </row>
    <row r="16588" ht="15.75" customHeight="1">
      <c r="A16588" s="2" t="s">
        <v>16588</v>
      </c>
      <c r="B16588" s="2" t="str">
        <f>IFERROR(__xludf.DUMMYFUNCTION("GOOGLETRANSLATE(A16588, ""en"", ""mt"")"),"Fejn tgħid it-teorija sekondarja li ħafna ġeni jinżammu?")</f>
        <v>Fejn tgħid it-teorija sekondarja li ħafna ġeni jinżammu?</v>
      </c>
    </row>
    <row r="16589" ht="15.75" customHeight="1">
      <c r="A16589" s="2" t="s">
        <v>16589</v>
      </c>
      <c r="B16589" s="2" t="str">
        <f>IFERROR(__xludf.DUMMYFUNCTION("GOOGLETRANSLATE(A16589, ""en"", ""mt"")"),"Lil min sejħet Tesla f'nofs il-lejl?")</f>
        <v>Lil min sejħet Tesla f'nofs il-lejl?</v>
      </c>
    </row>
    <row r="16590" ht="15.75" customHeight="1">
      <c r="A16590" s="2" t="s">
        <v>16590</v>
      </c>
      <c r="B16590" s="2" t="str">
        <f>IFERROR(__xludf.DUMMYFUNCTION("GOOGLETRANSLATE(A16590, ""en"", ""mt"")"),"Nukleomorf")</f>
        <v>Nukleomorf</v>
      </c>
    </row>
    <row r="16591" ht="15.75" customHeight="1">
      <c r="A16591" s="2" t="s">
        <v>16591</v>
      </c>
      <c r="B16591" s="2" t="str">
        <f>IFERROR(__xludf.DUMMYFUNCTION("GOOGLETRANSLATE(A16591, ""en"", ""mt"")"),"Parlament Skoċċiż")</f>
        <v>Parlament Skoċċiż</v>
      </c>
    </row>
    <row r="16592" ht="15.75" customHeight="1">
      <c r="A16592" s="2" t="s">
        <v>16592</v>
      </c>
      <c r="B16592" s="2" t="str">
        <f>IFERROR(__xludf.DUMMYFUNCTION("GOOGLETRANSLATE(A16592, ""en"", ""mt"")"),"X'ġara mill-kredibilità tal-politika sekulari bħala riżultat tal-gwerra ta 'sitt ijiem?")</f>
        <v>X'ġara mill-kredibilità tal-politika sekulari bħala riżultat tal-gwerra ta 'sitt ijiem?</v>
      </c>
    </row>
    <row r="16593" ht="15.75" customHeight="1">
      <c r="A16593" s="2" t="s">
        <v>16593</v>
      </c>
      <c r="B16593" s="2" t="str">
        <f>IFERROR(__xludf.DUMMYFUNCTION("GOOGLETRANSLATE(A16593, ""en"", ""mt"")"),"L-idea kienet li tinħoloq netwerk ta 'kanali kollha kemm huma u parzjalment, u affiljati biex jerġgħu jerġgħu jikkalmaw il-programmi tan-netwerk. Fl-1959, din l-attività mill-ġdid tlestiet bis-sindikazzjoni tal-programm, bil-films ABC ibigħu programmi lil"&amp;" netwerks mhux proprjetà ta 'ABC. Il-wasla tat-televiżjoni bis-satellita temmet il-ħtieġa li l-ABC iżomm interessi f'pajjiżi oħra; Bosta gvernijiet riedu wkoll iżidu l-indipendenza tagħhom u jsaħħu l-leġiżlazzjoni biex jillimitaw is-sjieda barranija tal-p"&amp;"roprjetajiet tax-xandir. Bħala riżultat, ABC ġie mġiegħel ibiegħ l-interessi kollha tiegħu f'netwerks internazzjonali, l-aktar fil-Ġappun u l-Amerika Latina, fis-snin sebgħin.")</f>
        <v>L-idea kienet li tinħoloq netwerk ta 'kanali kollha kemm huma u parzjalment, u affiljati biex jerġgħu jerġgħu jikkalmaw il-programmi tan-netwerk. Fl-1959, din l-attività mill-ġdid tlestiet bis-sindikazzjoni tal-programm, bil-films ABC ibigħu programmi lil netwerks mhux proprjetà ta 'ABC. Il-wasla tat-televiżjoni bis-satellita temmet il-ħtieġa li l-ABC iżomm interessi f'pajjiżi oħra; Bosta gvernijiet riedu wkoll iżidu l-indipendenza tagħhom u jsaħħu l-leġiżlazzjoni biex jillimitaw is-sjieda barranija tal-proprjetajiet tax-xandir. Bħala riżultat, ABC ġie mġiegħel ibiegħ l-interessi kollha tiegħu f'netwerks internazzjonali, l-aktar fil-Ġappun u l-Amerika Latina, fis-snin sebgħin.</v>
      </c>
    </row>
    <row r="16594" ht="15.75" customHeight="1">
      <c r="A16594" s="2" t="s">
        <v>16594</v>
      </c>
      <c r="B16594" s="2" t="str">
        <f>IFERROR(__xludf.DUMMYFUNCTION("GOOGLETRANSLATE(A16594, ""en"", ""mt"")"),"industrija")</f>
        <v>industrija</v>
      </c>
    </row>
    <row r="16595" ht="15.75" customHeight="1">
      <c r="A16595" s="2" t="s">
        <v>16595</v>
      </c>
      <c r="B16595" s="2" t="str">
        <f>IFERROR(__xludf.DUMMYFUNCTION("GOOGLETRANSLATE(A16595, ""en"", ""mt"")"),"Il-materjal fil-kollezzjoni tat-teatru V&amp;A huwa disponibbli għal liema użu?")</f>
        <v>Il-materjal fil-kollezzjoni tat-teatru V&amp;A huwa disponibbli għal liema użu?</v>
      </c>
    </row>
    <row r="16596" ht="15.75" customHeight="1">
      <c r="A16596" s="2" t="s">
        <v>16596</v>
      </c>
      <c r="B16596" s="2" t="str">
        <f>IFERROR(__xludf.DUMMYFUNCTION("GOOGLETRANSLATE(A16596, ""en"", ""mt"")"),"Attakk Amerikan fuq l-Iraq")</f>
        <v>Attakk Amerikan fuq l-Iraq</v>
      </c>
    </row>
    <row r="16597" ht="15.75" customHeight="1">
      <c r="A16597" s="2" t="s">
        <v>16597</v>
      </c>
      <c r="B16597" s="2" t="str">
        <f>IFERROR(__xludf.DUMMYFUNCTION("GOOGLETRANSLATE(A16597, ""en"", ""mt"")"),"L-istennija tal-ħajja hija inqas")</f>
        <v>L-istennija tal-ħajja hija inqas</v>
      </c>
    </row>
    <row r="16598" ht="15.75" customHeight="1">
      <c r="A16598" s="2" t="s">
        <v>16598</v>
      </c>
      <c r="B16598" s="2" t="str">
        <f>IFERROR(__xludf.DUMMYFUNCTION("GOOGLETRANSLATE(A16598, ""en"", ""mt"")"),"Aktar minn 100 università")</f>
        <v>Aktar minn 100 università</v>
      </c>
    </row>
    <row r="16599" ht="15.75" customHeight="1">
      <c r="A16599" s="2" t="s">
        <v>16599</v>
      </c>
      <c r="B16599" s="2" t="str">
        <f>IFERROR(__xludf.DUMMYFUNCTION("GOOGLETRANSLATE(A16599, ""en"", ""mt"")"),"X'kienet imwettqa fuq missjonijiet lunari estiżi?")</f>
        <v>X'kienet imwettqa fuq missjonijiet lunari estiżi?</v>
      </c>
    </row>
    <row r="16600" ht="15.75" customHeight="1">
      <c r="A16600" s="2" t="s">
        <v>16600</v>
      </c>
      <c r="B16600" s="2" t="str">
        <f>IFERROR(__xludf.DUMMYFUNCTION("GOOGLETRANSLATE(A16600, ""en"", ""mt"")"),"Iffissat")</f>
        <v>Iffissat</v>
      </c>
    </row>
    <row r="16601" ht="15.75" customHeight="1">
      <c r="A16601" s="2" t="s">
        <v>16601</v>
      </c>
      <c r="B16601" s="2" t="str">
        <f>IFERROR(__xludf.DUMMYFUNCTION("GOOGLETRANSLATE(A16601, ""en"", ""mt"")"),"Il-foresta tropikali tnaqqset")</f>
        <v>Il-foresta tropikali tnaqqset</v>
      </c>
    </row>
    <row r="16602" ht="15.75" customHeight="1">
      <c r="A16602" s="2" t="s">
        <v>16602</v>
      </c>
      <c r="B16602" s="2" t="str">
        <f>IFERROR(__xludf.DUMMYFUNCTION("GOOGLETRANSLATE(A16602, ""en"", ""mt"")"),"Għaliex xi rġiel evitaw li jsiru għalliema?")</f>
        <v>Għaliex xi rġiel evitaw li jsiru għalliema?</v>
      </c>
    </row>
    <row r="16603" ht="15.75" customHeight="1">
      <c r="A16603" s="2" t="s">
        <v>16603</v>
      </c>
      <c r="B16603" s="2" t="str">
        <f>IFERROR(__xludf.DUMMYFUNCTION("GOOGLETRANSLATE(A16603, ""en"", ""mt"")"),"Tqassim tat-Triq Medjevali.")</f>
        <v>Tqassim tat-Triq Medjevali.</v>
      </c>
    </row>
    <row r="16604" ht="15.75" customHeight="1">
      <c r="A16604" s="2" t="s">
        <v>16604</v>
      </c>
      <c r="B16604" s="2" t="str">
        <f>IFERROR(__xludf.DUMMYFUNCTION("GOOGLETRANSLATE(A16604, ""en"", ""mt"")"),"valur assolut")</f>
        <v>valur assolut</v>
      </c>
    </row>
    <row r="16605" ht="15.75" customHeight="1">
      <c r="A16605" s="2" t="s">
        <v>16605</v>
      </c>
      <c r="B16605" s="2" t="str">
        <f>IFERROR(__xludf.DUMMYFUNCTION("GOOGLETRANSLATE(A16605, ""en"", ""mt"")"),"Liema organizzazzjoni rranġat għall-fondazzjoni tal-iskola?")</f>
        <v>Liema organizzazzjoni rranġat għall-fondazzjoni tal-iskola?</v>
      </c>
    </row>
    <row r="16606" ht="15.75" customHeight="1">
      <c r="A16606" s="2" t="s">
        <v>16606</v>
      </c>
      <c r="B16606" s="2" t="str">
        <f>IFERROR(__xludf.DUMMYFUNCTION("GOOGLETRANSLATE(A16606, ""en"", ""mt"")"),"X'inhi l-problema attribwita għad-definizzjoni jekk żewġ graffs finiti huma iżomorfi?")</f>
        <v>X'inhi l-problema attribwita għad-definizzjoni jekk żewġ graffs finiti huma iżomorfi?</v>
      </c>
    </row>
    <row r="16607" ht="15.75" customHeight="1">
      <c r="A16607" s="2" t="s">
        <v>16607</v>
      </c>
      <c r="B16607" s="2" t="str">
        <f>IFERROR(__xludf.DUMMYFUNCTION("GOOGLETRANSLATE(A16607, ""en"", ""mt"")"),"Li taċċetta l-ħabs b'mod penitenti bħala adeżjoni għal 'Ir-Regoli' hija li taqleb f'daqqa għal spirtu ta 'sussistenza")</f>
        <v>Li taċċetta l-ħabs b'mod penitenti bħala adeżjoni għal 'Ir-Regoli' hija li taqleb f'daqqa għal spirtu ta 'sussistenza</v>
      </c>
    </row>
    <row r="16608" ht="15.75" customHeight="1">
      <c r="A16608" s="2" t="s">
        <v>16608</v>
      </c>
      <c r="B16608" s="2" t="str">
        <f>IFERROR(__xludf.DUMMYFUNCTION("GOOGLETRANSLATE(A16608, ""en"", ""mt"")"),"Lil dak li Tesla attribwixxiet is-sinjali mhux magħrufa li rċeviet ir-radju tiegħu?")</f>
        <v>Lil dak li Tesla attribwixxiet is-sinjali mhux magħrufa li rċeviet ir-radju tiegħu?</v>
      </c>
    </row>
    <row r="16609" ht="15.75" customHeight="1">
      <c r="A16609" s="2" t="s">
        <v>16609</v>
      </c>
      <c r="B16609" s="2" t="str">
        <f>IFERROR(__xludf.DUMMYFUNCTION("GOOGLETRANSLATE(A16609, ""en"", ""mt"")"),"X'tip ta 'finzjoni tidher ix-xogħol ta' Tesla?")</f>
        <v>X'tip ta 'finzjoni tidher ix-xogħol ta' Tesla?</v>
      </c>
    </row>
    <row r="16610" ht="15.75" customHeight="1">
      <c r="A16610" s="2" t="s">
        <v>16610</v>
      </c>
      <c r="B16610" s="2" t="str">
        <f>IFERROR(__xludf.DUMMYFUNCTION("GOOGLETRANSLATE(A16610, ""en"", ""mt"")"),"funzjoni tad-daqs tal-istanza")</f>
        <v>funzjoni tad-daqs tal-istanza</v>
      </c>
    </row>
    <row r="16611" ht="15.75" customHeight="1">
      <c r="A16611" s="2" t="s">
        <v>16611</v>
      </c>
      <c r="B16611" s="2" t="str">
        <f>IFERROR(__xludf.DUMMYFUNCTION("GOOGLETRANSLATE(A16611, ""en"", ""mt"")"),"Jekk l-NP mhuwiex daqs P, meqjus permezz ta 'din il-lenti, x'tip ta' problemi jistgħu wkoll jitqiesu intrattabbli?")</f>
        <v>Jekk l-NP mhuwiex daqs P, meqjus permezz ta 'din il-lenti, x'tip ta' problemi jistgħu wkoll jitqiesu intrattabbli?</v>
      </c>
    </row>
    <row r="16612" ht="15.75" customHeight="1">
      <c r="A16612" s="2" t="s">
        <v>16612</v>
      </c>
      <c r="B16612" s="2" t="str">
        <f>IFERROR(__xludf.DUMMYFUNCTION("GOOGLETRANSLATE(A16612, ""en"", ""mt"")"),"Imsejjaħ wara r-Reġina Victoria u l-Prinċep Albert")</f>
        <v>Imsejjaħ wara r-Reġina Victoria u l-Prinċep Albert</v>
      </c>
    </row>
    <row r="16613" ht="15.75" customHeight="1">
      <c r="A16613" s="2" t="s">
        <v>16613</v>
      </c>
      <c r="B16613" s="2" t="str">
        <f>IFERROR(__xludf.DUMMYFUNCTION("GOOGLETRANSLATE(A16613, ""en"", ""mt"")"),"Ankra l-kopertura ta 'qabel il-logħba u l-mistrieħ")</f>
        <v>Ankra l-kopertura ta 'qabel il-logħba u l-mistrieħ</v>
      </c>
    </row>
    <row r="16614" ht="15.75" customHeight="1">
      <c r="A16614" s="2" t="s">
        <v>16614</v>
      </c>
      <c r="B16614" s="2" t="str">
        <f>IFERROR(__xludf.DUMMYFUNCTION("GOOGLETRANSLATE(A16614, ""en"", ""mt"")"),"forza tal-gravità")</f>
        <v>forza tal-gravità</v>
      </c>
    </row>
    <row r="16615" ht="15.75" customHeight="1">
      <c r="A16615" s="2" t="s">
        <v>16615</v>
      </c>
      <c r="B16615" s="2" t="str">
        <f>IFERROR(__xludf.DUMMYFUNCTION("GOOGLETRANSLATE(A16615, ""en"", ""mt"")"),"biddel b'mod sinifikanti t-trattati eżistenti")</f>
        <v>biddel b'mod sinifikanti t-trattati eżistenti</v>
      </c>
    </row>
    <row r="16616" ht="15.75" customHeight="1">
      <c r="A16616" s="2" t="s">
        <v>16616</v>
      </c>
      <c r="B16616" s="2" t="str">
        <f>IFERROR(__xludf.DUMMYFUNCTION("GOOGLETRANSLATE(A16616, ""en"", ""mt"")"),"X'tip ta 'element ta' tisħin spiss jintuża fil-magni tal-fwar tal-ġugarell?")</f>
        <v>X'tip ta 'element ta' tisħin spiss jintuża fil-magni tal-fwar tal-ġugarell?</v>
      </c>
    </row>
    <row r="16617" ht="15.75" customHeight="1">
      <c r="A16617" s="2" t="s">
        <v>16617</v>
      </c>
      <c r="B16617" s="2" t="str">
        <f>IFERROR(__xludf.DUMMYFUNCTION("GOOGLETRANSLATE(A16617, ""en"", ""mt"")"),"It-tieni perjodu ta 'espansjoni internazzjonali huwa marbut ma' dak tan-netwerk ESPN fid-disgħinijiet, u l-politiki promulgati fis-snin 2000 minn Disney Media Networks (li kienet tinkludi l-espansjoni ta 'bosta netwerks tal-kejbil ibbażati fuq l-Istati Un"&amp;"iti tal-kumpanija inklużi Disney Channel u l-ispinoffs tagħha Disney, Playhouse Disney u Jetix; Għalkemm Disney biegħ ukoll is-sehem tagħha ta '33% fil-kanal sportiv Ewropew Eurosport għal $ 155 miljun f'Ġunju 2000). B'kuntrast mal-kanali l-oħra ta 'Disne"&amp;"y, ABC jixxandar fl-Istati Uniti, għalkemm l-ipprogrammar tan-netwerk huwa sindikat f'ħafna pajjiżi. Il-politika rigward in-netwerks internazzjonali kollha kemm hi reġgħet qajmet fl-2004 meta fis-27 ta 'Settembru ta' dik is-sena, ABC ħabbret it-tnedija ta"&amp;" 'ABC1, kanal free-to-air fir-Renju Unit li huwa proprjetà tal-Grupp ABC. Madankollu, fit-8 ta 'Settembru, 2007, Disney ħabbret li se twaqqaf ABC1 billi tiċċita l-inkapaċità tal-kanal li tikseb telespettatur sostenibbli. Bl-għeluq ta 'ABC1 dak Ottubru, l-"&amp;"attentat tal-kumpanija biex tiżviluppa ABC International twaqqfu.")</f>
        <v>It-tieni perjodu ta 'espansjoni internazzjonali huwa marbut ma' dak tan-netwerk ESPN fid-disgħinijiet, u l-politiki promulgati fis-snin 2000 minn Disney Media Networks (li kienet tinkludi l-espansjoni ta 'bosta netwerks tal-kejbil ibbażati fuq l-Istati Uniti tal-kumpanija inklużi Disney Channel u l-ispinoffs tagħha Disney, Playhouse Disney u Jetix; Għalkemm Disney biegħ ukoll is-sehem tagħha ta '33% fil-kanal sportiv Ewropew Eurosport għal $ 155 miljun f'Ġunju 2000). B'kuntrast mal-kanali l-oħra ta 'Disney, ABC jixxandar fl-Istati Uniti, għalkemm l-ipprogrammar tan-netwerk huwa sindikat f'ħafna pajjiżi. Il-politika rigward in-netwerks internazzjonali kollha kemm hi reġgħet qajmet fl-2004 meta fis-27 ta 'Settembru ta' dik is-sena, ABC ħabbret it-tnedija ta 'ABC1, kanal free-to-air fir-Renju Unit li huwa proprjetà tal-Grupp ABC. Madankollu, fit-8 ta 'Settembru, 2007, Disney ħabbret li se twaqqaf ABC1 billi tiċċita l-inkapaċità tal-kanal li tikseb telespettatur sostenibbli. Bl-għeluq ta 'ABC1 dak Ottubru, l-attentat tal-kumpanija biex tiżviluppa ABC International twaqqfu.</v>
      </c>
    </row>
    <row r="16618" ht="15.75" customHeight="1">
      <c r="A16618" s="2" t="s">
        <v>16618</v>
      </c>
      <c r="B16618" s="2" t="str">
        <f>IFERROR(__xludf.DUMMYFUNCTION("GOOGLETRANSLATE(A16618, ""en"", ""mt"")"),"X'inhu l-lag magħruf bħala li nħoloq miż-żieda tal-Muntanji Andes?")</f>
        <v>X'inhu l-lag magħruf bħala li nħoloq miż-żieda tal-Muntanji Andes?</v>
      </c>
    </row>
    <row r="16619" ht="15.75" customHeight="1">
      <c r="A16619" s="2" t="s">
        <v>16619</v>
      </c>
      <c r="B16619" s="2" t="str">
        <f>IFERROR(__xludf.DUMMYFUNCTION("GOOGLETRANSLATE(A16619, ""en"", ""mt"")"),"X'inhu l-qligħ potenzjali għal xogħol fejn hemm ftit ħaddiema tas-sengħa imma ħafna pożizzjonijiet disponibbli?")</f>
        <v>X'inhu l-qligħ potenzjali għal xogħol fejn hemm ftit ħaddiema tas-sengħa imma ħafna pożizzjonijiet disponibbli?</v>
      </c>
    </row>
    <row r="16620" ht="15.75" customHeight="1">
      <c r="A16620" s="2" t="s">
        <v>16620</v>
      </c>
      <c r="B16620" s="2" t="str">
        <f>IFERROR(__xludf.DUMMYFUNCTION("GOOGLETRANSLATE(A16620, ""en"", ""mt"")"),"magni tat-triq")</f>
        <v>magni tat-triq</v>
      </c>
    </row>
    <row r="16621" ht="15.75" customHeight="1">
      <c r="A16621" s="2" t="s">
        <v>16621</v>
      </c>
      <c r="B16621" s="2" t="str">
        <f>IFERROR(__xludf.DUMMYFUNCTION("GOOGLETRANSLATE(A16621, ""en"", ""mt"")"),"Fejn saret l-esperjenza tal-NFL għall-istaġun 2015?")</f>
        <v>Fejn saret l-esperjenza tal-NFL għall-istaġun 2015?</v>
      </c>
    </row>
    <row r="16622" ht="15.75" customHeight="1">
      <c r="A16622" s="2" t="s">
        <v>16622</v>
      </c>
      <c r="B16622" s="2" t="str">
        <f>IFERROR(__xludf.DUMMYFUNCTION("GOOGLETRANSLATE(A16622, ""en"", ""mt"")"),"X'inhuma eżempji ta 'ċelloli effetturi differenzjati li jilħqu l-quċċata matul il-perjodi ta' qawmien?")</f>
        <v>X'inhuma eżempji ta 'ċelloli effetturi differenzjati li jilħqu l-quċċata matul il-perjodi ta' qawmien?</v>
      </c>
    </row>
    <row r="16623" ht="15.75" customHeight="1">
      <c r="A16623" s="2" t="s">
        <v>16623</v>
      </c>
      <c r="B16623" s="2" t="str">
        <f>IFERROR(__xludf.DUMMYFUNCTION("GOOGLETRANSLATE(A16623, ""en"", ""mt"")"),"Proporzjon baxx ta 'materja organika għal melħ u ilma")</f>
        <v>Proporzjon baxx ta 'materja organika għal melħ u ilma</v>
      </c>
    </row>
    <row r="16624" ht="15.75" customHeight="1">
      <c r="A16624" s="2" t="s">
        <v>16624</v>
      </c>
      <c r="B16624" s="2" t="str">
        <f>IFERROR(__xludf.DUMMYFUNCTION("GOOGLETRANSLATE(A16624, ""en"", ""mt"")"),"L-adozzjoni tat-taħlit kienet komuni għal unitajiet industrijali, għal magni tat-toroq u kważi universali għall-magni tal-baħar wara l-1880; Ma kienx popolari universalment fil-lokomottivi tal-ferrovija fejn spiss kien ikkunsidrat bħala kkumplikat. Dan hu"&amp;"wa parzjalment dovut għall-ambjent operattiv tal-ferrovija ħarxa u l-ispazju limitat mogħti mill-gauge tat-tagħbija (partikolarment fil-Gran Brittanja, fejn it-taħlit qatt ma kien komuni u mhux impjegat wara l-1930). Madankollu, għalkemm qatt fil-maġġoran"&amp;"za, kien popolari f'ħafna pajjiżi oħra.")</f>
        <v>L-adozzjoni tat-taħlit kienet komuni għal unitajiet industrijali, għal magni tat-toroq u kważi universali għall-magni tal-baħar wara l-1880; Ma kienx popolari universalment fil-lokomottivi tal-ferrovija fejn spiss kien ikkunsidrat bħala kkumplikat. Dan huwa parzjalment dovut għall-ambjent operattiv tal-ferrovija ħarxa u l-ispazju limitat mogħti mill-gauge tat-tagħbija (partikolarment fil-Gran Brittanja, fejn it-taħlit qatt ma kien komuni u mhux impjegat wara l-1930). Madankollu, għalkemm qatt fil-maġġoranza, kien popolari f'ħafna pajjiżi oħra.</v>
      </c>
    </row>
    <row r="16625" ht="15.75" customHeight="1">
      <c r="A16625" s="2" t="s">
        <v>16625</v>
      </c>
      <c r="B16625" s="2" t="str">
        <f>IFERROR(__xludf.DUMMYFUNCTION("GOOGLETRANSLATE(A16625, ""en"", ""mt"")"),"X’Selja Luther dwar l-akkwist tal-grazzja ta ’Alla?")</f>
        <v>X’Selja Luther dwar l-akkwist tal-grazzja ta ’Alla?</v>
      </c>
    </row>
    <row r="16626" ht="15.75" customHeight="1">
      <c r="A16626" s="2" t="s">
        <v>16626</v>
      </c>
      <c r="B16626" s="2" t="str">
        <f>IFERROR(__xludf.DUMMYFUNCTION("GOOGLETRANSLATE(A16626, ""en"", ""mt"")"),"Linji ta 'applikazzjoni rispettivi")</f>
        <v>Linji ta 'applikazzjoni rispettivi</v>
      </c>
    </row>
    <row r="16627" ht="15.75" customHeight="1">
      <c r="A16627" s="2" t="s">
        <v>16627</v>
      </c>
      <c r="B16627" s="2" t="str">
        <f>IFERROR(__xludf.DUMMYFUNCTION("GOOGLETRANSLATE(A16627, ""en"", ""mt"")"),"gowl fil-qasam")</f>
        <v>gowl fil-qasam</v>
      </c>
    </row>
    <row r="16628" ht="15.75" customHeight="1">
      <c r="A16628" s="2" t="s">
        <v>16628</v>
      </c>
      <c r="B16628" s="2" t="str">
        <f>IFERROR(__xludf.DUMMYFUNCTION("GOOGLETRANSLATE(A16628, ""en"", ""mt"")"),"Kemm ġiet miktuba letteratura rigward id-diżubbidjenza ċivili?")</f>
        <v>Kemm ġiet miktuba letteratura rigward id-diżubbidjenza ċivili?</v>
      </c>
    </row>
    <row r="16629" ht="15.75" customHeight="1">
      <c r="A16629" s="2" t="s">
        <v>16629</v>
      </c>
      <c r="B16629" s="2" t="str">
        <f>IFERROR(__xludf.DUMMYFUNCTION("GOOGLETRANSLATE(A16629, ""en"", ""mt"")"),"$ 100,000")</f>
        <v>$ 100,000</v>
      </c>
    </row>
    <row r="16630" ht="15.75" customHeight="1">
      <c r="A16630" s="2" t="s">
        <v>16630</v>
      </c>
      <c r="B16630" s="2" t="str">
        <f>IFERROR(__xludf.DUMMYFUNCTION("GOOGLETRANSLATE(A16630, ""en"", ""mt"")"),"X'kienet id-data tal-mewt ta 'Tesla?")</f>
        <v>X'kienet id-data tal-mewt ta 'Tesla?</v>
      </c>
    </row>
    <row r="16631" ht="15.75" customHeight="1">
      <c r="A16631" s="2" t="s">
        <v>16631</v>
      </c>
      <c r="B16631" s="2" t="str">
        <f>IFERROR(__xludf.DUMMYFUNCTION("GOOGLETRANSLATE(A16631, ""en"", ""mt"")"),"biex twettaq fotosintesi")</f>
        <v>biex twettaq fotosintesi</v>
      </c>
    </row>
    <row r="16632" ht="15.75" customHeight="1">
      <c r="A16632" s="2" t="s">
        <v>16632</v>
      </c>
      <c r="B16632" s="2" t="str">
        <f>IFERROR(__xludf.DUMMYFUNCTION("GOOGLETRANSLATE(A16632, ""en"", ""mt"")"),"Xi tfisser l-ossiġnu l-bażi għal fil-kombustjoni?")</f>
        <v>Xi tfisser l-ossiġnu l-bażi għal fil-kombustjoni?</v>
      </c>
    </row>
    <row r="16633" ht="15.75" customHeight="1">
      <c r="A16633" s="2" t="s">
        <v>16633</v>
      </c>
      <c r="B16633" s="2" t="str">
        <f>IFERROR(__xludf.DUMMYFUNCTION("GOOGLETRANSLATE(A16633, ""en"", ""mt"")"),"Matul l-ewwel gwerra Sino-Ġappuniża fl-1894, il-Ġappun assorba t-Tajwan. Bħala riżultat tal-gwerra Russo-Ġappuniża fl-1905, il-Ġappun ħa parti mill-Gżira Sakhalin mir-Russja. Il-Korea ġiet annessa fl-1910. Matul l-Ewwel Gwerra Dinjija, il-Ġappun ħa territ"&amp;"orji mikrija Ġermaniżi fil-provinċja ta 'Shandong taċ-Ċina, kif ukoll fil-Gżejjer Mariana, Caroline u Marshall. Fl-1918, il-Ġappun okkupa partijiet tar-Russja tal-Lvant Imbiegħed u partijiet tas-Siberja tal-Lvant bħala parteċipant fl-intervent tas-Siberja"&amp;". Fl-1931 il-Ġappun ħakmu Manchuria miċ-Ċina. Matul it-tieni gwerra Sino-Ġappuniża fl-1937, il-militar tal-Ġappun invada ċ-Ċina Ċentrali u sa tmiem il-Gwerra tal-Paċifiku, il-Ġappun kien ħakem ħafna mil-Lvant Imbiegħed, inklużi Ħong Kong, il-Vjetnam, il-K"&amp;"ambodja, il-Mjanmar, il-Filippini, l-Indoneżja, parti minn New Guinea u xi gżejjer tal-Oċean Paċifiku. Il-Ġappun invada wkoll it-Tajlandja, billi tagħfas il-pajjiż f'alleanza Tajlandiża / Ġappuniża. L-ambizzjonijiet kolonjali tagħha ntemmu mir-rebħa ta 'l"&amp;"-Istati Uniti fit-Tieni Gwerra Dinjija u t-trattati li ġejjin li ntbagħtu dawk it-territorji lill-Amministrazzjoni Amerikana jew is-sidien oriġinali tagħhom.")</f>
        <v>Matul l-ewwel gwerra Sino-Ġappuniża fl-1894, il-Ġappun assorba t-Tajwan. Bħala riżultat tal-gwerra Russo-Ġappuniża fl-1905, il-Ġappun ħa parti mill-Gżira Sakhalin mir-Russja. Il-Korea ġiet annessa fl-1910. Matul l-Ewwel Gwerra Dinjija, il-Ġappun ħa territorji mikrija Ġermaniżi fil-provinċja ta 'Shandong taċ-Ċina, kif ukoll fil-Gżejjer Mariana, Caroline u Marshall. Fl-1918, il-Ġappun okkupa partijiet tar-Russja tal-Lvant Imbiegħed u partijiet tas-Siberja tal-Lvant bħala parteċipant fl-intervent tas-Siberja. Fl-1931 il-Ġappun ħakmu Manchuria miċ-Ċina. Matul it-tieni gwerra Sino-Ġappuniża fl-1937, il-militar tal-Ġappun invada ċ-Ċina Ċentrali u sa tmiem il-Gwerra tal-Paċifiku, il-Ġappun kien ħakem ħafna mil-Lvant Imbiegħed, inklużi Ħong Kong, il-Vjetnam, il-Kambodja, il-Mjanmar, il-Filippini, l-Indoneżja, parti minn New Guinea u xi gżejjer tal-Oċean Paċifiku. Il-Ġappun invada wkoll it-Tajlandja, billi tagħfas il-pajjiż f'alleanza Tajlandiża / Ġappuniża. L-ambizzjonijiet kolonjali tagħha ntemmu mir-rebħa ta 'l-Istati Uniti fit-Tieni Gwerra Dinjija u t-trattati li ġejjin li ntbagħtu dawk it-territorji lill-Amministrazzjoni Amerikana jew is-sidien oriġinali tagħhom.</v>
      </c>
    </row>
    <row r="16634" ht="15.75" customHeight="1">
      <c r="A16634" s="2" t="s">
        <v>16634</v>
      </c>
      <c r="B16634" s="2" t="str">
        <f>IFERROR(__xludf.DUMMYFUNCTION("GOOGLETRANSLATE(A16634, ""en"", ""mt"")"),"X'inhu l-għan ta 'gruppi Iżlamisti bħal Hezbollah u Hamas?")</f>
        <v>X'inhu l-għan ta 'gruppi Iżlamisti bħal Hezbollah u Hamas?</v>
      </c>
    </row>
    <row r="16635" ht="15.75" customHeight="1">
      <c r="A16635" s="2" t="s">
        <v>16635</v>
      </c>
      <c r="B16635" s="2" t="str">
        <f>IFERROR(__xludf.DUMMYFUNCTION("GOOGLETRANSLATE(A16635, ""en"", ""mt"")"),"ripetitur jew amplifikatur tat-telefon")</f>
        <v>ripetitur jew amplifikatur tat-telefon</v>
      </c>
    </row>
    <row r="16636" ht="15.75" customHeight="1">
      <c r="A16636" s="2" t="s">
        <v>16636</v>
      </c>
      <c r="B16636" s="2" t="str">
        <f>IFERROR(__xludf.DUMMYFUNCTION("GOOGLETRANSLATE(A16636, ""en"", ""mt"")"),"Ġersijiet bojod tat-triq")</f>
        <v>Ġersijiet bojod tat-triq</v>
      </c>
    </row>
    <row r="16637" ht="15.75" customHeight="1">
      <c r="A16637" s="2" t="s">
        <v>16637</v>
      </c>
      <c r="B16637" s="2" t="str">
        <f>IFERROR(__xludf.DUMMYFUNCTION("GOOGLETRANSLATE(A16637, ""en"", ""mt"")"),"X’irrifjuta li jagħmel Luther?")</f>
        <v>X’irrifjuta li jagħmel Luther?</v>
      </c>
    </row>
    <row r="16638" ht="15.75" customHeight="1">
      <c r="A16638" s="2" t="s">
        <v>16638</v>
      </c>
      <c r="B16638" s="2" t="str">
        <f>IFERROR(__xludf.DUMMYFUNCTION("GOOGLETRANSLATE(A16638, ""en"", ""mt"")"),"L-apikoplasti tilfu l-funzjoni fotosintetika kollha, u ma fihom l-ebda pigmenti fotosintetiċi jew thylakoids veri. Huma mdawra b'erba 'membrani, iżda l-membrani mhumiex konnessi mar-retikolu endoplasmiku. Il-fatt li l-apicomplexans għadhom iżommu l-klorop"&amp;"last mhux fotosintetiku tagħhom juri kif il-kloroplast iwettaq funzjonijiet importanti għajr il-fotosintesi. Il-kloroplasti tal-pjanti jipprovdu ċelloli tal-pjanti b'ħafna affarijiet importanti minbarra z-zokkor, u l-apikoplasti mhumiex differenti - sinte"&amp;"tizzati aċidi grassi, isopentenyl pyrophosphate, raggruppamenti tal-kubrit tal-ħadid, u jwettqu parti mill-passaġġ tal-heme. Dan jagħmel l-apicoplast mira attraenti għall-mediċini biex tfejjaq mard relatat ma 'Apicomplexan. L-iktar funzjoni ta 'apikoplast"&amp;" importanti hija s-sinteżi ta' isopentenyl pyrophosphate - fil-fatt, apicomplexans imutu meta xi ħaġa tinterferixxi ma 'din il-funzjoni ta' apicoplast, u meta apicomplexans huma mkabbra f'medju b'ħafna isopentenyl pyrophosphate, huma jarmu l-organell.")</f>
        <v>L-apikoplasti tilfu l-funzjoni fotosintetika kollha, u ma fihom l-ebda pigmenti fotosintetiċi jew thylakoids veri. Huma mdawra b'erba 'membrani, iżda l-membrani mhumiex konnessi mar-retikolu endoplasmiku. Il-fatt li l-apicomplexans għadhom iżommu l-kloroplast mhux fotosintetiku tagħhom juri kif il-kloroplast iwettaq funzjonijiet importanti għajr il-fotosintesi. Il-kloroplasti tal-pjanti jipprovdu ċelloli tal-pjanti b'ħafna affarijiet importanti minbarra z-zokkor, u l-apikoplasti mhumiex differenti - sintetizzati aċidi grassi, isopentenyl pyrophosphate, raggruppamenti tal-kubrit tal-ħadid, u jwettqu parti mill-passaġġ tal-heme. Dan jagħmel l-apicoplast mira attraenti għall-mediċini biex tfejjaq mard relatat ma 'Apicomplexan. L-iktar funzjoni ta 'apikoplast importanti hija s-sinteżi ta' isopentenyl pyrophosphate - fil-fatt, apicomplexans imutu meta xi ħaġa tinterferixxi ma 'din il-funzjoni ta' apicoplast, u meta apicomplexans huma mkabbra f'medju b'ħafna isopentenyl pyrophosphate, huma jarmu l-organell.</v>
      </c>
    </row>
    <row r="16639" ht="15.75" customHeight="1">
      <c r="A16639" s="2" t="s">
        <v>16639</v>
      </c>
      <c r="B16639" s="2" t="str">
        <f>IFERROR(__xludf.DUMMYFUNCTION("GOOGLETRANSLATE(A16639, ""en"", ""mt"")"),"korriment tal-fasciitis plantar")</f>
        <v>korriment tal-fasciitis plantar</v>
      </c>
    </row>
    <row r="16640" ht="15.75" customHeight="1">
      <c r="A16640" s="2" t="s">
        <v>16640</v>
      </c>
      <c r="B16640" s="2" t="str">
        <f>IFERROR(__xludf.DUMMYFUNCTION("GOOGLETRANSLATE(A16640, ""en"", ""mt"")"),"Musique Concrète")</f>
        <v>Musique Concrète</v>
      </c>
    </row>
    <row r="16641" ht="15.75" customHeight="1">
      <c r="A16641" s="2" t="s">
        <v>16641</v>
      </c>
      <c r="B16641" s="2" t="str">
        <f>IFERROR(__xludf.DUMMYFUNCTION("GOOGLETRANSLATE(A16641, ""en"", ""mt"")"),"Xi joħloq l-iskambju tal-boson w u z?")</f>
        <v>Xi joħloq l-iskambju tal-boson w u z?</v>
      </c>
    </row>
    <row r="16642" ht="15.75" customHeight="1">
      <c r="A16642" s="2" t="s">
        <v>16642</v>
      </c>
      <c r="B16642" s="2" t="str">
        <f>IFERROR(__xludf.DUMMYFUNCTION("GOOGLETRANSLATE(A16642, ""en"", ""mt"")"),"Kemm bijomolekuli ma fihom l-ebda ossiġnu?")</f>
        <v>Kemm bijomolekuli ma fihom l-ebda ossiġnu?</v>
      </c>
    </row>
    <row r="16643" ht="15.75" customHeight="1">
      <c r="A16643" s="2" t="s">
        <v>16643</v>
      </c>
      <c r="B16643" s="2" t="str">
        <f>IFERROR(__xludf.DUMMYFUNCTION("GOOGLETRANSLATE(A16643, ""en"", ""mt"")"),"X’kienu ħasbu l-Ewropej li l-popli fit-tropiċi kellhom bżonn?")</f>
        <v>X’kienu ħasbu l-Ewropej li l-popli fit-tropiċi kellhom bżonn?</v>
      </c>
    </row>
    <row r="16644" ht="15.75" customHeight="1">
      <c r="A16644" s="2" t="s">
        <v>16644</v>
      </c>
      <c r="B16644" s="2" t="str">
        <f>IFERROR(__xludf.DUMMYFUNCTION("GOOGLETRANSLATE(A16644, ""en"", ""mt"")"),"Henry ta ’Navarra")</f>
        <v>Henry ta ’Navarra</v>
      </c>
    </row>
    <row r="16645" ht="15.75" customHeight="1">
      <c r="A16645" s="2" t="s">
        <v>16645</v>
      </c>
      <c r="B16645" s="2" t="str">
        <f>IFERROR(__xludf.DUMMYFUNCTION("GOOGLETRANSLATE(A16645, ""en"", ""mt"")"),"X'inhu tip ieħor ta 'algoritmu ta' kriptografija ta 'ċavetta pubblika?")</f>
        <v>X'inhu tip ieħor ta 'algoritmu ta' kriptografija ta 'ċavetta pubblika?</v>
      </c>
    </row>
    <row r="16646" ht="15.75" customHeight="1">
      <c r="A16646" s="2" t="s">
        <v>16646</v>
      </c>
      <c r="B16646" s="2" t="str">
        <f>IFERROR(__xludf.DUMMYFUNCTION("GOOGLETRANSLATE(A16646, ""en"", ""mt"")"),"Battalja ta 'Fort Bull")</f>
        <v>Battalja ta 'Fort Bull</v>
      </c>
    </row>
    <row r="16647" ht="15.75" customHeight="1">
      <c r="A16647" s="2" t="s">
        <v>16647</v>
      </c>
      <c r="B16647" s="2" t="str">
        <f>IFERROR(__xludf.DUMMYFUNCTION("GOOGLETRANSLATE(A16647, ""en"", ""mt"")"),"Ċelloli dendritiċi")</f>
        <v>Ċelloli dendritiċi</v>
      </c>
    </row>
    <row r="16648" ht="15.75" customHeight="1">
      <c r="A16648" s="2" t="s">
        <v>16648</v>
      </c>
      <c r="B16648" s="2" t="str">
        <f>IFERROR(__xludf.DUMMYFUNCTION("GOOGLETRANSLATE(A16648, ""en"", ""mt"")"),"Ungeriżi")</f>
        <v>Ungeriżi</v>
      </c>
    </row>
    <row r="16649" ht="15.75" customHeight="1">
      <c r="A16649" s="2" t="s">
        <v>16649</v>
      </c>
      <c r="B16649" s="2" t="str">
        <f>IFERROR(__xludf.DUMMYFUNCTION("GOOGLETRANSLATE(A16649, ""en"", ""mt"")"),"X'inhuma l-aġenti misjuba mis-sistema immunitarja msejħa?")</f>
        <v>X'inhuma l-aġenti misjuba mis-sistema immunitarja msejħa?</v>
      </c>
    </row>
    <row r="16650" ht="15.75" customHeight="1">
      <c r="A16650" s="2" t="s">
        <v>16650</v>
      </c>
      <c r="B16650" s="2" t="str">
        <f>IFERROR(__xludf.DUMMYFUNCTION("GOOGLETRANSLATE(A16650, ""en"", ""mt"")"),"Qabel l-Ewwel Gwerra Dinjija,")</f>
        <v>Qabel l-Ewwel Gwerra Dinjija,</v>
      </c>
    </row>
    <row r="16651" ht="15.75" customHeight="1">
      <c r="A16651" s="2" t="s">
        <v>16651</v>
      </c>
      <c r="B16651" s="2" t="str">
        <f>IFERROR(__xludf.DUMMYFUNCTION("GOOGLETRANSLATE(A16651, ""en"", ""mt"")"),"X'toħolqu l-potenzjal elettrostatiku gradjuż?")</f>
        <v>X'toħolqu l-potenzjal elettrostatiku gradjuż?</v>
      </c>
    </row>
    <row r="16652" ht="15.75" customHeight="1">
      <c r="A16652" s="2" t="s">
        <v>16652</v>
      </c>
      <c r="B16652" s="2" t="str">
        <f>IFERROR(__xludf.DUMMYFUNCTION("GOOGLETRANSLATE(A16652, ""en"", ""mt"")"),"Evita l- ""inkonvenjent"" li żżur tabib")</f>
        <v>Evita l- "inkonvenjent" li żżur tabib</v>
      </c>
    </row>
    <row r="16653" ht="15.75" customHeight="1">
      <c r="A16653" s="2" t="s">
        <v>16653</v>
      </c>
      <c r="B16653" s="2" t="str">
        <f>IFERROR(__xludf.DUMMYFUNCTION("GOOGLETRANSLATE(A16653, ""en"", ""mt"")"),"L-elezzjoni tal-Partit Laburista tar-Renju Unit għall-Gvern")</f>
        <v>L-elezzjoni tal-Partit Laburista tar-Renju Unit għall-Gvern</v>
      </c>
    </row>
    <row r="16654" ht="15.75" customHeight="1">
      <c r="A16654" s="2" t="s">
        <v>16654</v>
      </c>
      <c r="B16654" s="2" t="str">
        <f>IFERROR(__xludf.DUMMYFUNCTION("GOOGLETRANSLATE(A16654, ""en"", ""mt"")"),"Fl-aħħar tas-seklu 17, Robert Boyle wera li l-arja hija meħtieġa għall-kombustjoni. L-ispiżjar Ingliż John Mayow (1641-1679) irfina dan ix-xogħol billi juri li n-nar jirrikjedi biss parti mill-arja li hu sejjaħ Spiritus Nitroeereus jew biss Nitroaereus. F"&amp;"’esperiment wieħed huwa sab li t-tqegħid ta ’ġurdien jew xemgħa mixgħula f’kontenitur magħluq fuq l-ilma kkawża li l-ilma jogħla u jissostitwixxi wieħed mill-firxa tal-volum tal-arja qabel ma jitfu s-suġġetti. Minn dan huwa ħabbar li Nitroaereus huwa kkun"&amp;"smat kemm fir-respirazzjoni kif ukoll fil-kombustjoni.")</f>
        <v>Fl-aħħar tas-seklu 17, Robert Boyle wera li l-arja hija meħtieġa għall-kombustjoni. L-ispiżjar Ingliż John Mayow (1641-1679) irfina dan ix-xogħol billi juri li n-nar jirrikjedi biss parti mill-arja li hu sejjaħ Spiritus Nitroeereus jew biss Nitroaereus. F’esperiment wieħed huwa sab li t-tqegħid ta ’ġurdien jew xemgħa mixgħula f’kontenitur magħluq fuq l-ilma kkawża li l-ilma jogħla u jissostitwixxi wieħed mill-firxa tal-volum tal-arja qabel ma jitfu s-suġġetti. Minn dan huwa ħabbar li Nitroaereus huwa kkunsmat kemm fir-respirazzjoni kif ukoll fil-kombustjoni.</v>
      </c>
    </row>
    <row r="16655" ht="15.75" customHeight="1">
      <c r="A16655" s="2" t="s">
        <v>16655</v>
      </c>
      <c r="B16655" s="2" t="str">
        <f>IFERROR(__xludf.DUMMYFUNCTION("GOOGLETRANSLATE(A16655, ""en"", ""mt"")"),"Liema talk show issostitwixxa ħajja waħda biex tgħix?")</f>
        <v>Liema talk show issostitwixxa ħajja waħda biex tgħix?</v>
      </c>
    </row>
    <row r="16656" ht="15.75" customHeight="1">
      <c r="A16656" s="2" t="s">
        <v>16656</v>
      </c>
      <c r="B16656" s="2" t="str">
        <f>IFERROR(__xludf.DUMMYFUNCTION("GOOGLETRANSLATE(A16656, ""en"", ""mt"")"),"b'inqas minn tnejn fil-mija fis-sena")</f>
        <v>b'inqas minn tnejn fil-mija fis-sena</v>
      </c>
    </row>
    <row r="16657" ht="15.75" customHeight="1">
      <c r="A16657" s="2" t="s">
        <v>16657</v>
      </c>
      <c r="B16657" s="2" t="str">
        <f>IFERROR(__xludf.DUMMYFUNCTION("GOOGLETRANSLATE(A16657, ""en"", ""mt"")"),"Xi jfisser ir-rilaxx ta 'Helper T Cell meta jeħel mal-kumpless MHC: antiġen taċ-ċellula B?")</f>
        <v>Xi jfisser ir-rilaxx ta 'Helper T Cell meta jeħel mal-kumpless MHC: antiġen taċ-ċellula B?</v>
      </c>
    </row>
    <row r="16658" ht="15.75" customHeight="1">
      <c r="A16658" s="2" t="s">
        <v>16658</v>
      </c>
      <c r="B16658" s="2" t="str">
        <f>IFERROR(__xludf.DUMMYFUNCTION("GOOGLETRANSLATE(A16658, ""en"", ""mt"")"),"Meta bdiet ir-riforma tal-knisja?")</f>
        <v>Meta bdiet ir-riforma tal-knisja?</v>
      </c>
    </row>
    <row r="16659" ht="15.75" customHeight="1">
      <c r="A16659" s="2" t="s">
        <v>16659</v>
      </c>
      <c r="B16659" s="2" t="str">
        <f>IFERROR(__xludf.DUMMYFUNCTION("GOOGLETRANSLATE(A16659, ""en"", ""mt"")"),"Liema seklu kien hemm programm biex jiddritta r-Renu?")</f>
        <v>Liema seklu kien hemm programm biex jiddritta r-Renu?</v>
      </c>
    </row>
    <row r="16660" ht="15.75" customHeight="1">
      <c r="A16660" s="2" t="s">
        <v>16660</v>
      </c>
      <c r="B16660" s="2" t="str">
        <f>IFERROR(__xludf.DUMMYFUNCTION("GOOGLETRANSLATE(A16660, ""en"", ""mt"")"),"L-ekwilibriju dinamiku ġie deskritt għall-ewwel darba minn Galileo li ndunat li ċerti suppożizzjonijiet tal-fiżika aristoteljana kienu kontradetti minn osservazzjonijiet u loġika. Galileo induna li żieda sempliċi ta 'veloċità titlob li l-kunċett ta' ""qaf"&amp;"as ta 'mistrieħ assolut"" ma jeżistix. Galileo kkonkluda li l-mozzjoni f'veloċità kostanti kienet kompletament ekwivalenti għall-mistrieħ. Dan kien kuntrarju għall-kunċett ta 'Aristotile ta' ""stat naturali"" ta 'mistrieħ li joġġezzjona bil-massa avviċina"&amp;"ti b'mod naturali. Esperimenti sempliċi wrew li l-fehim ta 'Galileo dwar l-ekwivalenza tal-veloċità kostanti u l-mistrieħ kienu korretti. Pereżempju, jekk baħħara waqqa 'kanun mill-bejta taċ-ċawla ta' vapur li jiċċaqlaq b'veloċità kostanti, il-fiżika Aris"&amp;"toteljana jkollha l-kanun tal-kanun jaqa 'dritt' l isfel waqt li l-vapur mexa taħtha. Għalhekk, f'univers aristoteljan, il-kanun tal-waqgħa jinżel wara l-qiegħ tal-arblu ta 'vapur li jiċċaqlaq. Madankollu, meta dan l-esperiment jitmexxa fil-fatt, il-kanun"&amp;" tal-kanun dejjem jaqa 'f'riġlejn l-arblu, bħallikieku l-kanun tal-kanun jaf jivvjaġġa mal-vapur minkejja li jkun separat minnu. Peress li m'hemm l-ebda forza orizzontali 'l quddiem li qed tiġi applikata fuq il-kanun tal-kanun hekk kif taqa', l-unika konk"&amp;"lużjoni li fadal hija li l-cannonball ikompli jimxi bl-istess veloċità bħad-dgħajsa kif taqa '. Għalhekk, l-ebda forza mhija meħtieġa biex iżżomm il-kanun jiċċaqlaq bil-veloċità kostanti.")</f>
        <v>L-ekwilibriju dinamiku ġie deskritt għall-ewwel darba minn Galileo li ndunat li ċerti suppożizzjonijiet tal-fiżika aristoteljana kienu kontradetti minn osservazzjonijiet u loġika. Galileo induna li żieda sempliċi ta 'veloċità titlob li l-kunċett ta' "qafas ta 'mistrieħ assolut" ma jeżistix. Galileo kkonkluda li l-mozzjoni f'veloċità kostanti kienet kompletament ekwivalenti għall-mistrieħ. Dan kien kuntrarju għall-kunċett ta 'Aristotile ta' "stat naturali" ta 'mistrieħ li joġġezzjona bil-massa avviċinati b'mod naturali. Esperimenti sempliċi wrew li l-fehim ta 'Galileo dwar l-ekwivalenza tal-veloċità kostanti u l-mistrieħ kienu korretti. Pereżempju, jekk baħħara waqqa 'kanun mill-bejta taċ-ċawla ta' vapur li jiċċaqlaq b'veloċità kostanti, il-fiżika Aristoteljana jkollha l-kanun tal-kanun jaqa 'dritt' l isfel waqt li l-vapur mexa taħtha. Għalhekk, f'univers aristoteljan, il-kanun tal-waqgħa jinżel wara l-qiegħ tal-arblu ta 'vapur li jiċċaqlaq. Madankollu, meta dan l-esperiment jitmexxa fil-fatt, il-kanun tal-kanun dejjem jaqa 'f'riġlejn l-arblu, bħallikieku l-kanun tal-kanun jaf jivvjaġġa mal-vapur minkejja li jkun separat minnu. Peress li m'hemm l-ebda forza orizzontali 'l quddiem li qed tiġi applikata fuq il-kanun tal-kanun hekk kif taqa', l-unika konklużjoni li fadal hija li l-cannonball ikompli jimxi bl-istess veloċità bħad-dgħajsa kif taqa '. Għalhekk, l-ebda forza mhija meħtieġa biex iżżomm il-kanun jiċċaqlaq bil-veloċità kostanti.</v>
      </c>
    </row>
    <row r="16661" ht="15.75" customHeight="1">
      <c r="A16661" s="2" t="s">
        <v>16661</v>
      </c>
      <c r="B16661" s="2" t="str">
        <f>IFERROR(__xludf.DUMMYFUNCTION("GOOGLETRANSLATE(A16661, ""en"", ""mt"")"),"Min Banish Luther?")</f>
        <v>Min Banish Luther?</v>
      </c>
    </row>
    <row r="16662" ht="15.75" customHeight="1">
      <c r="A16662" s="2" t="s">
        <v>16662</v>
      </c>
      <c r="B16662" s="2" t="str">
        <f>IFERROR(__xludf.DUMMYFUNCTION("GOOGLETRANSLATE(A16662, ""en"", ""mt"")"),"sieq tax-xellug.")</f>
        <v>sieq tax-xellug.</v>
      </c>
    </row>
    <row r="16663" ht="15.75" customHeight="1">
      <c r="A16663" s="2" t="s">
        <v>16663</v>
      </c>
      <c r="B16663" s="2" t="str">
        <f>IFERROR(__xludf.DUMMYFUNCTION("GOOGLETRANSLATE(A16663, ""en"", ""mt"")"),"L-ispjegazzjoni dominanti għall-mewt sewda hija t-teorija tal-pesta, li tattribwixxi t-tifqigħa lil Yersinia pestis, responsabbli wkoll għal epidemija li bdiet fin-Nofsinhar taċ-Ċina fl-1865, li eventwalment tinfirex lejn l-Indja. L-investigazzjoni tal-pa"&amp;"toġen li kkawżat il-pesta tas-seklu 19 kienet bdiet minn timijiet ta 'xjenzati li żaru Ħong Kong fl-1894, li fosthom kien il-batterjologu Franċiż-Żvizzeru Alexandre Yersin, li wara li l-patoġen kien imsemmi Yersinia Pestis. Il-mekkaniżmu li bih Y. pestis "&amp;"kien ġeneralment trasmess ġie stabbilit fl-1898 minn Paul-Louis Simond u nstab li jinvolvi l-gdim tal-briegħed li l-midguts tagħhom kienu ostakolati billi rreplikaw lil Y. pestis diversi jiem wara t-tmigħ fuq ospitanti infettati. Dan l-imblukkar jirriżult"&amp;"a fil-ġuħ u l-imġieba aggressiva tal-għalf mill-briegħed, li ripetutament jippruvaw jikklerjaw l-imblukkar tagħhom permezz ta 'regurgitation, li jirriżulta f'eluf ta' batterji tal-pesta li qed jiġu mlaħalħa fis-sit tat-tmigħ, li jinfettaw lill-ospitanti. "&amp;"Il-mekkaniżmu tal-pesta bubonika kien jiddependi wkoll fuq żewġ popolazzjonijiet ta 'annimali gerriema: waħda reżistenti għall-marda, li jaġixxu bħala ospiti, iżommu l-marda endemika, u t-tieni li m'għandhomx reżistenza. Meta t-tieni popolazzjoni tmut, il"&amp;"-briegħed jimxu fuq ospiti oħra, inklużi nies, u b'hekk joħolqu epidemija umana.")</f>
        <v>L-ispjegazzjoni dominanti għall-mewt sewda hija t-teorija tal-pesta, li tattribwixxi t-tifqigħa lil Yersinia pestis, responsabbli wkoll għal epidemija li bdiet fin-Nofsinhar taċ-Ċina fl-1865, li eventwalment tinfirex lejn l-Indja. L-investigazzjoni tal-patoġen li kkawżat il-pesta tas-seklu 19 kienet bdiet minn timijiet ta 'xjenzati li żaru Ħong Kong fl-1894, li fosthom kien il-batterjologu Franċiż-Żvizzeru Alexandre Yersin, li wara li l-patoġen kien imsemmi Yersinia Pestis. Il-mekkaniżmu li bih Y. pestis kien ġeneralment trasmess ġie stabbilit fl-1898 minn Paul-Louis Simond u nstab li jinvolvi l-gdim tal-briegħed li l-midguts tagħhom kienu ostakolati billi rreplikaw lil Y. pestis diversi jiem wara t-tmigħ fuq ospitanti infettati. Dan l-imblukkar jirriżulta fil-ġuħ u l-imġieba aggressiva tal-għalf mill-briegħed, li ripetutament jippruvaw jikklerjaw l-imblukkar tagħhom permezz ta 'regurgitation, li jirriżulta f'eluf ta' batterji tal-pesta li qed jiġu mlaħalħa fis-sit tat-tmigħ, li jinfettaw lill-ospitanti. Il-mekkaniżmu tal-pesta bubonika kien jiddependi wkoll fuq żewġ popolazzjonijiet ta 'annimali gerriema: waħda reżistenti għall-marda, li jaġixxu bħala ospiti, iżommu l-marda endemika, u t-tieni li m'għandhomx reżistenza. Meta t-tieni popolazzjoni tmut, il-briegħed jimxu fuq ospiti oħra, inklużi nies, u b'hekk joħolqu epidemija umana.</v>
      </c>
    </row>
    <row r="16664" ht="15.75" customHeight="1">
      <c r="A16664" s="2" t="s">
        <v>16664</v>
      </c>
      <c r="B16664" s="2" t="str">
        <f>IFERROR(__xludf.DUMMYFUNCTION("GOOGLETRANSLATE(A16664, ""en"", ""mt"")"),"Il-Kummissjoni Ewropea hija l-korp eżekuttiv ewlieni tal-Unjoni Ewropea. L-Artikolu 17 (1) tat-Trattat dwar l-Unjoni Ewropea jiddikjara li l-Kummissjoni għandha ""tippromwovi l-interess ġenerali tal-Unjoni"" filwaqt li l-Artikolu 17 (3) iżid li l-kummissa"&amp;"rji għandhom ikunu ""kompletament indipendenti"" u mhux ""jieħdu struzzjonijiet minn kwalunkwe gvern"". Taħt l-Artikolu 17 (2), ""Atti Leġiżlattivi tal-Unjoni jistgħu jiġu adottati biss fuq il-bażi ta 'proposta ta' kummissjoni, ħlief fejn it-trattati jipp"&amp;"rovdu mod ieħor."" Dan ifisser li l-kummissjoni għandha monopolju fuq il-bidu tal-proċedura leġiżlattiva, għalkemm il-kunsill huwa l- ""katalist de facto ta 'ħafna inizjattivi leġiżlattivi"". Il-Parlament jista 'wkoll jitlob formalment lill-Kummissjoni bi"&amp;"ex tissottometti proposta leġiżlattiva iżda l-Kummissjoni tista' tirrifjuta tali suġġeriment, billi tagħti raġunijiet. Il-president tal-kummissjoni (bħalissa ex-Prim Ministru ta 'Luxembourg, Jean-Claude Juncker) jistabbilixxi l-aġenda għax-xogħol tal-UE. "&amp;"Id-deċiżjonijiet jittieħdu permezz ta 'vot maġġoranza sempliċi, ġeneralment permezz ta' ""proċedura bil-miktub"" li tiċċirkola l-proposti u l-adozzjoni jekk ma jkunx hemm oġġezzjonijiet. [Ċitazzjoni meħtieġa] peress li l-Irlanda rrifjutat li tagħti l-kuns"&amp;"ens għal bidliet fit-Trattat ta 'Lisbona 2007, jibqa' kummissarju wieħed Għal kull wieħed mit-28 stat membru, inkluż il-President u r-Rappreżentant Għoli għall-Politika Barranija u tas-Sigurtà (bħalissa Federica Mogherini). Il-kummissarji (u l-iktar impor"&amp;"tanti, il-portafolli li għandhom iżommu) huma nnegozjati b'mod intensiv mill-Istati Membri. Il-kummissarji, bħala blokka, huma mbagħad soġġetti għal vot ta 'maġġoranza kwalifikata tal-Kunsill biex japprova, u l-approvazzjoni tal-maġġoranza tal-Parlament. "&amp;"Il-proposta biex il-kummissarji jiġu meħuda mill-Parlament elett, ma ġietx adottata fit-Trattat ta 'Lisbona. Dan ifisser li l-kummissarji huma, permezz tal-proċess tal-ħatra, is-subordinati mhux eletti tal-gvernijiet tal-istat membri.")</f>
        <v>Il-Kummissjoni Ewropea hija l-korp eżekuttiv ewlieni tal-Unjoni Ewropea. L-Artikolu 17 (1) tat-Trattat dwar l-Unjoni Ewropea jiddikjara li l-Kummissjoni għandha "tippromwovi l-interess ġenerali tal-Unjoni" filwaqt li l-Artikolu 17 (3) iżid li l-kummissarji għandhom ikunu "kompletament indipendenti" u mhux "jieħdu struzzjonijiet minn kwalunkwe gvern". Taħt l-Artikolu 17 (2), "Atti Leġiżlattivi tal-Unjoni jistgħu jiġu adottati biss fuq il-bażi ta 'proposta ta' kummissjoni, ħlief fejn it-trattati jipprovdu mod ieħor." Dan ifisser li l-kummissjoni għandha monopolju fuq il-bidu tal-proċedura leġiżlattiva, għalkemm il-kunsill huwa l- "katalist de facto ta 'ħafna inizjattivi leġiżlattivi". Il-Parlament jista 'wkoll jitlob formalment lill-Kummissjoni biex tissottometti proposta leġiżlattiva iżda l-Kummissjoni tista' tirrifjuta tali suġġeriment, billi tagħti raġunijiet. Il-president tal-kummissjoni (bħalissa ex-Prim Ministru ta 'Luxembourg, Jean-Claude Juncker) jistabbilixxi l-aġenda għax-xogħol tal-UE. Id-deċiżjonijiet jittieħdu permezz ta 'vot maġġoranza sempliċi, ġeneralment permezz ta' "proċedura bil-miktub" li tiċċirkola l-proposti u l-adozzjoni jekk ma jkunx hemm oġġezzjonijiet. [Ċitazzjoni meħtieġa] peress li l-Irlanda rrifjutat li tagħti l-kunsens għal bidliet fit-Trattat ta 'Lisbona 2007, jibqa' kummissarju wieħed Għal kull wieħed mit-28 stat membru, inkluż il-President u r-Rappreżentant Għoli għall-Politika Barranija u tas-Sigurtà (bħalissa Federica Mogherini). Il-kummissarji (u l-iktar importanti, il-portafolli li għandhom iżommu) huma nnegozjati b'mod intensiv mill-Istati Membri. Il-kummissarji, bħala blokka, huma mbagħad soġġetti għal vot ta 'maġġoranza kwalifikata tal-Kunsill biex japprova, u l-approvazzjoni tal-maġġoranza tal-Parlament. Il-proposta biex il-kummissarji jiġu meħuda mill-Parlament elett, ma ġietx adottata fit-Trattat ta 'Lisbona. Dan ifisser li l-kummissarji huma, permezz tal-proċess tal-ħatra, is-subordinati mhux eletti tal-gvernijiet tal-istat membri.</v>
      </c>
    </row>
    <row r="16665" ht="15.75" customHeight="1">
      <c r="A16665" s="2" t="s">
        <v>16665</v>
      </c>
      <c r="B16665" s="2" t="str">
        <f>IFERROR(__xludf.DUMMYFUNCTION("GOOGLETRANSLATE(A16665, ""en"", ""mt"")"),"Assent Royal")</f>
        <v>Assent Royal</v>
      </c>
    </row>
    <row r="16666" ht="15.75" customHeight="1">
      <c r="A16666" s="2" t="s">
        <v>16666</v>
      </c>
      <c r="B16666" s="2" t="str">
        <f>IFERROR(__xludf.DUMMYFUNCTION("GOOGLETRANSLATE(A16666, ""en"", ""mt"")"),"Huwa mar lejn in-nofsinhar, saq jew qabad negozjanti Ingliżi")</f>
        <v>Huwa mar lejn in-nofsinhar, saq jew qabad negozjanti Ingliżi</v>
      </c>
    </row>
    <row r="16667" ht="15.75" customHeight="1">
      <c r="A16667" s="2" t="s">
        <v>16667</v>
      </c>
      <c r="B16667" s="2" t="str">
        <f>IFERROR(__xludf.DUMMYFUNCTION("GOOGLETRANSLATE(A16667, ""en"", ""mt"")"),"Sky Digital")</f>
        <v>Sky Digital</v>
      </c>
    </row>
    <row r="16668" ht="15.75" customHeight="1">
      <c r="A16668" s="2" t="s">
        <v>16668</v>
      </c>
      <c r="B16668" s="2" t="str">
        <f>IFERROR(__xludf.DUMMYFUNCTION("GOOGLETRANSLATE(A16668, ""en"", ""mt"")"),"Ġew stabbiliti bosta pedamenti")</f>
        <v>Ġew stabbiliti bosta pedamenti</v>
      </c>
    </row>
    <row r="16669" ht="15.75" customHeight="1">
      <c r="A16669" s="2" t="s">
        <v>16669</v>
      </c>
      <c r="B16669" s="2" t="str">
        <f>IFERROR(__xludf.DUMMYFUNCTION("GOOGLETRANSLATE(A16669, ""en"", ""mt"")"),"Kemm ministeri tal-gvern Skoċċiż tipikament jikkorrispondu?")</f>
        <v>Kemm ministeri tal-gvern Skoċċiż tipikament jikkorrispondu?</v>
      </c>
    </row>
    <row r="16670" ht="15.75" customHeight="1">
      <c r="A16670" s="2" t="s">
        <v>16670</v>
      </c>
      <c r="B16670" s="2" t="str">
        <f>IFERROR(__xludf.DUMMYFUNCTION("GOOGLETRANSLATE(A16670, ""en"", ""mt"")"),"gruppi ta 'tlieta")</f>
        <v>gruppi ta 'tlieta</v>
      </c>
    </row>
    <row r="16671" ht="15.75" customHeight="1">
      <c r="A16671" s="2" t="s">
        <v>16671</v>
      </c>
      <c r="B16671" s="2" t="str">
        <f>IFERROR(__xludf.DUMMYFUNCTION("GOOGLETRANSLATE(A16671, ""en"", ""mt"")"),"X'inhi l-problema ma 'Cysteine?")</f>
        <v>X'inhi l-problema ma 'Cysteine?</v>
      </c>
    </row>
    <row r="16672" ht="15.75" customHeight="1">
      <c r="A16672" s="2" t="s">
        <v>16672</v>
      </c>
      <c r="B16672" s="2" t="str">
        <f>IFERROR(__xludf.DUMMYFUNCTION("GOOGLETRANSLATE(A16672, ""en"", ""mt"")"),"Kemm kien militari Brittaniku fl-Amerika ta ’Fuq fil-bidu tal-gwerra?")</f>
        <v>Kemm kien militari Brittaniku fl-Amerika ta ’Fuq fil-bidu tal-gwerra?</v>
      </c>
    </row>
    <row r="16673" ht="15.75" customHeight="1">
      <c r="A16673" s="2" t="s">
        <v>16673</v>
      </c>
      <c r="B16673" s="2" t="str">
        <f>IFERROR(__xludf.DUMMYFUNCTION("GOOGLETRANSLATE(A16673, ""en"", ""mt"")"),"X'intlef il-kloroplasti tad-dinofisi?")</f>
        <v>X'intlef il-kloroplasti tad-dinofisi?</v>
      </c>
    </row>
    <row r="16674" ht="15.75" customHeight="1">
      <c r="A16674" s="2" t="s">
        <v>16674</v>
      </c>
      <c r="B16674" s="2" t="str">
        <f>IFERROR(__xludf.DUMMYFUNCTION("GOOGLETRANSLATE(A16674, ""en"", ""mt"")"),"Għal xiex tiġbed l-attenzjoni l-mużew ta 'skoperta?")</f>
        <v>Għal xiex tiġbed l-attenzjoni l-mużew ta 'skoperta?</v>
      </c>
    </row>
    <row r="16675" ht="15.75" customHeight="1">
      <c r="A16675" s="2" t="s">
        <v>16675</v>
      </c>
      <c r="B16675" s="2" t="str">
        <f>IFERROR(__xludf.DUMMYFUNCTION("GOOGLETRANSLATE(A16675, ""en"", ""mt"")"),"Prinċep Albert")</f>
        <v>Prinċep Albert</v>
      </c>
    </row>
    <row r="16676" ht="15.75" customHeight="1">
      <c r="A16676" s="2" t="s">
        <v>16676</v>
      </c>
      <c r="B16676" s="2" t="str">
        <f>IFERROR(__xludf.DUMMYFUNCTION("GOOGLETRANSLATE(A16676, ""en"", ""mt"")"),"Ingliż")</f>
        <v>Ingliż</v>
      </c>
    </row>
    <row r="16677" ht="15.75" customHeight="1">
      <c r="A16677" s="2" t="s">
        <v>16677</v>
      </c>
      <c r="B16677" s="2" t="str">
        <f>IFERROR(__xludf.DUMMYFUNCTION("GOOGLETRANSLATE(A16677, ""en"", ""mt"")"),"Il-proġett għandu jaderixxi mar-rekwiżiti tal-kodiċi taż-żona u tal-bini. Il-kostruzzjoni ta 'proġett li tonqos milli taderixxi mal-kodiċi ma tibbenefikax lis-sid. Xi ħtiġijiet legali jiġu minn malum f'kunsiderazzjonijiet SE, jew ix-xewqa li jiġu evitati "&amp;"affarijiet li huma indiskutibbli - il-pont jiġġarraf jew l-isplużjonijiet. Rekwiżiti legali oħra ġejjin minn konsiderazzjonijiet ta 'malum projbim, jew affarijiet li huma kwistjoni ta' drawwa jew aspettattiva, bħalma huma l-iżolament ta 'negozji għal dist"&amp;"rett ta' negozju u residenzi għal distrett residenzjali. Avukat jista 'jfittex bidliet jew eżenzjonijiet fil-liġi li jirregola l-art fejn se jinbena l-bini, jew billi jargumenta li regola mhix applikabbli (id-disinn tal-pont ma jikkawżax kollass), jew li "&amp;"d-drawwa m'għadhiex meħtieġa (aċċettazzjoni Spazji ta 'xogħol ħaj kiber fil-komunità).")</f>
        <v>Il-proġett għandu jaderixxi mar-rekwiżiti tal-kodiċi taż-żona u tal-bini. Il-kostruzzjoni ta 'proġett li tonqos milli taderixxi mal-kodiċi ma tibbenefikax lis-sid. Xi ħtiġijiet legali jiġu minn malum f'kunsiderazzjonijiet SE, jew ix-xewqa li jiġu evitati affarijiet li huma indiskutibbli - il-pont jiġġarraf jew l-isplużjonijiet. Rekwiżiti legali oħra ġejjin minn konsiderazzjonijiet ta 'malum projbim, jew affarijiet li huma kwistjoni ta' drawwa jew aspettattiva, bħalma huma l-iżolament ta 'negozji għal distrett ta' negozju u residenzi għal distrett residenzjali. Avukat jista 'jfittex bidliet jew eżenzjonijiet fil-liġi li jirregola l-art fejn se jinbena l-bini, jew billi jargumenta li regola mhix applikabbli (id-disinn tal-pont ma jikkawżax kollass), jew li d-drawwa m'għadhiex meħtieġa (aċċettazzjoni Spazji ta 'xogħol ħaj kiber fil-komunità).</v>
      </c>
    </row>
    <row r="16678" ht="15.75" customHeight="1">
      <c r="A16678" s="2" t="s">
        <v>16678</v>
      </c>
      <c r="B16678" s="2" t="str">
        <f>IFERROR(__xludf.DUMMYFUNCTION("GOOGLETRANSLATE(A16678, ""en"", ""mt"")"),"Il-Ferrovija tal-Kosta tal-Lvant tal-Florida")</f>
        <v>Il-Ferrovija tal-Kosta tal-Lvant tal-Florida</v>
      </c>
    </row>
    <row r="16679" ht="15.75" customHeight="1">
      <c r="A16679" s="2" t="s">
        <v>16679</v>
      </c>
      <c r="B16679" s="2" t="str">
        <f>IFERROR(__xludf.DUMMYFUNCTION("GOOGLETRANSLATE(A16679, ""en"", ""mt"")"),"Il-lingwa formali")</f>
        <v>Il-lingwa formali</v>
      </c>
    </row>
    <row r="16680" ht="15.75" customHeight="1">
      <c r="A16680" s="2" t="s">
        <v>16680</v>
      </c>
      <c r="B16680" s="2" t="str">
        <f>IFERROR(__xludf.DUMMYFUNCTION("GOOGLETRANSLATE(A16680, ""en"", ""mt"")"),"Korp tal-knisja superviżorja")</f>
        <v>Korp tal-knisja superviżorja</v>
      </c>
    </row>
    <row r="16681" ht="15.75" customHeight="1">
      <c r="A16681" s="2" t="s">
        <v>16681</v>
      </c>
      <c r="B16681" s="2" t="str">
        <f>IFERROR(__xludf.DUMMYFUNCTION("GOOGLETRANSLATE(A16681, ""en"", ""mt"")"),"B'liema mod il-kordi tal-idea jittrasmettu l-forzi tat-teżjoni?")</f>
        <v>B'liema mod il-kordi tal-idea jittrasmettu l-forzi tat-teżjoni?</v>
      </c>
    </row>
    <row r="16682" ht="15.75" customHeight="1">
      <c r="A16682" s="2" t="s">
        <v>16682</v>
      </c>
      <c r="B16682" s="2" t="str">
        <f>IFERROR(__xludf.DUMMYFUNCTION("GOOGLETRANSLATE(A16682, ""en"", ""mt"")"),"Infrastruttura ta 'transitu msaħħa, shuttles possibbli miftuħa għall-pubbliku, u l-ispazju tal-park")</f>
        <v>Infrastruttura ta 'transitu msaħħa, shuttles possibbli miftuħa għall-pubbliku, u l-ispazju tal-park</v>
      </c>
    </row>
    <row r="16683" ht="15.75" customHeight="1">
      <c r="A16683" s="2" t="s">
        <v>16683</v>
      </c>
      <c r="B16683" s="2" t="str">
        <f>IFERROR(__xludf.DUMMYFUNCTION("GOOGLETRANSLATE(A16683, ""en"", ""mt"")"),"Għaliex mhumiex xi forom ta 'hæmatococcus pluvialis aħdar?")</f>
        <v>Għaliex mhumiex xi forom ta 'hæmatococcus pluvialis aħdar?</v>
      </c>
    </row>
    <row r="16684" ht="15.75" customHeight="1">
      <c r="A16684" s="2" t="s">
        <v>16684</v>
      </c>
      <c r="B16684" s="2" t="str">
        <f>IFERROR(__xludf.DUMMYFUNCTION("GOOGLETRANSLATE(A16684, ""en"", ""mt"")"),"L-indiema vera ma tinvolvix penitenzi u pieni li jinfetħu lilhom infushom iżda pjuttost bidla fil-qalb.")</f>
        <v>L-indiema vera ma tinvolvix penitenzi u pieni li jinfetħu lilhom infushom iżda pjuttost bidla fil-qalb.</v>
      </c>
    </row>
    <row r="16685" ht="15.75" customHeight="1">
      <c r="A16685" s="2" t="s">
        <v>16685</v>
      </c>
      <c r="B16685" s="2" t="str">
        <f>IFERROR(__xludf.DUMMYFUNCTION("GOOGLETRANSLATE(A16685, ""en"", ""mt"")"),"Mejju 2000")</f>
        <v>Mejju 2000</v>
      </c>
    </row>
    <row r="16686" ht="15.75" customHeight="1">
      <c r="A16686" s="2" t="s">
        <v>16686</v>
      </c>
      <c r="B16686" s="2" t="str">
        <f>IFERROR(__xludf.DUMMYFUNCTION("GOOGLETRANSLATE(A16686, ""en"", ""mt"")"),"X’jaħdmu l-pagi bl-istess mod bħal għal xi ġid ieħor?")</f>
        <v>X’jaħdmu l-pagi bl-istess mod bħal għal xi ġid ieħor?</v>
      </c>
    </row>
    <row r="16687" ht="15.75" customHeight="1">
      <c r="A16687" s="2" t="s">
        <v>16687</v>
      </c>
      <c r="B16687" s="2" t="str">
        <f>IFERROR(__xludf.DUMMYFUNCTION("GOOGLETRANSLATE(A16687, ""en"", ""mt"")"),"Trattament dettaljat bil-mekkanika statistika")</f>
        <v>Trattament dettaljat bil-mekkanika statistika</v>
      </c>
    </row>
    <row r="16688" ht="15.75" customHeight="1">
      <c r="A16688" s="2" t="s">
        <v>16688</v>
      </c>
      <c r="B16688" s="2" t="str">
        <f>IFERROR(__xludf.DUMMYFUNCTION("GOOGLETRANSLATE(A16688, ""en"", ""mt"")"),"X'inhu ""Il-Bieb""?")</f>
        <v>X'inhu "Il-Bieb"?</v>
      </c>
    </row>
    <row r="16689" ht="15.75" customHeight="1">
      <c r="A16689" s="2" t="s">
        <v>16689</v>
      </c>
      <c r="B16689" s="2" t="str">
        <f>IFERROR(__xludf.DUMMYFUNCTION("GOOGLETRANSLATE(A16689, ""en"", ""mt"")"),"Thoreau jargumenta li s-soltu r-regoli tal-maġġoranza imma l-opinjonijiet tagħhom kollettivament huma xi kultant?")</f>
        <v>Thoreau jargumenta li s-soltu r-regoli tal-maġġoranza imma l-opinjonijiet tagħhom kollettivament huma xi kultant?</v>
      </c>
    </row>
    <row r="16690" ht="15.75" customHeight="1">
      <c r="A16690" s="2" t="s">
        <v>16690</v>
      </c>
      <c r="B16690" s="2" t="str">
        <f>IFERROR(__xludf.DUMMYFUNCTION("GOOGLETRANSLATE(A16690, ""en"", ""mt"")"),"6 seklu")</f>
        <v>6 seklu</v>
      </c>
    </row>
    <row r="16691" ht="15.75" customHeight="1">
      <c r="A16691" s="2" t="s">
        <v>16691</v>
      </c>
      <c r="B16691" s="2" t="str">
        <f>IFERROR(__xludf.DUMMYFUNCTION("GOOGLETRANSLATE(A16691, ""en"", ""mt"")"),"Il-pjan li d-delegati qablu li qatt ma ġie rratifikat mil-leġiżlaturi kolonjali u lanqas approvat mill-Kuruna")</f>
        <v>Il-pjan li d-delegati qablu li qatt ma ġie rratifikat mil-leġiżlaturi kolonjali u lanqas approvat mill-Kuruna</v>
      </c>
    </row>
    <row r="16692" ht="15.75" customHeight="1">
      <c r="A16692" s="2" t="s">
        <v>16692</v>
      </c>
      <c r="B16692" s="2" t="str">
        <f>IFERROR(__xludf.DUMMYFUNCTION("GOOGLETRANSLATE(A16692, ""en"", ""mt"")"),"Kampus tal-Università ta ’Chicago")</f>
        <v>Kampus tal-Università ta ’Chicago</v>
      </c>
    </row>
    <row r="16693" ht="15.75" customHeight="1">
      <c r="A16693" s="2" t="s">
        <v>16693</v>
      </c>
      <c r="B16693" s="2" t="str">
        <f>IFERROR(__xludf.DUMMYFUNCTION("GOOGLETRANSLATE(A16693, ""en"", ""mt"")"),"Le Grand jitlob varjazzjoni ta 'liema tliet termini?")</f>
        <v>Le Grand jitlob varjazzjoni ta 'liema tliet termini?</v>
      </c>
    </row>
    <row r="16694" ht="15.75" customHeight="1">
      <c r="A16694" s="2" t="s">
        <v>16694</v>
      </c>
      <c r="B16694" s="2" t="str">
        <f>IFERROR(__xludf.DUMMYFUNCTION("GOOGLETRANSLATE(A16694, ""en"", ""mt"")"),"Il-Maroons jikkompetu fid-Diviżjoni III tal-NCAA bħala membri tal-Assoċjazzjoni tal-Atletika tal-Università (UAA). L-università kienet membru fundatur tal-Big Ten Conference u pparteċipat fil-basketball tal-irġiel u l-futbol tal-irġiel tad-Diviżjoni I tal"&amp;"-NCAA u kienet parteċipant regolari fil-kampjonat tal-basketball tal-irġiel. Fl-1935, l-Università ta ’Chicago laħqet il-ħelu sittax. Fl-1935, il-plejer tal-futbol ta 'Chicago Maroons Jay Berwanger sar l-ewwel rebbieħ tat-Trofew Heisman. Madankollu, l-uni"&amp;"versità għażlet li tirtira mill-konferenza fl-1946 wara li l-President tal-Università Robert Maynard Hutchins de-enfasizza l-atletika tal-varsity fl-1939 u waqqa 'l-futbol. (Fl-1969, Chicago reġgħet daħlet il-futbol bħala tim tad-Diviżjoni III, u terġa 't"&amp;"ilgħab il-logħob tad-dar tagħha fil-Field Stagg il-ġdid.)")</f>
        <v>Il-Maroons jikkompetu fid-Diviżjoni III tal-NCAA bħala membri tal-Assoċjazzjoni tal-Atletika tal-Università (UAA). L-università kienet membru fundatur tal-Big Ten Conference u pparteċipat fil-basketball tal-irġiel u l-futbol tal-irġiel tad-Diviżjoni I tal-NCAA u kienet parteċipant regolari fil-kampjonat tal-basketball tal-irġiel. Fl-1935, l-Università ta ’Chicago laħqet il-ħelu sittax. Fl-1935, il-plejer tal-futbol ta 'Chicago Maroons Jay Berwanger sar l-ewwel rebbieħ tat-Trofew Heisman. Madankollu, l-università għażlet li tirtira mill-konferenza fl-1946 wara li l-President tal-Università Robert Maynard Hutchins de-enfasizza l-atletika tal-varsity fl-1939 u waqqa 'l-futbol. (Fl-1969, Chicago reġgħet daħlet il-futbol bħala tim tad-Diviżjoni III, u terġa 'tilgħab il-logħob tad-dar tagħha fil-Field Stagg il-ġdid.)</v>
      </c>
    </row>
    <row r="16695" ht="15.75" customHeight="1">
      <c r="A16695" s="2" t="s">
        <v>16695</v>
      </c>
      <c r="B16695" s="2" t="str">
        <f>IFERROR(__xludf.DUMMYFUNCTION("GOOGLETRANSLATE(A16695, ""en"", ""mt"")"),"B'mod partikolari, din in-norma ssir iżgħar meta numru jiġi mmultiplikat b'P, f'kuntrast qawwi mal-valur assolut tas-soltu (imsejjaħ ukoll bħala l-prim infinit). Waqt li tlesti Q (bejn wieħed u ieħor, il-mili tal-lakuni) fir-rigward tal-valur assolut jagħ"&amp;"ti l-qasam tan-numri reali, it-tlestija fir-rigward tan-norma P-ADIC | - | P twassal il-qasam tan-numri P-ADIC. Dawn huma essenzjalment il-modi kollha possibbli biex tlesti Q, mit-teorema ta 'Ostrowski. Ċerti mistoqsijiet aritmetiċi relatati ma 'Q jew akt"&amp;"ar oqsma globali ġenerali jistgħu jiġu trasferiti' l quddiem u lura lejn l-oqsma kompluti (jew lokali). Dan il-prinċipju lokali-globali jerġa 'jissottolinja l-importanza tal-primes għat-teorija tan-numri.")</f>
        <v>B'mod partikolari, din in-norma ssir iżgħar meta numru jiġi mmultiplikat b'P, f'kuntrast qawwi mal-valur assolut tas-soltu (imsejjaħ ukoll bħala l-prim infinit). Waqt li tlesti Q (bejn wieħed u ieħor, il-mili tal-lakuni) fir-rigward tal-valur assolut jagħti l-qasam tan-numri reali, it-tlestija fir-rigward tan-norma P-ADIC | - | P twassal il-qasam tan-numri P-ADIC. Dawn huma essenzjalment il-modi kollha possibbli biex tlesti Q, mit-teorema ta 'Ostrowski. Ċerti mistoqsijiet aritmetiċi relatati ma 'Q jew aktar oqsma globali ġenerali jistgħu jiġu trasferiti' l quddiem u lura lejn l-oqsma kompluti (jew lokali). Dan il-prinċipju lokali-globali jerġa 'jissottolinja l-importanza tal-primes għat-teorija tan-numri.</v>
      </c>
    </row>
    <row r="16696" ht="15.75" customHeight="1">
      <c r="A16696" s="2" t="s">
        <v>16696</v>
      </c>
      <c r="B16696" s="2" t="str">
        <f>IFERROR(__xludf.DUMMYFUNCTION("GOOGLETRANSLATE(A16696, ""en"", ""mt"")"),"mikrobi")</f>
        <v>mikrobi</v>
      </c>
    </row>
    <row r="16697" ht="15.75" customHeight="1">
      <c r="A16697" s="2" t="s">
        <v>16697</v>
      </c>
      <c r="B16697" s="2" t="str">
        <f>IFERROR(__xludf.DUMMYFUNCTION("GOOGLETRANSLATE(A16697, ""en"", ""mt"")"),"Erba 'episodji biss qatt kellhom il-wirjiet tal-premiere tagħhom fuq kanali minbarra BBC One. L-20 anniversarju speċjali tal-1983 Il-ħames tobba kellhom id-début tiegħu fit-23 ta 'Novembru (id-data attwali tal-anniversarju) fuq numru ta' stazzjonijiet tal"&amp;"-PBS jumejn qabel ix-xandira BBC One tagħha. L-istorja tal-1988 Silver Nemesis ġiet imxandra bit-tliet episodji kollha li jixxandru lura fuq TVNZ fi New Zealand f'Novembru, wara li l-ewwel episodju kien ġie muri fir-Renju Unit iżda qabel l-aħħar żewġ paga"&amp;"menti kienu jixxandru hemmhekk. Fl-aħħarnett, il-film televiżiv tal-1996 premièred fit-12 ta 'Mejju 1996 fuq CITV f'Edmonton, il-Kanada, 15-il jum qabel il-BBC One juri, u jumejn qabel ma jixxandar fuq Fox fl-Istati Uniti. [Ċitazzjoni meħtieġa]")</f>
        <v>Erba 'episodji biss qatt kellhom il-wirjiet tal-premiere tagħhom fuq kanali minbarra BBC One. L-20 anniversarju speċjali tal-1983 Il-ħames tobba kellhom id-début tiegħu fit-23 ta 'Novembru (id-data attwali tal-anniversarju) fuq numru ta' stazzjonijiet tal-PBS jumejn qabel ix-xandira BBC One tagħha. L-istorja tal-1988 Silver Nemesis ġiet imxandra bit-tliet episodji kollha li jixxandru lura fuq TVNZ fi New Zealand f'Novembru, wara li l-ewwel episodju kien ġie muri fir-Renju Unit iżda qabel l-aħħar żewġ pagamenti kienu jixxandru hemmhekk. Fl-aħħarnett, il-film televiżiv tal-1996 premièred fit-12 ta 'Mejju 1996 fuq CITV f'Edmonton, il-Kanada, 15-il jum qabel il-BBC One juri, u jumejn qabel ma jixxandar fuq Fox fl-Istati Uniti. [Ċitazzjoni meħtieġa]</v>
      </c>
    </row>
    <row r="16698" ht="15.75" customHeight="1">
      <c r="A16698" s="2" t="s">
        <v>16698</v>
      </c>
      <c r="B16698" s="2" t="str">
        <f>IFERROR(__xludf.DUMMYFUNCTION("GOOGLETRANSLATE(A16698, ""en"", ""mt"")"),"Diviżjoni III tal-NCAA")</f>
        <v>Diviżjoni III tal-NCAA</v>
      </c>
    </row>
    <row r="16699" ht="15.75" customHeight="1">
      <c r="A16699" s="2" t="s">
        <v>16699</v>
      </c>
      <c r="B16699" s="2" t="str">
        <f>IFERROR(__xludf.DUMMYFUNCTION("GOOGLETRANSLATE(A16699, ""en"", ""mt"")"),"1980s jew saħansitra l-miġja tat-televiżjoni diġitali fis-snin 2000")</f>
        <v>1980s jew saħansitra l-miġja tat-televiżjoni diġitali fis-snin 2000</v>
      </c>
    </row>
    <row r="16700" ht="15.75" customHeight="1">
      <c r="A16700" s="2" t="s">
        <v>16700</v>
      </c>
      <c r="B16700" s="2" t="str">
        <f>IFERROR(__xludf.DUMMYFUNCTION("GOOGLETRANSLATE(A16700, ""en"", ""mt"")"),"Għaliex in-nies għażlu d-diżubbidjenza ċivili biex jipprotestaw?")</f>
        <v>Għaliex in-nies għażlu d-diżubbidjenza ċivili biex jipprotestaw?</v>
      </c>
    </row>
    <row r="16701" ht="15.75" customHeight="1">
      <c r="A16701" s="2" t="s">
        <v>16701</v>
      </c>
      <c r="B16701" s="2" t="str">
        <f>IFERROR(__xludf.DUMMYFUNCTION("GOOGLETRANSLATE(A16701, ""en"", ""mt"")"),"ċediet b'mod paċifiku mingħajr ma tirreżisti b'mod vjolenti")</f>
        <v>ċediet b'mod paċifiku mingħajr ma tirreżisti b'mod vjolenti</v>
      </c>
    </row>
    <row r="16702" ht="15.75" customHeight="1">
      <c r="A16702" s="2" t="s">
        <v>16702</v>
      </c>
      <c r="B16702" s="2" t="str">
        <f>IFERROR(__xludf.DUMMYFUNCTION("GOOGLETRANSLATE(A16702, ""en"", ""mt"")"),"Għal x'jista 'jiġi trasferit l-oqsma globali ġenerali għal jew minn?")</f>
        <v>Għal x'jista 'jiġi trasferit l-oqsma globali ġenerali għal jew minn?</v>
      </c>
    </row>
    <row r="16703" ht="15.75" customHeight="1">
      <c r="A16703" s="2" t="s">
        <v>16703</v>
      </c>
      <c r="B16703" s="2" t="str">
        <f>IFERROR(__xludf.DUMMYFUNCTION("GOOGLETRANSLATE(A16703, ""en"", ""mt"")"),"Qabel il-ftehim Ewropew, iż-żona li issa kienet tikkostitwixxi Victoria kienet abitata minn numru kbir ta 'popli Aboriġini, magħrufa kollettivament bħala l-Koori. Bil-Gran Brittanja wara li ddikjarat il-kontinent Awstraljan kollu fil-lvant tal-135th Merid"&amp;"ian East fl-1788, ir-Rabat kienet inkluża fil-kolonja usa 'ta' New South Wales. L-ewwel ftehim fiż-żona seħħ fl-1803 fil-Bajja ta 'Sullivan, u ħafna minn dak li issa huwa Victoria kien inkluż fid-distrett ta' Port Phillip fl-1836, diviżjoni amministrattiv"&amp;"a ta 'New South Wales. Victoria inħolqot uffiċjalment kolonja separata fl-1851, u kisbet l-awto-gvern fl-1855. L-għaġla tad-deheb Vittorjan fl-1850s u l-1860 żiedet b'mod sinifikanti kemm il-popolazzjoni kif ukoll il-ġid tal-kolonja, u mill-Federazzjoni t"&amp;"al-Awstralja fl-1901, Melbourne kienet saret L-akbar belt u ċentru finanzjarju ewlieni fl-Awstralasja. Melbourne serva wkoll bħala kapitali tal-Awstralja sal-kostruzzjoni ta 'Canberra fl-1927, bil-laqgħa tal-Parlament Federali fil-Kamra tal-Parlament ta' "&amp;"Melbourne u l-uffiċċji prinċipali kollha tal-gvern federali li huma bbażati f'Melbourne.")</f>
        <v>Qabel il-ftehim Ewropew, iż-żona li issa kienet tikkostitwixxi Victoria kienet abitata minn numru kbir ta 'popli Aboriġini, magħrufa kollettivament bħala l-Koori. Bil-Gran Brittanja wara li ddikjarat il-kontinent Awstraljan kollu fil-lvant tal-135th Meridian East fl-1788, ir-Rabat kienet inkluża fil-kolonja usa 'ta' New South Wales. L-ewwel ftehim fiż-żona seħħ fl-1803 fil-Bajja ta 'Sullivan, u ħafna minn dak li issa huwa Victoria kien inkluż fid-distrett ta' Port Phillip fl-1836, diviżjoni amministrattiva ta 'New South Wales. Victoria inħolqot uffiċjalment kolonja separata fl-1851, u kisbet l-awto-gvern fl-1855. L-għaġla tad-deheb Vittorjan fl-1850s u l-1860 żiedet b'mod sinifikanti kemm il-popolazzjoni kif ukoll il-ġid tal-kolonja, u mill-Federazzjoni tal-Awstralja fl-1901, Melbourne kienet saret L-akbar belt u ċentru finanzjarju ewlieni fl-Awstralasja. Melbourne serva wkoll bħala kapitali tal-Awstralja sal-kostruzzjoni ta 'Canberra fl-1927, bil-laqgħa tal-Parlament Federali fil-Kamra tal-Parlament ta' Melbourne u l-uffiċċji prinċipali kollha tal-gvern federali li huma bbażati f'Melbourne.</v>
      </c>
    </row>
    <row r="16704" ht="15.75" customHeight="1">
      <c r="A16704" s="2" t="s">
        <v>16704</v>
      </c>
      <c r="B16704" s="2" t="str">
        <f>IFERROR(__xludf.DUMMYFUNCTION("GOOGLETRANSLATE(A16704, ""en"", ""mt"")"),"Liema Papa bħala nattiv tal-Polonja?")</f>
        <v>Liema Papa bħala nattiv tal-Polonja?</v>
      </c>
    </row>
    <row r="16705" ht="15.75" customHeight="1">
      <c r="A16705" s="2" t="s">
        <v>16705</v>
      </c>
      <c r="B16705" s="2" t="str">
        <f>IFERROR(__xludf.DUMMYFUNCTION("GOOGLETRANSLATE(A16705, ""en"", ""mt"")"),"Liema pajjiż huwa l-iktar dipendenti fuq iż-żejt Għarbi?")</f>
        <v>Liema pajjiż huwa l-iktar dipendenti fuq iż-żejt Għarbi?</v>
      </c>
    </row>
    <row r="16706" ht="15.75" customHeight="1">
      <c r="A16706" s="2" t="s">
        <v>16706</v>
      </c>
      <c r="B16706" s="2" t="str">
        <f>IFERROR(__xludf.DUMMYFUNCTION("GOOGLETRANSLATE(A16706, ""en"", ""mt"")"),"Fejn kienet il-post tar-rivoluzzjoni tal-warda tal-2003?")</f>
        <v>Fejn kienet il-post tar-rivoluzzjoni tal-warda tal-2003?</v>
      </c>
    </row>
    <row r="16707" ht="15.75" customHeight="1">
      <c r="A16707" s="2" t="s">
        <v>16707</v>
      </c>
      <c r="B16707" s="2" t="str">
        <f>IFERROR(__xludf.DUMMYFUNCTION("GOOGLETRANSLATE(A16707, ""en"", ""mt"")"),"statistiku")</f>
        <v>statistiku</v>
      </c>
    </row>
    <row r="16708" ht="15.75" customHeight="1">
      <c r="A16708" s="2" t="s">
        <v>16708</v>
      </c>
      <c r="B16708" s="2" t="str">
        <f>IFERROR(__xludf.DUMMYFUNCTION("GOOGLETRANSLATE(A16708, ""en"", ""mt"")"),"Aktar minn 90")</f>
        <v>Aktar minn 90</v>
      </c>
    </row>
    <row r="16709" ht="15.75" customHeight="1">
      <c r="A16709" s="2" t="s">
        <v>16709</v>
      </c>
      <c r="B16709" s="2" t="str">
        <f>IFERROR(__xludf.DUMMYFUNCTION("GOOGLETRANSLATE(A16709, ""en"", ""mt"")"),"Li tipprova li xi waħda minn dawn il-klassijiet hija inugwali")</f>
        <v>Li tipprova li xi waħda minn dawn il-klassijiet hija inugwali</v>
      </c>
    </row>
    <row r="16710" ht="15.75" customHeight="1">
      <c r="A16710" s="2" t="s">
        <v>16710</v>
      </c>
      <c r="B16710" s="2" t="str">
        <f>IFERROR(__xludf.DUMMYFUNCTION("GOOGLETRANSLATE(A16710, ""en"", ""mt"")"),"simbolikament preżenti")</f>
        <v>simbolikament preżenti</v>
      </c>
    </row>
    <row r="16711" ht="15.75" customHeight="1">
      <c r="A16711" s="2" t="s">
        <v>16711</v>
      </c>
      <c r="B16711" s="2" t="str">
        <f>IFERROR(__xludf.DUMMYFUNCTION("GOOGLETRANSLATE(A16711, ""en"", ""mt"")"),"187 pied (57 m)")</f>
        <v>187 pied (57 m)</v>
      </c>
    </row>
    <row r="16712" ht="15.75" customHeight="1">
      <c r="A16712" s="2" t="s">
        <v>16712</v>
      </c>
      <c r="B16712" s="2" t="str">
        <f>IFERROR(__xludf.DUMMYFUNCTION("GOOGLETRANSLATE(A16712, ""en"", ""mt"")"),"Limiti ta 'fuq u t'isfel")</f>
        <v>Limiti ta 'fuq u t'isfel</v>
      </c>
    </row>
    <row r="16713" ht="15.75" customHeight="1">
      <c r="A16713" s="2" t="s">
        <v>16713</v>
      </c>
      <c r="B16713" s="2" t="str">
        <f>IFERROR(__xludf.DUMMYFUNCTION("GOOGLETRANSLATE(A16713, ""en"", ""mt"")"),"Sa Lulju tal-1944, l-Armata l-Ħamra kienet fil-fond fit-territorju Pollakk u ssegwi l-Ġermaniżi lejn Varsavja. Meta tkun taf li Stalin kien ostili għall-idea ta 'Polonja indipendenti, il-gvern Pollakk fl-eżilju f'Londra ta ordnijiet lill-Armata tad-Dar ta"&amp;"ħt l-art (AK) biex tipprova taħtaf il-kontroll ta' Varsavja mill-Ġermaniżi qabel ma waslet l-Armata l-Ħamra. Għalhekk, fl-1 ta ’Awwissu 1944, hekk kif l-Armata l-Ħamra kienet waslet il-belt, bdiet ir-rewwixta ta’ Varsavja. It-taqbida armata, ippjanata li "&amp;"ddum 48 siegħa, kienet parzjalment ta ’suċċess, madankollu kompliet għal 63 jum. Eventwalment il-ġellieda tal-armata tad-dar u ċ-ċivili li jgħinuhom kienu mġiegħla jikkapitulaw. Huma ġew ittrasportati lejn kampijiet POW fil-Ġermanja, filwaqt li l-popolazz"&amp;"joni ċivili kollha ġiet imkeċċija. L-imwiet ċivili Pollakki huma stmati għal bejn 150,000 u 200,000.")</f>
        <v>Sa Lulju tal-1944, l-Armata l-Ħamra kienet fil-fond fit-territorju Pollakk u ssegwi l-Ġermaniżi lejn Varsavja. Meta tkun taf li Stalin kien ostili għall-idea ta 'Polonja indipendenti, il-gvern Pollakk fl-eżilju f'Londra ta ordnijiet lill-Armata tad-Dar taħt l-art (AK) biex tipprova taħtaf il-kontroll ta' Varsavja mill-Ġermaniżi qabel ma waslet l-Armata l-Ħamra. Għalhekk, fl-1 ta ’Awwissu 1944, hekk kif l-Armata l-Ħamra kienet waslet il-belt, bdiet ir-rewwixta ta’ Varsavja. It-taqbida armata, ippjanata li ddum 48 siegħa, kienet parzjalment ta ’suċċess, madankollu kompliet għal 63 jum. Eventwalment il-ġellieda tal-armata tad-dar u ċ-ċivili li jgħinuhom kienu mġiegħla jikkapitulaw. Huma ġew ittrasportati lejn kampijiet POW fil-Ġermanja, filwaqt li l-popolazzjoni ċivili kollha ġiet imkeċċija. L-imwiet ċivili Pollakki huma stmati għal bejn 150,000 u 200,000.</v>
      </c>
    </row>
    <row r="16714" ht="15.75" customHeight="1">
      <c r="A16714" s="2" t="s">
        <v>16714</v>
      </c>
      <c r="B16714" s="2" t="str">
        <f>IFERROR(__xludf.DUMMYFUNCTION("GOOGLETRANSLATE(A16714, ""en"", ""mt"")"),"Studjużi oħra jsostnu li l-kliem ta ’Luther issellfu liema element għal suspett Nisrani tal-Lhud?")</f>
        <v>Studjużi oħra jsostnu li l-kliem ta ’Luther issellfu liema element għal suspett Nisrani tal-Lhud?</v>
      </c>
    </row>
    <row r="16715" ht="15.75" customHeight="1">
      <c r="A16715" s="2" t="s">
        <v>16715</v>
      </c>
      <c r="B16715" s="2" t="str">
        <f>IFERROR(__xludf.DUMMYFUNCTION("GOOGLETRANSLATE(A16715, ""en"", ""mt"")"),"Is-Saturn IB kienet verżjoni aġġornata tas-Saturn I. L-ewwel stadju S-IB żied l-ispinta għal 1,600,000 lira-forza (7,120 kN), u t-tieni stadju ħa post l-S-IV bl-S-IVB-200, imħaddem minn Magna waħda J-2 tinħaraq fjuwil ta 'idroġenu likwidu b'LOX, biex tipp"&amp;"roduċi 200,000 lbf (890 kN) ta' l-ispinta. Verżjoni li tista 'tinbeda mill-ġdid tas-S-IVB intużat bħala t-tielet stadju tas-Saturn V. Is-Saturn IB jista' jibgħat aktar minn 40,000 lira (18,100 kg) f'orbita baxxa tad-Dinja, suffiċjenti għal CSM parzjalment"&amp;" alimentat jew LM. Il-vetturi u t-titjiriet tat-tnedija ta 'Saturn IB ġew innominati b'numru tas-serje AS-200, ""bħala"" li jindika ""Apollo Saturn"" u t- ""2"" li jindikaw it-tieni membru tal-familja tar-rokits Saturn.")</f>
        <v>Is-Saturn IB kienet verżjoni aġġornata tas-Saturn I. L-ewwel stadju S-IB żied l-ispinta għal 1,600,000 lira-forza (7,120 kN), u t-tieni stadju ħa post l-S-IV bl-S-IVB-200, imħaddem minn Magna waħda J-2 tinħaraq fjuwil ta 'idroġenu likwidu b'LOX, biex tipproduċi 200,000 lbf (890 kN) ta' l-ispinta. Verżjoni li tista 'tinbeda mill-ġdid tas-S-IVB intużat bħala t-tielet stadju tas-Saturn V. Is-Saturn IB jista' jibgħat aktar minn 40,000 lira (18,100 kg) f'orbita baxxa tad-Dinja, suffiċjenti għal CSM parzjalment alimentat jew LM. Il-vetturi u t-titjiriet tat-tnedija ta 'Saturn IB ġew innominati b'numru tas-serje AS-200, "bħala" li jindika "Apollo Saturn" u t- "2" li jindikaw it-tieni membru tal-familja tar-rokits Saturn.</v>
      </c>
    </row>
    <row r="16716" ht="15.75" customHeight="1">
      <c r="A16716" s="2" t="s">
        <v>16716</v>
      </c>
      <c r="B16716" s="2" t="str">
        <f>IFERROR(__xludf.DUMMYFUNCTION("GOOGLETRANSLATE(A16716, ""en"", ""mt"")"),"Liema katidral jinsab f'Fenham?")</f>
        <v>Liema katidral jinsab f'Fenham?</v>
      </c>
    </row>
    <row r="16717" ht="15.75" customHeight="1">
      <c r="A16717" s="2" t="s">
        <v>16717</v>
      </c>
      <c r="B16717" s="2" t="str">
        <f>IFERROR(__xludf.DUMMYFUNCTION("GOOGLETRANSLATE(A16717, ""en"", ""mt"")"),"Skond it-tnaqqis, jekk X u Y jistgħu jissolvew bl-istess algoritmu allura X iwettaq liema funzjoni f'relazzjoni ma 'Y?")</f>
        <v>Skond it-tnaqqis, jekk X u Y jistgħu jissolvew bl-istess algoritmu allura X iwettaq liema funzjoni f'relazzjoni ma 'Y?</v>
      </c>
    </row>
    <row r="16718" ht="15.75" customHeight="1">
      <c r="A16718" s="2" t="s">
        <v>16718</v>
      </c>
      <c r="B16718" s="2" t="str">
        <f>IFERROR(__xludf.DUMMYFUNCTION("GOOGLETRANSLATE(A16718, ""en"", ""mt"")"),"Ir-rispons ewlieni tas-sistema immuni għat-tumuri huwa li jeqred iċ-ċelloli anormali bl-użu ta 'ċelloli T qattiel, xi kultant bl-għajnuna ta' ċelloli T helper. L-antiġeni tat-tumur huma ppreżentati fuq molekuli tal-klassi I MHC b'mod simili għal antiġeni "&amp;"virali. Dan jippermetti liċ-ċelloli T qattiel jirrikonoxxu ċ-ċellula tat-tumur bħala anormali. Iċ-ċelloli NK joqtlu wkoll ċelloli tat-tumur b'mod simili, speċjalment jekk iċ-ċelloli tat-tumur għandhom inqas molekuli tal-klassi I MHC fuq il-wiċċ tagħhom mi"&amp;"n-normal; Dan huwa fenomenu komuni bit-tumuri. Kultant l-antikorpi huma ġġenerati kontra ċelloli tat-tumur li jippermettu l-qerda tagħhom mis-sistema ta 'komplement.")</f>
        <v>Ir-rispons ewlieni tas-sistema immuni għat-tumuri huwa li jeqred iċ-ċelloli anormali bl-użu ta 'ċelloli T qattiel, xi kultant bl-għajnuna ta' ċelloli T helper. L-antiġeni tat-tumur huma ppreżentati fuq molekuli tal-klassi I MHC b'mod simili għal antiġeni virali. Dan jippermetti liċ-ċelloli T qattiel jirrikonoxxu ċ-ċellula tat-tumur bħala anormali. Iċ-ċelloli NK joqtlu wkoll ċelloli tat-tumur b'mod simili, speċjalment jekk iċ-ċelloli tat-tumur għandhom inqas molekuli tal-klassi I MHC fuq il-wiċċ tagħhom min-normal; Dan huwa fenomenu komuni bit-tumuri. Kultant l-antikorpi huma ġġenerati kontra ċelloli tat-tumur li jippermettu l-qerda tagħhom mis-sistema ta 'komplement.</v>
      </c>
    </row>
    <row r="16719" ht="15.75" customHeight="1">
      <c r="A16719" s="2" t="s">
        <v>16719</v>
      </c>
      <c r="B16719" s="2" t="str">
        <f>IFERROR(__xludf.DUMMYFUNCTION("GOOGLETRANSLATE(A16719, ""en"", ""mt"")"),"Xi kloroplasti fihom struttura msejħa r-retikolu periferali tal-kloroplast. Ħafna drabi jinstab fil-kloroplasti tal-pjanti C4, għalkemm instab ukoll f'xi anġjospermi C3, u anke f'xi ġinnasju. Ir-retikolu periferali tal-kloroplast jikkonsisti minn labirint"&amp;" ta 'tubi membranużi u vesikuli kontinwi bil-membrana ta' kloroplast ta 'ġewwa li testendi fil-fluwidu stromali intern tal-kloroplast. L-iskop tiegħu huwa maħsub li huwa li żżid l-erja tal-kloroplast għat-trasport tal-membrana bejn l-istoma u ċ-ċitoplasma"&amp;" taċ-ċellula. Il-vesikuli żgħar xi kultant osservati jistgħu jservu bħala vesikuli tat-trasport biex jegħlbu l-għalf bejn it-tilkoids u l-ispazju intermembrane.")</f>
        <v>Xi kloroplasti fihom struttura msejħa r-retikolu periferali tal-kloroplast. Ħafna drabi jinstab fil-kloroplasti tal-pjanti C4, għalkemm instab ukoll f'xi anġjospermi C3, u anke f'xi ġinnasju. Ir-retikolu periferali tal-kloroplast jikkonsisti minn labirint ta 'tubi membranużi u vesikuli kontinwi bil-membrana ta' kloroplast ta 'ġewwa li testendi fil-fluwidu stromali intern tal-kloroplast. L-iskop tiegħu huwa maħsub li huwa li żżid l-erja tal-kloroplast għat-trasport tal-membrana bejn l-istoma u ċ-ċitoplasma taċ-ċellula. Il-vesikuli żgħar xi kultant osservati jistgħu jservu bħala vesikuli tat-trasport biex jegħlbu l-għalf bejn it-tilkoids u l-ispazju intermembrane.</v>
      </c>
    </row>
    <row r="16720" ht="15.75" customHeight="1">
      <c r="A16720" s="2" t="s">
        <v>16720</v>
      </c>
      <c r="B16720" s="2" t="str">
        <f>IFERROR(__xludf.DUMMYFUNCTION("GOOGLETRANSLATE(A16720, ""en"", ""mt"")"),"X'inhu l-ammont minimu ta 'żmien qabel ma kont jista' jidħol fil-liġi?")</f>
        <v>X'inhu l-ammont minimu ta 'żmien qabel ma kont jista' jidħol fil-liġi?</v>
      </c>
    </row>
    <row r="16721" ht="15.75" customHeight="1">
      <c r="A16721" s="2" t="s">
        <v>16721</v>
      </c>
      <c r="B16721" s="2" t="str">
        <f>IFERROR(__xludf.DUMMYFUNCTION("GOOGLETRANSLATE(A16721, ""en"", ""mt"")"),"It-teħid ta 'kampjuni tad-dejta huwa preġudikat' il bogħod miċ-ċentru tal-baċin tal-Amazon")</f>
        <v>It-teħid ta 'kampjuni tad-dejta huwa preġudikat' il bogħod miċ-ċentru tal-baċin tal-Amazon</v>
      </c>
    </row>
    <row r="16722" ht="15.75" customHeight="1">
      <c r="A16722" s="2" t="s">
        <v>16722</v>
      </c>
      <c r="B16722" s="2" t="str">
        <f>IFERROR(__xludf.DUMMYFUNCTION("GOOGLETRANSLATE(A16722, ""en"", ""mt"")"),"konvetti tal-mantell")</f>
        <v>konvetti tal-mantell</v>
      </c>
    </row>
    <row r="16723" ht="15.75" customHeight="1">
      <c r="A16723" s="2" t="s">
        <v>16723</v>
      </c>
      <c r="B16723" s="2" t="str">
        <f>IFERROR(__xludf.DUMMYFUNCTION("GOOGLETRANSLATE(A16723, ""en"", ""mt"")"),"Tabib tal-Ispiżerija (Pharm. D.)")</f>
        <v>Tabib tal-Ispiżerija (Pharm. D.)</v>
      </c>
    </row>
    <row r="16724" ht="15.75" customHeight="1">
      <c r="A16724" s="2" t="s">
        <v>16724</v>
      </c>
      <c r="B16724" s="2" t="str">
        <f>IFERROR(__xludf.DUMMYFUNCTION("GOOGLETRANSLATE(A16724, ""en"", ""mt"")"),"Għaliex hija meħtieġa l-ħtieġa għall-aċċettazzjoni tal-kastig?")</f>
        <v>Għaliex hija meħtieġa l-ħtieġa għall-aċċettazzjoni tal-kastig?</v>
      </c>
    </row>
    <row r="16725" ht="15.75" customHeight="1">
      <c r="A16725" s="2" t="s">
        <v>16725</v>
      </c>
      <c r="B16725" s="2" t="str">
        <f>IFERROR(__xludf.DUMMYFUNCTION("GOOGLETRANSLATE(A16725, ""en"", ""mt"")"),"F'liema lingwa minbarra l-Ingliż kellu l-Parlament Skoċċiż li kellu laqgħat?")</f>
        <v>F'liema lingwa minbarra l-Ingliż kellu l-Parlament Skoċċiż li kellu laqgħat?</v>
      </c>
    </row>
    <row r="16726" ht="15.75" customHeight="1">
      <c r="A16726" s="2" t="s">
        <v>16726</v>
      </c>
      <c r="B16726" s="2" t="str">
        <f>IFERROR(__xludf.DUMMYFUNCTION("GOOGLETRANSLATE(A16726, ""en"", ""mt"")"),"jirreżisti li jwieġbu għall-mistoqsijiet tal-investigaturi")</f>
        <v>jirreżisti li jwieġbu għall-mistoqsijiet tal-investigaturi</v>
      </c>
    </row>
    <row r="16727" ht="15.75" customHeight="1">
      <c r="A16727" s="2" t="s">
        <v>16727</v>
      </c>
      <c r="B16727" s="2" t="str">
        <f>IFERROR(__xludf.DUMMYFUNCTION("GOOGLETRANSLATE(A16727, ""en"", ""mt"")"),"Tesla kif iffinanzja x-xogħol tiegħu?")</f>
        <v>Tesla kif iffinanzja x-xogħol tiegħu?</v>
      </c>
    </row>
    <row r="16728" ht="15.75" customHeight="1">
      <c r="A16728" s="2" t="s">
        <v>16728</v>
      </c>
      <c r="B16728" s="2" t="str">
        <f>IFERROR(__xludf.DUMMYFUNCTION("GOOGLETRANSLATE(A16728, ""en"", ""mt"")"),"kinematiku")</f>
        <v>kinematiku</v>
      </c>
    </row>
    <row r="16729" ht="15.75" customHeight="1">
      <c r="A16729" s="2" t="s">
        <v>16729</v>
      </c>
      <c r="B16729" s="2" t="str">
        <f>IFERROR(__xludf.DUMMYFUNCTION("GOOGLETRANSLATE(A16729, ""en"", ""mt"")"),"X'tip ta 'ċellula daħlet cynaobacteria żmien ilu?")</f>
        <v>X'tip ta 'ċellula daħlet cynaobacteria żmien ilu?</v>
      </c>
    </row>
    <row r="16730" ht="15.75" customHeight="1">
      <c r="A16730" s="2" t="s">
        <v>16730</v>
      </c>
      <c r="B16730" s="2" t="str">
        <f>IFERROR(__xludf.DUMMYFUNCTION("GOOGLETRANSLATE(A16730, ""en"", ""mt"")"),"Il-plastoglobuli darba kienu maħsuba li huma f'wiċċ l-ilma ħieles fl-istoma, iżda issa huwa maħsub li huma mwaħħlin b'mod permanenti jew ma 'tilkoid jew ma' plastoglobulus ieħor imwaħħal ma 'thylakoid, konfigurazzjoni li tippermetti plastoglobulus biex ti"&amp;"skambja l-kontenut tagħha man-netwerk ta' thylakoid - Fil-kloroplasti ħodor normali, il-maġġoranza l-kbira tal-plastoglobuli jseħħu singularment, imwaħħlin direttament mat-tilakoid ġenitur tagħhom. Fil-kloroplasti qodma jew stressati, il-plastoglobuli għa"&amp;"ndhom it-tendenza li jseħħu fi gruppi jew ktajjen marbuta, li għadhom dejjem ankrati ma 'thylakoid.")</f>
        <v>Il-plastoglobuli darba kienu maħsuba li huma f'wiċċ l-ilma ħieles fl-istoma, iżda issa huwa maħsub li huma mwaħħlin b'mod permanenti jew ma 'tilkoid jew ma' plastoglobulus ieħor imwaħħal ma 'thylakoid, konfigurazzjoni li tippermetti plastoglobulus biex tiskambja l-kontenut tagħha man-netwerk ta' thylakoid - Fil-kloroplasti ħodor normali, il-maġġoranza l-kbira tal-plastoglobuli jseħħu singularment, imwaħħlin direttament mat-tilakoid ġenitur tagħhom. Fil-kloroplasti qodma jew stressati, il-plastoglobuli għandhom it-tendenza li jseħħu fi gruppi jew ktajjen marbuta, li għadhom dejjem ankrati ma 'thylakoid.</v>
      </c>
    </row>
    <row r="16731" ht="15.75" customHeight="1">
      <c r="A16731" s="2" t="s">
        <v>16731</v>
      </c>
      <c r="B16731" s="2" t="str">
        <f>IFERROR(__xludf.DUMMYFUNCTION("GOOGLETRANSLATE(A16731, ""en"", ""mt"")"),"X'inhu l-istadju għall-mertu rwol f'NSFNET")</f>
        <v>X'inhu l-istadju għall-mertu rwol f'NSFNET</v>
      </c>
    </row>
    <row r="16732" ht="15.75" customHeight="1">
      <c r="A16732" s="2" t="s">
        <v>16732</v>
      </c>
      <c r="B16732" s="2" t="str">
        <f>IFERROR(__xludf.DUMMYFUNCTION("GOOGLETRANSLATE(A16732, ""en"", ""mt"")"),"ThereTofore stabbiliti prinċipji ta 'allokazzjoni minn qabel ta' bandwidth tan-netwerk")</f>
        <v>ThereTofore stabbiliti prinċipji ta 'allokazzjoni minn qabel ta' bandwidth tan-netwerk</v>
      </c>
    </row>
    <row r="16733" ht="15.75" customHeight="1">
      <c r="A16733" s="2" t="s">
        <v>16733</v>
      </c>
      <c r="B16733" s="2" t="str">
        <f>IFERROR(__xludf.DUMMYFUNCTION("GOOGLETRANSLATE(A16733, ""en"", ""mt"")"),"Studenti esposti għal għalliem entużjastiku ġeneralment għamlu dak li iktar spiss barra l-klassi?")</f>
        <v>Studenti esposti għal għalliem entużjastiku ġeneralment għamlu dak li iktar spiss barra l-klassi?</v>
      </c>
    </row>
    <row r="16734" ht="15.75" customHeight="1">
      <c r="A16734" s="2" t="s">
        <v>16734</v>
      </c>
      <c r="B16734" s="2" t="str">
        <f>IFERROR(__xludf.DUMMYFUNCTION("GOOGLETRANSLATE(A16734, ""en"", ""mt"")"),"Robert ta 'Jumièges")</f>
        <v>Robert ta 'Jumièges</v>
      </c>
    </row>
    <row r="16735" ht="15.75" customHeight="1">
      <c r="A16735" s="2" t="s">
        <v>16735</v>
      </c>
      <c r="B16735" s="2" t="str">
        <f>IFERROR(__xludf.DUMMYFUNCTION("GOOGLETRANSLATE(A16735, ""en"", ""mt"")"),"X'kien magħruf Henry IV bħal qabel ma ħa t-tron?")</f>
        <v>X'kien magħruf Henry IV bħal qabel ma ħa t-tron?</v>
      </c>
    </row>
    <row r="16736" ht="15.75" customHeight="1">
      <c r="A16736" s="2" t="s">
        <v>16736</v>
      </c>
      <c r="B16736" s="2" t="str">
        <f>IFERROR(__xludf.DUMMYFUNCTION("GOOGLETRANSLATE(A16736, ""en"", ""mt"")"),"Liema kulur huwa phycoerytherin?")</f>
        <v>Liema kulur huwa phycoerytherin?</v>
      </c>
    </row>
    <row r="16737" ht="15.75" customHeight="1">
      <c r="A16737" s="2" t="s">
        <v>16737</v>
      </c>
      <c r="B16737" s="2" t="str">
        <f>IFERROR(__xludf.DUMMYFUNCTION("GOOGLETRANSLATE(A16737, ""en"", ""mt"")"),"bini tal-isptar")</f>
        <v>bini tal-isptar</v>
      </c>
    </row>
    <row r="16738" ht="15.75" customHeight="1">
      <c r="A16738" s="2" t="s">
        <v>16738</v>
      </c>
      <c r="B16738" s="2" t="str">
        <f>IFERROR(__xludf.DUMMYFUNCTION("GOOGLETRANSLATE(A16738, ""en"", ""mt"")"),"It-Tabib tal-Ispiżerija (Pharm. D.) Grad")</f>
        <v>It-Tabib tal-Ispiżerija (Pharm. D.) Grad</v>
      </c>
    </row>
    <row r="16739" ht="15.75" customHeight="1">
      <c r="A16739" s="2" t="s">
        <v>16739</v>
      </c>
      <c r="B16739" s="2" t="str">
        <f>IFERROR(__xludf.DUMMYFUNCTION("GOOGLETRANSLATE(A16739, ""en"", ""mt"")"),"1 / (1-P) n")</f>
        <v>1 / (1-P) n</v>
      </c>
    </row>
    <row r="16740" ht="15.75" customHeight="1">
      <c r="A16740" s="2" t="s">
        <v>16740</v>
      </c>
      <c r="B16740" s="2" t="str">
        <f>IFERROR(__xludf.DUMMYFUNCTION("GOOGLETRANSLATE(A16740, ""en"", ""mt"")"),"Kunflitt ferm akbar bejn Franza u l-Gran Brittanja")</f>
        <v>Kunflitt ferm akbar bejn Franza u l-Gran Brittanja</v>
      </c>
    </row>
    <row r="16741" ht="15.75" customHeight="1">
      <c r="A16741" s="2" t="s">
        <v>16741</v>
      </c>
      <c r="B16741" s="2" t="str">
        <f>IFERROR(__xludf.DUMMYFUNCTION("GOOGLETRANSLATE(A16741, ""en"", ""mt"")"),"Bacteriophage T4")</f>
        <v>Bacteriophage T4</v>
      </c>
    </row>
    <row r="16742" ht="15.75" customHeight="1">
      <c r="A16742" s="2" t="s">
        <v>16742</v>
      </c>
      <c r="B16742" s="2" t="str">
        <f>IFERROR(__xludf.DUMMYFUNCTION("GOOGLETRANSLATE(A16742, ""en"", ""mt"")"),"Haeckelia priża l-aktar fuq liema annimal?")</f>
        <v>Haeckelia priża l-aktar fuq liema annimal?</v>
      </c>
    </row>
    <row r="16743" ht="15.75" customHeight="1">
      <c r="A16743" s="2" t="s">
        <v>16743</v>
      </c>
      <c r="B16743" s="2" t="str">
        <f>IFERROR(__xludf.DUMMYFUNCTION("GOOGLETRANSLATE(A16743, ""en"", ""mt"")"),"fiċ-ċitosol")</f>
        <v>fiċ-ċitosol</v>
      </c>
    </row>
    <row r="16744" ht="15.75" customHeight="1">
      <c r="A16744" s="2" t="s">
        <v>16744</v>
      </c>
      <c r="B16744" s="2" t="str">
        <f>IFERROR(__xludf.DUMMYFUNCTION("GOOGLETRANSLATE(A16744, ""en"", ""mt"")"),"Kemm nies jistmaw l-istoriċi li Genghis Khan inqatel fil-plateau Iranjan?")</f>
        <v>Kemm nies jistmaw l-istoriċi li Genghis Khan inqatel fil-plateau Iranjan?</v>
      </c>
    </row>
    <row r="16745" ht="15.75" customHeight="1">
      <c r="A16745" s="2" t="s">
        <v>16745</v>
      </c>
      <c r="B16745" s="2" t="str">
        <f>IFERROR(__xludf.DUMMYFUNCTION("GOOGLETRANSLATE(A16745, ""en"", ""mt"")"),"Għal ħafna snin, is-Sudan kellu reġim Iżlamista taħt it-tmexxija ta ’Hassan al-Turabi. Il-Front Nazzjonali Iżlamiku tiegħu kiseb l-ewwel influwenza meta l-għotja ġenerali Gaafar al-Nimeiry stiednet lill-membri biex iservu fil-gvern tiegħu fl-1979. Turabi "&amp;"bena bażi ekonomika qawwija bi flus minn sistemi bankarji Iżlamisti barranin, speċjalment dawk marbuta mal-Arabja Sawdija. Huwa rrekluta wkoll u bena qafas ta 'lealiżi influwenti billi poġġa studenti simpatetiċi fl-università u l-akkademja militari waqt l"&amp;"i kien qed iservi bħala Ministru tal-Edukazzjoni.")</f>
        <v>Għal ħafna snin, is-Sudan kellu reġim Iżlamista taħt it-tmexxija ta ’Hassan al-Turabi. Il-Front Nazzjonali Iżlamiku tiegħu kiseb l-ewwel influwenza meta l-għotja ġenerali Gaafar al-Nimeiry stiednet lill-membri biex iservu fil-gvern tiegħu fl-1979. Turabi bena bażi ekonomika qawwija bi flus minn sistemi bankarji Iżlamisti barranin, speċjalment dawk marbuta mal-Arabja Sawdija. Huwa rrekluta wkoll u bena qafas ta 'lealiżi influwenti billi poġġa studenti simpatetiċi fl-università u l-akkademja militari waqt li kien qed iservi bħala Ministru tal-Edukazzjoni.</v>
      </c>
    </row>
    <row r="16746" ht="15.75" customHeight="1">
      <c r="A16746" s="2" t="s">
        <v>16746</v>
      </c>
      <c r="B16746" s="2" t="str">
        <f>IFERROR(__xludf.DUMMYFUNCTION("GOOGLETRANSLATE(A16746, ""en"", ""mt"")"),"antenati")</f>
        <v>antenati</v>
      </c>
    </row>
    <row r="16747" ht="15.75" customHeight="1">
      <c r="A16747" s="2" t="s">
        <v>16747</v>
      </c>
      <c r="B16747" s="2" t="str">
        <f>IFERROR(__xludf.DUMMYFUNCTION("GOOGLETRANSLATE(A16747, ""en"", ""mt"")"),"ħamsa")</f>
        <v>ħamsa</v>
      </c>
    </row>
    <row r="16748" ht="15.75" customHeight="1">
      <c r="A16748" s="2" t="s">
        <v>16748</v>
      </c>
      <c r="B16748" s="2" t="str">
        <f>IFERROR(__xludf.DUMMYFUNCTION("GOOGLETRANSLATE(A16748, ""en"", ""mt"")"),"Tesla, ma tifhimx l-umoriżmu Amerikan tagħna")</f>
        <v>Tesla, ma tifhimx l-umoriżmu Amerikan tagħna</v>
      </c>
    </row>
    <row r="16749" ht="15.75" customHeight="1">
      <c r="A16749" s="2" t="s">
        <v>16749</v>
      </c>
      <c r="B16749" s="2" t="str">
        <f>IFERROR(__xludf.DUMMYFUNCTION("GOOGLETRANSLATE(A16749, ""en"", ""mt"")"),"Diversi professuri tal-Università ta ’Chicago")</f>
        <v>Diversi professuri tal-Università ta ’Chicago</v>
      </c>
    </row>
    <row r="16750" ht="15.75" customHeight="1">
      <c r="A16750" s="2" t="s">
        <v>16750</v>
      </c>
      <c r="B16750" s="2" t="str">
        <f>IFERROR(__xludf.DUMMYFUNCTION("GOOGLETRANSLATE(A16750, ""en"", ""mt"")"),"valur miżjud mix-xogħol, il-kapital u l-art")</f>
        <v>valur miżjud mix-xogħol, il-kapital u l-art</v>
      </c>
    </row>
    <row r="16751" ht="15.75" customHeight="1">
      <c r="A16751" s="2" t="s">
        <v>16751</v>
      </c>
      <c r="B16751" s="2" t="str">
        <f>IFERROR(__xludf.DUMMYFUNCTION("GOOGLETRANSLATE(A16751, ""en"", ""mt"")"),"X'inhi l-unika organizzazzjoni li tista 'titkellem uffiċjalment għall-knisja?")</f>
        <v>X'inhi l-unika organizzazzjoni li tista 'titkellem uffiċjalment għall-knisja?</v>
      </c>
    </row>
    <row r="16752" ht="15.75" customHeight="1">
      <c r="A16752" s="2" t="s">
        <v>16752</v>
      </c>
      <c r="B16752" s="2" t="str">
        <f>IFERROR(__xludf.DUMMYFUNCTION("GOOGLETRANSLATE(A16752, ""en"", ""mt"")"),"żidiet")</f>
        <v>żidiet</v>
      </c>
    </row>
    <row r="16753" ht="15.75" customHeight="1">
      <c r="A16753" s="2" t="s">
        <v>16753</v>
      </c>
      <c r="B16753" s="2" t="str">
        <f>IFERROR(__xludf.DUMMYFUNCTION("GOOGLETRANSLATE(A16753, ""en"", ""mt"")"),"piena kapitali")</f>
        <v>piena kapitali</v>
      </c>
    </row>
    <row r="16754" ht="15.75" customHeight="1">
      <c r="A16754" s="2" t="s">
        <v>16754</v>
      </c>
      <c r="B16754" s="2" t="str">
        <f>IFERROR(__xludf.DUMMYFUNCTION("GOOGLETRANSLATE(A16754, ""en"", ""mt"")"),"Semmi diviżjoni ta 'lussu ta' Toyota.")</f>
        <v>Semmi diviżjoni ta 'lussu ta' Toyota.</v>
      </c>
    </row>
    <row r="16755" ht="15.75" customHeight="1">
      <c r="A16755" s="2" t="s">
        <v>16755</v>
      </c>
      <c r="B16755" s="2" t="str">
        <f>IFERROR(__xludf.DUMMYFUNCTION("GOOGLETRANSLATE(A16755, ""en"", ""mt"")"),"territorju mhux magħruf jew mhux esplorat")</f>
        <v>territorju mhux magħruf jew mhux esplorat</v>
      </c>
    </row>
    <row r="16756" ht="15.75" customHeight="1">
      <c r="A16756" s="2" t="s">
        <v>16756</v>
      </c>
      <c r="B16756" s="2" t="str">
        <f>IFERROR(__xludf.DUMMYFUNCTION("GOOGLETRANSLATE(A16756, ""en"", ""mt"")"),"X’jaħsbu li l-avversarji ta ’Luther kienu jfissru dwar il-preżenza ta’ Alla?")</f>
        <v>X’jaħsbu li l-avversarji ta ’Luther kienu jfissru dwar il-preżenza ta’ Alla?</v>
      </c>
    </row>
    <row r="16757" ht="15.75" customHeight="1">
      <c r="A16757" s="2" t="s">
        <v>16757</v>
      </c>
      <c r="B16757" s="2" t="str">
        <f>IFERROR(__xludf.DUMMYFUNCTION("GOOGLETRANSLATE(A16757, ""en"", ""mt"")"),"L-aħħar missjoni")</f>
        <v>L-aħħar missjoni</v>
      </c>
    </row>
    <row r="16758" ht="15.75" customHeight="1">
      <c r="A16758" s="2" t="s">
        <v>16758</v>
      </c>
      <c r="B16758" s="2" t="str">
        <f>IFERROR(__xludf.DUMMYFUNCTION("GOOGLETRANSLATE(A16758, ""en"", ""mt"")"),"Xmara Trout")</f>
        <v>Xmara Trout</v>
      </c>
    </row>
    <row r="16759" ht="15.75" customHeight="1">
      <c r="A16759" s="2" t="s">
        <v>16759</v>
      </c>
      <c r="B16759" s="2" t="str">
        <f>IFERROR(__xludf.DUMMYFUNCTION("GOOGLETRANSLATE(A16759, ""en"", ""mt"")"),"Ma 'liema kumpanija l-kumpanija ewlenija tan-Netwerk ABC ingħaqdet fis-snin 1980?")</f>
        <v>Ma 'liema kumpanija l-kumpanija ewlenija tan-Netwerk ABC ingħaqdet fis-snin 1980?</v>
      </c>
    </row>
    <row r="16760" ht="15.75" customHeight="1">
      <c r="A16760" s="2" t="s">
        <v>16760</v>
      </c>
      <c r="B16760" s="2" t="str">
        <f>IFERROR(__xludf.DUMMYFUNCTION("GOOGLETRANSLATE(A16760, ""en"", ""mt"")"),"X'għandu jistrieħ fuq il-kastig minflok f'soċjetà ġusta?")</f>
        <v>X'għandu jistrieħ fuq il-kastig minflok f'soċjetà ġusta?</v>
      </c>
    </row>
    <row r="16761" ht="15.75" customHeight="1">
      <c r="A16761" s="2" t="s">
        <v>16761</v>
      </c>
      <c r="B16761" s="2" t="str">
        <f>IFERROR(__xludf.DUMMYFUNCTION("GOOGLETRANSLATE(A16761, ""en"", ""mt"")"),"Wara r-revoka tal-Kuruna Franċiża ta 'l-Editt ta' Nantes, ħafna Huguenots stabbilixxew fl-Irlanda fl-aħħar tas-sekli 17 u kmieni fit-18-il seklu, imħeġġa minn Att tal-Parlament għall-Protestanti li joqogħdu fl-Irlanda. Ir-reġimenti Huguenot iġġieldu għal "&amp;"William ta 'Orange fil-Gwerra ta' Williamite fl-Irlanda, li għalihom ġew ippremjati b'għotjiet u titli tal-art, ħafna joqogħdu f'Dublin. L-insedjamenti sinifikanti ta 'Huguenot kienu f'Dublin, Cork, Portarlington, Lisburn, Waterford u Youghal. L-insedjame"&amp;"nti iżgħar, li kienu jinkludu Killeshandra fil-Kontea ta 'Cavan, ikkontribwew għall-espansjoni tal-kultivazzjoni tal-kittien u t-tkabbir tal-industrija tal-bjankerija Irlandiża.")</f>
        <v>Wara r-revoka tal-Kuruna Franċiża ta 'l-Editt ta' Nantes, ħafna Huguenots stabbilixxew fl-Irlanda fl-aħħar tas-sekli 17 u kmieni fit-18-il seklu, imħeġġa minn Att tal-Parlament għall-Protestanti li joqogħdu fl-Irlanda. Ir-reġimenti Huguenot iġġieldu għal William ta 'Orange fil-Gwerra ta' Williamite fl-Irlanda, li għalihom ġew ippremjati b'għotjiet u titli tal-art, ħafna joqogħdu f'Dublin. L-insedjamenti sinifikanti ta 'Huguenot kienu f'Dublin, Cork, Portarlington, Lisburn, Waterford u Youghal. L-insedjamenti iżgħar, li kienu jinkludu Killeshandra fil-Kontea ta 'Cavan, ikkontribwew għall-espansjoni tal-kultivazzjoni tal-kittien u t-tkabbir tal-industrija tal-bjankerija Irlandiża.</v>
      </c>
    </row>
    <row r="16762" ht="15.75" customHeight="1">
      <c r="A16762" s="2" t="s">
        <v>16762</v>
      </c>
      <c r="B16762" s="2" t="str">
        <f>IFERROR(__xludf.DUMMYFUNCTION("GOOGLETRANSLATE(A16762, ""en"", ""mt"")"),"fqir")</f>
        <v>fqir</v>
      </c>
    </row>
    <row r="16763" ht="15.75" customHeight="1">
      <c r="A16763" s="2" t="s">
        <v>16763</v>
      </c>
      <c r="B16763" s="2" t="str">
        <f>IFERROR(__xludf.DUMMYFUNCTION("GOOGLETRANSLATE(A16763, ""en"", ""mt"")"),"X'tip ta 'forza ma teżistix taħt it-tielet liġi ta' Newton?")</f>
        <v>X'tip ta 'forza ma teżistix taħt it-tielet liġi ta' Newton?</v>
      </c>
    </row>
    <row r="16764" ht="15.75" customHeight="1">
      <c r="A16764" s="2" t="s">
        <v>16764</v>
      </c>
      <c r="B16764" s="2" t="str">
        <f>IFERROR(__xludf.DUMMYFUNCTION("GOOGLETRANSLATE(A16764, ""en"", ""mt"")"),"Ġunju")</f>
        <v>Ġunju</v>
      </c>
    </row>
    <row r="16765" ht="15.75" customHeight="1">
      <c r="A16765" s="2" t="s">
        <v>16765</v>
      </c>
      <c r="B16765" s="2" t="str">
        <f>IFERROR(__xludf.DUMMYFUNCTION("GOOGLETRANSLATE(A16765, ""en"", ""mt"")"),"Victoria_ (l-Awstralja)")</f>
        <v>Victoria_ (l-Awstralja)</v>
      </c>
    </row>
    <row r="16766" ht="15.75" customHeight="1">
      <c r="A16766" s="2" t="s">
        <v>16766</v>
      </c>
      <c r="B16766" s="2" t="str">
        <f>IFERROR(__xludf.DUMMYFUNCTION("GOOGLETRANSLATE(A16766, ""en"", ""mt"")"),"entużjażmu tal-għalliem")</f>
        <v>entużjażmu tal-għalliem</v>
      </c>
    </row>
    <row r="16767" ht="15.75" customHeight="1">
      <c r="A16767" s="2" t="s">
        <v>16767</v>
      </c>
      <c r="B16767" s="2" t="str">
        <f>IFERROR(__xludf.DUMMYFUNCTION("GOOGLETRANSLATE(A16767, ""en"", ""mt"")"),"ma jistax jinkiteb bħala prodott ta 'żewġ elementi taċ-ċirku li mhumiex unitajiet")</f>
        <v>ma jistax jinkiteb bħala prodott ta 'żewġ elementi taċ-ċirku li mhumiex unitajiet</v>
      </c>
    </row>
    <row r="16768" ht="15.75" customHeight="1">
      <c r="A16768" s="2" t="s">
        <v>16768</v>
      </c>
      <c r="B16768" s="2" t="str">
        <f>IFERROR(__xludf.DUMMYFUNCTION("GOOGLETRANSLATE(A16768, ""en"", ""mt"")"),"X'jagħmlu r-ritratti tal-lokomozzjoni tal-annimali?")</f>
        <v>X'jagħmlu r-ritratti tal-lokomozzjoni tal-annimali?</v>
      </c>
    </row>
    <row r="16769" ht="15.75" customHeight="1">
      <c r="A16769" s="2" t="s">
        <v>16769</v>
      </c>
      <c r="B16769" s="2" t="str">
        <f>IFERROR(__xludf.DUMMYFUNCTION("GOOGLETRANSLATE(A16769, ""en"", ""mt"")"),"Il-faċilità li biha n-nies, b'mod partikolari ż-żgħażagħ, jistgħu jiksbu sustanzi kkontrollati")</f>
        <v>Il-faċilità li biha n-nies, b'mod partikolari ż-żgħażagħ, jistgħu jiksbu sustanzi kkontrollati</v>
      </c>
    </row>
    <row r="16770" ht="15.75" customHeight="1">
      <c r="A16770" s="2" t="s">
        <v>16770</v>
      </c>
      <c r="B16770" s="2" t="str">
        <f>IFERROR(__xludf.DUMMYFUNCTION("GOOGLETRANSLATE(A16770, ""en"", ""mt"")"),"Iżlamiku")</f>
        <v>Iżlamiku</v>
      </c>
    </row>
    <row r="16771" ht="15.75" customHeight="1">
      <c r="A16771" s="2" t="s">
        <v>16771</v>
      </c>
      <c r="B16771" s="2" t="str">
        <f>IFERROR(__xludf.DUMMYFUNCTION("GOOGLETRANSLATE(A16771, ""en"", ""mt"")"),"Kemm horsepower kienet il-magna ta 'Watt?")</f>
        <v>Kemm horsepower kienet il-magna ta 'Watt?</v>
      </c>
    </row>
    <row r="16772" ht="15.75" customHeight="1">
      <c r="A16772" s="2" t="s">
        <v>16772</v>
      </c>
      <c r="B16772" s="2" t="str">
        <f>IFERROR(__xludf.DUMMYFUNCTION("GOOGLETRANSLATE(A16772, ""en"", ""mt"")"),"flotta kompletament ġdida ta 'ferroviji")</f>
        <v>flotta kompletament ġdida ta 'ferroviji</v>
      </c>
    </row>
    <row r="16773" ht="15.75" customHeight="1">
      <c r="A16773" s="2" t="s">
        <v>16773</v>
      </c>
      <c r="B16773" s="2" t="str">
        <f>IFERROR(__xludf.DUMMYFUNCTION("GOOGLETRANSLATE(A16773, ""en"", ""mt"")"),"Faqar bin-nofs")</f>
        <v>Faqar bin-nofs</v>
      </c>
    </row>
    <row r="16774" ht="15.75" customHeight="1">
      <c r="A16774" s="2" t="s">
        <v>16774</v>
      </c>
      <c r="B16774" s="2" t="str">
        <f>IFERROR(__xludf.DUMMYFUNCTION("GOOGLETRANSLATE(A16774, ""en"", ""mt"")"),"Xi jfisser l-uffiċjal li jippresiedi jipprova jikseb bilanċ bejn il-kelliema?")</f>
        <v>Xi jfisser l-uffiċjal li jippresiedi jipprova jikseb bilanċ bejn il-kelliema?</v>
      </c>
    </row>
    <row r="16775" ht="15.75" customHeight="1">
      <c r="A16775" s="2" t="s">
        <v>16775</v>
      </c>
      <c r="B16775" s="2" t="str">
        <f>IFERROR(__xludf.DUMMYFUNCTION("GOOGLETRANSLATE(A16775, ""en"", ""mt"")"),"Min Luther fakkar lill-bdiewa biex jobdu?")</f>
        <v>Min Luther fakkar lill-bdiewa biex jobdu?</v>
      </c>
    </row>
    <row r="16776" ht="15.75" customHeight="1">
      <c r="A16776" s="2" t="s">
        <v>16776</v>
      </c>
      <c r="B16776" s="2" t="str">
        <f>IFERROR(__xludf.DUMMYFUNCTION("GOOGLETRANSLATE(A16776, ""en"", ""mt"")"),"żoni muntanjużi")</f>
        <v>żoni muntanjużi</v>
      </c>
    </row>
    <row r="16777" ht="15.75" customHeight="1">
      <c r="A16777" s="2" t="s">
        <v>16777</v>
      </c>
      <c r="B16777" s="2" t="str">
        <f>IFERROR(__xludf.DUMMYFUNCTION("GOOGLETRANSLATE(A16777, ""en"", ""mt"")"),"raġġ tal-partikuli ċċarġjati")</f>
        <v>raġġ tal-partikuli ċċarġjati</v>
      </c>
    </row>
    <row r="16778" ht="15.75" customHeight="1">
      <c r="A16778" s="2" t="s">
        <v>16778</v>
      </c>
      <c r="B16778" s="2" t="str">
        <f>IFERROR(__xludf.DUMMYFUNCTION("GOOGLETRANSLATE(A16778, ""en"", ""mt"")"),"Vidjow fuq talba")</f>
        <v>Vidjow fuq talba</v>
      </c>
    </row>
    <row r="16779" ht="15.75" customHeight="1">
      <c r="A16779" s="2" t="s">
        <v>16779</v>
      </c>
      <c r="B16779" s="2" t="str">
        <f>IFERROR(__xludf.DUMMYFUNCTION("GOOGLETRANSLATE(A16779, ""en"", ""mt"")"),"Maġġoranza kwalifikata")</f>
        <v>Maġġoranza kwalifikata</v>
      </c>
    </row>
    <row r="16780" ht="15.75" customHeight="1">
      <c r="A16780" s="2" t="s">
        <v>16780</v>
      </c>
      <c r="B16780" s="2" t="str">
        <f>IFERROR(__xludf.DUMMYFUNCTION("GOOGLETRANSLATE(A16780, ""en"", ""mt"")"),"Ir-raba '")</f>
        <v>Ir-raba '</v>
      </c>
    </row>
    <row r="16781" ht="15.75" customHeight="1">
      <c r="A16781" s="2" t="s">
        <v>16781</v>
      </c>
      <c r="B16781" s="2" t="str">
        <f>IFERROR(__xludf.DUMMYFUNCTION("GOOGLETRANSLATE(A16781, ""en"", ""mt"")"),"Liema tip ta 'liġi tikkonċerna l-istruttura ta' governanza tal-UE?")</f>
        <v>Liema tip ta 'liġi tikkonċerna l-istruttura ta' governanza tal-UE?</v>
      </c>
    </row>
    <row r="16782" ht="15.75" customHeight="1">
      <c r="A16782" s="2" t="s">
        <v>16782</v>
      </c>
      <c r="B16782" s="2" t="str">
        <f>IFERROR(__xludf.DUMMYFUNCTION("GOOGLETRANSLATE(A16782, ""en"", ""mt"")"),"X'pożizzjoni tilgħab Jerricho Cotchery?")</f>
        <v>X'pożizzjoni tilgħab Jerricho Cotchery?</v>
      </c>
    </row>
    <row r="16783" ht="15.75" customHeight="1">
      <c r="A16783" s="2" t="s">
        <v>16783</v>
      </c>
      <c r="B16783" s="2" t="str">
        <f>IFERROR(__xludf.DUMMYFUNCTION("GOOGLETRANSLATE(A16783, ""en"", ""mt"")"),"Studju ta 'saffi sedimentarji")</f>
        <v>Studju ta 'saffi sedimentarji</v>
      </c>
    </row>
    <row r="16784" ht="15.75" customHeight="1">
      <c r="A16784" s="2" t="s">
        <v>16784</v>
      </c>
      <c r="B16784" s="2" t="str">
        <f>IFERROR(__xludf.DUMMYFUNCTION("GOOGLETRANSLATE(A16784, ""en"", ""mt"")"),"Palestina")</f>
        <v>Palestina</v>
      </c>
    </row>
    <row r="16785" ht="15.75" customHeight="1">
      <c r="A16785" s="2" t="s">
        <v>16785</v>
      </c>
      <c r="B16785" s="2" t="str">
        <f>IFERROR(__xludf.DUMMYFUNCTION("GOOGLETRANSLATE(A16785, ""en"", ""mt"")"),"Il-Kunsill Ewropew")</f>
        <v>Il-Kunsill Ewropew</v>
      </c>
    </row>
    <row r="16786" ht="15.75" customHeight="1">
      <c r="A16786" s="2" t="s">
        <v>16786</v>
      </c>
      <c r="B16786" s="2" t="str">
        <f>IFERROR(__xludf.DUMMYFUNCTION("GOOGLETRANSLATE(A16786, ""en"", ""mt"")"),"Min hu l-Edukazzjoni Medja Welsh disponibbli għalih?")</f>
        <v>Min hu l-Edukazzjoni Medja Welsh disponibbli għalih?</v>
      </c>
    </row>
    <row r="16787" ht="15.75" customHeight="1">
      <c r="A16787" s="2" t="s">
        <v>16787</v>
      </c>
      <c r="B16787" s="2" t="str">
        <f>IFERROR(__xludf.DUMMYFUNCTION("GOOGLETRANSLATE(A16787, ""en"", ""mt"")"),"Il-President tal-Università Robert Maynard Hutchins de-enfasizzaw l-atletika tal-varsity fl-1939")</f>
        <v>Il-President tal-Università Robert Maynard Hutchins de-enfasizzaw l-atletika tal-varsity fl-1939</v>
      </c>
    </row>
    <row r="16788" ht="15.75" customHeight="1">
      <c r="A16788" s="2" t="s">
        <v>16788</v>
      </c>
      <c r="B16788" s="2" t="str">
        <f>IFERROR(__xludf.DUMMYFUNCTION("GOOGLETRANSLATE(A16788, ""en"", ""mt"")"),"Il-Franċiżi akkwistaw kopja tal-pjanijiet tal-gwerra Ingliżi, inklużi l-attivitajiet ta ’Shirley u Johnson. L-isforzi ta 'Shirley biex tissaħħaħ lil Oswego ġew imrażżna f'diffikultajiet loġistiċi, aggravati mill-esperjenza ta' Shirley fil-ġestjoni ta 'spe"&amp;"dizzjonijiet kbar. Flimkien, Shirley kien konxju li l-Franċiżi kienu qed jimmanifestaw għal attakk fuq Fort Oswego fl-assenza tiegħu meta ppjana li jattakka Fort Niagara. Bħala tweġiba, Shirley ħalla l-garrisons f'Oswego, Fort Bull, u Fort Williams (it-tn"&amp;"ejn tal-aħħar li jinsabu fuq il-Carry Oneida bejn ix-Xmara Mohawk u Wood Creek fil-preżent Ruma, New York). Il-provvisti għall-użu fl-attakk proġettat fuq Niagara ġew cache fil-Fort Bull.")</f>
        <v>Il-Franċiżi akkwistaw kopja tal-pjanijiet tal-gwerra Ingliżi, inklużi l-attivitajiet ta ’Shirley u Johnson. L-isforzi ta 'Shirley biex tissaħħaħ lil Oswego ġew imrażżna f'diffikultajiet loġistiċi, aggravati mill-esperjenza ta' Shirley fil-ġestjoni ta 'spedizzjonijiet kbar. Flimkien, Shirley kien konxju li l-Franċiżi kienu qed jimmanifestaw għal attakk fuq Fort Oswego fl-assenza tiegħu meta ppjana li jattakka Fort Niagara. Bħala tweġiba, Shirley ħalla l-garrisons f'Oswego, Fort Bull, u Fort Williams (it-tnejn tal-aħħar li jinsabu fuq il-Carry Oneida bejn ix-Xmara Mohawk u Wood Creek fil-preżent Ruma, New York). Il-provvisti għall-użu fl-attakk proġettat fuq Niagara ġew cache fil-Fort Bull.</v>
      </c>
    </row>
    <row r="16789" ht="15.75" customHeight="1">
      <c r="A16789" s="2" t="s">
        <v>16789</v>
      </c>
      <c r="B16789" s="2" t="str">
        <f>IFERROR(__xludf.DUMMYFUNCTION("GOOGLETRANSLATE(A16789, ""en"", ""mt"")"),"Medja tar-rata ta 'erba' korsijiet")</f>
        <v>Medja tar-rata ta 'erba' korsijiet</v>
      </c>
    </row>
    <row r="16790" ht="15.75" customHeight="1">
      <c r="A16790" s="2" t="s">
        <v>16790</v>
      </c>
      <c r="B16790" s="2" t="str">
        <f>IFERROR(__xludf.DUMMYFUNCTION("GOOGLETRANSLATE(A16790, ""en"", ""mt"")"),"Elettrokuzzjoni, Inċidenti tat-Trasport, u Trench Cave-Ins")</f>
        <v>Elettrokuzzjoni, Inċidenti tat-Trasport, u Trench Cave-Ins</v>
      </c>
    </row>
    <row r="16791" ht="15.75" customHeight="1">
      <c r="A16791" s="2" t="s">
        <v>16791</v>
      </c>
      <c r="B16791" s="2" t="str">
        <f>IFERROR(__xludf.DUMMYFUNCTION("GOOGLETRANSLATE(A16791, ""en"", ""mt"")"),"impenn finanzjarju")</f>
        <v>impenn finanzjarju</v>
      </c>
    </row>
    <row r="16792" ht="15.75" customHeight="1">
      <c r="A16792" s="2" t="s">
        <v>16792</v>
      </c>
      <c r="B16792" s="2" t="str">
        <f>IFERROR(__xludf.DUMMYFUNCTION("GOOGLETRANSLATE(A16792, ""en"", ""mt"")"),"Fejn saru l-intervisti waqt li l-Parlament kien fil-bini temporanju tiegħu?")</f>
        <v>Fejn saru l-intervisti waqt li l-Parlament kien fil-bini temporanju tiegħu?</v>
      </c>
    </row>
    <row r="16793" ht="15.75" customHeight="1">
      <c r="A16793" s="2" t="s">
        <v>16793</v>
      </c>
      <c r="B16793" s="2" t="str">
        <f>IFERROR(__xludf.DUMMYFUNCTION("GOOGLETRANSLATE(A16793, ""en"", ""mt"")"),"Ewklide")</f>
        <v>Ewklide</v>
      </c>
    </row>
    <row r="16794" ht="15.75" customHeight="1">
      <c r="A16794" s="2" t="s">
        <v>16794</v>
      </c>
      <c r="B16794" s="2" t="str">
        <f>IFERROR(__xludf.DUMMYFUNCTION("GOOGLETRANSLATE(A16794, ""en"", ""mt"")"),"Midalja tas-servizz distinta")</f>
        <v>Midalja tas-servizz distinta</v>
      </c>
    </row>
    <row r="16795" ht="15.75" customHeight="1">
      <c r="A16795" s="2" t="s">
        <v>16795</v>
      </c>
      <c r="B16795" s="2" t="str">
        <f>IFERROR(__xludf.DUMMYFUNCTION("GOOGLETRANSLATE(A16795, ""en"", ""mt"")"),"Orfni mit-tribù maħkuma")</f>
        <v>Orfni mit-tribù maħkuma</v>
      </c>
    </row>
    <row r="16796" ht="15.75" customHeight="1">
      <c r="A16796" s="2" t="s">
        <v>16796</v>
      </c>
      <c r="B16796" s="2" t="str">
        <f>IFERROR(__xludf.DUMMYFUNCTION("GOOGLETRANSLATE(A16796, ""en"", ""mt"")"),"Siltiet mit-Tabib Min Kunfidenzjali")</f>
        <v>Siltiet mit-Tabib Min Kunfidenzjali</v>
      </c>
    </row>
    <row r="16797" ht="15.75" customHeight="1">
      <c r="A16797" s="2" t="s">
        <v>16797</v>
      </c>
      <c r="B16797" s="2" t="str">
        <f>IFERROR(__xludf.DUMMYFUNCTION("GOOGLETRANSLATE(A16797, ""en"", ""mt"")"),"Liġi Amministrattiva")</f>
        <v>Liġi Amministrattiva</v>
      </c>
    </row>
    <row r="16798" ht="15.75" customHeight="1">
      <c r="A16798" s="2" t="s">
        <v>16798</v>
      </c>
      <c r="B16798" s="2" t="str">
        <f>IFERROR(__xludf.DUMMYFUNCTION("GOOGLETRANSLATE(A16798, ""en"", ""mt"")"),"Jippruvaw jirkupraw is-sehem tas-suq")</f>
        <v>Jippruvaw jirkupraw is-sehem tas-suq</v>
      </c>
    </row>
    <row r="16799" ht="15.75" customHeight="1">
      <c r="A16799" s="2" t="s">
        <v>16799</v>
      </c>
      <c r="B16799" s="2" t="str">
        <f>IFERROR(__xludf.DUMMYFUNCTION("GOOGLETRANSLATE(A16799, ""en"", ""mt"")"),"Profeta Mohammad")</f>
        <v>Profeta Mohammad</v>
      </c>
    </row>
    <row r="16800" ht="15.75" customHeight="1">
      <c r="A16800" s="2" t="s">
        <v>16800</v>
      </c>
      <c r="B16800" s="2" t="str">
        <f>IFERROR(__xludf.DUMMYFUNCTION("GOOGLETRANSLATE(A16800, ""en"", ""mt"")"),"Inputs tax-xogħol")</f>
        <v>Inputs tax-xogħol</v>
      </c>
    </row>
    <row r="16801" ht="15.75" customHeight="1">
      <c r="A16801" s="2" t="s">
        <v>16801</v>
      </c>
      <c r="B16801" s="2" t="str">
        <f>IFERROR(__xludf.DUMMYFUNCTION("GOOGLETRANSLATE(A16801, ""en"", ""mt"")"),"Kumpaniji tax-Xandir Amerikani")</f>
        <v>Kumpaniji tax-Xandir Amerikani</v>
      </c>
    </row>
    <row r="16802" ht="15.75" customHeight="1">
      <c r="A16802" s="2" t="s">
        <v>16802</v>
      </c>
      <c r="B16802" s="2" t="str">
        <f>IFERROR(__xludf.DUMMYFUNCTION("GOOGLETRANSLATE(A16802, ""en"", ""mt"")"),"Dynasties Ċiniżi indiġeni")</f>
        <v>Dynasties Ċiniżi indiġeni</v>
      </c>
    </row>
    <row r="16803" ht="15.75" customHeight="1">
      <c r="A16803" s="2" t="s">
        <v>16803</v>
      </c>
      <c r="B16803" s="2" t="str">
        <f>IFERROR(__xludf.DUMMYFUNCTION("GOOGLETRANSLATE(A16803, ""en"", ""mt"")"),"Sena kull darba")</f>
        <v>Sena kull darba</v>
      </c>
    </row>
    <row r="16804" ht="15.75" customHeight="1">
      <c r="A16804" s="2" t="s">
        <v>16804</v>
      </c>
      <c r="B16804" s="2" t="str">
        <f>IFERROR(__xludf.DUMMYFUNCTION("GOOGLETRANSLATE(A16804, ""en"", ""mt"")"),"organizzazzjoni terroristika")</f>
        <v>organizzazzjoni terroristika</v>
      </c>
    </row>
    <row r="16805" ht="15.75" customHeight="1">
      <c r="A16805" s="2" t="s">
        <v>16805</v>
      </c>
      <c r="B16805" s="2" t="str">
        <f>IFERROR(__xludf.DUMMYFUNCTION("GOOGLETRANSLATE(A16805, ""en"", ""mt"")"),"Dipartiment tal-Edukazzjoni tar-Rabat")</f>
        <v>Dipartiment tal-Edukazzjoni tar-Rabat</v>
      </c>
    </row>
    <row r="16806" ht="15.75" customHeight="1">
      <c r="A16806" s="2" t="s">
        <v>16806</v>
      </c>
      <c r="B16806" s="2" t="str">
        <f>IFERROR(__xludf.DUMMYFUNCTION("GOOGLETRANSLATE(A16806, ""en"", ""mt"")"),"Diverti")</f>
        <v>Diverti</v>
      </c>
    </row>
    <row r="16807" ht="15.75" customHeight="1">
      <c r="A16807" s="2" t="s">
        <v>16807</v>
      </c>
      <c r="B16807" s="2" t="str">
        <f>IFERROR(__xludf.DUMMYFUNCTION("GOOGLETRANSLATE(A16807, ""en"", ""mt"")"),"L-espansjoni tal-Ewropa fl-imperjalizmu territorjali kienet fil-biċċa l-kbira ffokata fuq it-tkabbir ekonomiku billi tiġbor riżorsi mill-kolonji, flimkien ma 'jekk wieħed jassumi l-kontroll politiku permezz ta' mezzi militari u politiċi. Il-kolonizzazzjon"&amp;"i ta 'l-Indja f'nofs is-seklu 18 toffri eżempju ta' dan il-fokus: hemm, ""l-Ingliżi sfruttaw id-dgħjufija politika ta 'l-istat ta' Mughal, u, filwaqt li l-attività militari kienet importanti f'diversi żminijiet, l-inkorporazzjoni ekonomika u amministratti"&amp;"va ta 'l-elite lokali kien ukoll ta 'sinifikat kruċjali ""għall-istabbiliment ta' kontroll fuq ir-riżorsi, is-swieq u l-ħaddiema tas-sottokontinent. Għalkemm numru sostanzjali ta 'kolonji ġew iddisinjati biex jipprovdu profitt ekonomiku u biex jibgħatu ri"&amp;"żorsi lejn portijiet tad-dar fis-sekli sbatax u tmintax, Fieldhouse jissuġġerixxi li fis-sekli dsatax u għoxrin f'postijiet bħall-Afrika u l-Asja, din l-idea mhix neċessarjament valida ::")</f>
        <v>L-espansjoni tal-Ewropa fl-imperjalizmu territorjali kienet fil-biċċa l-kbira ffokata fuq it-tkabbir ekonomiku billi tiġbor riżorsi mill-kolonji, flimkien ma 'jekk wieħed jassumi l-kontroll politiku permezz ta' mezzi militari u politiċi. Il-kolonizzazzjoni ta 'l-Indja f'nofs is-seklu 18 toffri eżempju ta' dan il-fokus: hemm, "l-Ingliżi sfruttaw id-dgħjufija politika ta 'l-istat ta' Mughal, u, filwaqt li l-attività militari kienet importanti f'diversi żminijiet, l-inkorporazzjoni ekonomika u amministrattiva ta 'l-elite lokali kien ukoll ta 'sinifikat kruċjali "għall-istabbiliment ta' kontroll fuq ir-riżorsi, is-swieq u l-ħaddiema tas-sottokontinent. Għalkemm numru sostanzjali ta 'kolonji ġew iddisinjati biex jipprovdu profitt ekonomiku u biex jibgħatu riżorsi lejn portijiet tad-dar fis-sekli sbatax u tmintax, Fieldhouse jissuġġerixxi li fis-sekli dsatax u għoxrin f'postijiet bħall-Afrika u l-Asja, din l-idea mhix neċessarjament valida ::</v>
      </c>
    </row>
    <row r="16808" ht="15.75" customHeight="1">
      <c r="A16808" s="2" t="s">
        <v>16808</v>
      </c>
      <c r="B16808" s="2" t="str">
        <f>IFERROR(__xludf.DUMMYFUNCTION("GOOGLETRANSLATE(A16808, ""en"", ""mt"")"),"£ 30m")</f>
        <v>£ 30m</v>
      </c>
    </row>
    <row r="16809" ht="15.75" customHeight="1">
      <c r="A16809" s="2" t="s">
        <v>16809</v>
      </c>
      <c r="B16809" s="2" t="str">
        <f>IFERROR(__xludf.DUMMYFUNCTION("GOOGLETRANSLATE(A16809, ""en"", ""mt"")"),"Huma jiddisinjaw il-fażi 2")</f>
        <v>Huma jiddisinjaw il-fażi 2</v>
      </c>
    </row>
    <row r="16810" ht="15.75" customHeight="1">
      <c r="A16810" s="2" t="s">
        <v>16810</v>
      </c>
      <c r="B16810" s="2" t="str">
        <f>IFERROR(__xludf.DUMMYFUNCTION("GOOGLETRANSLATE(A16810, ""en"", ""mt"")"),"Kif iddeskriva lil Genghis Khan lilu nnifsu lin-nies ta 'Bukhara?")</f>
        <v>Kif iddeskriva lil Genghis Khan lilu nnifsu lin-nies ta 'Bukhara?</v>
      </c>
    </row>
    <row r="16811" ht="15.75" customHeight="1">
      <c r="A16811" s="2" t="s">
        <v>16811</v>
      </c>
      <c r="B16811" s="2" t="str">
        <f>IFERROR(__xludf.DUMMYFUNCTION("GOOGLETRANSLATE(A16811, ""en"", ""mt"")"),"impedimenti")</f>
        <v>impedimenti</v>
      </c>
    </row>
    <row r="16812" ht="15.75" customHeight="1">
      <c r="A16812" s="2" t="s">
        <v>16812</v>
      </c>
      <c r="B16812" s="2" t="str">
        <f>IFERROR(__xludf.DUMMYFUNCTION("GOOGLETRANSLATE(A16812, ""en"", ""mt"")"),"Min stieden lil Washington biex tiekol miegħu?")</f>
        <v>Min stieden lil Washington biex tiekol miegħu?</v>
      </c>
    </row>
    <row r="16813" ht="15.75" customHeight="1">
      <c r="A16813" s="2" t="s">
        <v>16813</v>
      </c>
      <c r="B16813" s="2" t="str">
        <f>IFERROR(__xludf.DUMMYFUNCTION("GOOGLETRANSLATE(A16813, ""en"", ""mt"")"),"President tal-IPCC")</f>
        <v>President tal-IPCC</v>
      </c>
    </row>
    <row r="16814" ht="15.75" customHeight="1">
      <c r="A16814" s="2" t="s">
        <v>16814</v>
      </c>
      <c r="B16814" s="2" t="str">
        <f>IFERROR(__xludf.DUMMYFUNCTION("GOOGLETRANSLATE(A16814, ""en"", ""mt"")"),"Newton's Third")</f>
        <v>Newton's Third</v>
      </c>
    </row>
    <row r="16815" ht="15.75" customHeight="1">
      <c r="A16815" s="2" t="s">
        <v>16815</v>
      </c>
      <c r="B16815" s="2" t="str">
        <f>IFERROR(__xludf.DUMMYFUNCTION("GOOGLETRANSLATE(A16815, ""en"", ""mt"")"),"L-analiżi reġjonali tal-kost-benefiċċju u l-qsim tal-piż li jvarjaw fir-rigward tad-distribuzzjoni tat-tnaqqis tal-emissjonijiet")</f>
        <v>L-analiżi reġjonali tal-kost-benefiċċju u l-qsim tal-piż li jvarjaw fir-rigward tad-distribuzzjoni tat-tnaqqis tal-emissjonijiet</v>
      </c>
    </row>
    <row r="16816" ht="15.75" customHeight="1">
      <c r="A16816" s="2" t="s">
        <v>16816</v>
      </c>
      <c r="B16816" s="2" t="str">
        <f>IFERROR(__xludf.DUMMYFUNCTION("GOOGLETRANSLATE(A16816, ""en"", ""mt"")"),"Konvenzjoni Qafas tan-Nazzjonijiet Uniti dwar it-Tibdil fil-Klima (UNFCCC)")</f>
        <v>Konvenzjoni Qafas tan-Nazzjonijiet Uniti dwar it-Tibdil fil-Klima (UNFCCC)</v>
      </c>
    </row>
    <row r="16817" ht="15.75" customHeight="1">
      <c r="A16817" s="2" t="s">
        <v>16817</v>
      </c>
      <c r="B16817" s="2" t="str">
        <f>IFERROR(__xludf.DUMMYFUNCTION("GOOGLETRANSLATE(A16817, ""en"", ""mt"")"),"proċess edukattiv jew da'wah")</f>
        <v>proċess edukattiv jew da'wah</v>
      </c>
    </row>
    <row r="16818" ht="15.75" customHeight="1">
      <c r="A16818" s="2" t="s">
        <v>16818</v>
      </c>
      <c r="B16818" s="2" t="str">
        <f>IFERROR(__xludf.DUMMYFUNCTION("GOOGLETRANSLATE(A16818, ""en"", ""mt"")"),"Meta ċellula T tiltaqa 'ma' patoġen barrani, dan jestendi riċettur ta 'vitamina D. Dan huwa essenzjalment apparat ta 'sinjalazzjoni li jippermetti li ċ-ċellola T torbot mal-forma attiva ta' vitamina D, l-ormon sterojdi calcitriol. Iċ-ċelloli T għandhom re"&amp;"lazzjoni simbjotika mal-vitamina D. Mhux biss iċ-ċellola T testendi riċettur ta 'vitamina D, essenzjalment titlob li torbot mal-verżjoni tal-ormon sterojdi tal-vitamina D, calcitriol, iżda ċ-ċellola T tesprimi l-ġene CYP27B1, li huwa l-ġene responsabbli g"&amp;"ħall-konverżjoni tal-verżjoni ta 'qabel l-ormon ta' vitamina D, calcidiol fil-verżjoni tal-ormon sterojdi, Calcitriol. Biss wara li jorbot ma 'calcitriol CAN-ċelloli T iwettqu l-funzjoni maħsuba tagħhom. Ċelloli oħra tas-sistema immuni li huma magħrufa li"&amp;" jesprimu CYP27B1 u b'hekk jattivaw il-vitamina D calcidiol, huma ċelloli dendritiċi, keratinocytes u makrofaġi.")</f>
        <v>Meta ċellula T tiltaqa 'ma' patoġen barrani, dan jestendi riċettur ta 'vitamina D. Dan huwa essenzjalment apparat ta 'sinjalazzjoni li jippermetti li ċ-ċellola T torbot mal-forma attiva ta' vitamina D, l-ormon sterojdi calcitriol. Iċ-ċelloli T għandhom relazzjoni simbjotika mal-vitamina D. Mhux biss iċ-ċellola T testendi riċettur ta 'vitamina D, essenzjalment titlob li torbot mal-verżjoni tal-ormon sterojdi tal-vitamina D, calcitriol, iżda ċ-ċellola T tesprimi l-ġene CYP27B1, li huwa l-ġene responsabbli għall-konverżjoni tal-verżjoni ta 'qabel l-ormon ta' vitamina D, calcidiol fil-verżjoni tal-ormon sterojdi, Calcitriol. Biss wara li jorbot ma 'calcitriol CAN-ċelloli T iwettqu l-funzjoni maħsuba tagħhom. Ċelloli oħra tas-sistema immuni li huma magħrufa li jesprimu CYP27B1 u b'hekk jattivaw il-vitamina D calcidiol, huma ċelloli dendritiċi, keratinocytes u makrofaġi.</v>
      </c>
    </row>
    <row r="16819" ht="15.75" customHeight="1">
      <c r="A16819" s="2" t="s">
        <v>16819</v>
      </c>
      <c r="B16819" s="2" t="str">
        <f>IFERROR(__xludf.DUMMYFUNCTION("GOOGLETRANSLATE(A16819, ""en"", ""mt"")"),"Sail loft fuq Triq il-Baċir")</f>
        <v>Sail loft fuq Triq il-Baċir</v>
      </c>
    </row>
    <row r="16820" ht="15.75" customHeight="1">
      <c r="A16820" s="2" t="s">
        <v>16820</v>
      </c>
      <c r="B16820" s="2" t="str">
        <f>IFERROR(__xludf.DUMMYFUNCTION("GOOGLETRANSLATE(A16820, ""en"", ""mt"")"),"20 miljun uqija")</f>
        <v>20 miljun uqija</v>
      </c>
    </row>
    <row r="16821" ht="15.75" customHeight="1">
      <c r="A16821" s="2" t="s">
        <v>16821</v>
      </c>
      <c r="B16821" s="2" t="str">
        <f>IFERROR(__xludf.DUMMYFUNCTION("GOOGLETRANSLATE(A16821, ""en"", ""mt"")"),"ix-xogħol tax-xitan")</f>
        <v>ix-xogħol tax-xitan</v>
      </c>
    </row>
    <row r="16822" ht="15.75" customHeight="1">
      <c r="A16822" s="2" t="s">
        <v>16822</v>
      </c>
      <c r="B16822" s="2" t="str">
        <f>IFERROR(__xludf.DUMMYFUNCTION("GOOGLETRANSLATE(A16822, ""en"", ""mt"")"),"Preschool Targest liema età tat-tfal?")</f>
        <v>Preschool Targest liema età tat-tfal?</v>
      </c>
    </row>
    <row r="16823" ht="15.75" customHeight="1">
      <c r="A16823" s="2" t="s">
        <v>16823</v>
      </c>
      <c r="B16823" s="2" t="str">
        <f>IFERROR(__xludf.DUMMYFUNCTION("GOOGLETRANSLATE(A16823, ""en"", ""mt"")"),"40 sa 50 student")</f>
        <v>40 sa 50 student</v>
      </c>
    </row>
    <row r="16824" ht="15.75" customHeight="1">
      <c r="A16824" s="2" t="s">
        <v>16824</v>
      </c>
      <c r="B16824" s="2" t="str">
        <f>IFERROR(__xludf.DUMMYFUNCTION("GOOGLETRANSLATE(A16824, ""en"", ""mt"")"),"Fid-19 ta ’Ottubru 1512, ingħata t-Tabib tat-Teoloġija tiegħu u, fil-21 ta’ Ottubru 1512, ġie rċevut fis-Senat tal-Fakultà Teoloġika tal-Università ta ’Wittenberg, wara li ġie msejjaħ għall-pożizzjoni ta’ tabib fil-Bibbja. Qatta 'l-kumplament tal-karriera"&amp;" tiegħu f'din il-pożizzjoni fl-Università ta' Wittenberg.")</f>
        <v>Fid-19 ta ’Ottubru 1512, ingħata t-Tabib tat-Teoloġija tiegħu u, fil-21 ta’ Ottubru 1512, ġie rċevut fis-Senat tal-Fakultà Teoloġika tal-Università ta ’Wittenberg, wara li ġie msejjaħ għall-pożizzjoni ta’ tabib fil-Bibbja. Qatta 'l-kumplament tal-karriera tiegħu f'din il-pożizzjoni fl-Università ta' Wittenberg.</v>
      </c>
    </row>
    <row r="16825" ht="15.75" customHeight="1">
      <c r="A16825" s="2" t="s">
        <v>16825</v>
      </c>
      <c r="B16825" s="2" t="str">
        <f>IFERROR(__xludf.DUMMYFUNCTION("GOOGLETRANSLATE(A16825, ""en"", ""mt"")"),"Kemm kienu jdumu l-ġellieda tar-rewwixta tal-ghetto ta 'Varsavja li jistgħu jżommu?")</f>
        <v>Kemm kienu jdumu l-ġellieda tar-rewwixta tal-ghetto ta 'Varsavja li jistgħu jżommu?</v>
      </c>
    </row>
    <row r="16826" ht="15.75" customHeight="1">
      <c r="A16826" s="2" t="s">
        <v>16826</v>
      </c>
      <c r="B16826" s="2" t="str">
        <f>IFERROR(__xludf.DUMMYFUNCTION("GOOGLETRANSLATE(A16826, ""en"", ""mt"")"),"L-akbar karatteristika sensorja waħda hija l-organu aboral (fit-tarf oppost mill-ħalq). Il-komponent ewlieni tiegħu huwa statocyst, sensur tal-bilanċ li jikkonsisti minn statolit, partiċella solida sostnuta fuq erba 'qatet ta' ċili, imsejħa ""bilanċjaturi"&amp;""", li jħossu l-orjentazzjoni tiegħu. L-istatokist huwa protett minn koppla trasparenti magħmula minn ċili twil u immobbli. Ctenophore ma jipprovax awtomatikament iżomm l-istatolith jistrieħ bl-istess mod fuq il-bilanċjaturi kollha. Minflok ir-risposta ta"&amp;"għha hija determinata mill- ""burdata"" tal-annimal, fi kliem ieħor l-istat ġenerali tas-sistema nervuża. Pereżempju, jekk ctenophore bit-tentakli tat-tkaxkir jaqbad il-priża, ħafna drabi jpoġġi xi ringieli tal-moxt fil-maqlub, idawwar il-ħalq lejn il-pri"&amp;"ża.")</f>
        <v>L-akbar karatteristika sensorja waħda hija l-organu aboral (fit-tarf oppost mill-ħalq). Il-komponent ewlieni tiegħu huwa statocyst, sensur tal-bilanċ li jikkonsisti minn statolit, partiċella solida sostnuta fuq erba 'qatet ta' ċili, imsejħa "bilanċjaturi", li jħossu l-orjentazzjoni tiegħu. L-istatokist huwa protett minn koppla trasparenti magħmula minn ċili twil u immobbli. Ctenophore ma jipprovax awtomatikament iżomm l-istatolith jistrieħ bl-istess mod fuq il-bilanċjaturi kollha. Minflok ir-risposta tagħha hija determinata mill- "burdata" tal-annimal, fi kliem ieħor l-istat ġenerali tas-sistema nervuża. Pereżempju, jekk ctenophore bit-tentakli tat-tkaxkir jaqbad il-priża, ħafna drabi jpoġġi xi ringieli tal-moxt fil-maqlub, idawwar il-ħalq lejn il-priża.</v>
      </c>
    </row>
    <row r="16827" ht="15.75" customHeight="1">
      <c r="A16827" s="2" t="s">
        <v>16827</v>
      </c>
      <c r="B16827" s="2" t="str">
        <f>IFERROR(__xludf.DUMMYFUNCTION("GOOGLETRANSLATE(A16827, ""en"", ""mt"")"),"Liema korriment sofra Thomas Davis waqt il-logħob tal-playoff?")</f>
        <v>Liema korriment sofra Thomas Davis waqt il-logħob tal-playoff?</v>
      </c>
    </row>
    <row r="16828" ht="15.75" customHeight="1">
      <c r="A16828" s="2" t="s">
        <v>16828</v>
      </c>
      <c r="B16828" s="2" t="str">
        <f>IFERROR(__xludf.DUMMYFUNCTION("GOOGLETRANSLATE(A16828, ""en"", ""mt"")"),"X'għandu jkollu għalliem ta 'skola pubblika, mill-inqas?")</f>
        <v>X'għandu jkollu għalliem ta 'skola pubblika, mill-inqas?</v>
      </c>
    </row>
    <row r="16829" ht="15.75" customHeight="1">
      <c r="A16829" s="2" t="s">
        <v>16829</v>
      </c>
      <c r="B16829" s="2" t="str">
        <f>IFERROR(__xludf.DUMMYFUNCTION("GOOGLETRANSLATE(A16829, ""en"", ""mt"")"),"il- ""Kapitolu Soċjali""")</f>
        <v>il- "Kapitolu Soċjali"</v>
      </c>
    </row>
    <row r="16830" ht="15.75" customHeight="1">
      <c r="A16830" s="2" t="s">
        <v>16830</v>
      </c>
      <c r="B16830" s="2" t="str">
        <f>IFERROR(__xludf.DUMMYFUNCTION("GOOGLETRANSLATE(A16830, ""en"", ""mt"")"),"Numru ta 'bibien")</f>
        <v>Numru ta 'bibien</v>
      </c>
    </row>
    <row r="16831" ht="15.75" customHeight="1">
      <c r="A16831" s="2" t="s">
        <v>16831</v>
      </c>
      <c r="B16831" s="2" t="str">
        <f>IFERROR(__xludf.DUMMYFUNCTION("GOOGLETRANSLATE(A16831, ""en"", ""mt"")"),"Marġinali jew splinter")</f>
        <v>Marġinali jew splinter</v>
      </c>
    </row>
    <row r="16832" ht="15.75" customHeight="1">
      <c r="A16832" s="2" t="s">
        <v>16832</v>
      </c>
      <c r="B16832" s="2" t="str">
        <f>IFERROR(__xludf.DUMMYFUNCTION("GOOGLETRANSLATE(A16832, ""en"", ""mt"")"),"kunċett personali, u mhux soġġett għal-liġi jew interferenza")</f>
        <v>kunċett personali, u mhux soġġett għal-liġi jew interferenza</v>
      </c>
    </row>
    <row r="16833" ht="15.75" customHeight="1">
      <c r="A16833" s="2" t="s">
        <v>16833</v>
      </c>
      <c r="B16833" s="2" t="str">
        <f>IFERROR(__xludf.DUMMYFUNCTION("GOOGLETRANSLATE(A16833, ""en"", ""mt"")"),"Liema bliet Irlandiżi kellhom sindki Huguenot fl-1600 u l-1700s?")</f>
        <v>Liema bliet Irlandiżi kellhom sindki Huguenot fl-1600 u l-1700s?</v>
      </c>
    </row>
    <row r="16834" ht="15.75" customHeight="1">
      <c r="A16834" s="2" t="s">
        <v>16834</v>
      </c>
      <c r="B16834" s="2" t="str">
        <f>IFERROR(__xludf.DUMMYFUNCTION("GOOGLETRANSLATE(A16834, ""en"", ""mt"")"),"Bajjiet kostali u r-riservi tal-logħob")</f>
        <v>Bajjiet kostali u r-riservi tal-logħob</v>
      </c>
    </row>
    <row r="16835" ht="15.75" customHeight="1">
      <c r="A16835" s="2" t="s">
        <v>16835</v>
      </c>
      <c r="B16835" s="2" t="str">
        <f>IFERROR(__xludf.DUMMYFUNCTION("GOOGLETRANSLATE(A16835, ""en"", ""mt"")"),"Vjaġġ bir-ritorn mis-siti kollha f'Milan li t-tul totali tiegħu huwa l-aktar 10 km")</f>
        <v>Vjaġġ bir-ritorn mis-siti kollha f'Milan li t-tul totali tiegħu huwa l-aktar 10 km</v>
      </c>
    </row>
    <row r="16836" ht="15.75" customHeight="1">
      <c r="A16836" s="2" t="s">
        <v>16836</v>
      </c>
      <c r="B16836" s="2" t="str">
        <f>IFERROR(__xludf.DUMMYFUNCTION("GOOGLETRANSLATE(A16836, ""en"", ""mt"")"),"Liema żvilupp mhux intenzjonat kellha r-relazzjoni mal-elettur fuq il-gvern tal-knisja?")</f>
        <v>Liema żvilupp mhux intenzjonat kellha r-relazzjoni mal-elettur fuq il-gvern tal-knisja?</v>
      </c>
    </row>
    <row r="16837" ht="15.75" customHeight="1">
      <c r="A16837" s="2" t="s">
        <v>16837</v>
      </c>
      <c r="B16837" s="2" t="str">
        <f>IFERROR(__xludf.DUMMYFUNCTION("GOOGLETRANSLATE(A16837, ""en"", ""mt"")"),"Jekk ir-rimjiet ta 'l-anġjosperma ma jkunux esposti għad-dawl meħtieġ għall-formazzjoni tal-kloroplast, il-proplastidi jistgħu jiżviluppaw fi stadju ta' etioplast qabel ma jsiru kloroplasti. Etioplast huwa plastid li jonqosha klorofilla, u għandu invagina"&amp;"zzjonijiet ta 'membrana ta' ġewwa li jiffurmaw kannizzata ta 'tubi fl-istoma tagħhom, imsejħa korp prolamellari. Filwaqt li l-etioplasti m'għandhomx klorofilla, huma għandhom prekursur tal-klorofilla isfar. Fi ftit minuti mill-esponiment tad-dawl, il-korp"&amp;" prolamellari jibda jerġa 'jorganizza f'munzelli ta' thylakoids, u l-klorofilla tibda tiġi prodotta. Dan il-proċess, fejn l-etioplast isir kloroplast, jieħu diversi sigħat. Gymnosperms ma jeħtiġux dawl biex jiffurmaw kloroplasti.")</f>
        <v>Jekk ir-rimjiet ta 'l-anġjosperma ma jkunux esposti għad-dawl meħtieġ għall-formazzjoni tal-kloroplast, il-proplastidi jistgħu jiżviluppaw fi stadju ta' etioplast qabel ma jsiru kloroplasti. Etioplast huwa plastid li jonqosha klorofilla, u għandu invaginazzjonijiet ta 'membrana ta' ġewwa li jiffurmaw kannizzata ta 'tubi fl-istoma tagħhom, imsejħa korp prolamellari. Filwaqt li l-etioplasti m'għandhomx klorofilla, huma għandhom prekursur tal-klorofilla isfar. Fi ftit minuti mill-esponiment tad-dawl, il-korp prolamellari jibda jerġa 'jorganizza f'munzelli ta' thylakoids, u l-klorofilla tibda tiġi prodotta. Dan il-proċess, fejn l-etioplast isir kloroplast, jieħu diversi sigħat. Gymnosperms ma jeħtiġux dawl biex jiffurmaw kloroplasti.</v>
      </c>
    </row>
    <row r="16838" ht="15.75" customHeight="1">
      <c r="A16838" s="2" t="s">
        <v>16838</v>
      </c>
      <c r="B16838" s="2" t="str">
        <f>IFERROR(__xludf.DUMMYFUNCTION("GOOGLETRANSLATE(A16838, ""en"", ""mt"")"),"Pontijiet ġodda u mkabbra, servizz tax-shuttle u / jew tram.")</f>
        <v>Pontijiet ġodda u mkabbra, servizz tax-shuttle u / jew tram.</v>
      </c>
    </row>
    <row r="16839" ht="15.75" customHeight="1">
      <c r="A16839" s="2" t="s">
        <v>16839</v>
      </c>
      <c r="B16839" s="2" t="str">
        <f>IFERROR(__xludf.DUMMYFUNCTION("GOOGLETRANSLATE(A16839, ""en"", ""mt"")"),"X'jiġri trasferit lil studenti li huma riċettivi għall-għalliem?")</f>
        <v>X'jiġri trasferit lil studenti li huma riċettivi għall-għalliem?</v>
      </c>
    </row>
    <row r="16840" ht="15.75" customHeight="1">
      <c r="A16840" s="2" t="s">
        <v>16840</v>
      </c>
      <c r="B16840" s="2" t="str">
        <f>IFERROR(__xludf.DUMMYFUNCTION("GOOGLETRANSLATE(A16840, ""en"", ""mt"")"),"tħeġġeġ l-investiment")</f>
        <v>tħeġġeġ l-investiment</v>
      </c>
    </row>
    <row r="16841" ht="15.75" customHeight="1">
      <c r="A16841" s="2" t="s">
        <v>16841</v>
      </c>
      <c r="B16841" s="2" t="str">
        <f>IFERROR(__xludf.DUMMYFUNCTION("GOOGLETRANSLATE(A16841, ""en"", ""mt"")"),"Kif huma rranġati l-kloroplasti tat-tip peridinin?")</f>
        <v>Kif huma rranġati l-kloroplasti tat-tip peridinin?</v>
      </c>
    </row>
    <row r="16842" ht="15.75" customHeight="1">
      <c r="A16842" s="2" t="s">
        <v>16842</v>
      </c>
      <c r="B16842" s="2" t="str">
        <f>IFERROR(__xludf.DUMMYFUNCTION("GOOGLETRANSLATE(A16842, ""en"", ""mt"")"),"Ix-xejra komuni ġejja minn John Wesley, li kiteb li ""m'hemm l-ebda liturġija fid-dinja, la f'lingwa antika jew moderna, li tieħu n-nifs aktar minn piety solidu, skritturali, razzjonali, milli t-talb komuni tal-Knisja ta 'l-Ingilterra."" Meta l-Metodisti "&amp;"fl-Amerika ġew separati mill-Knisja tal-Ingilterra, John Wesley innifsu pprovda verżjoni riveduta tal-Ktieb tat-talb komuni msejjaħ is-servizz tal-Ħadd tal-Metodisti fl-Amerika ta ’Fuq. Is-servizz tal-Ħadd ta 'Wesley ifforma l-liturġiji uffiċjali tal-Meto"&amp;"disti minn dakinhar.")</f>
        <v>Ix-xejra komuni ġejja minn John Wesley, li kiteb li "m'hemm l-ebda liturġija fid-dinja, la f'lingwa antika jew moderna, li tieħu n-nifs aktar minn piety solidu, skritturali, razzjonali, milli t-talb komuni tal-Knisja ta 'l-Ingilterra." Meta l-Metodisti fl-Amerika ġew separati mill-Knisja tal-Ingilterra, John Wesley innifsu pprovda verżjoni riveduta tal-Ktieb tat-talb komuni msejjaħ is-servizz tal-Ħadd tal-Metodisti fl-Amerika ta ’Fuq. Is-servizz tal-Ħadd ta 'Wesley ifforma l-liturġiji uffiċjali tal-Metodisti minn dakinhar.</v>
      </c>
    </row>
    <row r="16843" ht="15.75" customHeight="1">
      <c r="A16843" s="2" t="s">
        <v>16843</v>
      </c>
      <c r="B16843" s="2" t="str">
        <f>IFERROR(__xludf.DUMMYFUNCTION("GOOGLETRANSLATE(A16843, ""en"", ""mt"")"),"Għaliex wieħed irid jagħti diskors?")</f>
        <v>Għaliex wieħed irid jagħti diskors?</v>
      </c>
    </row>
    <row r="16844" ht="15.75" customHeight="1">
      <c r="A16844" s="2" t="s">
        <v>16844</v>
      </c>
      <c r="B16844" s="2" t="str">
        <f>IFERROR(__xludf.DUMMYFUNCTION("GOOGLETRANSLATE(A16844, ""en"", ""mt"")"),"Min iddisinja l-limitu u t-twieqi tal-ħġieġ imtebba 'tal-kamra tal-pranzu aħdar?")</f>
        <v>Min iddisinja l-limitu u t-twieqi tal-ħġieġ imtebba 'tal-kamra tal-pranzu aħdar?</v>
      </c>
    </row>
    <row r="16845" ht="15.75" customHeight="1">
      <c r="A16845" s="2" t="s">
        <v>16845</v>
      </c>
      <c r="B16845" s="2" t="str">
        <f>IFERROR(__xludf.DUMMYFUNCTION("GOOGLETRANSLATE(A16845, ""en"", ""mt"")"),"F'liema stil kienu ddisinjati blokki residenzjali tal-massa mibnija?")</f>
        <v>F'liema stil kienu ddisinjati blokki residenzjali tal-massa mibnija?</v>
      </c>
    </row>
    <row r="16846" ht="15.75" customHeight="1">
      <c r="A16846" s="2" t="s">
        <v>16846</v>
      </c>
      <c r="B16846" s="2" t="str">
        <f>IFERROR(__xludf.DUMMYFUNCTION("GOOGLETRANSLATE(A16846, ""en"", ""mt"")"),"Forza militari")</f>
        <v>Forza militari</v>
      </c>
    </row>
    <row r="16847" ht="15.75" customHeight="1">
      <c r="A16847" s="2" t="s">
        <v>16847</v>
      </c>
      <c r="B16847" s="2" t="str">
        <f>IFERROR(__xludf.DUMMYFUNCTION("GOOGLETRANSLATE(A16847, ""en"", ""mt"")"),"relazzjonijiet mal-parruċċani u l-familja, u l-perċezzjonijiet tagħhom tal-bniet u n-nisa. """)</f>
        <v>relazzjonijiet mal-parruċċani u l-familja, u l-perċezzjonijiet tagħhom tal-bniet u n-nisa. "</v>
      </c>
    </row>
    <row r="16848" ht="15.75" customHeight="1">
      <c r="A16848" s="2" t="s">
        <v>16848</v>
      </c>
      <c r="B16848" s="2" t="str">
        <f>IFERROR(__xludf.DUMMYFUNCTION("GOOGLETRANSLATE(A16848, ""en"", ""mt"")"),"Ġimgħa")</f>
        <v>Ġimgħa</v>
      </c>
    </row>
    <row r="16849" ht="15.75" customHeight="1">
      <c r="A16849" s="2" t="s">
        <v>16849</v>
      </c>
      <c r="B16849" s="2" t="str">
        <f>IFERROR(__xludf.DUMMYFUNCTION("GOOGLETRANSLATE(A16849, ""en"", ""mt"")"),"Somalja u Etjopja")</f>
        <v>Somalja u Etjopja</v>
      </c>
    </row>
    <row r="16850" ht="15.75" customHeight="1">
      <c r="A16850" s="2" t="s">
        <v>16850</v>
      </c>
      <c r="B16850" s="2" t="str">
        <f>IFERROR(__xludf.DUMMYFUNCTION("GOOGLETRANSLATE(A16850, ""en"", ""mt"")"),"Fil-bidu tal-2012, il-Kummissarju tal-NFL Roger Goodell iddikjara li l-kampjonat ippjana li jagħmel il-50 Super Bowl ""spettakolari"" u li kienet ""logħba importanti għalina bħala kampjonat"".")</f>
        <v>Fil-bidu tal-2012, il-Kummissarju tal-NFL Roger Goodell iddikjara li l-kampjonat ippjana li jagħmel il-50 Super Bowl "spettakolari" u li kienet "logħba importanti għalina bħala kampjonat".</v>
      </c>
    </row>
    <row r="16851" ht="15.75" customHeight="1">
      <c r="A16851" s="2" t="s">
        <v>16851</v>
      </c>
      <c r="B16851" s="2" t="str">
        <f>IFERROR(__xludf.DUMMYFUNCTION("GOOGLETRANSLATE(A16851, ""en"", ""mt"")"),"Warraghgey")</f>
        <v>Warraghgey</v>
      </c>
    </row>
    <row r="16852" ht="15.75" customHeight="1">
      <c r="A16852" s="2" t="s">
        <v>16852</v>
      </c>
      <c r="B16852" s="2" t="str">
        <f>IFERROR(__xludf.DUMMYFUNCTION("GOOGLETRANSLATE(A16852, ""en"", ""mt"")"),"Il-Konvenzjoni Ewropea dwar id-Drittijiet tal-Bniedem fl-1950 u t-Twaqqif tal-Qorti Ewropea tad-Drittijiet tal-Bniedem")</f>
        <v>Il-Konvenzjoni Ewropea dwar id-Drittijiet tal-Bniedem fl-1950 u t-Twaqqif tal-Qorti Ewropea tad-Drittijiet tal-Bniedem</v>
      </c>
    </row>
    <row r="16853" ht="15.75" customHeight="1">
      <c r="A16853" s="2" t="s">
        <v>16853</v>
      </c>
      <c r="B16853" s="2" t="str">
        <f>IFERROR(__xludf.DUMMYFUNCTION("GOOGLETRANSLATE(A16853, ""en"", ""mt"")"),"monossidu tal-karbonju")</f>
        <v>monossidu tal-karbonju</v>
      </c>
    </row>
    <row r="16854" ht="15.75" customHeight="1">
      <c r="A16854" s="2" t="s">
        <v>16854</v>
      </c>
      <c r="B16854" s="2" t="str">
        <f>IFERROR(__xludf.DUMMYFUNCTION("GOOGLETRANSLATE(A16854, ""en"", ""mt"")"),"Aqra materjal tal-lezzjonijiet")</f>
        <v>Aqra materjal tal-lezzjonijiet</v>
      </c>
    </row>
    <row r="16855" ht="15.75" customHeight="1">
      <c r="A16855" s="2" t="s">
        <v>16855</v>
      </c>
      <c r="B16855" s="2" t="str">
        <f>IFERROR(__xludf.DUMMYFUNCTION("GOOGLETRANSLATE(A16855, ""en"", ""mt"")"),"Votazzjoni maġġoranza sempliċi")</f>
        <v>Votazzjoni maġġoranza sempliċi</v>
      </c>
    </row>
    <row r="16856" ht="15.75" customHeight="1">
      <c r="A16856" s="2" t="s">
        <v>16856</v>
      </c>
      <c r="B16856" s="2" t="str">
        <f>IFERROR(__xludf.DUMMYFUNCTION("GOOGLETRANSLATE(A16856, ""en"", ""mt"")"),"Ir-Renju Unit tat-Tramuntana")</f>
        <v>Ir-Renju Unit tat-Tramuntana</v>
      </c>
    </row>
    <row r="16857" ht="15.75" customHeight="1">
      <c r="A16857" s="2" t="s">
        <v>16857</v>
      </c>
      <c r="B16857" s="2" t="str">
        <f>IFERROR(__xludf.DUMMYFUNCTION("GOOGLETRANSLATE(A16857, ""en"", ""mt"")"),"X'jimporta li fil-fatt ikollha li l-mekkanika Newtonjana ma tindirizzax?")</f>
        <v>X'jimporta li fil-fatt ikollha li l-mekkanika Newtonjana ma tindirizzax?</v>
      </c>
    </row>
    <row r="16858" ht="15.75" customHeight="1">
      <c r="A16858" s="2" t="s">
        <v>16858</v>
      </c>
      <c r="B16858" s="2" t="str">
        <f>IFERROR(__xludf.DUMMYFUNCTION("GOOGLETRANSLATE(A16858, ""en"", ""mt"")"),"Koran")</f>
        <v>Koran</v>
      </c>
    </row>
    <row r="16859" ht="15.75" customHeight="1">
      <c r="A16859" s="2" t="s">
        <v>16859</v>
      </c>
      <c r="B16859" s="2" t="str">
        <f>IFERROR(__xludf.DUMMYFUNCTION("GOOGLETRANSLATE(A16859, ""en"", ""mt"")"),"X'inhi dik il-grazzja ta 'Alla li ssostni lil dawk li jemmnu fil-vjaġġ lejn il-perfezzjoni Nisranija?")</f>
        <v>X'inhi dik il-grazzja ta 'Alla li ssostni lil dawk li jemmnu fil-vjaġġ lejn il-perfezzjoni Nisranija?</v>
      </c>
    </row>
    <row r="16860" ht="15.75" customHeight="1">
      <c r="A16860" s="2" t="s">
        <v>16860</v>
      </c>
      <c r="B16860" s="2" t="str">
        <f>IFERROR(__xludf.DUMMYFUNCTION("GOOGLETRANSLATE(A16860, ""en"", ""mt"")"),"numru ta 'stadji")</f>
        <v>numru ta 'stadji</v>
      </c>
    </row>
    <row r="16861" ht="15.75" customHeight="1">
      <c r="A16861" s="2" t="s">
        <v>16861</v>
      </c>
      <c r="B16861" s="2" t="str">
        <f>IFERROR(__xludf.DUMMYFUNCTION("GOOGLETRANSLATE(A16861, ""en"", ""mt"")"),"in-nobbli")</f>
        <v>in-nobbli</v>
      </c>
    </row>
    <row r="16862" ht="15.75" customHeight="1">
      <c r="A16862" s="2" t="s">
        <v>16862</v>
      </c>
      <c r="B16862" s="2" t="str">
        <f>IFERROR(__xludf.DUMMYFUNCTION("GOOGLETRANSLATE(A16862, ""en"", ""mt"")"),"X'inhi d-distribuzzjoni tad-dħul mix-xogħol minħabba d-differenzi ta '?")</f>
        <v>X'inhi d-distribuzzjoni tad-dħul mix-xogħol minħabba d-differenzi ta '?</v>
      </c>
    </row>
    <row r="16863" ht="15.75" customHeight="1">
      <c r="A16863" s="2" t="s">
        <v>16863</v>
      </c>
      <c r="B16863" s="2" t="str">
        <f>IFERROR(__xludf.DUMMYFUNCTION("GOOGLETRANSLATE(A16863, ""en"", ""mt"")"),"5 nanometri madwar")</f>
        <v>5 nanometri madwar</v>
      </c>
    </row>
    <row r="16864" ht="15.75" customHeight="1">
      <c r="A16864" s="2" t="s">
        <v>16864</v>
      </c>
      <c r="B16864" s="2" t="str">
        <f>IFERROR(__xludf.DUMMYFUNCTION("GOOGLETRANSLATE(A16864, ""en"", ""mt"")"),"X'tixtieq li missier Tesla oriġinarjament ried li jagħmel?")</f>
        <v>X'tixtieq li missier Tesla oriġinarjament ried li jagħmel?</v>
      </c>
    </row>
    <row r="16865" ht="15.75" customHeight="1">
      <c r="A16865" s="2" t="s">
        <v>16865</v>
      </c>
      <c r="B16865" s="2" t="str">
        <f>IFERROR(__xludf.DUMMYFUNCTION("GOOGLETRANSLATE(A16865, ""en"", ""mt"")"),"X'inhu spiss mifhum bħala l-kawża tar-riġidità tal-materja?")</f>
        <v>X'inhu spiss mifhum bħala l-kawża tar-riġidità tal-materja?</v>
      </c>
    </row>
    <row r="16866" ht="15.75" customHeight="1">
      <c r="A16866" s="2" t="s">
        <v>16866</v>
      </c>
      <c r="B16866" s="2" t="str">
        <f>IFERROR(__xludf.DUMMYFUNCTION("GOOGLETRANSLATE(A16866, ""en"", ""mt"")"),"Kisi tat-turbina")</f>
        <v>Kisi tat-turbina</v>
      </c>
    </row>
    <row r="16867" ht="15.75" customHeight="1">
      <c r="A16867" s="2" t="s">
        <v>16867</v>
      </c>
      <c r="B16867" s="2" t="str">
        <f>IFERROR(__xludf.DUMMYFUNCTION("GOOGLETRANSLATE(A16867, ""en"", ""mt"")"),"Tiċrita żoni kbar ta 'art fil-baħar.")</f>
        <v>Tiċrita żoni kbar ta 'art fil-baħar.</v>
      </c>
    </row>
    <row r="16868" ht="15.75" customHeight="1">
      <c r="A16868" s="2" t="s">
        <v>16868</v>
      </c>
      <c r="B16868" s="2" t="str">
        <f>IFERROR(__xludf.DUMMYFUNCTION("GOOGLETRANSLATE(A16868, ""en"", ""mt"")"),"Kappillan")</f>
        <v>Kappillan</v>
      </c>
    </row>
    <row r="16869" ht="15.75" customHeight="1">
      <c r="A16869" s="2" t="s">
        <v>16869</v>
      </c>
      <c r="B16869" s="2" t="str">
        <f>IFERROR(__xludf.DUMMYFUNCTION("GOOGLETRANSLATE(A16869, ""en"", ""mt"")"),"Terrorista Shia")</f>
        <v>Terrorista Shia</v>
      </c>
    </row>
    <row r="16870" ht="15.75" customHeight="1">
      <c r="A16870" s="2" t="s">
        <v>16870</v>
      </c>
      <c r="B16870" s="2" t="str">
        <f>IFERROR(__xludf.DUMMYFUNCTION("GOOGLETRANSLATE(A16870, ""en"", ""mt"")"),"Firxa ta 'diviżjoni kbira")</f>
        <v>Firxa ta 'diviżjoni kbira</v>
      </c>
    </row>
    <row r="16871" ht="15.75" customHeight="1">
      <c r="A16871" s="2" t="s">
        <v>16871</v>
      </c>
      <c r="B16871" s="2" t="str">
        <f>IFERROR(__xludf.DUMMYFUNCTION("GOOGLETRANSLATE(A16871, ""en"", ""mt"")"),"Kif tissejjaħ is-sezzjoni tar-Rhine Gorge mill-UNESCO?")</f>
        <v>Kif tissejjaħ is-sezzjoni tar-Rhine Gorge mill-UNESCO?</v>
      </c>
    </row>
    <row r="16872" ht="15.75" customHeight="1">
      <c r="A16872" s="2" t="s">
        <v>16872</v>
      </c>
      <c r="B16872" s="2" t="str">
        <f>IFERROR(__xludf.DUMMYFUNCTION("GOOGLETRANSLATE(A16872, ""en"", ""mt"")"),"Belt Konsolidata ta 'Jacksonville")</f>
        <v>Belt Konsolidata ta 'Jacksonville</v>
      </c>
    </row>
    <row r="16873" ht="15.75" customHeight="1">
      <c r="A16873" s="2" t="s">
        <v>16873</v>
      </c>
      <c r="B16873" s="2" t="str">
        <f>IFERROR(__xludf.DUMMYFUNCTION("GOOGLETRANSLATE(A16873, ""en"", ""mt"")"),"diffiċli biex tissolva")</f>
        <v>diffiċli biex tissolva</v>
      </c>
    </row>
    <row r="16874" ht="15.75" customHeight="1">
      <c r="A16874" s="2" t="s">
        <v>16874</v>
      </c>
      <c r="B16874" s="2" t="str">
        <f>IFERROR(__xludf.DUMMYFUNCTION("GOOGLETRANSLATE(A16874, ""en"", ""mt"")"),"Kemm ilha rikonoxxuta l-proporzjonalità bħala wieħed mill-prinċipji ġenerali tal-liġi tal-UE?")</f>
        <v>Kemm ilha rikonoxxuta l-proporzjonalità bħala wieħed mill-prinċipji ġenerali tal-liġi tal-UE?</v>
      </c>
    </row>
    <row r="16875" ht="15.75" customHeight="1">
      <c r="A16875" s="2" t="s">
        <v>16875</v>
      </c>
      <c r="B16875" s="2" t="str">
        <f>IFERROR(__xludf.DUMMYFUNCTION("GOOGLETRANSLATE(A16875, ""en"", ""mt"")"),"Liema organizzazzjoni l-Ġeneral Gaafar al-Nimeiry stieden lill-membri biex iservu fil-gvern tiegħu?")</f>
        <v>Liema organizzazzjoni l-Ġeneral Gaafar al-Nimeiry stieden lill-membri biex iservu fil-gvern tiegħu?</v>
      </c>
    </row>
    <row r="16876" ht="15.75" customHeight="1">
      <c r="A16876" s="2" t="s">
        <v>16876</v>
      </c>
      <c r="B16876" s="2" t="str">
        <f>IFERROR(__xludf.DUMMYFUNCTION("GOOGLETRANSLATE(A16876, ""en"", ""mt"")"),"Tliet mużewijiet.")</f>
        <v>Tliet mużewijiet.</v>
      </c>
    </row>
    <row r="16877" ht="15.75" customHeight="1">
      <c r="A16877" s="2" t="s">
        <v>16877</v>
      </c>
      <c r="B16877" s="2" t="str">
        <f>IFERROR(__xludf.DUMMYFUNCTION("GOOGLETRANSLATE(A16877, ""en"", ""mt"")"),"Daniel Burke telaq minn Capital Cities / ABC fi Frar 1994, bi Thomas Murphy jieħu postu bħala president qabel ma ċeda l-kontroll lil Robert Iger. Settembru 1994 ra d-debutt ta 'NYPD Blue, pulizija mrammla proċedurali minn Steven Bochco (li ħoloq Doogie Ho"&amp;"wser, M.D. u l-cop rock pilloried b'mod kritiku għal ABC aktar kmieni fid-deċennju); Dawk għaxar staġuni, id-drama saret magħrufa għall-imbuttar tal-konfini tal-istandards tat-televiżjoni tan-netwerk (partikolarment l-użu okkażjonali tagħha ta 'lingwa gra"&amp;"fika u nudiżmu ta' wara), li wasslet lil xi affiljati biex inizjalment jirrifjutaw li jxandru l-ispettaklu fl-ewwel staġun tiegħu.")</f>
        <v>Daniel Burke telaq minn Capital Cities / ABC fi Frar 1994, bi Thomas Murphy jieħu postu bħala president qabel ma ċeda l-kontroll lil Robert Iger. Settembru 1994 ra d-debutt ta 'NYPD Blue, pulizija mrammla proċedurali minn Steven Bochco (li ħoloq Doogie Howser, M.D. u l-cop rock pilloried b'mod kritiku għal ABC aktar kmieni fid-deċennju); Dawk għaxar staġuni, id-drama saret magħrufa għall-imbuttar tal-konfini tal-istandards tat-televiżjoni tan-netwerk (partikolarment l-użu okkażjonali tagħha ta 'lingwa grafika u nudiżmu ta' wara), li wasslet lil xi affiljati biex inizjalment jirrifjutaw li jxandru l-ispettaklu fl-ewwel staġun tiegħu.</v>
      </c>
    </row>
    <row r="16878" ht="15.75" customHeight="1">
      <c r="A16878" s="2" t="s">
        <v>16878</v>
      </c>
      <c r="B16878" s="2" t="str">
        <f>IFERROR(__xludf.DUMMYFUNCTION("GOOGLETRANSLATE(A16878, ""en"", ""mt"")"),"X'inhuma FTSZ1 u FTSZ2?")</f>
        <v>X'inhuma FTSZ1 u FTSZ2?</v>
      </c>
    </row>
    <row r="16879" ht="15.75" customHeight="1">
      <c r="A16879" s="2" t="s">
        <v>16879</v>
      </c>
      <c r="B16879" s="2" t="str">
        <f>IFERROR(__xludf.DUMMYFUNCTION("GOOGLETRANSLATE(A16879, ""en"", ""mt"")"),"$ 2.50 għal kull horsepower AC")</f>
        <v>$ 2.50 għal kull horsepower AC</v>
      </c>
    </row>
    <row r="16880" ht="15.75" customHeight="1">
      <c r="A16880" s="2" t="s">
        <v>16880</v>
      </c>
      <c r="B16880" s="2" t="str">
        <f>IFERROR(__xludf.DUMMYFUNCTION("GOOGLETRANSLATE(A16880, ""en"", ""mt"")"),"Glaucophyte")</f>
        <v>Glaucophyte</v>
      </c>
    </row>
    <row r="16881" ht="15.75" customHeight="1">
      <c r="A16881" s="2" t="s">
        <v>16881</v>
      </c>
      <c r="B16881" s="2" t="str">
        <f>IFERROR(__xludf.DUMMYFUNCTION("GOOGLETRANSLATE(A16881, ""en"", ""mt"")"),"il-bitti tagħhom")</f>
        <v>il-bitti tagħhom</v>
      </c>
    </row>
    <row r="16882" ht="15.75" customHeight="1">
      <c r="A16882" s="2" t="s">
        <v>16882</v>
      </c>
      <c r="B16882" s="2" t="str">
        <f>IFERROR(__xludf.DUMMYFUNCTION("GOOGLETRANSLATE(A16882, ""en"", ""mt"")"),"X'inhu l-isem tal-istadium fiż-Żona tal-Bajja ta 'San Francisco?")</f>
        <v>X'inhu l-isem tal-istadium fiż-Żona tal-Bajja ta 'San Francisco?</v>
      </c>
    </row>
    <row r="16883" ht="15.75" customHeight="1">
      <c r="A16883" s="2" t="s">
        <v>16883</v>
      </c>
      <c r="B16883" s="2" t="str">
        <f>IFERROR(__xludf.DUMMYFUNCTION("GOOGLETRANSLATE(A16883, ""en"", ""mt"")"),"L-IP u l-AM huma l-aktar definiti minn liema tip ta 'sistema ta' prova?")</f>
        <v>L-IP u l-AM huma l-aktar definiti minn liema tip ta 'sistema ta' prova?</v>
      </c>
    </row>
    <row r="16884" ht="15.75" customHeight="1">
      <c r="A16884" s="2" t="s">
        <v>16884</v>
      </c>
      <c r="B16884" s="2" t="str">
        <f>IFERROR(__xludf.DUMMYFUNCTION("GOOGLETRANSLATE(A16884, ""en"", ""mt"")"),"Ħadid banded")</f>
        <v>Ħadid banded</v>
      </c>
    </row>
    <row r="16885" ht="15.75" customHeight="1">
      <c r="A16885" s="2" t="s">
        <v>16885</v>
      </c>
      <c r="B16885" s="2" t="str">
        <f>IFERROR(__xludf.DUMMYFUNCTION("GOOGLETRANSLATE(A16885, ""en"", ""mt"")"),"Kumpaniji tal-milizja lokali")</f>
        <v>Kumpaniji tal-milizja lokali</v>
      </c>
    </row>
    <row r="16886" ht="15.75" customHeight="1">
      <c r="A16886" s="2" t="s">
        <v>16886</v>
      </c>
      <c r="B16886" s="2" t="str">
        <f>IFERROR(__xludf.DUMMYFUNCTION("GOOGLETRANSLATE(A16886, ""en"", ""mt"")"),"Għaliex kien hemm deprezzament tad-dollari tan-nazzjonijiet industrijalizzati?")</f>
        <v>Għaliex kien hemm deprezzament tad-dollari tan-nazzjonijiet industrijalizzati?</v>
      </c>
    </row>
    <row r="16887" ht="15.75" customHeight="1">
      <c r="A16887" s="2" t="s">
        <v>16887</v>
      </c>
      <c r="B16887" s="2" t="str">
        <f>IFERROR(__xludf.DUMMYFUNCTION("GOOGLETRANSLATE(A16887, ""en"", ""mt"")"),"Matul liema perjodu x'aktarx il-baċin tad-drenaġġ tal-Amazon jinqasam?")</f>
        <v>Matul liema perjodu x'aktarx il-baċin tad-drenaġġ tal-Amazon jinqasam?</v>
      </c>
    </row>
    <row r="16888" ht="15.75" customHeight="1">
      <c r="A16888" s="2" t="s">
        <v>16888</v>
      </c>
      <c r="B16888" s="2" t="str">
        <f>IFERROR(__xludf.DUMMYFUNCTION("GOOGLETRANSLATE(A16888, ""en"", ""mt"")"),"Xi xogħlijiet mhux Ingliżi fil-galleriji Ingliżi ġew importati minn liema kontinent?")</f>
        <v>Xi xogħlijiet mhux Ingliżi fil-galleriji Ingliżi ġew importati minn liema kontinent?</v>
      </c>
    </row>
    <row r="16889" ht="15.75" customHeight="1">
      <c r="A16889" s="2" t="s">
        <v>16889</v>
      </c>
      <c r="B16889" s="2" t="str">
        <f>IFERROR(__xludf.DUMMYFUNCTION("GOOGLETRANSLATE(A16889, ""en"", ""mt"")"),"Liema netwerk Ġappuniż ABC xtara sehem fl-1951?")</f>
        <v>Liema netwerk Ġappuniż ABC xtara sehem fl-1951?</v>
      </c>
    </row>
    <row r="16890" ht="15.75" customHeight="1">
      <c r="A16890" s="2" t="s">
        <v>16890</v>
      </c>
      <c r="B16890" s="2" t="str">
        <f>IFERROR(__xludf.DUMMYFUNCTION("GOOGLETRANSLATE(A16890, ""en"", ""mt"")"),"Liema terminu rrefera għal ċittadini tal-klassi tan-nofs li jħallu s-subborgi?")</f>
        <v>Liema terminu rrefera għal ċittadini tal-klassi tan-nofs li jħallu s-subborgi?</v>
      </c>
    </row>
    <row r="16891" ht="15.75" customHeight="1">
      <c r="A16891" s="2" t="s">
        <v>16891</v>
      </c>
      <c r="B16891" s="2" t="str">
        <f>IFERROR(__xludf.DUMMYFUNCTION("GOOGLETRANSLATE(A16891, ""en"", ""mt"")"),"In-nisa jirtiraw fl-età ta '60 sena u rġiel f'65")</f>
        <v>In-nisa jirtiraw fl-età ta '60 sena u rġiel f'65</v>
      </c>
    </row>
    <row r="16892" ht="15.75" customHeight="1">
      <c r="A16892" s="2" t="s">
        <v>16892</v>
      </c>
      <c r="B16892" s="2" t="str">
        <f>IFERROR(__xludf.DUMMYFUNCTION("GOOGLETRANSLATE(A16892, ""en"", ""mt"")"),"X'inhi l-firxa tal-età tal-biċċa l-kbira tal-prostituti fil-Kenja?")</f>
        <v>X'inhi l-firxa tal-età tal-biċċa l-kbira tal-prostituti fil-Kenja?</v>
      </c>
    </row>
    <row r="16893" ht="15.75" customHeight="1">
      <c r="A16893" s="2" t="s">
        <v>16893</v>
      </c>
      <c r="B16893" s="2" t="str">
        <f>IFERROR(__xludf.DUMMYFUNCTION("GOOGLETRANSLATE(A16893, ""en"", ""mt"")"),"Ħtieġa għall-ekonomiji kapitalisti biex jespandu kontinwament l-investiment, ir-riżorsi materjali u l-ħaddiema")</f>
        <v>Ħtieġa għall-ekonomiji kapitalisti biex jespandu kontinwament l-investiment, ir-riżorsi materjali u l-ħaddiema</v>
      </c>
    </row>
    <row r="16894" ht="15.75" customHeight="1">
      <c r="A16894" s="2" t="s">
        <v>16894</v>
      </c>
      <c r="B16894" s="2" t="str">
        <f>IFERROR(__xludf.DUMMYFUNCTION("GOOGLETRANSLATE(A16894, ""en"", ""mt"")"),"Tabelli tal-hash")</f>
        <v>Tabelli tal-hash</v>
      </c>
    </row>
    <row r="16895" ht="15.75" customHeight="1">
      <c r="A16895" s="2" t="s">
        <v>16895</v>
      </c>
      <c r="B16895" s="2" t="str">
        <f>IFERROR(__xludf.DUMMYFUNCTION("GOOGLETRANSLATE(A16895, ""en"", ""mt"")"),"Moviment tad-Drittijiet Ċivili Amerikani")</f>
        <v>Moviment tad-Drittijiet Ċivili Amerikani</v>
      </c>
    </row>
    <row r="16896" ht="15.75" customHeight="1">
      <c r="A16896" s="2" t="s">
        <v>16896</v>
      </c>
      <c r="B16896" s="2" t="str">
        <f>IFERROR(__xludf.DUMMYFUNCTION("GOOGLETRANSLATE(A16896, ""en"", ""mt"")"),"X'inhuma l-muroplasti?")</f>
        <v>X'inhuma l-muroplasti?</v>
      </c>
    </row>
    <row r="16897" ht="15.75" customHeight="1">
      <c r="A16897" s="2" t="s">
        <v>16897</v>
      </c>
      <c r="B16897" s="2" t="str">
        <f>IFERROR(__xludf.DUMMYFUNCTION("GOOGLETRANSLATE(A16897, ""en"", ""mt"")"),"Uħud mid-dħul ingħata fil-forma ta 'għajnuna lil nazzjonijiet oħra sottożviluppati li l-ekonomiji tagħhom kienu nqabdu bejn prezzijiet ogħla taż-żejt u prezzijiet aktar baxxi għall-prodotti ta' esportazzjoni tagħhom stess, fost it-tnaqqis tad-domanda tal-"&amp;"Punent. Ħafna marru għax-xiri tal-armi li jkabbru t-tensjonijiet politiċi, partikolarment fil-Lvant Nofsani. L-Arabja Sawdita nefqet aktar minn 100 biljun dollaru fid-deċennji li ġejjin biex tgħin ixerred l-interpretazzjoni fundamentalista tagħha tal-Iżla"&amp;"m, magħrufa bħala Wahhabism, madwar id-dinja, permezz ta ’karitajiet reliġjużi bħal fondazzjoni al-Haramain, li ħafna drabi tqassmu wkoll fondi lil gruppi estremisti vjolenti Sunni bħal al bħal al -Qaeda u t-Taliban.")</f>
        <v>Uħud mid-dħul ingħata fil-forma ta 'għajnuna lil nazzjonijiet oħra sottożviluppati li l-ekonomiji tagħhom kienu nqabdu bejn prezzijiet ogħla taż-żejt u prezzijiet aktar baxxi għall-prodotti ta' esportazzjoni tagħhom stess, fost it-tnaqqis tad-domanda tal-Punent. Ħafna marru għax-xiri tal-armi li jkabbru t-tensjonijiet politiċi, partikolarment fil-Lvant Nofsani. L-Arabja Sawdita nefqet aktar minn 100 biljun dollaru fid-deċennji li ġejjin biex tgħin ixerred l-interpretazzjoni fundamentalista tagħha tal-Iżlam, magħrufa bħala Wahhabism, madwar id-dinja, permezz ta ’karitajiet reliġjużi bħal fondazzjoni al-Haramain, li ħafna drabi tqassmu wkoll fondi lil gruppi estremisti vjolenti Sunni bħal al bħal al -Qaeda u t-Taliban.</v>
      </c>
    </row>
    <row r="16898" ht="15.75" customHeight="1">
      <c r="A16898" s="2" t="s">
        <v>16898</v>
      </c>
      <c r="B16898" s="2" t="str">
        <f>IFERROR(__xludf.DUMMYFUNCTION("GOOGLETRANSLATE(A16898, ""en"", ""mt"")"),"X’jegwi l-ipprogrammar lokali tard wara Super Bowl 50?")</f>
        <v>X’jegwi l-ipprogrammar lokali tard wara Super Bowl 50?</v>
      </c>
    </row>
    <row r="16899" ht="15.75" customHeight="1">
      <c r="A16899" s="2" t="s">
        <v>16899</v>
      </c>
      <c r="B16899" s="2" t="str">
        <f>IFERROR(__xludf.DUMMYFUNCTION("GOOGLETRANSLATE(A16899, ""en"", ""mt"")"),"X'kien il-bini tbattal darbtejn biex jippermetti?")</f>
        <v>X'kien il-bini tbattal darbtejn biex jippermetti?</v>
      </c>
    </row>
    <row r="16900" ht="15.75" customHeight="1">
      <c r="A16900" s="2" t="s">
        <v>16900</v>
      </c>
      <c r="B16900" s="2" t="str">
        <f>IFERROR(__xludf.DUMMYFUNCTION("GOOGLETRANSLATE(A16900, ""en"", ""mt"")"),"X'jiġri l-pagi f'xogħol ma 'ħafna ħaddiema lesti li jaħdmu ħafna?")</f>
        <v>X'jiġri l-pagi f'xogħol ma 'ħafna ħaddiema lesti li jaħdmu ħafna?</v>
      </c>
    </row>
    <row r="16901" ht="15.75" customHeight="1">
      <c r="A16901" s="2" t="s">
        <v>16901</v>
      </c>
      <c r="B16901" s="2" t="str">
        <f>IFERROR(__xludf.DUMMYFUNCTION("GOOGLETRANSLATE(A16901, ""en"", ""mt"")"),"Il-prinċipji tal-liġi tal-Unjoni Ewropea huma r-regoli tal-liġi li ġew żviluppati mill-Qorti Ewropea tal-Ġustizzja li jikkostitwixxu regoli mhux miktuba li mhumiex previsti espressament fit-trattati iżda li jaffettwaw kif il-liġi tal-Unjoni Ewropea hija i"&amp;"nterpretata u tapplika. Fil-formulazzjoni ta 'dawn il-prinċipji, il-qrati fasslu fuq varjetà ta' sorsi, inklużi: liġi internazzjonali pubblika u duttrini legali u prinċipji preżenti fis-sistemi legali tal-Istati Membri tal-Unjoni Ewropea u fil-ġurispruden"&amp;"za tal-Qorti Ewropea tad-Drittijiet tal-Bniedem. Prinċipji ġenerali aċċettati tal-liġi tal-Unjoni Ewropea jinkludu drittijiet fundamentali (ara d-drittijiet tal-bniedem), proporzjonalità, ċertezza legali, ugwaljanza quddiem il-liġi u s-sussidjarjetà.")</f>
        <v>Il-prinċipji tal-liġi tal-Unjoni Ewropea huma r-regoli tal-liġi li ġew żviluppati mill-Qorti Ewropea tal-Ġustizzja li jikkostitwixxu regoli mhux miktuba li mhumiex previsti espressament fit-trattati iżda li jaffettwaw kif il-liġi tal-Unjoni Ewropea hija interpretata u tapplika. Fil-formulazzjoni ta 'dawn il-prinċipji, il-qrati fasslu fuq varjetà ta' sorsi, inklużi: liġi internazzjonali pubblika u duttrini legali u prinċipji preżenti fis-sistemi legali tal-Istati Membri tal-Unjoni Ewropea u fil-ġurisprudenza tal-Qorti Ewropea tad-Drittijiet tal-Bniedem. Prinċipji ġenerali aċċettati tal-liġi tal-Unjoni Ewropea jinkludu drittijiet fundamentali (ara d-drittijiet tal-bniedem), proporzjonalità, ċertezza legali, ugwaljanza quddiem il-liġi u s-sussidjarjetà.</v>
      </c>
    </row>
    <row r="16902" ht="15.75" customHeight="1">
      <c r="A16902" s="2" t="s">
        <v>16902</v>
      </c>
      <c r="B16902" s="2" t="str">
        <f>IFERROR(__xludf.DUMMYFUNCTION("GOOGLETRANSLATE(A16902, ""en"", ""mt"")"),"Għarab Sunni")</f>
        <v>Għarab Sunni</v>
      </c>
    </row>
    <row r="16903" ht="15.75" customHeight="1">
      <c r="A16903" s="2" t="s">
        <v>16903</v>
      </c>
      <c r="B16903" s="2" t="str">
        <f>IFERROR(__xludf.DUMMYFUNCTION("GOOGLETRANSLATE(A16903, ""en"", ""mt"")"),"Kemm jistgħu jieklu Ctenophores f'ġurnata waħda?")</f>
        <v>Kemm jistgħu jieklu Ctenophores f'ġurnata waħda?</v>
      </c>
    </row>
    <row r="16904" ht="15.75" customHeight="1">
      <c r="A16904" s="2" t="s">
        <v>16904</v>
      </c>
      <c r="B16904" s="2" t="str">
        <f>IFERROR(__xludf.DUMMYFUNCTION("GOOGLETRANSLATE(A16904, ""en"", ""mt"")"),"It-Tieni Liġi ta 'Newton")</f>
        <v>It-Tieni Liġi ta 'Newton</v>
      </c>
    </row>
    <row r="16905" ht="15.75" customHeight="1">
      <c r="A16905" s="2" t="s">
        <v>16905</v>
      </c>
      <c r="B16905" s="2" t="str">
        <f>IFERROR(__xludf.DUMMYFUNCTION("GOOGLETRANSLATE(A16905, ""en"", ""mt"")"),"Liema raġuni tingħata xi kultant biex tinvoka li mhux ħati li tinvolvi dawn il-kwistjonijiet?")</f>
        <v>Liema raġuni tingħata xi kultant biex tinvoka li mhux ħati li tinvolvi dawn il-kwistjonijiet?</v>
      </c>
    </row>
    <row r="16906" ht="15.75" customHeight="1">
      <c r="A16906" s="2" t="s">
        <v>16906</v>
      </c>
      <c r="B16906" s="2" t="str">
        <f>IFERROR(__xludf.DUMMYFUNCTION("GOOGLETRANSLATE(A16906, ""en"", ""mt"")"),"Limiti aktar baxxi")</f>
        <v>Limiti aktar baxxi</v>
      </c>
    </row>
    <row r="16907" ht="15.75" customHeight="1">
      <c r="A16907" s="2" t="s">
        <v>16907</v>
      </c>
      <c r="B16907" s="2" t="str">
        <f>IFERROR(__xludf.DUMMYFUNCTION("GOOGLETRANSLATE(A16907, ""en"", ""mt"")"),"Minn dak li Luther kien jemmen li tgħix il-persuna ġusta?")</f>
        <v>Minn dak li Luther kien jemmen li tgħix il-persuna ġusta?</v>
      </c>
    </row>
    <row r="16908" ht="15.75" customHeight="1">
      <c r="A16908" s="2" t="s">
        <v>16908</v>
      </c>
      <c r="B16908" s="2" t="str">
        <f>IFERROR(__xludf.DUMMYFUNCTION("GOOGLETRANSLATE(A16908, ""en"", ""mt"")"),"Kurva Kuznets")</f>
        <v>Kurva Kuznets</v>
      </c>
    </row>
    <row r="16909" ht="15.75" customHeight="1">
      <c r="A16909" s="2" t="s">
        <v>16909</v>
      </c>
      <c r="B16909" s="2" t="str">
        <f>IFERROR(__xludf.DUMMYFUNCTION("GOOGLETRANSLATE(A16909, ""en"", ""mt"")"),"X'kien l-ewwel approċċ tar-re għall-Huguenots?")</f>
        <v>X'kien l-ewwel approċċ tar-re għall-Huguenots?</v>
      </c>
    </row>
    <row r="16910" ht="15.75" customHeight="1">
      <c r="A16910" s="2" t="s">
        <v>16910</v>
      </c>
      <c r="B16910" s="2" t="str">
        <f>IFERROR(__xludf.DUMMYFUNCTION("GOOGLETRANSLATE(A16910, ""en"", ""mt"")"),"Liema żewġ qrati japplikaw il-liġi tal-Unjoni Ewropea?")</f>
        <v>Liema żewġ qrati japplikaw il-liġi tal-Unjoni Ewropea?</v>
      </c>
    </row>
    <row r="16911" ht="15.75" customHeight="1">
      <c r="A16911" s="2" t="s">
        <v>16911</v>
      </c>
      <c r="B16911" s="2" t="str">
        <f>IFERROR(__xludf.DUMMYFUNCTION("GOOGLETRANSLATE(A16911, ""en"", ""mt"")"),"Il-pesta setgħet daħlet fl-Ewropa f'żewġ mewġ")</f>
        <v>Il-pesta setgħet daħlet fl-Ewropa f'żewġ mewġ</v>
      </c>
    </row>
    <row r="16912" ht="15.75" customHeight="1">
      <c r="A16912" s="2" t="s">
        <v>16912</v>
      </c>
      <c r="B16912" s="2" t="str">
        <f>IFERROR(__xludf.DUMMYFUNCTION("GOOGLETRANSLATE(A16912, ""en"", ""mt"")"),"inkwiet u vjolenza.")</f>
        <v>inkwiet u vjolenza.</v>
      </c>
    </row>
    <row r="16913" ht="15.75" customHeight="1">
      <c r="A16913" s="2" t="s">
        <v>16913</v>
      </c>
      <c r="B16913" s="2" t="str">
        <f>IFERROR(__xludf.DUMMYFUNCTION("GOOGLETRANSLATE(A16913, ""en"", ""mt"")"),"Fejn inbnew il-linji tal-ferrovija tal-kejl dojoq fir-Rabat?")</f>
        <v>Fejn inbnew il-linji tal-ferrovija tal-kejl dojoq fir-Rabat?</v>
      </c>
    </row>
    <row r="16914" ht="15.75" customHeight="1">
      <c r="A16914" s="2" t="s">
        <v>16914</v>
      </c>
      <c r="B16914" s="2" t="str">
        <f>IFERROR(__xludf.DUMMYFUNCTION("GOOGLETRANSLATE(A16914, ""en"", ""mt"")"),"Dipartiment tal-Istat")</f>
        <v>Dipartiment tal-Istat</v>
      </c>
    </row>
    <row r="16915" ht="15.75" customHeight="1">
      <c r="A16915" s="2" t="s">
        <v>16915</v>
      </c>
      <c r="B16915" s="2" t="str">
        <f>IFERROR(__xludf.DUMMYFUNCTION("GOOGLETRANSLATE(A16915, ""en"", ""mt"")"),"Kemm qablet li Lama terġa 'tinbena?")</f>
        <v>Kemm qablet li Lama terġa 'tinbena?</v>
      </c>
    </row>
    <row r="16916" ht="15.75" customHeight="1">
      <c r="A16916" s="2" t="s">
        <v>16916</v>
      </c>
      <c r="B16916" s="2" t="str">
        <f>IFERROR(__xludf.DUMMYFUNCTION("GOOGLETRANSLATE(A16916, ""en"", ""mt"")"),"Kull meta ltaqa 'ma' negozjanti Ingliżi jew negozji tal-pil, Céloron għarrafhom bit-talbiet Franċiżi fit-territorju u qalilhom biex jitilqu.")</f>
        <v>Kull meta ltaqa 'ma' negozjanti Ingliżi jew negozji tal-pil, Céloron għarrafhom bit-talbiet Franċiżi fit-territorju u qalilhom biex jitilqu.</v>
      </c>
    </row>
    <row r="16917" ht="15.75" customHeight="1">
      <c r="A16917" s="2" t="s">
        <v>16917</v>
      </c>
      <c r="B16917" s="2" t="str">
        <f>IFERROR(__xludf.DUMMYFUNCTION("GOOGLETRANSLATE(A16917, ""en"", ""mt"")"),"Tmiem oppost minn ħalq")</f>
        <v>Tmiem oppost minn ħalq</v>
      </c>
    </row>
    <row r="16918" ht="15.75" customHeight="1">
      <c r="A16918" s="2" t="s">
        <v>16918</v>
      </c>
      <c r="B16918" s="2" t="str">
        <f>IFERROR(__xludf.DUMMYFUNCTION("GOOGLETRANSLATE(A16918, ""en"", ""mt"")"),"Iż-żona newtrali")</f>
        <v>Iż-żona newtrali</v>
      </c>
    </row>
    <row r="16919" ht="15.75" customHeight="1">
      <c r="A16919" s="2" t="s">
        <v>16919</v>
      </c>
      <c r="B16919" s="2" t="str">
        <f>IFERROR(__xludf.DUMMYFUNCTION("GOOGLETRANSLATE(A16919, ""en"", ""mt"")"),"X'inhi l-farmaċija medjevali ta 'Esteve fil-preżent?")</f>
        <v>X'inhi l-farmaċija medjevali ta 'Esteve fil-preżent?</v>
      </c>
    </row>
    <row r="16920" ht="15.75" customHeight="1">
      <c r="A16920" s="2" t="s">
        <v>16920</v>
      </c>
      <c r="B16920" s="2" t="str">
        <f>IFERROR(__xludf.DUMMYFUNCTION("GOOGLETRANSLATE(A16920, ""en"", ""mt"")"),"Albert ta ’Mainz")</f>
        <v>Albert ta ’Mainz</v>
      </c>
    </row>
    <row r="16921" ht="15.75" customHeight="1">
      <c r="A16921" s="2" t="s">
        <v>16921</v>
      </c>
      <c r="B16921" s="2" t="str">
        <f>IFERROR(__xludf.DUMMYFUNCTION("GOOGLETRANSLATE(A16921, ""en"", ""mt"")"),"Perossidi, klorati, nitrati, perklorati, u dikromi")</f>
        <v>Perossidi, klorati, nitrati, perklorati, u dikromi</v>
      </c>
    </row>
    <row r="16922" ht="15.75" customHeight="1">
      <c r="A16922" s="2" t="s">
        <v>16922</v>
      </c>
      <c r="B16922" s="2" t="str">
        <f>IFERROR(__xludf.DUMMYFUNCTION("GOOGLETRANSLATE(A16922, ""en"", ""mt"")"),"Kemm dam il-proġett Apollo?")</f>
        <v>Kemm dam il-proġett Apollo?</v>
      </c>
    </row>
    <row r="16923" ht="15.75" customHeight="1">
      <c r="A16923" s="2" t="s">
        <v>16923</v>
      </c>
      <c r="B16923" s="2" t="str">
        <f>IFERROR(__xludf.DUMMYFUNCTION("GOOGLETRANSLATE(A16923, ""en"", ""mt"")"),"Għal x'inhu l-ossiġnu singlet aktar reattiv?")</f>
        <v>Għal x'inhu l-ossiġnu singlet aktar reattiv?</v>
      </c>
    </row>
    <row r="16924" ht="15.75" customHeight="1">
      <c r="A16924" s="2" t="s">
        <v>16924</v>
      </c>
      <c r="B16924" s="2" t="str">
        <f>IFERROR(__xludf.DUMMYFUNCTION("GOOGLETRANSLATE(A16924, ""en"", ""mt"")"),"Il-biċċa l-kbira tal-pajjiżi tal-Punent")</f>
        <v>Il-biċċa l-kbira tal-pajjiżi tal-Punent</v>
      </c>
    </row>
    <row r="16925" ht="15.75" customHeight="1">
      <c r="A16925" s="2" t="s">
        <v>16925</v>
      </c>
      <c r="B16925" s="2" t="str">
        <f>IFERROR(__xludf.DUMMYFUNCTION("GOOGLETRANSLATE(A16925, ""en"", ""mt"")"),"Sfida akbar għas-sistema legali")</f>
        <v>Sfida akbar għas-sistema legali</v>
      </c>
    </row>
    <row r="16926" ht="15.75" customHeight="1">
      <c r="A16926" s="2" t="s">
        <v>16926</v>
      </c>
      <c r="B16926" s="2" t="str">
        <f>IFERROR(__xludf.DUMMYFUNCTION("GOOGLETRANSLATE(A16926, ""en"", ""mt"")"),"Liema annimal li jgħix fix-xmara Amazon jista 'jipproduċi xokk fatali?")</f>
        <v>Liema annimal li jgħix fix-xmara Amazon jista 'jipproduċi xokk fatali?</v>
      </c>
    </row>
    <row r="16927" ht="15.75" customHeight="1">
      <c r="A16927" s="2" t="s">
        <v>16927</v>
      </c>
      <c r="B16927" s="2" t="str">
        <f>IFERROR(__xludf.DUMMYFUNCTION("GOOGLETRANSLATE(A16927, ""en"", ""mt"")"),"Studju fl-Ingilterra wera prevalenza ta ’0.3% ta’ abbuż sesswali minn kwalunkwe professjonist, grupp li kien jinkludi saċerdoti, mexxejja reliġjużi, u ħaddiema tal-każijiet kif ukoll għalliema. Huwa importanti li wieħed jinnota, madankollu, li l-istudju B"&amp;"rittaniku msemmi hawn fuq huwa l-uniku wieħed tat-tip tiegħu u kien jikkonsisti minn ""kampjun ta 'probabbiltà bl-addoċċ ... ta' 2,869 żgħażagħ ta 'bejn it-18 u l-24 sena fi studju assistit mill-kompjuter"" u li l-mistoqsijiet imsemmija għal ""abbuż sessw"&amp;"ali ma 'professjonist,"" mhux neċessarjament għalliem. Huwa għalhekk loġiku li tikkonkludi li l-informazzjoni dwar il-persentaġġ ta 'abbużi mill-għalliema fir-Renju Unit mhix disponibbli espliċitament u għalhekk mhux neċessarjament affidabbli. L-istudju A"&amp;"AUW, madankollu, għamel mistoqsijiet dwar erbatax-il tip ta 'fastidju sesswali u diversi gradi ta' frekwenza u inkluda biss abbużi mill-għalliema. ""Il-kampjun ġie meħud minn lista ta '80, 000 skola biex tinħoloq disinn ta 'kampjun f'żewġ stadji stratifik"&amp;"ati ta' 2,065 student tat-8 sal-11-il grad"" L-affidabbiltà tagħha ġiet imkejla f'95% b'marġni ta '4% ta' żball.")</f>
        <v>Studju fl-Ingilterra wera prevalenza ta ’0.3% ta’ abbuż sesswali minn kwalunkwe professjonist, grupp li kien jinkludi saċerdoti, mexxejja reliġjużi, u ħaddiema tal-każijiet kif ukoll għalliema. Huwa importanti li wieħed jinnota, madankollu, li l-istudju Brittaniku msemmi hawn fuq huwa l-uniku wieħed tat-tip tiegħu u kien jikkonsisti minn "kampjun ta 'probabbiltà bl-addoċċ ... ta' 2,869 żgħażagħ ta 'bejn it-18 u l-24 sena fi studju assistit mill-kompjuter" u li l-mistoqsijiet imsemmija għal "abbuż sesswali ma 'professjonist," mhux neċessarjament għalliem. Huwa għalhekk loġiku li tikkonkludi li l-informazzjoni dwar il-persentaġġ ta 'abbużi mill-għalliema fir-Renju Unit mhix disponibbli espliċitament u għalhekk mhux neċessarjament affidabbli. L-istudju AAUW, madankollu, għamel mistoqsijiet dwar erbatax-il tip ta 'fastidju sesswali u diversi gradi ta' frekwenza u inkluda biss abbużi mill-għalliema. "Il-kampjun ġie meħud minn lista ta '80, 000 skola biex tinħoloq disinn ta 'kampjun f'żewġ stadji stratifikati ta' 2,065 student tat-8 sal-11-il grad" L-affidabbiltà tagħha ġiet imkejla f'95% b'marġni ta '4% ta' żball.</v>
      </c>
    </row>
    <row r="16928" ht="15.75" customHeight="1">
      <c r="A16928" s="2" t="s">
        <v>16928</v>
      </c>
      <c r="B16928" s="2" t="str">
        <f>IFERROR(__xludf.DUMMYFUNCTION("GOOGLETRANSLATE(A16928, ""en"", ""mt"")"),"Spazji miftuħa fil-viċin")</f>
        <v>Spazji miftuħa fil-viċin</v>
      </c>
    </row>
    <row r="16929" ht="15.75" customHeight="1">
      <c r="A16929" s="2" t="s">
        <v>16929</v>
      </c>
      <c r="B16929" s="2" t="str">
        <f>IFERROR(__xludf.DUMMYFUNCTION("GOOGLETRANSLATE(A16929, ""en"", ""mt"")"),"Fis-16 ta 'Ġunju, 2007, ABC beda fażi f'kampanja ta' immaġini ġdida għall-istaġun li jmiss 2007–08, ""Ibda hawn"". Żviluppat ukoll minn Troika, id-disinn fuq l-ajru kien maħsub biex jenfasizza d-disponibbiltà tal-kontenut ABC fuq pjattaformi multipli (b'm"&amp;"od partikolari, bl-użu ta 'sistema ta' ikoni li jirrappreżentaw apparati differenti, bħal televiżjoni, kompjuters u apparat mobbli), u ""tissimplifika u ġġib Ħafna aktar konsistenza u kontinwità għar-rappreżentazzjoni viżwali ta 'ABC "". Il-logo ABC ġie w"&amp;"koll iddisinjat mill-ġdid b'mod sinifikanti bħala parti mit-tranżizzjoni, b'effett ta '""ballun"" tleqq li kien iddisinjat speċifikament għall-HD. Fuq l-arja, il-logo kien akkumpanjat minn effetti ta 'ilma animati u żigarelli. Żigarelli ħomor intużaw biex"&amp;" jirrappreżentaw id-diviżjoni tad-divertiment, filwaqt li żigarelli blu kienu użati għal ABC News.")</f>
        <v>Fis-16 ta 'Ġunju, 2007, ABC beda fażi f'kampanja ta' immaġini ġdida għall-istaġun li jmiss 2007–08, "Ibda hawn". Żviluppat ukoll minn Troika, id-disinn fuq l-ajru kien maħsub biex jenfasizza d-disponibbiltà tal-kontenut ABC fuq pjattaformi multipli (b'mod partikolari, bl-użu ta 'sistema ta' ikoni li jirrappreżentaw apparati differenti, bħal televiżjoni, kompjuters u apparat mobbli), u "tissimplifika u ġġib Ħafna aktar konsistenza u kontinwità għar-rappreżentazzjoni viżwali ta 'ABC ". Il-logo ABC ġie wkoll iddisinjat mill-ġdid b'mod sinifikanti bħala parti mit-tranżizzjoni, b'effett ta '"ballun" tleqq li kien iddisinjat speċifikament għall-HD. Fuq l-arja, il-logo kien akkumpanjat minn effetti ta 'ilma animati u żigarelli. Żigarelli ħomor intużaw biex jirrappreżentaw id-diviżjoni tad-divertiment, filwaqt li żigarelli blu kienu użati għal ABC News.</v>
      </c>
    </row>
    <row r="16930" ht="15.75" customHeight="1">
      <c r="A16930" s="2" t="s">
        <v>16930</v>
      </c>
      <c r="B16930" s="2" t="str">
        <f>IFERROR(__xludf.DUMMYFUNCTION("GOOGLETRANSLATE(A16930, ""en"", ""mt"")"),"imwaqqa '")</f>
        <v>imwaqqa '</v>
      </c>
    </row>
    <row r="16931" ht="15.75" customHeight="1">
      <c r="A16931" s="2" t="s">
        <v>16931</v>
      </c>
      <c r="B16931" s="2" t="str">
        <f>IFERROR(__xludf.DUMMYFUNCTION("GOOGLETRANSLATE(A16931, ""en"", ""mt"")"),"Fil-parti tal-Lvant tal-Grigal ta 'Fresno, Woodward Park twaqqfet mill-mibki Ralph Woodward, resident ta' Fresno għal żmien twil. Huwa ħalla porzjon ewlieni tal-propjetà tiegħu fl-1968 biex jipprovdi park reġjonali u santwarju tal-għasafar fil-Grigal ta '"&amp;"Fresno. Il-park jinsab fuq ix-xatt tan-nofsinhar tax-Xmara San Joaquin bejn Highway 41 u Friant Road. Il-235 acres inizjali (0.95 km2), flimkien ma 'acres addizzjonali akkwistati aktar tard mill-belt, iġib il-park għal 300 acres imdaqqsa (1.2 km2). Issa p"&amp;"pakkjat bil-kumditajiet, Woodward Park huwa l-uniku park reġjonali tad-daqs tiegħu fil-Wied Ċentrali. Ir-rokna tax-Xlokk tal-park għandha bosta speċi ta 'għasafar li joffru lid-dilettanti tal-għasafar opportunità eċċellenti għall-wiri. Il-park għandu anfi"&amp;"teatru b'ħafna użi li jpoġġi sa 2,500 persuna, ġnien Ġappuniż awtentiku, park tal-klieb magħluq, traċċa ekwestri ta 'żewġ mili (3 km), eżerċizzju par ta' kors, tliet bitħa tat-tfal, lag, 3 lag, 3 għadajjar żgħar, 7 piknik Żoni u ħames mili (8 km) ta 'traċ"&amp;"ċi b'diversi skopijiet li huma parti mill-Lewis S. Eaton Trail ta' San Joaquin River Parkway. Meta tkun kompluta, is-sistema ta 'Lewis S. Eaton Trail tkopri 22 mil (35 km) bejn l-Awtostrada 99 u l-Friant Dam. It-tabelli tal-pikniks numerużi tal-park jagħm"&amp;"lu għal destinazzjoni tal-pikniks kbira u ħarba konvenjenti mill-ħajja tal-belt. L-amphetheatre tal-park ġie rinnovat fl-2010, u ospita wirjiet minn atti bħal Deftones, Tech N9ne, u Sevendust kif ukoll bosta oħrajn. Il-park huwa miftuħ minn April sa Ottub"&amp;"ru, 6am sal-10pm u Novembru sa Marzu, 6am sas-7pm. Woodward Park huwa d-dar tal-CIF annwali (Federazzjoni Interskolastika ta 'California) tal-Kampjonat tal-Istat Cross Country, li jseħħ fl-aħħar ta' Novembru. Huwa wkoll id-dar tal-Woodward Shakespeare Fes"&amp;"tival li beda l-wirjiet fil-park fl-2005.")</f>
        <v>Fil-parti tal-Lvant tal-Grigal ta 'Fresno, Woodward Park twaqqfet mill-mibki Ralph Woodward, resident ta' Fresno għal żmien twil. Huwa ħalla porzjon ewlieni tal-propjetà tiegħu fl-1968 biex jipprovdi park reġjonali u santwarju tal-għasafar fil-Grigal ta 'Fresno. Il-park jinsab fuq ix-xatt tan-nofsinhar tax-Xmara San Joaquin bejn Highway 41 u Friant Road. Il-235 acres inizjali (0.95 km2), flimkien ma 'acres addizzjonali akkwistati aktar tard mill-belt, iġib il-park għal 300 acres imdaqqsa (1.2 km2). Issa ppakkjat bil-kumditajiet, Woodward Park huwa l-uniku park reġjonali tad-daqs tiegħu fil-Wied Ċentrali. Ir-rokna tax-Xlokk tal-park għandha bosta speċi ta 'għasafar li joffru lid-dilettanti tal-għasafar opportunità eċċellenti għall-wiri. Il-park għandu anfiteatru b'ħafna użi li jpoġġi sa 2,500 persuna, ġnien Ġappuniż awtentiku, park tal-klieb magħluq, traċċa ekwestri ta 'żewġ mili (3 km), eżerċizzju par ta' kors, tliet bitħa tat-tfal, lag, 3 lag, 3 għadajjar żgħar, 7 piknik Żoni u ħames mili (8 km) ta 'traċċi b'diversi skopijiet li huma parti mill-Lewis S. Eaton Trail ta' San Joaquin River Parkway. Meta tkun kompluta, is-sistema ta 'Lewis S. Eaton Trail tkopri 22 mil (35 km) bejn l-Awtostrada 99 u l-Friant Dam. It-tabelli tal-pikniks numerużi tal-park jagħmlu għal destinazzjoni tal-pikniks kbira u ħarba konvenjenti mill-ħajja tal-belt. L-amphetheatre tal-park ġie rinnovat fl-2010, u ospita wirjiet minn atti bħal Deftones, Tech N9ne, u Sevendust kif ukoll bosta oħrajn. Il-park huwa miftuħ minn April sa Ottubru, 6am sal-10pm u Novembru sa Marzu, 6am sas-7pm. Woodward Park huwa d-dar tal-CIF annwali (Federazzjoni Interskolastika ta 'California) tal-Kampjonat tal-Istat Cross Country, li jseħħ fl-aħħar ta' Novembru. Huwa wkoll id-dar tal-Woodward Shakespeare Festival li beda l-wirjiet fil-park fl-2005.</v>
      </c>
    </row>
    <row r="16932" ht="15.75" customHeight="1">
      <c r="A16932" s="2" t="s">
        <v>16932</v>
      </c>
      <c r="B16932" s="2" t="str">
        <f>IFERROR(__xludf.DUMMYFUNCTION("GOOGLETRANSLATE(A16932, ""en"", ""mt"")"),"Kemm kienet popolari Triq l-Inkurunazzjoni fl-aħħar tas-snin 80?")</f>
        <v>Kemm kienet popolari Triq l-Inkurunazzjoni fl-aħħar tas-snin 80?</v>
      </c>
    </row>
    <row r="16933" ht="15.75" customHeight="1">
      <c r="A16933" s="2" t="s">
        <v>16933</v>
      </c>
      <c r="B16933" s="2" t="str">
        <f>IFERROR(__xludf.DUMMYFUNCTION("GOOGLETRANSLATE(A16933, ""en"", ""mt"")"),"Għal xiex hi magħrufa l-Kenja?")</f>
        <v>Għal xiex hi magħrufa l-Kenja?</v>
      </c>
    </row>
    <row r="16934" ht="15.75" customHeight="1">
      <c r="A16934" s="2" t="s">
        <v>16934</v>
      </c>
      <c r="B16934" s="2" t="str">
        <f>IFERROR(__xludf.DUMMYFUNCTION("GOOGLETRANSLATE(A16934, ""en"", ""mt"")"),"Għal madwar kemm idum il-LM estiż jippermetti wiċċ jibqa 'fuq il-qamar?")</f>
        <v>Għal madwar kemm idum il-LM estiż jippermetti wiċċ jibqa 'fuq il-qamar?</v>
      </c>
    </row>
    <row r="16935" ht="15.75" customHeight="1">
      <c r="A16935" s="2" t="s">
        <v>16935</v>
      </c>
      <c r="B16935" s="2" t="str">
        <f>IFERROR(__xludf.DUMMYFUNCTION("GOOGLETRANSLATE(A16935, ""en"", ""mt"")"),"Fil-Ġappun, fi tmiem il-perjodu ta 'Asuka (538-710) u l-perjodu NARA bikri (710-794), l-irġiel li ssodisfaw ir-rwoli simili għal dawk tal-ispiżjara moderni kienu rispettati ħafna. Il-post tal-ispiżjara fis-soċjetà ġie definit espressament fil-kodiċi Taihō"&amp;" (701) u ddikjarat mill-ġdid fil-kodiċi Yōrō (718). Ġew stabbiliti pożizzjonijiet ikklassifikati fil-qorti imperjali ta 'qabel il-Heian; u din l-istruttura organizzattiva baqgħet fil-biċċa l-kbira intatta sal-Meiji Restawr (1868). F'din il-ġerarkija stabb"&amp;"li ħafna, l-ispiżjara - u anke l-assistenti tal-ispiżjar - ġew assenjati status superjuri għall-oħrajn kollha f'oqsma relatati mas-saħħa bħal tobba u acupuncturists. Fid-dar Imperjali, l-ispiżjar kien saħansitra kklassifikat 'il fuq miż-żewġ tobba persona"&amp;"li tal-Imperatur.")</f>
        <v>Fil-Ġappun, fi tmiem il-perjodu ta 'Asuka (538-710) u l-perjodu NARA bikri (710-794), l-irġiel li ssodisfaw ir-rwoli simili għal dawk tal-ispiżjara moderni kienu rispettati ħafna. Il-post tal-ispiżjara fis-soċjetà ġie definit espressament fil-kodiċi Taihō (701) u ddikjarat mill-ġdid fil-kodiċi Yōrō (718). Ġew stabbiliti pożizzjonijiet ikklassifikati fil-qorti imperjali ta 'qabel il-Heian; u din l-istruttura organizzattiva baqgħet fil-biċċa l-kbira intatta sal-Meiji Restawr (1868). F'din il-ġerarkija stabbli ħafna, l-ispiżjara - u anke l-assistenti tal-ispiżjar - ġew assenjati status superjuri għall-oħrajn kollha f'oqsma relatati mas-saħħa bħal tobba u acupuncturists. Fid-dar Imperjali, l-ispiżjar kien saħansitra kklassifikat 'il fuq miż-żewġ tobba personali tal-Imperatur.</v>
      </c>
    </row>
    <row r="16936" ht="15.75" customHeight="1">
      <c r="A16936" s="2" t="s">
        <v>16936</v>
      </c>
      <c r="B16936" s="2" t="str">
        <f>IFERROR(__xludf.DUMMYFUNCTION("GOOGLETRANSLATE(A16936, ""en"", ""mt"")"),"X’għamel Genghis Khan lill-familja Imperjali Tangut wara ċ-ċediment tagħhom?")</f>
        <v>X’għamel Genghis Khan lill-familja Imperjali Tangut wara ċ-ċediment tagħhom?</v>
      </c>
    </row>
    <row r="16937" ht="15.75" customHeight="1">
      <c r="A16937" s="2" t="s">
        <v>16937</v>
      </c>
      <c r="B16937" s="2" t="str">
        <f>IFERROR(__xludf.DUMMYFUNCTION("GOOGLETRANSLATE(A16937, ""en"", ""mt"")"),"X'jista 'jgħin ir-ripetizzjonijiet maqluba?")</f>
        <v>X'jista 'jgħin ir-ripetizzjonijiet maqluba?</v>
      </c>
    </row>
    <row r="16938" ht="15.75" customHeight="1">
      <c r="A16938" s="2" t="s">
        <v>16938</v>
      </c>
      <c r="B16938" s="2" t="str">
        <f>IFERROR(__xludf.DUMMYFUNCTION("GOOGLETRANSLATE(A16938, ""en"", ""mt"")"),"Relatat ma 'Apicomplexan")</f>
        <v>Relatat ma 'Apicomplexan</v>
      </c>
    </row>
    <row r="16939" ht="15.75" customHeight="1">
      <c r="A16939" s="2" t="s">
        <v>16939</v>
      </c>
      <c r="B16939" s="2" t="str">
        <f>IFERROR(__xludf.DUMMYFUNCTION("GOOGLETRANSLATE(A16939, ""en"", ""mt"")"),"standards miftuħa")</f>
        <v>standards miftuħa</v>
      </c>
    </row>
    <row r="16940" ht="15.75" customHeight="1">
      <c r="A16940" s="2" t="s">
        <v>16940</v>
      </c>
      <c r="B16940" s="2" t="str">
        <f>IFERROR(__xludf.DUMMYFUNCTION("GOOGLETRANSLATE(A16940, ""en"", ""mt"")"),"L-Erbgħa wara nofsinhar")</f>
        <v>L-Erbgħa wara nofsinhar</v>
      </c>
    </row>
    <row r="16941" ht="15.75" customHeight="1">
      <c r="A16941" s="2" t="s">
        <v>16941</v>
      </c>
      <c r="B16941" s="2" t="str">
        <f>IFERROR(__xludf.DUMMYFUNCTION("GOOGLETRANSLATE(A16941, ""en"", ""mt"")"),"Nies li jġibu ruħhom bid-diżubbidjenza ċivili li mhix vjolenti jingħad li jagħmlu s-soċjetà għandha iktar minn xiex?")</f>
        <v>Nies li jġibu ruħhom bid-diżubbidjenza ċivili li mhix vjolenti jingħad li jagħmlu s-soċjetà għandha iktar minn xiex?</v>
      </c>
    </row>
    <row r="16942" ht="15.75" customHeight="1">
      <c r="A16942" s="2" t="s">
        <v>16942</v>
      </c>
      <c r="B16942" s="2" t="str">
        <f>IFERROR(__xludf.DUMMYFUNCTION("GOOGLETRANSLATE(A16942, ""en"", ""mt"")"),"Għal liema tabib Keff McCulloch ipprovda t-tema?")</f>
        <v>Għal liema tabib Keff McCulloch ipprovda t-tema?</v>
      </c>
    </row>
    <row r="16943" ht="15.75" customHeight="1">
      <c r="A16943" s="2" t="s">
        <v>16943</v>
      </c>
      <c r="B16943" s="2" t="str">
        <f>IFERROR(__xludf.DUMMYFUNCTION("GOOGLETRANSLATE(A16943, ""en"", ""mt"")"),"biss għal dawk m li huma prim")</f>
        <v>biss għal dawk m li huma prim</v>
      </c>
    </row>
    <row r="16944" ht="15.75" customHeight="1">
      <c r="A16944" s="2" t="s">
        <v>16944</v>
      </c>
      <c r="B16944" s="2" t="str">
        <f>IFERROR(__xludf.DUMMYFUNCTION("GOOGLETRANSLATE(A16944, ""en"", ""mt"")"),"Il-Metro tal-Kosta tan-Nofsinhar")</f>
        <v>Il-Metro tal-Kosta tan-Nofsinhar</v>
      </c>
    </row>
    <row r="16945" ht="15.75" customHeight="1">
      <c r="A16945" s="2" t="s">
        <v>16945</v>
      </c>
      <c r="B16945" s="2" t="str">
        <f>IFERROR(__xludf.DUMMYFUNCTION("GOOGLETRANSLATE(A16945, ""en"", ""mt"")"),"""Emendi ta 'Wrecking""")</f>
        <v>"Emendi ta 'Wrecking"</v>
      </c>
    </row>
    <row r="16946" ht="15.75" customHeight="1">
      <c r="A16946" s="2" t="s">
        <v>16946</v>
      </c>
      <c r="B16946" s="2" t="str">
        <f>IFERROR(__xludf.DUMMYFUNCTION("GOOGLETRANSLATE(A16946, ""en"", ""mt"")"),"X'kienet l-eroj taċ-ċittadinanza ta 'Lixandra?")</f>
        <v>X'kienet l-eroj taċ-ċittadinanza ta 'Lixandra?</v>
      </c>
    </row>
    <row r="16947" ht="15.75" customHeight="1">
      <c r="A16947" s="2" t="s">
        <v>16947</v>
      </c>
      <c r="B16947" s="2" t="str">
        <f>IFERROR(__xludf.DUMMYFUNCTION("GOOGLETRANSLATE(A16947, ""en"", ""mt"")"),"Kumplessi kbar tal-proteini")</f>
        <v>Kumplessi kbar tal-proteini</v>
      </c>
    </row>
    <row r="16948" ht="15.75" customHeight="1">
      <c r="A16948" s="2" t="s">
        <v>16948</v>
      </c>
      <c r="B16948" s="2" t="str">
        <f>IFERROR(__xludf.DUMMYFUNCTION("GOOGLETRANSLATE(A16948, ""en"", ""mt"")"),"Mis-snin 1980, id-denominazzjonijiet tal-Knisja Luterana rrifjutaw id-dikjarazzjonijiet ta 'Martin Luther kontra l-Lhud u ċaħdu l-użu tagħhom biex jinċitaw il-mibegħda kontra l-Luterani. L-istħarriġ tal-1970 ta 'Strommen et al. 4,745 Luterani ta' l-Amerik"&amp;"a ta 'Fuq ta' bejn 15 u 65 sena sabu li, meta mqabbel mal-gruppi ta 'minoranza l-oħra taħt konsiderazzjoni, il-Luterani kienu l-inqas preġudikati lejn il-Lhud. Madankollu, il-Professur Richard (Dick) Geary, ex professur tal-istorja moderna fl-Università t"&amp;"a 'Nottingham, l-Ingilterra, u l-awtur ta' Hitler u Nazism (Routledge 1993), kiteb fil-ġurnal History Today artiklu dwar min ivvota għan-Nazi fl-elezzjonijiet Miżmum mill-1928-1933, fejn iddikjara li mir-riċerka tiegħu sab li n-Nazi kisbu voti sproporzjon"&amp;"alment aktar minn Protestanti minn żoni Kattoliċi tal-Ġermanja.")</f>
        <v>Mis-snin 1980, id-denominazzjonijiet tal-Knisja Luterana rrifjutaw id-dikjarazzjonijiet ta 'Martin Luther kontra l-Lhud u ċaħdu l-użu tagħhom biex jinċitaw il-mibegħda kontra l-Luterani. L-istħarriġ tal-1970 ta 'Strommen et al. 4,745 Luterani ta' l-Amerika ta 'Fuq ta' bejn 15 u 65 sena sabu li, meta mqabbel mal-gruppi ta 'minoranza l-oħra taħt konsiderazzjoni, il-Luterani kienu l-inqas preġudikati lejn il-Lhud. Madankollu, il-Professur Richard (Dick) Geary, ex professur tal-istorja moderna fl-Università ta 'Nottingham, l-Ingilterra, u l-awtur ta' Hitler u Nazism (Routledge 1993), kiteb fil-ġurnal History Today artiklu dwar min ivvota għan-Nazi fl-elezzjonijiet Miżmum mill-1928-1933, fejn iddikjara li mir-riċerka tiegħu sab li n-Nazi kisbu voti sproporzjonalment aktar minn Protestanti minn żoni Kattoliċi tal-Ġermanja.</v>
      </c>
    </row>
    <row r="16949" ht="15.75" customHeight="1">
      <c r="A16949" s="2" t="s">
        <v>16949</v>
      </c>
      <c r="B16949" s="2" t="str">
        <f>IFERROR(__xludf.DUMMYFUNCTION("GOOGLETRANSLATE(A16949, ""en"", ""mt"")"),"Jiddikjara ħati għal għadd wieħed ta 'delitt u ma jirċievi l-ebda ħin ta' ħabs")</f>
        <v>Jiddikjara ħati għal għadd wieħed ta 'delitt u ma jirċievi l-ebda ħin ta' ħabs</v>
      </c>
    </row>
    <row r="16950" ht="15.75" customHeight="1">
      <c r="A16950" s="2" t="s">
        <v>16950</v>
      </c>
      <c r="B16950" s="2" t="str">
        <f>IFERROR(__xludf.DUMMYFUNCTION("GOOGLETRANSLATE(A16950, ""en"", ""mt"")"),"Kappillan Ortodoss Serb")</f>
        <v>Kappillan Ortodoss Serb</v>
      </c>
    </row>
    <row r="16951" ht="15.75" customHeight="1">
      <c r="A16951" s="2" t="s">
        <v>16951</v>
      </c>
      <c r="B16951" s="2" t="str">
        <f>IFERROR(__xludf.DUMMYFUNCTION("GOOGLETRANSLATE(A16951, ""en"", ""mt"")"),"Mudell tal-magna magħżul")</f>
        <v>Mudell tal-magna magħżul</v>
      </c>
    </row>
    <row r="16952" ht="15.75" customHeight="1">
      <c r="A16952" s="2" t="s">
        <v>16952</v>
      </c>
      <c r="B16952" s="2" t="str">
        <f>IFERROR(__xludf.DUMMYFUNCTION("GOOGLETRANSLATE(A16952, ""en"", ""mt"")"),"X'kien it-terminu użat li Kennedy biex juri li l-Amerika kienet taqa 'wara l-Unjoni Sovjetika minħabba inattività fi programmi spazjali?")</f>
        <v>X'kien it-terminu użat li Kennedy biex juri li l-Amerika kienet taqa 'wara l-Unjoni Sovjetika minħabba inattività fi programmi spazjali?</v>
      </c>
    </row>
    <row r="16953" ht="15.75" customHeight="1">
      <c r="A16953" s="2" t="s">
        <v>16953</v>
      </c>
      <c r="B16953" s="2" t="str">
        <f>IFERROR(__xludf.DUMMYFUNCTION("GOOGLETRANSLATE(A16953, ""en"", ""mt"")"),"Infezzjonijiet tal-batterjofagi")</f>
        <v>Infezzjonijiet tal-batterjofagi</v>
      </c>
    </row>
    <row r="16954" ht="15.75" customHeight="1">
      <c r="A16954" s="2" t="s">
        <v>16954</v>
      </c>
      <c r="B16954" s="2" t="str">
        <f>IFERROR(__xludf.DUMMYFUNCTION("GOOGLETRANSLATE(A16954, ""en"", ""mt"")"),"djar tal-anzjani")</f>
        <v>djar tal-anzjani</v>
      </c>
    </row>
    <row r="16955" ht="15.75" customHeight="1">
      <c r="A16955" s="2" t="s">
        <v>16955</v>
      </c>
      <c r="B16955" s="2" t="str">
        <f>IFERROR(__xludf.DUMMYFUNCTION("GOOGLETRANSLATE(A16955, ""en"", ""mt"")"),"Kemm hemm nies iddisinjati biex iġorru l-CM fl-aħħar?")</f>
        <v>Kemm hemm nies iddisinjati biex iġorru l-CM fl-aħħar?</v>
      </c>
    </row>
    <row r="16956" ht="15.75" customHeight="1">
      <c r="A16956" s="2" t="s">
        <v>16956</v>
      </c>
      <c r="B16956" s="2" t="str">
        <f>IFERROR(__xludf.DUMMYFUNCTION("GOOGLETRANSLATE(A16956, ""en"", ""mt"")"),"Ewropa tal-Lvant")</f>
        <v>Ewropa tal-Lvant</v>
      </c>
    </row>
    <row r="16957" ht="15.75" customHeight="1">
      <c r="A16957" s="2" t="s">
        <v>16957</v>
      </c>
      <c r="B16957" s="2" t="str">
        <f>IFERROR(__xludf.DUMMYFUNCTION("GOOGLETRANSLATE(A16957, ""en"", ""mt"")"),"dħul rilevanti aħjar.")</f>
        <v>dħul rilevanti aħjar.</v>
      </c>
    </row>
    <row r="16958" ht="15.75" customHeight="1">
      <c r="A16958" s="2" t="s">
        <v>16958</v>
      </c>
      <c r="B16958" s="2" t="str">
        <f>IFERROR(__xludf.DUMMYFUNCTION("GOOGLETRANSLATE(A16958, ""en"", ""mt"")"),"F’liema għaxar snin ġie skopert il-baħar tal-baħar?")</f>
        <v>F’liema għaxar snin ġie skopert il-baħar tal-baħar?</v>
      </c>
    </row>
    <row r="16959" ht="15.75" customHeight="1">
      <c r="A16959" s="2" t="s">
        <v>16959</v>
      </c>
      <c r="B16959" s="2" t="str">
        <f>IFERROR(__xludf.DUMMYFUNCTION("GOOGLETRANSLATE(A16959, ""en"", ""mt"")"),"Esperimenti ta 'l-enerġija")</f>
        <v>Esperimenti ta 'l-enerġija</v>
      </c>
    </row>
    <row r="16960" ht="15.75" customHeight="1">
      <c r="A16960" s="2" t="s">
        <v>16960</v>
      </c>
      <c r="B16960" s="2" t="str">
        <f>IFERROR(__xludf.DUMMYFUNCTION("GOOGLETRANSLATE(A16960, ""en"", ""mt"")"),"Fit-teżijiet u t-tilwim tiegħu kontra l-Antinomjani, ir-reviżjonijiet ta 'Luther u l-affermazzjonijiet mill-ġdid, minn naħa, dak li ġie msejjaħ ""it-tieni użu tal-liġi,"" jiġifieri, il-liġi bħala l-għodda tal-Ispirtu s-Santu biex taħdem niket fuq id-dnub "&amp;"f'qalb il-bniedem , b'hekk tħejjih għat-twettiq ta 'Kristu tal-liġi offruta fl-Evanġelju. Luther jiddikjara li dak kollu li huwa użat biex jaħdem niket fuq id-dnub jissejjaħ il-liġi, anke jekk hija l-ħajja ta ’Kristu, il-mewt ta’ Kristu għad-dnub, jew it-"&amp;"tjubija ta ’Alla esperjenzata fil-ħolqien. Sempliċement tirrifjuta li tippridka l-għaxar kmandamenti fost l-insara - u b'hekk, kif kien, tneħħi t-tliet ittri L-A-W mill-knisja - ma teliminax il-liġi li takkuża. Li tiddikjara li l-liġi - taħt kwalunkwe for"&amp;"ma - m'għandhiex tkun ippriedka lill-insara aktar tkun daqskemm tiddikjara li l-Insara m'għadhomx midinbin fihom infushom u li l-knisja tikkonsisti biss minn nies essenzjalment qaddisa.")</f>
        <v>Fit-teżijiet u t-tilwim tiegħu kontra l-Antinomjani, ir-reviżjonijiet ta 'Luther u l-affermazzjonijiet mill-ġdid, minn naħa, dak li ġie msejjaħ "it-tieni użu tal-liġi," jiġifieri, il-liġi bħala l-għodda tal-Ispirtu s-Santu biex taħdem niket fuq id-dnub f'qalb il-bniedem , b'hekk tħejjih għat-twettiq ta 'Kristu tal-liġi offruta fl-Evanġelju. Luther jiddikjara li dak kollu li huwa użat biex jaħdem niket fuq id-dnub jissejjaħ il-liġi, anke jekk hija l-ħajja ta ’Kristu, il-mewt ta’ Kristu għad-dnub, jew it-tjubija ta ’Alla esperjenzata fil-ħolqien. Sempliċement tirrifjuta li tippridka l-għaxar kmandamenti fost l-insara - u b'hekk, kif kien, tneħħi t-tliet ittri L-A-W mill-knisja - ma teliminax il-liġi li takkuża. Li tiddikjara li l-liġi - taħt kwalunkwe forma - m'għandhiex tkun ippriedka lill-insara aktar tkun daqskemm tiddikjara li l-Insara m'għadhomx midinbin fihom infushom u li l-knisja tikkonsisti biss minn nies essenzjalment qaddisa.</v>
      </c>
    </row>
    <row r="16961" ht="15.75" customHeight="1">
      <c r="A16961" s="2" t="s">
        <v>16961</v>
      </c>
      <c r="B16961" s="2" t="str">
        <f>IFERROR(__xludf.DUMMYFUNCTION("GOOGLETRANSLATE(A16961, ""en"", ""mt"")"),"Liema professjoni kienu Ronald Robinson u John Gallagher?")</f>
        <v>Liema professjoni kienu Ronald Robinson u John Gallagher?</v>
      </c>
    </row>
    <row r="16962" ht="15.75" customHeight="1">
      <c r="A16962" s="2" t="s">
        <v>16962</v>
      </c>
      <c r="B16962" s="2" t="str">
        <f>IFERROR(__xludf.DUMMYFUNCTION("GOOGLETRANSLATE(A16962, ""en"", ""mt"")"),"Iċ-Ċirmish tal-Knisja tal-Brick")</f>
        <v>Iċ-Ċirmish tal-Knisja tal-Brick</v>
      </c>
    </row>
    <row r="16963" ht="15.75" customHeight="1">
      <c r="A16963" s="2" t="s">
        <v>16963</v>
      </c>
      <c r="B16963" s="2" t="str">
        <f>IFERROR(__xludf.DUMMYFUNCTION("GOOGLETRANSLATE(A16963, ""en"", ""mt"")"),"Jista 'jaqraha mingħajr tfixkil")</f>
        <v>Jista 'jaqraha mingħajr tfixkil</v>
      </c>
    </row>
    <row r="16964" ht="15.75" customHeight="1">
      <c r="A16964" s="2" t="s">
        <v>16964</v>
      </c>
      <c r="B16964" s="2" t="str">
        <f>IFERROR(__xludf.DUMMYFUNCTION("GOOGLETRANSLATE(A16964, ""en"", ""mt"")"),"Koptiku")</f>
        <v>Koptiku</v>
      </c>
    </row>
    <row r="16965" ht="15.75" customHeight="1">
      <c r="A16965" s="2" t="s">
        <v>16965</v>
      </c>
      <c r="B16965" s="2" t="str">
        <f>IFERROR(__xludf.DUMMYFUNCTION("GOOGLETRANSLATE(A16965, ""en"", ""mt"")"),"Ir-relikwi ta 'min joqogħdu fil-kaxxetta Becket?")</f>
        <v>Ir-relikwi ta 'min joqogħdu fil-kaxxetta Becket?</v>
      </c>
    </row>
    <row r="16966" ht="15.75" customHeight="1">
      <c r="A16966" s="2" t="s">
        <v>16966</v>
      </c>
      <c r="B16966" s="2" t="str">
        <f>IFERROR(__xludf.DUMMYFUNCTION("GOOGLETRANSLATE(A16966, ""en"", ""mt"")"),"tarka protettiva tar-radjazzjoni")</f>
        <v>tarka protettiva tar-radjazzjoni</v>
      </c>
    </row>
    <row r="16967" ht="15.75" customHeight="1">
      <c r="A16967" s="2" t="s">
        <v>16967</v>
      </c>
      <c r="B16967" s="2" t="str">
        <f>IFERROR(__xludf.DUMMYFUNCTION("GOOGLETRANSLATE(A16967, ""en"", ""mt"")"),"l-istudju ta 'saffi sedimentarji")</f>
        <v>l-istudju ta 'saffi sedimentarji</v>
      </c>
    </row>
    <row r="16968" ht="15.75" customHeight="1">
      <c r="A16968" s="2" t="s">
        <v>16968</v>
      </c>
      <c r="B16968" s="2" t="str">
        <f>IFERROR(__xludf.DUMMYFUNCTION("GOOGLETRANSLATE(A16968, ""en"", ""mt"")"),"xejn")</f>
        <v>xejn</v>
      </c>
    </row>
    <row r="16969" ht="15.75" customHeight="1">
      <c r="A16969" s="2" t="s">
        <v>16969</v>
      </c>
      <c r="B16969" s="2" t="str">
        <f>IFERROR(__xludf.DUMMYFUNCTION("GOOGLETRANSLATE(A16969, ""en"", ""mt"")"),"X'tippreżenta Stiglitz fl-2009 rigward l-inugwaljanza globali?")</f>
        <v>X'tippreżenta Stiglitz fl-2009 rigward l-inugwaljanza globali?</v>
      </c>
    </row>
    <row r="16970" ht="15.75" customHeight="1">
      <c r="A16970" s="2" t="s">
        <v>16970</v>
      </c>
      <c r="B16970" s="2" t="str">
        <f>IFERROR(__xludf.DUMMYFUNCTION("GOOGLETRANSLATE(A16970, ""en"", ""mt"")"),"Kummissarji")</f>
        <v>Kummissarji</v>
      </c>
    </row>
    <row r="16971" ht="15.75" customHeight="1">
      <c r="A16971" s="2" t="s">
        <v>16971</v>
      </c>
      <c r="B16971" s="2" t="str">
        <f>IFERROR(__xludf.DUMMYFUNCTION("GOOGLETRANSLATE(A16971, ""en"", ""mt"")"),"X'għandu jħallas ġenitur biex jibgħat lit-tifel tagħhom fi skola ta 'l-imbark fl-2012?")</f>
        <v>X'għandu jħallas ġenitur biex jibgħat lit-tifel tagħhom fi skola ta 'l-imbark fl-2012?</v>
      </c>
    </row>
    <row r="16972" ht="15.75" customHeight="1">
      <c r="A16972" s="2" t="s">
        <v>16972</v>
      </c>
      <c r="B16972" s="2" t="str">
        <f>IFERROR(__xludf.DUMMYFUNCTION("GOOGLETRANSLATE(A16972, ""en"", ""mt"")"),"L-ikbar antisemit ta 'żmienu")</f>
        <v>L-ikbar antisemit ta 'żmienu</v>
      </c>
    </row>
    <row r="16973" ht="15.75" customHeight="1">
      <c r="A16973" s="2" t="s">
        <v>16973</v>
      </c>
      <c r="B16973" s="2" t="str">
        <f>IFERROR(__xludf.DUMMYFUNCTION("GOOGLETRANSLATE(A16973, ""en"", ""mt"")"),"L-Istat Membru ma jistax jinforza liġijiet konfliġġenti, u ċittadin jista 'jiddependi fuq id-direttiva f'tali azzjoni")</f>
        <v>L-Istat Membru ma jistax jinforza liġijiet konfliġġenti, u ċittadin jista 'jiddependi fuq id-direttiva f'tali azzjoni</v>
      </c>
    </row>
    <row r="16974" ht="15.75" customHeight="1">
      <c r="A16974" s="2" t="s">
        <v>16974</v>
      </c>
      <c r="B16974" s="2" t="str">
        <f>IFERROR(__xludf.DUMMYFUNCTION("GOOGLETRANSLATE(A16974, ""en"", ""mt"")"),"Wara li telqet mill-kumpanija ta 'Edison Tesla ssieħeb ma' żewġ negozjanti fl-1886, Robert Lane u Benjamin Vail, li qablu li jiffinanzjaw kumpanija tad-dawl elettriku fl-isem ta 'Tesla, Tesla Electric Light &amp; Manufacturing. Il-kumpanija installat sistemi "&amp;"ta ’illuminazzjoni tad-dawl tal-ark elettriku ddisinjati minn Tesla u kellha wkoll disinji għal dynamo elettriku tal-magni, l-ewwel privattivi maħruġa lil Tesla fl-Istati Uniti.")</f>
        <v>Wara li telqet mill-kumpanija ta 'Edison Tesla ssieħeb ma' żewġ negozjanti fl-1886, Robert Lane u Benjamin Vail, li qablu li jiffinanzjaw kumpanija tad-dawl elettriku fl-isem ta 'Tesla, Tesla Electric Light &amp; Manufacturing. Il-kumpanija installat sistemi ta ’illuminazzjoni tad-dawl tal-ark elettriku ddisinjati minn Tesla u kellha wkoll disinji għal dynamo elettriku tal-magni, l-ewwel privattivi maħruġa lil Tesla fl-Istati Uniti.</v>
      </c>
    </row>
    <row r="16975" ht="15.75" customHeight="1">
      <c r="A16975" s="2" t="s">
        <v>16975</v>
      </c>
      <c r="B16975" s="2" t="str">
        <f>IFERROR(__xludf.DUMMYFUNCTION("GOOGLETRANSLATE(A16975, ""en"", ""mt"")"),"80 miljun")</f>
        <v>80 miljun</v>
      </c>
    </row>
    <row r="16976" ht="15.75" customHeight="1">
      <c r="A16976" s="2" t="s">
        <v>16976</v>
      </c>
      <c r="B16976" s="2" t="str">
        <f>IFERROR(__xludf.DUMMYFUNCTION("GOOGLETRANSLATE(A16976, ""en"", ""mt"")"),"Liema avveniment ġie akkużat dwar l-introduzzjoni ta 'Mnemiopsis fil-Baħar l-Iswed?")</f>
        <v>Liema avveniment ġie akkużat dwar l-introduzzjoni ta 'Mnemiopsis fil-Baħar l-Iswed?</v>
      </c>
    </row>
    <row r="16977" ht="15.75" customHeight="1">
      <c r="A16977" s="2" t="s">
        <v>16977</v>
      </c>
      <c r="B16977" s="2" t="str">
        <f>IFERROR(__xludf.DUMMYFUNCTION("GOOGLETRANSLATE(A16977, ""en"", ""mt"")"),"X'kien ir-rwol ta 'Robert Watson fl-IPCC?")</f>
        <v>X'kien ir-rwol ta 'Robert Watson fl-IPCC?</v>
      </c>
    </row>
    <row r="16978" ht="15.75" customHeight="1">
      <c r="A16978" s="2" t="s">
        <v>16978</v>
      </c>
      <c r="B16978" s="2" t="str">
        <f>IFERROR(__xludf.DUMMYFUNCTION("GOOGLETRANSLATE(A16978, ""en"", ""mt"")"),"il-Kunsill tat-Tagħlim")</f>
        <v>il-Kunsill tat-Tagħlim</v>
      </c>
    </row>
    <row r="16979" ht="15.75" customHeight="1">
      <c r="A16979" s="2" t="s">
        <v>16979</v>
      </c>
      <c r="B16979" s="2" t="str">
        <f>IFERROR(__xludf.DUMMYFUNCTION("GOOGLETRANSLATE(A16979, ""en"", ""mt"")"),"In-Nies tax-Xitan")</f>
        <v>In-Nies tax-Xitan</v>
      </c>
    </row>
    <row r="16980" ht="15.75" customHeight="1">
      <c r="A16980" s="2" t="s">
        <v>16980</v>
      </c>
      <c r="B16980" s="2" t="str">
        <f>IFERROR(__xludf.DUMMYFUNCTION("GOOGLETRANSLATE(A16980, ""en"", ""mt"")"),"Liema filosofija tal-ħsieb tindirizza l-inugwaljanza tal-ġid?")</f>
        <v>Liema filosofija tal-ħsieb tindirizza l-inugwaljanza tal-ġid?</v>
      </c>
    </row>
    <row r="16981" ht="15.75" customHeight="1">
      <c r="A16981" s="2" t="s">
        <v>16981</v>
      </c>
      <c r="B16981" s="2" t="str">
        <f>IFERROR(__xludf.DUMMYFUNCTION("GOOGLETRANSLATE(A16981, ""en"", ""mt"")"),"Il-belt għandha ċentru neoklasiku estensiv imsejjaħ Tyneside Classical fil-biċċa l-kbira żviluppa fis-snin 1830 minn Richard Grainger u John Dobson, u riċentement restawrat b'mod estensiv. Ix-xandar u l-kittieb Stuart Maconie ddeskrivew lil Newcastle bħal"&amp;"a l-aħjar belt li tħares l-Ingilterra u l-istudjuż Brittaniku tat-twelid Ġermaniż tal-Arkitettura, Nikolaus Pevsner, jiddeskrivi Triq Gray bħala waħda mill-ifjen toroq fl-Ingilterra. It-triq tgħaġġel mill-monument ta ’Gray lejn il-wied tax-xmara Tyne u ġi"&amp;"et ivvutata fit-triq l-aktar fina tal-Ingilterra fl-2005 fi stħarriġ tas-semmiegħa tal-BBC Radio 4. Fil-Google Street View Awards tal-2010, Grey Street waslet it-3 fil-kategorija pittoreska Ingliża. Osborne Road waslet ir-4 fil-kategorija tat-Triq Foodie."&amp;" Porzjon tal-belt ta 'Grainger ġie mwaqqa' fis-snin 1960 biex jagħmel triq għaċ-Ċentru tax-Xiri tal-Pjazza Eldon, inkluż in-naħa kollha ħlief waħda tal-Pjazza Eldon oriġinali nnifisha.")</f>
        <v>Il-belt għandha ċentru neoklasiku estensiv imsejjaħ Tyneside Classical fil-biċċa l-kbira żviluppa fis-snin 1830 minn Richard Grainger u John Dobson, u riċentement restawrat b'mod estensiv. Ix-xandar u l-kittieb Stuart Maconie ddeskrivew lil Newcastle bħala l-aħjar belt li tħares l-Ingilterra u l-istudjuż Brittaniku tat-twelid Ġermaniż tal-Arkitettura, Nikolaus Pevsner, jiddeskrivi Triq Gray bħala waħda mill-ifjen toroq fl-Ingilterra. It-triq tgħaġġel mill-monument ta ’Gray lejn il-wied tax-xmara Tyne u ġiet ivvutata fit-triq l-aktar fina tal-Ingilterra fl-2005 fi stħarriġ tas-semmiegħa tal-BBC Radio 4. Fil-Google Street View Awards tal-2010, Grey Street waslet it-3 fil-kategorija pittoreska Ingliża. Osborne Road waslet ir-4 fil-kategorija tat-Triq Foodie. Porzjon tal-belt ta 'Grainger ġie mwaqqa' fis-snin 1960 biex jagħmel triq għaċ-Ċentru tax-Xiri tal-Pjazza Eldon, inkluż in-naħa kollha ħlief waħda tal-Pjazza Eldon oriġinali nnifisha.</v>
      </c>
    </row>
    <row r="16982" ht="15.75" customHeight="1">
      <c r="A16982" s="2" t="s">
        <v>16982</v>
      </c>
      <c r="B16982" s="2" t="str">
        <f>IFERROR(__xludf.DUMMYFUNCTION("GOOGLETRANSLATE(A16982, ""en"", ""mt"")"),"6 ta 'Jannar, 1913")</f>
        <v>6 ta 'Jannar, 1913</v>
      </c>
    </row>
    <row r="16983" ht="15.75" customHeight="1">
      <c r="A16983" s="2" t="s">
        <v>16983</v>
      </c>
      <c r="B16983" s="2" t="str">
        <f>IFERROR(__xludf.DUMMYFUNCTION("GOOGLETRANSLATE(A16983, ""en"", ""mt"")"),"toqgħod id-dar")</f>
        <v>toqgħod id-dar</v>
      </c>
    </row>
    <row r="16984" ht="15.75" customHeight="1">
      <c r="A16984" s="2" t="s">
        <v>16984</v>
      </c>
      <c r="B16984" s="2" t="str">
        <f>IFERROR(__xludf.DUMMYFUNCTION("GOOGLETRANSLATE(A16984, ""en"", ""mt"")"),"X'tip ta 'approċċi għall-iskola primarja huma disponibbli li huma differenti min-norma?")</f>
        <v>X'tip ta 'approċċi għall-iskola primarja huma disponibbli li huma differenti min-norma?</v>
      </c>
    </row>
    <row r="16985" ht="15.75" customHeight="1">
      <c r="A16985" s="2" t="s">
        <v>16985</v>
      </c>
      <c r="B16985" s="2" t="str">
        <f>IFERROR(__xludf.DUMMYFUNCTION("GOOGLETRANSLATE(A16985, ""en"", ""mt"")"),"$ 15.5 miljun")</f>
        <v>$ 15.5 miljun</v>
      </c>
    </row>
    <row r="16986" ht="15.75" customHeight="1">
      <c r="A16986" s="2" t="s">
        <v>16986</v>
      </c>
      <c r="B16986" s="2" t="str">
        <f>IFERROR(__xludf.DUMMYFUNCTION("GOOGLETRANSLATE(A16986, ""en"", ""mt"")"),"falliet")</f>
        <v>falliet</v>
      </c>
    </row>
    <row r="16987" ht="15.75" customHeight="1">
      <c r="A16987" s="2" t="s">
        <v>16987</v>
      </c>
      <c r="B16987" s="2" t="str">
        <f>IFERROR(__xludf.DUMMYFUNCTION("GOOGLETRANSLATE(A16987, ""en"", ""mt"")"),"konkret")</f>
        <v>konkret</v>
      </c>
    </row>
    <row r="16988" ht="15.75" customHeight="1">
      <c r="A16988" s="2" t="s">
        <v>16988</v>
      </c>
      <c r="B16988" s="2" t="str">
        <f>IFERROR(__xludf.DUMMYFUNCTION("GOOGLETRANSLATE(A16988, ""en"", ""mt"")"),"Kap Hendrick")</f>
        <v>Kap Hendrick</v>
      </c>
    </row>
    <row r="16989" ht="15.75" customHeight="1">
      <c r="A16989" s="2" t="s">
        <v>16989</v>
      </c>
      <c r="B16989" s="2" t="str">
        <f>IFERROR(__xludf.DUMMYFUNCTION("GOOGLETRANSLATE(A16989, ""en"", ""mt"")"),"Liema ritwali segwew Kublai biex jgħinu l-immaġni tiegħu?")</f>
        <v>Liema ritwali segwew Kublai biex jgħinu l-immaġni tiegħu?</v>
      </c>
    </row>
    <row r="16990" ht="15.75" customHeight="1">
      <c r="A16990" s="2" t="s">
        <v>16990</v>
      </c>
      <c r="B16990" s="2" t="str">
        <f>IFERROR(__xludf.DUMMYFUNCTION("GOOGLETRANSLATE(A16990, ""en"", ""mt"")"),"Liema terminu kien użat għall-ewwel riġenerazzjoni?")</f>
        <v>Liema terminu kien użat għall-ewwel riġenerazzjoni?</v>
      </c>
    </row>
    <row r="16991" ht="15.75" customHeight="1">
      <c r="A16991" s="2" t="s">
        <v>16991</v>
      </c>
      <c r="B16991" s="2" t="str">
        <f>IFERROR(__xludf.DUMMYFUNCTION("GOOGLETRANSLATE(A16991, ""en"", ""mt"")"),"Ilmijiet tal-baħar madwar id-dinja")</f>
        <v>Ilmijiet tal-baħar madwar id-dinja</v>
      </c>
    </row>
    <row r="16992" ht="15.75" customHeight="1">
      <c r="A16992" s="2" t="s">
        <v>16992</v>
      </c>
      <c r="B16992" s="2" t="str">
        <f>IFERROR(__xludf.DUMMYFUNCTION("GOOGLETRANSLATE(A16992, ""en"", ""mt"")"),"Dipartiment tal-Ġustizzja")</f>
        <v>Dipartiment tal-Ġustizzja</v>
      </c>
    </row>
    <row r="16993" ht="15.75" customHeight="1">
      <c r="A16993" s="2" t="s">
        <v>16993</v>
      </c>
      <c r="B16993" s="2" t="str">
        <f>IFERROR(__xludf.DUMMYFUNCTION("GOOGLETRANSLATE(A16993, ""en"", ""mt"")"),"Min għamel Luther li kien l-Antichrist?")</f>
        <v>Min għamel Luther li kien l-Antichrist?</v>
      </c>
    </row>
    <row r="16994" ht="15.75" customHeight="1">
      <c r="A16994" s="2" t="s">
        <v>16994</v>
      </c>
      <c r="B16994" s="2" t="str">
        <f>IFERROR(__xludf.DUMMYFUNCTION("GOOGLETRANSLATE(A16994, ""en"", ""mt"")"),"Dipartiment tal-Fiżika ta 'Chicago")</f>
        <v>Dipartiment tal-Fiżika ta 'Chicago</v>
      </c>
    </row>
    <row r="16995" ht="15.75" customHeight="1">
      <c r="A16995" s="2" t="s">
        <v>16995</v>
      </c>
      <c r="B16995" s="2" t="str">
        <f>IFERROR(__xludf.DUMMYFUNCTION("GOOGLETRANSLATE(A16995, ""en"", ""mt"")"),"Min bagħat il-Mongoli lil Bukhara bħala amministraturi?")</f>
        <v>Min bagħat il-Mongoli lil Bukhara bħala amministraturi?</v>
      </c>
    </row>
    <row r="16996" ht="15.75" customHeight="1">
      <c r="A16996" s="2" t="s">
        <v>16996</v>
      </c>
      <c r="B16996" s="2" t="str">
        <f>IFERROR(__xludf.DUMMYFUNCTION("GOOGLETRANSLATE(A16996, ""en"", ""mt"")"),"B'differenza mill-annimali, il-pjanti m'għandhomx ċelloli fagoċitiċi, iżda ħafna risponsi immuni tal-pjanti jinvolvu sinjali kimiċi sistemiċi li jintbagħtu minn pjanta. Iċ-ċelloli tal-pjanti individwali jirrispondu għal molekuli assoċjati ma 'patoġeni mag"&amp;"ħrufa bħala mudelli molekulari assoċjati ma' patoġeni jew PAMPs. Meta parti minn impjant tiġi infettata, l-impjant jipproduċi rispons ipersensittiv lokalizzat, li bih iċ-ċelloli fis-sit ta 'infezzjoni jgħaddu minn apoptożi rapida biex jipprevjenu t-tixrid"&amp;" tal-marda għal partijiet oħra tal-pjanta. Reżistenza Sistemika Akkwistata (SAR) hija tip ta 'rispons difensiv użat minn pjanti li jirrendi l-impjant kollu reżistenti għal aġent infettiv partikolari. Il-mekkaniżmi ta 'silenzjar ta' l-RNA huma partikolarme"&amp;"nt importanti f'dan ir-rispons sistemiku peress li jistgħu jimblokkaw ir-replikazzjoni tal-virus.")</f>
        <v>B'differenza mill-annimali, il-pjanti m'għandhomx ċelloli fagoċitiċi, iżda ħafna risponsi immuni tal-pjanti jinvolvu sinjali kimiċi sistemiċi li jintbagħtu minn pjanta. Iċ-ċelloli tal-pjanti individwali jirrispondu għal molekuli assoċjati ma 'patoġeni magħrufa bħala mudelli molekulari assoċjati ma' patoġeni jew PAMPs. Meta parti minn impjant tiġi infettata, l-impjant jipproduċi rispons ipersensittiv lokalizzat, li bih iċ-ċelloli fis-sit ta 'infezzjoni jgħaddu minn apoptożi rapida biex jipprevjenu t-tixrid tal-marda għal partijiet oħra tal-pjanta. Reżistenza Sistemika Akkwistata (SAR) hija tip ta 'rispons difensiv użat minn pjanti li jirrendi l-impjant kollu reżistenti għal aġent infettiv partikolari. Il-mekkaniżmi ta 'silenzjar ta' l-RNA huma partikolarment importanti f'dan ir-rispons sistemiku peress li jistgħu jimblokkaw ir-replikazzjoni tal-virus.</v>
      </c>
    </row>
    <row r="16997" ht="15.75" customHeight="1">
      <c r="A16997" s="2" t="s">
        <v>16997</v>
      </c>
      <c r="B16997" s="2" t="str">
        <f>IFERROR(__xludf.DUMMYFUNCTION("GOOGLETRANSLATE(A16997, ""en"", ""mt"")"),"Modi")</f>
        <v>Modi</v>
      </c>
    </row>
    <row r="16998" ht="15.75" customHeight="1">
      <c r="A16998" s="2" t="s">
        <v>16998</v>
      </c>
      <c r="B16998" s="2" t="str">
        <f>IFERROR(__xludf.DUMMYFUNCTION("GOOGLETRANSLATE(A16998, ""en"", ""mt"")"),"Biża 'ta' tradiment")</f>
        <v>Biża 'ta' tradiment</v>
      </c>
    </row>
    <row r="16999" ht="15.75" customHeight="1">
      <c r="A16999" s="2" t="s">
        <v>16999</v>
      </c>
      <c r="B16999" s="2" t="str">
        <f>IFERROR(__xludf.DUMMYFUNCTION("GOOGLETRANSLATE(A16999, ""en"", ""mt"")"),"Ċellula B tidentifika patoġeni meta l-antikorpi fuq il-wiċċ tiegħu jorbtu ma 'antiġen barrani speċifiku. Dan il-kumpless tal-antiġen / antikorpi huwa meħud miċ-ċellula B u pproċessat mill-proteolisi f'peptidi. Iċ-ċellula B imbagħad turi dawn il-peptidi an"&amp;"tiġeniċi fuq il-molekuli tal-wiċċ MHC tal-klassi II tagħha. Din il-kombinazzjoni ta 'MHC u antiġen tattira ċellola T li tqabbel, li tirrilaxxa limfokini u tattiva ċ-ċellula B. Hekk kif iċ-ċellula B attivata mbagħad tibda tinqasam, il-frieħ tagħha (ċelloli"&amp;" tal-plażma) inixxu miljuni ta 'kopji ta' l-antikorp li jirrikonoxxi dan l-antiġen. Dawn l-antikorpi jiċċirkolaw fil-plażma tad-demm u l-limfa, jorbtu ma 'patoġeni li jesprimu l-antiġen u jimmarkawhom għall-qerda billi jikkumplimentaw l-attivazzjoni jew g"&amp;"ħall-assorbiment u l-qerda mill-fagoċiti. L-antikorpi jistgħu wkoll jinnewtralizzaw l-isfidi direttament, billi jorbtu ma 'tossini batteriċi jew billi jinterferixxu mar-riċetturi li l-viruses u l-batterji jużaw biex jinfettaw iċ-ċelloli.")</f>
        <v>Ċellula B tidentifika patoġeni meta l-antikorpi fuq il-wiċċ tiegħu jorbtu ma 'antiġen barrani speċifiku. Dan il-kumpless tal-antiġen / antikorpi huwa meħud miċ-ċellula B u pproċessat mill-proteolisi f'peptidi. Iċ-ċellula B imbagħad turi dawn il-peptidi antiġeniċi fuq il-molekuli tal-wiċċ MHC tal-klassi II tagħha. Din il-kombinazzjoni ta 'MHC u antiġen tattira ċellola T li tqabbel, li tirrilaxxa limfokini u tattiva ċ-ċellula B. Hekk kif iċ-ċellula B attivata mbagħad tibda tinqasam, il-frieħ tagħha (ċelloli tal-plażma) inixxu miljuni ta 'kopji ta' l-antikorp li jirrikonoxxi dan l-antiġen. Dawn l-antikorpi jiċċirkolaw fil-plażma tad-demm u l-limfa, jorbtu ma 'patoġeni li jesprimu l-antiġen u jimmarkawhom għall-qerda billi jikkumplimentaw l-attivazzjoni jew għall-assorbiment u l-qerda mill-fagoċiti. L-antikorpi jistgħu wkoll jinnewtralizzaw l-isfidi direttament, billi jorbtu ma 'tossini batteriċi jew billi jinterferixxu mar-riċetturi li l-viruses u l-batterji jużaw biex jinfettaw iċ-ċelloli.</v>
      </c>
    </row>
    <row r="17000" ht="15.75" customHeight="1">
      <c r="A17000" s="2" t="s">
        <v>17000</v>
      </c>
      <c r="B17000" s="2" t="str">
        <f>IFERROR(__xludf.DUMMYFUNCTION("GOOGLETRANSLATE(A17000, ""en"", ""mt"")"),"X'inhu l-effett finali li żżid aktar u aktar kordi ta 'idea ma' tagħbija?")</f>
        <v>X'inhu l-effett finali li żżid aktar u aktar kordi ta 'idea ma' tagħbija?</v>
      </c>
    </row>
    <row r="17001" ht="15.75" customHeight="1">
      <c r="A17001" s="2" t="s">
        <v>17001</v>
      </c>
      <c r="B17001" s="2" t="str">
        <f>IFERROR(__xludf.DUMMYFUNCTION("GOOGLETRANSLATE(A17001, ""en"", ""mt"")"),"Supretendent tal-Western Union")</f>
        <v>Supretendent tal-Western Union</v>
      </c>
    </row>
    <row r="17002" ht="15.75" customHeight="1">
      <c r="A17002" s="2" t="s">
        <v>17002</v>
      </c>
      <c r="B17002" s="2" t="str">
        <f>IFERROR(__xludf.DUMMYFUNCTION("GOOGLETRANSLATE(A17002, ""en"", ""mt"")"),"X'tip ta 'tagħlim jgħin l-iktar bil-ħajja ta' kuljum?")</f>
        <v>X'tip ta 'tagħlim jgħin l-iktar bil-ħajja ta' kuljum?</v>
      </c>
    </row>
    <row r="17003" ht="15.75" customHeight="1">
      <c r="A17003" s="2" t="s">
        <v>17003</v>
      </c>
      <c r="B17003" s="2" t="str">
        <f>IFERROR(__xludf.DUMMYFUNCTION("GOOGLETRANSLATE(A17003, ""en"", ""mt"")"),"Mużew tat-Teatru")</f>
        <v>Mużew tat-Teatru</v>
      </c>
    </row>
    <row r="17004" ht="15.75" customHeight="1">
      <c r="A17004" s="2" t="s">
        <v>17004</v>
      </c>
      <c r="B17004" s="2" t="str">
        <f>IFERROR(__xludf.DUMMYFUNCTION("GOOGLETRANSLATE(A17004, ""en"", ""mt"")"),"F'Graz, l-Awstrija")</f>
        <v>F'Graz, l-Awstrija</v>
      </c>
    </row>
    <row r="17005" ht="15.75" customHeight="1">
      <c r="A17005" s="2" t="s">
        <v>17005</v>
      </c>
      <c r="B17005" s="2" t="str">
        <f>IFERROR(__xludf.DUMMYFUNCTION("GOOGLETRANSLATE(A17005, ""en"", ""mt"")"),"X'għandhom komuni Bathyctena Chuni, Euplokamis u Eurhamphaea vexilligera?")</f>
        <v>X'għandhom komuni Bathyctena Chuni, Euplokamis u Eurhamphaea vexilligera?</v>
      </c>
    </row>
    <row r="17006" ht="15.75" customHeight="1">
      <c r="A17006" s="2" t="s">
        <v>17006</v>
      </c>
      <c r="B17006" s="2" t="str">
        <f>IFERROR(__xludf.DUMMYFUNCTION("GOOGLETRANSLATE(A17006, ""en"", ""mt"")"),"2-3 snin bħala anzjani proviżorji qabel l-ordinazzjoni tagħhom.")</f>
        <v>2-3 snin bħala anzjani proviżorji qabel l-ordinazzjoni tagħhom.</v>
      </c>
    </row>
    <row r="17007" ht="15.75" customHeight="1">
      <c r="A17007" s="2" t="s">
        <v>17007</v>
      </c>
      <c r="B17007" s="2" t="str">
        <f>IFERROR(__xludf.DUMMYFUNCTION("GOOGLETRANSLATE(A17007, ""en"", ""mt"")"),"Mediċina iperbarika (bi pressjoni għolja) tuża kmamar speċjali ta 'ossiġnu biex iżżid il-pressjoni parzjali ta' o
2 madwar il-pazjent u, meta jkun hemm bżonn, l-istaff mediku. Avvelenament mill-monossidu tal-karbonju, gangrena tal-gass, u mard ta 'dekompr"&amp;"essjoni (il-liwjiet "") xi kultant huma trattati bl-użu ta' dawn l-apparati. Miżjuda o
2 Il-konċentrazzjoni fil-pulmuni tgħin biex titbiegħed il-monossidu tal-karbonju mill-grupp heme ta 'emoglobina. Il-gass tal-ossiġnu huwa velenuż għall-batterji anerobi"&amp;"ċi li jikkawżaw il-gangrena tal-gass, u għalhekk iż-żieda tal-pressjoni parzjali tagħha tgħin biex toqtolhom. Il-mard tad-dekompressjoni jseħħ f'għaddis li jiddekompressaw malajr wisq wara adsa, li tirriżulta f'bżieżaq ta 'gass inert, l-aktar nitroġenu u "&amp;"elju, li jiffurmaw fid-demm tagħhom. Tiżdied il-pressjoni ta 'o
2 Malajr kemm jista 'jkun huwa parti mit-trattament.")</f>
        <v>Mediċina iperbarika (bi pressjoni għolja) tuża kmamar speċjali ta 'ossiġnu biex iżżid il-pressjoni parzjali ta' o
2 madwar il-pazjent u, meta jkun hemm bżonn, l-istaff mediku. Avvelenament mill-monossidu tal-karbonju, gangrena tal-gass, u mard ta 'dekompressjoni (il-liwjiet ") xi kultant huma trattati bl-użu ta' dawn l-apparati. Miżjuda o
2 Il-konċentrazzjoni fil-pulmuni tgħin biex titbiegħed il-monossidu tal-karbonju mill-grupp heme ta 'emoglobina. Il-gass tal-ossiġnu huwa velenuż għall-batterji anerobiċi li jikkawżaw il-gangrena tal-gass, u għalhekk iż-żieda tal-pressjoni parzjali tagħha tgħin biex toqtolhom. Il-mard tad-dekompressjoni jseħħ f'għaddis li jiddekompressaw malajr wisq wara adsa, li tirriżulta f'bżieżaq ta 'gass inert, l-aktar nitroġenu u elju, li jiffurmaw fid-demm tagħhom. Tiżdied il-pressjoni ta 'o
2 Malajr kemm jista 'jkun huwa parti mit-trattament.</v>
      </c>
    </row>
    <row r="17008" ht="15.75" customHeight="1">
      <c r="A17008" s="2" t="s">
        <v>17008</v>
      </c>
      <c r="B17008" s="2" t="str">
        <f>IFERROR(__xludf.DUMMYFUNCTION("GOOGLETRANSLATE(A17008, ""en"", ""mt"")"),"Il-membri tal-ekwipaġġ kienu meħtieġa jilbsu liema tip ta 'libsa spazjali waqt l-ittestjar wara l-inċident?")</f>
        <v>Il-membri tal-ekwipaġġ kienu meħtieġa jilbsu liema tip ta 'libsa spazjali waqt l-ittestjar wara l-inċident?</v>
      </c>
    </row>
    <row r="17009" ht="15.75" customHeight="1">
      <c r="A17009" s="2" t="s">
        <v>17009</v>
      </c>
      <c r="B17009" s="2" t="str">
        <f>IFERROR(__xludf.DUMMYFUNCTION("GOOGLETRANSLATE(A17009, ""en"", ""mt"")"),"Luther kiteb dwar il-Lhud matul il-karriera tiegħu, għalkemm ftit biss mix-xogħlijiet tiegħu ttrattawhom direttament. Luther rarament iltaqa 'ma' Lhud matul ħajtu, iżda l-attitudnijiet tiegħu kienu jirriflettu tradizzjoni teoloġika u kulturali li raw il-L"&amp;"hud bħala nies miċħuda ħatja tal-qtil ta 'Kristu, u huwa għex fi ħdan komunità lokali li kienet keċċa lil-Lhud xi snin u disgħin sena qabel. Huwa kkunsidra li l-Lhud blasfemers u giddieba minħabba li ċaħdu d-divinità ta ’Ġesù, filwaqt li l-Insara jemmnu l"&amp;"i Ġesù kien il-Messija. Iżda Luther emmen li l-bnedmin kollha li waqqfu lilhom infushom kontra Alla kienu ugwalment ħatja. Sa mill-1516, huwa kiteb li ħafna nies ""huma kburin bl-istupidità meraviljuża meta jsejħu l-klieb tal-Lhud, l-evidoers, jew dak kol"&amp;"lu li jħobbu, waqt li huma wkoll, u bl-istess mod, ma jindunawx min jew dak li huma fil-vista ta 'Alla "". Fl-1523, Luther avżat it-tjubija lejn il-Lhud billi Ġesù Kristu twieled Lhudi u kellu wkoll l-għan li jikkonvertihom għall-Kristjaneżmu. Meta l-isfo"&amp;"rzi tiegħu għall-konverżjoni fallew, huwa kiber dejjem aktar morra lejhom. Fil-ktieb tiegħu tal-2010 Bonhoeffer: ragħaj, martri, profeta, spy, l-awtur Kristjan Eric Metaxas sostna li l-attitudni ta 'Luther lejn il-Lhud ""żvelat flimkien ma' saħħtu.""")</f>
        <v>Luther kiteb dwar il-Lhud matul il-karriera tiegħu, għalkemm ftit biss mix-xogħlijiet tiegħu ttrattawhom direttament. Luther rarament iltaqa 'ma' Lhud matul ħajtu, iżda l-attitudnijiet tiegħu kienu jirriflettu tradizzjoni teoloġika u kulturali li raw il-Lhud bħala nies miċħuda ħatja tal-qtil ta 'Kristu, u huwa għex fi ħdan komunità lokali li kienet keċċa lil-Lhud xi snin u disgħin sena qabel. Huwa kkunsidra li l-Lhud blasfemers u giddieba minħabba li ċaħdu d-divinità ta ’Ġesù, filwaqt li l-Insara jemmnu li Ġesù kien il-Messija. Iżda Luther emmen li l-bnedmin kollha li waqqfu lilhom infushom kontra Alla kienu ugwalment ħatja. Sa mill-1516, huwa kiteb li ħafna nies "huma kburin bl-istupidità meraviljuża meta jsejħu l-klieb tal-Lhud, l-evidoers, jew dak kollu li jħobbu, waqt li huma wkoll, u bl-istess mod, ma jindunawx min jew dak li huma fil-vista ta 'Alla ". Fl-1523, Luther avżat it-tjubija lejn il-Lhud billi Ġesù Kristu twieled Lhudi u kellu wkoll l-għan li jikkonvertihom għall-Kristjaneżmu. Meta l-isforzi tiegħu għall-konverżjoni fallew, huwa kiber dejjem aktar morra lejhom. Fil-ktieb tiegħu tal-2010 Bonhoeffer: ragħaj, martri, profeta, spy, l-awtur Kristjan Eric Metaxas sostna li l-attitudni ta 'Luther lejn il-Lhud "żvelat flimkien ma' saħħtu."</v>
      </c>
    </row>
    <row r="17010" ht="15.75" customHeight="1">
      <c r="A17010" s="2" t="s">
        <v>17010</v>
      </c>
      <c r="B17010" s="2" t="str">
        <f>IFERROR(__xludf.DUMMYFUNCTION("GOOGLETRANSLATE(A17010, ""en"", ""mt"")"),"F'liema rwol fl-ekonomija l-università kellha sehem ewlieni?")</f>
        <v>F'liema rwol fl-ekonomija l-università kellha sehem ewlieni?</v>
      </c>
    </row>
    <row r="17011" ht="15.75" customHeight="1">
      <c r="A17011" s="2" t="s">
        <v>17011</v>
      </c>
      <c r="B17011" s="2" t="str">
        <f>IFERROR(__xludf.DUMMYFUNCTION("GOOGLETRANSLATE(A17011, ""en"", ""mt"")"),"jissimula countdown ta 'tnedija fuq")</f>
        <v>jissimula countdown ta 'tnedija fuq</v>
      </c>
    </row>
    <row r="17012" ht="15.75" customHeight="1">
      <c r="A17012" s="2" t="s">
        <v>17012</v>
      </c>
      <c r="B17012" s="2" t="str">
        <f>IFERROR(__xludf.DUMMYFUNCTION("GOOGLETRANSLATE(A17012, ""en"", ""mt"")"),"in-nisa kollha")</f>
        <v>in-nisa kollha</v>
      </c>
    </row>
    <row r="17013" ht="15.75" customHeight="1">
      <c r="A17013" s="2" t="s">
        <v>17013</v>
      </c>
      <c r="B17013" s="2" t="str">
        <f>IFERROR(__xludf.DUMMYFUNCTION("GOOGLETRANSLATE(A17013, ""en"", ""mt"")"),"Madwar 9.81 metri kull sekonda")</f>
        <v>Madwar 9.81 metri kull sekonda</v>
      </c>
    </row>
    <row r="17014" ht="15.75" customHeight="1">
      <c r="A17014" s="2" t="s">
        <v>17014</v>
      </c>
      <c r="B17014" s="2" t="str">
        <f>IFERROR(__xludf.DUMMYFUNCTION("GOOGLETRANSLATE(A17014, ""en"", ""mt"")"),"Inbiddel il-proċess kollu ta 'valutazzjoni tax-xjenza dwar il-klima f'wikipedia-IPCC moderat ""ħaj")</f>
        <v>Inbiddel il-proċess kollu ta 'valutazzjoni tax-xjenza dwar il-klima f'wikipedia-IPCC moderat "ħaj</v>
      </c>
    </row>
    <row r="17015" ht="15.75" customHeight="1">
      <c r="A17015" s="2" t="s">
        <v>17015</v>
      </c>
      <c r="B17015" s="2" t="str">
        <f>IFERROR(__xludf.DUMMYFUNCTION("GOOGLETRANSLATE(A17015, ""en"", ""mt"")"),"dejta ta 'mġieba u demografika")</f>
        <v>dejta ta 'mġieba u demografika</v>
      </c>
    </row>
    <row r="17016" ht="15.75" customHeight="1">
      <c r="A17016" s="2" t="s">
        <v>17016</v>
      </c>
      <c r="B17016" s="2" t="str">
        <f>IFERROR(__xludf.DUMMYFUNCTION("GOOGLETRANSLATE(A17016, ""en"", ""mt"")"),"X'tip ta 'oġġetti huma murija fil-Mużew ta' Esteve Pharmacy?")</f>
        <v>X'tip ta 'oġġetti huma murija fil-Mużew ta' Esteve Pharmacy?</v>
      </c>
    </row>
    <row r="17017" ht="15.75" customHeight="1">
      <c r="A17017" s="2" t="s">
        <v>17017</v>
      </c>
      <c r="B17017" s="2" t="str">
        <f>IFERROR(__xludf.DUMMYFUNCTION("GOOGLETRANSLATE(A17017, ""en"", ""mt"")"),"Fl-Ingilterra, fin-nuqqas ta 'figuri taċ-ċensiment, l-istoriċi jipproponu firxa ta' figuri ta 'popolazzjoni preinent minn 7 miljun sa baxxi sa 4 miljun fl-1300, u ċifra ta' popolazzjoni postintentiva baxxa daqs 2 miljun. Sal-aħħar tal-1350, il-mewt l-Iswe"&amp;"d naqset, iżda qatt ma mietet verament fl-Ingilterra. Matul il-ftit mijiet ta 'snin li ġejjin, aktar tifqigħat seħħew fl-1361–62, 1369, 1379–83, 1389-93, u matul l-ewwel nofs tas-seklu 15. Tfaqqigħ fl-1471 ħa daqs 10-15% tal-popolazzjoni, filwaqt li r-rat"&amp;"a tal-mewt tal-pesta ta '1479-80 setgħet kienet għolja sa 20%. L-iktar tifqigħat ġenerali fi Tudor u Stuart England jidhru li bdew fl-1498, 1535, 1543, 1563, 1589, 1603, 1625, u 1636, u spiċċaw bil-pesta kbira ta ’Londra fl-1665.")</f>
        <v>Fl-Ingilterra, fin-nuqqas ta 'figuri taċ-ċensiment, l-istoriċi jipproponu firxa ta' figuri ta 'popolazzjoni preinent minn 7 miljun sa baxxi sa 4 miljun fl-1300, u ċifra ta' popolazzjoni postintentiva baxxa daqs 2 miljun. Sal-aħħar tal-1350, il-mewt l-Iswed naqset, iżda qatt ma mietet verament fl-Ingilterra. Matul il-ftit mijiet ta 'snin li ġejjin, aktar tifqigħat seħħew fl-1361–62, 1369, 1379–83, 1389-93, u matul l-ewwel nofs tas-seklu 15. Tfaqqigħ fl-1471 ħa daqs 10-15% tal-popolazzjoni, filwaqt li r-rata tal-mewt tal-pesta ta '1479-80 setgħet kienet għolja sa 20%. L-iktar tifqigħat ġenerali fi Tudor u Stuart England jidhru li bdew fl-1498, 1535, 1543, 1563, 1589, 1603, 1625, u 1636, u spiċċaw bil-pesta kbira ta ’Londra fl-1665.</v>
      </c>
    </row>
    <row r="17018" ht="15.75" customHeight="1">
      <c r="A17018" s="2" t="s">
        <v>17018</v>
      </c>
      <c r="B17018" s="2" t="str">
        <f>IFERROR(__xludf.DUMMYFUNCTION("GOOGLETRANSLATE(A17018, ""en"", ""mt"")"),"X'tip ta 'università hija l-Università ta' Chicago?")</f>
        <v>X'tip ta 'università hija l-Università ta' Chicago?</v>
      </c>
    </row>
    <row r="17019" ht="15.75" customHeight="1">
      <c r="A17019" s="2" t="s">
        <v>17019</v>
      </c>
      <c r="B17019" s="2" t="str">
        <f>IFERROR(__xludf.DUMMYFUNCTION("GOOGLETRANSLATE(A17019, ""en"", ""mt"")"),"Legalizza l-importazzjoni ta 'mediċini")</f>
        <v>Legalizza l-importazzjoni ta 'mediċini</v>
      </c>
    </row>
    <row r="17020" ht="15.75" customHeight="1">
      <c r="A17020" s="2" t="s">
        <v>17020</v>
      </c>
      <c r="B17020" s="2" t="str">
        <f>IFERROR(__xludf.DUMMYFUNCTION("GOOGLETRANSLATE(A17020, ""en"", ""mt"")"),"faċilità li biha n-nies, b'mod partikolari ż-żgħażagħ, jistgħu jiksbu sustanzi kkontrollati")</f>
        <v>faċilità li biha n-nies, b'mod partikolari ż-żgħażagħ, jistgħu jiksbu sustanzi kkontrollati</v>
      </c>
    </row>
    <row r="17021" ht="15.75" customHeight="1">
      <c r="A17021" s="2" t="s">
        <v>17021</v>
      </c>
      <c r="B17021" s="2" t="str">
        <f>IFERROR(__xludf.DUMMYFUNCTION("GOOGLETRANSLATE(A17021, ""en"", ""mt"")"),"X'inhi l-grazzja li nirċievu bil-fidi u l-fiduċja f'Alla?")</f>
        <v>X'inhi l-grazzja li nirċievu bil-fidi u l-fiduċja f'Alla?</v>
      </c>
    </row>
    <row r="17022" ht="15.75" customHeight="1">
      <c r="A17022" s="2" t="s">
        <v>17022</v>
      </c>
      <c r="B17022" s="2" t="str">
        <f>IFERROR(__xludf.DUMMYFUNCTION("GOOGLETRANSLATE(A17022, ""en"", ""mt"")"),"Nazzjonijiet magħquda")</f>
        <v>Nazzjonijiet magħquda</v>
      </c>
    </row>
    <row r="17023" ht="15.75" customHeight="1">
      <c r="A17023" s="2" t="s">
        <v>17023</v>
      </c>
      <c r="B17023" s="2" t="str">
        <f>IFERROR(__xludf.DUMMYFUNCTION("GOOGLETRANSLATE(A17023, ""en"", ""mt"")"),"Min kien l-Ispeaker tal-Kunsill Tribali?")</f>
        <v>Min kien l-Ispeaker tal-Kunsill Tribali?</v>
      </c>
    </row>
    <row r="17024" ht="15.75" customHeight="1">
      <c r="A17024" s="2" t="s">
        <v>17024</v>
      </c>
      <c r="B17024" s="2" t="str">
        <f>IFERROR(__xludf.DUMMYFUNCTION("GOOGLETRANSLATE(A17024, ""en"", ""mt"")"),"Att dwar ir-riċevitur tal-kanali kollha")</f>
        <v>Att dwar ir-riċevitur tal-kanali kollha</v>
      </c>
    </row>
    <row r="17025" ht="15.75" customHeight="1">
      <c r="A17025" s="2" t="s">
        <v>17025</v>
      </c>
      <c r="B17025" s="2" t="str">
        <f>IFERROR(__xludf.DUMMYFUNCTION("GOOGLETRANSLATE(A17025, ""en"", ""mt"")"),"il-gvern tar-Renju Unit")</f>
        <v>il-gvern tar-Renju Unit</v>
      </c>
    </row>
    <row r="17026" ht="15.75" customHeight="1">
      <c r="A17026" s="2" t="s">
        <v>17026</v>
      </c>
      <c r="B17026" s="2" t="str">
        <f>IFERROR(__xludf.DUMMYFUNCTION("GOOGLETRANSLATE(A17026, ""en"", ""mt"")"),"Għaliex l-Iżlamisti għandhom bżonn elezzjonijiet demokratiċi?")</f>
        <v>Għaliex l-Iżlamisti għandhom bżonn elezzjonijiet demokratiċi?</v>
      </c>
    </row>
    <row r="17027" ht="15.75" customHeight="1">
      <c r="A17027" s="2" t="s">
        <v>17027</v>
      </c>
      <c r="B17027" s="2" t="str">
        <f>IFERROR(__xludf.DUMMYFUNCTION("GOOGLETRANSLATE(A17027, ""en"", ""mt"")"),"Gwerra tal-Vjetnam")</f>
        <v>Gwerra tal-Vjetnam</v>
      </c>
    </row>
    <row r="17028" ht="15.75" customHeight="1">
      <c r="A17028" s="2" t="s">
        <v>17028</v>
      </c>
      <c r="B17028" s="2" t="str">
        <f>IFERROR(__xludf.DUMMYFUNCTION("GOOGLETRANSLATE(A17028, ""en"", ""mt"")"),"Michael Oppenheimer, parteċipant fit-tul fl-IPCC u l-awtur ewlieni tal-koordinazzjoni tal-ħames rapport ta 'valutazzjoni ammetta fl-Istat tal-Pjaneta tar-rivista tax-xjenza 2008-2009 Xi limitazzjonijiet tal-approċċ tal-kunsens tal-IPCC u jitlob għal konko"&amp;"rrenti, evalwazzjonijiet iżgħar ta' problemi speċjali minflok L-approċċ fuq skala kbira bħal fir-rapporti ta 'valutazzjoni tal-IPCC preċedenti. Sar iktar importanti li tipprovdi esplorazzjoni usa 'ta' inċertezzi. Oħrajn jaraw it-tberik imħallat sew tal-is"&amp;"pinta għal kunsens fil-proċess tal-IPCC u jitolbu li jinkludu pożizzjonijiet li ma jaqblux jew minoranza jew biex itejbu d-dikjarazzjonijiet dwar l-inċertezzi.")</f>
        <v>Michael Oppenheimer, parteċipant fit-tul fl-IPCC u l-awtur ewlieni tal-koordinazzjoni tal-ħames rapport ta 'valutazzjoni ammetta fl-Istat tal-Pjaneta tar-rivista tax-xjenza 2008-2009 Xi limitazzjonijiet tal-approċċ tal-kunsens tal-IPCC u jitlob għal konkorrenti, evalwazzjonijiet iżgħar ta' problemi speċjali minflok L-approċċ fuq skala kbira bħal fir-rapporti ta 'valutazzjoni tal-IPCC preċedenti. Sar iktar importanti li tipprovdi esplorazzjoni usa 'ta' inċertezzi. Oħrajn jaraw it-tberik imħallat sew tal-ispinta għal kunsens fil-proċess tal-IPCC u jitolbu li jinkludu pożizzjonijiet li ma jaqblux jew minoranza jew biex itejbu d-dikjarazzjonijiet dwar l-inċertezzi.</v>
      </c>
    </row>
    <row r="17029" ht="15.75" customHeight="1">
      <c r="A17029" s="2" t="s">
        <v>17029</v>
      </c>
      <c r="B17029" s="2" t="str">
        <f>IFERROR(__xludf.DUMMYFUNCTION("GOOGLETRANSLATE(A17029, ""en"", ""mt"")"),"Il-V &amp; A għandha l-oriġini tagħha fil-wirja l-kbira tal-1851, li magħha Henry Cole, l-ewwel direttur tal-mużew, kien involut fl-ippjanar; Inizjalment kien magħruf bħala l-Mużew tal-Manifattura, l-ewwel ftuħ f'Mejju 1852 fid-Dar Marlborough, iżda sa Settem"&amp;"bru kien ġie trasferit għad-Dar Somerset. F’dan l-istadju l-kollezzjonijiet koprew kemm l-arti applikata kif ukoll ix-xjenza. Bosta mill-esebiti mill-wirja nxtraw biex jiffurmaw in-nukleu tal-kollezzjoni. Sa Frar 1854 kienu għaddejjin diskussjonijiet biex"&amp;" jittrasferixxu l-mużew għas-sit attwali u ġie msejjaħ il-Mużew ta ’South Kensington. Fl-1855 il-perit Ġermaniż Gottfried Semper, fuq talba ta 'Cole, ipproduċa disinn għall-mużew, iżda ġie miċħud mill-Bord tal-Kummerċ bħala għali wisq. Is-sit kien okkupat"&amp;" minn Brompton Park House; Dan ġie estiż inkluż l-ewwel kmamar ta ’refreshment miftuħa fl-1857, il-mużew huwa l-ewwel wieħed fid-dinja li jipprovdi tali faċilità.")</f>
        <v>Il-V &amp; A għandha l-oriġini tagħha fil-wirja l-kbira tal-1851, li magħha Henry Cole, l-ewwel direttur tal-mużew, kien involut fl-ippjanar; Inizjalment kien magħruf bħala l-Mużew tal-Manifattura, l-ewwel ftuħ f'Mejju 1852 fid-Dar Marlborough, iżda sa Settembru kien ġie trasferit għad-Dar Somerset. F’dan l-istadju l-kollezzjonijiet koprew kemm l-arti applikata kif ukoll ix-xjenza. Bosta mill-esebiti mill-wirja nxtraw biex jiffurmaw in-nukleu tal-kollezzjoni. Sa Frar 1854 kienu għaddejjin diskussjonijiet biex jittrasferixxu l-mużew għas-sit attwali u ġie msejjaħ il-Mużew ta ’South Kensington. Fl-1855 il-perit Ġermaniż Gottfried Semper, fuq talba ta 'Cole, ipproduċa disinn għall-mużew, iżda ġie miċħud mill-Bord tal-Kummerċ bħala għali wisq. Is-sit kien okkupat minn Brompton Park House; Dan ġie estiż inkluż l-ewwel kmamar ta ’refreshment miftuħa fl-1857, il-mużew huwa l-ewwel wieħed fid-dinja li jipprovdi tali faċilità.</v>
      </c>
    </row>
    <row r="17030" ht="15.75" customHeight="1">
      <c r="A17030" s="2" t="s">
        <v>17030</v>
      </c>
      <c r="B17030" s="2" t="str">
        <f>IFERROR(__xludf.DUMMYFUNCTION("GOOGLETRANSLATE(A17030, ""en"", ""mt"")"),"7500 yr ilu")</f>
        <v>7500 yr ilu</v>
      </c>
    </row>
    <row r="17031" ht="15.75" customHeight="1">
      <c r="A17031" s="2" t="s">
        <v>17031</v>
      </c>
      <c r="B17031" s="2" t="str">
        <f>IFERROR(__xludf.DUMMYFUNCTION("GOOGLETRANSLATE(A17031, ""en"", ""mt"")"),"diżastru; Huwa ġie megħlub fil-Battalja tal-Monongahela")</f>
        <v>diżastru; Huwa ġie megħlub fil-Battalja tal-Monongahela</v>
      </c>
    </row>
    <row r="17032" ht="15.75" customHeight="1">
      <c r="A17032" s="2" t="s">
        <v>17032</v>
      </c>
      <c r="B17032" s="2" t="str">
        <f>IFERROR(__xludf.DUMMYFUNCTION("GOOGLETRANSLATE(A17032, ""en"", ""mt"")"),"tmien snin")</f>
        <v>tmien snin</v>
      </c>
    </row>
    <row r="17033" ht="15.75" customHeight="1">
      <c r="A17033" s="2" t="s">
        <v>17033</v>
      </c>
      <c r="B17033" s="2" t="str">
        <f>IFERROR(__xludf.DUMMYFUNCTION("GOOGLETRANSLATE(A17033, ""en"", ""mt"")"),"parti tard")</f>
        <v>parti tard</v>
      </c>
    </row>
    <row r="17034" ht="15.75" customHeight="1">
      <c r="A17034" s="2" t="s">
        <v>17034</v>
      </c>
      <c r="B17034" s="2" t="str">
        <f>IFERROR(__xludf.DUMMYFUNCTION("GOOGLETRANSLATE(A17034, ""en"", ""mt"")"),"sakemm waqa 'l-imperu")</f>
        <v>sakemm waqa 'l-imperu</v>
      </c>
    </row>
    <row r="17035" ht="15.75" customHeight="1">
      <c r="A17035" s="2" t="s">
        <v>17035</v>
      </c>
      <c r="B17035" s="2" t="str">
        <f>IFERROR(__xludf.DUMMYFUNCTION("GOOGLETRANSLATE(A17035, ""en"", ""mt"")"),"Min hi l-unika awtorità governattiva li kapaċi tibda proposti leġiżlattivi?")</f>
        <v>Min hi l-unika awtorità governattiva li kapaċi tibda proposti leġiżlattivi?</v>
      </c>
    </row>
    <row r="17036" ht="15.75" customHeight="1">
      <c r="A17036" s="2" t="s">
        <v>17036</v>
      </c>
      <c r="B17036" s="2" t="str">
        <f>IFERROR(__xludf.DUMMYFUNCTION("GOOGLETRANSLATE(A17036, ""en"", ""mt"")"),"Il-Amazon Rainforest (Portugiż: Floresta Amazônica jew Amazônia; Spanjol: Selva Amazónica, Amazonía jew ġeneralment Amazonia; Franċiża: Forêt Amazonienne; Olandiż: Amazoneregenwoud), magħrufa wkoll bl-Ingliż bħala Amazonia jew l-Amazon Jungle, hija forest"&amp;"a ta 'Broadjani umda li tiskopri l-iktar tal-Baċin tal-Amażonja tal-Amerika t'Isfel. Dan il-baċin jinkludi 7,000,000 kilometru kwadru (2,700,000 sq mi), li minnhom 5,500,000 kilometru kwadru (2,100,000 sq mi) huma koperti mill-foresta tropikali. Dan ir-re"&amp;"ġjun jinkludi territorju li jappartjeni għal disa 'nazzjonijiet. Il-biċċa l-kbira tal-foresta tinsab fil-Brażil, b'60% tal-foresta tropikali, segwita mill-Perù bi 13%, il-Kolombja b'10%, u b'ammonti minuri fil-Venezwela, l-Ekwador, il-Bolivja, il-Bolivja,"&amp;" il-Guyana, is-Surinam u l-Guiana Franċiża. Stati jew dipartimenti f'erba 'nazzjonijiet fihom ""Amazonas"" f'isimhom. L-Amażonja tirrappreżenta aktar minn nofs il-foresti tropikali li fadal tal-pjaneta, u tinkludi l-akbar u l-aktar bijodiversji tal-forest"&amp;"a tropikali fid-dinja, bi stima ta '390 biljun siġra individwali maqsuma f'16,000 speċi.")</f>
        <v>Il-Amazon Rainforest (Portugiż: Floresta Amazônica jew Amazônia; Spanjol: Selva Amazónica, Amazonía jew ġeneralment Amazonia; Franċiża: Forêt Amazonienne; Olandiż: Amazoneregenwoud), magħrufa wkoll bl-Ingliż bħala Amazonia jew l-Amazon Jungle, hija foresta ta 'Broadjani umda li tiskopri l-iktar tal-Baċin tal-Amażonja tal-Amerika t'Isfel. Dan il-baċin jinkludi 7,000,000 kilometru kwadru (2,700,000 sq mi), li minnhom 5,500,000 kilometru kwadru (2,100,000 sq mi) huma koperti mill-foresta tropikali. Dan ir-reġjun jinkludi territorju li jappartjeni għal disa 'nazzjonijiet. Il-biċċa l-kbira tal-foresta tinsab fil-Brażil, b'60% tal-foresta tropikali, segwita mill-Perù bi 13%, il-Kolombja b'10%, u b'ammonti minuri fil-Venezwela, l-Ekwador, il-Bolivja, il-Bolivja, il-Guyana, is-Surinam u l-Guiana Franċiża. Stati jew dipartimenti f'erba 'nazzjonijiet fihom "Amazonas" f'isimhom. L-Amażonja tirrappreżenta aktar minn nofs il-foresti tropikali li fadal tal-pjaneta, u tinkludi l-akbar u l-aktar bijodiversji tal-foresta tropikali fid-dinja, bi stima ta '390 biljun siġra individwali maqsuma f'16,000 speċi.</v>
      </c>
    </row>
    <row r="17037" ht="15.75" customHeight="1">
      <c r="A17037" s="2" t="s">
        <v>17037</v>
      </c>
      <c r="B17037" s="2" t="str">
        <f>IFERROR(__xludf.DUMMYFUNCTION("GOOGLETRANSLATE(A17037, ""en"", ""mt"")"),"Il-votanti suppost kellhom jallinjaw wara l-kandidati favoriti tagħhom")</f>
        <v>Il-votanti suppost kellhom jallinjaw wara l-kandidati favoriti tagħhom</v>
      </c>
    </row>
    <row r="17038" ht="15.75" customHeight="1">
      <c r="A17038" s="2" t="s">
        <v>17038</v>
      </c>
      <c r="B17038" s="2" t="str">
        <f>IFERROR(__xludf.DUMMYFUNCTION("GOOGLETRANSLATE(A17038, ""en"", ""mt"")"),"Fit-30 ta 'Lulju 1891, fl-età ta '35 sena, Tesla saret ċittadin naturalizzat ta' l-Istati Uniti, u stabbilixxa l-laboratorju tiegħu fin-Nofsinhar tal-Ħames Vjal, u aktar tard ieħor fi 46 Triq E. Houston, fi New York. Huwa mixgħul lampi elettriċi mingħajr "&amp;"fili fiż-żewġ postijiet, li juru l-potenzjal ta 'trasmissjoni ta' enerġija mingħajr fili. Fl-istess sena, huwa brevettat il-kolja Tesla.")</f>
        <v>Fit-30 ta 'Lulju 1891, fl-età ta '35 sena, Tesla saret ċittadin naturalizzat ta' l-Istati Uniti, u stabbilixxa l-laboratorju tiegħu fin-Nofsinhar tal-Ħames Vjal, u aktar tard ieħor fi 46 Triq E. Houston, fi New York. Huwa mixgħul lampi elettriċi mingħajr fili fiż-żewġ postijiet, li juru l-potenzjal ta 'trasmissjoni ta' enerġija mingħajr fili. Fl-istess sena, huwa brevettat il-kolja Tesla.</v>
      </c>
    </row>
    <row r="17039" ht="15.75" customHeight="1">
      <c r="A17039" s="2" t="s">
        <v>17039</v>
      </c>
      <c r="B17039" s="2" t="str">
        <f>IFERROR(__xludf.DUMMYFUNCTION("GOOGLETRANSLATE(A17039, ""en"", ""mt"")"),"Fqar u l-klassi tan-nofs")</f>
        <v>Fqar u l-klassi tan-nofs</v>
      </c>
    </row>
    <row r="17040" ht="15.75" customHeight="1">
      <c r="A17040" s="2" t="s">
        <v>17040</v>
      </c>
      <c r="B17040" s="2" t="str">
        <f>IFERROR(__xludf.DUMMYFUNCTION("GOOGLETRANSLATE(A17040, ""en"", ""mt"")"),"raġunijiet politiċi")</f>
        <v>raġunijiet politiċi</v>
      </c>
    </row>
    <row r="17041" ht="15.75" customHeight="1">
      <c r="A17041" s="2" t="s">
        <v>17041</v>
      </c>
      <c r="B17041" s="2" t="str">
        <f>IFERROR(__xludf.DUMMYFUNCTION("GOOGLETRANSLATE(A17041, ""en"", ""mt"")"),"Meta ġiet imħabbra l-ewwel għaqda Disney u ABC?")</f>
        <v>Meta ġiet imħabbra l-ewwel għaqda Disney u ABC?</v>
      </c>
    </row>
    <row r="17042" ht="15.75" customHeight="1">
      <c r="A17042" s="2" t="s">
        <v>17042</v>
      </c>
      <c r="B17042" s="2" t="str">
        <f>IFERROR(__xludf.DUMMYFUNCTION("GOOGLETRANSLATE(A17042, ""en"", ""mt"")"),"Il-Bord tal-Fiduċjarji")</f>
        <v>Il-Bord tal-Fiduċjarji</v>
      </c>
    </row>
    <row r="17043" ht="15.75" customHeight="1">
      <c r="A17043" s="2" t="s">
        <v>17043</v>
      </c>
      <c r="B17043" s="2" t="str">
        <f>IFERROR(__xludf.DUMMYFUNCTION("GOOGLETRANSLATE(A17043, ""en"", ""mt"")"),"Liema dinastija leġittima waslet quddiem il-wan?")</f>
        <v>Liema dinastija leġittima waslet quddiem il-wan?</v>
      </c>
    </row>
    <row r="17044" ht="15.75" customHeight="1">
      <c r="A17044" s="2" t="s">
        <v>17044</v>
      </c>
      <c r="B17044" s="2" t="str">
        <f>IFERROR(__xludf.DUMMYFUNCTION("GOOGLETRANSLATE(A17044, ""en"", ""mt"")"),"Il-klassifikazzjoni tal-aspetti tal-foresta tal-Amażonja hija importanti għall-immappjar liema tip ta 'emissjoni?")</f>
        <v>Il-klassifikazzjoni tal-aspetti tal-foresta tal-Amażonja hija importanti għall-immappjar liema tip ta 'emissjoni?</v>
      </c>
    </row>
    <row r="17045" ht="15.75" customHeight="1">
      <c r="A17045" s="2" t="s">
        <v>17045</v>
      </c>
      <c r="B17045" s="2" t="str">
        <f>IFERROR(__xludf.DUMMYFUNCTION("GOOGLETRANSLATE(A17045, ""en"", ""mt"")"),"Min kienu eżentati mill-Ministeru tal-Ġustizzja?")</f>
        <v>Min kienu eżentati mill-Ministeru tal-Ġustizzja?</v>
      </c>
    </row>
    <row r="17046" ht="15.75" customHeight="1">
      <c r="A17046" s="2" t="s">
        <v>17046</v>
      </c>
      <c r="B17046" s="2" t="str">
        <f>IFERROR(__xludf.DUMMYFUNCTION("GOOGLETRANSLATE(A17046, ""en"", ""mt"")"),"kolloblasti")</f>
        <v>kolloblasti</v>
      </c>
    </row>
    <row r="17047" ht="15.75" customHeight="1">
      <c r="A17047" s="2" t="s">
        <v>17047</v>
      </c>
      <c r="B17047" s="2" t="str">
        <f>IFERROR(__xludf.DUMMYFUNCTION("GOOGLETRANSLATE(A17047, ""en"", ""mt"")"),"Fejn jiffurmaw ħsarat fuq l-ispinta?")</f>
        <v>Fejn jiffurmaw ħsarat fuq l-ispinta?</v>
      </c>
    </row>
    <row r="17048" ht="15.75" customHeight="1">
      <c r="A17048" s="2" t="s">
        <v>17048</v>
      </c>
      <c r="B17048" s="2" t="str">
        <f>IFERROR(__xludf.DUMMYFUNCTION("GOOGLETRANSLATE(A17048, ""en"", ""mt"")"),"Trasmissjoni orjentata lejn il-konnessjoni teħtieġ fażi ta 'setup f'kull punt involut qabel ma jiġi trasferit kwalunkwe pakkett biex jistabbilixxi l-parametri tal-komunikazzjoni. Il-pakketti jinkludu identifikatur tal-konnessjoni aktar milli informazzjoni"&amp;" dwar l-indirizz u huma nnegozjati bejn il-punti finali sabiex dawn jiġu kkonsenjati fl-ordni u bl-iċċekkjar tal-iżbalji. L-informazzjoni dwar l-indirizz hija trasferita biss għal kull għoqda matul il-fażi ta 'twaqqif ta' konnessjoni, meta tiġi skoperta r"&amp;"-rotta lejn id-destinazzjoni u dħul jiġi miżjud mat-tabella tal-iswiċċ f'kull nodu tan-netwerk li minnu tgħaddi l-konnessjoni. Il-protokolli tas-sinjalar użati jippermettu li l-applikazzjoni tispeċifika r-rekwiżiti tagħha u tiskopri parametri tal-link. Va"&amp;"luri aċċettabbli għall-parametri tas-servizz jistgħu jiġu nnegozjati. Ir-rotta ta 'pakkett teħtieġ li l-għoqda tfittex l-ID tal-konnessjoni f'tabella. L-intestatura tal-pakkett tista 'tkun żgħira, peress li teħtieġ biss li tinkludi dan il-kodiċi u kwalunk"&amp;"we informazzjoni, bħal tul, timestamp, jew numru ta' sekwenza, li huwa differenti għal pakketti differenti.")</f>
        <v>Trasmissjoni orjentata lejn il-konnessjoni teħtieġ fażi ta 'setup f'kull punt involut qabel ma jiġi trasferit kwalunkwe pakkett biex jistabbilixxi l-parametri tal-komunikazzjoni. Il-pakketti jinkludu identifikatur tal-konnessjoni aktar milli informazzjoni dwar l-indirizz u huma nnegozjati bejn il-punti finali sabiex dawn jiġu kkonsenjati fl-ordni u bl-iċċekkjar tal-iżbalji. L-informazzjoni dwar l-indirizz hija trasferita biss għal kull għoqda matul il-fażi ta 'twaqqif ta' konnessjoni, meta tiġi skoperta r-rotta lejn id-destinazzjoni u dħul jiġi miżjud mat-tabella tal-iswiċċ f'kull nodu tan-netwerk li minnu tgħaddi l-konnessjoni. Il-protokolli tas-sinjalar użati jippermettu li l-applikazzjoni tispeċifika r-rekwiżiti tagħha u tiskopri parametri tal-link. Valuri aċċettabbli għall-parametri tas-servizz jistgħu jiġu nnegozjati. Ir-rotta ta 'pakkett teħtieġ li l-għoqda tfittex l-ID tal-konnessjoni f'tabella. L-intestatura tal-pakkett tista 'tkun żgħira, peress li teħtieġ biss li tinkludi dan il-kodiċi u kwalunkwe informazzjoni, bħal tul, timestamp, jew numru ta' sekwenza, li huwa differenti għal pakketti differenti.</v>
      </c>
    </row>
    <row r="17049" ht="15.75" customHeight="1">
      <c r="A17049" s="2" t="s">
        <v>17049</v>
      </c>
      <c r="B17049" s="2" t="str">
        <f>IFERROR(__xludf.DUMMYFUNCTION("GOOGLETRANSLATE(A17049, ""en"", ""mt"")"),"Permezz ta ’esperimentazzjoni")</f>
        <v>Permezz ta ’esperimentazzjoni</v>
      </c>
    </row>
    <row r="17050" ht="15.75" customHeight="1">
      <c r="A17050" s="2" t="s">
        <v>17050</v>
      </c>
      <c r="B17050" s="2" t="str">
        <f>IFERROR(__xludf.DUMMYFUNCTION("GOOGLETRANSLATE(A17050, ""en"", ""mt"")"),"34–19")</f>
        <v>34–19</v>
      </c>
    </row>
    <row r="17051" ht="15.75" customHeight="1">
      <c r="A17051" s="2" t="s">
        <v>17051</v>
      </c>
      <c r="B17051" s="2" t="str">
        <f>IFERROR(__xludf.DUMMYFUNCTION("GOOGLETRANSLATE(A17051, ""en"", ""mt"")"),"rari")</f>
        <v>rari</v>
      </c>
    </row>
    <row r="17052" ht="15.75" customHeight="1">
      <c r="A17052" s="2" t="s">
        <v>17052</v>
      </c>
      <c r="B17052" s="2" t="str">
        <f>IFERROR(__xludf.DUMMYFUNCTION("GOOGLETRANSLATE(A17052, ""en"", ""mt"")"),"Waħda mill-ewwel implimentazzjonijiet massivi tagħha ġiet ikkawżata mill-Eġizzjani kontra l-okkupazzjoni Ingliża fir-rivoluzzjoni tal-1919. Id-diżubbidjenza ċivili hija waħda mill-ħafna modi kif in-nies irribellaw kontra dak li jqisu li huma liġijiet inġu"&amp;"sti. Intuża f'ħafna movimenti ta 'reżistenza mhux vjolenti fl-Indja (il-kampanji ta' Gandhi għall-Indipendenza mill-Imperu Brittaniku), fir-rivoluzzjoni tal-bellus taċ-Ċekoslovakkja u fil-Ġermanja tal-Lvant biex jitneħħew il-gvernijiet komunisti tagħhom, "&amp;"fl-Afrika t'Isfel fil-ġlieda kontra l-apartheid, fid-drittijiet ċivili Amerikani Amerikani Moviment, fir-rivoluzzjoni tal-kant biex iġġib l-indipendenza lill-pajjiżi tal-Baltiku mill-Unjoni Sovjetika, reċentement bir-Rivoluzzjoni tal-Rose tal-2003 fil-Ġeo"&amp;"rġja u r-Rivoluzzjoni Orange tal-2004 fl-Ukrajna, fost movimenti varji oħra mad-dinja kollha.")</f>
        <v>Waħda mill-ewwel implimentazzjonijiet massivi tagħha ġiet ikkawżata mill-Eġizzjani kontra l-okkupazzjoni Ingliża fir-rivoluzzjoni tal-1919. Id-diżubbidjenza ċivili hija waħda mill-ħafna modi kif in-nies irribellaw kontra dak li jqisu li huma liġijiet inġusti. Intuża f'ħafna movimenti ta 'reżistenza mhux vjolenti fl-Indja (il-kampanji ta' Gandhi għall-Indipendenza mill-Imperu Brittaniku), fir-rivoluzzjoni tal-bellus taċ-Ċekoslovakkja u fil-Ġermanja tal-Lvant biex jitneħħew il-gvernijiet komunisti tagħhom, fl-Afrika t'Isfel fil-ġlieda kontra l-apartheid, fid-drittijiet ċivili Amerikani Amerikani Moviment, fir-rivoluzzjoni tal-kant biex iġġib l-indipendenza lill-pajjiżi tal-Baltiku mill-Unjoni Sovjetika, reċentement bir-Rivoluzzjoni tal-Rose tal-2003 fil-Ġeorġja u r-Rivoluzzjoni Orange tal-2004 fl-Ukrajna, fost movimenti varji oħra mad-dinja kollha.</v>
      </c>
    </row>
    <row r="17053" ht="15.75" customHeight="1">
      <c r="A17053" s="2" t="s">
        <v>17053</v>
      </c>
      <c r="B17053" s="2" t="str">
        <f>IFERROR(__xludf.DUMMYFUNCTION("GOOGLETRANSLATE(A17053, ""en"", ""mt"")"),"Għaliex xi ħadd m'għandux jikkommetti reat meta jkun qed jipprotesta?")</f>
        <v>Għaliex xi ħadd m'għandux jikkommetti reat meta jkun qed jipprotesta?</v>
      </c>
    </row>
    <row r="17054" ht="15.75" customHeight="1">
      <c r="A17054" s="2" t="s">
        <v>17054</v>
      </c>
      <c r="B17054" s="2" t="str">
        <f>IFERROR(__xludf.DUMMYFUNCTION("GOOGLETRANSLATE(A17054, ""en"", ""mt"")"),"Madwar 11-il miljun membru fi kważi 42,000 kongregazzjoni")</f>
        <v>Madwar 11-il miljun membru fi kważi 42,000 kongregazzjoni</v>
      </c>
    </row>
    <row r="17055" ht="15.75" customHeight="1">
      <c r="A17055" s="2" t="s">
        <v>17055</v>
      </c>
      <c r="B17055" s="2" t="str">
        <f>IFERROR(__xludf.DUMMYFUNCTION("GOOGLETRANSLATE(A17055, ""en"", ""mt"")"),"L-Arabja Sawdita")</f>
        <v>L-Arabja Sawdita</v>
      </c>
    </row>
    <row r="17056" ht="15.75" customHeight="1">
      <c r="A17056" s="2" t="s">
        <v>17056</v>
      </c>
      <c r="B17056" s="2" t="str">
        <f>IFERROR(__xludf.DUMMYFUNCTION("GOOGLETRANSLATE(A17056, ""en"", ""mt"")"),"Liema huwa aktar sofistikat, mudell numeriċi jew mudelli analogi ta 'kunjardi orogeniċi?")</f>
        <v>Liema huwa aktar sofistikat, mudell numeriċi jew mudelli analogi ta 'kunjardi orogeniċi?</v>
      </c>
    </row>
    <row r="17057" ht="15.75" customHeight="1">
      <c r="A17057" s="2" t="s">
        <v>17057</v>
      </c>
      <c r="B17057" s="2" t="str">
        <f>IFERROR(__xludf.DUMMYFUNCTION("GOOGLETRANSLATE(A17057, ""en"", ""mt"")"),"It-tielet l-akbar preżenza militari")</f>
        <v>It-tielet l-akbar preżenza militari</v>
      </c>
    </row>
    <row r="17058" ht="15.75" customHeight="1">
      <c r="A17058" s="2" t="s">
        <v>17058</v>
      </c>
      <c r="B17058" s="2" t="str">
        <f>IFERROR(__xludf.DUMMYFUNCTION("GOOGLETRANSLATE(A17058, ""en"", ""mt"")"),"Liema dipartiment jisponsorja l-Mużew tar-Rabat u Albert?")</f>
        <v>Liema dipartiment jisponsorja l-Mużew tar-Rabat u Albert?</v>
      </c>
    </row>
    <row r="17059" ht="15.75" customHeight="1">
      <c r="A17059" s="2" t="s">
        <v>17059</v>
      </c>
      <c r="B17059" s="2" t="str">
        <f>IFERROR(__xludf.DUMMYFUNCTION("GOOGLETRANSLATE(A17059, ""en"", ""mt"")"),"4-momentum fir-relatività u l-momentum ta 'partiċelli virtwali fl-elettrodinamiċità kwantistika")</f>
        <v>4-momentum fir-relatività u l-momentum ta 'partiċelli virtwali fl-elettrodinamiċità kwantistika</v>
      </c>
    </row>
    <row r="17060" ht="15.75" customHeight="1">
      <c r="A17060" s="2" t="s">
        <v>17060</v>
      </c>
      <c r="B17060" s="2" t="str">
        <f>IFERROR(__xludf.DUMMYFUNCTION("GOOGLETRANSLATE(A17060, ""en"", ""mt"")"),"La aħna qed nagħmlu sforz massimu u lanqas niksbu r-riżultati meħtieġa")</f>
        <v>La aħna qed nagħmlu sforz massimu u lanqas niksbu r-riżultati meħtieġa</v>
      </c>
    </row>
    <row r="17061" ht="15.75" customHeight="1">
      <c r="A17061" s="2" t="s">
        <v>17061</v>
      </c>
      <c r="B17061" s="2" t="str">
        <f>IFERROR(__xludf.DUMMYFUNCTION("GOOGLETRANSLATE(A17061, ""en"", ""mt"")"),"X'kienet l-ispiża medja għal reklam tat-TV li jdum 30 sekonda matul Super Bowl 50?")</f>
        <v>X'kienet l-ispiża medja għal reklam tat-TV li jdum 30 sekonda matul Super Bowl 50?</v>
      </c>
    </row>
    <row r="17062" ht="15.75" customHeight="1">
      <c r="A17062" s="2" t="s">
        <v>17062</v>
      </c>
      <c r="B17062" s="2" t="str">
        <f>IFERROR(__xludf.DUMMYFUNCTION("GOOGLETRANSLATE(A17062, ""en"", ""mt"")"),"Kien hemm żewġ tipi ta 'netwerks X.25. Uħud bħal Datapac u Transpac")</f>
        <v>Kien hemm żewġ tipi ta 'netwerks X.25. Uħud bħal Datapac u Transpac</v>
      </c>
    </row>
    <row r="17063" ht="15.75" customHeight="1">
      <c r="A17063" s="2" t="s">
        <v>17063</v>
      </c>
      <c r="B17063" s="2" t="str">
        <f>IFERROR(__xludf.DUMMYFUNCTION("GOOGLETRANSLATE(A17063, ""en"", ""mt"")"),"żieda fis-soluzzjoni u d-deforestazzjoni")</f>
        <v>żieda fis-soluzzjoni u d-deforestazzjoni</v>
      </c>
    </row>
    <row r="17064" ht="15.75" customHeight="1">
      <c r="A17064" s="2" t="s">
        <v>17064</v>
      </c>
      <c r="B17064" s="2" t="str">
        <f>IFERROR(__xludf.DUMMYFUNCTION("GOOGLETRANSLATE(A17064, ""en"", ""mt"")"),"il-missier tad-dar")</f>
        <v>il-missier tad-dar</v>
      </c>
    </row>
    <row r="17065" ht="15.75" customHeight="1">
      <c r="A17065" s="2" t="s">
        <v>17065</v>
      </c>
      <c r="B17065" s="2" t="str">
        <f>IFERROR(__xludf.DUMMYFUNCTION("GOOGLETRANSLATE(A17065, ""en"", ""mt"")"),"Fejn waħda mill-bniet ta 'Triton iddeċidiet li riedet toqgħod u tibqa'?")</f>
        <v>Fejn waħda mill-bniet ta 'Triton iddeċidiet li riedet toqgħod u tibqa'?</v>
      </c>
    </row>
    <row r="17066" ht="15.75" customHeight="1">
      <c r="A17066" s="2" t="s">
        <v>17066</v>
      </c>
      <c r="B17066" s="2" t="str">
        <f>IFERROR(__xludf.DUMMYFUNCTION("GOOGLETRANSLATE(A17066, ""en"", ""mt"")"),"Sinjal ""Ma tfixkilx""")</f>
        <v>Sinjal "Ma tfixkilx"</v>
      </c>
    </row>
    <row r="17067" ht="15.75" customHeight="1">
      <c r="A17067" s="2" t="s">
        <v>17067</v>
      </c>
      <c r="B17067" s="2" t="str">
        <f>IFERROR(__xludf.DUMMYFUNCTION("GOOGLETRANSLATE(A17067, ""en"", ""mt"")"),"Fl-Awstralja, l-ispettaklu kellu bażi ta 'fan qawwija mill-bidu tiegħu, wara li kien esklussivament immexxi mill-Australian Broadcasting Corporation (ABC) minn Jannar 1965. L-ABC ilha episodji ripetuti perjodikament; Ta 'nota kienu l-iscreening ta' kull ġ"&amp;"imgħa tal-episodji klassiċi kollha disponibbli li jibdew fl-2003, għall-40 anniversarju tal-ispettaklu, u l-iscreening tal-ġimgħa tal-episodji kollha disponibbli mill-ġdid fl-2013 għall-50 anniversarju tal-ispettaklu. L-ABC ixandar is-serje moderna l-ewwe"&amp;"l ġirja fuq ABC1, b'repeti fuq ABC2. L-ABC ipprovda wkoll fondi parzjali għall-20 anniversarju speċjali The Five Tobba fl-1983. Ir-ripetizzjonijiet kemm tas-serje klassika kif ukoll dik moderna ntwerew ukoll fuq stazzjonijiet televiżivi ta ’abbonament BBC"&amp;" UKTV, SF u aktar tard fuq SYFY malli jagħlqu SF. [Ċitazzjoni meħtieġa]")</f>
        <v>Fl-Awstralja, l-ispettaklu kellu bażi ta 'fan qawwija mill-bidu tiegħu, wara li kien esklussivament immexxi mill-Australian Broadcasting Corporation (ABC) minn Jannar 1965. L-ABC ilha episodji ripetuti perjodikament; Ta 'nota kienu l-iscreening ta' kull ġimgħa tal-episodji klassiċi kollha disponibbli li jibdew fl-2003, għall-40 anniversarju tal-ispettaklu, u l-iscreening tal-ġimgħa tal-episodji kollha disponibbli mill-ġdid fl-2013 għall-50 anniversarju tal-ispettaklu. L-ABC ixandar is-serje moderna l-ewwel ġirja fuq ABC1, b'repeti fuq ABC2. L-ABC ipprovda wkoll fondi parzjali għall-20 anniversarju speċjali The Five Tobba fl-1983. Ir-ripetizzjonijiet kemm tas-serje klassika kif ukoll dik moderna ntwerew ukoll fuq stazzjonijiet televiżivi ta ’abbonament BBC UKTV, SF u aktar tard fuq SYFY malli jagħlqu SF. [Ċitazzjoni meħtieġa]</v>
      </c>
    </row>
    <row r="17068" ht="15.75" customHeight="1">
      <c r="A17068" s="2" t="s">
        <v>17068</v>
      </c>
      <c r="B17068" s="2" t="str">
        <f>IFERROR(__xludf.DUMMYFUNCTION("GOOGLETRANSLATE(A17068, ""en"", ""mt"")"),"ewkarjotiku")</f>
        <v>ewkarjotiku</v>
      </c>
    </row>
    <row r="17069" ht="15.75" customHeight="1">
      <c r="A17069" s="2" t="s">
        <v>17069</v>
      </c>
      <c r="B17069" s="2" t="str">
        <f>IFERROR(__xludf.DUMMYFUNCTION("GOOGLETRANSLATE(A17069, ""en"", ""mt"")"),"Is-serje The Deadly Assassin u Mawdryn Undead u l-film tat-TV tal-1996 aktar tard jistabbilixxu li Lord Time jista 'jirriġenera biss 12-il darba, għal total ta '13 -il inkarnazzjoni. Din il-linja saret mwaħħla fil-kuxjenza pubblika minkejja li ma kinitx r"&amp;"ipetuta ħafna drabi, u kienet rikonoxxuta mill-produtturi tal-ispettaklu bħala ostaklu tal-plott għal meta l-ispettaklu fl-aħħar kellu jirriġenera lit-tabib tlettax-il darba. L-episodju ""The Time of the Doctor"" juri lit-tabib li akkwista ċiklu ġdid ta '"&amp;"riġenerazzjonijiet, li jibda mit-tnax-il tabib, minħabba li l-ħdax-il tabib kien il-prodott tat-tnax-il riġenerazzjoni tat-tabib mis-sett oriġinali tiegħu.")</f>
        <v>Is-serje The Deadly Assassin u Mawdryn Undead u l-film tat-TV tal-1996 aktar tard jistabbilixxu li Lord Time jista 'jirriġenera biss 12-il darba, għal total ta '13 -il inkarnazzjoni. Din il-linja saret mwaħħla fil-kuxjenza pubblika minkejja li ma kinitx ripetuta ħafna drabi, u kienet rikonoxxuta mill-produtturi tal-ispettaklu bħala ostaklu tal-plott għal meta l-ispettaklu fl-aħħar kellu jirriġenera lit-tabib tlettax-il darba. L-episodju "The Time of the Doctor" juri lit-tabib li akkwista ċiklu ġdid ta 'riġenerazzjonijiet, li jibda mit-tnax-il tabib, minħabba li l-ħdax-il tabib kien il-prodott tat-tnax-il riġenerazzjoni tat-tabib mis-sett oriġinali tiegħu.</v>
      </c>
    </row>
    <row r="17070" ht="15.75" customHeight="1">
      <c r="A17070" s="2" t="s">
        <v>17070</v>
      </c>
      <c r="B17070" s="2" t="str">
        <f>IFERROR(__xludf.DUMMYFUNCTION("GOOGLETRANSLATE(A17070, ""en"", ""mt"")"),"F'liema stil inbena l-edifiċju tal-Filarmonija ta 'Varsavja?")</f>
        <v>F'liema stil inbena l-edifiċju tal-Filarmonija ta 'Varsavja?</v>
      </c>
    </row>
    <row r="17071" ht="15.75" customHeight="1">
      <c r="A17071" s="2" t="s">
        <v>17071</v>
      </c>
      <c r="B17071" s="2" t="str">
        <f>IFERROR(__xludf.DUMMYFUNCTION("GOOGLETRANSLATE(A17071, ""en"", ""mt"")"),"28 ta 'Diċembru, 2015,")</f>
        <v>28 ta 'Diċembru, 2015,</v>
      </c>
    </row>
    <row r="17072" ht="15.75" customHeight="1">
      <c r="A17072" s="2" t="s">
        <v>17072</v>
      </c>
      <c r="B17072" s="2" t="str">
        <f>IFERROR(__xludf.DUMMYFUNCTION("GOOGLETRANSLATE(A17072, ""en"", ""mt"")"),"lejn il-punent")</f>
        <v>lejn il-punent</v>
      </c>
    </row>
    <row r="17073" ht="15.75" customHeight="1">
      <c r="A17073" s="2" t="s">
        <v>17073</v>
      </c>
      <c r="B17073" s="2" t="str">
        <f>IFERROR(__xludf.DUMMYFUNCTION("GOOGLETRANSLATE(A17073, ""en"", ""mt"")"),"Vjaġġaturi tal-Fond")</f>
        <v>Vjaġġaturi tal-Fond</v>
      </c>
    </row>
    <row r="17074" ht="15.75" customHeight="1">
      <c r="A17074" s="2" t="s">
        <v>17074</v>
      </c>
      <c r="B17074" s="2" t="str">
        <f>IFERROR(__xludf.DUMMYFUNCTION("GOOGLETRANSLATE(A17074, ""en"", ""mt"")"),"Professjonisti tal-kura tas-saħħa")</f>
        <v>Professjonisti tal-kura tas-saħħa</v>
      </c>
    </row>
    <row r="17075" ht="15.75" customHeight="1">
      <c r="A17075" s="2" t="s">
        <v>17075</v>
      </c>
      <c r="B17075" s="2" t="str">
        <f>IFERROR(__xludf.DUMMYFUNCTION("GOOGLETRANSLATE(A17075, ""en"", ""mt"")"),"L-Iżlamiżmu huwa kunċett kontroversjali mhux biss minħabba li huwa rwol politiku għall-Iżlam iżda wkoll minħabba li l-partitarji tiegħu jemmnu li l-fehmiet tagħhom jirriflettu biss l-Islam, filwaqt li l-idea kuntrarja li l-Islam huwa, jew jista 'jkun, Apo"&amp;"litical huwa żball. Studjużi u osservaturi li ma jemmnux li l-Iżlam huwa sempliċement ideoloġija politika jinkludu Fred Halliday, John Esposito u intellettwali Musulmani bħal Javed Ahmad Ghamidi. Hayri Abaza jargumenta li n-nuqqas ta ’distinzjoni bejn l-I"&amp;"żlam u l-Iżlamiżmu jwassal ħafna fil-Punent biex jappoġġjaw reġimi Iżlamiċi illiberali, għad-detriment ta’ moderati progressivi li jfittxu li jisseparaw ir-reliġjon mill-politika.")</f>
        <v>L-Iżlamiżmu huwa kunċett kontroversjali mhux biss minħabba li huwa rwol politiku għall-Iżlam iżda wkoll minħabba li l-partitarji tiegħu jemmnu li l-fehmiet tagħhom jirriflettu biss l-Islam, filwaqt li l-idea kuntrarja li l-Islam huwa, jew jista 'jkun, Apolitical huwa żball. Studjużi u osservaturi li ma jemmnux li l-Iżlam huwa sempliċement ideoloġija politika jinkludu Fred Halliday, John Esposito u intellettwali Musulmani bħal Javed Ahmad Ghamidi. Hayri Abaza jargumenta li n-nuqqas ta ’distinzjoni bejn l-Iżlam u l-Iżlamiżmu jwassal ħafna fil-Punent biex jappoġġjaw reġimi Iżlamiċi illiberali, għad-detriment ta’ moderati progressivi li jfittxu li jisseparaw ir-reliġjon mill-politika.</v>
      </c>
    </row>
    <row r="17076" ht="15.75" customHeight="1">
      <c r="A17076" s="2" t="s">
        <v>17076</v>
      </c>
      <c r="B17076" s="2" t="str">
        <f>IFERROR(__xludf.DUMMYFUNCTION("GOOGLETRANSLATE(A17076, ""en"", ""mt"")"),"Infrastruttura ta 'transitu msaħħa, shuttles possibbli miftuħa għall-pubbliku, u spazju għall-park li se jkun aċċessibbli wkoll għall-pubbliku.")</f>
        <v>Infrastruttura ta 'transitu msaħħa, shuttles possibbli miftuħa għall-pubbliku, u spazju għall-park li se jkun aċċessibbli wkoll għall-pubbliku.</v>
      </c>
    </row>
    <row r="17077" ht="15.75" customHeight="1">
      <c r="A17077" s="2" t="s">
        <v>17077</v>
      </c>
      <c r="B17077" s="2" t="str">
        <f>IFERROR(__xludf.DUMMYFUNCTION("GOOGLETRANSLATE(A17077, ""en"", ""mt"")"),"L-arkitettura Norman tipikament tispikka bħala stadju ġdid fl-istorja arkitettonika tar-reġjuni li huma ssottomettu. Huma xerrdu idjoma Rumanika unika lejn l-Ingilterra u l-Italja, u l-inkastellazzjoni ta 'dawn ir-reġjuni ma' żżomm fl-istil Franċiż tat-Tr"&amp;"amuntana tagħhom biddel fundamentalment il-pajsaġġ militari. L-istil tagħhom kien ikkaratterizzat minn arkati tond, partikolarment fuq twieqi u bibien, u proporzjonijiet massivi.")</f>
        <v>L-arkitettura Norman tipikament tispikka bħala stadju ġdid fl-istorja arkitettonika tar-reġjuni li huma ssottomettu. Huma xerrdu idjoma Rumanika unika lejn l-Ingilterra u l-Italja, u l-inkastellazzjoni ta 'dawn ir-reġjuni ma' żżomm fl-istil Franċiż tat-Tramuntana tagħhom biddel fundamentalment il-pajsaġġ militari. L-istil tagħhom kien ikkaratterizzat minn arkati tond, partikolarment fuq twieqi u bibien, u proporzjonijiet massivi.</v>
      </c>
    </row>
    <row r="17078" ht="15.75" customHeight="1">
      <c r="A17078" s="2" t="s">
        <v>17078</v>
      </c>
      <c r="B17078" s="2" t="str">
        <f>IFERROR(__xludf.DUMMYFUNCTION("GOOGLETRANSLATE(A17078, ""en"", ""mt"")"),"Fil-mudell b'saffi tad-dinja hemm diskontinwitajiet sismiċi f'liema saff?")</f>
        <v>Fil-mudell b'saffi tad-dinja hemm diskontinwitajiet sismiċi f'liema saff?</v>
      </c>
    </row>
    <row r="17079" ht="15.75" customHeight="1">
      <c r="A17079" s="2" t="s">
        <v>17079</v>
      </c>
      <c r="B17079" s="2" t="str">
        <f>IFERROR(__xludf.DUMMYFUNCTION("GOOGLETRANSLATE(A17079, ""en"", ""mt"")"),"Liema workshop għen bil-ħolqien tat-tema tat-tabib min?")</f>
        <v>Liema workshop għen bil-ħolqien tat-tema tat-tabib min?</v>
      </c>
    </row>
    <row r="17080" ht="15.75" customHeight="1">
      <c r="A17080" s="2" t="s">
        <v>17080</v>
      </c>
      <c r="B17080" s="2" t="str">
        <f>IFERROR(__xludf.DUMMYFUNCTION("GOOGLETRANSLATE(A17080, ""en"", ""mt"")"),"X'inhi 'letteratura griża'?")</f>
        <v>X'inhi 'letteratura griża'?</v>
      </c>
    </row>
    <row r="17081" ht="15.75" customHeight="1">
      <c r="A17081" s="2" t="s">
        <v>17081</v>
      </c>
      <c r="B17081" s="2" t="str">
        <f>IFERROR(__xludf.DUMMYFUNCTION("GOOGLETRANSLATE(A17081, ""en"", ""mt"")"),"Tesla kisbet esperjenza fit-telefonija u l-inġinerija elettrika qabel ma emigra lejn l-Istati Uniti fl-1884 biex taħdem għal Thomas Edison fi New York City. Malajr ħabat waħdu ma 'dawk li jappoġġjaw finanzjarji, waqqaf laboratorji u kumpaniji biex jiżvilu"&amp;"ppaw firxa ta' apparati elettriċi. Il-mutur u t-transformer tal-induzzjoni AC brevettati tiegħu kienu liċenzjati minn George Westinghouse, li wkoll ingaġġa lil Tesla għal żmien qasir bħala konsulent. Ix-xogħol tiegħu fis-snin formattivi tal-iżvilupp tal-e"&amp;"nerġija elettrika kien involut fi kurrent alternattiv / kurrent dirett ""Gwerra tal-Kurrenti"" kif ukoll f'diversi battalji ta 'privattivi.")</f>
        <v>Tesla kisbet esperjenza fit-telefonija u l-inġinerija elettrika qabel ma emigra lejn l-Istati Uniti fl-1884 biex taħdem għal Thomas Edison fi New York City. Malajr ħabat waħdu ma 'dawk li jappoġġjaw finanzjarji, waqqaf laboratorji u kumpaniji biex jiżviluppaw firxa ta' apparati elettriċi. Il-mutur u t-transformer tal-induzzjoni AC brevettati tiegħu kienu liċenzjati minn George Westinghouse, li wkoll ingaġġa lil Tesla għal żmien qasir bħala konsulent. Ix-xogħol tiegħu fis-snin formattivi tal-iżvilupp tal-enerġija elettrika kien involut fi kurrent alternattiv / kurrent dirett "Gwerra tal-Kurrenti" kif ukoll f'diversi battalji ta 'privattivi.</v>
      </c>
    </row>
    <row r="17082" ht="15.75" customHeight="1">
      <c r="A17082" s="2" t="s">
        <v>17082</v>
      </c>
      <c r="B17082" s="2" t="str">
        <f>IFERROR(__xludf.DUMMYFUNCTION("GOOGLETRANSLATE(A17082, ""en"", ""mt"")"),"X'kienet ir-reputazzjoni ta 'Tesla fil-kultura popolari?")</f>
        <v>X'kienet ir-reputazzjoni ta 'Tesla fil-kultura popolari?</v>
      </c>
    </row>
    <row r="17083" ht="15.75" customHeight="1">
      <c r="A17083" s="2" t="s">
        <v>17083</v>
      </c>
      <c r="B17083" s="2" t="str">
        <f>IFERROR(__xludf.DUMMYFUNCTION("GOOGLETRANSLATE(A17083, ""en"", ""mt"")"),"Liema xejra żżid il-kompożizzjoni organika tal-kapital fuq medda twila ta 'żmien?")</f>
        <v>Liema xejra żżid il-kompożizzjoni organika tal-kapital fuq medda twila ta 'żmien?</v>
      </c>
    </row>
    <row r="17084" ht="15.75" customHeight="1">
      <c r="A17084" s="2" t="s">
        <v>17084</v>
      </c>
      <c r="B17084" s="2" t="str">
        <f>IFERROR(__xludf.DUMMYFUNCTION("GOOGLETRANSLATE(A17084, ""en"", ""mt"")"),"Il-kuntratti għandhom ikunu ddisinjati biex jiżguraw xiex?")</f>
        <v>Il-kuntratti għandhom ikunu ddisinjati biex jiżguraw xiex?</v>
      </c>
    </row>
    <row r="17085" ht="15.75" customHeight="1">
      <c r="A17085" s="2" t="s">
        <v>17085</v>
      </c>
      <c r="B17085" s="2" t="str">
        <f>IFERROR(__xludf.DUMMYFUNCTION("GOOGLETRANSLATE(A17085, ""en"", ""mt"")"),"X'tip ta 'fjura hija mfittxija fil-Lejliet ta' Nofs is-Sajf?")</f>
        <v>X'tip ta 'fjura hija mfittxija fil-Lejliet ta' Nofs is-Sajf?</v>
      </c>
    </row>
    <row r="17086" ht="15.75" customHeight="1">
      <c r="A17086" s="2" t="s">
        <v>17086</v>
      </c>
      <c r="B17086" s="2" t="str">
        <f>IFERROR(__xludf.DUMMYFUNCTION("GOOGLETRANSLATE(A17086, ""en"", ""mt"")"),"funzjoni")</f>
        <v>funzjoni</v>
      </c>
    </row>
    <row r="17087" ht="15.75" customHeight="1">
      <c r="A17087" s="2" t="s">
        <v>17087</v>
      </c>
      <c r="B17087" s="2" t="str">
        <f>IFERROR(__xludf.DUMMYFUNCTION("GOOGLETRANSLATE(A17087, ""en"", ""mt"")"),"bagħat lil John Bradstreet fuq spedizzjoni li qered b'suċċess Fort Frontenac")</f>
        <v>bagħat lil John Bradstreet fuq spedizzjoni li qered b'suċċess Fort Frontenac</v>
      </c>
    </row>
    <row r="17088" ht="15.75" customHeight="1">
      <c r="A17088" s="2" t="s">
        <v>17088</v>
      </c>
      <c r="B17088" s="2" t="str">
        <f>IFERROR(__xludf.DUMMYFUNCTION("GOOGLETRANSLATE(A17088, ""en"", ""mt"")"),"It-tabib rarament jivvjaġġa waħdu u ħafna drabi jġib wieħed jew aktar kumpanji biex jaqsmu dawn l-avventuri. Il-kumpanji tiegħu huma ġeneralment bnedmin, peress li sab faxxinu mal-pjaneta tad-Dinja. Huwa spiss isib avvenimenti li jwaqqfu l-kurżità tiegħu "&amp;"waqt li jipprova jipprevjeni l-forzi tal-ħażen milli jagħmlu ħsara lil nies innoċenti jew ibiddlu l-istorja, billi jużaw biss l-għerf u r-riżorsi minimi tiegħu, bħalma huma t-tornavit soniku versatili tiegħu. Bħala Lord Time, it-tabib għandu l-abbiltà li "&amp;"jirriġenera meta ġismu jkun bil-ħsara mortalment, jieħu dehra u personalità ġdida. It-tabib kiseb bosta għedewwa li jerġgħu jseħħu matul il-vjaġġi tiegħu, inklużi d-Daleks, iċ-Cybermen, u l-Kaptan, ieħor mill-ġdid ta 'Time Lord.")</f>
        <v>It-tabib rarament jivvjaġġa waħdu u ħafna drabi jġib wieħed jew aktar kumpanji biex jaqsmu dawn l-avventuri. Il-kumpanji tiegħu huma ġeneralment bnedmin, peress li sab faxxinu mal-pjaneta tad-Dinja. Huwa spiss isib avvenimenti li jwaqqfu l-kurżità tiegħu waqt li jipprova jipprevjeni l-forzi tal-ħażen milli jagħmlu ħsara lil nies innoċenti jew ibiddlu l-istorja, billi jużaw biss l-għerf u r-riżorsi minimi tiegħu, bħalma huma t-tornavit soniku versatili tiegħu. Bħala Lord Time, it-tabib għandu l-abbiltà li jirriġenera meta ġismu jkun bil-ħsara mortalment, jieħu dehra u personalità ġdida. It-tabib kiseb bosta għedewwa li jerġgħu jseħħu matul il-vjaġġi tiegħu, inklużi d-Daleks, iċ-Cybermen, u l-Kaptan, ieħor mill-ġdid ta 'Time Lord.</v>
      </c>
    </row>
    <row r="17089" ht="15.75" customHeight="1">
      <c r="A17089" s="2" t="s">
        <v>17089</v>
      </c>
      <c r="B17089" s="2" t="str">
        <f>IFERROR(__xludf.DUMMYFUNCTION("GOOGLETRANSLATE(A17089, ""en"", ""mt"")"),"Seklu 12")</f>
        <v>Seklu 12</v>
      </c>
    </row>
    <row r="17090" ht="15.75" customHeight="1">
      <c r="A17090" s="2" t="s">
        <v>17090</v>
      </c>
      <c r="B17090" s="2" t="str">
        <f>IFERROR(__xludf.DUMMYFUNCTION("GOOGLETRANSLATE(A17090, ""en"", ""mt"")"),"10 sa 15-il miljun")</f>
        <v>10 sa 15-il miljun</v>
      </c>
    </row>
    <row r="17091" ht="15.75" customHeight="1">
      <c r="A17091" s="2" t="s">
        <v>17091</v>
      </c>
      <c r="B17091" s="2" t="str">
        <f>IFERROR(__xludf.DUMMYFUNCTION("GOOGLETRANSLATE(A17091, ""en"", ""mt"")"),"Liema żewġ stazzjonijiet tar-radju f'Denver ġarrbu Super Bowl 50?")</f>
        <v>Liema żewġ stazzjonijiet tar-radju f'Denver ġarrbu Super Bowl 50?</v>
      </c>
    </row>
    <row r="17092" ht="15.75" customHeight="1">
      <c r="A17092" s="2" t="s">
        <v>17092</v>
      </c>
      <c r="B17092" s="2" t="str">
        <f>IFERROR(__xludf.DUMMYFUNCTION("GOOGLETRANSLATE(A17092, ""en"", ""mt"")"),"Kif huwa determinat id-dħul f'suq ma 'ħaddiema b'ħiliet varji?")</f>
        <v>Kif huwa determinat id-dħul f'suq ma 'ħaddiema b'ħiliet varji?</v>
      </c>
    </row>
    <row r="17093" ht="15.75" customHeight="1">
      <c r="A17093" s="2" t="s">
        <v>17093</v>
      </c>
      <c r="B17093" s="2" t="str">
        <f>IFERROR(__xludf.DUMMYFUNCTION("GOOGLETRANSLATE(A17093, ""en"", ""mt"")"),"Ħin tal-komputazzjoni")</f>
        <v>Ħin tal-komputazzjoni</v>
      </c>
    </row>
    <row r="17094" ht="15.75" customHeight="1">
      <c r="A17094" s="2" t="s">
        <v>17094</v>
      </c>
      <c r="B17094" s="2" t="str">
        <f>IFERROR(__xludf.DUMMYFUNCTION("GOOGLETRANSLATE(A17094, ""en"", ""mt"")"),"X'tip ta 'persuna ma tistax tiġi attribwita diżubbidjenza ċivili?")</f>
        <v>X'tip ta 'persuna ma tistax tiġi attribwita diżubbidjenza ċivili?</v>
      </c>
    </row>
    <row r="17095" ht="15.75" customHeight="1">
      <c r="A17095" s="2" t="s">
        <v>17095</v>
      </c>
      <c r="B17095" s="2" t="str">
        <f>IFERROR(__xludf.DUMMYFUNCTION("GOOGLETRANSLATE(A17095, ""en"", ""mt"")"),"Kif qabbel ir-rapport tal-IPCC tal-2001 mar-realtà għall-2001-2006?")</f>
        <v>Kif qabbel ir-rapport tal-IPCC tal-2001 mar-realtà għall-2001-2006?</v>
      </c>
    </row>
    <row r="17096" ht="15.75" customHeight="1">
      <c r="A17096" s="2" t="s">
        <v>17096</v>
      </c>
      <c r="B17096" s="2" t="str">
        <f>IFERROR(__xludf.DUMMYFUNCTION("GOOGLETRANSLATE(A17096, ""en"", ""mt"")"),"Meta kien il-perjodu ""Dalekmania""?")</f>
        <v>Meta kien il-perjodu "Dalekmania"?</v>
      </c>
    </row>
    <row r="17097" ht="15.75" customHeight="1">
      <c r="A17097" s="2" t="s">
        <v>17097</v>
      </c>
      <c r="B17097" s="2" t="str">
        <f>IFERROR(__xludf.DUMMYFUNCTION("GOOGLETRANSLATE(A17097, ""en"", ""mt"")"),"L-Amerika t'Isfel Amerikana")</f>
        <v>L-Amerika t'Isfel Amerikana</v>
      </c>
    </row>
    <row r="17098" ht="15.75" customHeight="1">
      <c r="A17098" s="2" t="s">
        <v>17098</v>
      </c>
      <c r="B17098" s="2" t="str">
        <f>IFERROR(__xludf.DUMMYFUNCTION("GOOGLETRANSLATE(A17098, ""en"", ""mt"")"),"""Cydippids"" mhumiex monofiletiċi")</f>
        <v>"Cydippids" mhumiex monofiletiċi</v>
      </c>
    </row>
    <row r="17099" ht="15.75" customHeight="1">
      <c r="A17099" s="2" t="s">
        <v>17099</v>
      </c>
      <c r="B17099" s="2" t="str">
        <f>IFERROR(__xludf.DUMMYFUNCTION("GOOGLETRANSLATE(A17099, ""en"", ""mt"")"),"Abitanti Aboriġini")</f>
        <v>Abitanti Aboriġini</v>
      </c>
    </row>
    <row r="17100" ht="15.75" customHeight="1">
      <c r="A17100" s="2" t="s">
        <v>17100</v>
      </c>
      <c r="B17100" s="2" t="str">
        <f>IFERROR(__xludf.DUMMYFUNCTION("GOOGLETRANSLATE(A17100, ""en"", ""mt"")"),"Il-ko-tagħlim saret ukoll xejra ġdida fost l-istituzzjonijiet edukattivi. Il-ko-tagħlim huwa definit bħala żewġ għalliema jew aktar li jaħdmu b'mod armonjuż biex jissodisfaw il-bżonnijiet ta 'kull student fil-klassi. Il-ko-tagħlim jiffoka lill-istudent fu"&amp;"q it-tagħlim billi jipprovdi appoġġ għan-netwerking soċjali li jippermettilhom jilħqu l-potenzjal konjittiv sħiħ tagħhom. Il-ko-għalliema jaħdmu f'sinkronizzazzjoni ma 'xulxin biex joħolqu klima ta' tagħlim.")</f>
        <v>Il-ko-tagħlim saret ukoll xejra ġdida fost l-istituzzjonijiet edukattivi. Il-ko-tagħlim huwa definit bħala żewġ għalliema jew aktar li jaħdmu b'mod armonjuż biex jissodisfaw il-bżonnijiet ta 'kull student fil-klassi. Il-ko-tagħlim jiffoka lill-istudent fuq it-tagħlim billi jipprovdi appoġġ għan-netwerking soċjali li jippermettilhom jilħqu l-potenzjal konjittiv sħiħ tagħhom. Il-ko-għalliema jaħdmu f'sinkronizzazzjoni ma 'xulxin biex joħolqu klima ta' tagħlim.</v>
      </c>
    </row>
    <row r="17101" ht="15.75" customHeight="1">
      <c r="A17101" s="2" t="s">
        <v>17101</v>
      </c>
      <c r="B17101" s="2" t="str">
        <f>IFERROR(__xludf.DUMMYFUNCTION("GOOGLETRANSLATE(A17101, ""en"", ""mt"")"),"X'kienet ir-reliġjon Norman?")</f>
        <v>X'kienet ir-reliġjon Norman?</v>
      </c>
    </row>
    <row r="17102" ht="15.75" customHeight="1">
      <c r="A17102" s="2" t="s">
        <v>17102</v>
      </c>
      <c r="B17102" s="2" t="str">
        <f>IFERROR(__xludf.DUMMYFUNCTION("GOOGLETRANSLATE(A17102, ""en"", ""mt"")"),"Albarellos mis-sekli 16 u 17, kotba ta ’preskrizzjoni qodma u drogi antiki")</f>
        <v>Albarellos mis-sekli 16 u 17, kotba ta ’preskrizzjoni qodma u drogi antiki</v>
      </c>
    </row>
    <row r="17103" ht="15.75" customHeight="1">
      <c r="A17103" s="2" t="s">
        <v>17103</v>
      </c>
      <c r="B17103" s="2" t="str">
        <f>IFERROR(__xludf.DUMMYFUNCTION("GOOGLETRANSLATE(A17103, ""en"", ""mt"")"),"Era Rumana")</f>
        <v>Era Rumana</v>
      </c>
    </row>
    <row r="17104" ht="15.75" customHeight="1">
      <c r="A17104" s="2" t="s">
        <v>17104</v>
      </c>
      <c r="B17104" s="2" t="str">
        <f>IFERROR(__xludf.DUMMYFUNCTION("GOOGLETRANSLATE(A17104, ""en"", ""mt"")"),"Il-bnedmin f'ambjenti tropikali kienu meqjusa x'inhuma?")</f>
        <v>Il-bnedmin f'ambjenti tropikali kienu meqjusa x'inhuma?</v>
      </c>
    </row>
    <row r="17105" ht="15.75" customHeight="1">
      <c r="A17105" s="2" t="s">
        <v>17105</v>
      </c>
      <c r="B17105" s="2" t="str">
        <f>IFERROR(__xludf.DUMMYFUNCTION("GOOGLETRANSLATE(A17105, ""en"", ""mt"")"),"Kif irrisponda r-Re Louis XV għall-pjanijiet Ingliżi?")</f>
        <v>Kif irrisponda r-Re Louis XV għall-pjanijiet Ingliżi?</v>
      </c>
    </row>
    <row r="17106" ht="15.75" customHeight="1">
      <c r="A17106" s="2" t="s">
        <v>17106</v>
      </c>
      <c r="B17106" s="2" t="str">
        <f>IFERROR(__xludf.DUMMYFUNCTION("GOOGLETRANSLATE(A17106, ""en"", ""mt"")"),"X'ħeġġiġ il-Karta tal-Ħamas mingħajr kompromess?")</f>
        <v>X'ħeġġiġ il-Karta tal-Ħamas mingħajr kompromess?</v>
      </c>
    </row>
    <row r="17107" ht="15.75" customHeight="1">
      <c r="A17107" s="2" t="s">
        <v>17107</v>
      </c>
      <c r="B17107" s="2" t="str">
        <f>IFERROR(__xludf.DUMMYFUNCTION("GOOGLETRANSLATE(A17107, ""en"", ""mt"")"),"75,000 sa 100,000")</f>
        <v>75,000 sa 100,000</v>
      </c>
    </row>
    <row r="17108" ht="15.75" customHeight="1">
      <c r="A17108" s="2" t="s">
        <v>17108</v>
      </c>
      <c r="B17108" s="2" t="str">
        <f>IFERROR(__xludf.DUMMYFUNCTION("GOOGLETRANSLATE(A17108, ""en"", ""mt"")"),"Meta Barton u Whitfield jitolbu rekords ta 'riċerka dwar il-klima?")</f>
        <v>Meta Barton u Whitfield jitolbu rekords ta 'riċerka dwar il-klima?</v>
      </c>
    </row>
    <row r="17109" ht="15.75" customHeight="1">
      <c r="A17109" s="2" t="s">
        <v>17109</v>
      </c>
      <c r="B17109" s="2" t="str">
        <f>IFERROR(__xludf.DUMMYFUNCTION("GOOGLETRANSLATE(A17109, ""en"", ""mt"")"),"Minn x'kienet id-dieta ta 'dud ta' assemblaġġ?")</f>
        <v>Minn x'kienet id-dieta ta 'dud ta' assemblaġġ?</v>
      </c>
    </row>
    <row r="17110" ht="15.75" customHeight="1">
      <c r="A17110" s="2" t="s">
        <v>17110</v>
      </c>
      <c r="B17110" s="2" t="str">
        <f>IFERROR(__xludf.DUMMYFUNCTION("GOOGLETRANSLATE(A17110, ""en"", ""mt"")"),"Problema tal-komputazzjoni")</f>
        <v>Problema tal-komputazzjoni</v>
      </c>
    </row>
    <row r="17111" ht="15.75" customHeight="1">
      <c r="A17111" s="2" t="s">
        <v>17111</v>
      </c>
      <c r="B17111" s="2" t="str">
        <f>IFERROR(__xludf.DUMMYFUNCTION("GOOGLETRANSLATE(A17111, ""en"", ""mt"")"),"Cytokine TGF-β")</f>
        <v>Cytokine TGF-β</v>
      </c>
    </row>
    <row r="17112" ht="15.75" customHeight="1">
      <c r="A17112" s="2" t="s">
        <v>17112</v>
      </c>
      <c r="B17112" s="2" t="str">
        <f>IFERROR(__xludf.DUMMYFUNCTION("GOOGLETRANSLATE(A17112, ""en"", ""mt"")"),"Minn xiex jistgħu jsofru proġetti ta 'kostruzzjoni?")</f>
        <v>Minn xiex jistgħu jsofru proġetti ta 'kostruzzjoni?</v>
      </c>
    </row>
    <row r="17113" ht="15.75" customHeight="1">
      <c r="A17113" s="2" t="s">
        <v>17113</v>
      </c>
      <c r="B17113" s="2" t="str">
        <f>IFERROR(__xludf.DUMMYFUNCTION("GOOGLETRANSLATE(A17113, ""en"", ""mt"")"),"Internet2 huwa konsorzju ta 'netwerking tal-kompjuter ta' l-Istati Uniti mhux għall-profitt immexxi minn membri mill-komunitajiet ta 'riċerka u edukazzjoni, industrija u gvern. Il-komunità tal-Internet2, fi sħubija ma 'QWest, bniet l-ewwel netwerk Interne"&amp;"t2, imsejjaħ Abilene, fl-1998 u kienet investitur ewlieni fil-proġett Nazzjonali Lambdarail (NLR). Fl-2006, Internet2 ħabbret sħubija ma 'komunikazzjonijiet ta' Livell 3 biex tniedi netwerk ġdid ta 'nazzjon fjamant, li tagħti spinta lill-kapaċità tagħha m"&amp;"inn 10 GBit / s għal 100 Gbit / s. F'Ottubru, 2007, Internet2 irtira uffiċjalment Abilene u issa tirreferi għan-netwerk ġdid u ogħla ta 'kapaċità tagħha bħala n-netwerk Internet2.")</f>
        <v>Internet2 huwa konsorzju ta 'netwerking tal-kompjuter ta' l-Istati Uniti mhux għall-profitt immexxi minn membri mill-komunitajiet ta 'riċerka u edukazzjoni, industrija u gvern. Il-komunità tal-Internet2, fi sħubija ma 'QWest, bniet l-ewwel netwerk Internet2, imsejjaħ Abilene, fl-1998 u kienet investitur ewlieni fil-proġett Nazzjonali Lambdarail (NLR). Fl-2006, Internet2 ħabbret sħubija ma 'komunikazzjonijiet ta' Livell 3 biex tniedi netwerk ġdid ta 'nazzjon fjamant, li tagħti spinta lill-kapaċità tagħha minn 10 GBit / s għal 100 Gbit / s. F'Ottubru, 2007, Internet2 irtira uffiċjalment Abilene u issa tirreferi għan-netwerk ġdid u ogħla ta 'kapaċità tagħha bħala n-netwerk Internet2.</v>
      </c>
    </row>
    <row r="17114" ht="15.75" customHeight="1">
      <c r="A17114" s="2" t="s">
        <v>17114</v>
      </c>
      <c r="B17114" s="2" t="str">
        <f>IFERROR(__xludf.DUMMYFUNCTION("GOOGLETRANSLATE(A17114, ""en"", ""mt"")"),"Il-verżjoni tal-2005")</f>
        <v>Il-verżjoni tal-2005</v>
      </c>
    </row>
    <row r="17115" ht="15.75" customHeight="1">
      <c r="A17115" s="2" t="s">
        <v>17115</v>
      </c>
      <c r="B17115" s="2" t="str">
        <f>IFERROR(__xludf.DUMMYFUNCTION("GOOGLETRANSLATE(A17115, ""en"", ""mt"")"),"Refrattiv ħafna")</f>
        <v>Refrattiv ħafna</v>
      </c>
    </row>
    <row r="17116" ht="15.75" customHeight="1">
      <c r="A17116" s="2" t="s">
        <v>17116</v>
      </c>
      <c r="B17116" s="2" t="str">
        <f>IFERROR(__xludf.DUMMYFUNCTION("GOOGLETRANSLATE(A17116, ""en"", ""mt"")"),"Madwar 200-300")</f>
        <v>Madwar 200-300</v>
      </c>
    </row>
    <row r="17117" ht="15.75" customHeight="1">
      <c r="A17117" s="2" t="s">
        <v>17117</v>
      </c>
      <c r="B17117" s="2" t="str">
        <f>IFERROR(__xludf.DUMMYFUNCTION("GOOGLETRANSLATE(A17117, ""en"", ""mt"")"),"X'in-Nazzjonijiet Uniti ddisinjat l-ISIL?")</f>
        <v>X'in-Nazzjonijiet Uniti ddisinjat l-ISIL?</v>
      </c>
    </row>
    <row r="17118" ht="15.75" customHeight="1">
      <c r="A17118" s="2" t="s">
        <v>17118</v>
      </c>
      <c r="B17118" s="2" t="str">
        <f>IFERROR(__xludf.DUMMYFUNCTION("GOOGLETRANSLATE(A17118, ""en"", ""mt"")"),"Minn min qal San Pawl qal li l-awtoritajiet kollha ġew maħtura?")</f>
        <v>Minn min qal San Pawl qal li l-awtoritajiet kollha ġew maħtura?</v>
      </c>
    </row>
    <row r="17119" ht="15.75" customHeight="1">
      <c r="A17119" s="2" t="s">
        <v>17119</v>
      </c>
      <c r="B17119" s="2" t="str">
        <f>IFERROR(__xludf.DUMMYFUNCTION("GOOGLETRANSLATE(A17119, ""en"", ""mt"")"),"X'jagħmlu l-Bathocyroe u l-Ocyropsis biex jaħarbu l-periklu?")</f>
        <v>X'jagħmlu l-Bathocyroe u l-Ocyropsis biex jaħarbu l-periklu?</v>
      </c>
    </row>
    <row r="17120" ht="15.75" customHeight="1">
      <c r="A17120" s="2" t="s">
        <v>17120</v>
      </c>
      <c r="B17120" s="2" t="str">
        <f>IFERROR(__xludf.DUMMYFUNCTION("GOOGLETRANSLATE(A17120, ""en"", ""mt"")"),"ħamsa jew aktar")</f>
        <v>ħamsa jew aktar</v>
      </c>
    </row>
    <row r="17121" ht="15.75" customHeight="1">
      <c r="A17121" s="2" t="s">
        <v>17121</v>
      </c>
      <c r="B17121" s="2" t="str">
        <f>IFERROR(__xludf.DUMMYFUNCTION("GOOGLETRANSLATE(A17121, ""en"", ""mt"")"),"il-popolazzjoni mxerrda tagħhom u d-distanza mill-Parlament Skoċċiż f'Edinburgu")</f>
        <v>il-popolazzjoni mxerrda tagħhom u d-distanza mill-Parlament Skoċċiż f'Edinburgu</v>
      </c>
    </row>
    <row r="17122" ht="15.75" customHeight="1">
      <c r="A17122" s="2" t="s">
        <v>17122</v>
      </c>
      <c r="B17122" s="2" t="str">
        <f>IFERROR(__xludf.DUMMYFUNCTION("GOOGLETRANSLATE(A17122, ""en"", ""mt"")"),"Pompa tal-joni tal-idroġenu")</f>
        <v>Pompa tal-joni tal-idroġenu</v>
      </c>
    </row>
    <row r="17123" ht="15.75" customHeight="1">
      <c r="A17123" s="2" t="s">
        <v>17123</v>
      </c>
      <c r="B17123" s="2" t="str">
        <f>IFERROR(__xludf.DUMMYFUNCTION("GOOGLETRANSLATE(A17123, ""en"", ""mt"")"),"bla ħniena")</f>
        <v>bla ħniena</v>
      </c>
    </row>
    <row r="17124" ht="15.75" customHeight="1">
      <c r="A17124" s="2" t="s">
        <v>17124</v>
      </c>
      <c r="B17124" s="2" t="str">
        <f>IFERROR(__xludf.DUMMYFUNCTION("GOOGLETRANSLATE(A17124, ""en"", ""mt"")"),"Il-kolonisti Ingliżi ma jkunux siguri sakemm il-Franċiżi kienu preżenti")</f>
        <v>Il-kolonisti Ingliżi ma jkunux siguri sakemm il-Franċiżi kienu preżenti</v>
      </c>
    </row>
    <row r="17125" ht="15.75" customHeight="1">
      <c r="A17125" s="2" t="s">
        <v>17125</v>
      </c>
      <c r="B17125" s="2" t="str">
        <f>IFERROR(__xludf.DUMMYFUNCTION("GOOGLETRANSLATE(A17125, ""en"", ""mt"")"),"fil-punent tal-muntanji Appalaċi")</f>
        <v>fil-punent tal-muntanji Appalaċi</v>
      </c>
    </row>
    <row r="17126" ht="15.75" customHeight="1">
      <c r="A17126" s="2" t="s">
        <v>17126</v>
      </c>
      <c r="B17126" s="2" t="str">
        <f>IFERROR(__xludf.DUMMYFUNCTION("GOOGLETRANSLATE(A17126, ""en"", ""mt"")"),"L-arrest tiegħu ma kien kopert fl-ebda gazzetti fil-jiem, ġimgħat u xhur wara li ġara")</f>
        <v>L-arrest tiegħu ma kien kopert fl-ebda gazzetti fil-jiem, ġimgħat u xhur wara li ġara</v>
      </c>
    </row>
    <row r="17127" ht="15.75" customHeight="1">
      <c r="A17127" s="2" t="s">
        <v>17127</v>
      </c>
      <c r="B17127" s="2" t="str">
        <f>IFERROR(__xludf.DUMMYFUNCTION("GOOGLETRANSLATE(A17127, ""en"", ""mt"")"),"tifforma 'gallerija nazzjonali tal-arti Ingliża',")</f>
        <v>tifforma 'gallerija nazzjonali tal-arti Ingliża',</v>
      </c>
    </row>
    <row r="17128" ht="15.75" customHeight="1">
      <c r="A17128" s="2" t="s">
        <v>17128</v>
      </c>
      <c r="B17128" s="2" t="str">
        <f>IFERROR(__xludf.DUMMYFUNCTION("GOOGLETRANSLATE(A17128, ""en"", ""mt"")"),"Liema Doctor Who-Episode ġie muri waqt il-promettenti?")</f>
        <v>Liema Doctor Who-Episode ġie muri waqt il-promettenti?</v>
      </c>
    </row>
    <row r="17129" ht="15.75" customHeight="1">
      <c r="A17129" s="2" t="s">
        <v>17129</v>
      </c>
      <c r="B17129" s="2" t="str">
        <f>IFERROR(__xludf.DUMMYFUNCTION("GOOGLETRANSLATE(A17129, ""en"", ""mt"")"),"Il-Punent raw lilhom infushom bħala dak meta mqabbel mal-Lvant?")</f>
        <v>Il-Punent raw lilhom infushom bħala dak meta mqabbel mal-Lvant?</v>
      </c>
    </row>
    <row r="17130" ht="15.75" customHeight="1">
      <c r="A17130" s="2" t="s">
        <v>17130</v>
      </c>
      <c r="B17130" s="2" t="str">
        <f>IFERROR(__xludf.DUMMYFUNCTION("GOOGLETRANSLATE(A17130, ""en"", ""mt"")"),"X'tip ta 'kuntratt jingħata meta l-kuntrattur jingħata speċifikazzjoni ta' prestazzjoni u għandu jwettaq il-proġett mid-disinn għall-kostruzzjoni, filwaqt li jeħel mal-ispeċifikazzjonijiet tal-prestazzjoni?")</f>
        <v>X'tip ta 'kuntratt jingħata meta l-kuntrattur jingħata speċifikazzjoni ta' prestazzjoni u għandu jwettaq il-proġett mid-disinn għall-kostruzzjoni, filwaqt li jeħel mal-ispeċifikazzjonijiet tal-prestazzjoni?</v>
      </c>
    </row>
    <row r="17131" ht="15.75" customHeight="1">
      <c r="A17131" s="2" t="s">
        <v>17131</v>
      </c>
      <c r="B17131" s="2" t="str">
        <f>IFERROR(__xludf.DUMMYFUNCTION("GOOGLETRANSLATE(A17131, ""en"", ""mt"")"),"Id-Dinja kellha frekwenza reżonanti")</f>
        <v>Id-Dinja kellha frekwenza reżonanti</v>
      </c>
    </row>
    <row r="17132" ht="15.75" customHeight="1">
      <c r="A17132" s="2" t="s">
        <v>17132</v>
      </c>
      <c r="B17132" s="2" t="str">
        <f>IFERROR(__xludf.DUMMYFUNCTION("GOOGLETRANSLATE(A17132, ""en"", ""mt"")"),"differenzi fl-ammont ta 'inugwaljanza")</f>
        <v>differenzi fl-ammont ta 'inugwaljanza</v>
      </c>
    </row>
    <row r="17133" ht="15.75" customHeight="1">
      <c r="A17133" s="2" t="s">
        <v>17133</v>
      </c>
      <c r="B17133" s="2" t="str">
        <f>IFERROR(__xludf.DUMMYFUNCTION("GOOGLETRANSLATE(A17133, ""en"", ""mt"")"),"Fejn kien hemm każijiet magħrufa ħafna ta 'kondotta ħażina tal-għalliema?")</f>
        <v>Fejn kien hemm każijiet magħrufa ħafna ta 'kondotta ħażina tal-għalliema?</v>
      </c>
    </row>
    <row r="17134" ht="15.75" customHeight="1">
      <c r="A17134" s="2" t="s">
        <v>17134</v>
      </c>
      <c r="B17134" s="2" t="str">
        <f>IFERROR(__xludf.DUMMYFUNCTION("GOOGLETRANSLATE(A17134, ""en"", ""mt"")"),"Fl-1700 diversi mijiet ta ’Huguenots Franċiżi emigraw mill-Ingilterra sal-kolonja ta’ Virginia, fejn il-kuruna Ingliża kienet wiegħedhom għotjiet fl-art fil-Kontea ta ’Norfolk Lower. Meta waslu, l-awtoritajiet kolonjali offrewhom minflok jillandjaw 20 mil"&amp;" 'il fuq mill-waqgħat tax-Xmara James, fil-villaġġ ta' Monacan abbandunat magħruf bħala Manakin Town, issa fil-Kontea ta 'Powhatan. Xi kolonisti żbarkaw fil-Kontea ta 'Chesterfield preżenti. Fit-12 ta 'Mejju 1705, l-Assemblea Ġenerali ta' Virginia għaddie"&amp;"t att biex timmatura l-148 Huguenots li għadhom residenti f'Manakintown. Mill-390 kolonizzaturi oriġinali fis-soluzzjoni iżolata, ħafna mietu; oħrajn għexu barra l-belt fl-irziezet fl-istil Ingliż; U oħrajn marru jgħixu f'żoni differenti. Gradwalment huma"&amp;" żżewġu mal-ġirien Ingliżi tagħhom. Matul is-sekli 18 u 19, id-dixxendenti tal-Franċiżi emigraw lejn il-punent fil-Piemonte, u madwar il-muntanji Appalaċi fil-punent ta 'dak li sar Kentucky, Tennessee, Missouri, u stati oħra. Fiż-żona ta 'Manakintown, il-"&amp;"Pont Memorial Huguenot madwar ix-Xmara James u Triq Huguenot ġew imsemmija fl-unur tagħhom, bħalma kienu bosta karatteristiċi lokali, inklużi diversi skejjel, inklużi Huguenot High School.")</f>
        <v>Fl-1700 diversi mijiet ta ’Huguenots Franċiżi emigraw mill-Ingilterra sal-kolonja ta’ Virginia, fejn il-kuruna Ingliża kienet wiegħedhom għotjiet fl-art fil-Kontea ta ’Norfolk Lower. Meta waslu, l-awtoritajiet kolonjali offrewhom minflok jillandjaw 20 mil 'il fuq mill-waqgħat tax-Xmara James, fil-villaġġ ta' Monacan abbandunat magħruf bħala Manakin Town, issa fil-Kontea ta 'Powhatan. Xi kolonisti żbarkaw fil-Kontea ta 'Chesterfield preżenti. Fit-12 ta 'Mejju 1705, l-Assemblea Ġenerali ta' Virginia għaddiet att biex timmatura l-148 Huguenots li għadhom residenti f'Manakintown. Mill-390 kolonizzaturi oriġinali fis-soluzzjoni iżolata, ħafna mietu; oħrajn għexu barra l-belt fl-irziezet fl-istil Ingliż; U oħrajn marru jgħixu f'żoni differenti. Gradwalment huma żżewġu mal-ġirien Ingliżi tagħhom. Matul is-sekli 18 u 19, id-dixxendenti tal-Franċiżi emigraw lejn il-punent fil-Piemonte, u madwar il-muntanji Appalaċi fil-punent ta 'dak li sar Kentucky, Tennessee, Missouri, u stati oħra. Fiż-żona ta 'Manakintown, il-Pont Memorial Huguenot madwar ix-Xmara James u Triq Huguenot ġew imsemmija fl-unur tagħhom, bħalma kienu bosta karatteristiċi lokali, inklużi diversi skejjel, inklużi Huguenot High School.</v>
      </c>
    </row>
    <row r="17135" ht="15.75" customHeight="1">
      <c r="A17135" s="2" t="s">
        <v>17135</v>
      </c>
      <c r="B17135" s="2" t="str">
        <f>IFERROR(__xludf.DUMMYFUNCTION("GOOGLETRANSLATE(A17135, ""en"", ""mt"")"),"iżżid il-biċċa l-kbira tagħha u tnaqqas id-densità tagħha")</f>
        <v>iżżid il-biċċa l-kbira tagħha u tnaqqas id-densità tagħha</v>
      </c>
    </row>
    <row r="17136" ht="15.75" customHeight="1">
      <c r="A17136" s="2" t="s">
        <v>17136</v>
      </c>
      <c r="B17136" s="2" t="str">
        <f>IFERROR(__xludf.DUMMYFUNCTION("GOOGLETRANSLATE(A17136, ""en"", ""mt"")"),"Żid l-erja tal-wiċċ tal-kloroplast għal trasport inkroċjat")</f>
        <v>Żid l-erja tal-wiċċ tal-kloroplast għal trasport inkroċjat</v>
      </c>
    </row>
    <row r="17137" ht="15.75" customHeight="1">
      <c r="A17137" s="2" t="s">
        <v>17137</v>
      </c>
      <c r="B17137" s="2" t="str">
        <f>IFERROR(__xludf.DUMMYFUNCTION("GOOGLETRANSLATE(A17137, ""en"", ""mt"")"),"Liema sistema ta 'arkivju tintuża għall-materjal kollu fil-Librerija Nazzjonali tal-Art?")</f>
        <v>Liema sistema ta 'arkivju tintuża għall-materjal kollu fil-Librerija Nazzjonali tal-Art?</v>
      </c>
    </row>
    <row r="17138" ht="15.75" customHeight="1">
      <c r="A17138" s="2" t="s">
        <v>17138</v>
      </c>
      <c r="B17138" s="2" t="str">
        <f>IFERROR(__xludf.DUMMYFUNCTION("GOOGLETRANSLATE(A17138, ""en"", ""mt"")"),"1990s")</f>
        <v>1990s</v>
      </c>
    </row>
    <row r="17139" ht="15.75" customHeight="1">
      <c r="A17139" s="2" t="s">
        <v>17139</v>
      </c>
      <c r="B17139" s="2" t="str">
        <f>IFERROR(__xludf.DUMMYFUNCTION("GOOGLETRANSLATE(A17139, ""en"", ""mt"")"),"Wara li saru n-negozjati x’għamlet Luther?")</f>
        <v>Wara li saru n-negozjati x’għamlet Luther?</v>
      </c>
    </row>
    <row r="17140" ht="15.75" customHeight="1">
      <c r="A17140" s="2" t="s">
        <v>17140</v>
      </c>
      <c r="B17140" s="2" t="str">
        <f>IFERROR(__xludf.DUMMYFUNCTION("GOOGLETRANSLATE(A17140, ""en"", ""mt"")"),"Doctor Who oriġinarjament dam għal 26 staġuni fuq BBC One, mit-23 ta 'Novembru 1963 sas-6 ta' Diċembru 1989. Matul il-ġirja oriġinali, kull episodju ta 'kull ġimgħa kien jifforma parti minn storja (jew ""serje"") - ġeneralment minn erba' sa sitt partijiet"&amp;" fis-snin preċedenti u Tlieta sa erbgħa fis-snin aktar tard. Eċċezzjonijiet notevoli kienu: il-pjan ewlieni ta 'Daleks, li jixxandar fi 12-il episodju (flimkien ma' teaser ta 'episodju wieħed preċedenti, ""Missjoni għall-Mhux magħrufa"", li fih l-ebda wie"&amp;"ħed mill-kast regolari); kważi staġun sħiħ ta 'serje ta' seba 'episodji (staġun 7); il-logħob tal-gwerra b'10 episodji; u l-prova ta 'Time Lord, li dam għal 14-il episodju (għalkemm maqsuma fi tliet kodiċi ta' produzzjoni u erba 'segmenti narrattivi) matu"&amp;"l l-istaġun 23. Kultant is-serje kienu konnessi b'mod laxk minn ġrajja, bħalma huma l-istaġun 8 li kien iddedikat għat-tabib li qed jiġġieled kontra l-diżonesti Time Lord sejjaħ lill-kaptan, l-istaġun 16's Quest for the Key to Time, l-istaġun 18's Vjaġġ p"&amp;"ermezz tal-E-Space u t-Tema tal-Entropija, u l-Istaġun 20's Black Guardian Trilogy.")</f>
        <v>Doctor Who oriġinarjament dam għal 26 staġuni fuq BBC One, mit-23 ta 'Novembru 1963 sas-6 ta' Diċembru 1989. Matul il-ġirja oriġinali, kull episodju ta 'kull ġimgħa kien jifforma parti minn storja (jew "serje") - ġeneralment minn erba' sa sitt partijiet fis-snin preċedenti u Tlieta sa erbgħa fis-snin aktar tard. Eċċezzjonijiet notevoli kienu: il-pjan ewlieni ta 'Daleks, li jixxandar fi 12-il episodju (flimkien ma' teaser ta 'episodju wieħed preċedenti, "Missjoni għall-Mhux magħrufa", li fih l-ebda wieħed mill-kast regolari); kważi staġun sħiħ ta 'serje ta' seba 'episodji (staġun 7); il-logħob tal-gwerra b'10 episodji; u l-prova ta 'Time Lord, li dam għal 14-il episodju (għalkemm maqsuma fi tliet kodiċi ta' produzzjoni u erba 'segmenti narrattivi) matul l-istaġun 23. Kultant is-serje kienu konnessi b'mod laxk minn ġrajja, bħalma huma l-istaġun 8 li kien iddedikat għat-tabib li qed jiġġieled kontra l-diżonesti Time Lord sejjaħ lill-kaptan, l-istaġun 16's Quest for the Key to Time, l-istaġun 18's Vjaġġ permezz tal-E-Space u t-Tema tal-Entropija, u l-Istaġun 20's Black Guardian Trilogy.</v>
      </c>
    </row>
    <row r="17141" ht="15.75" customHeight="1">
      <c r="A17141" s="2" t="s">
        <v>17141</v>
      </c>
      <c r="B17141" s="2" t="str">
        <f>IFERROR(__xludf.DUMMYFUNCTION("GOOGLETRANSLATE(A17141, ""en"", ""mt"")"),"Nomadi")</f>
        <v>Nomadi</v>
      </c>
    </row>
    <row r="17142" ht="15.75" customHeight="1">
      <c r="A17142" s="2" t="s">
        <v>17142</v>
      </c>
      <c r="B17142" s="2" t="str">
        <f>IFERROR(__xludf.DUMMYFUNCTION("GOOGLETRANSLATE(A17142, ""en"", ""mt"")"),"proporzjonijiet ta 'iżotopi ta' elementi radjuattivi")</f>
        <v>proporzjonijiet ta 'iżotopi ta' elementi radjuattivi</v>
      </c>
    </row>
    <row r="17143" ht="15.75" customHeight="1">
      <c r="A17143" s="2" t="s">
        <v>17143</v>
      </c>
      <c r="B17143" s="2" t="str">
        <f>IFERROR(__xludf.DUMMYFUNCTION("GOOGLETRANSLATE(A17143, ""en"", ""mt"")"),"Grupp tad-Disinn Troika")</f>
        <v>Grupp tad-Disinn Troika</v>
      </c>
    </row>
    <row r="17144" ht="15.75" customHeight="1">
      <c r="A17144" s="2" t="s">
        <v>17144</v>
      </c>
      <c r="B17144" s="2" t="str">
        <f>IFERROR(__xludf.DUMMYFUNCTION("GOOGLETRANSLATE(A17144, ""en"", ""mt"")"),"Ġibiltà u l-Gżejjer Åland")</f>
        <v>Ġibiltà u l-Gżejjer Åland</v>
      </c>
    </row>
    <row r="17145" ht="15.75" customHeight="1">
      <c r="A17145" s="2" t="s">
        <v>17145</v>
      </c>
      <c r="B17145" s="2" t="str">
        <f>IFERROR(__xludf.DUMMYFUNCTION("GOOGLETRANSLATE(A17145, ""en"", ""mt"")"),"Ftit millimetri għal 1.5 m")</f>
        <v>Ftit millimetri għal 1.5 m</v>
      </c>
    </row>
    <row r="17146" ht="15.75" customHeight="1">
      <c r="A17146" s="2" t="s">
        <v>17146</v>
      </c>
      <c r="B17146" s="2" t="str">
        <f>IFERROR(__xludf.DUMMYFUNCTION("GOOGLETRANSLATE(A17146, ""en"", ""mt"")"),"Università ta ’Wittenberg")</f>
        <v>Università ta ’Wittenberg</v>
      </c>
    </row>
    <row r="17147" ht="15.75" customHeight="1">
      <c r="A17147" s="2" t="s">
        <v>17147</v>
      </c>
      <c r="B17147" s="2" t="str">
        <f>IFERROR(__xludf.DUMMYFUNCTION("GOOGLETRANSLATE(A17147, ""en"", ""mt"")"),"Ilbiesi spazjali modifikati, reżistenti għan-nar II, ilbiesi,")</f>
        <v>Ilbiesi spazjali modifikati, reżistenti għan-nar II, ilbiesi,</v>
      </c>
    </row>
    <row r="17148" ht="15.75" customHeight="1">
      <c r="A17148" s="2" t="s">
        <v>17148</v>
      </c>
      <c r="B17148" s="2" t="str">
        <f>IFERROR(__xludf.DUMMYFUNCTION("GOOGLETRANSLATE(A17148, ""en"", ""mt"")"),"Kostruzzjoni tal-Bini, Kostruzzjoni ta 'Inġinerija Tqila u Ċivili, u Kuntratturi tal-Kummerċ ta' Speċjalità")</f>
        <v>Kostruzzjoni tal-Bini, Kostruzzjoni ta 'Inġinerija Tqila u Ċivili, u Kuntratturi tal-Kummerċ ta' Speċjalità</v>
      </c>
    </row>
    <row r="17149" ht="15.75" customHeight="1">
      <c r="A17149" s="2" t="s">
        <v>17149</v>
      </c>
      <c r="B17149" s="2" t="str">
        <f>IFERROR(__xludf.DUMMYFUNCTION("GOOGLETRANSLATE(A17149, ""en"", ""mt"")"),"Mediċini ġodda")</f>
        <v>Mediċini ġodda</v>
      </c>
    </row>
    <row r="17150" ht="15.75" customHeight="1">
      <c r="A17150" s="2" t="s">
        <v>17150</v>
      </c>
      <c r="B17150" s="2" t="str">
        <f>IFERROR(__xludf.DUMMYFUNCTION("GOOGLETRANSLATE(A17150, ""en"", ""mt"")"),"Sitta")</f>
        <v>Sitta</v>
      </c>
    </row>
    <row r="17151" ht="15.75" customHeight="1">
      <c r="A17151" s="2" t="s">
        <v>17151</v>
      </c>
      <c r="B17151" s="2" t="str">
        <f>IFERROR(__xludf.DUMMYFUNCTION("GOOGLETRANSLATE(A17151, ""en"", ""mt"")"),"partiċelli elementari")</f>
        <v>partiċelli elementari</v>
      </c>
    </row>
    <row r="17152" ht="15.75" customHeight="1">
      <c r="A17152" s="2" t="s">
        <v>17152</v>
      </c>
      <c r="B17152" s="2" t="str">
        <f>IFERROR(__xludf.DUMMYFUNCTION("GOOGLETRANSLATE(A17152, ""en"", ""mt"")"),"Trattat dwar il-funzjonament tal-Unjoni Ewropea")</f>
        <v>Trattat dwar il-funzjonament tal-Unjoni Ewropea</v>
      </c>
    </row>
    <row r="17153" ht="15.75" customHeight="1">
      <c r="A17153" s="2" t="s">
        <v>17153</v>
      </c>
      <c r="B17153" s="2" t="str">
        <f>IFERROR(__xludf.DUMMYFUNCTION("GOOGLETRANSLATE(A17153, ""en"", ""mt"")"),"mewġ lonġitudinali")</f>
        <v>mewġ lonġitudinali</v>
      </c>
    </row>
    <row r="17154" ht="15.75" customHeight="1">
      <c r="A17154" s="2" t="s">
        <v>17154</v>
      </c>
      <c r="B17154" s="2" t="str">
        <f>IFERROR(__xludf.DUMMYFUNCTION("GOOGLETRANSLATE(A17154, ""en"", ""mt"")"),"Southern California")</f>
        <v>Southern California</v>
      </c>
    </row>
    <row r="17155" ht="15.75" customHeight="1">
      <c r="A17155" s="2" t="s">
        <v>17155</v>
      </c>
      <c r="B17155" s="2" t="str">
        <f>IFERROR(__xludf.DUMMYFUNCTION("GOOGLETRANSLATE(A17155, ""en"", ""mt"")"),"Sessjoni")</f>
        <v>Sessjoni</v>
      </c>
    </row>
    <row r="17156" ht="15.75" customHeight="1">
      <c r="A17156" s="2" t="s">
        <v>17156</v>
      </c>
      <c r="B17156" s="2" t="str">
        <f>IFERROR(__xludf.DUMMYFUNCTION("GOOGLETRANSLATE(A17156, ""en"", ""mt"")"),"L-industrija tal-inbid")</f>
        <v>L-industrija tal-inbid</v>
      </c>
    </row>
    <row r="17157" ht="15.75" customHeight="1">
      <c r="A17157" s="2" t="s">
        <v>17157</v>
      </c>
      <c r="B17157" s="2" t="str">
        <f>IFERROR(__xludf.DUMMYFUNCTION("GOOGLETRANSLATE(A17157, ""en"", ""mt"")"),"ribelljoni Iżlamika kontra reġim Marxista Allejat")</f>
        <v>ribelljoni Iżlamika kontra reġim Marxista Allejat</v>
      </c>
    </row>
    <row r="17158" ht="15.75" customHeight="1">
      <c r="A17158" s="2" t="s">
        <v>17158</v>
      </c>
      <c r="B17158" s="2" t="str">
        <f>IFERROR(__xludf.DUMMYFUNCTION("GOOGLETRANSLATE(A17158, ""en"", ""mt"")"),"Soċjetajiet Ġeografiċi fl-Ewropa")</f>
        <v>Soċjetajiet Ġeografiċi fl-Ewropa</v>
      </c>
    </row>
    <row r="17159" ht="15.75" customHeight="1">
      <c r="A17159" s="2" t="s">
        <v>17159</v>
      </c>
      <c r="B17159" s="2" t="str">
        <f>IFERROR(__xludf.DUMMYFUNCTION("GOOGLETRANSLATE(A17159, ""en"", ""mt"")"),"""Beating the Odds: The Untold Story wara l-lok ta 'ABC""")</f>
        <v>"Beating the Odds: The Untold Story wara l-lok ta 'ABC"</v>
      </c>
    </row>
    <row r="17160" ht="15.75" customHeight="1">
      <c r="A17160" s="2" t="s">
        <v>17160</v>
      </c>
      <c r="B17160" s="2" t="str">
        <f>IFERROR(__xludf.DUMMYFUNCTION("GOOGLETRANSLATE(A17160, ""en"", ""mt"")"),"L-Arkanġlu Michael")</f>
        <v>L-Arkanġlu Michael</v>
      </c>
    </row>
    <row r="17161" ht="15.75" customHeight="1">
      <c r="A17161" s="2" t="s">
        <v>17161</v>
      </c>
      <c r="B17161" s="2" t="str">
        <f>IFERROR(__xludf.DUMMYFUNCTION("GOOGLETRANSLATE(A17161, ""en"", ""mt"")"),"Min iqis il-Kontea ta 'Los Angeles bħala żona metropolitana separata?")</f>
        <v>Min iqis il-Kontea ta 'Los Angeles bħala żona metropolitana separata?</v>
      </c>
    </row>
    <row r="17162" ht="15.75" customHeight="1">
      <c r="A17162" s="2" t="s">
        <v>17162</v>
      </c>
      <c r="B17162" s="2" t="str">
        <f>IFERROR(__xludf.DUMMYFUNCTION("GOOGLETRANSLATE(A17162, ""en"", ""mt"")"),"Kemm hemm lagi f'Varsavja?")</f>
        <v>Kemm hemm lagi f'Varsavja?</v>
      </c>
    </row>
    <row r="17163" ht="15.75" customHeight="1">
      <c r="A17163" s="2" t="s">
        <v>17163</v>
      </c>
      <c r="B17163" s="2" t="str">
        <f>IFERROR(__xludf.DUMMYFUNCTION("GOOGLETRANSLATE(A17163, ""en"", ""mt"")"),"Inugwaljanza għolja")</f>
        <v>Inugwaljanza għolja</v>
      </c>
    </row>
    <row r="17164" ht="15.75" customHeight="1">
      <c r="A17164" s="2" t="s">
        <v>17164</v>
      </c>
      <c r="B17164" s="2" t="str">
        <f>IFERROR(__xludf.DUMMYFUNCTION("GOOGLETRANSLATE(A17164, ""en"", ""mt"")"),"isegwi l-istess proċeduri bħal għal rapporti ta 'valutazzjoni tal-IPCC")</f>
        <v>isegwi l-istess proċeduri bħal għal rapporti ta 'valutazzjoni tal-IPCC</v>
      </c>
    </row>
    <row r="17165" ht="15.75" customHeight="1">
      <c r="A17165" s="2" t="s">
        <v>17165</v>
      </c>
      <c r="B17165" s="2" t="str">
        <f>IFERROR(__xludf.DUMMYFUNCTION("GOOGLETRANSLATE(A17165, ""en"", ""mt"")"),"f'nofs is-seklu 18")</f>
        <v>f'nofs is-seklu 18</v>
      </c>
    </row>
    <row r="17166" ht="15.75" customHeight="1">
      <c r="A17166" s="2" t="s">
        <v>17166</v>
      </c>
      <c r="B17166" s="2" t="str">
        <f>IFERROR(__xludf.DUMMYFUNCTION("GOOGLETRANSLATE(A17166, ""en"", ""mt"")"),"imperjalista")</f>
        <v>imperjalista</v>
      </c>
    </row>
    <row r="17167" ht="15.75" customHeight="1">
      <c r="A17167" s="2" t="s">
        <v>17167</v>
      </c>
      <c r="B17167" s="2" t="str">
        <f>IFERROR(__xludf.DUMMYFUNCTION("GOOGLETRANSLATE(A17167, ""en"", ""mt"")"),"9.81 metri kull sekonda")</f>
        <v>9.81 metri kull sekonda</v>
      </c>
    </row>
    <row r="17168" ht="15.75" customHeight="1">
      <c r="A17168" s="2" t="s">
        <v>17168</v>
      </c>
      <c r="B17168" s="2" t="str">
        <f>IFERROR(__xludf.DUMMYFUNCTION("GOOGLETRANSLATE(A17168, ""en"", ""mt"")"),"gwardja kontra gruppi armati")</f>
        <v>gwardja kontra gruppi armati</v>
      </c>
    </row>
    <row r="17169" ht="15.75" customHeight="1">
      <c r="A17169" s="2" t="s">
        <v>17169</v>
      </c>
      <c r="B17169" s="2" t="str">
        <f>IFERROR(__xludf.DUMMYFUNCTION("GOOGLETRANSLATE(A17169, ""en"", ""mt"")"),"X'jista 'jikkawża varjazzjonijiet fil-produzzjoni tal-qamħ?")</f>
        <v>X'jista 'jikkawża varjazzjonijiet fil-produzzjoni tal-qamħ?</v>
      </c>
    </row>
    <row r="17170" ht="15.75" customHeight="1">
      <c r="A17170" s="2" t="s">
        <v>17170</v>
      </c>
      <c r="B17170" s="2" t="str">
        <f>IFERROR(__xludf.DUMMYFUNCTION("GOOGLETRANSLATE(A17170, ""en"", ""mt"")"),"Fil-missjonijiet taż-żamma tal-paċi madwar id-dinja")</f>
        <v>Fil-missjonijiet taż-żamma tal-paċi madwar id-dinja</v>
      </c>
    </row>
    <row r="17171" ht="15.75" customHeight="1">
      <c r="A17171" s="2" t="s">
        <v>17171</v>
      </c>
      <c r="B17171" s="2" t="str">
        <f>IFERROR(__xludf.DUMMYFUNCTION("GOOGLETRANSLATE(A17171, ""en"", ""mt"")"),"Fl-1949, l-UPT ġie mġiegħel isir entità indipendenti minn min?")</f>
        <v>Fl-1949, l-UPT ġie mġiegħel isir entità indipendenti minn min?</v>
      </c>
    </row>
    <row r="17172" ht="15.75" customHeight="1">
      <c r="A17172" s="2" t="s">
        <v>17172</v>
      </c>
      <c r="B17172" s="2" t="str">
        <f>IFERROR(__xludf.DUMMYFUNCTION("GOOGLETRANSLATE(A17172, ""en"", ""mt"")"),"Għandha problemi biex taqsam il-membrani biex tasal fejn hemm bżonn")</f>
        <v>Għandha problemi biex taqsam il-membrani biex tasal fejn hemm bżonn</v>
      </c>
    </row>
    <row r="17173" ht="15.75" customHeight="1">
      <c r="A17173" s="2" t="s">
        <v>17173</v>
      </c>
      <c r="B17173" s="2" t="str">
        <f>IFERROR(__xludf.DUMMYFUNCTION("GOOGLETRANSLATE(A17173, ""en"", ""mt"")"),"Fejn skont il-prodott tal-istat gross il-Victoria tikklassifika fl-Awstralja?")</f>
        <v>Fejn skont il-prodott tal-istat gross il-Victoria tikklassifika fl-Awstralja?</v>
      </c>
    </row>
    <row r="17174" ht="15.75" customHeight="1">
      <c r="A17174" s="2" t="s">
        <v>17174</v>
      </c>
      <c r="B17174" s="2" t="str">
        <f>IFERROR(__xludf.DUMMYFUNCTION("GOOGLETRANSLATE(A17174, ""en"", ""mt"")"),"mitħna tad-dqiq")</f>
        <v>mitħna tad-dqiq</v>
      </c>
    </row>
    <row r="17175" ht="15.75" customHeight="1">
      <c r="A17175" s="2" t="s">
        <v>17175</v>
      </c>
      <c r="B17175" s="2" t="str">
        <f>IFERROR(__xludf.DUMMYFUNCTION("GOOGLETRANSLATE(A17175, ""en"", ""mt"")"),"Liema funzjoni tintuża minn algoritmi biex tiddefinixxi kejl bħall-ħin jew l-ispazju?")</f>
        <v>Liema funzjoni tintuża minn algoritmi biex tiddefinixxi kejl bħall-ħin jew l-ispazju?</v>
      </c>
    </row>
    <row r="17176" ht="15.75" customHeight="1">
      <c r="A17176" s="2" t="s">
        <v>17176</v>
      </c>
      <c r="B17176" s="2" t="str">
        <f>IFERROR(__xludf.DUMMYFUNCTION("GOOGLETRANSLATE(A17176, ""en"", ""mt"")"),"Professjonist tal-Kura tas-Saħħa")</f>
        <v>Professjonist tal-Kura tas-Saħħa</v>
      </c>
    </row>
    <row r="17177" ht="15.75" customHeight="1">
      <c r="A17177" s="2" t="s">
        <v>17177</v>
      </c>
      <c r="B17177" s="2" t="str">
        <f>IFERROR(__xludf.DUMMYFUNCTION("GOOGLETRANSLATE(A17177, ""en"", ""mt"")"),"Telnet uża liema teknoloġija tal-interface")</f>
        <v>Telnet uża liema teknoloġija tal-interface</v>
      </c>
    </row>
    <row r="17178" ht="15.75" customHeight="1">
      <c r="A17178" s="2" t="s">
        <v>17178</v>
      </c>
      <c r="B17178" s="2" t="str">
        <f>IFERROR(__xludf.DUMMYFUNCTION("GOOGLETRANSLATE(A17178, ""en"", ""mt"")"),"Qoxra tal-bokkaporti tal-Blokk I tal-plug")</f>
        <v>Qoxra tal-bokkaporti tal-Blokk I tal-plug</v>
      </c>
    </row>
    <row r="17179" ht="15.75" customHeight="1">
      <c r="A17179" s="2" t="s">
        <v>17179</v>
      </c>
      <c r="B17179" s="2" t="str">
        <f>IFERROR(__xludf.DUMMYFUNCTION("GOOGLETRANSLATE(A17179, ""en"", ""mt"")"),"Rxoxt")</f>
        <v>Rxoxt</v>
      </c>
    </row>
    <row r="17180" ht="15.75" customHeight="1">
      <c r="A17180" s="2" t="s">
        <v>17180</v>
      </c>
      <c r="B17180" s="2" t="str">
        <f>IFERROR(__xludf.DUMMYFUNCTION("GOOGLETRANSLATE(A17180, ""en"", ""mt"")"),"1870s")</f>
        <v>1870s</v>
      </c>
    </row>
    <row r="17181" ht="15.75" customHeight="1">
      <c r="A17181" s="2" t="s">
        <v>17181</v>
      </c>
      <c r="B17181" s="2" t="str">
        <f>IFERROR(__xludf.DUMMYFUNCTION("GOOGLETRANSLATE(A17181, ""en"", ""mt"")"),"Bħala riżultat tar-Rivoluzzjoni Amerikana,")</f>
        <v>Bħala riżultat tar-Rivoluzzjoni Amerikana,</v>
      </c>
    </row>
    <row r="17182" ht="15.75" customHeight="1">
      <c r="A17182" s="2" t="s">
        <v>17182</v>
      </c>
      <c r="B17182" s="2" t="str">
        <f>IFERROR(__xludf.DUMMYFUNCTION("GOOGLETRANSLATE(A17182, ""en"", ""mt"")"),"Waħda mill-funzjonijiet ewlenin tal-kloroplast hija r-rwol tagħha fil-fotosintesi, il-proċess li bih id-dawl jiġi trasformat f'enerġija kimika, biex sussegwentement jipproduċi ikel fil-forma ta 'zokkor. L-ilma (H2O) u d-dijossidu tal-karbonju (CO2) jintuż"&amp;"aw fil-fotosintesi, u z-zokkor u l-ossiġenu (O2) huwa magħmul, bl-użu ta 'enerġija ħafifa. Il-fotosintesi hija maqsuma f'żewġ stadji - ir-reazzjonijiet ħfief, fejn l-ilma huwa maqsum biex jipproduċi ossiġnu, u r-reazzjonijiet skuri, jew iċ-ċiklu ta 'Calvi"&amp;"n, li jibni molekuli taz-zokkor mid-dijossidu tal-karbonju. Iż-żewġ fażijiet huma marbuta mit-trasportaturi tal-enerġija adenosine trifosfat (ATP) u n-nikotinamide adenine dinucleotide fosfat (NADP +).")</f>
        <v>Waħda mill-funzjonijiet ewlenin tal-kloroplast hija r-rwol tagħha fil-fotosintesi, il-proċess li bih id-dawl jiġi trasformat f'enerġija kimika, biex sussegwentement jipproduċi ikel fil-forma ta 'zokkor. L-ilma (H2O) u d-dijossidu tal-karbonju (CO2) jintużaw fil-fotosintesi, u z-zokkor u l-ossiġenu (O2) huwa magħmul, bl-użu ta 'enerġija ħafifa. Il-fotosintesi hija maqsuma f'żewġ stadji - ir-reazzjonijiet ħfief, fejn l-ilma huwa maqsum biex jipproduċi ossiġnu, u r-reazzjonijiet skuri, jew iċ-ċiklu ta 'Calvin, li jibni molekuli taz-zokkor mid-dijossidu tal-karbonju. Iż-żewġ fażijiet huma marbuta mit-trasportaturi tal-enerġija adenosine trifosfat (ATP) u n-nikotinamide adenine dinucleotide fosfat (NADP +).</v>
      </c>
    </row>
    <row r="17183" ht="15.75" customHeight="1">
      <c r="A17183" s="2" t="s">
        <v>17183</v>
      </c>
      <c r="B17183" s="2" t="str">
        <f>IFERROR(__xludf.DUMMYFUNCTION("GOOGLETRANSLATE(A17183, ""en"", ""mt"")"),"X'inhu, aktar milli l-Iżlamiżmu, teħtieġ spjegazzjoni?")</f>
        <v>X'inhu, aktar milli l-Iżlamiżmu, teħtieġ spjegazzjoni?</v>
      </c>
    </row>
    <row r="17184" ht="15.75" customHeight="1">
      <c r="A17184" s="2" t="s">
        <v>17184</v>
      </c>
      <c r="B17184" s="2" t="str">
        <f>IFERROR(__xludf.DUMMYFUNCTION("GOOGLETRANSLATE(A17184, ""en"", ""mt"")"),"MHC waħda: molekula ta 'antiġen")</f>
        <v>MHC waħda: molekula ta 'antiġen</v>
      </c>
    </row>
    <row r="17185" ht="15.75" customHeight="1">
      <c r="A17185" s="2" t="s">
        <v>17185</v>
      </c>
      <c r="B17185" s="2" t="str">
        <f>IFERROR(__xludf.DUMMYFUNCTION("GOOGLETRANSLATE(A17185, ""en"", ""mt"")"),"Liema president huwa kkreditat bil-kunċett oriġinali li jpoġġi lill-Amerikani fl-ispazju?")</f>
        <v>Liema president huwa kkreditat bil-kunċett oriġinali li jpoġġi lill-Amerikani fl-ispazju?</v>
      </c>
    </row>
    <row r="17186" ht="15.75" customHeight="1">
      <c r="A17186" s="2" t="s">
        <v>17186</v>
      </c>
      <c r="B17186" s="2" t="str">
        <f>IFERROR(__xludf.DUMMYFUNCTION("GOOGLETRANSLATE(A17186, ""en"", ""mt"")"),"X’jidfu l-forom reattivi ta ’ossiġnu fl-organiżmi?")</f>
        <v>X’jidfu l-forom reattivi ta ’ossiġnu fl-organiżmi?</v>
      </c>
    </row>
    <row r="17187" ht="15.75" customHeight="1">
      <c r="A17187" s="2" t="s">
        <v>17187</v>
      </c>
      <c r="B17187" s="2" t="str">
        <f>IFERROR(__xludf.DUMMYFUNCTION("GOOGLETRANSLATE(A17187, ""en"", ""mt"")"),"Katekiżmu żgħir")</f>
        <v>Katekiżmu żgħir</v>
      </c>
    </row>
    <row r="17188" ht="15.75" customHeight="1">
      <c r="A17188" s="2" t="s">
        <v>17188</v>
      </c>
      <c r="B17188" s="2" t="str">
        <f>IFERROR(__xludf.DUMMYFUNCTION("GOOGLETRANSLATE(A17188, ""en"", ""mt"")"),"L-università esperjenzat is-sehem tagħha ta 'inkwiet ta' studenti matul is-snin 1960, li bdiet fl-1962, meta l-istudenti okkupaw l-uffiċċju tal-President George Beadle fi protesta fuq il-politiki ta 'kiri ta' kampus barra mill-kampus. Wara t-taqlib kontin"&amp;"wu, kumitat universitarju fl-1967 ħareġ dak li sar magħruf bħala r-Rapport Kalven. Ir-rapport, dikjarazzjoni ta 'żewġ paġni tal-politika tal-università f' ""azzjoni soċjali u politika,"" iddikjara li ""biex twettaq il-missjoni tagħha fis-soċjetà, universi"&amp;"tà trid issostni ambjent straordinarju ta 'libertà ta' inkjesta u żżomm indipendenza mill-moda politika, passjonijiet, u pressjonijiet. "" Ir-rapport minn dakinhar intuża biex jiġġustifika deċiżjonijiet bħar-rifjut tal-università li jinvesti mill-Afrika t"&amp;"'Isfel fis-snin 80 u d-Darfur fl-aħħar tas-snin 2000.")</f>
        <v>L-università esperjenzat is-sehem tagħha ta 'inkwiet ta' studenti matul is-snin 1960, li bdiet fl-1962, meta l-istudenti okkupaw l-uffiċċju tal-President George Beadle fi protesta fuq il-politiki ta 'kiri ta' kampus barra mill-kampus. Wara t-taqlib kontinwu, kumitat universitarju fl-1967 ħareġ dak li sar magħruf bħala r-Rapport Kalven. Ir-rapport, dikjarazzjoni ta 'żewġ paġni tal-politika tal-università f' "azzjoni soċjali u politika," iddikjara li "biex twettaq il-missjoni tagħha fis-soċjetà, università trid issostni ambjent straordinarju ta 'libertà ta' inkjesta u żżomm indipendenza mill-moda politika, passjonijiet, u pressjonijiet. " Ir-rapport minn dakinhar intuża biex jiġġustifika deċiżjonijiet bħar-rifjut tal-università li jinvesti mill-Afrika t'Isfel fis-snin 80 u d-Darfur fl-aħħar tas-snin 2000.</v>
      </c>
    </row>
    <row r="17189" ht="15.75" customHeight="1">
      <c r="A17189" s="2" t="s">
        <v>17189</v>
      </c>
      <c r="B17189" s="2" t="str">
        <f>IFERROR(__xludf.DUMMYFUNCTION("GOOGLETRANSLATE(A17189, ""en"", ""mt"")"),"Anke qabel il-konkwista Norman tal-Ingilterra, in-Normanni ġew f'kuntatt ma 'Wales. Edward il-konfessur waqqaf lil Ralph imsemmi hawn fuq bħala Earl of Hereford u akkużah li jiddefendi l-marċi u jiġġieled mal-Welsh. F’dawn l-impriżi oriġinali, in-Normanni"&amp;" naqsu milli jagħmlu l-ebda pass f’Wales.")</f>
        <v>Anke qabel il-konkwista Norman tal-Ingilterra, in-Normanni ġew f'kuntatt ma 'Wales. Edward il-konfessur waqqaf lil Ralph imsemmi hawn fuq bħala Earl of Hereford u akkużah li jiddefendi l-marċi u jiġġieled mal-Welsh. F’dawn l-impriżi oriġinali, in-Normanni naqsu milli jagħmlu l-ebda pass f’Wales.</v>
      </c>
    </row>
    <row r="17190" ht="15.75" customHeight="1">
      <c r="A17190" s="2" t="s">
        <v>17190</v>
      </c>
      <c r="B17190" s="2" t="str">
        <f>IFERROR(__xludf.DUMMYFUNCTION("GOOGLETRANSLATE(A17190, ""en"", ""mt"")"),"Xlokk")</f>
        <v>Xlokk</v>
      </c>
    </row>
    <row r="17191" ht="15.75" customHeight="1">
      <c r="A17191" s="2" t="s">
        <v>17191</v>
      </c>
      <c r="B17191" s="2" t="str">
        <f>IFERROR(__xludf.DUMMYFUNCTION("GOOGLETRANSLATE(A17191, ""en"", ""mt"")"),"Fuq liema kopertura tar-rivista dehret Tesla fl-1931")</f>
        <v>Fuq liema kopertura tar-rivista dehret Tesla fl-1931</v>
      </c>
    </row>
    <row r="17192" ht="15.75" customHeight="1">
      <c r="A17192" s="2" t="s">
        <v>17192</v>
      </c>
      <c r="B17192" s="2" t="str">
        <f>IFERROR(__xludf.DUMMYFUNCTION("GOOGLETRANSLATE(A17192, ""en"", ""mt"")"),"L-ewwel nofs tas-seklu tmintax")</f>
        <v>L-ewwel nofs tas-seklu tmintax</v>
      </c>
    </row>
    <row r="17193" ht="15.75" customHeight="1">
      <c r="A17193" s="2" t="s">
        <v>17193</v>
      </c>
      <c r="B17193" s="2" t="str">
        <f>IFERROR(__xludf.DUMMYFUNCTION("GOOGLETRANSLATE(A17193, ""en"", ""mt"")"),"diffiċli għall-predaturi biex jevolvu li jistgħu jispeċjalizzaw bħala predaturi fuq magicicadas")</f>
        <v>diffiċli għall-predaturi biex jevolvu li jistgħu jispeċjalizzaw bħala predaturi fuq magicicadas</v>
      </c>
    </row>
    <row r="17194" ht="15.75" customHeight="1">
      <c r="A17194" s="2" t="s">
        <v>17194</v>
      </c>
      <c r="B17194" s="2" t="str">
        <f>IFERROR(__xludf.DUMMYFUNCTION("GOOGLETRANSLATE(A17194, ""en"", ""mt"")"),"X'għandu l-affext tal-mekkanika ta 'Newton?")</f>
        <v>X'għandu l-affext tal-mekkanika ta 'Newton?</v>
      </c>
    </row>
    <row r="17195" ht="15.75" customHeight="1">
      <c r="A17195" s="2" t="s">
        <v>17195</v>
      </c>
      <c r="B17195" s="2" t="str">
        <f>IFERROR(__xludf.DUMMYFUNCTION("GOOGLETRANSLATE(A17195, ""en"", ""mt"")"),"Il-politekniċi saru universitajiet ġodda")</f>
        <v>Il-politekniċi saru universitajiet ġodda</v>
      </c>
    </row>
    <row r="17196" ht="15.75" customHeight="1">
      <c r="A17196" s="2" t="s">
        <v>17196</v>
      </c>
      <c r="B17196" s="2" t="str">
        <f>IFERROR(__xludf.DUMMYFUNCTION("GOOGLETRANSLATE(A17196, ""en"", ""mt"")"),"bagħat numru żgħir ta 'kolonizzaturi lill-kolonji tiegħu")</f>
        <v>bagħat numru żgħir ta 'kolonizzaturi lill-kolonji tiegħu</v>
      </c>
    </row>
    <row r="17197" ht="15.75" customHeight="1">
      <c r="A17197" s="2" t="s">
        <v>17197</v>
      </c>
      <c r="B17197" s="2" t="str">
        <f>IFERROR(__xludf.DUMMYFUNCTION("GOOGLETRANSLATE(A17197, ""en"", ""mt"")"),"komunement preżenti")</f>
        <v>komunement preżenti</v>
      </c>
    </row>
    <row r="17198" ht="15.75" customHeight="1">
      <c r="A17198" s="2" t="s">
        <v>17198</v>
      </c>
      <c r="B17198" s="2" t="str">
        <f>IFERROR(__xludf.DUMMYFUNCTION("GOOGLETRANSLATE(A17198, ""en"", ""mt"")"),"Enerġija mill-joni tal-idroġenu li jiċċirkolaw")</f>
        <v>Enerġija mill-joni tal-idroġenu li jiċċirkolaw</v>
      </c>
    </row>
    <row r="17199" ht="15.75" customHeight="1">
      <c r="A17199" s="2" t="s">
        <v>17199</v>
      </c>
      <c r="B17199" s="2" t="str">
        <f>IFERROR(__xludf.DUMMYFUNCTION("GOOGLETRANSLATE(A17199, ""en"", ""mt"")"),"Il-kastig ta ’Alla")</f>
        <v>Il-kastig ta ’Alla</v>
      </c>
    </row>
    <row r="17200" ht="15.75" customHeight="1">
      <c r="A17200" s="2" t="s">
        <v>17200</v>
      </c>
      <c r="B17200" s="2" t="str">
        <f>IFERROR(__xludf.DUMMYFUNCTION("GOOGLETRANSLATE(A17200, ""en"", ""mt"")"),"Harvard_Università")</f>
        <v>Harvard_Università</v>
      </c>
    </row>
    <row r="17201" ht="15.75" customHeight="1">
      <c r="A17201" s="2" t="s">
        <v>17201</v>
      </c>
      <c r="B17201" s="2" t="str">
        <f>IFERROR(__xludf.DUMMYFUNCTION("GOOGLETRANSLATE(A17201, ""en"", ""mt"")"),"Min jista 'wkoll jissottometti kontijiet privati ​​fil-Parlament?")</f>
        <v>Min jista 'wkoll jissottometti kontijiet privati ​​fil-Parlament?</v>
      </c>
    </row>
    <row r="17202" ht="15.75" customHeight="1">
      <c r="A17202" s="2" t="s">
        <v>17202</v>
      </c>
      <c r="B17202" s="2" t="str">
        <f>IFERROR(__xludf.DUMMYFUNCTION("GOOGLETRANSLATE(A17202, ""en"", ""mt"")"),"X'kienet il-filosofija ta 'programmazzjoni pijuniera minn ABC u Goldenson?")</f>
        <v>X'kienet il-filosofija ta 'programmazzjoni pijuniera minn ABC u Goldenson?</v>
      </c>
    </row>
    <row r="17203" ht="15.75" customHeight="1">
      <c r="A17203" s="2" t="s">
        <v>17203</v>
      </c>
      <c r="B17203" s="2" t="str">
        <f>IFERROR(__xludf.DUMMYFUNCTION("GOOGLETRANSLATE(A17203, ""en"", ""mt"")"),"Liema oqsma żdiedu fl-influwenza fuq l-ispiżerija fl-Istati Uniti?")</f>
        <v>Liema oqsma żdiedu fl-influwenza fuq l-ispiżerija fl-Istati Uniti?</v>
      </c>
    </row>
    <row r="17204" ht="15.75" customHeight="1">
      <c r="A17204" s="2" t="s">
        <v>17204</v>
      </c>
      <c r="B17204" s="2" t="str">
        <f>IFERROR(__xludf.DUMMYFUNCTION("GOOGLETRANSLATE(A17204, ""en"", ""mt"")"),"Diversità kulturali rikka żviluppata matul id-dinastija Yuan. Il-kisbiet kulturali ewlenin kienu l-iżvilupp tad-drama u r-rumanz u l-użu akbar tal-vernakolari bil-miktub. L-għaqda politika taċ-Ċina u ħafna mill-Asja Ċentrali ppromwovew il-kummerċ bejn il-"&amp;"Lvant u l-Punent. Il-kuntatti estensivi ta 'l-Asja tal-Punent u Ewropej tal-Mongoli pproduċew ammont ġust ta' skambju kulturali. Il-kulturi u l-popli l-oħra fl-Imperu Dinji tal-Mongolja influwenzaw ukoll ħafna ċ-Ċina. Huwa kien taffew b'mod sinifikanti l-"&amp;"kummerċ u l-kummerċ madwar l-Asja sat-tnaqqis tiegħu; Il-komunikazzjonijiet bejn id-dinastija Yuan u l-alleat tagħha u s-subordinati fil-Persja, il-Ilkhanate, ħeġġew dan l-iżvilupp. Il-Buddiżmu kellu influwenza kbira fil-gvern tal-Yuan, u l-Buddiżmu Tantr"&amp;"iku tar-Rit Tibetan kien influwenza b'mod sinifikanti liċ-Ċina matul dan il-perjodu. Il-Musulmani tad-dinastija Yuan introduċew kartografija tal-Lvant Nofsani, astronomija, mediċina, ħwejjeġ, u dieta fl-Asja tal-Lvant. Uċuħ tal-Lvant bħal karrotti, nevew,"&amp;" varjetajiet ġodda ta 'lumi, brunġiel u bettieħ, zokkor granulat ta' kwalità għolja, u l-qoton kienu kollha jew introdotti jew popolarizzati b'suċċess matul id-dinastija Yuan.")</f>
        <v>Diversità kulturali rikka żviluppata matul id-dinastija Yuan. Il-kisbiet kulturali ewlenin kienu l-iżvilupp tad-drama u r-rumanz u l-użu akbar tal-vernakolari bil-miktub. L-għaqda politika taċ-Ċina u ħafna mill-Asja Ċentrali ppromwovew il-kummerċ bejn il-Lvant u l-Punent. Il-kuntatti estensivi ta 'l-Asja tal-Punent u Ewropej tal-Mongoli pproduċew ammont ġust ta' skambju kulturali. Il-kulturi u l-popli l-oħra fl-Imperu Dinji tal-Mongolja influwenzaw ukoll ħafna ċ-Ċina. Huwa kien taffew b'mod sinifikanti l-kummerċ u l-kummerċ madwar l-Asja sat-tnaqqis tiegħu; Il-komunikazzjonijiet bejn id-dinastija Yuan u l-alleat tagħha u s-subordinati fil-Persja, il-Ilkhanate, ħeġġew dan l-iżvilupp. Il-Buddiżmu kellu influwenza kbira fil-gvern tal-Yuan, u l-Buddiżmu Tantriku tar-Rit Tibetan kien influwenza b'mod sinifikanti liċ-Ċina matul dan il-perjodu. Il-Musulmani tad-dinastija Yuan introduċew kartografija tal-Lvant Nofsani, astronomija, mediċina, ħwejjeġ, u dieta fl-Asja tal-Lvant. Uċuħ tal-Lvant bħal karrotti, nevew, varjetajiet ġodda ta 'lumi, brunġiel u bettieħ, zokkor granulat ta' kwalità għolja, u l-qoton kienu kollha jew introdotti jew popolarizzati b'suċċess matul id-dinastija Yuan.</v>
      </c>
    </row>
    <row r="17205" ht="15.75" customHeight="1">
      <c r="A17205" s="2" t="s">
        <v>17205</v>
      </c>
      <c r="B17205" s="2" t="str">
        <f>IFERROR(__xludf.DUMMYFUNCTION("GOOGLETRANSLATE(A17205, ""en"", ""mt"")"),"Kif is-soċjetajiet ġeografiċi fl-Ewropa kif jappoġġjaw ċerti vjaġġaturi?")</f>
        <v>Kif is-soċjetajiet ġeografiċi fl-Ewropa kif jappoġġjaw ċerti vjaġġaturi?</v>
      </c>
    </row>
    <row r="17206" ht="15.75" customHeight="1">
      <c r="A17206" s="2" t="s">
        <v>17206</v>
      </c>
      <c r="B17206" s="2" t="str">
        <f>IFERROR(__xludf.DUMMYFUNCTION("GOOGLETRANSLATE(A17206, ""en"", ""mt"")"),"Forza nukleari.")</f>
        <v>Forza nukleari.</v>
      </c>
    </row>
    <row r="17207" ht="15.75" customHeight="1">
      <c r="A17207" s="2" t="s">
        <v>17207</v>
      </c>
      <c r="B17207" s="2" t="str">
        <f>IFERROR(__xludf.DUMMYFUNCTION("GOOGLETRANSLATE(A17207, ""en"", ""mt"")"),"Studjużi ġeografiċi")</f>
        <v>Studjużi ġeografiċi</v>
      </c>
    </row>
    <row r="17208" ht="15.75" customHeight="1">
      <c r="A17208" s="2" t="s">
        <v>17208</v>
      </c>
      <c r="B17208" s="2" t="str">
        <f>IFERROR(__xludf.DUMMYFUNCTION("GOOGLETRANSLATE(A17208, ""en"", ""mt"")"),"""Blue Harvest"" u ""420""")</f>
        <v>"Blue Harvest" u "420"</v>
      </c>
    </row>
    <row r="17209" ht="15.75" customHeight="1">
      <c r="A17209" s="2" t="s">
        <v>17209</v>
      </c>
      <c r="B17209" s="2" t="str">
        <f>IFERROR(__xludf.DUMMYFUNCTION("GOOGLETRANSLATE(A17209, ""en"", ""mt"")"),"Stat tas-saħħa tal-pjanti")</f>
        <v>Stat tas-saħħa tal-pjanti</v>
      </c>
    </row>
    <row r="17210" ht="15.75" customHeight="1">
      <c r="A17210" s="2" t="s">
        <v>17210</v>
      </c>
      <c r="B17210" s="2" t="str">
        <f>IFERROR(__xludf.DUMMYFUNCTION("GOOGLETRANSLATE(A17210, ""en"", ""mt"")"),"Fuq liema kienet il-Mewt l-Iswed oriġinarjament akkużat?")</f>
        <v>Fuq liema kienet il-Mewt l-Iswed oriġinarjament akkużat?</v>
      </c>
    </row>
    <row r="17211" ht="15.75" customHeight="1">
      <c r="A17211" s="2" t="s">
        <v>17211</v>
      </c>
      <c r="B17211" s="2" t="str">
        <f>IFERROR(__xludf.DUMMYFUNCTION("GOOGLETRANSLATE(A17211, ""en"", ""mt"")"),"Ġebel tal-kliewi u tal-bużżieqa")</f>
        <v>Ġebel tal-kliewi u tal-bużżieqa</v>
      </c>
    </row>
    <row r="17212" ht="15.75" customHeight="1">
      <c r="A17212" s="2" t="s">
        <v>17212</v>
      </c>
      <c r="B17212" s="2" t="str">
        <f>IFERROR(__xludf.DUMMYFUNCTION("GOOGLETRANSLATE(A17212, ""en"", ""mt"")"),"X'jistgħu ġurati simpatetiċi f'każijiet ma 'diżubbidjenti ċivili?")</f>
        <v>X'jistgħu ġurati simpatetiċi f'każijiet ma 'diżubbidjenti ċivili?</v>
      </c>
    </row>
    <row r="17213" ht="15.75" customHeight="1">
      <c r="A17213" s="2" t="s">
        <v>17213</v>
      </c>
      <c r="B17213" s="2" t="str">
        <f>IFERROR(__xludf.DUMMYFUNCTION("GOOGLETRANSLATE(A17213, ""en"", ""mt"")"),"Kunsill Ewropew")</f>
        <v>Kunsill Ewropew</v>
      </c>
    </row>
    <row r="17214" ht="15.75" customHeight="1">
      <c r="A17214" s="2" t="s">
        <v>17214</v>
      </c>
      <c r="B17214" s="2" t="str">
        <f>IFERROR(__xludf.DUMMYFUNCTION("GOOGLETRANSLATE(A17214, ""en"", ""mt"")"),"leġittimità ta 'liġi partikolari")</f>
        <v>leġittimità ta 'liġi partikolari</v>
      </c>
    </row>
    <row r="17215" ht="15.75" customHeight="1">
      <c r="A17215" s="2" t="s">
        <v>17215</v>
      </c>
      <c r="B17215" s="2" t="str">
        <f>IFERROR(__xludf.DUMMYFUNCTION("GOOGLETRANSLATE(A17215, ""en"", ""mt"")"),"Suleiman il-magnífico")</f>
        <v>Suleiman il-magnífico</v>
      </c>
    </row>
    <row r="17216" ht="15.75" customHeight="1">
      <c r="A17216" s="2" t="s">
        <v>17216</v>
      </c>
      <c r="B17216" s="2" t="str">
        <f>IFERROR(__xludf.DUMMYFUNCTION("GOOGLETRANSLATE(A17216, ""en"", ""mt"")"),"F’Ottubru 2010, il-ġurnal xjentifiku b’aċċess miftuħ PLOS PATHOGENS ippubblika dokument minn tim multinazzjonali li wettaq investigazzjoni ġdida dwar ir-rwol ta ’Yersinia pestis fil-mewt sewda wara l-identifikazzjoni kkontestata minn Drancourt u Raoult fl"&amp;"-1998. Huma evalwaw il-preżenza ta’ DNA / RNA b'tekniki ta 'reazzjoni fil-katina tal-polimerażi (PCR) għal Y. pestis mis-sokits tas-snien fl-iskeletri umani mill-oqbra tal-massa fit-tramuntana, l-Ewropa ċentrali u fin-nofsinhar li kienu assoċjati arkeoloġ"&amp;"ikament mal-mewt sewda u r-qawmien mill-ġdid sussegwenti. L-awturi kkonkludew li din ir-riċerka l-ġdida, flimkien ma 'analiżi minn qabel min-nofsinhar ta' Franza u l-Ġermanja, ""... itemm id-dibattitu dwar l-etjoloġija tal-mewt sewda, u mingħajr ambigwità"&amp;" turi li Y. pestis kien l-aġent kawżattiv tal-pesta epidemika dik ħerba l-Ewropa matul il-Medju Evu "".")</f>
        <v>F’Ottubru 2010, il-ġurnal xjentifiku b’aċċess miftuħ PLOS PATHOGENS ippubblika dokument minn tim multinazzjonali li wettaq investigazzjoni ġdida dwar ir-rwol ta ’Yersinia pestis fil-mewt sewda wara l-identifikazzjoni kkontestata minn Drancourt u Raoult fl-1998. Huma evalwaw il-preżenza ta’ DNA / RNA b'tekniki ta 'reazzjoni fil-katina tal-polimerażi (PCR) għal Y. pestis mis-sokits tas-snien fl-iskeletri umani mill-oqbra tal-massa fit-tramuntana, l-Ewropa ċentrali u fin-nofsinhar li kienu assoċjati arkeoloġikament mal-mewt sewda u r-qawmien mill-ġdid sussegwenti. L-awturi kkonkludew li din ir-riċerka l-ġdida, flimkien ma 'analiżi minn qabel min-nofsinhar ta' Franza u l-Ġermanja, "... itemm id-dibattitu dwar l-etjoloġija tal-mewt sewda, u mingħajr ambigwità turi li Y. pestis kien l-aġent kawżattiv tal-pesta epidemika dik ħerba l-Ewropa matul il-Medju Evu ".</v>
      </c>
    </row>
    <row r="17217" ht="15.75" customHeight="1">
      <c r="A17217" s="2" t="s">
        <v>17217</v>
      </c>
      <c r="B17217" s="2" t="str">
        <f>IFERROR(__xludf.DUMMYFUNCTION("GOOGLETRANSLATE(A17217, ""en"", ""mt"")"),"X’għamel pubblikament l-SNP dwar id-dħul taż-żejt?")</f>
        <v>X’għamel pubblikament l-SNP dwar id-dħul taż-żejt?</v>
      </c>
    </row>
    <row r="17218" ht="15.75" customHeight="1">
      <c r="A17218" s="2" t="s">
        <v>17218</v>
      </c>
      <c r="B17218" s="2" t="str">
        <f>IFERROR(__xludf.DUMMYFUNCTION("GOOGLETRANSLATE(A17218, ""en"", ""mt"")"),"Il-Qorti Ewropea tal-Ġustizzja")</f>
        <v>Il-Qorti Ewropea tal-Ġustizzja</v>
      </c>
    </row>
    <row r="17219" ht="15.75" customHeight="1">
      <c r="A17219" s="2" t="s">
        <v>17219</v>
      </c>
      <c r="B17219" s="2" t="str">
        <f>IFERROR(__xludf.DUMMYFUNCTION("GOOGLETRANSLATE(A17219, ""en"", ""mt"")"),"Nobbli tas-seklu 12/13")</f>
        <v>Nobbli tas-seklu 12/13</v>
      </c>
    </row>
    <row r="17220" ht="15.75" customHeight="1">
      <c r="A17220" s="2" t="s">
        <v>17220</v>
      </c>
      <c r="B17220" s="2" t="str">
        <f>IFERROR(__xludf.DUMMYFUNCTION("GOOGLETRANSLATE(A17220, ""en"", ""mt"")"),"Kolonja tal-Ġeorġja")</f>
        <v>Kolonja tal-Ġeorġja</v>
      </c>
    </row>
    <row r="17221" ht="15.75" customHeight="1">
      <c r="A17221" s="2" t="s">
        <v>17221</v>
      </c>
      <c r="B17221" s="2" t="str">
        <f>IFERROR(__xludf.DUMMYFUNCTION("GOOGLETRANSLATE(A17221, ""en"", ""mt"")"),"X'inhi l-membrana doppja tal-kloroplast kultant meta mqabbla ma '?")</f>
        <v>X'inhi l-membrana doppja tal-kloroplast kultant meta mqabbla ma '?</v>
      </c>
    </row>
    <row r="17222" ht="15.75" customHeight="1">
      <c r="A17222" s="2" t="s">
        <v>17222</v>
      </c>
      <c r="B17222" s="2" t="str">
        <f>IFERROR(__xludf.DUMMYFUNCTION("GOOGLETRANSLATE(A17222, ""en"", ""mt"")"),"Imperu Etjopjan")</f>
        <v>Imperu Etjopjan</v>
      </c>
    </row>
    <row r="17223" ht="15.75" customHeight="1">
      <c r="A17223" s="2" t="s">
        <v>17223</v>
      </c>
      <c r="B17223" s="2" t="str">
        <f>IFERROR(__xludf.DUMMYFUNCTION("GOOGLETRANSLATE(A17223, ""en"", ""mt"")"),"Deformazzjonali")</f>
        <v>Deformazzjonali</v>
      </c>
    </row>
    <row r="17224" ht="15.75" customHeight="1">
      <c r="A17224" s="2" t="s">
        <v>17224</v>
      </c>
      <c r="B17224" s="2" t="str">
        <f>IFERROR(__xludf.DUMMYFUNCTION("GOOGLETRANSLATE(A17224, ""en"", ""mt"")"),"Mill-kors naturali tax-xmara minħabba numru ta 'proġetti ta' kanalizzazzjoni kompluti fis-seklu 19 u 20")</f>
        <v>Mill-kors naturali tax-xmara minħabba numru ta 'proġetti ta' kanalizzazzjoni kompluti fis-seklu 19 u 20</v>
      </c>
    </row>
    <row r="17225" ht="15.75" customHeight="1">
      <c r="A17225" s="2" t="s">
        <v>17225</v>
      </c>
      <c r="B17225" s="2" t="str">
        <f>IFERROR(__xludf.DUMMYFUNCTION("GOOGLETRANSLATE(A17225, ""en"", ""mt"")"),"Il-Kurunell Monckton, fl-uniku suċċess Ingliż ta ’dik is-sena, qabad lil Fort Beauséjour f’Ġunju 1755, billi qata’ l-fortizza Franċiża fi Louisbourg barra minn rinforzi bbażati fuq l-art. Biex tnaqqas il-provvisti vitali lil Louisbourg, il-gvernatur tan-N"&amp;"ova Scotia Charles Lawrence ordna d-deportazzjoni tal-popolazzjoni Akkadjana li titkellem bil-Franċiż miż-żona. Il-forzi ta 'Monckton, inklużi kumpaniji ta' Rogers 'Rangers, neħħew bil-forza eluf ta' Akkadjani, jiġru wara ħafna li rreżistew, u xi kultant "&amp;"wettqu atroċitajiet. Aktar minn kwalunkwe fattur ieħor, il-qtugħ tal-provvisti lil Louisbourg wassal għall-mewt tiegħu. Ir-reżistenza Akkadjana, f'kunċert ma 'alleati indiġeni, inkluż il-Mi'kmaq, xi kultant kienet pjuttost iebsa, b'attakki tal-fruntiera k"&amp;"ontinwi (kontra Dartmouth u Lunenburg fost oħrajn). Minbarra l-kampanji biex jitkeċċew lill-Akkadjani (li jvarjaw madwar il-Bajja ta 'Fundy, fuq ix-Xmajjar Petitcodiac u San Ġwann, u l-Île Saint-Jean), l-uniċi ġlied ta' kull daqs kienu f'Petitodiac fl-175"&amp;"5 u fi Bloody Creek qrib Annapolis Royal fl-1757.")</f>
        <v>Il-Kurunell Monckton, fl-uniku suċċess Ingliż ta ’dik is-sena, qabad lil Fort Beauséjour f’Ġunju 1755, billi qata’ l-fortizza Franċiża fi Louisbourg barra minn rinforzi bbażati fuq l-art. Biex tnaqqas il-provvisti vitali lil Louisbourg, il-gvernatur tan-Nova Scotia Charles Lawrence ordna d-deportazzjoni tal-popolazzjoni Akkadjana li titkellem bil-Franċiż miż-żona. Il-forzi ta 'Monckton, inklużi kumpaniji ta' Rogers 'Rangers, neħħew bil-forza eluf ta' Akkadjani, jiġru wara ħafna li rreżistew, u xi kultant wettqu atroċitajiet. Aktar minn kwalunkwe fattur ieħor, il-qtugħ tal-provvisti lil Louisbourg wassal għall-mewt tiegħu. Ir-reżistenza Akkadjana, f'kunċert ma 'alleati indiġeni, inkluż il-Mi'kmaq, xi kultant kienet pjuttost iebsa, b'attakki tal-fruntiera kontinwi (kontra Dartmouth u Lunenburg fost oħrajn). Minbarra l-kampanji biex jitkeċċew lill-Akkadjani (li jvarjaw madwar il-Bajja ta 'Fundy, fuq ix-Xmajjar Petitcodiac u San Ġwann, u l-Île Saint-Jean), l-uniċi ġlied ta' kull daqs kienu f'Petitodiac fl-1755 u fi Bloody Creek qrib Annapolis Royal fl-1757.</v>
      </c>
    </row>
    <row r="17226" ht="15.75" customHeight="1">
      <c r="A17226" s="2" t="s">
        <v>17226</v>
      </c>
      <c r="B17226" s="2" t="str">
        <f>IFERROR(__xludf.DUMMYFUNCTION("GOOGLETRANSLATE(A17226, ""en"", ""mt"")"),"Upper Tana River, kif ukoll il-gorge Turkwel")</f>
        <v>Upper Tana River, kif ukoll il-gorge Turkwel</v>
      </c>
    </row>
    <row r="17227" ht="15.75" customHeight="1">
      <c r="A17227" s="2" t="s">
        <v>17227</v>
      </c>
      <c r="B17227" s="2" t="str">
        <f>IFERROR(__xludf.DUMMYFUNCTION("GOOGLETRANSLATE(A17227, ""en"", ""mt"")"),"Grad ta 'Baċellerat Post-Sekondarju")</f>
        <v>Grad ta 'Baċellerat Post-Sekondarju</v>
      </c>
    </row>
    <row r="17228" ht="15.75" customHeight="1">
      <c r="A17228" s="2" t="s">
        <v>17228</v>
      </c>
      <c r="B17228" s="2" t="str">
        <f>IFERROR(__xludf.DUMMYFUNCTION("GOOGLETRANSLATE(A17228, ""en"", ""mt"")"),"Ħafna marru Kuba,")</f>
        <v>Ħafna marru Kuba,</v>
      </c>
    </row>
    <row r="17229" ht="15.75" customHeight="1">
      <c r="A17229" s="2" t="s">
        <v>17229</v>
      </c>
      <c r="B17229" s="2" t="str">
        <f>IFERROR(__xludf.DUMMYFUNCTION("GOOGLETRANSLATE(A17229, ""en"", ""mt"")"),"żid")</f>
        <v>żid</v>
      </c>
    </row>
    <row r="17230" ht="15.75" customHeight="1">
      <c r="A17230" s="2" t="s">
        <v>17230</v>
      </c>
      <c r="B17230" s="2" t="str">
        <f>IFERROR(__xludf.DUMMYFUNCTION("GOOGLETRANSLATE(A17230, ""en"", ""mt"")"),"Għerf u prudenza ta 'ċerti deċiżjonijiet ta' akkwist")</f>
        <v>Għerf u prudenza ta 'ċerti deċiżjonijiet ta' akkwist</v>
      </c>
    </row>
    <row r="17231" ht="15.75" customHeight="1">
      <c r="A17231" s="2" t="s">
        <v>17231</v>
      </c>
      <c r="B17231" s="2" t="str">
        <f>IFERROR(__xludf.DUMMYFUNCTION("GOOGLETRANSLATE(A17231, ""en"", ""mt"")"),"Huwa rikonoxxut li rendikont epidemjoloġiku tal-pesta huwa importanti daqs identifikazzjoni tas-sintomi, iżda r-riċerkaturi huma mxekkla min-nuqqas ta 'statistika affidabbli minn dan il-perjodu. Il-biċċa l-kbira tax-xogħol sar fuq it-tixrid tal-pesta fl-I"&amp;"ngilterra, u anke stimi tal-popolazzjoni ġenerali fil-bidu jvarjaw b'aktar minn 100% peress li ma sar l-ebda ċensiment bejn iż-żmien tal-pubblikazzjoni tal-ktieb Domesday u s-sena 1377. Stimi tal-pesta Il-vittmi ġeneralment jiġu estrapolati minn figuri mi"&amp;"ll-kleru.")</f>
        <v>Huwa rikonoxxut li rendikont epidemjoloġiku tal-pesta huwa importanti daqs identifikazzjoni tas-sintomi, iżda r-riċerkaturi huma mxekkla min-nuqqas ta 'statistika affidabbli minn dan il-perjodu. Il-biċċa l-kbira tax-xogħol sar fuq it-tixrid tal-pesta fl-Ingilterra, u anke stimi tal-popolazzjoni ġenerali fil-bidu jvarjaw b'aktar minn 100% peress li ma sar l-ebda ċensiment bejn iż-żmien tal-pubblikazzjoni tal-ktieb Domesday u s-sena 1377. Stimi tal-pesta Il-vittmi ġeneralment jiġu estrapolati minn figuri mill-kleru.</v>
      </c>
    </row>
    <row r="17232" ht="15.75" customHeight="1">
      <c r="A17232" s="2" t="s">
        <v>17232</v>
      </c>
      <c r="B17232" s="2" t="str">
        <f>IFERROR(__xludf.DUMMYFUNCTION("GOOGLETRANSLATE(A17232, ""en"", ""mt"")"),"Fejn qed jaħdmu l-iktar tfal li jaħdmu?")</f>
        <v>Fejn qed jaħdmu l-iktar tfal li jaħdmu?</v>
      </c>
    </row>
    <row r="17233" ht="15.75" customHeight="1">
      <c r="A17233" s="2" t="s">
        <v>17233</v>
      </c>
      <c r="B17233" s="2" t="str">
        <f>IFERROR(__xludf.DUMMYFUNCTION("GOOGLETRANSLATE(A17233, ""en"", ""mt"")"),"Reżistenti għan-nixfa ħafna")</f>
        <v>Reżistenti għan-nixfa ħafna</v>
      </c>
    </row>
    <row r="17234" ht="15.75" customHeight="1">
      <c r="A17234" s="2" t="s">
        <v>17234</v>
      </c>
      <c r="B17234" s="2" t="str">
        <f>IFERROR(__xludf.DUMMYFUNCTION("GOOGLETRANSLATE(A17234, ""en"", ""mt"")"),"US $ 10 fil-ġimgħa")</f>
        <v>US $ 10 fil-ġimgħa</v>
      </c>
    </row>
    <row r="17235" ht="15.75" customHeight="1">
      <c r="A17235" s="2" t="s">
        <v>17235</v>
      </c>
      <c r="B17235" s="2" t="str">
        <f>IFERROR(__xludf.DUMMYFUNCTION("GOOGLETRANSLATE(A17235, ""en"", ""mt"")"),"Xi tfisser Chloroplastidan?")</f>
        <v>Xi tfisser Chloroplastidan?</v>
      </c>
    </row>
    <row r="17236" ht="15.75" customHeight="1">
      <c r="A17236" s="2" t="s">
        <v>17236</v>
      </c>
      <c r="B17236" s="2" t="str">
        <f>IFERROR(__xludf.DUMMYFUNCTION("GOOGLETRANSLATE(A17236, ""en"", ""mt"")"),"B'liema attributi ewlenin huma problemi tal-komputazzjoni klassifikati bl-użu tat-teorija tal-kumplessità tal-komputazzjoni?")</f>
        <v>B'liema attributi ewlenin huma problemi tal-komputazzjoni klassifikati bl-użu tat-teorija tal-kumplessità tal-komputazzjoni?</v>
      </c>
    </row>
    <row r="17237" ht="15.75" customHeight="1">
      <c r="A17237" s="2" t="s">
        <v>17237</v>
      </c>
      <c r="B17237" s="2" t="str">
        <f>IFERROR(__xludf.DUMMYFUNCTION("GOOGLETRANSLATE(A17237, ""en"", ""mt"")"),"Law tal-Liġi moħbija")</f>
        <v>Law tal-Liġi moħbija</v>
      </c>
    </row>
    <row r="17238" ht="15.75" customHeight="1">
      <c r="A17238" s="2" t="s">
        <v>17238</v>
      </c>
      <c r="B17238" s="2" t="str">
        <f>IFERROR(__xludf.DUMMYFUNCTION("GOOGLETRANSLATE(A17238, ""en"", ""mt"")"),"L-ekonomiji nqabdu bejn prezzijiet ogħla taż-żejt u prezzijiet aktar baxxi għall-prodotti tal-esportazzjoni tagħhom stess")</f>
        <v>L-ekonomiji nqabdu bejn prezzijiet ogħla taż-żejt u prezzijiet aktar baxxi għall-prodotti tal-esportazzjoni tagħhom stess</v>
      </c>
    </row>
    <row r="17239" ht="15.75" customHeight="1">
      <c r="A17239" s="2" t="s">
        <v>17239</v>
      </c>
      <c r="B17239" s="2" t="str">
        <f>IFERROR(__xludf.DUMMYFUNCTION("GOOGLETRANSLATE(A17239, ""en"", ""mt"")"),"komunikazzjonijiet minn pjaneta oħra")</f>
        <v>komunikazzjonijiet minn pjaneta oħra</v>
      </c>
    </row>
    <row r="17240" ht="15.75" customHeight="1">
      <c r="A17240" s="2" t="s">
        <v>17240</v>
      </c>
      <c r="B17240" s="2" t="str">
        <f>IFERROR(__xludf.DUMMYFUNCTION("GOOGLETRANSLATE(A17240, ""en"", ""mt"")"),"qerq")</f>
        <v>qerq</v>
      </c>
    </row>
    <row r="17241" ht="15.75" customHeight="1">
      <c r="A17241" s="2" t="s">
        <v>17241</v>
      </c>
      <c r="B17241" s="2" t="str">
        <f>IFERROR(__xludf.DUMMYFUNCTION("GOOGLETRANSLATE(A17241, ""en"", ""mt"")"),"Liema persentaġġ ta 'ossiġnu se jipproduċi passatur taż-żeoliti?")</f>
        <v>Liema persentaġġ ta 'ossiġnu se jipproduċi passatur taż-żeoliti?</v>
      </c>
    </row>
    <row r="17242" ht="15.75" customHeight="1">
      <c r="A17242" s="2" t="s">
        <v>17242</v>
      </c>
      <c r="B17242" s="2" t="str">
        <f>IFERROR(__xludf.DUMMYFUNCTION("GOOGLETRANSLATE(A17242, ""en"", ""mt"")"),"Kampanja tal-gwerra tal-gwerillieri")</f>
        <v>Kampanja tal-gwerra tal-gwerillieri</v>
      </c>
    </row>
    <row r="17243" ht="15.75" customHeight="1">
      <c r="A17243" s="2" t="s">
        <v>17243</v>
      </c>
      <c r="B17243" s="2" t="str">
        <f>IFERROR(__xludf.DUMMYFUNCTION("GOOGLETRANSLATE(A17243, ""en"", ""mt"")"),"Dak li tfisser l-intrattabilità fil-prattika huwa miftuħ għad-dibattitu. Li tgħid li problema mhix f'P ma timplikax li l-każijiet kbar kollha tal-problema huma iebsa jew saħansitra li ħafna minnhom huma. Pereżempju, il-problema tad-deċiżjoni fl-aritmetika"&amp;" ta 'Presburger intweriet li mhix f'P, iżda ġew miktuba algoritmi li jsolvu l-problema fi żminijiet raġonevoli f'ħafna każijiet. Bl-istess mod, l-algoritmi jistgħu jsolvu l-problema ta 'ħabta kompluta NP fuq firxa wiesgħa ta' daqsijiet f'inqas minn ħin kw"&amp;"adratiku u s-solvers SAT jimmaniġġjaw rutina ta 'każijiet kbar tal-problema ta' sodisfazzjon Boolean NP-komplut.")</f>
        <v>Dak li tfisser l-intrattabilità fil-prattika huwa miftuħ għad-dibattitu. Li tgħid li problema mhix f'P ma timplikax li l-każijiet kbar kollha tal-problema huma iebsa jew saħansitra li ħafna minnhom huma. Pereżempju, il-problema tad-deċiżjoni fl-aritmetika ta 'Presburger intweriet li mhix f'P, iżda ġew miktuba algoritmi li jsolvu l-problema fi żminijiet raġonevoli f'ħafna każijiet. Bl-istess mod, l-algoritmi jistgħu jsolvu l-problema ta 'ħabta kompluta NP fuq firxa wiesgħa ta' daqsijiet f'inqas minn ħin kwadratiku u s-solvers SAT jimmaniġġjaw rutina ta 'każijiet kbar tal-problema ta' sodisfazzjon Boolean NP-komplut.</v>
      </c>
    </row>
    <row r="17244" ht="15.75" customHeight="1">
      <c r="A17244" s="2" t="s">
        <v>17244</v>
      </c>
      <c r="B17244" s="2" t="str">
        <f>IFERROR(__xludf.DUMMYFUNCTION("GOOGLETRANSLATE(A17244, ""en"", ""mt"")"),"kurrent elettriku")</f>
        <v>kurrent elettriku</v>
      </c>
    </row>
    <row r="17245" ht="15.75" customHeight="1">
      <c r="A17245" s="2" t="s">
        <v>17245</v>
      </c>
      <c r="B17245" s="2" t="str">
        <f>IFERROR(__xludf.DUMMYFUNCTION("GOOGLETRANSLATE(A17245, ""en"", ""mt"")"),"waħdu")</f>
        <v>waħdu</v>
      </c>
    </row>
    <row r="17246" ht="15.75" customHeight="1">
      <c r="A17246" s="2" t="s">
        <v>17246</v>
      </c>
      <c r="B17246" s="2" t="str">
        <f>IFERROR(__xludf.DUMMYFUNCTION("GOOGLETRANSLATE(A17246, ""en"", ""mt"")"),"Meta l-formazzjonijiet tal-blat jinstabu fuq tort li ma nqatgħux, allura għandhom ikunu anzjani jew iżgħar mit-tort?")</f>
        <v>Meta l-formazzjonijiet tal-blat jinstabu fuq tort li ma nqatgħux, allura għandhom ikunu anzjani jew iżgħar mit-tort?</v>
      </c>
    </row>
    <row r="17247" ht="15.75" customHeight="1">
      <c r="A17247" s="2" t="s">
        <v>17247</v>
      </c>
      <c r="B17247" s="2" t="str">
        <f>IFERROR(__xludf.DUMMYFUNCTION("GOOGLETRANSLATE(A17247, ""en"", ""mt"")"),"Elettrifikat, li jdawwar f'ċirku bil-halos blu tan-nar ta 'San Elmo madwar il-ġwienaħ tagħhom")</f>
        <v>Elettrifikat, li jdawwar f'ċirku bil-halos blu tan-nar ta 'San Elmo madwar il-ġwienaħ tagħhom</v>
      </c>
    </row>
    <row r="17248" ht="15.75" customHeight="1">
      <c r="A17248" s="2" t="s">
        <v>17248</v>
      </c>
      <c r="B17248" s="2" t="str">
        <f>IFERROR(__xludf.DUMMYFUNCTION("GOOGLETRANSLATE(A17248, ""en"", ""mt"")"),"Reiver tal-fruntiera")</f>
        <v>Reiver tal-fruntiera</v>
      </c>
    </row>
    <row r="17249" ht="15.75" customHeight="1">
      <c r="A17249" s="2" t="s">
        <v>17249</v>
      </c>
      <c r="B17249" s="2" t="str">
        <f>IFERROR(__xludf.DUMMYFUNCTION("GOOGLETRANSLATE(A17249, ""en"", ""mt"")"),"il-kapaċità tal-mina Tyne")</f>
        <v>il-kapaċità tal-mina Tyne</v>
      </c>
    </row>
    <row r="17250" ht="15.75" customHeight="1">
      <c r="A17250" s="2" t="s">
        <v>17250</v>
      </c>
      <c r="B17250" s="2" t="str">
        <f>IFERROR(__xludf.DUMMYFUNCTION("GOOGLETRANSLATE(A17250, ""en"", ""mt"")"),"episodji ripetuti")</f>
        <v>episodji ripetuti</v>
      </c>
    </row>
    <row r="17251" ht="15.75" customHeight="1">
      <c r="A17251" s="2" t="s">
        <v>17251</v>
      </c>
      <c r="B17251" s="2" t="str">
        <f>IFERROR(__xludf.DUMMYFUNCTION("GOOGLETRANSLATE(A17251, ""en"", ""mt"")"),"6 ta 'Ottubru, 2004")</f>
        <v>6 ta 'Ottubru, 2004</v>
      </c>
    </row>
    <row r="17252" ht="15.75" customHeight="1">
      <c r="A17252" s="2" t="s">
        <v>17252</v>
      </c>
      <c r="B17252" s="2" t="str">
        <f>IFERROR(__xludf.DUMMYFUNCTION("GOOGLETRANSLATE(A17252, ""en"", ""mt"")"),"Vitamina D.")</f>
        <v>Vitamina D.</v>
      </c>
    </row>
    <row r="17253" ht="15.75" customHeight="1">
      <c r="A17253" s="2" t="s">
        <v>17253</v>
      </c>
      <c r="B17253" s="2" t="str">
        <f>IFERROR(__xludf.DUMMYFUNCTION("GOOGLETRANSLATE(A17253, ""en"", ""mt"")"),"X'inhi settiċemija?")</f>
        <v>X'inhi settiċemija?</v>
      </c>
    </row>
    <row r="17254" ht="15.75" customHeight="1">
      <c r="A17254" s="2" t="s">
        <v>17254</v>
      </c>
      <c r="B17254" s="2" t="str">
        <f>IFERROR(__xludf.DUMMYFUNCTION("GOOGLETRANSLATE(A17254, ""en"", ""mt"")"),"Flimkien ma 'skejjel mhux governattivi u mhux statali, x'inhu isem ieħor għal skejjel privati?")</f>
        <v>Flimkien ma 'skejjel mhux governattivi u mhux statali, x'inhu isem ieħor għal skejjel privati?</v>
      </c>
    </row>
    <row r="17255" ht="15.75" customHeight="1">
      <c r="A17255" s="2" t="s">
        <v>17255</v>
      </c>
      <c r="B17255" s="2" t="str">
        <f>IFERROR(__xludf.DUMMYFUNCTION("GOOGLETRANSLATE(A17255, ""en"", ""mt"")"),"Il-kamra tad-dibattitu tal-Parlament Skoċċiż għandha bilqiegħda rranġata f'emċiklu, li jirrifletti x-xewqa li jinkoraġġixxi kunsens fost il-membri eletti. Hemm 131 siġġu fil-kamra tad-dibattitu. Mit-total ta '131 siġġu, 129 huma okkupati mill-MSPs eletti "&amp;"tal-Parlament u 2 huma siġġijiet għall-uffiċjali tal-liġi Skoċċiża - l-Avukat tal-Mulej u l-avukat ġenerali għall-Iskozja, li mhumiex eletti membri tal-Parlament iżda huma membri tal-gvern Skoċċiż. Bħala tali l-uffiċjali tal-liġi jistgħu jattendu u jitkel"&amp;"lmu fil-laqgħat plenarji tal-Parlament iżda, peress li mhumiex eletti MSPs, ma jistgħux jivvutaw. Il-membri jistgħu joqogħdu kullimkien fil-kamra tad-dibattitu, iżda tipikament joqogħdu fil-gruppi tal-partit tagħhom. L-ewwel ministru, ministri tal-kabinet"&amp;"t Skoċċiż u uffiċjali tal-liġi joqogħdu fir-ringiela ta ’quddiem, fit-taqsima tan-nofs tal-kamra. L-akbar partit fil-Parlament qiegħed fin-nofs taċ-ċirku, ma 'partijiet opposti fuq kull naħa. L-uffiċjal li jippresiedi, skrivani parlamentari u uffiċjali jo"&amp;"qogħdu membri opposti fuq quddiem tal-kamra tad-dibattitu.")</f>
        <v>Il-kamra tad-dibattitu tal-Parlament Skoċċiż għandha bilqiegħda rranġata f'emċiklu, li jirrifletti x-xewqa li jinkoraġġixxi kunsens fost il-membri eletti. Hemm 131 siġġu fil-kamra tad-dibattitu. Mit-total ta '131 siġġu, 129 huma okkupati mill-MSPs eletti tal-Parlament u 2 huma siġġijiet għall-uffiċjali tal-liġi Skoċċiża - l-Avukat tal-Mulej u l-avukat ġenerali għall-Iskozja, li mhumiex eletti membri tal-Parlament iżda huma membri tal-gvern Skoċċiż. Bħala tali l-uffiċjali tal-liġi jistgħu jattendu u jitkellmu fil-laqgħat plenarji tal-Parlament iżda, peress li mhumiex eletti MSPs, ma jistgħux jivvutaw. Il-membri jistgħu joqogħdu kullimkien fil-kamra tad-dibattitu, iżda tipikament joqogħdu fil-gruppi tal-partit tagħhom. L-ewwel ministru, ministri tal-kabinett Skoċċiż u uffiċjali tal-liġi joqogħdu fir-ringiela ta ’quddiem, fit-taqsima tan-nofs tal-kamra. L-akbar partit fil-Parlament qiegħed fin-nofs taċ-ċirku, ma 'partijiet opposti fuq kull naħa. L-uffiċjal li jippresiedi, skrivani parlamentari u uffiċjali joqogħdu membri opposti fuq quddiem tal-kamra tad-dibattitu.</v>
      </c>
    </row>
    <row r="17256" ht="15.75" customHeight="1">
      <c r="A17256" s="2" t="s">
        <v>17256</v>
      </c>
      <c r="B17256" s="2" t="str">
        <f>IFERROR(__xludf.DUMMYFUNCTION("GOOGLETRANSLATE(A17256, ""en"", ""mt"")"),"Fi problema tal-komputazzjoni, x'jista 'jiġi deskritt bħala sekwenza fuq alfabett?")</f>
        <v>Fi problema tal-komputazzjoni, x'jista 'jiġi deskritt bħala sekwenza fuq alfabett?</v>
      </c>
    </row>
    <row r="17257" ht="15.75" customHeight="1">
      <c r="A17257" s="2" t="s">
        <v>17257</v>
      </c>
      <c r="B17257" s="2" t="str">
        <f>IFERROR(__xludf.DUMMYFUNCTION("GOOGLETRANSLATE(A17257, ""en"", ""mt"")"),"Attakk fuq il-kapitali l-ġdida ta 'Franza, Quebec")</f>
        <v>Attakk fuq il-kapitali l-ġdida ta 'Franza, Quebec</v>
      </c>
    </row>
    <row r="17258" ht="15.75" customHeight="1">
      <c r="A17258" s="2" t="s">
        <v>17258</v>
      </c>
      <c r="B17258" s="2" t="str">
        <f>IFERROR(__xludf.DUMMYFUNCTION("GOOGLETRANSLATE(A17258, ""en"", ""mt"")"),"Sistema ta 'taxxa progressiva")</f>
        <v>Sistema ta 'taxxa progressiva</v>
      </c>
    </row>
    <row r="17259" ht="15.75" customHeight="1">
      <c r="A17259" s="2" t="s">
        <v>17259</v>
      </c>
      <c r="B17259" s="2" t="str">
        <f>IFERROR(__xludf.DUMMYFUNCTION("GOOGLETRANSLATE(A17259, ""en"", ""mt"")"),"fehim aħjar tal-istruttura tal-kmand mau mau")</f>
        <v>fehim aħjar tal-istruttura tal-kmand mau mau</v>
      </c>
    </row>
    <row r="17260" ht="15.75" customHeight="1">
      <c r="A17260" s="2" t="s">
        <v>17260</v>
      </c>
      <c r="B17260" s="2" t="str">
        <f>IFERROR(__xludf.DUMMYFUNCTION("GOOGLETRANSLATE(A17260, ""en"", ""mt"")"),"Kien hemm eżenzjonijiet mit-taxxa għal figuri reliġjużi u, sa ċertu punt, għalliema u tobba. L-Imperu Mongoljan ipprattika t-tolleranza reliġjuża minħabba li t-tradizzjoni Mongoljana kienet ilha li r-reliġjon kienet kunċett personali, u mhux soġġetta għal"&amp;"-liġi jew interferenza. [Ċitazzjoni meħtieġa] xi żmien qabel iż-żieda ta 'Genghis Khan, Ong Khan, il-mentor tiegħu u r-rivali eventwali, kienu kkonvertew lill-Kristjaneżmu Nestorjan. Diversi tribujiet tal-Mongolja kienu xamanisti, Buddisti jew Kristjani. "&amp;"It-tolleranza reliġjuża kienet għalhekk kunċett stabbilit sew fuq l-isteppa Asjatika.")</f>
        <v>Kien hemm eżenzjonijiet mit-taxxa għal figuri reliġjużi u, sa ċertu punt, għalliema u tobba. L-Imperu Mongoljan ipprattika t-tolleranza reliġjuża minħabba li t-tradizzjoni Mongoljana kienet ilha li r-reliġjon kienet kunċett personali, u mhux soġġetta għal-liġi jew interferenza. [Ċitazzjoni meħtieġa] xi żmien qabel iż-żieda ta 'Genghis Khan, Ong Khan, il-mentor tiegħu u r-rivali eventwali, kienu kkonvertew lill-Kristjaneżmu Nestorjan. Diversi tribujiet tal-Mongolja kienu xamanisti, Buddisti jew Kristjani. It-tolleranza reliġjuża kienet għalhekk kunċett stabbilit sew fuq l-isteppa Asjatika.</v>
      </c>
    </row>
    <row r="17261" ht="15.75" customHeight="1">
      <c r="A17261" s="2" t="s">
        <v>17261</v>
      </c>
      <c r="B17261" s="2" t="str">
        <f>IFERROR(__xludf.DUMMYFUNCTION("GOOGLETRANSLATE(A17261, ""en"", ""mt"")"),"Bord tal-Edukazzjoni tal-Istat")</f>
        <v>Bord tal-Edukazzjoni tal-Istat</v>
      </c>
    </row>
    <row r="17262" ht="15.75" customHeight="1">
      <c r="A17262" s="2" t="s">
        <v>17262</v>
      </c>
      <c r="B17262" s="2" t="str">
        <f>IFERROR(__xludf.DUMMYFUNCTION("GOOGLETRANSLATE(A17262, ""en"", ""mt"")"),"Dwar il-libertà ta 'Nisrani")</f>
        <v>Dwar il-libertà ta 'Nisrani</v>
      </c>
    </row>
    <row r="17263" ht="15.75" customHeight="1">
      <c r="A17263" s="2" t="s">
        <v>17263</v>
      </c>
      <c r="B17263" s="2" t="str">
        <f>IFERROR(__xludf.DUMMYFUNCTION("GOOGLETRANSLATE(A17263, ""en"", ""mt"")"),"Xi dinofiti, bħal Kryptoperidinium u Durinskia għandhom kloroplast derivat minn diatom (heterokontophy). Dawn il-kloroplasti huma mdawra minn sa ħames membrani, (jiddependi fuq jekk tgħoddx id-diatom kollu endosymbiont bħala l-kloroplast, jew sempliċement"&amp;" il-kloroplast derivat mill-alka ħamra ġewwa fih). Id-diatom endosymbiont tnaqqas relattivament ftit - għadu jżomm il-mitokondrija oriġinali tiegħu, u għandu retikolu endoplasmiku, ribosomi, nukleu, u ovvjament, kloroplasti derivati ​​mill-alka ħamra - pr"&amp;"attikament ċellola sħiħa, kollha ġewwa l-lumen endoplasmiku tar-retikolu endoplasmiku. Madankollu d-diatom endosymbiont ma jistax jaħżen l-ikel tiegħu stess - il-lamtu jinstab fil-granuli fiċ-ċitoplasma tal-host tad-dinophyte minflok. In-nukleu tad-diatom"&amp;" endosymbiont huwa preżenti, iżda probabbilment ma jistax jissejjaħ nukleomorf għaliex ma juri l-ebda sinjal ta 'tnaqqis tal-ġenoma, u jista' jkun saħansitra ġie estiż. Id-dijatomi ġew maħkuma minn dinoflagellati mill-inqas tliet darbiet.")</f>
        <v>Xi dinofiti, bħal Kryptoperidinium u Durinskia għandhom kloroplast derivat minn diatom (heterokontophy). Dawn il-kloroplasti huma mdawra minn sa ħames membrani, (jiddependi fuq jekk tgħoddx id-diatom kollu endosymbiont bħala l-kloroplast, jew sempliċement il-kloroplast derivat mill-alka ħamra ġewwa fih). Id-diatom endosymbiont tnaqqas relattivament ftit - għadu jżomm il-mitokondrija oriġinali tiegħu, u għandu retikolu endoplasmiku, ribosomi, nukleu, u ovvjament, kloroplasti derivati ​​mill-alka ħamra - prattikament ċellola sħiħa, kollha ġewwa l-lumen endoplasmiku tar-retikolu endoplasmiku. Madankollu d-diatom endosymbiont ma jistax jaħżen l-ikel tiegħu stess - il-lamtu jinstab fil-granuli fiċ-ċitoplasma tal-host tad-dinophyte minflok. In-nukleu tad-diatom endosymbiont huwa preżenti, iżda probabbilment ma jistax jissejjaħ nukleomorf għaliex ma juri l-ebda sinjal ta 'tnaqqis tal-ġenoma, u jista' jkun saħansitra ġie estiż. Id-dijatomi ġew maħkuma minn dinoflagellati mill-inqas tliet darbiet.</v>
      </c>
    </row>
    <row r="17264" ht="15.75" customHeight="1">
      <c r="A17264" s="2" t="s">
        <v>17264</v>
      </c>
      <c r="B17264" s="2" t="str">
        <f>IFERROR(__xludf.DUMMYFUNCTION("GOOGLETRANSLATE(A17264, ""en"", ""mt"")"),"Età indurata")</f>
        <v>Età indurata</v>
      </c>
    </row>
    <row r="17265" ht="15.75" customHeight="1">
      <c r="A17265" s="2" t="s">
        <v>17265</v>
      </c>
      <c r="B17265" s="2" t="str">
        <f>IFERROR(__xludf.DUMMYFUNCTION("GOOGLETRANSLATE(A17265, ""en"", ""mt"")"),"2.5 miljun")</f>
        <v>2.5 miljun</v>
      </c>
    </row>
    <row r="17266" ht="15.75" customHeight="1">
      <c r="A17266" s="2" t="s">
        <v>17266</v>
      </c>
      <c r="B17266" s="2" t="str">
        <f>IFERROR(__xludf.DUMMYFUNCTION("GOOGLETRANSLATE(A17266, ""en"", ""mt"")"),"wieħed mill-ifqar pajjiżi fid-dinja")</f>
        <v>wieħed mill-ifqar pajjiżi fid-dinja</v>
      </c>
    </row>
    <row r="17267" ht="15.75" customHeight="1">
      <c r="A17267" s="2" t="s">
        <v>17267</v>
      </c>
      <c r="B17267" s="2" t="str">
        <f>IFERROR(__xludf.DUMMYFUNCTION("GOOGLETRANSLATE(A17267, ""en"", ""mt"")"),"Kemm il-Grammys rebħet Lady Gaga?")</f>
        <v>Kemm il-Grammys rebħet Lady Gaga?</v>
      </c>
    </row>
    <row r="17268" ht="15.75" customHeight="1">
      <c r="A17268" s="2" t="s">
        <v>17268</v>
      </c>
      <c r="B17268" s="2" t="str">
        <f>IFERROR(__xludf.DUMMYFUNCTION("GOOGLETRANSLATE(A17268, ""en"", ""mt"")"),"In-Netwerk tad-Dejta tal-Pubbliku qalbu n-Netwerk Pubbliku mill-Olandiż PTT Telecom")</f>
        <v>In-Netwerk tad-Dejta tal-Pubbliku qalbu n-Netwerk Pubbliku mill-Olandiż PTT Telecom</v>
      </c>
    </row>
    <row r="17269" ht="15.75" customHeight="1">
      <c r="A17269" s="2" t="s">
        <v>17269</v>
      </c>
      <c r="B17269" s="2" t="str">
        <f>IFERROR(__xludf.DUMMYFUNCTION("GOOGLETRANSLATE(A17269, ""en"", ""mt"")"),"F'Jannar 1880, tnejn miż-zijiet ta 'Tesla ġabru biżżejjed flus biex jgħinuh jitlaq lil Gospić għal Praga fejn kellu jistudja. Sfortunatament, wasal tard wisq biex jinkiteb fl-Università Charles-Ferdinand; Hu qatt ma studja l-Grieg, suġġett meħtieġ; u kien"&amp;" illitterat fiċ-Ċek, suġġett ieħor meħtieġ. Tesla, madankollu, attendiet lezzjonijiet fl-università, għalkemm, bħala awditur, huwa ma rċeviex gradi għall-korsijiet.")</f>
        <v>F'Jannar 1880, tnejn miż-zijiet ta 'Tesla ġabru biżżejjed flus biex jgħinuh jitlaq lil Gospić għal Praga fejn kellu jistudja. Sfortunatament, wasal tard wisq biex jinkiteb fl-Università Charles-Ferdinand; Hu qatt ma studja l-Grieg, suġġett meħtieġ; u kien illitterat fiċ-Ċek, suġġett ieħor meħtieġ. Tesla, madankollu, attendiet lezzjonijiet fl-università, għalkemm, bħala awditur, huwa ma rċeviex gradi għall-korsijiet.</v>
      </c>
    </row>
    <row r="17270" ht="15.75" customHeight="1">
      <c r="A17270" s="2" t="s">
        <v>17270</v>
      </c>
      <c r="B17270" s="2" t="str">
        <f>IFERROR(__xludf.DUMMYFUNCTION("GOOGLETRANSLATE(A17270, ""en"", ""mt"")"),"X'kienu ħafna pastors li ma jistgħux jagħmlu?")</f>
        <v>X'kienu ħafna pastors li ma jistgħux jagħmlu?</v>
      </c>
    </row>
    <row r="17271" ht="15.75" customHeight="1">
      <c r="A17271" s="2" t="s">
        <v>17271</v>
      </c>
      <c r="B17271" s="2" t="str">
        <f>IFERROR(__xludf.DUMMYFUNCTION("GOOGLETRANSLATE(A17271, ""en"", ""mt"")"),"Sostituzzjoni ta 'tagħmir kapitali għax-xogħol")</f>
        <v>Sostituzzjoni ta 'tagħmir kapitali għax-xogħol</v>
      </c>
    </row>
    <row r="17272" ht="15.75" customHeight="1">
      <c r="A17272" s="2" t="s">
        <v>17272</v>
      </c>
      <c r="B17272" s="2" t="str">
        <f>IFERROR(__xludf.DUMMYFUNCTION("GOOGLETRANSLATE(A17272, ""en"", ""mt"")"),"Ekwilibriju statiku bejn żewġ forzi huwa l-iktar mod tas-soltu ta 'kejl tal-forzi, bl-użu ta' apparati sempliċi bħal skali ta 'użin u bilanċi tar-rebbiegħa. Pereżempju, oġġett sospiż fuq skala tar-rebbiegħa vertikali jesperjenza l-forza tal-gravità li taġ"&amp;"ixxi fuq l-oġġett ibbilanċjat minn forza applikata mill- ""forza ta 'reazzjoni tar-rebbiegħa"", li hija daqs il-piż tal-oġġett. Bl-użu ta 'għodod bħal dawn, ġew skoperti xi liġijiet tal-forza kwantitattiva: li l-forza tal-gravità hija proporzjonali għall-"&amp;"volum għal oġġetti ta' densità kostanti (sfruttati b'mod wiesa 'għal millenji biex jiddefinixxu piżijiet standard); Prinċipju ta 'Archimedes għal galleġġjatura; L-analiżi ta 'Archimedes tal-lieva; Liġi ta 'Boyle għall-pressjoni tal-gass; u l-liġi ta 'Hook"&amp;"e għall-molol. Dawn kienu kollha fformulati u vverifikati b'mod sperimentali qabel Isaac Newton esponew it-tliet liġijiet tal-mozzjoni tiegħu.")</f>
        <v>Ekwilibriju statiku bejn żewġ forzi huwa l-iktar mod tas-soltu ta 'kejl tal-forzi, bl-użu ta' apparati sempliċi bħal skali ta 'użin u bilanċi tar-rebbiegħa. Pereżempju, oġġett sospiż fuq skala tar-rebbiegħa vertikali jesperjenza l-forza tal-gravità li taġixxi fuq l-oġġett ibbilanċjat minn forza applikata mill- "forza ta 'reazzjoni tar-rebbiegħa", li hija daqs il-piż tal-oġġett. Bl-użu ta 'għodod bħal dawn, ġew skoperti xi liġijiet tal-forza kwantitattiva: li l-forza tal-gravità hija proporzjonali għall-volum għal oġġetti ta' densità kostanti (sfruttati b'mod wiesa 'għal millenji biex jiddefinixxu piżijiet standard); Prinċipju ta 'Archimedes għal galleġġjatura; L-analiżi ta 'Archimedes tal-lieva; Liġi ta 'Boyle għall-pressjoni tal-gass; u l-liġi ta 'Hooke għall-molol. Dawn kienu kollha fformulati u vverifikati b'mod sperimentali qabel Isaac Newton esponew it-tliet liġijiet tal-mozzjoni tiegħu.</v>
      </c>
    </row>
    <row r="17273" ht="15.75" customHeight="1">
      <c r="A17273" s="2" t="s">
        <v>17273</v>
      </c>
      <c r="B17273" s="2" t="str">
        <f>IFERROR(__xludf.DUMMYFUNCTION("GOOGLETRANSLATE(A17273, ""en"", ""mt"")"),"X'tip ta 'magni użaw is-sistema ta' bilanċ ta 'l-ischlick-tweedy Yarrow?")</f>
        <v>X'tip ta 'magni użaw is-sistema ta' bilanċ ta 'l-ischlick-tweedy Yarrow?</v>
      </c>
    </row>
    <row r="17274" ht="15.75" customHeight="1">
      <c r="A17274" s="2" t="s">
        <v>17274</v>
      </c>
      <c r="B17274" s="2" t="str">
        <f>IFERROR(__xludf.DUMMYFUNCTION("GOOGLETRANSLATE(A17274, ""en"", ""mt"")"),"Bħala pjaga")</f>
        <v>Bħala pjaga</v>
      </c>
    </row>
    <row r="17275" ht="15.75" customHeight="1">
      <c r="A17275" s="2" t="s">
        <v>17275</v>
      </c>
      <c r="B17275" s="2" t="str">
        <f>IFERROR(__xludf.DUMMYFUNCTION("GOOGLETRANSLATE(A17275, ""en"", ""mt"")"),"X'kawżaw iż-żieda tal-prezzijiet?")</f>
        <v>X'kawżaw iż-żieda tal-prezzijiet?</v>
      </c>
    </row>
    <row r="17276" ht="15.75" customHeight="1">
      <c r="A17276" s="2" t="s">
        <v>17276</v>
      </c>
      <c r="B17276" s="2" t="str">
        <f>IFERROR(__xludf.DUMMYFUNCTION("GOOGLETRANSLATE(A17276, ""en"", ""mt"")"),"Konsulent")</f>
        <v>Konsulent</v>
      </c>
    </row>
    <row r="17277" ht="15.75" customHeight="1">
      <c r="A17277" s="2" t="s">
        <v>17277</v>
      </c>
      <c r="B17277" s="2" t="str">
        <f>IFERROR(__xludf.DUMMYFUNCTION("GOOGLETRANSLATE(A17277, ""en"", ""mt"")"),"Liema waħda mil-lukandi ta 'Fresno ħarqu?")</f>
        <v>Liema waħda mil-lukandi ta 'Fresno ħarqu?</v>
      </c>
    </row>
    <row r="17278" ht="15.75" customHeight="1">
      <c r="A17278" s="2" t="s">
        <v>17278</v>
      </c>
      <c r="B17278" s="2" t="str">
        <f>IFERROR(__xludf.DUMMYFUNCTION("GOOGLETRANSLATE(A17278, ""en"", ""mt"")"),"L-14 sas-Seklu 19")</f>
        <v>L-14 sas-Seklu 19</v>
      </c>
    </row>
    <row r="17279" ht="15.75" customHeight="1">
      <c r="A17279" s="2" t="s">
        <v>17279</v>
      </c>
      <c r="B17279" s="2" t="str">
        <f>IFERROR(__xludf.DUMMYFUNCTION("GOOGLETRANSLATE(A17279, ""en"", ""mt"")"),"Marconi trażmessa b'suċċess l-ittra S mill-Ingilterra għal Newfoundland")</f>
        <v>Marconi trażmessa b'suċċess l-ittra S mill-Ingilterra għal Newfoundland</v>
      </c>
    </row>
    <row r="17280" ht="15.75" customHeight="1">
      <c r="A17280" s="2" t="s">
        <v>17280</v>
      </c>
      <c r="B17280" s="2" t="str">
        <f>IFERROR(__xludf.DUMMYFUNCTION("GOOGLETRANSLATE(A17280, ""en"", ""mt"")"),"It-trabi tat-twelid huma vulnerabbli għall-infezzjoni minħabba li m'għandhom l-ebda esponiment preċedenti għal xiex?")</f>
        <v>It-trabi tat-twelid huma vulnerabbli għall-infezzjoni minħabba li m'għandhom l-ebda esponiment preċedenti għal xiex?</v>
      </c>
    </row>
    <row r="17281" ht="15.75" customHeight="1">
      <c r="A17281" s="2" t="s">
        <v>17281</v>
      </c>
      <c r="B17281" s="2" t="str">
        <f>IFERROR(__xludf.DUMMYFUNCTION("GOOGLETRANSLATE(A17281, ""en"", ""mt"")"),"X'kien l-isem tas-setup tal-fond biex jgħin fl-investiment fil-komunità?")</f>
        <v>X'kien l-isem tas-setup tal-fond biex jgħin fl-investiment fil-komunità?</v>
      </c>
    </row>
    <row r="17282" ht="15.75" customHeight="1">
      <c r="A17282" s="2" t="s">
        <v>17282</v>
      </c>
      <c r="B17282" s="2" t="str">
        <f>IFERROR(__xludf.DUMMYFUNCTION("GOOGLETRANSLATE(A17282, ""en"", ""mt"")"),"Sistema awtokratika-burokratika")</f>
        <v>Sistema awtokratika-burokratika</v>
      </c>
    </row>
    <row r="17283" ht="15.75" customHeight="1">
      <c r="A17283" s="2" t="s">
        <v>17283</v>
      </c>
      <c r="B17283" s="2" t="str">
        <f>IFERROR(__xludf.DUMMYFUNCTION("GOOGLETRANSLATE(A17283, ""en"", ""mt"")"),"Servizz tat-Televiżjoni Repertorju Alpha (Arti)")</f>
        <v>Servizz tat-Televiżjoni Repertorju Alpha (Arti)</v>
      </c>
    </row>
    <row r="17284" ht="15.75" customHeight="1">
      <c r="A17284" s="2" t="s">
        <v>17284</v>
      </c>
      <c r="B17284" s="2" t="str">
        <f>IFERROR(__xludf.DUMMYFUNCTION("GOOGLETRANSLATE(A17284, ""en"", ""mt"")"),"Bini tal-Imperu")</f>
        <v>Bini tal-Imperu</v>
      </c>
    </row>
    <row r="17285" ht="15.75" customHeight="1">
      <c r="A17285" s="2" t="s">
        <v>17285</v>
      </c>
      <c r="B17285" s="2" t="str">
        <f>IFERROR(__xludf.DUMMYFUNCTION("GOOGLETRANSLATE(A17285, ""en"", ""mt"")"),"Hermaphrodites")</f>
        <v>Hermaphrodites</v>
      </c>
    </row>
    <row r="17286" ht="15.75" customHeight="1">
      <c r="A17286" s="2" t="s">
        <v>17286</v>
      </c>
      <c r="B17286" s="2" t="str">
        <f>IFERROR(__xludf.DUMMYFUNCTION("GOOGLETRANSLATE(A17286, ""en"", ""mt"")"),"Liema organizzazzjoni ingħaqad ma 'Iqbal f'Londra?")</f>
        <v>Liema organizzazzjoni ingħaqad ma 'Iqbal f'Londra?</v>
      </c>
    </row>
    <row r="17287" ht="15.75" customHeight="1">
      <c r="A17287" s="2" t="s">
        <v>17287</v>
      </c>
      <c r="B17287" s="2" t="str">
        <f>IFERROR(__xludf.DUMMYFUNCTION("GOOGLETRANSLATE(A17287, ""en"", ""mt"")"),"Liema Trattat jipproteġi l-libertà tal-istabbiliment u l-libertà li jipprovdu servizzi?")</f>
        <v>Liema Trattat jipproteġi l-libertà tal-istabbiliment u l-libertà li jipprovdu servizzi?</v>
      </c>
    </row>
    <row r="17288" ht="15.75" customHeight="1">
      <c r="A17288" s="2" t="s">
        <v>17288</v>
      </c>
      <c r="B17288" s="2" t="str">
        <f>IFERROR(__xludf.DUMMYFUNCTION("GOOGLETRANSLATE(A17288, ""en"", ""mt"")"),"membri oħra")</f>
        <v>membri oħra</v>
      </c>
    </row>
    <row r="17289" ht="15.75" customHeight="1">
      <c r="A17289" s="2" t="s">
        <v>17289</v>
      </c>
      <c r="B17289" s="2" t="str">
        <f>IFERROR(__xludf.DUMMYFUNCTION("GOOGLETRANSLATE(A17289, ""en"", ""mt"")"),"Għal xiex din l-aġitazzjoni pprovdiet materjal ta 'ġenerazzjonijiet aktar tard?")</f>
        <v>Għal xiex din l-aġitazzjoni pprovdiet materjal ta 'ġenerazzjonijiet aktar tard?</v>
      </c>
    </row>
    <row r="17290" ht="15.75" customHeight="1">
      <c r="A17290" s="2" t="s">
        <v>17290</v>
      </c>
      <c r="B17290" s="2" t="str">
        <f>IFERROR(__xludf.DUMMYFUNCTION("GOOGLETRANSLATE(A17290, ""en"", ""mt"")"),"1997 Trattat ta 'Amsterdam")</f>
        <v>1997 Trattat ta 'Amsterdam</v>
      </c>
    </row>
    <row r="17291" ht="15.75" customHeight="1">
      <c r="A17291" s="2" t="s">
        <v>17291</v>
      </c>
      <c r="B17291" s="2" t="str">
        <f>IFERROR(__xludf.DUMMYFUNCTION("GOOGLETRANSLATE(A17291, ""en"", ""mt"")"),"Sculpture Wing")</f>
        <v>Sculpture Wing</v>
      </c>
    </row>
    <row r="17292" ht="15.75" customHeight="1">
      <c r="A17292" s="2" t="s">
        <v>17292</v>
      </c>
      <c r="B17292" s="2" t="str">
        <f>IFERROR(__xludf.DUMMYFUNCTION("GOOGLETRANSLATE(A17292, ""en"", ""mt"")"),"tadotta kultura Ċiniża mainstream")</f>
        <v>tadotta kultura Ċiniża mainstream</v>
      </c>
    </row>
    <row r="17293" ht="15.75" customHeight="1">
      <c r="A17293" s="2" t="s">
        <v>17293</v>
      </c>
      <c r="B17293" s="2" t="str">
        <f>IFERROR(__xludf.DUMMYFUNCTION("GOOGLETRANSLATE(A17293, ""en"", ""mt"")"),"It-tankijiet tas-saborra tal-vapuri")</f>
        <v>It-tankijiet tas-saborra tal-vapuri</v>
      </c>
    </row>
    <row r="17294" ht="15.75" customHeight="1">
      <c r="A17294" s="2" t="s">
        <v>17294</v>
      </c>
      <c r="B17294" s="2" t="str">
        <f>IFERROR(__xludf.DUMMYFUNCTION("GOOGLETRANSLATE(A17294, ""en"", ""mt"")"),"Art u għamara")</f>
        <v>Art u għamara</v>
      </c>
    </row>
    <row r="17295" ht="15.75" customHeight="1">
      <c r="A17295" s="2" t="s">
        <v>17295</v>
      </c>
      <c r="B17295" s="2" t="str">
        <f>IFERROR(__xludf.DUMMYFUNCTION("GOOGLETRANSLATE(A17295, ""en"", ""mt"")"),"Flimkien ma 'tagħlim, boroż ta' studju, vawċers, donazzjonijiet u għotjiet, minn fejn ġej il-finanzjament għall-iskejjel privati?")</f>
        <v>Flimkien ma 'tagħlim, boroż ta' studju, vawċers, donazzjonijiet u għotjiet, minn fejn ġej il-finanzjament għall-iskejjel privati?</v>
      </c>
    </row>
    <row r="17296" ht="15.75" customHeight="1">
      <c r="A17296" s="2" t="s">
        <v>17296</v>
      </c>
      <c r="B17296" s="2" t="str">
        <f>IFERROR(__xludf.DUMMYFUNCTION("GOOGLETRANSLATE(A17296, ""en"", ""mt"")"),"L-iktar algoritmu effiċjenti jsolvi problema partikolari")</f>
        <v>L-iktar algoritmu effiċjenti jsolvi problema partikolari</v>
      </c>
    </row>
    <row r="17297" ht="15.75" customHeight="1">
      <c r="A17297" s="2" t="s">
        <v>17297</v>
      </c>
      <c r="B17297" s="2" t="str">
        <f>IFERROR(__xludf.DUMMYFUNCTION("GOOGLETRANSLATE(A17297, ""en"", ""mt"")"),"""Innu għal tmiem il-ġimgħa""")</f>
        <v>"Innu għal tmiem il-ġimgħa"</v>
      </c>
    </row>
    <row r="17298" ht="15.75" customHeight="1">
      <c r="A17298" s="2" t="s">
        <v>17298</v>
      </c>
      <c r="B17298" s="2" t="str">
        <f>IFERROR(__xludf.DUMMYFUNCTION("GOOGLETRANSLATE(A17298, ""en"", ""mt"")"),"ħames snin")</f>
        <v>ħames snin</v>
      </c>
    </row>
    <row r="17299" ht="15.75" customHeight="1">
      <c r="A17299" s="2" t="s">
        <v>17299</v>
      </c>
      <c r="B17299" s="2" t="str">
        <f>IFERROR(__xludf.DUMMYFUNCTION("GOOGLETRANSLATE(A17299, ""en"", ""mt"")"),"X’għamel dawl fil-laboratorji tiegħu biex juri t-trasmissjoni tal-qawwa bla fili tiegħu?")</f>
        <v>X’għamel dawl fil-laboratorji tiegħu biex juri t-trasmissjoni tal-qawwa bla fili tiegħu?</v>
      </c>
    </row>
    <row r="17300" ht="15.75" customHeight="1">
      <c r="A17300" s="2" t="s">
        <v>17300</v>
      </c>
      <c r="B17300" s="2" t="str">
        <f>IFERROR(__xludf.DUMMYFUNCTION("GOOGLETRANSLATE(A17300, ""en"", ""mt"")"),"Il-qrun ta 'Nimon")</f>
        <v>Il-qrun ta 'Nimon</v>
      </c>
    </row>
    <row r="17301" ht="15.75" customHeight="1">
      <c r="A17301" s="2" t="s">
        <v>17301</v>
      </c>
      <c r="B17301" s="2" t="str">
        <f>IFERROR(__xludf.DUMMYFUNCTION("GOOGLETRANSLATE(A17301, ""en"", ""mt"")"),"Liema fattur jista 'jagħmel ir-rwol ta' għalliem ivarja?")</f>
        <v>Liema fattur jista 'jagħmel ir-rwol ta' għalliem ivarja?</v>
      </c>
    </row>
    <row r="17302" ht="15.75" customHeight="1">
      <c r="A17302" s="2" t="s">
        <v>17302</v>
      </c>
      <c r="B17302" s="2" t="str">
        <f>IFERROR(__xludf.DUMMYFUNCTION("GOOGLETRANSLATE(A17302, ""en"", ""mt"")"),"X'hemm enfasizza ""The Holy Club""?")</f>
        <v>X'hemm enfasizza "The Holy Club"?</v>
      </c>
    </row>
    <row r="17303" ht="15.75" customHeight="1">
      <c r="A17303" s="2" t="s">
        <v>17303</v>
      </c>
      <c r="B17303" s="2" t="str">
        <f>IFERROR(__xludf.DUMMYFUNCTION("GOOGLETRANSLATE(A17303, ""en"", ""mt"")"),"2.2 pulzier (0.06 m)")</f>
        <v>2.2 pulzier (0.06 m)</v>
      </c>
    </row>
    <row r="17304" ht="15.75" customHeight="1">
      <c r="A17304" s="2" t="s">
        <v>17304</v>
      </c>
      <c r="B17304" s="2" t="str">
        <f>IFERROR(__xludf.DUMMYFUNCTION("GOOGLETRANSLATE(A17304, ""en"", ""mt"")"),"Kemm ilma jagħti l-AARE lir-Renu?")</f>
        <v>Kemm ilma jagħti l-AARE lir-Renu?</v>
      </c>
    </row>
    <row r="17305" ht="15.75" customHeight="1">
      <c r="A17305" s="2" t="s">
        <v>17305</v>
      </c>
      <c r="B17305" s="2" t="str">
        <f>IFERROR(__xludf.DUMMYFUNCTION("GOOGLETRANSLATE(A17305, ""en"", ""mt"")"),"X'inhi d-definizzjoni ta 'aġenzija kif għandha x'taqsam mal-kapaċitajiet?")</f>
        <v>X'inhi d-definizzjoni ta 'aġenzija kif għandha x'taqsam mal-kapaċitajiet?</v>
      </c>
    </row>
    <row r="17306" ht="15.75" customHeight="1">
      <c r="A17306" s="2" t="s">
        <v>17306</v>
      </c>
      <c r="B17306" s="2" t="str">
        <f>IFERROR(__xludf.DUMMYFUNCTION("GOOGLETRANSLATE(A17306, ""en"", ""mt"")"),"ħiliet partikolari")</f>
        <v>ħiliet partikolari</v>
      </c>
    </row>
    <row r="17307" ht="15.75" customHeight="1">
      <c r="A17307" s="2" t="s">
        <v>17307</v>
      </c>
      <c r="B17307" s="2" t="str">
        <f>IFERROR(__xludf.DUMMYFUNCTION("GOOGLETRANSLATE(A17307, ""en"", ""mt"")"),"Lbies ta 'taħt imkessaħ bl-ilma")</f>
        <v>Lbies ta 'taħt imkessaħ bl-ilma</v>
      </c>
    </row>
    <row r="17308" ht="15.75" customHeight="1">
      <c r="A17308" s="2" t="s">
        <v>17308</v>
      </c>
      <c r="B17308" s="2" t="str">
        <f>IFERROR(__xludf.DUMMYFUNCTION("GOOGLETRANSLATE(A17308, ""en"", ""mt"")"),"kulleġġi")</f>
        <v>kulleġġi</v>
      </c>
    </row>
    <row r="17309" ht="15.75" customHeight="1">
      <c r="A17309" s="2" t="s">
        <v>17309</v>
      </c>
      <c r="B17309" s="2" t="str">
        <f>IFERROR(__xludf.DUMMYFUNCTION("GOOGLETRANSLATE(A17309, ""en"", ""mt"")"),"""Rhine-kilometri""")</f>
        <v>"Rhine-kilometri"</v>
      </c>
    </row>
    <row r="17310" ht="15.75" customHeight="1">
      <c r="A17310" s="2" t="s">
        <v>17310</v>
      </c>
      <c r="B17310" s="2" t="str">
        <f>IFERROR(__xludf.DUMMYFUNCTION("GOOGLETRANSLATE(A17310, ""en"", ""mt"")"),"$ 10 fil-Ġimgħa")</f>
        <v>$ 10 fil-Ġimgħa</v>
      </c>
    </row>
    <row r="17311" ht="15.75" customHeight="1">
      <c r="A17311" s="2" t="s">
        <v>17311</v>
      </c>
      <c r="B17311" s="2" t="str">
        <f>IFERROR(__xludf.DUMMYFUNCTION("GOOGLETRANSLATE(A17311, ""en"", ""mt"")"),"sena")</f>
        <v>sena</v>
      </c>
    </row>
    <row r="17312" ht="15.75" customHeight="1">
      <c r="A17312" s="2" t="s">
        <v>17312</v>
      </c>
      <c r="B17312" s="2" t="str">
        <f>IFERROR(__xludf.DUMMYFUNCTION("GOOGLETRANSLATE(A17312, ""en"", ""mt"")"),"Biex tagħmel l-ospiti responsabbli għal konsenja affidabbli ta 'dejta, aktar milli n-netwerk innifsu")</f>
        <v>Biex tagħmel l-ospiti responsabbli għal konsenja affidabbli ta 'dejta, aktar milli n-netwerk innifsu</v>
      </c>
    </row>
    <row r="17313" ht="15.75" customHeight="1">
      <c r="A17313" s="2" t="s">
        <v>17313</v>
      </c>
      <c r="B17313" s="2" t="str">
        <f>IFERROR(__xludf.DUMMYFUNCTION("GOOGLETRANSLATE(A17313, ""en"", ""mt"")"),"Kummenti ppubblikati fuq il-websajt Capital FM tal-Kenja minn Liu Guangyuan, l-Ambaxxatur taċ-Ċina fil-Kenja, fil-ħin tal-vjaġġ tal-President Kenyatta 2013 lejn Beijing, qal, ""L-investiment Ċiniż fil-Kenja ... laħaq $ 474 miljun, li jirrappreżenta l-akba"&amp;"r sors tal-Kenja ta 'investiment dirett barrani, U ... Kummerċ Bilaterali ... laħaq $ 2.84 biljun ""fl-2012. Kenyatta kien"" [a] ckumplikat minn 60 persuna tan-negozju Kenjan [u ttama li] ... jikseb appoġġ miċ-Ċina għal ferrovjarja ppjanata ta '$ 2.5 bilj"&amp;"un mill-Kenjan tan-Nofsinhar Port of Mombasa lill-Uganda ġirien, kif ukoll diga ta 'kważi $ 1.8 biljun "", skond stqarrija mill-uffiċċju tal-president ukoll fil-ħin tal-vjaġġ. Bażi tat-Titanium, sussidjarja tar-Riżorsi Bażi tal-Awstralja, bagħtet l-ewwel "&amp;"konsenja ewlenija tagħha ta ’minerali lejn iċ-Ċina. Madwar 25,000 tunnellata ta 'ilmenite ġiet immarkata barra l-belt kostali tal-Kenja ta' Kilifi. L-ewwel vjeġġ kien mistenni li jaqla 'l-Kenja madwar SHS15 - SHS20 biljun fi qligħ. Iċ-Ċina ilha tikkawża p"&amp;"roblemi ambjentali u soċjali li jinkludu s-sospensjoni reċenti tal-proġett tal-ferrovija.")</f>
        <v>Kummenti ppubblikati fuq il-websajt Capital FM tal-Kenja minn Liu Guangyuan, l-Ambaxxatur taċ-Ċina fil-Kenja, fil-ħin tal-vjaġġ tal-President Kenyatta 2013 lejn Beijing, qal, "L-investiment Ċiniż fil-Kenja ... laħaq $ 474 miljun, li jirrappreżenta l-akbar sors tal-Kenja ta 'investiment dirett barrani, U ... Kummerċ Bilaterali ... laħaq $ 2.84 biljun "fl-2012. Kenyatta kien" [a] ckumplikat minn 60 persuna tan-negozju Kenjan [u ttama li] ... jikseb appoġġ miċ-Ċina għal ferrovjarja ppjanata ta '$ 2.5 biljun mill-Kenjan tan-Nofsinhar Port of Mombasa lill-Uganda ġirien, kif ukoll diga ta 'kważi $ 1.8 biljun ", skond stqarrija mill-uffiċċju tal-president ukoll fil-ħin tal-vjaġġ. Bażi tat-Titanium, sussidjarja tar-Riżorsi Bażi tal-Awstralja, bagħtet l-ewwel konsenja ewlenija tagħha ta ’minerali lejn iċ-Ċina. Madwar 25,000 tunnellata ta 'ilmenite ġiet immarkata barra l-belt kostali tal-Kenja ta' Kilifi. L-ewwel vjeġġ kien mistenni li jaqla 'l-Kenja madwar SHS15 - SHS20 biljun fi qligħ. Iċ-Ċina ilha tikkawża problemi ambjentali u soċjali li jinkludu s-sospensjoni reċenti tal-proġett tal-ferrovija.</v>
      </c>
    </row>
    <row r="17314" ht="15.75" customHeight="1">
      <c r="A17314" s="2" t="s">
        <v>17314</v>
      </c>
      <c r="B17314" s="2" t="str">
        <f>IFERROR(__xludf.DUMMYFUNCTION("GOOGLETRANSLATE(A17314, ""en"", ""mt"")"),"Forzi Torok")</f>
        <v>Forzi Torok</v>
      </c>
    </row>
    <row r="17315" ht="15.75" customHeight="1">
      <c r="A17315" s="2" t="s">
        <v>17315</v>
      </c>
      <c r="B17315" s="2" t="str">
        <f>IFERROR(__xludf.DUMMYFUNCTION("GOOGLETRANSLATE(A17315, ""en"", ""mt"")"),"Madwar ġimgħa")</f>
        <v>Madwar ġimgħa</v>
      </c>
    </row>
    <row r="17316" ht="15.75" customHeight="1">
      <c r="A17316" s="2" t="s">
        <v>17316</v>
      </c>
      <c r="B17316" s="2" t="str">
        <f>IFERROR(__xludf.DUMMYFUNCTION("GOOGLETRANSLATE(A17316, ""en"", ""mt"")"),"X'inhu s-salarju medju tal-kostruzzjoni fil-Lvant Nofsani?")</f>
        <v>X'inhu s-salarju medju tal-kostruzzjoni fil-Lvant Nofsani?</v>
      </c>
    </row>
    <row r="17317" ht="15.75" customHeight="1">
      <c r="A17317" s="2" t="s">
        <v>17317</v>
      </c>
      <c r="B17317" s="2" t="str">
        <f>IFERROR(__xludf.DUMMYFUNCTION("GOOGLETRANSLATE(A17317, ""en"", ""mt"")"),"Liema ktieb huwa rivedut wara kull konferenza ġenerali?")</f>
        <v>Liema ktieb huwa rivedut wara kull konferenza ġenerali?</v>
      </c>
    </row>
    <row r="17318" ht="15.75" customHeight="1">
      <c r="A17318" s="2" t="s">
        <v>17318</v>
      </c>
      <c r="B17318" s="2" t="str">
        <f>IFERROR(__xludf.DUMMYFUNCTION("GOOGLETRANSLATE(A17318, ""en"", ""mt"")"),"L-ambjentalisti huma mħassba dwar it-telf tal-bijodiversità li jirriżulta mill-qerda tal-foresta, u wkoll dwar ir-rilaxx tal-karbonju li jinsab fil-veġetazzjoni, li tista 'tħaffef it-tisħin globali. Il-foresti dejjem tħaddar tal-Amazonian jammontaw għal m"&amp;"adwar 10% tal-produttività primarja terrestri tad-dinja u 10% tal-ħwienet tal-karbonju fl-ekosistemi - ta 'l-ordni ta' 1.1 × 1011 tunnellata metrika ta 'karbonju. Il-foresti tal-Amażonja huma stmati li akkumulaw 0.62 ± 0.37 tunnellata ta 'karbonju għal ku"&amp;"ll ettaru fis-sena bejn l-1975 u l-1996.")</f>
        <v>L-ambjentalisti huma mħassba dwar it-telf tal-bijodiversità li jirriżulta mill-qerda tal-foresta, u wkoll dwar ir-rilaxx tal-karbonju li jinsab fil-veġetazzjoni, li tista 'tħaffef it-tisħin globali. Il-foresti dejjem tħaddar tal-Amazonian jammontaw għal madwar 10% tal-produttività primarja terrestri tad-dinja u 10% tal-ħwienet tal-karbonju fl-ekosistemi - ta 'l-ordni ta' 1.1 × 1011 tunnellata metrika ta 'karbonju. Il-foresti tal-Amażonja huma stmati li akkumulaw 0.62 ± 0.37 tunnellata ta 'karbonju għal kull ettaru fis-sena bejn l-1975 u l-1996.</v>
      </c>
    </row>
    <row r="17319" ht="15.75" customHeight="1">
      <c r="A17319" s="2" t="s">
        <v>17319</v>
      </c>
      <c r="B17319" s="2" t="str">
        <f>IFERROR(__xludf.DUMMYFUNCTION("GOOGLETRANSLATE(A17319, ""en"", ""mt"")"),"Bibbja")</f>
        <v>Bibbja</v>
      </c>
    </row>
    <row r="17320" ht="15.75" customHeight="1">
      <c r="A17320" s="2" t="s">
        <v>17320</v>
      </c>
      <c r="B17320" s="2" t="str">
        <f>IFERROR(__xludf.DUMMYFUNCTION("GOOGLETRANSLATE(A17320, ""en"", ""mt"")"),"Forza tanġenzjali")</f>
        <v>Forza tanġenzjali</v>
      </c>
    </row>
    <row r="17321" ht="15.75" customHeight="1">
      <c r="A17321" s="2" t="s">
        <v>17321</v>
      </c>
      <c r="B17321" s="2" t="str">
        <f>IFERROR(__xludf.DUMMYFUNCTION("GOOGLETRANSLATE(A17321, ""en"", ""mt"")"),"Aktar tard Architecture Arpanet")</f>
        <v>Aktar tard Architecture Arpanet</v>
      </c>
    </row>
    <row r="17322" ht="15.75" customHeight="1">
      <c r="A17322" s="2" t="s">
        <v>17322</v>
      </c>
      <c r="B17322" s="2" t="str">
        <f>IFERROR(__xludf.DUMMYFUNCTION("GOOGLETRANSLATE(A17322, ""en"", ""mt"")"),"Sieur de la Salle kien esplora l-pajjiż ta 'Ohio kważi seklu qabel")</f>
        <v>Sieur de la Salle kien esplora l-pajjiż ta 'Ohio kważi seklu qabel</v>
      </c>
    </row>
    <row r="17323" ht="15.75" customHeight="1">
      <c r="A17323" s="2" t="s">
        <v>17323</v>
      </c>
      <c r="B17323" s="2" t="str">
        <f>IFERROR(__xludf.DUMMYFUNCTION("GOOGLETRANSLATE(A17323, ""en"", ""mt"")"),"Iżżewweġ waħda mill-onorevoli ta 'martu fl-istennija.")</f>
        <v>Iżżewweġ waħda mill-onorevoli ta 'martu fl-istennija.</v>
      </c>
    </row>
    <row r="17324" ht="15.75" customHeight="1">
      <c r="A17324" s="2" t="s">
        <v>17324</v>
      </c>
      <c r="B17324" s="2" t="str">
        <f>IFERROR(__xludf.DUMMYFUNCTION("GOOGLETRANSLATE(A17324, ""en"", ""mt"")"),"ħsara fil-proprjetà")</f>
        <v>ħsara fil-proprjetà</v>
      </c>
    </row>
    <row r="17325" ht="15.75" customHeight="1">
      <c r="A17325" s="2" t="s">
        <v>17325</v>
      </c>
      <c r="B17325" s="2" t="str">
        <f>IFERROR(__xludf.DUMMYFUNCTION("GOOGLETRANSLATE(A17325, ""en"", ""mt"")"),"Nettunu u Triton")</f>
        <v>Nettunu u Triton</v>
      </c>
    </row>
    <row r="17326" ht="15.75" customHeight="1">
      <c r="A17326" s="2" t="s">
        <v>17326</v>
      </c>
      <c r="B17326" s="2" t="str">
        <f>IFERROR(__xludf.DUMMYFUNCTION("GOOGLETRANSLATE(A17326, ""en"", ""mt"")"),"fis-sens li dawk kollha li huma verament jemmnu f'kull età jappartjenu lill-Knisja Mqaddsa inviżibbli")</f>
        <v>fis-sens li dawk kollha li huma verament jemmnu f'kull età jappartjenu lill-Knisja Mqaddsa inviżibbli</v>
      </c>
    </row>
    <row r="17327" ht="15.75" customHeight="1">
      <c r="A17327" s="2" t="s">
        <v>17327</v>
      </c>
      <c r="B17327" s="2" t="str">
        <f>IFERROR(__xludf.DUMMYFUNCTION("GOOGLETRANSLATE(A17327, ""en"", ""mt"")"),"X'kien l-isem tal-kumpanija tat-telegrafija Tesla rritornat wara li sar funzjonali?")</f>
        <v>X'kien l-isem tal-kumpanija tat-telegrafija Tesla rritornat wara li sar funzjonali?</v>
      </c>
    </row>
    <row r="17328" ht="15.75" customHeight="1">
      <c r="A17328" s="2" t="s">
        <v>17328</v>
      </c>
      <c r="B17328" s="2" t="str">
        <f>IFERROR(__xludf.DUMMYFUNCTION("GOOGLETRANSLATE(A17328, ""en"", ""mt"")"),"tip ta '""avvelenament mid-demm""")</f>
        <v>tip ta '"avvelenament mid-demm"</v>
      </c>
    </row>
    <row r="17329" ht="15.75" customHeight="1">
      <c r="A17329" s="2" t="s">
        <v>17329</v>
      </c>
      <c r="B17329" s="2" t="str">
        <f>IFERROR(__xludf.DUMMYFUNCTION("GOOGLETRANSLATE(A17329, ""en"", ""mt"")"),"Teorija moderna tan-numru alġebrin")</f>
        <v>Teorija moderna tan-numru alġebrin</v>
      </c>
    </row>
    <row r="17330" ht="15.75" customHeight="1">
      <c r="A17330" s="2" t="s">
        <v>17330</v>
      </c>
      <c r="B17330" s="2" t="str">
        <f>IFERROR(__xludf.DUMMYFUNCTION("GOOGLETRANSLATE(A17330, ""en"", ""mt"")"),"Enerġija ATP")</f>
        <v>Enerġija ATP</v>
      </c>
    </row>
    <row r="17331" ht="15.75" customHeight="1">
      <c r="A17331" s="2" t="s">
        <v>17331</v>
      </c>
      <c r="B17331" s="2" t="str">
        <f>IFERROR(__xludf.DUMMYFUNCTION("GOOGLETRANSLATE(A17331, ""en"", ""mt"")"),"jaqbeż kwalunkwe numru partikolari")</f>
        <v>jaqbeż kwalunkwe numru partikolari</v>
      </c>
    </row>
    <row r="17332" ht="15.75" customHeight="1">
      <c r="A17332" s="2" t="s">
        <v>17332</v>
      </c>
      <c r="B17332" s="2" t="str">
        <f>IFERROR(__xludf.DUMMYFUNCTION("GOOGLETRANSLATE(A17332, ""en"", ""mt"")"),"minnhom")</f>
        <v>minnhom</v>
      </c>
    </row>
    <row r="17333" ht="15.75" customHeight="1">
      <c r="A17333" s="2" t="s">
        <v>17333</v>
      </c>
      <c r="B17333" s="2" t="str">
        <f>IFERROR(__xludf.DUMMYFUNCTION("GOOGLETRANSLATE(A17333, ""en"", ""mt"")"),"Palazz Leopold Kronenberg")</f>
        <v>Palazz Leopold Kronenberg</v>
      </c>
    </row>
    <row r="17334" ht="15.75" customHeight="1">
      <c r="A17334" s="2" t="s">
        <v>17334</v>
      </c>
      <c r="B17334" s="2" t="str">
        <f>IFERROR(__xludf.DUMMYFUNCTION("GOOGLETRANSLATE(A17334, ""en"", ""mt"")"),"Arranġament ġdid tat-tema, għal darb'oħra minn Gold, ġie introdott fl-episodju speċjali tal-Milied tal-2007, ""Vjaġġ tad-Damned""; Id-deheb irritorna bħala kompożitur għas-serje tal-2010. Huwa kien responsabbli għal verżjoni ġdida tat-tema li kienet irrap"&amp;"purtata li kellha riċeviment ostili minn xi telespettaturi. Fl-2011, l-intonazzjoni tat-tema kienet miktuba fuq in-numru 228 tal-istazzjon tar-radju Classic FM's Hall of Fame, stħarriġ ta 'gosti tal-mużika klassika. Verżjoni riveduta tal-arranġament tal-2"&amp;"010 tad-Deheb kellha d-debutt tagħha fuq it-titli tal-ftuħ tal-2012 tal-Milied speċjali ""The Snowmen"", u saret reviżjoni oħra tal-arranġament għall-50 anniversarju speċjali ""The Day of the Doctor"" f'Novembru 2013. [[ ċitazzjoni meħtieġa]")</f>
        <v>Arranġament ġdid tat-tema, għal darb'oħra minn Gold, ġie introdott fl-episodju speċjali tal-Milied tal-2007, "Vjaġġ tad-Damned"; Id-deheb irritorna bħala kompożitur għas-serje tal-2010. Huwa kien responsabbli għal verżjoni ġdida tat-tema li kienet irrappurtata li kellha riċeviment ostili minn xi telespettaturi. Fl-2011, l-intonazzjoni tat-tema kienet miktuba fuq in-numru 228 tal-istazzjon tar-radju Classic FM's Hall of Fame, stħarriġ ta 'gosti tal-mużika klassika. Verżjoni riveduta tal-arranġament tal-2010 tad-Deheb kellha d-debutt tagħha fuq it-titli tal-ftuħ tal-2012 tal-Milied speċjali "The Snowmen", u saret reviżjoni oħra tal-arranġament għall-50 anniversarju speċjali "The Day of the Doctor" f'Novembru 2013. [[ ċitazzjoni meħtieġa]</v>
      </c>
    </row>
    <row r="17335" ht="15.75" customHeight="1">
      <c r="A17335" s="2" t="s">
        <v>17335</v>
      </c>
      <c r="B17335" s="2" t="str">
        <f>IFERROR(__xludf.DUMMYFUNCTION("GOOGLETRANSLATE(A17335, ""en"", ""mt"")"),"X'inhi l-eqdem knisja Metodista f'użu kontinwu fl-Istati Uniti?")</f>
        <v>X'inhi l-eqdem knisja Metodista f'użu kontinwu fl-Istati Uniti?</v>
      </c>
    </row>
    <row r="17336" ht="15.75" customHeight="1">
      <c r="A17336" s="2" t="s">
        <v>17336</v>
      </c>
      <c r="B17336" s="2" t="str">
        <f>IFERROR(__xludf.DUMMYFUNCTION("GOOGLETRANSLATE(A17336, ""en"", ""mt"")"),"Wara l-għaqda bejn l-ABC u l-bliet kapitali, li sar il-viċi president ta 'ABC Broadcasting?")</f>
        <v>Wara l-għaqda bejn l-ABC u l-bliet kapitali, li sar il-viċi president ta 'ABC Broadcasting?</v>
      </c>
    </row>
    <row r="17337" ht="15.75" customHeight="1">
      <c r="A17337" s="2" t="s">
        <v>17337</v>
      </c>
      <c r="B17337" s="2" t="str">
        <f>IFERROR(__xludf.DUMMYFUNCTION("GOOGLETRANSLATE(A17337, ""en"", ""mt"")"),"John M. Grunsfeld")</f>
        <v>John M. Grunsfeld</v>
      </c>
    </row>
    <row r="17338" ht="15.75" customHeight="1">
      <c r="A17338" s="2" t="s">
        <v>17338</v>
      </c>
      <c r="B17338" s="2" t="str">
        <f>IFERROR(__xludf.DUMMYFUNCTION("GOOGLETRANSLATE(A17338, ""en"", ""mt"")"),"Fit-tramuntana")</f>
        <v>Fit-tramuntana</v>
      </c>
    </row>
    <row r="17339" ht="15.75" customHeight="1">
      <c r="A17339" s="2" t="s">
        <v>17339</v>
      </c>
      <c r="B17339" s="2" t="str">
        <f>IFERROR(__xludf.DUMMYFUNCTION("GOOGLETRANSLATE(A17339, ""en"", ""mt"")"),"Minn dak li kien jaħseb Da Vinci li parti ġiet ikkunsmata waqt il-kombustjoni?")</f>
        <v>Minn dak li kien jaħseb Da Vinci li parti ġiet ikkunsmata waqt il-kombustjoni?</v>
      </c>
    </row>
    <row r="17340" ht="15.75" customHeight="1">
      <c r="A17340" s="2" t="s">
        <v>17340</v>
      </c>
      <c r="B17340" s="2" t="str">
        <f>IFERROR(__xludf.DUMMYFUNCTION("GOOGLETRANSLATE(A17340, ""en"", ""mt"")"),"ellissi")</f>
        <v>ellissi</v>
      </c>
    </row>
    <row r="17341" ht="15.75" customHeight="1">
      <c r="A17341" s="2" t="s">
        <v>17341</v>
      </c>
      <c r="B17341" s="2" t="str">
        <f>IFERROR(__xludf.DUMMYFUNCTION("GOOGLETRANSLATE(A17341, ""en"", ""mt"")"),"Kemm jiżen Tesla?")</f>
        <v>Kemm jiżen Tesla?</v>
      </c>
    </row>
    <row r="17342" ht="15.75" customHeight="1">
      <c r="A17342" s="2" t="s">
        <v>17342</v>
      </c>
      <c r="B17342" s="2" t="str">
        <f>IFERROR(__xludf.DUMMYFUNCTION("GOOGLETRANSLATE(A17342, ""en"", ""mt"")"),"WETTER")</f>
        <v>WETTER</v>
      </c>
    </row>
    <row r="17343" ht="15.75" customHeight="1">
      <c r="A17343" s="2" t="s">
        <v>17343</v>
      </c>
      <c r="B17343" s="2" t="str">
        <f>IFERROR(__xludf.DUMMYFUNCTION("GOOGLETRANSLATE(A17343, ""en"", ""mt"")"),"l-aqwa skola tal-inġinerija")</f>
        <v>l-aqwa skola tal-inġinerija</v>
      </c>
    </row>
    <row r="17344" ht="15.75" customHeight="1">
      <c r="A17344" s="2" t="s">
        <v>17344</v>
      </c>
      <c r="B17344" s="2" t="str">
        <f>IFERROR(__xludf.DUMMYFUNCTION("GOOGLETRANSLATE(A17344, ""en"", ""mt"")"),"Imdawwar mill-gvern milli joqgħod fi New France, Huguenots immexxi minn Jessé de Forest, baħħar lejn l-Amerika ta ’Fuq fl-1624 u stabbilixxa minflok fil-kolonja Olandiża ta’ New Netherland (aktar tard inkorporat fi New York u New Jersey); kif ukoll il-kol"&amp;"onji tal-Gran Brittanja, inklużi n-Nova Scotia. Numru ta 'familji ġodda ta' Amsterdam kienu ta 'oriġini Huguenot, ħafna drabi emigraw bħala refuġjati lejn l-Olanda fis-seklu ta' qabel. Fl-1628 il-Huguenots stabbilixxew kongregazzjoni bħala L'église França"&amp;"ise à la Nouvelle-Amsterdam (il-knisja Franċiża fi New Amsterdam). Din il-parroċċa tkompli llum bħala L’Eglise du Saint-Esprit, parti mit-Tqarbin Episkopali (Anglikana), u tilqa ’lil Francophone New Yorkers mid-dinja kollha. Mal-wasla tagħhom fi New Amste"&amp;"rdam, Huguenots ġew offruti art direttament minn Manhattan fuq Long Island għal ftehim permanenti u għażlu l-port fi tmiem Newtown Creek, u saru l-ewwel Ewropej li jgħixu fi Brooklyn, imbagħad magħrufa bħala Boschwick, fil-lokal, fil-lokal issa magħruf bħ"&amp;"ala Bushwick.")</f>
        <v>Imdawwar mill-gvern milli joqgħod fi New France, Huguenots immexxi minn Jessé de Forest, baħħar lejn l-Amerika ta ’Fuq fl-1624 u stabbilixxa minflok fil-kolonja Olandiża ta’ New Netherland (aktar tard inkorporat fi New York u New Jersey); kif ukoll il-kolonji tal-Gran Brittanja, inklużi n-Nova Scotia. Numru ta 'familji ġodda ta' Amsterdam kienu ta 'oriġini Huguenot, ħafna drabi emigraw bħala refuġjati lejn l-Olanda fis-seklu ta' qabel. Fl-1628 il-Huguenots stabbilixxew kongregazzjoni bħala L'église Française à la Nouvelle-Amsterdam (il-knisja Franċiża fi New Amsterdam). Din il-parroċċa tkompli llum bħala L’Eglise du Saint-Esprit, parti mit-Tqarbin Episkopali (Anglikana), u tilqa ’lil Francophone New Yorkers mid-dinja kollha. Mal-wasla tagħhom fi New Amsterdam, Huguenots ġew offruti art direttament minn Manhattan fuq Long Island għal ftehim permanenti u għażlu l-port fi tmiem Newtown Creek, u saru l-ewwel Ewropej li jgħixu fi Brooklyn, imbagħad magħrufa bħala Boschwick, fil-lokal, fil-lokal issa magħruf bħala Bushwick.</v>
      </c>
    </row>
    <row r="17345" ht="15.75" customHeight="1">
      <c r="A17345" s="2" t="s">
        <v>17345</v>
      </c>
      <c r="B17345" s="2" t="str">
        <f>IFERROR(__xludf.DUMMYFUNCTION("GOOGLETRANSLATE(A17345, ""en"", ""mt"")"),"Fruntieri sodi u ċari")</f>
        <v>Fruntieri sodi u ċari</v>
      </c>
    </row>
    <row r="17346" ht="15.75" customHeight="1">
      <c r="A17346" s="2" t="s">
        <v>17346</v>
      </c>
      <c r="B17346" s="2" t="str">
        <f>IFERROR(__xludf.DUMMYFUNCTION("GOOGLETRANSLATE(A17346, ""en"", ""mt"")"),"in-netwerk u l-utenti konnessi")</f>
        <v>in-netwerk u l-utenti konnessi</v>
      </c>
    </row>
    <row r="17347" ht="15.75" customHeight="1">
      <c r="A17347" s="2" t="s">
        <v>17347</v>
      </c>
      <c r="B17347" s="2" t="str">
        <f>IFERROR(__xludf.DUMMYFUNCTION("GOOGLETRANSLATE(A17347, ""en"", ""mt"")"),"Kemm-il darba għandu jerġa 'jiġi applikat il-qaddej lokali?")</f>
        <v>Kemm-il darba għandu jerġa 'jiġi applikat il-qaddej lokali?</v>
      </c>
    </row>
    <row r="17348" ht="15.75" customHeight="1">
      <c r="A17348" s="2" t="s">
        <v>17348</v>
      </c>
      <c r="B17348" s="2" t="str">
        <f>IFERROR(__xludf.DUMMYFUNCTION("GOOGLETRANSLATE(A17348, ""en"", ""mt"")"),"ir-razez tal-ogħla ""effiċjenza soċjali""")</f>
        <v>ir-razez tal-ogħla "effiċjenza soċjali"</v>
      </c>
    </row>
    <row r="17349" ht="15.75" customHeight="1">
      <c r="A17349" s="2" t="s">
        <v>17349</v>
      </c>
      <c r="B17349" s="2" t="str">
        <f>IFERROR(__xludf.DUMMYFUNCTION("GOOGLETRANSLATE(A17349, ""en"", ""mt"")"),"tipparteċipa fid-diviżjoni taċ-ċelluli, rotta tal-proteini, u anke reżistenza għall-mard")</f>
        <v>tipparteċipa fid-diviżjoni taċ-ċelluli, rotta tal-proteini, u anke reżistenza għall-mard</v>
      </c>
    </row>
    <row r="17350" ht="15.75" customHeight="1">
      <c r="A17350" s="2" t="s">
        <v>17350</v>
      </c>
      <c r="B17350" s="2" t="str">
        <f>IFERROR(__xludf.DUMMYFUNCTION("GOOGLETRANSLATE(A17350, ""en"", ""mt"")"),"Kemm tefa 'Cam Newton?")</f>
        <v>Kemm tefa 'Cam Newton?</v>
      </c>
    </row>
    <row r="17351" ht="15.75" customHeight="1">
      <c r="A17351" s="2" t="s">
        <v>17351</v>
      </c>
      <c r="B17351" s="2" t="str">
        <f>IFERROR(__xludf.DUMMYFUNCTION("GOOGLETRANSLATE(A17351, ""en"", ""mt"")"),"fil-majjistral tar-Russja")</f>
        <v>fil-majjistral tar-Russja</v>
      </c>
    </row>
    <row r="17352" ht="15.75" customHeight="1">
      <c r="A17352" s="2" t="s">
        <v>17352</v>
      </c>
      <c r="B17352" s="2" t="str">
        <f>IFERROR(__xludf.DUMMYFUNCTION("GOOGLETRANSLATE(A17352, ""en"", ""mt"")"),"Standards ta 'prattika għall-professjoni tat-tagħlim")</f>
        <v>Standards ta 'prattika għall-professjoni tat-tagħlim</v>
      </c>
    </row>
    <row r="17353" ht="15.75" customHeight="1">
      <c r="A17353" s="2" t="s">
        <v>17353</v>
      </c>
      <c r="B17353" s="2" t="str">
        <f>IFERROR(__xludf.DUMMYFUNCTION("GOOGLETRANSLATE(A17353, ""en"", ""mt"")"),"Madwar 20 siegħa")</f>
        <v>Madwar 20 siegħa</v>
      </c>
    </row>
    <row r="17354" ht="15.75" customHeight="1">
      <c r="A17354" s="2" t="s">
        <v>17354</v>
      </c>
      <c r="B17354" s="2" t="str">
        <f>IFERROR(__xludf.DUMMYFUNCTION("GOOGLETRANSLATE(A17354, ""en"", ""mt"")"),"irrazzjonali u lura")</f>
        <v>irrazzjonali u lura</v>
      </c>
    </row>
    <row r="17355" ht="15.75" customHeight="1">
      <c r="A17355" s="2" t="s">
        <v>17355</v>
      </c>
      <c r="B17355" s="2" t="str">
        <f>IFERROR(__xludf.DUMMYFUNCTION("GOOGLETRANSLATE(A17355, ""en"", ""mt"")"),"Liema episodji ta 'Family Guy fihom Doctor Who References?")</f>
        <v>Liema episodji ta 'Family Guy fihom Doctor Who References?</v>
      </c>
    </row>
    <row r="17356" ht="15.75" customHeight="1">
      <c r="A17356" s="2" t="s">
        <v>17356</v>
      </c>
      <c r="B17356" s="2" t="str">
        <f>IFERROR(__xludf.DUMMYFUNCTION("GOOGLETRANSLATE(A17356, ""en"", ""mt"")"),"Drogi narkotiċi")</f>
        <v>Drogi narkotiċi</v>
      </c>
    </row>
    <row r="17357" ht="15.75" customHeight="1">
      <c r="A17357" s="2" t="s">
        <v>17357</v>
      </c>
      <c r="B17357" s="2" t="str">
        <f>IFERROR(__xludf.DUMMYFUNCTION("GOOGLETRANSLATE(A17357, ""en"", ""mt"")"),"jenfasizzaw l-akkademiċi")</f>
        <v>jenfasizzaw l-akkademiċi</v>
      </c>
    </row>
    <row r="17358" ht="15.75" customHeight="1">
      <c r="A17358" s="2" t="s">
        <v>17358</v>
      </c>
      <c r="B17358" s="2" t="str">
        <f>IFERROR(__xludf.DUMMYFUNCTION("GOOGLETRANSLATE(A17358, ""en"", ""mt"")"),"Kif inhuma r-rati ta 'oġġetti soċjali f'pajjiżi b'inugwaljanza ogħla?")</f>
        <v>Kif inhuma r-rati ta 'oġġetti soċjali f'pajjiżi b'inugwaljanza ogħla?</v>
      </c>
    </row>
    <row r="17359" ht="15.75" customHeight="1">
      <c r="A17359" s="2" t="s">
        <v>17359</v>
      </c>
      <c r="B17359" s="2" t="str">
        <f>IFERROR(__xludf.DUMMYFUNCTION("GOOGLETRANSLATE(A17359, ""en"", ""mt"")"),"356 ± 47 tunnellata għal kull ettaru")</f>
        <v>356 ± 47 tunnellata għal kull ettaru</v>
      </c>
    </row>
    <row r="17360" ht="15.75" customHeight="1">
      <c r="A17360" s="2" t="s">
        <v>17360</v>
      </c>
      <c r="B17360" s="2" t="str">
        <f>IFERROR(__xludf.DUMMYFUNCTION("GOOGLETRANSLATE(A17360, ""en"", ""mt"")"),"każ tal-ħġieġ")</f>
        <v>każ tal-ħġieġ</v>
      </c>
    </row>
    <row r="17361" ht="15.75" customHeight="1">
      <c r="A17361" s="2" t="s">
        <v>17361</v>
      </c>
      <c r="B17361" s="2" t="str">
        <f>IFERROR(__xludf.DUMMYFUNCTION("GOOGLETRANSLATE(A17361, ""en"", ""mt"")"),"imħabba, paċenzja, karità, u libertà")</f>
        <v>imħabba, paċenzja, karità, u libertà</v>
      </c>
    </row>
    <row r="17362" ht="15.75" customHeight="1">
      <c r="A17362" s="2" t="s">
        <v>17362</v>
      </c>
      <c r="B17362" s="2" t="str">
        <f>IFERROR(__xludf.DUMMYFUNCTION("GOOGLETRANSLATE(A17362, ""en"", ""mt"")"),"żewġ astronawti")</f>
        <v>żewġ astronawti</v>
      </c>
    </row>
    <row r="17363" ht="15.75" customHeight="1">
      <c r="A17363" s="2" t="s">
        <v>17363</v>
      </c>
      <c r="B17363" s="2" t="str">
        <f>IFERROR(__xludf.DUMMYFUNCTION("GOOGLETRANSLATE(A17363, ""en"", ""mt"")"),"Żball tipografiku")</f>
        <v>Żball tipografiku</v>
      </c>
    </row>
    <row r="17364" ht="15.75" customHeight="1">
      <c r="A17364" s="2" t="s">
        <v>17364</v>
      </c>
      <c r="B17364" s="2" t="str">
        <f>IFERROR(__xludf.DUMMYFUNCTION("GOOGLETRANSLATE(A17364, ""en"", ""mt"")"),"Il-Mużew tal-Ispazju")</f>
        <v>Il-Mużew tal-Ispazju</v>
      </c>
    </row>
    <row r="17365" ht="15.75" customHeight="1">
      <c r="A17365" s="2" t="s">
        <v>17365</v>
      </c>
      <c r="B17365" s="2" t="str">
        <f>IFERROR(__xludf.DUMMYFUNCTION("GOOGLETRANSLATE(A17365, ""en"", ""mt"")"),"Ruman")</f>
        <v>Ruman</v>
      </c>
    </row>
    <row r="17366" ht="15.75" customHeight="1">
      <c r="A17366" s="2" t="s">
        <v>17366</v>
      </c>
      <c r="B17366" s="2" t="str">
        <f>IFERROR(__xludf.DUMMYFUNCTION("GOOGLETRANSLATE(A17366, ""en"", ""mt"")"),"Choctaw u l-qala")</f>
        <v>Choctaw u l-qala</v>
      </c>
    </row>
    <row r="17367" ht="15.75" customHeight="1">
      <c r="A17367" s="2" t="s">
        <v>17367</v>
      </c>
      <c r="B17367" s="2" t="str">
        <f>IFERROR(__xludf.DUMMYFUNCTION("GOOGLETRANSLATE(A17367, ""en"", ""mt"")"),"mewt u ġudizzju divin")</f>
        <v>mewt u ġudizzju divin</v>
      </c>
    </row>
    <row r="17368" ht="15.75" customHeight="1">
      <c r="A17368" s="2" t="s">
        <v>17368</v>
      </c>
      <c r="B17368" s="2" t="str">
        <f>IFERROR(__xludf.DUMMYFUNCTION("GOOGLETRANSLATE(A17368, ""en"", ""mt"")"),"Fejn jiċċaqalqu l-vesikuli tat-trasport?")</f>
        <v>Fejn jiċċaqalqu l-vesikuli tat-trasport?</v>
      </c>
    </row>
    <row r="17369" ht="15.75" customHeight="1">
      <c r="A17369" s="2" t="s">
        <v>17369</v>
      </c>
      <c r="B17369" s="2" t="str">
        <f>IFERROR(__xludf.DUMMYFUNCTION("GOOGLETRANSLATE(A17369, ""en"", ""mt"")"),"awtorità sagramentali")</f>
        <v>awtorità sagramentali</v>
      </c>
    </row>
    <row r="17370" ht="15.75" customHeight="1">
      <c r="A17370" s="2" t="s">
        <v>17370</v>
      </c>
      <c r="B17370" s="2" t="str">
        <f>IFERROR(__xludf.DUMMYFUNCTION("GOOGLETRANSLATE(A17370, ""en"", ""mt"")"),"Liema soċjetà waqqfet l-Università ta 'Chicago?")</f>
        <v>Liema soċjetà waqqfet l-Università ta 'Chicago?</v>
      </c>
    </row>
    <row r="17371" ht="15.75" customHeight="1">
      <c r="A17371" s="2" t="s">
        <v>17371</v>
      </c>
      <c r="B17371" s="2" t="str">
        <f>IFERROR(__xludf.DUMMYFUNCTION("GOOGLETRANSLATE(A17371, ""en"", ""mt"")"),"Koalizzjoni reliġjuża għall-għażla riproduttiva.")</f>
        <v>Koalizzjoni reliġjuża għall-għażla riproduttiva.</v>
      </c>
    </row>
    <row r="17372" ht="15.75" customHeight="1">
      <c r="A17372" s="2" t="s">
        <v>17372</v>
      </c>
      <c r="B17372" s="2" t="str">
        <f>IFERROR(__xludf.DUMMYFUNCTION("GOOGLETRANSLATE(A17372, ""en"", ""mt"")"),"Fil-host Dinophyte")</f>
        <v>Fil-host Dinophyte</v>
      </c>
    </row>
    <row r="17373" ht="15.75" customHeight="1">
      <c r="A17373" s="2" t="s">
        <v>17373</v>
      </c>
      <c r="B17373" s="2" t="str">
        <f>IFERROR(__xludf.DUMMYFUNCTION("GOOGLETRANSLATE(A17373, ""en"", ""mt"")"),"pjattaforma bis-satellita")</f>
        <v>pjattaforma bis-satellita</v>
      </c>
    </row>
    <row r="17374" ht="15.75" customHeight="1">
      <c r="A17374" s="2" t="s">
        <v>17374</v>
      </c>
      <c r="B17374" s="2" t="str">
        <f>IFERROR(__xludf.DUMMYFUNCTION("GOOGLETRANSLATE(A17374, ""en"", ""mt"")"),"Figura ewlenija fil-pjanijiet għal dak li kien se jkun magħruf bħala l-Imperu Amerikan, kien ġeografu jismu Isiah Bowman. Bowman kien id-direttur tas-Soċjetà Ġeografika Amerikana fl-1914. Tliet snin wara fl-1917, inħatar l-inkjesta tal-President Woodrow W"&amp;"ilson fl-1917. L-inkjesta kienet l-idea tal-President Wilson u d-delegazzjoni Amerikana mill-Konferenza tal-Paċi ta 'Pariġi. Il-punt ta 'din l-inkjesta kien li tinbena premessa li tippermetti l-awtrija ta' l-Istati Uniti ta '' dinja ġdida 'li kellha tkun "&amp;"ikkaratterizzata minn ordni ġeografika. Bħala riżultat tar-rwol tiegħu fl-inkjesta, Isiah Bowman se jkun magħruf bħala Wilson's Geographer.")</f>
        <v>Figura ewlenija fil-pjanijiet għal dak li kien se jkun magħruf bħala l-Imperu Amerikan, kien ġeografu jismu Isiah Bowman. Bowman kien id-direttur tas-Soċjetà Ġeografika Amerikana fl-1914. Tliet snin wara fl-1917, inħatar l-inkjesta tal-President Woodrow Wilson fl-1917. L-inkjesta kienet l-idea tal-President Wilson u d-delegazzjoni Amerikana mill-Konferenza tal-Paċi ta 'Pariġi. Il-punt ta 'din l-inkjesta kien li tinbena premessa li tippermetti l-awtrija ta' l-Istati Uniti ta '' dinja ġdida 'li kellha tkun ikkaratterizzata minn ordni ġeografika. Bħala riżultat tar-rwol tiegħu fl-inkjesta, Isiah Bowman se jkun magħruf bħala Wilson's Geographer.</v>
      </c>
    </row>
    <row r="17375" ht="15.75" customHeight="1">
      <c r="A17375" s="2" t="s">
        <v>17375</v>
      </c>
      <c r="B17375" s="2" t="str">
        <f>IFERROR(__xludf.DUMMYFUNCTION("GOOGLETRANSLATE(A17375, ""en"", ""mt"")"),"jipproteġu l-artijiet tribali tagħhom minn interessi kummerċjali")</f>
        <v>jipproteġu l-artijiet tribali tagħhom minn interessi kummerċjali</v>
      </c>
    </row>
    <row r="17376" ht="15.75" customHeight="1">
      <c r="A17376" s="2" t="s">
        <v>17376</v>
      </c>
      <c r="B17376" s="2" t="str">
        <f>IFERROR(__xludf.DUMMYFUNCTION("GOOGLETRANSLATE(A17376, ""en"", ""mt"")"),"Hekk kif Robert Michael x’qed jara l-lingwa vjolenti ta ’Luther lejn il-Lhud?")</f>
        <v>Hekk kif Robert Michael x’qed jara l-lingwa vjolenti ta ’Luther lejn il-Lhud?</v>
      </c>
    </row>
    <row r="17377" ht="15.75" customHeight="1">
      <c r="A17377" s="2" t="s">
        <v>17377</v>
      </c>
      <c r="B17377" s="2" t="str">
        <f>IFERROR(__xludf.DUMMYFUNCTION("GOOGLETRANSLATE(A17377, ""en"", ""mt"")"),"Min għamel id-debutt kummerċjali tas-Super Bowl tagħhom ma 'Nintendo?")</f>
        <v>Min għamel id-debutt kummerċjali tas-Super Bowl tagħhom ma 'Nintendo?</v>
      </c>
    </row>
    <row r="17378" ht="15.75" customHeight="1">
      <c r="A17378" s="2" t="s">
        <v>17378</v>
      </c>
      <c r="B17378" s="2" t="str">
        <f>IFERROR(__xludf.DUMMYFUNCTION("GOOGLETRANSLATE(A17378, ""en"", ""mt"")"),"Fuq kemm studji wrew li l-vjolenza hija iktar komuni f'soċjetajiet b'differenzi ta 'dħul?")</f>
        <v>Fuq kemm studji wrew li l-vjolenza hija iktar komuni f'soċjetajiet b'differenzi ta 'dħul?</v>
      </c>
    </row>
    <row r="17379" ht="15.75" customHeight="1">
      <c r="A17379" s="2" t="s">
        <v>17379</v>
      </c>
      <c r="B17379" s="2" t="str">
        <f>IFERROR(__xludf.DUMMYFUNCTION("GOOGLETRANSLATE(A17379, ""en"", ""mt"")"),"Aktar ATP minn NADPH")</f>
        <v>Aktar ATP minn NADPH</v>
      </c>
    </row>
    <row r="17380" ht="15.75" customHeight="1">
      <c r="A17380" s="2" t="s">
        <v>17380</v>
      </c>
      <c r="B17380" s="2" t="str">
        <f>IFERROR(__xludf.DUMMYFUNCTION("GOOGLETRANSLATE(A17380, ""en"", ""mt"")"),"toroq militari għaż-żona")</f>
        <v>toroq militari għaż-żona</v>
      </c>
    </row>
    <row r="17381" ht="15.75" customHeight="1">
      <c r="A17381" s="2" t="s">
        <v>17381</v>
      </c>
      <c r="B17381" s="2" t="str">
        <f>IFERROR(__xludf.DUMMYFUNCTION("GOOGLETRANSLATE(A17381, ""en"", ""mt"")"),"Saħħa fiżika fqira")</f>
        <v>Saħħa fiżika fqira</v>
      </c>
    </row>
    <row r="17382" ht="15.75" customHeight="1">
      <c r="A17382" s="2" t="s">
        <v>17382</v>
      </c>
      <c r="B17382" s="2" t="str">
        <f>IFERROR(__xludf.DUMMYFUNCTION("GOOGLETRANSLATE(A17382, ""en"", ""mt"")"),"Ma 'Tanaghrisson u l-partit tiegħu, sorpriż lill-Kanadiżi fit-28 ta' Mejju f'dak li sar magħruf bħala l-Battalja ta 'Jumonville Glen")</f>
        <v>Ma 'Tanaghrisson u l-partit tiegħu, sorpriż lill-Kanadiżi fit-28 ta' Mejju f'dak li sar magħruf bħala l-Battalja ta 'Jumonville Glen</v>
      </c>
    </row>
    <row r="17383" ht="15.75" customHeight="1">
      <c r="A17383" s="2" t="s">
        <v>17383</v>
      </c>
      <c r="B17383" s="2" t="str">
        <f>IFERROR(__xludf.DUMMYFUNCTION("GOOGLETRANSLATE(A17383, ""en"", ""mt"")"),"""Dwar il-kumplessità tal-komputazzjoni tal-algoritmi""")</f>
        <v>"Dwar il-kumplessità tal-komputazzjoni tal-algoritmi"</v>
      </c>
    </row>
    <row r="17384" ht="15.75" customHeight="1">
      <c r="A17384" s="2" t="s">
        <v>17384</v>
      </c>
      <c r="B17384" s="2" t="str">
        <f>IFERROR(__xludf.DUMMYFUNCTION("GOOGLETRANSLATE(A17384, ""en"", ""mt"")"),"1695–1696")</f>
        <v>1695–1696</v>
      </c>
    </row>
    <row r="17385" ht="15.75" customHeight="1">
      <c r="A17385" s="2" t="s">
        <v>17385</v>
      </c>
      <c r="B17385" s="2" t="str">
        <f>IFERROR(__xludf.DUMMYFUNCTION("GOOGLETRANSLATE(A17385, ""en"", ""mt"")"),"fuq indulġenzi għall-għixien")</f>
        <v>fuq indulġenzi għall-għixien</v>
      </c>
    </row>
    <row r="17386" ht="15.75" customHeight="1">
      <c r="A17386" s="2" t="s">
        <v>17386</v>
      </c>
      <c r="B17386" s="2" t="str">
        <f>IFERROR(__xludf.DUMMYFUNCTION("GOOGLETRANSLATE(A17386, ""en"", ""mt"")"),"X'inhuma żgur dwar kif il-kloroplasti jagħmlu prekursuri tal-metjonina?")</f>
        <v>X'inhuma żgur dwar kif il-kloroplasti jagħmlu prekursuri tal-metjonina?</v>
      </c>
    </row>
    <row r="17387" ht="15.75" customHeight="1">
      <c r="A17387" s="2" t="s">
        <v>17387</v>
      </c>
      <c r="B17387" s="2" t="str">
        <f>IFERROR(__xludf.DUMMYFUNCTION("GOOGLETRANSLATE(A17387, ""en"", ""mt"")"),"Minbarra l-ipoteżi ta 'Riemann, ħafna iktar konġetturi li jduru dwar il-primes ġew maħluqa. Ħafna drabi jkollhom formulazzjoni elementari, ħafna minn dawn il-konġetturi rreżistew prova għal għexieren ta 'snin: l-erba' problemi ta 'Landau mill-1912 għadhom"&amp;" mhux solvuti. Waħda minnhom hija l-konġettura ta 'Goldbach, li tafferma li kull numru sħiħ n akbar minn 2 jista' jinkiteb bħala somma ta 'żewġ primes. Minn Frar 2011 [aġġornament], din il-konġettura ġiet ivverifikata għan-numri kollha sa n = 2 · 1017. Di"&amp;"kjarazzjonijiet aktar dgħajfa minn dan ġew ippruvati, pereżempju t-teorema ta 'Vinogradov tgħid li kull numru sħiħ fard kbir biżżejjed jista' jinkiteb bħala somma ta ' tliet primes. It-teorema ta 'Chen tgħid li kull numru kbir biżżejjed uniformi jista' ji"&amp;"ġi espress bħala s-somma ta 'prim u semiprime, il-prodott ta' żewġ primes. Ukoll, kwalunkwe numru sħiħ jista 'jinkiteb bħala s-somma ta' sitt primes. Il-fergħa tat-teorija tan-numri li tistudja dawn il-mistoqsijiet tissejjaħ teorija tan-numru tal-addittiv"&amp;".")</f>
        <v>Minbarra l-ipoteżi ta 'Riemann, ħafna iktar konġetturi li jduru dwar il-primes ġew maħluqa. Ħafna drabi jkollhom formulazzjoni elementari, ħafna minn dawn il-konġetturi rreżistew prova għal għexieren ta 'snin: l-erba' problemi ta 'Landau mill-1912 għadhom mhux solvuti. Waħda minnhom hija l-konġettura ta 'Goldbach, li tafferma li kull numru sħiħ n akbar minn 2 jista' jinkiteb bħala somma ta 'żewġ primes. Minn Frar 2011 [aġġornament], din il-konġettura ġiet ivverifikata għan-numri kollha sa n = 2 · 1017. Dikjarazzjonijiet aktar dgħajfa minn dan ġew ippruvati, pereżempju t-teorema ta 'Vinogradov tgħid li kull numru sħiħ fard kbir biżżejjed jista' jinkiteb bħala somma ta ' tliet primes. It-teorema ta 'Chen tgħid li kull numru kbir biżżejjed uniformi jista' jiġi espress bħala s-somma ta 'prim u semiprime, il-prodott ta' żewġ primes. Ukoll, kwalunkwe numru sħiħ jista 'jinkiteb bħala s-somma ta' sitt primes. Il-fergħa tat-teorija tan-numri li tistudja dawn il-mistoqsijiet tissejjaħ teorija tan-numru tal-addittiv.</v>
      </c>
    </row>
    <row r="17388" ht="15.75" customHeight="1">
      <c r="A17388" s="2" t="s">
        <v>17388</v>
      </c>
      <c r="B17388" s="2" t="str">
        <f>IFERROR(__xludf.DUMMYFUNCTION("GOOGLETRANSLATE(A17388, ""en"", ""mt"")"),"Liema grupp approva l-ħatra ta 'lesbjani msieħba b'mod miftuħ għad-djakonat proviżorju?")</f>
        <v>Liema grupp approva l-ħatra ta 'lesbjani msieħba b'mod miftuħ għad-djakonat proviżorju?</v>
      </c>
    </row>
    <row r="17389" ht="15.75" customHeight="1">
      <c r="A17389" s="2" t="s">
        <v>17389</v>
      </c>
      <c r="B17389" s="2" t="str">
        <f>IFERROR(__xludf.DUMMYFUNCTION("GOOGLETRANSLATE(A17389, ""en"", ""mt"")"),"X'għamlet il-brevett ta 'Tesla fl-1891?")</f>
        <v>X'għamlet il-brevett ta 'Tesla fl-1891?</v>
      </c>
    </row>
    <row r="17390" ht="15.75" customHeight="1">
      <c r="A17390" s="2" t="s">
        <v>17390</v>
      </c>
      <c r="B17390" s="2" t="str">
        <f>IFERROR(__xludf.DUMMYFUNCTION("GOOGLETRANSLATE(A17390, ""en"", ""mt"")"),"Jannar 1964, sakemm kiseb l-ewwel inżul ta 'l-ekwipaġġ f'Lulju 1969,")</f>
        <v>Jannar 1964, sakemm kiseb l-ewwel inżul ta 'l-ekwipaġġ f'Lulju 1969,</v>
      </c>
    </row>
    <row r="17391" ht="15.75" customHeight="1">
      <c r="A17391" s="2" t="s">
        <v>17391</v>
      </c>
      <c r="B17391" s="2" t="str">
        <f>IFERROR(__xludf.DUMMYFUNCTION("GOOGLETRANSLATE(A17391, ""en"", ""mt"")"),"Meta Tesla ammettiet lil reporter li forsi hu ssagrifika wisq billi ma jkollux relazzjoni?")</f>
        <v>Meta Tesla ammettiet lil reporter li forsi hu ssagrifika wisq billi ma jkollux relazzjoni?</v>
      </c>
    </row>
    <row r="17392" ht="15.75" customHeight="1">
      <c r="A17392" s="2" t="s">
        <v>17392</v>
      </c>
      <c r="B17392" s="2" t="str">
        <f>IFERROR(__xludf.DUMMYFUNCTION("GOOGLETRANSLATE(A17392, ""en"", ""mt"")"),"Konservazzjoni bbażata fil-Komunità")</f>
        <v>Konservazzjoni bbażata fil-Komunità</v>
      </c>
    </row>
    <row r="17393" ht="15.75" customHeight="1">
      <c r="A17393" s="2" t="s">
        <v>17393</v>
      </c>
      <c r="B17393" s="2" t="str">
        <f>IFERROR(__xludf.DUMMYFUNCTION("GOOGLETRANSLATE(A17393, ""en"", ""mt"")"),"John B. Goodenough")</f>
        <v>John B. Goodenough</v>
      </c>
    </row>
    <row r="17394" ht="15.75" customHeight="1">
      <c r="A17394" s="2" t="s">
        <v>17394</v>
      </c>
      <c r="B17394" s="2" t="str">
        <f>IFERROR(__xludf.DUMMYFUNCTION("GOOGLETRANSLATE(A17394, ""en"", ""mt"")"),"Proġetti ta 'missili")</f>
        <v>Proġetti ta 'missili</v>
      </c>
    </row>
    <row r="17395" ht="15.75" customHeight="1">
      <c r="A17395" s="2" t="s">
        <v>17395</v>
      </c>
      <c r="B17395" s="2" t="str">
        <f>IFERROR(__xludf.DUMMYFUNCTION("GOOGLETRANSLATE(A17395, ""en"", ""mt"")"),"22 ta 'Novembru")</f>
        <v>22 ta 'Novembru</v>
      </c>
    </row>
    <row r="17396" ht="15.75" customHeight="1">
      <c r="A17396" s="2" t="s">
        <v>17396</v>
      </c>
      <c r="B17396" s="2" t="str">
        <f>IFERROR(__xludf.DUMMYFUNCTION("GOOGLETRANSLATE(A17396, ""en"", ""mt"")"),"Kemm fażijiet infetħet il-metro bejn l-1980 u l-1984?")</f>
        <v>Kemm fażijiet infetħet il-metro bejn l-1980 u l-1984?</v>
      </c>
    </row>
    <row r="17397" ht="15.75" customHeight="1">
      <c r="A17397" s="2" t="s">
        <v>17397</v>
      </c>
      <c r="B17397" s="2" t="str">
        <f>IFERROR(__xludf.DUMMYFUNCTION("GOOGLETRANSLATE(A17397, ""en"", ""mt"")"),"Meta jistgħu l-ħbub tal-lamtu jsiru kbar żżejjed?")</f>
        <v>Meta jistgħu l-ħbub tal-lamtu jsiru kbar żżejjed?</v>
      </c>
    </row>
    <row r="17398" ht="15.75" customHeight="1">
      <c r="A17398" s="2" t="s">
        <v>17398</v>
      </c>
      <c r="B17398" s="2" t="str">
        <f>IFERROR(__xludf.DUMMYFUNCTION("GOOGLETRANSLATE(A17398, ""en"", ""mt"")"),"Kamra tal-Altitudni")</f>
        <v>Kamra tal-Altitudni</v>
      </c>
    </row>
    <row r="17399" ht="15.75" customHeight="1">
      <c r="A17399" s="2" t="s">
        <v>17399</v>
      </c>
      <c r="B17399" s="2" t="str">
        <f>IFERROR(__xludf.DUMMYFUNCTION("GOOGLETRANSLATE(A17399, ""en"", ""mt"")"),"żieda fl-iskrutinju")</f>
        <v>żieda fl-iskrutinju</v>
      </c>
    </row>
    <row r="17400" ht="15.75" customHeight="1">
      <c r="A17400" s="2" t="s">
        <v>17400</v>
      </c>
      <c r="B17400" s="2" t="str">
        <f>IFERROR(__xludf.DUMMYFUNCTION("GOOGLETRANSLATE(A17400, ""en"", ""mt"")"),"X'jista 'jiġġustifika restrizzjonijiet fuq il-libertà tal-istabbiliment?")</f>
        <v>X'jista 'jiġġustifika restrizzjonijiet fuq il-libertà tal-istabbiliment?</v>
      </c>
    </row>
    <row r="17401" ht="15.75" customHeight="1">
      <c r="A17401" s="2" t="s">
        <v>17401</v>
      </c>
      <c r="B17401" s="2" t="str">
        <f>IFERROR(__xludf.DUMMYFUNCTION("GOOGLETRANSLATE(A17401, ""en"", ""mt"")"),"Il-Harvard Crimson jikkompeti fi 42 sport intercollegiate fid-Diviżjoni I tal-NCAA IVY League. Harvard għandu rivalità atletika intensa mal-Università ta 'Yale li twassal fil-logħba, għalkemm ir-regatta ta' Harvard-Yale tkun qabel il-logħba tal-futbol. Di"&amp;"n ir-rivalità, għalkemm, titwarrab kull sentejn meta t-timijiet ta 'Harvard u Yale Track and Field jingħaqdu biex jikkompetu kontra Tim ta' Università ta 'Oxford magħquda u Cambridge University, kompetizzjoni li hija l-eqdem kompetizzjoni tad-dilettanti i"&amp;"nternazzjonali kontinwa fid-dinja.")</f>
        <v>Il-Harvard Crimson jikkompeti fi 42 sport intercollegiate fid-Diviżjoni I tal-NCAA IVY League. Harvard għandu rivalità atletika intensa mal-Università ta 'Yale li twassal fil-logħba, għalkemm ir-regatta ta' Harvard-Yale tkun qabel il-logħba tal-futbol. Din ir-rivalità, għalkemm, titwarrab kull sentejn meta t-timijiet ta 'Harvard u Yale Track and Field jingħaqdu biex jikkompetu kontra Tim ta' Università ta 'Oxford magħquda u Cambridge University, kompetizzjoni li hija l-eqdem kompetizzjoni tad-dilettanti internazzjonali kontinwa fid-dinja.</v>
      </c>
    </row>
    <row r="17402" ht="15.75" customHeight="1">
      <c r="A17402" s="2" t="s">
        <v>17402</v>
      </c>
      <c r="B17402" s="2" t="str">
        <f>IFERROR(__xludf.DUMMYFUNCTION("GOOGLETRANSLATE(A17402, ""en"", ""mt"")"),"interface standardizzata")</f>
        <v>interface standardizzata</v>
      </c>
    </row>
    <row r="17403" ht="15.75" customHeight="1">
      <c r="A17403" s="2" t="s">
        <v>17403</v>
      </c>
      <c r="B17403" s="2" t="str">
        <f>IFERROR(__xludf.DUMMYFUNCTION("GOOGLETRANSLATE(A17403, ""en"", ""mt"")"),"viżjonijiet")</f>
        <v>viżjonijiet</v>
      </c>
    </row>
    <row r="17404" ht="15.75" customHeight="1">
      <c r="A17404" s="2" t="s">
        <v>17404</v>
      </c>
      <c r="B17404" s="2" t="str">
        <f>IFERROR(__xludf.DUMMYFUNCTION("GOOGLETRANSLATE(A17404, ""en"", ""mt"")"),"X'inhuma l-uċuħ tal-flus ewlenin fil-Kenja?")</f>
        <v>X'inhuma l-uċuħ tal-flus ewlenin fil-Kenja?</v>
      </c>
    </row>
    <row r="17405" ht="15.75" customHeight="1">
      <c r="A17405" s="2" t="s">
        <v>17405</v>
      </c>
      <c r="B17405" s="2" t="str">
        <f>IFERROR(__xludf.DUMMYFUNCTION("GOOGLETRANSLATE(A17405, ""en"", ""mt"")"),"X’sar mal-Knisja ta ’Sant’Andrija fl-1726?")</f>
        <v>X’sar mal-Knisja ta ’Sant’Andrija fl-1726?</v>
      </c>
    </row>
    <row r="17406" ht="15.75" customHeight="1">
      <c r="A17406" s="2" t="s">
        <v>17406</v>
      </c>
      <c r="B17406" s="2" t="str">
        <f>IFERROR(__xludf.DUMMYFUNCTION("GOOGLETRANSLATE(A17406, ""en"", ""mt"")"),"Intraprenditorija bbażata fuq l-opportunità")</f>
        <v>Intraprenditorija bbażata fuq l-opportunità</v>
      </c>
    </row>
    <row r="17407" ht="15.75" customHeight="1">
      <c r="A17407" s="2" t="s">
        <v>17407</v>
      </c>
      <c r="B17407" s="2" t="str">
        <f>IFERROR(__xludf.DUMMYFUNCTION("GOOGLETRANSLATE(A17407, ""en"", ""mt"")"),"Pjattaforma Diġitali Sky")</f>
        <v>Pjattaforma Diġitali Sky</v>
      </c>
    </row>
    <row r="17408" ht="15.75" customHeight="1">
      <c r="A17408" s="2" t="s">
        <v>17408</v>
      </c>
      <c r="B17408" s="2" t="str">
        <f>IFERROR(__xludf.DUMMYFUNCTION("GOOGLETRANSLATE(A17408, ""en"", ""mt"")"),"X'kien użat terminu ieħor għall-kriżi taż-żejt?")</f>
        <v>X'kien użat terminu ieħor għall-kriżi taż-żejt?</v>
      </c>
    </row>
    <row r="17409" ht="15.75" customHeight="1">
      <c r="A17409" s="2" t="s">
        <v>17409</v>
      </c>
      <c r="B17409" s="2" t="str">
        <f>IFERROR(__xludf.DUMMYFUNCTION("GOOGLETRANSLATE(A17409, ""en"", ""mt"")"),"Fil-qalba tad-dibattitu tal-istudjużi dwar l-influwenza ta 'Luther huwa jekk hux anakroniku li jara x-xogħol tiegħu bħala prekursur tal-antisemitiżmu razzjali tan-Nazi. Xi studjużi jaraw l-influwenza ta 'Luther bħala limitata, u l-użu tan-Nazi tax-xogħol "&amp;"tiegħu bħala opportunistiku. Il-bijografu Martin Brecht jirrimarka li ""hemm dinja ta 'differenza bejn it-twemmin tiegħu fis-salvazzjoni u l-ideoloġija razzjali. Madankollu, l-aġitazzjoni żbaljata tiegħu kellha r-riżultat ħażin li Luther saret b'mod fatal"&amp;"i wieħed mill-"" missirijiet tal-knisja ""ta' l-anti-Semitiżmu u b'hekk ipprovdut Materjal għall-mibegħda moderna lejn il-Lhud, cloakingha mal-awtorità tar-riformatur. "" Johannes Wallmann jargumenta li l-kitbiet ta 'Luther kontra l-Lhud kienu ġeneralment"&amp;" injorati fis-sekli 18 u 19, u li ma kien hemm l-ebda kontinwità bejn il-ħsieb ta' Luther u l-ideoloġija Nażista. Uwe Siemon-Netto qablet, billi argumenta li kien minħabba li n-Nazi kienu diġà anti-Semiti li reġgħu qajmu x-xogħol ta 'Luther. Hans J. Hille"&amp;"rbrand qabel li tiffoka fuq Luther kienet li tadotta perspettiva essenzjalment ahistorical ta 'antisemitiżmu Nażista li injorat fatturi kontributorji oħra fl-istorja Ġermaniża. Bl-istess mod, Roland Bainton, innota l-istoriku tal-knisja u l-bijografu Luth"&amp;"er, kiteb ""Wieħed jista 'jixtieq li Luther kien miet qabel [fuq il-Lhud u l-gideb tagħhom] kienet miktuba. Il-pożizzjoni tiegħu kienet kompletament reliġjuża u fl-ebda rispett razzjali.""")</f>
        <v>Fil-qalba tad-dibattitu tal-istudjużi dwar l-influwenza ta 'Luther huwa jekk hux anakroniku li jara x-xogħol tiegħu bħala prekursur tal-antisemitiżmu razzjali tan-Nazi. Xi studjużi jaraw l-influwenza ta 'Luther bħala limitata, u l-użu tan-Nazi tax-xogħol tiegħu bħala opportunistiku. Il-bijografu Martin Brecht jirrimarka li "hemm dinja ta 'differenza bejn it-twemmin tiegħu fis-salvazzjoni u l-ideoloġija razzjali. Madankollu, l-aġitazzjoni żbaljata tiegħu kellha r-riżultat ħażin li Luther saret b'mod fatali wieħed mill-" missirijiet tal-knisja "ta' l-anti-Semitiżmu u b'hekk ipprovdut Materjal għall-mibegħda moderna lejn il-Lhud, cloakingha mal-awtorità tar-riformatur. " Johannes Wallmann jargumenta li l-kitbiet ta 'Luther kontra l-Lhud kienu ġeneralment injorati fis-sekli 18 u 19, u li ma kien hemm l-ebda kontinwità bejn il-ħsieb ta' Luther u l-ideoloġija Nażista. Uwe Siemon-Netto qablet, billi argumenta li kien minħabba li n-Nazi kienu diġà anti-Semiti li reġgħu qajmu x-xogħol ta 'Luther. Hans J. Hillerbrand qabel li tiffoka fuq Luther kienet li tadotta perspettiva essenzjalment ahistorical ta 'antisemitiżmu Nażista li injorat fatturi kontributorji oħra fl-istorja Ġermaniża. Bl-istess mod, Roland Bainton, innota l-istoriku tal-knisja u l-bijografu Luther, kiteb "Wieħed jista 'jixtieq li Luther kien miet qabel [fuq il-Lhud u l-gideb tagħhom] kienet miktuba. Il-pożizzjoni tiegħu kienet kompletament reliġjuża u fl-ebda rispett razzjali."</v>
      </c>
    </row>
    <row r="17410" ht="15.75" customHeight="1">
      <c r="A17410" s="2" t="s">
        <v>17410</v>
      </c>
      <c r="B17410" s="2" t="str">
        <f>IFERROR(__xludf.DUMMYFUNCTION("GOOGLETRANSLATE(A17410, ""en"", ""mt"")"),"L-ewwel ftehim irreġistrat f’dak li issa huwa Newcastle kien Pons Aelius, fort Ruman u pont madwar ix-xmara Tyne. Ingħata l-isem tal-familja tal-Imperatur Ruman Hadrian, li waqqafha fis-seklu 2 WK. Dan l-unur rari jissuġġerixxi li Hadrian seta ’żar is-sit"&amp;" u stabbilixxa l-pont waqt il-mawra tiegħu fil-Gran Brittanja. Il-popolazzjoni ta 'Pons Aelius f'dan il-perjodu kienet stmata għal 2,000. Fragmenti tal-ħajt ta 'Hadrian għadhom viżibbli f'partijiet ta' Newcastle, partikolarment tul it-Triq tal-Punent. Il-"&amp;"kors tal- ""ħajt Ruman"" jista 'jiġi rintraċċat lejn il-lvant lejn il-Forti Rumana tas-Segedunum f'Wallsend - it- ""End Wall's End"" - u għall-forniment ta' Fort Arbeia fit-Tarki t'Isfel. Il-firxa tal-ħajt ta 'Hadrian kienet ta' 73 mil (117 km), li tifrex"&amp;" il-wisa 'tal-Gran Brittanja; Il-ħajt inkorpora l-Vallum, foss kbir ta 'wara b'timra paralleli, u ġie mibni primarjament għad-difiża, biex jipprevjeni l-immigrazzjoni mhux mixtieqa u l-inkursjoni ta' tribujiet Pictish mit-tramuntana, mhux bħala linja ta '"&amp;"ġlied għal invażjoni maġġuri.")</f>
        <v>L-ewwel ftehim irreġistrat f’dak li issa huwa Newcastle kien Pons Aelius, fort Ruman u pont madwar ix-xmara Tyne. Ingħata l-isem tal-familja tal-Imperatur Ruman Hadrian, li waqqafha fis-seklu 2 WK. Dan l-unur rari jissuġġerixxi li Hadrian seta ’żar is-sit u stabbilixxa l-pont waqt il-mawra tiegħu fil-Gran Brittanja. Il-popolazzjoni ta 'Pons Aelius f'dan il-perjodu kienet stmata għal 2,000. Fragmenti tal-ħajt ta 'Hadrian għadhom viżibbli f'partijiet ta' Newcastle, partikolarment tul it-Triq tal-Punent. Il-kors tal- "ħajt Ruman" jista 'jiġi rintraċċat lejn il-lvant lejn il-Forti Rumana tas-Segedunum f'Wallsend - it- "End Wall's End" - u għall-forniment ta' Fort Arbeia fit-Tarki t'Isfel. Il-firxa tal-ħajt ta 'Hadrian kienet ta' 73 mil (117 km), li tifrex il-wisa 'tal-Gran Brittanja; Il-ħajt inkorpora l-Vallum, foss kbir ta 'wara b'timra paralleli, u ġie mibni primarjament għad-difiża, biex jipprevjeni l-immigrazzjoni mhux mixtieqa u l-inkursjoni ta' tribujiet Pictish mit-tramuntana, mhux bħala linja ta 'ġlied għal invażjoni maġġuri.</v>
      </c>
    </row>
    <row r="17411" ht="15.75" customHeight="1">
      <c r="A17411" s="2" t="s">
        <v>17411</v>
      </c>
      <c r="B17411" s="2" t="str">
        <f>IFERROR(__xludf.DUMMYFUNCTION("GOOGLETRANSLATE(A17411, ""en"", ""mt"")"),"tikkompressa u tkessaħ")</f>
        <v>tikkompressa u tkessaħ</v>
      </c>
    </row>
    <row r="17412" ht="15.75" customHeight="1">
      <c r="A17412" s="2" t="s">
        <v>17412</v>
      </c>
      <c r="B17412" s="2" t="str">
        <f>IFERROR(__xludf.DUMMYFUNCTION("GOOGLETRANSLATE(A17412, ""en"", ""mt"")"),"Arkitettura Vittorjana")</f>
        <v>Arkitettura Vittorjana</v>
      </c>
    </row>
    <row r="17413" ht="15.75" customHeight="1">
      <c r="A17413" s="2" t="s">
        <v>17413</v>
      </c>
      <c r="B17413" s="2" t="str">
        <f>IFERROR(__xludf.DUMMYFUNCTION("GOOGLETRANSLATE(A17413, ""en"", ""mt"")"),"Il-Kunsill Reġjonali ta 'Strathclyde Ex-Diskussjoni tal-Kamra fi Glasgow")</f>
        <v>Il-Kunsill Reġjonali ta 'Strathclyde Ex-Diskussjoni tal-Kamra fi Glasgow</v>
      </c>
    </row>
    <row r="17414" ht="15.75" customHeight="1">
      <c r="A17414" s="2" t="s">
        <v>17414</v>
      </c>
      <c r="B17414" s="2" t="str">
        <f>IFERROR(__xludf.DUMMYFUNCTION("GOOGLETRANSLATE(A17414, ""en"", ""mt"")"),"kimikament")</f>
        <v>kimikament</v>
      </c>
    </row>
    <row r="17415" ht="15.75" customHeight="1">
      <c r="A17415" s="2" t="s">
        <v>17415</v>
      </c>
      <c r="B17415" s="2" t="str">
        <f>IFERROR(__xludf.DUMMYFUNCTION("GOOGLETRANSLATE(A17415, ""en"", ""mt"")"),"Meta kien awtorizzat il-bejgħ ta 'NBC Blue lil Edward John Noble?")</f>
        <v>Meta kien awtorizzat il-bejgħ ta 'NBC Blue lil Edward John Noble?</v>
      </c>
    </row>
    <row r="17416" ht="15.75" customHeight="1">
      <c r="A17416" s="2" t="s">
        <v>17416</v>
      </c>
      <c r="B17416" s="2" t="str">
        <f>IFERROR(__xludf.DUMMYFUNCTION("GOOGLETRANSLATE(A17416, ""en"", ""mt"")"),"Kif huwa allokat iċ-ċirkwit")</f>
        <v>Kif huwa allokat iċ-ċirkwit</v>
      </c>
    </row>
    <row r="17417" ht="15.75" customHeight="1">
      <c r="A17417" s="2" t="s">
        <v>17417</v>
      </c>
      <c r="B17417" s="2" t="str">
        <f>IFERROR(__xludf.DUMMYFUNCTION("GOOGLETRANSLATE(A17417, ""en"", ""mt"")"),"Kif iddeskriva John Dobson bħala Newcastle?")</f>
        <v>Kif iddeskriva John Dobson bħala Newcastle?</v>
      </c>
    </row>
    <row r="17418" ht="15.75" customHeight="1">
      <c r="A17418" s="2" t="s">
        <v>17418</v>
      </c>
      <c r="B17418" s="2" t="str">
        <f>IFERROR(__xludf.DUMMYFUNCTION("GOOGLETRANSLATE(A17418, ""en"", ""mt"")"),"Meta kantanta kkontestaw il-graff waqt seduta tas-Senat?")</f>
        <v>Meta kantanta kkontestaw il-graff waqt seduta tas-Senat?</v>
      </c>
    </row>
    <row r="17419" ht="15.75" customHeight="1">
      <c r="A17419" s="2" t="s">
        <v>17419</v>
      </c>
      <c r="B17419" s="2" t="str">
        <f>IFERROR(__xludf.DUMMYFUNCTION("GOOGLETRANSLATE(A17419, ""en"", ""mt"")"),"Ekwilibriju dinamiku")</f>
        <v>Ekwilibriju dinamiku</v>
      </c>
    </row>
    <row r="17420" ht="15.75" customHeight="1">
      <c r="A17420" s="2" t="s">
        <v>17420</v>
      </c>
      <c r="B17420" s="2" t="str">
        <f>IFERROR(__xludf.DUMMYFUNCTION("GOOGLETRANSLATE(A17420, ""en"", ""mt"")"),"Esperjenza, ideoloġija, u armi")</f>
        <v>Esperjenza, ideoloġija, u armi</v>
      </c>
    </row>
    <row r="17421" ht="15.75" customHeight="1">
      <c r="A17421" s="2" t="s">
        <v>17421</v>
      </c>
      <c r="B17421" s="2" t="str">
        <f>IFERROR(__xludf.DUMMYFUNCTION("GOOGLETRANSLATE(A17421, ""en"", ""mt"")"),"Kosta tal-Kenja")</f>
        <v>Kosta tal-Kenja</v>
      </c>
    </row>
    <row r="17422" ht="15.75" customHeight="1">
      <c r="A17422" s="2" t="s">
        <v>17422</v>
      </c>
      <c r="B17422" s="2" t="str">
        <f>IFERROR(__xludf.DUMMYFUNCTION("GOOGLETRANSLATE(A17422, ""en"", ""mt"")"),"Mhux konservattiv")</f>
        <v>Mhux konservattiv</v>
      </c>
    </row>
    <row r="17423" ht="15.75" customHeight="1">
      <c r="A17423" s="2" t="s">
        <v>17423</v>
      </c>
      <c r="B17423" s="2" t="str">
        <f>IFERROR(__xludf.DUMMYFUNCTION("GOOGLETRANSLATE(A17423, ""en"", ""mt"")"),"X'inhuma s-sorsi ewlenin tal-liġi primarja?")</f>
        <v>X'inhuma s-sorsi ewlenin tal-liġi primarja?</v>
      </c>
    </row>
    <row r="17424" ht="15.75" customHeight="1">
      <c r="A17424" s="2" t="s">
        <v>17424</v>
      </c>
      <c r="B17424" s="2" t="str">
        <f>IFERROR(__xludf.DUMMYFUNCTION("GOOGLETRANSLATE(A17424, ""en"", ""mt"")"),"Liema politika tat id-dominanza tal-Gran Brittanja fil-kummerċ dinji?")</f>
        <v>Liema politika tat id-dominanza tal-Gran Brittanja fil-kummerċ dinji?</v>
      </c>
    </row>
    <row r="17425" ht="15.75" customHeight="1">
      <c r="A17425" s="2" t="s">
        <v>17425</v>
      </c>
      <c r="B17425" s="2" t="str">
        <f>IFERROR(__xludf.DUMMYFUNCTION("GOOGLETRANSLATE(A17425, ""en"", ""mt"")"),"petrografiku")</f>
        <v>petrografiku</v>
      </c>
    </row>
    <row r="17426" ht="15.75" customHeight="1">
      <c r="A17426" s="2" t="s">
        <v>17426</v>
      </c>
      <c r="B17426" s="2" t="str">
        <f>IFERROR(__xludf.DUMMYFUNCTION("GOOGLETRANSLATE(A17426, ""en"", ""mt"")"),"Għandha tintiret minn kull tifla taċ-ċellula waqt id-diviżjoni taċ-ċellula")</f>
        <v>Għandha tintiret minn kull tifla taċ-ċellula waqt id-diviżjoni taċ-ċellula</v>
      </c>
    </row>
    <row r="17427" ht="15.75" customHeight="1">
      <c r="A17427" s="2" t="s">
        <v>17427</v>
      </c>
      <c r="B17427" s="2" t="str">
        <f>IFERROR(__xludf.DUMMYFUNCTION("GOOGLETRANSLATE(A17427, ""en"", ""mt"")"),"2p - 1, fejn p huwa prim arbitrarju")</f>
        <v>2p - 1, fejn p huwa prim arbitrarju</v>
      </c>
    </row>
    <row r="17428" ht="15.75" customHeight="1">
      <c r="A17428" s="2" t="s">
        <v>17428</v>
      </c>
      <c r="B17428" s="2" t="str">
        <f>IFERROR(__xludf.DUMMYFUNCTION("GOOGLETRANSLATE(A17428, ""en"", ""mt"")"),"Kemm ġew magħżula plejers tal-Panthers għall-Pro Bowl tal-istaġun 2015?")</f>
        <v>Kemm ġew magħżula plejers tal-Panthers għall-Pro Bowl tal-istaġun 2015?</v>
      </c>
    </row>
    <row r="17429" ht="15.75" customHeight="1">
      <c r="A17429" s="2" t="s">
        <v>17429</v>
      </c>
      <c r="B17429" s="2" t="str">
        <f>IFERROR(__xludf.DUMMYFUNCTION("GOOGLETRANSLATE(A17429, ""en"", ""mt"")"),"Il-Wimbledon")</f>
        <v>Il-Wimbledon</v>
      </c>
    </row>
    <row r="17430" ht="15.75" customHeight="1">
      <c r="A17430" s="2" t="s">
        <v>17430</v>
      </c>
      <c r="B17430" s="2" t="str">
        <f>IFERROR(__xludf.DUMMYFUNCTION("GOOGLETRANSLATE(A17430, ""en"", ""mt"")"),"il-metodu li bih il-mediċini huma mitluba u riċevuti")</f>
        <v>il-metodu li bih il-mediċini huma mitluba u riċevuti</v>
      </c>
    </row>
    <row r="17431" ht="15.75" customHeight="1">
      <c r="A17431" s="2" t="s">
        <v>17431</v>
      </c>
      <c r="B17431" s="2" t="str">
        <f>IFERROR(__xludf.DUMMYFUNCTION("GOOGLETRANSLATE(A17431, ""en"", ""mt"")"),"xaft tas-sewqan")</f>
        <v>xaft tas-sewqan</v>
      </c>
    </row>
    <row r="17432" ht="15.75" customHeight="1">
      <c r="A17432" s="2" t="s">
        <v>17432</v>
      </c>
      <c r="B17432" s="2" t="str">
        <f>IFERROR(__xludf.DUMMYFUNCTION("GOOGLETRANSLATE(A17432, ""en"", ""mt"")"),"X'għandu jibbilanċja l-gvern ta 'Kublai?")</f>
        <v>X'għandu jibbilanċja l-gvern ta 'Kublai?</v>
      </c>
    </row>
    <row r="17433" ht="15.75" customHeight="1">
      <c r="A17433" s="2" t="s">
        <v>17433</v>
      </c>
      <c r="B17433" s="2" t="str">
        <f>IFERROR(__xludf.DUMMYFUNCTION("GOOGLETRANSLATE(A17433, ""en"", ""mt"")"),"kolp ta 'stat militari")</f>
        <v>kolp ta 'stat militari</v>
      </c>
    </row>
    <row r="17434" ht="15.75" customHeight="1">
      <c r="A17434" s="2" t="s">
        <v>17434</v>
      </c>
      <c r="B17434" s="2" t="str">
        <f>IFERROR(__xludf.DUMMYFUNCTION("GOOGLETRANSLATE(A17434, ""en"", ""mt"")"),"Brittaniku")</f>
        <v>Brittaniku</v>
      </c>
    </row>
    <row r="17435" ht="15.75" customHeight="1">
      <c r="A17435" s="2" t="s">
        <v>17435</v>
      </c>
      <c r="B17435" s="2" t="str">
        <f>IFERROR(__xludf.DUMMYFUNCTION("GOOGLETRANSLATE(A17435, ""en"", ""mt"")"),"X'kien prodott fil-kumpanija ta 'Tesla?")</f>
        <v>X'kien prodott fil-kumpanija ta 'Tesla?</v>
      </c>
    </row>
    <row r="17436" ht="15.75" customHeight="1">
      <c r="A17436" s="2" t="s">
        <v>17436</v>
      </c>
      <c r="B17436" s="2" t="str">
        <f>IFERROR(__xludf.DUMMYFUNCTION("GOOGLETRANSLATE(A17436, ""en"", ""mt"")"),"It-tieni u t-tielet ġirja")</f>
        <v>It-tieni u t-tielet ġirja</v>
      </c>
    </row>
    <row r="17437" ht="15.75" customHeight="1">
      <c r="A17437" s="2" t="s">
        <v>17437</v>
      </c>
      <c r="B17437" s="2" t="str">
        <f>IFERROR(__xludf.DUMMYFUNCTION("GOOGLETRANSLATE(A17437, ""en"", ""mt"")"),"Avvenimenti ewlenin ukoll għandhom parti kbira fit-turiżmu fir-Rabat, partikolarment it-turiżmu kulturali u t-turiżmu sportiv. Ħafna minn dawn l-avvenimenti huma ċċentrati fuq Melbourne, iżda oħrajn iseħħu fi bliet reġjonali, bħas-supercars V8 u l-mutur A"&amp;"wstraljan Grand Prix fil-Gżira Phillip, il-Grand Annwali Steeplechase f'Warrnambool u l-Airshow Internazzjonali Awstraljan f'Geelong u bosta festivals lokali bħall - Popolari Port Fairy Folk Festival, Queenscliff Music Festival, Bells Beach Surfclassic u "&amp;"The Bright Autumn Festival.")</f>
        <v>Avvenimenti ewlenin ukoll għandhom parti kbira fit-turiżmu fir-Rabat, partikolarment it-turiżmu kulturali u t-turiżmu sportiv. Ħafna minn dawn l-avvenimenti huma ċċentrati fuq Melbourne, iżda oħrajn iseħħu fi bliet reġjonali, bħas-supercars V8 u l-mutur Awstraljan Grand Prix fil-Gżira Phillip, il-Grand Annwali Steeplechase f'Warrnambool u l-Airshow Internazzjonali Awstraljan f'Geelong u bosta festivals lokali bħall - Popolari Port Fairy Folk Festival, Queenscliff Music Festival, Bells Beach Surfclassic u The Bright Autumn Festival.</v>
      </c>
    </row>
    <row r="17438" ht="15.75" customHeight="1">
      <c r="A17438" s="2" t="s">
        <v>17438</v>
      </c>
      <c r="B17438" s="2" t="str">
        <f>IFERROR(__xludf.DUMMYFUNCTION("GOOGLETRANSLATE(A17438, ""en"", ""mt"")"),"zkuk")</f>
        <v>zkuk</v>
      </c>
    </row>
    <row r="17439" ht="15.75" customHeight="1">
      <c r="A17439" s="2" t="s">
        <v>17439</v>
      </c>
      <c r="B17439" s="2" t="str">
        <f>IFERROR(__xludf.DUMMYFUNCTION("GOOGLETRANSLATE(A17439, ""en"", ""mt"")"),"Il-ġurnata tal-midja tal-logħba, li tipikament kienet issir nhar it-Tlieta wara nofsinhar qabel il-logħba, ġiet imċaqalqa għat-Tnejn filgħaxija u reġgħet marret bħala l-lejl tal-ftuħ tas-Super Bowl. L-avveniment sar fl-1 ta ’Frar, 2016 fiċ-Ċentru SAP f’Sa"&amp;"n Jose. Flimkien mad-disponibbilitajiet tradizzjonali tal-midja, l-avveniment deher ċerimonja tal-ftuħ bl-introduzzjonijiet tal-plejers fuq replika tal-Golden Gate Bridge.")</f>
        <v>Il-ġurnata tal-midja tal-logħba, li tipikament kienet issir nhar it-Tlieta wara nofsinhar qabel il-logħba, ġiet imċaqalqa għat-Tnejn filgħaxija u reġgħet marret bħala l-lejl tal-ftuħ tas-Super Bowl. L-avveniment sar fl-1 ta ’Frar, 2016 fiċ-Ċentru SAP f’San Jose. Flimkien mad-disponibbilitajiet tradizzjonali tal-midja, l-avveniment deher ċerimonja tal-ftuħ bl-introduzzjonijiet tal-plejers fuq replika tal-Golden Gate Bridge.</v>
      </c>
    </row>
    <row r="17440" ht="15.75" customHeight="1">
      <c r="A17440" s="2" t="s">
        <v>17440</v>
      </c>
      <c r="B17440" s="2" t="str">
        <f>IFERROR(__xludf.DUMMYFUNCTION("GOOGLETRANSLATE(A17440, ""en"", ""mt"")"),"X'inhuma ismijiet alternattivi oħra għall-Gwerra Franċiża u Indjana?")</f>
        <v>X'inhuma ismijiet alternattivi oħra għall-Gwerra Franċiża u Indjana?</v>
      </c>
    </row>
    <row r="17441" ht="15.75" customHeight="1">
      <c r="A17441" s="2" t="s">
        <v>17441</v>
      </c>
      <c r="B17441" s="2" t="str">
        <f>IFERROR(__xludf.DUMMYFUNCTION("GOOGLETRANSLATE(A17441, ""en"", ""mt"")"),"$ 3.5 biljun u $ 118 għal kull wieħed mill-ishma ta 'ABC kif ukoll garanzija ta' 10% (jew $ 3) għal total ta '$ 121 kull sehem")</f>
        <v>$ 3.5 biljun u $ 118 għal kull wieħed mill-ishma ta 'ABC kif ukoll garanzija ta' 10% (jew $ 3) għal total ta '$ 121 kull sehem</v>
      </c>
    </row>
    <row r="17442" ht="15.75" customHeight="1">
      <c r="A17442" s="2" t="s">
        <v>17442</v>
      </c>
      <c r="B17442" s="2" t="str">
        <f>IFERROR(__xludf.DUMMYFUNCTION("GOOGLETRANSLATE(A17442, ""en"", ""mt"")"),"Għal liema mudell ta 'skola hija notevoli l-Isvezja?")</f>
        <v>Għal liema mudell ta 'skola hija notevoli l-Isvezja?</v>
      </c>
    </row>
    <row r="17443" ht="15.75" customHeight="1">
      <c r="A17443" s="2" t="s">
        <v>17443</v>
      </c>
      <c r="B17443" s="2" t="str">
        <f>IFERROR(__xludf.DUMMYFUNCTION("GOOGLETRANSLATE(A17443, ""en"", ""mt"")"),"5.9%")</f>
        <v>5.9%</v>
      </c>
    </row>
    <row r="17444" ht="15.75" customHeight="1">
      <c r="A17444" s="2" t="s">
        <v>17444</v>
      </c>
      <c r="B17444" s="2" t="str">
        <f>IFERROR(__xludf.DUMMYFUNCTION("GOOGLETRANSLATE(A17444, ""en"", ""mt"")"),"Il-president tal-kummissjoni (")</f>
        <v>Il-president tal-kummissjoni (</v>
      </c>
    </row>
    <row r="17445" ht="15.75" customHeight="1">
      <c r="A17445" s="2" t="s">
        <v>17445</v>
      </c>
      <c r="B17445" s="2" t="str">
        <f>IFERROR(__xludf.DUMMYFUNCTION("GOOGLETRANSLATE(A17445, ""en"", ""mt"")"),"X'tip ta 'belt ilha Varsavja sakemm ilha belt?")</f>
        <v>X'tip ta 'belt ilha Varsavja sakemm ilha belt?</v>
      </c>
    </row>
    <row r="17446" ht="15.75" customHeight="1">
      <c r="A17446" s="2" t="s">
        <v>17446</v>
      </c>
      <c r="B17446" s="2" t="str">
        <f>IFERROR(__xludf.DUMMYFUNCTION("GOOGLETRANSLATE(A17446, ""en"", ""mt"")"),"L-ewwel inċidenti rreġistrati ta 'diżubbidjenza ċivili kollettiva seħħew matul l-Imperu Ruman [ċ-ċitazzjoni meħtieġa]. Lhud mhux armati nġabru fit-toroq biex jipprevjenu l-installazzjoni ta 'immaġini pagani fit-tempju f'Ġerusalemm. [Ċitazzjoni meħtieġa] ["&amp;"Riċerka oriġinali?] Fi żminijiet moderni, xi attivisti li jikkommettu diżubbidjenza ċivili bħala grupp li kollettivament jirrifjutaw li jiffirmaw il-ħelsien mill-arrest Met, bħal kundizzjonijiet ta 'ħelsien mill-arrest favorevoli, jew il-ħelsien ta' l-att"&amp;"ivisti kollha. Din hija forma ta 'solidarjetà tal-ħabs. [Paġna meħtieġa] Kien hemm ukoll ħafna każijiet ta' diżubbidjenza ċivili solitarja, bħal dik imwettqa minn Thoreau, iżda dawn xi kultant jgħaddu inosservati. Thoreau, fil-ħin tal-arrest tiegħu, kien "&amp;"għadu ma kienx awtur magħruf, u l-arrest tiegħu ma kien kopert fl-ebda gazzetti fil-jiem, ġimgħat u xhur wara li ġara. Il-kollettur tat-taxxa li arrestah tela ’għal kariga politika ogħla, u l-esej ta’ Thoreau ma ġiex ippubblikat sa wara t-tmiem tal-Gwerra"&amp;" tal-Messiku.")</f>
        <v>L-ewwel inċidenti rreġistrati ta 'diżubbidjenza ċivili kollettiva seħħew matul l-Imperu Ruman [ċ-ċitazzjoni meħtieġa]. Lhud mhux armati nġabru fit-toroq biex jipprevjenu l-installazzjoni ta 'immaġini pagani fit-tempju f'Ġerusalemm. [Ċitazzjoni meħtieġa] [Riċerka oriġinali?] Fi żminijiet moderni, xi attivisti li jikkommettu diżubbidjenza ċivili bħala grupp li kollettivament jirrifjutaw li jiffirmaw il-ħelsien mill-arrest Met, bħal kundizzjonijiet ta 'ħelsien mill-arrest favorevoli, jew il-ħelsien ta' l-attivisti kollha. Din hija forma ta 'solidarjetà tal-ħabs. [Paġna meħtieġa] Kien hemm ukoll ħafna każijiet ta' diżubbidjenza ċivili solitarja, bħal dik imwettqa minn Thoreau, iżda dawn xi kultant jgħaddu inosservati. Thoreau, fil-ħin tal-arrest tiegħu, kien għadu ma kienx awtur magħruf, u l-arrest tiegħu ma kien kopert fl-ebda gazzetti fil-jiem, ġimgħat u xhur wara li ġara. Il-kollettur tat-taxxa li arrestah tela ’għal kariga politika ogħla, u l-esej ta’ Thoreau ma ġiex ippubblikat sa wara t-tmiem tal-Gwerra tal-Messiku.</v>
      </c>
    </row>
    <row r="17447" ht="15.75" customHeight="1">
      <c r="A17447" s="2" t="s">
        <v>17447</v>
      </c>
      <c r="B17447" s="2" t="str">
        <f>IFERROR(__xludf.DUMMYFUNCTION("GOOGLETRANSLATE(A17447, ""en"", ""mt"")"),"Battalja tar-Restigouche")</f>
        <v>Battalja tar-Restigouche</v>
      </c>
    </row>
    <row r="17448" ht="15.75" customHeight="1">
      <c r="A17448" s="2" t="s">
        <v>17448</v>
      </c>
      <c r="B17448" s="2" t="str">
        <f>IFERROR(__xludf.DUMMYFUNCTION("GOOGLETRANSLATE(A17448, ""en"", ""mt"")"),"135 pied twil")</f>
        <v>135 pied twil</v>
      </c>
    </row>
    <row r="17449" ht="15.75" customHeight="1">
      <c r="A17449" s="2" t="s">
        <v>17449</v>
      </c>
      <c r="B17449" s="2" t="str">
        <f>IFERROR(__xludf.DUMMYFUNCTION("GOOGLETRANSLATE(A17449, ""en"", ""mt"")"),"X'tip ta 'studju jkun jeħtieġ li għalliem jieħu rwol ta' superviżur?")</f>
        <v>X'tip ta 'studju jkun jeħtieġ li għalliem jieħu rwol ta' superviżur?</v>
      </c>
    </row>
    <row r="17450" ht="15.75" customHeight="1">
      <c r="A17450" s="2" t="s">
        <v>17450</v>
      </c>
      <c r="B17450" s="2" t="str">
        <f>IFERROR(__xludf.DUMMYFUNCTION("GOOGLETRANSLATE(A17450, ""en"", ""mt"")"),"Ippjana l-proċeduri fiżiċi, u tintegra dawk il-proċeduri mal-partijiet l-oħra")</f>
        <v>Ippjana l-proċeduri fiżiċi, u tintegra dawk il-proċeduri mal-partijiet l-oħra</v>
      </c>
    </row>
    <row r="17451" ht="15.75" customHeight="1">
      <c r="A17451" s="2" t="s">
        <v>17451</v>
      </c>
      <c r="B17451" s="2" t="str">
        <f>IFERROR(__xludf.DUMMYFUNCTION("GOOGLETRANSLATE(A17451, ""en"", ""mt"")"),"(titla u taqa 'skont id-domanda tas-suq")</f>
        <v>(titla u taqa 'skont id-domanda tas-suq</v>
      </c>
    </row>
    <row r="17452" ht="15.75" customHeight="1">
      <c r="A17452" s="2" t="s">
        <v>17452</v>
      </c>
      <c r="B17452" s="2" t="str">
        <f>IFERROR(__xludf.DUMMYFUNCTION("GOOGLETRANSLATE(A17452, ""en"", ""mt"")"),"X'kien l-iskor tal-aħħar logħba li l-Panthers Carolina lagħbu qabel il-Kampjonat NFC?")</f>
        <v>X'kien l-iskor tal-aħħar logħba li l-Panthers Carolina lagħbu qabel il-Kampjonat NFC?</v>
      </c>
    </row>
    <row r="17453" ht="15.75" customHeight="1">
      <c r="A17453" s="2" t="s">
        <v>17453</v>
      </c>
      <c r="B17453" s="2" t="str">
        <f>IFERROR(__xludf.DUMMYFUNCTION("GOOGLETRANSLATE(A17453, ""en"", ""mt"")"),"X'tip ta 'relazzjonijiet jikkawżaw għalliema entużjasti?")</f>
        <v>X'tip ta 'relazzjonijiet jikkawżaw għalliema entużjasti?</v>
      </c>
    </row>
    <row r="17454" ht="15.75" customHeight="1">
      <c r="A17454" s="2" t="s">
        <v>17454</v>
      </c>
      <c r="B17454" s="2" t="str">
        <f>IFERROR(__xludf.DUMMYFUNCTION("GOOGLETRANSLATE(A17454, ""en"", ""mt"")"),"Genghis Khan induna li kellu bżonn nies li jistgħu jirregolaw l-ibliet u l-istati maħkuma minnu. Huwa nduna wkoll li dawn l-amministraturi ma setgħux jinstabu fost in-nies Mongoljani tiegħu minħabba li kienu nomadi u b'hekk ma kellhom l-ebda esperjenza li"&amp;" tirregola l-ibliet. Għal dan il-għan Genghis Khan stieden lil Prince Khitan, Chu'tsai, li ħadem għall-Jin u kien inqabad mill-armata Mongoljana wara li d-dinastija Jin ġiet megħluba. Jin kien qabad il-poter billi spostaw lil Khitan. Genghis qal lil Chu't"&amp;"sai, li kien dixxendent lineari tal-ħakkiema Khitan, li kien vendetta li missirijiethom ta 'Chu'tsai. Chu'tsai wieġeb li missieru serva onestament id-dinastija Jin u hekk għamel; Huwa wkoll ma kkunsidrax lil missieru stess, u għalhekk il-kwistjoni ta 'ven"&amp;"detta ma kinitx tapplika. Din it-tweġiba impressjonat lil Genghis Khan. Chu'tsai amministra partijiet tal-imperu Mongoljan u sar kunfident tal-Mongol Khans suċċessivi.")</f>
        <v>Genghis Khan induna li kellu bżonn nies li jistgħu jirregolaw l-ibliet u l-istati maħkuma minnu. Huwa nduna wkoll li dawn l-amministraturi ma setgħux jinstabu fost in-nies Mongoljani tiegħu minħabba li kienu nomadi u b'hekk ma kellhom l-ebda esperjenza li tirregola l-ibliet. Għal dan il-għan Genghis Khan stieden lil Prince Khitan, Chu'tsai, li ħadem għall-Jin u kien inqabad mill-armata Mongoljana wara li d-dinastija Jin ġiet megħluba. Jin kien qabad il-poter billi spostaw lil Khitan. Genghis qal lil Chu'tsai, li kien dixxendent lineari tal-ħakkiema Khitan, li kien vendetta li missirijiethom ta 'Chu'tsai. Chu'tsai wieġeb li missieru serva onestament id-dinastija Jin u hekk għamel; Huwa wkoll ma kkunsidrax lil missieru stess, u għalhekk il-kwistjoni ta 'vendetta ma kinitx tapplika. Din it-tweġiba impressjonat lil Genghis Khan. Chu'tsai amministra partijiet tal-imperu Mongoljan u sar kunfident tal-Mongol Khans suċċessivi.</v>
      </c>
    </row>
    <row r="17455" ht="15.75" customHeight="1">
      <c r="A17455" s="2" t="s">
        <v>17455</v>
      </c>
      <c r="B17455" s="2" t="str">
        <f>IFERROR(__xludf.DUMMYFUNCTION("GOOGLETRANSLATE(A17455, ""en"", ""mt"")"),"L-Għaxar Kmandamenti")</f>
        <v>L-Għaxar Kmandamenti</v>
      </c>
    </row>
    <row r="17456" ht="15.75" customHeight="1">
      <c r="A17456" s="2" t="s">
        <v>17456</v>
      </c>
      <c r="B17456" s="2" t="str">
        <f>IFERROR(__xludf.DUMMYFUNCTION("GOOGLETRANSLATE(A17456, ""en"", ""mt"")"),"Kemm-il volt jistgħu jiġu ċċarġjati partiċelli fid-disinn tal-arma tiegħu?")</f>
        <v>Kemm-il volt jistgħu jiġu ċċarġjati partiċelli fid-disinn tal-arma tiegħu?</v>
      </c>
    </row>
    <row r="17457" ht="15.75" customHeight="1">
      <c r="A17457" s="2" t="s">
        <v>17457</v>
      </c>
      <c r="B17457" s="2" t="str">
        <f>IFERROR(__xludf.DUMMYFUNCTION("GOOGLETRANSLATE(A17457, ""en"", ""mt"")"),"Dak li għen biex ixerred il-Protestantiżmu fi Franza?")</f>
        <v>Dak li għen biex ixerred il-Protestantiżmu fi Franza?</v>
      </c>
    </row>
    <row r="17458" ht="15.75" customHeight="1">
      <c r="A17458" s="2" t="s">
        <v>17458</v>
      </c>
      <c r="B17458" s="2" t="str">
        <f>IFERROR(__xludf.DUMMYFUNCTION("GOOGLETRANSLATE(A17458, ""en"", ""mt"")"),"Ħafna mill-ġeni tagħha ntilfu jew ġew trasferiti għan-nukleu tal-ospitanti")</f>
        <v>Ħafna mill-ġeni tagħha ntilfu jew ġew trasferiti għan-nukleu tal-ospitanti</v>
      </c>
    </row>
    <row r="17459" ht="15.75" customHeight="1">
      <c r="A17459" s="2" t="s">
        <v>17459</v>
      </c>
      <c r="B17459" s="2" t="str">
        <f>IFERROR(__xludf.DUMMYFUNCTION("GOOGLETRANSLATE(A17459, ""en"", ""mt"")"),"Il-kwistjonijiet speċifiċi devoluti huma s-suġġetti kollha li mhumiex iddikjarati espliċitament fl-Iskeda 5 għall-Att tal-Iskozja bħala kwistjonijiet riservati. Il-kwistjonijiet kollha li mhumiex riservati speċifikament huma awtomatikament devoluti għall-"&amp;"Parlament Skoċċiż. L-iktar importanti, dan jinkludi l-agrikoltura, is-sajd u l-forestrija, l-iżvilupp ekonomiku, l-edukazzjoni, l-ambjent, l-istandards tal-ikel, is-saħħa, l-affarijiet interni, il-liġi Skoċċiża - qrati, servizzi tal-pulizija u tan-nar, gv"&amp;"ern lokali, sport, sport u l-arti, trasport, taħriġ, turiżmu, riċerka u statistika u xogħol soċjali. Il-Parlament Skoċċiż għandu l-abbiltà li jbiddel it-taxxa fuq id-dħul fl-Iskozja sa 3 sold fil-lira. L-Att tal-2012 ikkonferiet aktar devoluzzjoni fiskali"&amp;" inklużi setgħat ta ’self u xi kwistjonijiet oħra mhux konnessi bħalma huma l-issettjar tal-limiti tal-veloċità u l-kontroll tal-pistoli tal-ajru.")</f>
        <v>Il-kwistjonijiet speċifiċi devoluti huma s-suġġetti kollha li mhumiex iddikjarati espliċitament fl-Iskeda 5 għall-Att tal-Iskozja bħala kwistjonijiet riservati. Il-kwistjonijiet kollha li mhumiex riservati speċifikament huma awtomatikament devoluti għall-Parlament Skoċċiż. L-iktar importanti, dan jinkludi l-agrikoltura, is-sajd u l-forestrija, l-iżvilupp ekonomiku, l-edukazzjoni, l-ambjent, l-istandards tal-ikel, is-saħħa, l-affarijiet interni, il-liġi Skoċċiża - qrati, servizzi tal-pulizija u tan-nar, gvern lokali, sport, sport u l-arti, trasport, taħriġ, turiżmu, riċerka u statistika u xogħol soċjali. Il-Parlament Skoċċiż għandu l-abbiltà li jbiddel it-taxxa fuq id-dħul fl-Iskozja sa 3 sold fil-lira. L-Att tal-2012 ikkonferiet aktar devoluzzjoni fiskali inklużi setgħat ta ’self u xi kwistjonijiet oħra mhux konnessi bħalma huma l-issettjar tal-limiti tal-veloċità u l-kontroll tal-pistoli tal-ajru.</v>
      </c>
    </row>
    <row r="17460" ht="15.75" customHeight="1">
      <c r="A17460" s="2" t="s">
        <v>17460</v>
      </c>
      <c r="B17460" s="2" t="str">
        <f>IFERROR(__xludf.DUMMYFUNCTION("GOOGLETRANSLATE(A17460, ""en"", ""mt"")"),"L-ebda soluzzjoni magħrufa fil-ħin polinomjali")</f>
        <v>L-ebda soluzzjoni magħrufa fil-ħin polinomjali</v>
      </c>
    </row>
    <row r="17461" ht="15.75" customHeight="1">
      <c r="A17461" s="2" t="s">
        <v>17461</v>
      </c>
      <c r="B17461" s="2" t="str">
        <f>IFERROR(__xludf.DUMMYFUNCTION("GOOGLETRANSLATE(A17461, ""en"", ""mt"")"),"Forzi irregolari Franċiżi")</f>
        <v>Forzi irregolari Franċiżi</v>
      </c>
    </row>
    <row r="17462" ht="15.75" customHeight="1">
      <c r="A17462" s="2" t="s">
        <v>17462</v>
      </c>
      <c r="B17462" s="2" t="str">
        <f>IFERROR(__xludf.DUMMYFUNCTION("GOOGLETRANSLATE(A17462, ""en"", ""mt"")"),"Sensers orbitali lunari u kameras")</f>
        <v>Sensers orbitali lunari u kameras</v>
      </c>
    </row>
    <row r="17463" ht="15.75" customHeight="1">
      <c r="A17463" s="2" t="s">
        <v>17463</v>
      </c>
      <c r="B17463" s="2" t="str">
        <f>IFERROR(__xludf.DUMMYFUNCTION("GOOGLETRANSLATE(A17463, ""en"", ""mt"")"),"enzima msejħa rubisco")</f>
        <v>enzima msejħa rubisco</v>
      </c>
    </row>
    <row r="17464" ht="15.75" customHeight="1">
      <c r="A17464" s="2" t="s">
        <v>17464</v>
      </c>
      <c r="B17464" s="2" t="str">
        <f>IFERROR(__xludf.DUMMYFUNCTION("GOOGLETRANSLATE(A17464, ""en"", ""mt"")"),"influwenti ħafna")</f>
        <v>influwenti ħafna</v>
      </c>
    </row>
    <row r="17465" ht="15.75" customHeight="1">
      <c r="A17465" s="2" t="s">
        <v>17465</v>
      </c>
      <c r="B17465" s="2" t="str">
        <f>IFERROR(__xludf.DUMMYFUNCTION("GOOGLETRANSLATE(A17465, ""en"", ""mt"")"),"Hekk kif jidħlu fis-seħħ, sakemm ma jingħadx mod ieħor")</f>
        <v>Hekk kif jidħlu fis-seħħ, sakemm ma jingħadx mod ieħor</v>
      </c>
    </row>
    <row r="17466" ht="15.75" customHeight="1">
      <c r="A17466" s="2" t="s">
        <v>17466</v>
      </c>
      <c r="B17466" s="2" t="str">
        <f>IFERROR(__xludf.DUMMYFUNCTION("GOOGLETRANSLATE(A17466, ""en"", ""mt"")"),"Il-liwja fuq ir-Renu tmur mill-punent għal liema direzzjoni?")</f>
        <v>Il-liwja fuq ir-Renu tmur mill-punent għal liema direzzjoni?</v>
      </c>
    </row>
    <row r="17467" ht="15.75" customHeight="1">
      <c r="A17467" s="2" t="s">
        <v>17467</v>
      </c>
      <c r="B17467" s="2" t="str">
        <f>IFERROR(__xludf.DUMMYFUNCTION("GOOGLETRANSLATE(A17467, ""en"", ""mt"")"),"psewdo")</f>
        <v>psewdo</v>
      </c>
    </row>
    <row r="17468" ht="15.75" customHeight="1">
      <c r="A17468" s="2" t="s">
        <v>17468</v>
      </c>
      <c r="B17468" s="2" t="str">
        <f>IFERROR(__xludf.DUMMYFUNCTION("GOOGLETRANSLATE(A17468, ""en"", ""mt"")"),"Imblokk Ingliż tal-kosta Franċiża")</f>
        <v>Imblokk Ingliż tal-kosta Franċiża</v>
      </c>
    </row>
    <row r="17469" ht="15.75" customHeight="1">
      <c r="A17469" s="2" t="s">
        <v>17469</v>
      </c>
      <c r="B17469" s="2" t="str">
        <f>IFERROR(__xludf.DUMMYFUNCTION("GOOGLETRANSLATE(A17469, ""en"", ""mt"")"),"Sistema ta 'ħafna strutturi u proċessi bijoloġiċi fi ħdan organiżmu")</f>
        <v>Sistema ta 'ħafna strutturi u proċessi bijoloġiċi fi ħdan organiżmu</v>
      </c>
    </row>
    <row r="17470" ht="15.75" customHeight="1">
      <c r="A17470" s="2" t="s">
        <v>17470</v>
      </c>
      <c r="B17470" s="2" t="str">
        <f>IFERROR(__xludf.DUMMYFUNCTION("GOOGLETRANSLATE(A17470, ""en"", ""mt"")"),"X'inhuma ż-żewġ tipi differenti ta 'immunità?")</f>
        <v>X'inhuma ż-żewġ tipi differenti ta 'immunità?</v>
      </c>
    </row>
    <row r="17471" ht="15.75" customHeight="1">
      <c r="A17471" s="2" t="s">
        <v>17471</v>
      </c>
      <c r="B17471" s="2" t="str">
        <f>IFERROR(__xludf.DUMMYFUNCTION("GOOGLETRANSLATE(A17471, ""en"", ""mt"")"),"Teorija tan-numri alġebriċi")</f>
        <v>Teorija tan-numri alġebriċi</v>
      </c>
    </row>
    <row r="17472" ht="15.75" customHeight="1">
      <c r="A17472" s="2" t="s">
        <v>17472</v>
      </c>
      <c r="B17472" s="2" t="str">
        <f>IFERROR(__xludf.DUMMYFUNCTION("GOOGLETRANSLATE(A17472, ""en"", ""mt"")"),"""Titjira Abjad""")</f>
        <v>"Titjira Abjad"</v>
      </c>
    </row>
    <row r="17473" ht="15.75" customHeight="1">
      <c r="A17473" s="2" t="s">
        <v>17473</v>
      </c>
      <c r="B17473" s="2" t="str">
        <f>IFERROR(__xludf.DUMMYFUNCTION("GOOGLETRANSLATE(A17473, ""en"", ""mt"")"),"Kemm kienu ppjanati oriġinarjament pads tal-varar?")</f>
        <v>Kemm kienu ppjanati oriġinarjament pads tal-varar?</v>
      </c>
    </row>
    <row r="17474" ht="15.75" customHeight="1">
      <c r="A17474" s="2" t="s">
        <v>17474</v>
      </c>
      <c r="B17474" s="2" t="str">
        <f>IFERROR(__xludf.DUMMYFUNCTION("GOOGLETRANSLATE(A17474, ""en"", ""mt"")"),"X'jagħmlu l-karotenojdi fotosintetiċi?")</f>
        <v>X'jagħmlu l-karotenojdi fotosintetiċi?</v>
      </c>
    </row>
    <row r="17475" ht="15.75" customHeight="1">
      <c r="A17475" s="2" t="s">
        <v>17475</v>
      </c>
      <c r="B17475" s="2" t="str">
        <f>IFERROR(__xludf.DUMMYFUNCTION("GOOGLETRANSLATE(A17475, ""en"", ""mt"")"),"prekursur tal-klorofilla isfar")</f>
        <v>prekursur tal-klorofilla isfar</v>
      </c>
    </row>
    <row r="17476" ht="15.75" customHeight="1">
      <c r="A17476" s="2" t="s">
        <v>17476</v>
      </c>
      <c r="B17476" s="2" t="str">
        <f>IFERROR(__xludf.DUMMYFUNCTION("GOOGLETRANSLATE(A17476, ""en"", ""mt"")"),"Ftit wara li n-Normanni bdew jidħlu fl-Italja, huma daħlu fl-Imperu Biżantin u mbagħad l-Armenja, jiġġieldu kontra l-Pechenegs, il-Bulgars, u speċjalment it-Torok Seljuk. Il-merċenarji Norman ġew imħeġġa l-ewwel biex jidħlu fin-nofsinhar mill-Lombardi bie"&amp;"x jaġixxu kontra l-Biżantini, iżda malajr ġġieldu fis-servizz Biżantin fi Sqallija. Kienu prominenti flimkien mal-kontinġenti Varangian u Lombard fil-kampanja Sqallija ta 'George Maniaces fl-1038-40. Hemm dibattitu jekk in-Normanni fis-servizz Grieg fil-f"&amp;"att kinux mill-Italja Norman, u issa jidher li x'aktarx ftit ġew minn hemm. Mhuwiex magħruf ukoll kemm mill-Franki "", kif sejħilhom il-Biżantini, kienu Normanni u mhux Franċiżi oħra.")</f>
        <v>Ftit wara li n-Normanni bdew jidħlu fl-Italja, huma daħlu fl-Imperu Biżantin u mbagħad l-Armenja, jiġġieldu kontra l-Pechenegs, il-Bulgars, u speċjalment it-Torok Seljuk. Il-merċenarji Norman ġew imħeġġa l-ewwel biex jidħlu fin-nofsinhar mill-Lombardi biex jaġixxu kontra l-Biżantini, iżda malajr ġġieldu fis-servizz Biżantin fi Sqallija. Kienu prominenti flimkien mal-kontinġenti Varangian u Lombard fil-kampanja Sqallija ta 'George Maniaces fl-1038-40. Hemm dibattitu jekk in-Normanni fis-servizz Grieg fil-fatt kinux mill-Italja Norman, u issa jidher li x'aktarx ftit ġew minn hemm. Mhuwiex magħruf ukoll kemm mill-Franki ", kif sejħilhom il-Biżantini, kienu Normanni u mhux Franċiżi oħra.</v>
      </c>
    </row>
    <row r="17477" ht="15.75" customHeight="1">
      <c r="A17477" s="2" t="s">
        <v>17477</v>
      </c>
      <c r="B17477" s="2" t="str">
        <f>IFERROR(__xludf.DUMMYFUNCTION("GOOGLETRANSLATE(A17477, ""en"", ""mt"")"),"gruppi reliġjużi")</f>
        <v>gruppi reliġjużi</v>
      </c>
    </row>
    <row r="17478" ht="15.75" customHeight="1">
      <c r="A17478" s="2" t="s">
        <v>17478</v>
      </c>
      <c r="B17478" s="2" t="str">
        <f>IFERROR(__xludf.DUMMYFUNCTION("GOOGLETRANSLATE(A17478, ""en"", ""mt"")"),"Liema attività żżomm gradjenti topografiċi?")</f>
        <v>Liema attività żżomm gradjenti topografiċi?</v>
      </c>
    </row>
    <row r="17479" ht="15.75" customHeight="1">
      <c r="A17479" s="2" t="s">
        <v>17479</v>
      </c>
      <c r="B17479" s="2" t="str">
        <f>IFERROR(__xludf.DUMMYFUNCTION("GOOGLETRANSLATE(A17479, ""en"", ""mt"")"),"xhur wara li ġara")</f>
        <v>xhur wara li ġara</v>
      </c>
    </row>
    <row r="17480" ht="15.75" customHeight="1">
      <c r="A17480" s="2" t="s">
        <v>17480</v>
      </c>
      <c r="B17480" s="2" t="str">
        <f>IFERROR(__xludf.DUMMYFUNCTION("GOOGLETRANSLATE(A17480, ""en"", ""mt"")"),"9–18")</f>
        <v>9–18</v>
      </c>
    </row>
    <row r="17481" ht="15.75" customHeight="1">
      <c r="A17481" s="2" t="s">
        <v>17481</v>
      </c>
      <c r="B17481" s="2" t="str">
        <f>IFERROR(__xludf.DUMMYFUNCTION("GOOGLETRANSLATE(A17481, ""en"", ""mt"")"),"Min ifforma l-gvern fil-Kenja?")</f>
        <v>Min ifforma l-gvern fil-Kenja?</v>
      </c>
    </row>
    <row r="17482" ht="15.75" customHeight="1">
      <c r="A17482" s="2" t="s">
        <v>17482</v>
      </c>
      <c r="B17482" s="2" t="str">
        <f>IFERROR(__xludf.DUMMYFUNCTION("GOOGLETRANSLATE(A17482, ""en"", ""mt"")"),"Il-mużiċisti Eric Burdon, Sting, Mark Knopfler, Alan Hull, Cheryl Cole u Neil Tennant kienu jgħixu fi Newcastle. Hank Marvin u Bruce Welch it-tnejn ex-studenti tal-Iskola tal-Grammatika Rutherford, l-atturi Charlie Hunnam u James Scott, anters ant u Dec u"&amp;" plejers internazzjonali Michael Carrick u Alan Shearer twieldu fi Newcastle. Circumnavigator multiplu David Scott Cowper, il-fiżiċista rebbieħ tal-Premju Nobel Peter Higgs, u l-ex champion tal-WWE NXT Neville twieldu fil-belt. John Dunn, inventur ta 'Key"&amp;"ed Northumbrian Smallpipes, l-aktar strument mużikali karatteristiku fir-reġjun, għex u ħadem fil-belt.")</f>
        <v>Il-mużiċisti Eric Burdon, Sting, Mark Knopfler, Alan Hull, Cheryl Cole u Neil Tennant kienu jgħixu fi Newcastle. Hank Marvin u Bruce Welch it-tnejn ex-studenti tal-Iskola tal-Grammatika Rutherford, l-atturi Charlie Hunnam u James Scott, anters ant u Dec u plejers internazzjonali Michael Carrick u Alan Shearer twieldu fi Newcastle. Circumnavigator multiplu David Scott Cowper, il-fiżiċista rebbieħ tal-Premju Nobel Peter Higgs, u l-ex champion tal-WWE NXT Neville twieldu fil-belt. John Dunn, inventur ta 'Keyed Northumbrian Smallpipes, l-aktar strument mużikali karatteristiku fir-reġjun, għex u ħadem fil-belt.</v>
      </c>
    </row>
    <row r="17483" ht="15.75" customHeight="1">
      <c r="A17483" s="2" t="s">
        <v>17483</v>
      </c>
      <c r="B17483" s="2" t="str">
        <f>IFERROR(__xludf.DUMMYFUNCTION("GOOGLETRANSLATE(A17483, ""en"", ""mt"")"),"rwol prinċipali")</f>
        <v>rwol prinċipali</v>
      </c>
    </row>
    <row r="17484" ht="15.75" customHeight="1">
      <c r="A17484" s="2" t="s">
        <v>17484</v>
      </c>
      <c r="B17484" s="2" t="str">
        <f>IFERROR(__xludf.DUMMYFUNCTION("GOOGLETRANSLATE(A17484, ""en"", ""mt"")"),"Fiż-żona ta 'Sandgate, lejn il-lvant tal-belt u ħdejn ix-xmara, kienet toqgħod il-komunità mill-qrib ta' Keelmen u l-familji tagħhom. Huma ġew imsejħa hekk minħabba li ħadmu fuq il-keels, dgħajjes li kienu jintużaw biex jittrasferixxu l-faħam mill-banek t"&amp;"ax-xmajjar lejn il-colliers ta ’stennija, għall-esportazzjoni lejn Londra u bnadi oħra. Fis-snin 1630 madwar 7,000 minn 20,000 abitant ta 'Newcastle mietu bil-pesta, aktar minn terz tal-popolazzjoni. Speċifikament fis-sena 1636, huwa stmat bejn wieħed u i"&amp;"eħor b'evidenza miżmuma mis-Soċjetà ta 'l-Antikarji li 47% tal-popolazzjoni ta' Newcastle imbagħad mietet mill-epidemija; Dan jista 'jkun ukoll l-aktar telf devastanti f'kull belt Ingliża f'dan il-perjodu.")</f>
        <v>Fiż-żona ta 'Sandgate, lejn il-lvant tal-belt u ħdejn ix-xmara, kienet toqgħod il-komunità mill-qrib ta' Keelmen u l-familji tagħhom. Huma ġew imsejħa hekk minħabba li ħadmu fuq il-keels, dgħajjes li kienu jintużaw biex jittrasferixxu l-faħam mill-banek tax-xmajjar lejn il-colliers ta ’stennija, għall-esportazzjoni lejn Londra u bnadi oħra. Fis-snin 1630 madwar 7,000 minn 20,000 abitant ta 'Newcastle mietu bil-pesta, aktar minn terz tal-popolazzjoni. Speċifikament fis-sena 1636, huwa stmat bejn wieħed u ieħor b'evidenza miżmuma mis-Soċjetà ta 'l-Antikarji li 47% tal-popolazzjoni ta' Newcastle imbagħad mietet mill-epidemija; Dan jista 'jkun ukoll l-aktar telf devastanti f'kull belt Ingliża f'dan il-perjodu.</v>
      </c>
    </row>
    <row r="17485" ht="15.75" customHeight="1">
      <c r="A17485" s="2" t="s">
        <v>17485</v>
      </c>
      <c r="B17485" s="2" t="str">
        <f>IFERROR(__xludf.DUMMYFUNCTION("GOOGLETRANSLATE(A17485, ""en"", ""mt"")"),"Fost min kien il-imperu ta 'Genghis Khan maqsuma wara mewtu?")</f>
        <v>Fost min kien il-imperu ta 'Genghis Khan maqsuma wara mewtu?</v>
      </c>
    </row>
    <row r="17486" ht="15.75" customHeight="1">
      <c r="A17486" s="2" t="s">
        <v>17486</v>
      </c>
      <c r="B17486" s="2" t="str">
        <f>IFERROR(__xludf.DUMMYFUNCTION("GOOGLETRANSLATE(A17486, ""en"", ""mt"")"),"entitajiet governattivi")</f>
        <v>entitajiet governattivi</v>
      </c>
    </row>
    <row r="17487" ht="15.75" customHeight="1">
      <c r="A17487" s="2" t="s">
        <v>17487</v>
      </c>
      <c r="B17487" s="2" t="str">
        <f>IFERROR(__xludf.DUMMYFUNCTION("GOOGLETRANSLATE(A17487, ""en"", ""mt"")"),"Id-Delegazzjoni Amerikana mill-Konferenza tal-Paċi ta ’Pariġi")</f>
        <v>Id-Delegazzjoni Amerikana mill-Konferenza tal-Paċi ta ’Pariġi</v>
      </c>
    </row>
    <row r="17488" ht="15.75" customHeight="1">
      <c r="A17488" s="2" t="s">
        <v>17488</v>
      </c>
      <c r="B17488" s="2" t="str">
        <f>IFERROR(__xludf.DUMMYFUNCTION("GOOGLETRANSLATE(A17488, ""en"", ""mt"")"),"Meta ġew imħabbra l-finalisti?")</f>
        <v>Meta ġew imħabbra l-finalisti?</v>
      </c>
    </row>
    <row r="17489" ht="15.75" customHeight="1">
      <c r="A17489" s="2" t="s">
        <v>17489</v>
      </c>
      <c r="B17489" s="2" t="str">
        <f>IFERROR(__xludf.DUMMYFUNCTION("GOOGLETRANSLATE(A17489, ""en"", ""mt"")"),"F'liema seklu kienu minsuġa l-erba 'tapizzeriji tal-kaċċa ta' Devonshire?")</f>
        <v>F'liema seklu kienu minsuġa l-erba 'tapizzeriji tal-kaċċa ta' Devonshire?</v>
      </c>
    </row>
    <row r="17490" ht="15.75" customHeight="1">
      <c r="A17490" s="2" t="s">
        <v>17490</v>
      </c>
      <c r="B17490" s="2" t="str">
        <f>IFERROR(__xludf.DUMMYFUNCTION("GOOGLETRANSLATE(A17490, ""en"", ""mt"")"),"X'inhuma l-iskejjel pubbliċi fir-Rabat?")</f>
        <v>X'inhuma l-iskejjel pubbliċi fir-Rabat?</v>
      </c>
    </row>
    <row r="17491" ht="15.75" customHeight="1">
      <c r="A17491" s="2" t="s">
        <v>17491</v>
      </c>
      <c r="B17491" s="2" t="str">
        <f>IFERROR(__xludf.DUMMYFUNCTION("GOOGLETRANSLATE(A17491, ""en"", ""mt"")"),"Dak li ħafna drabi jaffettwa jew jiffaċilita l-faċilità ta 'analiżi fi problemi tal-komputazzjoni?")</f>
        <v>Dak li ħafna drabi jaffettwa jew jiffaċilita l-faċilità ta 'analiżi fi problemi tal-komputazzjoni?</v>
      </c>
    </row>
    <row r="17492" ht="15.75" customHeight="1">
      <c r="A17492" s="2" t="s">
        <v>17492</v>
      </c>
      <c r="B17492" s="2" t="str">
        <f>IFERROR(__xludf.DUMMYFUNCTION("GOOGLETRANSLATE(A17492, ""en"", ""mt"")"),"il-gvern Awstraljan")</f>
        <v>il-gvern Awstraljan</v>
      </c>
    </row>
    <row r="17493" ht="15.75" customHeight="1">
      <c r="A17493" s="2" t="s">
        <v>17493</v>
      </c>
      <c r="B17493" s="2" t="str">
        <f>IFERROR(__xludf.DUMMYFUNCTION("GOOGLETRANSLATE(A17493, ""en"", ""mt"")"),"sentenza")</f>
        <v>sentenza</v>
      </c>
    </row>
    <row r="17494" ht="15.75" customHeight="1">
      <c r="A17494" s="2" t="s">
        <v>17494</v>
      </c>
      <c r="B17494" s="2" t="str">
        <f>IFERROR(__xludf.DUMMYFUNCTION("GOOGLETRANSLATE(A17494, ""en"", ""mt"")"),"Liema pajjiż għandu l-iktar adulti illitterati fid-dinja?")</f>
        <v>Liema pajjiż għandu l-iktar adulti illitterati fid-dinja?</v>
      </c>
    </row>
    <row r="17495" ht="15.75" customHeight="1">
      <c r="A17495" s="2" t="s">
        <v>17495</v>
      </c>
      <c r="B17495" s="2" t="str">
        <f>IFERROR(__xludf.DUMMYFUNCTION("GOOGLETRANSLATE(A17495, ""en"", ""mt"")"),"L-invażjoni falliet")</f>
        <v>L-invażjoni falliet</v>
      </c>
    </row>
    <row r="17496" ht="15.75" customHeight="1">
      <c r="A17496" s="2" t="s">
        <v>17496</v>
      </c>
      <c r="B17496" s="2" t="str">
        <f>IFERROR(__xludf.DUMMYFUNCTION("GOOGLETRANSLATE(A17496, ""en"", ""mt"")"),"Teatri Amerikani tax-Xandir-Paramount, Inc.")</f>
        <v>Teatri Amerikani tax-Xandir-Paramount, Inc.</v>
      </c>
    </row>
    <row r="17497" ht="15.75" customHeight="1">
      <c r="A17497" s="2" t="s">
        <v>17497</v>
      </c>
      <c r="B17497" s="2" t="str">
        <f>IFERROR(__xludf.DUMMYFUNCTION("GOOGLETRANSLATE(A17497, ""en"", ""mt"")"),"Il-kaptan")</f>
        <v>Il-kaptan</v>
      </c>
    </row>
    <row r="17498" ht="15.75" customHeight="1">
      <c r="A17498" s="2" t="s">
        <v>17498</v>
      </c>
      <c r="B17498" s="2" t="str">
        <f>IFERROR(__xludf.DUMMYFUNCTION("GOOGLETRANSLATE(A17498, ""en"", ""mt"")"),"Flagellat komuni")</f>
        <v>Flagellat komuni</v>
      </c>
    </row>
    <row r="17499" ht="15.75" customHeight="1">
      <c r="A17499" s="2" t="s">
        <v>17499</v>
      </c>
      <c r="B17499" s="2" t="str">
        <f>IFERROR(__xludf.DUMMYFUNCTION("GOOGLETRANSLATE(A17499, ""en"", ""mt"")"),"Fluttwazzjonijiet relatati mat-temp")</f>
        <v>Fluttwazzjonijiet relatati mat-temp</v>
      </c>
    </row>
    <row r="17500" ht="15.75" customHeight="1">
      <c r="A17500" s="2" t="s">
        <v>17500</v>
      </c>
      <c r="B17500" s="2" t="str">
        <f>IFERROR(__xludf.DUMMYFUNCTION("GOOGLETRANSLATE(A17500, ""en"", ""mt"")"),"merkanzija")</f>
        <v>merkanzija</v>
      </c>
    </row>
    <row r="17501" ht="15.75" customHeight="1">
      <c r="A17501" s="2" t="s">
        <v>17501</v>
      </c>
      <c r="B17501" s="2" t="str">
        <f>IFERROR(__xludf.DUMMYFUNCTION("GOOGLETRANSLATE(A17501, ""en"", ""mt"")"),"£ 34m fis-sena")</f>
        <v>£ 34m fis-sena</v>
      </c>
    </row>
    <row r="17502" ht="15.75" customHeight="1">
      <c r="A17502" s="2" t="s">
        <v>17502</v>
      </c>
      <c r="B17502" s="2" t="str">
        <f>IFERROR(__xludf.DUMMYFUNCTION("GOOGLETRANSLATE(A17502, ""en"", ""mt"")"),"L-istudjużi tal-Università ta ’Chicago kellhom parti kbira f’liema żvilupp?")</f>
        <v>L-istudjużi tal-Università ta ’Chicago kellhom parti kbira f’liema żvilupp?</v>
      </c>
    </row>
    <row r="17503" ht="15.75" customHeight="1">
      <c r="A17503" s="2" t="s">
        <v>17503</v>
      </c>
      <c r="B17503" s="2" t="str">
        <f>IFERROR(__xludf.DUMMYFUNCTION("GOOGLETRANSLATE(A17503, ""en"", ""mt"")"),"magna tal-ħin")</f>
        <v>magna tal-ħin</v>
      </c>
    </row>
    <row r="17504" ht="15.75" customHeight="1">
      <c r="A17504" s="2" t="s">
        <v>17504</v>
      </c>
      <c r="B17504" s="2" t="str">
        <f>IFERROR(__xludf.DUMMYFUNCTION("GOOGLETRANSLATE(A17504, ""en"", ""mt"")"),"X'kien ivvintat fl-1880 li rrevoluzzjona l-gwerra?")</f>
        <v>X'kien ivvintat fl-1880 li rrevoluzzjona l-gwerra?</v>
      </c>
    </row>
    <row r="17505" ht="15.75" customHeight="1">
      <c r="A17505" s="2" t="s">
        <v>17505</v>
      </c>
      <c r="B17505" s="2" t="str">
        <f>IFERROR(__xludf.DUMMYFUNCTION("GOOGLETRANSLATE(A17505, ""en"", ""mt"")"),"slug")</f>
        <v>slug</v>
      </c>
    </row>
    <row r="17506" ht="15.75" customHeight="1">
      <c r="A17506" s="2" t="s">
        <v>17506</v>
      </c>
      <c r="B17506" s="2" t="str">
        <f>IFERROR(__xludf.DUMMYFUNCTION("GOOGLETRANSLATE(A17506, ""en"", ""mt"")"),"Kemm ikliet kuljum jieklu l-Kenjani normali?")</f>
        <v>Kemm ikliet kuljum jieklu l-Kenjani normali?</v>
      </c>
    </row>
    <row r="17507" ht="15.75" customHeight="1">
      <c r="A17507" s="2" t="s">
        <v>17507</v>
      </c>
      <c r="B17507" s="2" t="str">
        <f>IFERROR(__xludf.DUMMYFUNCTION("GOOGLETRANSLATE(A17507, ""en"", ""mt"")"),"Liema kumpanija kummerċjali għenet biex tissetilja Huguenots ħdejn il-Kap?")</f>
        <v>Liema kumpanija kummerċjali għenet biex tissetilja Huguenots ħdejn il-Kap?</v>
      </c>
    </row>
    <row r="17508" ht="15.75" customHeight="1">
      <c r="A17508" s="2" t="s">
        <v>17508</v>
      </c>
      <c r="B17508" s="2" t="str">
        <f>IFERROR(__xludf.DUMMYFUNCTION("GOOGLETRANSLATE(A17508, ""en"", ""mt"")"),"Kemm idumu l-Astronawti biex ikunu jistgħu jibqgħu fuq il-qamar għal dawn l-aħħar missjonijiet?")</f>
        <v>Kemm idumu l-Astronawti biex ikunu jistgħu jibqgħu fuq il-qamar għal dawn l-aħħar missjonijiet?</v>
      </c>
    </row>
    <row r="17509" ht="15.75" customHeight="1">
      <c r="A17509" s="2" t="s">
        <v>17509</v>
      </c>
      <c r="B17509" s="2" t="str">
        <f>IFERROR(__xludf.DUMMYFUNCTION("GOOGLETRANSLATE(A17509, ""en"", ""mt"")"),"il-ħames, is-sitt u s-seba 'tobba")</f>
        <v>il-ħames, is-sitt u s-seba 'tobba</v>
      </c>
    </row>
    <row r="17510" ht="15.75" customHeight="1">
      <c r="A17510" s="2" t="s">
        <v>17510</v>
      </c>
      <c r="B17510" s="2" t="str">
        <f>IFERROR(__xludf.DUMMYFUNCTION("GOOGLETRANSLATE(A17510, ""en"", ""mt"")"),"tallinja l-għanijiet personali tiegħu mal-għanijiet akkademiċi tiegħu.")</f>
        <v>tallinja l-għanijiet personali tiegħu mal-għanijiet akkademiċi tiegħu.</v>
      </c>
    </row>
    <row r="17511" ht="15.75" customHeight="1">
      <c r="A17511" s="2" t="s">
        <v>17511</v>
      </c>
      <c r="B17511" s="2" t="str">
        <f>IFERROR(__xludf.DUMMYFUNCTION("GOOGLETRANSLATE(A17511, ""en"", ""mt"")"),"Liema entità qanqlet it-tkabbir tal-Istazzjon Fresno?")</f>
        <v>Liema entità qanqlet it-tkabbir tal-Istazzjon Fresno?</v>
      </c>
    </row>
    <row r="17512" ht="15.75" customHeight="1">
      <c r="A17512" s="2" t="s">
        <v>17512</v>
      </c>
      <c r="B17512" s="2" t="str">
        <f>IFERROR(__xludf.DUMMYFUNCTION("GOOGLETRANSLATE(A17512, ""en"", ""mt"")"),"X'jikkawża li l-popolazzjoni ta 'ctenophora tikber b'rata splussiva?")</f>
        <v>X'jikkawża li l-popolazzjoni ta 'ctenophora tikber b'rata splussiva?</v>
      </c>
    </row>
    <row r="17513" ht="15.75" customHeight="1">
      <c r="A17513" s="2" t="s">
        <v>17513</v>
      </c>
      <c r="B17513" s="2" t="str">
        <f>IFERROR(__xludf.DUMMYFUNCTION("GOOGLETRANSLATE(A17513, ""en"", ""mt"")"),"Imbotta t-Tylakoids, imma ħallihom intatti.")</f>
        <v>Imbotta t-Tylakoids, imma ħallihom intatti.</v>
      </c>
    </row>
    <row r="17514" ht="15.75" customHeight="1">
      <c r="A17514" s="2" t="s">
        <v>17514</v>
      </c>
      <c r="B17514" s="2" t="str">
        <f>IFERROR(__xludf.DUMMYFUNCTION("GOOGLETRANSLATE(A17514, ""en"", ""mt"")"),"Mappa tal-artijiet antenati tagħhom biex tgħin biex isaħħu t-talbiet territorjali tagħhom")</f>
        <v>Mappa tal-artijiet antenati tagħhom biex tgħin biex isaħħu t-talbiet territorjali tagħhom</v>
      </c>
    </row>
    <row r="17515" ht="15.75" customHeight="1">
      <c r="A17515" s="2" t="s">
        <v>17515</v>
      </c>
      <c r="B17515" s="2" t="str">
        <f>IFERROR(__xludf.DUMMYFUNCTION("GOOGLETRANSLATE(A17515, ""en"", ""mt"")"),"Liema għażla kellha l-Franċiż għall-art li ċediet?")</f>
        <v>Liema għażla kellha l-Franċiż għall-art li ċediet?</v>
      </c>
    </row>
    <row r="17516" ht="15.75" customHeight="1">
      <c r="A17516" s="2" t="s">
        <v>17516</v>
      </c>
      <c r="B17516" s="2" t="str">
        <f>IFERROR(__xludf.DUMMYFUNCTION("GOOGLETRANSLATE(A17516, ""en"", ""mt"")"),"tliet snin qabel mewtu")</f>
        <v>tliet snin qabel mewtu</v>
      </c>
    </row>
    <row r="17517" ht="15.75" customHeight="1">
      <c r="A17517" s="2" t="s">
        <v>17517</v>
      </c>
      <c r="B17517" s="2" t="str">
        <f>IFERROR(__xludf.DUMMYFUNCTION("GOOGLETRANSLATE(A17517, ""en"", ""mt"")"),"Artrite, u infezzjoni fil-widna kissru ċilindru tal-widna")</f>
        <v>Artrite, u infezzjoni fil-widna kissru ċilindru tal-widna</v>
      </c>
    </row>
    <row r="17518" ht="15.75" customHeight="1">
      <c r="A17518" s="2" t="s">
        <v>17518</v>
      </c>
      <c r="B17518" s="2" t="str">
        <f>IFERROR(__xludf.DUMMYFUNCTION("GOOGLETRANSLATE(A17518, ""en"", ""mt"")"),"Fidi waħedha")</f>
        <v>Fidi waħedha</v>
      </c>
    </row>
    <row r="17519" ht="15.75" customHeight="1">
      <c r="A17519" s="2" t="s">
        <v>17519</v>
      </c>
      <c r="B17519" s="2" t="str">
        <f>IFERROR(__xludf.DUMMYFUNCTION("GOOGLETRANSLATE(A17519, ""en"", ""mt"")"),"Luther fassal il-Katekiżmu bħala metodu biex jagħti l-punti bażiċi tal-Kristjaneżmu lill-kongregazzjonijiet. Fl-1529, huwa kiteb il-Katekiżmu l-Kbir, manwal għall-pastors u l-għalliema, kif ukoll sinopsi, il-Katekiżmu Żgħir, li għandhom jiġu memorizzati m"&amp;"in-nies infushom. Il-katekiżmi pprovdew materjal ta 'istruzzjoni u devozzjonali faċli biex jinftiehem fuq l-Għaxar Kmandamenti, il-Kredu tal-Appostli, it-Talb tal-Mulej, il-Magħmudija, u l-Ikla tal-Mulej. Luther inkorpora mistoqsijiet u tweġibiet fil-kate"&amp;"kiżmu sabiex il-punti bażiċi tal-fidi Nisranija ma jitgħallmux biss permezz ta 'rote, ""il-mod kif ix-xadini jagħmlu dan"", iżda mifhuma.")</f>
        <v>Luther fassal il-Katekiżmu bħala metodu biex jagħti l-punti bażiċi tal-Kristjaneżmu lill-kongregazzjonijiet. Fl-1529, huwa kiteb il-Katekiżmu l-Kbir, manwal għall-pastors u l-għalliema, kif ukoll sinopsi, il-Katekiżmu Żgħir, li għandhom jiġu memorizzati min-nies infushom. Il-katekiżmi pprovdew materjal ta 'istruzzjoni u devozzjonali faċli biex jinftiehem fuq l-Għaxar Kmandamenti, il-Kredu tal-Appostli, it-Talb tal-Mulej, il-Magħmudija, u l-Ikla tal-Mulej. Luther inkorpora mistoqsijiet u tweġibiet fil-katekiżmu sabiex il-punti bażiċi tal-fidi Nisranija ma jitgħallmux biss permezz ta 'rote, "il-mod kif ix-xadini jagħmlu dan", iżda mifhuma.</v>
      </c>
    </row>
    <row r="17520" ht="15.75" customHeight="1">
      <c r="A17520" s="2" t="s">
        <v>17520</v>
      </c>
      <c r="B17520" s="2" t="str">
        <f>IFERROR(__xludf.DUMMYFUNCTION("GOOGLETRANSLATE(A17520, ""en"", ""mt"")"),"X'jistgħu jagħmlu l-membri mhux eletti mill-gvern Skoċċiż?")</f>
        <v>X'jistgħu jagħmlu l-membri mhux eletti mill-gvern Skoċċiż?</v>
      </c>
    </row>
    <row r="17521" ht="15.75" customHeight="1">
      <c r="A17521" s="2" t="s">
        <v>17521</v>
      </c>
      <c r="B17521" s="2" t="str">
        <f>IFERROR(__xludf.DUMMYFUNCTION("GOOGLETRANSLATE(A17521, ""en"", ""mt"")"),"Dawk involuti fid-disinn u l-eżekuzzjoni tal-infrastruttura in kwistjoni")</f>
        <v>Dawk involuti fid-disinn u l-eżekuzzjoni tal-infrastruttura in kwistjoni</v>
      </c>
    </row>
    <row r="17522" ht="15.75" customHeight="1">
      <c r="A17522" s="2" t="s">
        <v>17522</v>
      </c>
      <c r="B17522" s="2" t="str">
        <f>IFERROR(__xludf.DUMMYFUNCTION("GOOGLETRANSLATE(A17522, ""en"", ""mt"")"),"Grazzja ta ’Alla li ssostni lil dawk li jemmnu fil-vjaġġ lejn il-perfezzjoni Nisranija")</f>
        <v>Grazzja ta ’Alla li ssostni lil dawk li jemmnu fil-vjaġġ lejn il-perfezzjoni Nisranija</v>
      </c>
    </row>
    <row r="17523" ht="15.75" customHeight="1">
      <c r="A17523" s="2" t="s">
        <v>17523</v>
      </c>
      <c r="B17523" s="2" t="str">
        <f>IFERROR(__xludf.DUMMYFUNCTION("GOOGLETRANSLATE(A17523, ""en"", ""mt"")"),"riċettur alternattiv taċ-ċelloli T (TCR)")</f>
        <v>riċettur alternattiv taċ-ċelloli T (TCR)</v>
      </c>
    </row>
    <row r="17524" ht="15.75" customHeight="1">
      <c r="A17524" s="2" t="s">
        <v>17524</v>
      </c>
      <c r="B17524" s="2" t="str">
        <f>IFERROR(__xludf.DUMMYFUNCTION("GOOGLETRANSLATE(A17524, ""en"", ""mt"")"),"Prinċipji Ġenerali tal-Liġi tal-Unjoni Ewropea")</f>
        <v>Prinċipji Ġenerali tal-Liġi tal-Unjoni Ewropea</v>
      </c>
    </row>
    <row r="17525" ht="15.75" customHeight="1">
      <c r="A17525" s="2" t="s">
        <v>17525</v>
      </c>
      <c r="B17525" s="2" t="str">
        <f>IFERROR(__xludf.DUMMYFUNCTION("GOOGLETRANSLATE(A17525, ""en"", ""mt"")"),"Mill-1970")</f>
        <v>Mill-1970</v>
      </c>
    </row>
    <row r="17526" ht="15.75" customHeight="1">
      <c r="A17526" s="2" t="s">
        <v>17526</v>
      </c>
      <c r="B17526" s="2" t="str">
        <f>IFERROR(__xludf.DUMMYFUNCTION("GOOGLETRANSLATE(A17526, ""en"", ""mt"")"),"L-Indja")</f>
        <v>L-Indja</v>
      </c>
    </row>
    <row r="17527" ht="15.75" customHeight="1">
      <c r="A17527" s="2" t="s">
        <v>17527</v>
      </c>
      <c r="B17527" s="2" t="str">
        <f>IFERROR(__xludf.DUMMYFUNCTION("GOOGLETRANSLATE(A17527, ""en"", ""mt"")"),"Festival taċ-Ċikliżmu,")</f>
        <v>Festival taċ-Ċikliżmu,</v>
      </c>
    </row>
    <row r="17528" ht="15.75" customHeight="1">
      <c r="A17528" s="2" t="s">
        <v>17528</v>
      </c>
      <c r="B17528" s="2" t="str">
        <f>IFERROR(__xludf.DUMMYFUNCTION("GOOGLETRANSLATE(A17528, ""en"", ""mt"")"),"Liema grupp ta bidu għad-djalogi tal-komunità?")</f>
        <v>Liema grupp ta bidu għad-djalogi tal-komunità?</v>
      </c>
    </row>
    <row r="17529" ht="15.75" customHeight="1">
      <c r="A17529" s="2" t="s">
        <v>17529</v>
      </c>
      <c r="B17529" s="2" t="str">
        <f>IFERROR(__xludf.DUMMYFUNCTION("GOOGLETRANSLATE(A17529, ""en"", ""mt"")"),"fagożomali")</f>
        <v>fagożomali</v>
      </c>
    </row>
    <row r="17530" ht="15.75" customHeight="1">
      <c r="A17530" s="2" t="s">
        <v>17530</v>
      </c>
      <c r="B17530" s="2" t="str">
        <f>IFERROR(__xludf.DUMMYFUNCTION("GOOGLETRANSLATE(A17530, ""en"", ""mt"")"),"Thomas Vasey u Richard Whatcoat")</f>
        <v>Thomas Vasey u Richard Whatcoat</v>
      </c>
    </row>
    <row r="17531" ht="15.75" customHeight="1">
      <c r="A17531" s="2" t="s">
        <v>17531</v>
      </c>
      <c r="B17531" s="2" t="str">
        <f>IFERROR(__xludf.DUMMYFUNCTION("GOOGLETRANSLATE(A17531, ""en"", ""mt"")"),"Pjan ta 'terminu medju")</f>
        <v>Pjan ta 'terminu medju</v>
      </c>
    </row>
    <row r="17532" ht="15.75" customHeight="1">
      <c r="A17532" s="2" t="s">
        <v>17532</v>
      </c>
      <c r="B17532" s="2" t="str">
        <f>IFERROR(__xludf.DUMMYFUNCTION("GOOGLETRANSLATE(A17532, ""en"", ""mt"")"),"Kemm huma kbar it-tilkoids tal-granal?")</f>
        <v>Kemm huma kbar it-tilkoids tal-granal?</v>
      </c>
    </row>
    <row r="17533" ht="15.75" customHeight="1">
      <c r="A17533" s="2" t="s">
        <v>17533</v>
      </c>
      <c r="B17533" s="2" t="str">
        <f>IFERROR(__xludf.DUMMYFUNCTION("GOOGLETRANSLATE(A17533, ""en"", ""mt"")"),"bi ħlas għal kull unità ta 'informazzjoni trażmessa, bħal karattri, pakketti, jew messaġġi")</f>
        <v>bi ħlas għal kull unità ta 'informazzjoni trażmessa, bħal karattri, pakketti, jew messaġġi</v>
      </c>
    </row>
    <row r="17534" ht="15.75" customHeight="1">
      <c r="A17534" s="2" t="s">
        <v>17534</v>
      </c>
      <c r="B17534" s="2" t="str">
        <f>IFERROR(__xludf.DUMMYFUNCTION("GOOGLETRANSLATE(A17534, ""en"", ""mt"")"),"Fejn jinstab il-peridinin?")</f>
        <v>Fejn jinstab il-peridinin?</v>
      </c>
    </row>
    <row r="17535" ht="15.75" customHeight="1">
      <c r="A17535" s="2" t="s">
        <v>17535</v>
      </c>
      <c r="B17535" s="2" t="str">
        <f>IFERROR(__xludf.DUMMYFUNCTION("GOOGLETRANSLATE(A17535, ""en"", ""mt"")"),"Il-poeżija tiegħu hija meqjusa bħala l-ewwel tip ta ’x’tip ta’ protesta?")</f>
        <v>Il-poeżija tiegħu hija meqjusa bħala l-ewwel tip ta ’x’tip ta’ protesta?</v>
      </c>
    </row>
    <row r="17536" ht="15.75" customHeight="1">
      <c r="A17536" s="2" t="s">
        <v>17536</v>
      </c>
      <c r="B17536" s="2" t="str">
        <f>IFERROR(__xludf.DUMMYFUNCTION("GOOGLETRANSLATE(A17536, ""en"", ""mt"")"),"X'inhuma l-inputs molekulari għall-fotosintesi?")</f>
        <v>X'inhuma l-inputs molekulari għall-fotosintesi?</v>
      </c>
    </row>
    <row r="17537" ht="15.75" customHeight="1">
      <c r="A17537" s="2" t="s">
        <v>17537</v>
      </c>
      <c r="B17537" s="2" t="str">
        <f>IFERROR(__xludf.DUMMYFUNCTION("GOOGLETRANSLATE(A17537, ""en"", ""mt"")"),"Min wettaq il-funeral għal Martin Luther?")</f>
        <v>Min wettaq il-funeral għal Martin Luther?</v>
      </c>
    </row>
    <row r="17538" ht="15.75" customHeight="1">
      <c r="A17538" s="2" t="s">
        <v>17538</v>
      </c>
      <c r="B17538" s="2" t="str">
        <f>IFERROR(__xludf.DUMMYFUNCTION("GOOGLETRANSLATE(A17538, ""en"", ""mt"")"),"Fl-1735, John u Charles Wesley marru l-Amerika biex jgħallmu l-Evanġelju lill-Indjani Amerikani fil-kolonja tal-Ġeorġja. F’inqas minn sentejn, il-Klabb Imqaddes niżel. John Wesley irritorna l-Ingilterra u ltaqa 'ma' grupp ta 'kleru li rrispetta. Huwa qal "&amp;"li ""dehru li kienu ta 'qalb waħda, kif ukoll ta' ġudizzju wieħed, iddeċidew li huma Bibbja-Kristjani fl-avvenimenti kollha; u, kull fejn kienu, biex jippridkaw bil-Kristjaneżmu kollu li jista 'jkun sempliċi, qadim, tal-Bibbja"". Il-ministri żammew is-sħu"&amp;"bija tagħhom fil-Knisja tal-Ingilterra. Għalkemm mhux dejjem enfasizzat jew apprezzat fil-knejjes Anglikani tal-ġurnata tagħhom, it-tagħlim tagħhom enfasizza s-salvazzjoni mill-grazzja ta ’Alla, akkwistat permezz tal-fidi fi Kristu. Tliet tagħlim li raw b"&amp;"ħala l-pedament tal-fidi Nisranija kienu:")</f>
        <v>Fl-1735, John u Charles Wesley marru l-Amerika biex jgħallmu l-Evanġelju lill-Indjani Amerikani fil-kolonja tal-Ġeorġja. F’inqas minn sentejn, il-Klabb Imqaddes niżel. John Wesley irritorna l-Ingilterra u ltaqa 'ma' grupp ta 'kleru li rrispetta. Huwa qal li "dehru li kienu ta 'qalb waħda, kif ukoll ta' ġudizzju wieħed, iddeċidew li huma Bibbja-Kristjani fl-avvenimenti kollha; u, kull fejn kienu, biex jippridkaw bil-Kristjaneżmu kollu li jista 'jkun sempliċi, qadim, tal-Bibbja". Il-ministri żammew is-sħubija tagħhom fil-Knisja tal-Ingilterra. Għalkemm mhux dejjem enfasizzat jew apprezzat fil-knejjes Anglikani tal-ġurnata tagħhom, it-tagħlim tagħhom enfasizza s-salvazzjoni mill-grazzja ta ’Alla, akkwistat permezz tal-fidi fi Kristu. Tliet tagħlim li raw bħala l-pedament tal-fidi Nisranija kienu:</v>
      </c>
    </row>
    <row r="17539" ht="15.75" customHeight="1">
      <c r="A17539" s="2" t="s">
        <v>17539</v>
      </c>
      <c r="B17539" s="2" t="str">
        <f>IFERROR(__xludf.DUMMYFUNCTION("GOOGLETRANSLATE(A17539, ""en"", ""mt"")"),"L-issettjar tal-limiti tal-veloċità kien wieħed mid-devoluzzjonijiet ulterjuri li ngħataw minn liema att?")</f>
        <v>L-issettjar tal-limiti tal-veloċità kien wieħed mid-devoluzzjonijiet ulterjuri li ngħataw minn liema att?</v>
      </c>
    </row>
    <row r="17540" ht="15.75" customHeight="1">
      <c r="A17540" s="2" t="s">
        <v>17540</v>
      </c>
      <c r="B17540" s="2" t="str">
        <f>IFERROR(__xludf.DUMMYFUNCTION("GOOGLETRANSLATE(A17540, ""en"", ""mt"")"),"X'tip ta 'dejta bdiet l-ABC fis-snin sebgħin biex timmira aħjar ir-reklami u l-ipprogrammar għal ċerti udjenzi?")</f>
        <v>X'tip ta 'dejta bdiet l-ABC fis-snin sebgħin biex timmira aħjar ir-reklami u l-ipprogrammar għal ċerti udjenzi?</v>
      </c>
    </row>
    <row r="17541" ht="15.75" customHeight="1">
      <c r="A17541" s="2" t="s">
        <v>17541</v>
      </c>
      <c r="B17541" s="2" t="str">
        <f>IFERROR(__xludf.DUMMYFUNCTION("GOOGLETRANSLATE(A17541, ""en"", ""mt"")"),"Għalhekk, 6 mhix primarja. L-immaġni fuq il-lemin turi li 12 mhuwiex prim: 12 = 3 · 4. L-ebda numru uniformi akbar minn 2 huwa prim għaliex bid-definizzjoni, kwalunkwe numru n-Numru N għandu mill-inqas tliet diviżuri distinti, jiġifieri 1, 2, u n. Dan jim"&amp;"plika li n mhix primarja. Għaldaqstant, it-terminu fard prim jirreferi għal kwalunkwe numru ewlieni akbar minn 2. Bl-istess mod, meta miktub fis-sistema deċimali tas-soltu, in-numri ewlenin kollha akbar minn 5 jispiċċaw f'1, 3, 7, jew 9, peress li n-numri"&amp;" uniformi huma multipli ta '2 u In-numri li jispiċċaw f'0 jew 5 huma multipli ta '5.")</f>
        <v>Għalhekk, 6 mhix primarja. L-immaġni fuq il-lemin turi li 12 mhuwiex prim: 12 = 3 · 4. L-ebda numru uniformi akbar minn 2 huwa prim għaliex bid-definizzjoni, kwalunkwe numru n-Numru N għandu mill-inqas tliet diviżuri distinti, jiġifieri 1, 2, u n. Dan jimplika li n mhix primarja. Għaldaqstant, it-terminu fard prim jirreferi għal kwalunkwe numru ewlieni akbar minn 2. Bl-istess mod, meta miktub fis-sistema deċimali tas-soltu, in-numri ewlenin kollha akbar minn 5 jispiċċaw f'1, 3, 7, jew 9, peress li n-numri uniformi huma multipli ta '2 u In-numri li jispiċċaw f'0 jew 5 huma multipli ta '5.</v>
      </c>
    </row>
    <row r="17542" ht="15.75" customHeight="1">
      <c r="A17542" s="2" t="s">
        <v>17542</v>
      </c>
      <c r="B17542" s="2" t="str">
        <f>IFERROR(__xludf.DUMMYFUNCTION("GOOGLETRANSLATE(A17542, ""en"", ""mt"")"),"Kemm inqatlu mill-pesta f'Napli fl-1656?")</f>
        <v>Kemm inqatlu mill-pesta f'Napli fl-1656?</v>
      </c>
    </row>
    <row r="17543" ht="15.75" customHeight="1">
      <c r="A17543" s="2" t="s">
        <v>17543</v>
      </c>
      <c r="B17543" s="2" t="str">
        <f>IFERROR(__xludf.DUMMYFUNCTION("GOOGLETRANSLATE(A17543, ""en"", ""mt"")"),"aġitazzjoni mifruxa għar-riforma kostituzzjonali")</f>
        <v>aġitazzjoni mifruxa għar-riforma kostituzzjonali</v>
      </c>
    </row>
    <row r="17544" ht="15.75" customHeight="1">
      <c r="A17544" s="2" t="s">
        <v>17544</v>
      </c>
      <c r="B17544" s="2" t="str">
        <f>IFERROR(__xludf.DUMMYFUNCTION("GOOGLETRANSLATE(A17544, ""en"", ""mt"")"),"Eżerċizzju aerobiku")</f>
        <v>Eżerċizzju aerobiku</v>
      </c>
    </row>
    <row r="17545" ht="15.75" customHeight="1">
      <c r="A17545" s="2" t="s">
        <v>17545</v>
      </c>
      <c r="B17545" s="2" t="str">
        <f>IFERROR(__xludf.DUMMYFUNCTION("GOOGLETRANSLATE(A17545, ""en"", ""mt"")"),"Liema dokument ifforma l-Parlament tar-Rabat?")</f>
        <v>Liema dokument ifforma l-Parlament tar-Rabat?</v>
      </c>
    </row>
    <row r="17546" ht="15.75" customHeight="1">
      <c r="A17546" s="2" t="s">
        <v>17546</v>
      </c>
      <c r="B17546" s="2" t="str">
        <f>IFERROR(__xludf.DUMMYFUNCTION("GOOGLETRANSLATE(A17546, ""en"", ""mt"")"),"11.5 pulzieri (292.1 mm)")</f>
        <v>11.5 pulzieri (292.1 mm)</v>
      </c>
    </row>
    <row r="17547" ht="15.75" customHeight="1">
      <c r="A17547" s="2" t="s">
        <v>17547</v>
      </c>
      <c r="B17547" s="2" t="str">
        <f>IFERROR(__xludf.DUMMYFUNCTION("GOOGLETRANSLATE(A17547, ""en"", ""mt"")"),"fi Triq Konwiktorska")</f>
        <v>fi Triq Konwiktorska</v>
      </c>
    </row>
    <row r="17548" ht="15.75" customHeight="1">
      <c r="A17548" s="2" t="s">
        <v>17548</v>
      </c>
      <c r="B17548" s="2" t="str">
        <f>IFERROR(__xludf.DUMMYFUNCTION("GOOGLETRANSLATE(A17548, ""en"", ""mt"")"),"F'liema korp ta 'ilma jinżamm ir-Regatta ta' Harvard - Yale?")</f>
        <v>F'liema korp ta 'ilma jinżamm ir-Regatta ta' Harvard - Yale?</v>
      </c>
    </row>
    <row r="17549" ht="15.75" customHeight="1">
      <c r="A17549" s="2" t="s">
        <v>17549</v>
      </c>
      <c r="B17549" s="2" t="str">
        <f>IFERROR(__xludf.DUMMYFUNCTION("GOOGLETRANSLATE(A17549, ""en"", ""mt"")"),"Flimkien mal-knisja Anglikana u l-knisja li tgħaqqad, liema denominazzjoni reliġjuża topera skejjel privati ​​fl-Awstralja?")</f>
        <v>Flimkien mal-knisja Anglikana u l-knisja li tgħaqqad, liema denominazzjoni reliġjuża topera skejjel privati ​​fl-Awstralja?</v>
      </c>
    </row>
    <row r="17550" ht="15.75" customHeight="1">
      <c r="A17550" s="2" t="s">
        <v>17550</v>
      </c>
      <c r="B17550" s="2" t="str">
        <f>IFERROR(__xludf.DUMMYFUNCTION("GOOGLETRANSLATE(A17550, ""en"", ""mt"")"),"Il-ħdax-il tabib")</f>
        <v>Il-ħdax-il tabib</v>
      </c>
    </row>
    <row r="17551" ht="15.75" customHeight="1">
      <c r="A17551" s="2" t="s">
        <v>17551</v>
      </c>
      <c r="B17551" s="2" t="str">
        <f>IFERROR(__xludf.DUMMYFUNCTION("GOOGLETRANSLATE(A17551, ""en"", ""mt"")"),"Bażi legali xierqa")</f>
        <v>Bażi legali xierqa</v>
      </c>
    </row>
    <row r="17552" ht="15.75" customHeight="1">
      <c r="A17552" s="2" t="s">
        <v>17552</v>
      </c>
      <c r="B17552" s="2" t="str">
        <f>IFERROR(__xludf.DUMMYFUNCTION("GOOGLETRANSLATE(A17552, ""en"", ""mt"")"),"It-trasport ferrovjarju fir-Rabat huwa pprovdut minn diversi operaturi tal-ferrovija privati ​​u pubbliċi li joperaw fuq linji tal-gvern. Operaturi ewlenin jinkludu: Metro Trains Melbourne li tmexxi sistema estensiva, elettrifikata, tal-passiġġieri madwar"&amp;" Melbourne u subborgi; V / linja li issa hija proprjetà tal-gvern Vittorjan, topera servizz ikkonċentrat għal ċentri reġjonali ewlenin, kif ukoll servizzi fuq distanza twila fuq linji oħra; Nazzjonali tal-Paċifiku, CFCL Australia li joperaw servizzi tal-m"&amp;"erkanzija; Ferrovija tan-Nofsinhar kbira li topera l-Overland Melbourne - Adelaide; u NSW Trainlink li jopera XPTS Melbourne - Sydney.")</f>
        <v>It-trasport ferrovjarju fir-Rabat huwa pprovdut minn diversi operaturi tal-ferrovija privati ​​u pubbliċi li joperaw fuq linji tal-gvern. Operaturi ewlenin jinkludu: Metro Trains Melbourne li tmexxi sistema estensiva, elettrifikata, tal-passiġġieri madwar Melbourne u subborgi; V / linja li issa hija proprjetà tal-gvern Vittorjan, topera servizz ikkonċentrat għal ċentri reġjonali ewlenin, kif ukoll servizzi fuq distanza twila fuq linji oħra; Nazzjonali tal-Paċifiku, CFCL Australia li joperaw servizzi tal-merkanzija; Ferrovija tan-Nofsinhar kbira li topera l-Overland Melbourne - Adelaide; u NSW Trainlink li jopera XPTS Melbourne - Sydney.</v>
      </c>
    </row>
    <row r="17553" ht="15.75" customHeight="1">
      <c r="A17553" s="2" t="s">
        <v>17553</v>
      </c>
      <c r="B17553" s="2" t="str">
        <f>IFERROR(__xludf.DUMMYFUNCTION("GOOGLETRANSLATE(A17553, ""en"", ""mt"")"),"diversi mijiet")</f>
        <v>diversi mijiet</v>
      </c>
    </row>
    <row r="17554" ht="15.75" customHeight="1">
      <c r="A17554" s="2" t="s">
        <v>17554</v>
      </c>
      <c r="B17554" s="2" t="str">
        <f>IFERROR(__xludf.DUMMYFUNCTION("GOOGLETRANSLATE(A17554, ""en"", ""mt"")"),"affarijiet li huma kwistjoni ta 'drawwa jew aspettattiva")</f>
        <v>affarijiet li huma kwistjoni ta 'drawwa jew aspettattiva</v>
      </c>
    </row>
    <row r="17555" ht="15.75" customHeight="1">
      <c r="A17555" s="2" t="s">
        <v>17555</v>
      </c>
      <c r="B17555" s="2" t="str">
        <f>IFERROR(__xludf.DUMMYFUNCTION("GOOGLETRANSLATE(A17555, ""en"", ""mt"")"),"ekwivalenti rotazzjonali għall-pożizzjoni")</f>
        <v>ekwivalenti rotazzjonali għall-pożizzjoni</v>
      </c>
    </row>
    <row r="17556" ht="15.75" customHeight="1">
      <c r="A17556" s="2" t="s">
        <v>17556</v>
      </c>
      <c r="B17556" s="2" t="str">
        <f>IFERROR(__xludf.DUMMYFUNCTION("GOOGLETRANSLATE(A17556, ""en"", ""mt"")"),"Artrite, u infezzjoni fil-widna kissru ċilindru tal-widna. F'Diċembru 1544, huwa beda jħoss l-effetti ta 'l-anġina.")</f>
        <v>Artrite, u infezzjoni fil-widna kissru ċilindru tal-widna. F'Diċembru 1544, huwa beda jħoss l-effetti ta 'l-anġina.</v>
      </c>
    </row>
    <row r="17557" ht="15.75" customHeight="1">
      <c r="A17557" s="2" t="s">
        <v>17557</v>
      </c>
      <c r="B17557" s="2" t="str">
        <f>IFERROR(__xludf.DUMMYFUNCTION("GOOGLETRANSLATE(A17557, ""en"", ""mt"")"),"Min spiss jopera l-ispiżeriji tal-internet?")</f>
        <v>Min spiss jopera l-ispiżeriji tal-internet?</v>
      </c>
    </row>
    <row r="17558" ht="15.75" customHeight="1">
      <c r="A17558" s="2" t="s">
        <v>17558</v>
      </c>
      <c r="B17558" s="2" t="str">
        <f>IFERROR(__xludf.DUMMYFUNCTION("GOOGLETRANSLATE(A17558, ""en"", ""mt"")"),"aktar diffiċli")</f>
        <v>aktar diffiċli</v>
      </c>
    </row>
    <row r="17559" ht="15.75" customHeight="1">
      <c r="A17559" s="2" t="s">
        <v>17559</v>
      </c>
      <c r="B17559" s="2" t="str">
        <f>IFERROR(__xludf.DUMMYFUNCTION("GOOGLETRANSLATE(A17559, ""en"", ""mt"")"),"Fejn huma l-biċċa l-kbira tal-fabbriki kkonċentrati tul ir-Renu?")</f>
        <v>Fejn huma l-biċċa l-kbira tal-fabbriki kkonċentrati tul ir-Renu?</v>
      </c>
    </row>
    <row r="17560" ht="15.75" customHeight="1">
      <c r="A17560" s="2" t="s">
        <v>17560</v>
      </c>
      <c r="B17560" s="2" t="str">
        <f>IFERROR(__xludf.DUMMYFUNCTION("GOOGLETRANSLATE(A17560, ""en"", ""mt"")"),"huma f'kuntatt mal-istoma")</f>
        <v>huma f'kuntatt mal-istoma</v>
      </c>
    </row>
    <row r="17561" ht="15.75" customHeight="1">
      <c r="A17561" s="2" t="s">
        <v>17561</v>
      </c>
      <c r="B17561" s="2" t="str">
        <f>IFERROR(__xludf.DUMMYFUNCTION("GOOGLETRANSLATE(A17561, ""en"", ""mt"")"),"Tang, Song, kif ukoll Khitan Liao u Jurchen Jin Dynasties")</f>
        <v>Tang, Song, kif ukoll Khitan Liao u Jurchen Jin Dynasties</v>
      </c>
    </row>
    <row r="17562" ht="15.75" customHeight="1">
      <c r="A17562" s="2" t="s">
        <v>17562</v>
      </c>
      <c r="B17562" s="2" t="str">
        <f>IFERROR(__xludf.DUMMYFUNCTION("GOOGLETRANSLATE(A17562, ""en"", ""mt"")"),"X'inhi waħda mill-ikbar skejjel tal-mużika fl-Ewropa?")</f>
        <v>X'inhi waħda mill-ikbar skejjel tal-mużika fl-Ewropa?</v>
      </c>
    </row>
    <row r="17563" ht="15.75" customHeight="1">
      <c r="A17563" s="2" t="s">
        <v>17563</v>
      </c>
      <c r="B17563" s="2" t="str">
        <f>IFERROR(__xludf.DUMMYFUNCTION("GOOGLETRANSLATE(A17563, ""en"", ""mt"")"),"Liema frażi popolari hija assoċjata mas-serje Doctor Who?")</f>
        <v>Liema frażi popolari hija assoċjata mas-serje Doctor Who?</v>
      </c>
    </row>
    <row r="17564" ht="15.75" customHeight="1">
      <c r="A17564" s="2" t="s">
        <v>17564</v>
      </c>
      <c r="B17564" s="2" t="str">
        <f>IFERROR(__xludf.DUMMYFUNCTION("GOOGLETRANSLATE(A17564, ""en"", ""mt"")"),"Diviżjoni Maġġuri")</f>
        <v>Diviżjoni Maġġuri</v>
      </c>
    </row>
    <row r="17565" ht="15.75" customHeight="1">
      <c r="A17565" s="2" t="s">
        <v>17565</v>
      </c>
      <c r="B17565" s="2" t="str">
        <f>IFERROR(__xludf.DUMMYFUNCTION("GOOGLETRANSLATE(A17565, ""en"", ""mt"")"),"Fl-iskejjel privati, f'liema lingwa huma mgħallma l-klassijiet?")</f>
        <v>Fl-iskejjel privati, f'liema lingwa huma mgħallma l-klassijiet?</v>
      </c>
    </row>
    <row r="17566" ht="15.75" customHeight="1">
      <c r="A17566" s="2" t="s">
        <v>17566</v>
      </c>
      <c r="B17566" s="2" t="str">
        <f>IFERROR(__xludf.DUMMYFUNCTION("GOOGLETRANSLATE(A17566, ""en"", ""mt"")"),"Indikatur tal-Magna tal-Fwar")</f>
        <v>Indikatur tal-Magna tal-Fwar</v>
      </c>
    </row>
    <row r="17567" ht="15.75" customHeight="1">
      <c r="A17567" s="2" t="s">
        <v>17567</v>
      </c>
      <c r="B17567" s="2" t="str">
        <f>IFERROR(__xludf.DUMMYFUNCTION("GOOGLETRANSLATE(A17567, ""en"", ""mt"")"),"ABC Sunday Night Movie")</f>
        <v>ABC Sunday Night Movie</v>
      </c>
    </row>
    <row r="17568" ht="15.75" customHeight="1">
      <c r="A17568" s="2" t="s">
        <v>17568</v>
      </c>
      <c r="B17568" s="2" t="str">
        <f>IFERROR(__xludf.DUMMYFUNCTION("GOOGLETRANSLATE(A17568, ""en"", ""mt"")"),"Dinja llum")</f>
        <v>Dinja llum</v>
      </c>
    </row>
    <row r="17569" ht="15.75" customHeight="1">
      <c r="A17569" s="2" t="s">
        <v>17569</v>
      </c>
      <c r="B17569" s="2" t="str">
        <f>IFERROR(__xludf.DUMMYFUNCTION("GOOGLETRANSLATE(A17569, ""en"", ""mt"")"),"L-Organizzazzjoni Meteoroloġika Dinjija (WMO) u l-Programm tal-Ambjent tan-Nazzjonijiet Uniti (UNEP)")</f>
        <v>L-Organizzazzjoni Meteoroloġika Dinjija (WMO) u l-Programm tal-Ambjent tan-Nazzjonijiet Uniti (UNEP)</v>
      </c>
    </row>
    <row r="17570" ht="15.75" customHeight="1">
      <c r="A17570" s="2" t="s">
        <v>17570</v>
      </c>
      <c r="B17570" s="2" t="str">
        <f>IFERROR(__xludf.DUMMYFUNCTION("GOOGLETRANSLATE(A17570, ""en"", ""mt"")"),"it-twaqqif ta 'kummissjoni ġdida u indipendenti u kontra l-korruzzjoni")</f>
        <v>it-twaqqif ta 'kummissjoni ġdida u indipendenti u kontra l-korruzzjoni</v>
      </c>
    </row>
    <row r="17571" ht="15.75" customHeight="1">
      <c r="A17571" s="2" t="s">
        <v>17571</v>
      </c>
      <c r="B17571" s="2" t="str">
        <f>IFERROR(__xludf.DUMMYFUNCTION("GOOGLETRANSLATE(A17571, ""en"", ""mt"")"),"Packet_switching")</f>
        <v>Packet_switching</v>
      </c>
    </row>
    <row r="17572" ht="15.75" customHeight="1">
      <c r="A17572" s="2" t="s">
        <v>17572</v>
      </c>
      <c r="B17572" s="2" t="str">
        <f>IFERROR(__xludf.DUMMYFUNCTION("GOOGLETRANSLATE(A17572, ""en"", ""mt"")"),"Kotba stampati u x-xogħol ta ’artisti Ewropej u nies tas-sengħa impjegati fil-Gran Brittanja")</f>
        <v>Kotba stampati u x-xogħol ta ’artisti Ewropej u nies tas-sengħa impjegati fil-Gran Brittanja</v>
      </c>
    </row>
    <row r="17573" ht="15.75" customHeight="1">
      <c r="A17573" s="2" t="s">
        <v>17573</v>
      </c>
      <c r="B17573" s="2" t="str">
        <f>IFERROR(__xludf.DUMMYFUNCTION("GOOGLETRANSLATE(A17573, ""en"", ""mt"")"),"X’kien qed jittama li jistimula bit-toe squishing?")</f>
        <v>X’kien qed jittama li jistimula bit-toe squishing?</v>
      </c>
    </row>
    <row r="17574" ht="15.75" customHeight="1">
      <c r="A17574" s="2" t="s">
        <v>17574</v>
      </c>
      <c r="B17574" s="2" t="str">
        <f>IFERROR(__xludf.DUMMYFUNCTION("GOOGLETRANSLATE(A17574, ""en"", ""mt"")"),"Iż-żjarat ta 'John Pawlu II f'pajjiżu fl-1979 u fl-1983 ġabu appoġġ għall-moviment ta' solidarjetà tal-bidu u ħeġġew il-ħrara anti-komunista dejjem tikber hemmhekk. Fl-1979, inqas minn sena wara li sar Papa, John Paul iċċelebra l-Quddiesa fil-Pjazza tal-V"&amp;"itorja f'Varsavja u temm il-priedka tiegħu b'sejħa biex ""iġġedded il-wiċċ"" tal-Polonja: ħalli l-ispirtu tiegħek jinżel! Ħalli l-ispirtu tiegħek jinżel u jġedded il-wiċċ tal-art! Din l-art! Dawn il-kliem kienu sinifikanti ħafna għaċ-ċittadini Pollakki li"&amp;" fehmuhom bħala l-inċentiv għall-bidliet demokratiċi.")</f>
        <v>Iż-żjarat ta 'John Pawlu II f'pajjiżu fl-1979 u fl-1983 ġabu appoġġ għall-moviment ta' solidarjetà tal-bidu u ħeġġew il-ħrara anti-komunista dejjem tikber hemmhekk. Fl-1979, inqas minn sena wara li sar Papa, John Paul iċċelebra l-Quddiesa fil-Pjazza tal-Vitorja f'Varsavja u temm il-priedka tiegħu b'sejħa biex "iġġedded il-wiċċ" tal-Polonja: ħalli l-ispirtu tiegħek jinżel! Ħalli l-ispirtu tiegħek jinżel u jġedded il-wiċċ tal-art! Din l-art! Dawn il-kliem kienu sinifikanti ħafna għaċ-ċittadini Pollakki li fehmuhom bħala l-inċentiv għall-bidliet demokratiċi.</v>
      </c>
    </row>
    <row r="17575" ht="15.75" customHeight="1">
      <c r="A17575" s="2" t="s">
        <v>17575</v>
      </c>
      <c r="B17575" s="2" t="str">
        <f>IFERROR(__xludf.DUMMYFUNCTION("GOOGLETRANSLATE(A17575, ""en"", ""mt"")"),"Fruntieri bejn Franza l-ġdida u l-kolonji Ingliżi")</f>
        <v>Fruntieri bejn Franza l-ġdida u l-kolonji Ingliżi</v>
      </c>
    </row>
    <row r="17576" ht="15.75" customHeight="1">
      <c r="A17576" s="2" t="s">
        <v>17576</v>
      </c>
      <c r="B17576" s="2" t="str">
        <f>IFERROR(__xludf.DUMMYFUNCTION("GOOGLETRANSLATE(A17576, ""en"", ""mt"")"),"L-Italja")</f>
        <v>L-Italja</v>
      </c>
    </row>
    <row r="17577" ht="15.75" customHeight="1">
      <c r="A17577" s="2" t="s">
        <v>17577</v>
      </c>
      <c r="B17577" s="2" t="str">
        <f>IFERROR(__xludf.DUMMYFUNCTION("GOOGLETRANSLATE(A17577, ""en"", ""mt"")"),"Fl-aħħar tas-snin 1870")</f>
        <v>Fl-aħħar tas-snin 1870</v>
      </c>
    </row>
    <row r="17578" ht="15.75" customHeight="1">
      <c r="A17578" s="2" t="s">
        <v>17578</v>
      </c>
      <c r="B17578" s="2" t="str">
        <f>IFERROR(__xludf.DUMMYFUNCTION("GOOGLETRANSLATE(A17578, ""en"", ""mt"")"),"Il-mod kif għalliem jippromwovi l-kors li qed jgħallem, iktar l-istudent se joħroġ mis-suġġett. L-iktar tliet aspetti importanti tal-entużjażmu tal-għalliema huma l-entużjażmu dwar it-tagħlim, l-entużjażmu dwar l-istudenti, u l-entużjażmu dwar is-suġġett."&amp;" Għalliem irid igawdi tagħlim. Jekk ma jgawdux dak li qed jagħmlu, l-istudenti jkunu jistgħu jgħidu. Huma għandhom ukoll igawdu li jkunu madwar l-istudenti tagħhom. Għalliem li jimpurtah mill-istudenti tagħhom se jgħin lil dak l-individwu jirnexxi f'ħajji"&amp;"thom fil-futur. L-għalliem jeħtieġ ukoll li jkun entużjast dwar is-suġġett li qed jgħallmu. Pereżempju, għalliem li jitkellem dwar il-kimika jeħtieġ li jgawdi l-arti tal-kimika u juri dan lill-istudenti tagħhom. Spark fl-għalliem jista 'joħloq xrar ta' eċ"&amp;"ċitament fl-istudent ukoll. Għalliem entużjastiku għandu l-abbiltà li jkun influwenti ħafna fil-ħajja tal-istudenti żgħażagħ.")</f>
        <v>Il-mod kif għalliem jippromwovi l-kors li qed jgħallem, iktar l-istudent se joħroġ mis-suġġett. L-iktar tliet aspetti importanti tal-entużjażmu tal-għalliema huma l-entużjażmu dwar it-tagħlim, l-entużjażmu dwar l-istudenti, u l-entużjażmu dwar is-suġġett. Għalliem irid igawdi tagħlim. Jekk ma jgawdux dak li qed jagħmlu, l-istudenti jkunu jistgħu jgħidu. Huma għandhom ukoll igawdu li jkunu madwar l-istudenti tagħhom. Għalliem li jimpurtah mill-istudenti tagħhom se jgħin lil dak l-individwu jirnexxi f'ħajjithom fil-futur. L-għalliem jeħtieġ ukoll li jkun entużjast dwar is-suġġett li qed jgħallmu. Pereżempju, għalliem li jitkellem dwar il-kimika jeħtieġ li jgawdi l-arti tal-kimika u juri dan lill-istudenti tagħhom. Spark fl-għalliem jista 'joħloq xrar ta' eċċitament fl-istudent ukoll. Għalliem entużjastiku għandu l-abbiltà li jkun influwenti ħafna fil-ħajja tal-istudenti żgħażagħ.</v>
      </c>
    </row>
    <row r="17579" ht="15.75" customHeight="1">
      <c r="A17579" s="2" t="s">
        <v>17579</v>
      </c>
      <c r="B17579" s="2" t="str">
        <f>IFERROR(__xludf.DUMMYFUNCTION("GOOGLETRANSLATE(A17579, ""en"", ""mt"")"),"Qabel it-tluq ta 'Braddock")</f>
        <v>Qabel it-tluq ta 'Braddock</v>
      </c>
    </row>
    <row r="17580" ht="15.75" customHeight="1">
      <c r="A17580" s="2" t="s">
        <v>17580</v>
      </c>
      <c r="B17580" s="2" t="str">
        <f>IFERROR(__xludf.DUMMYFUNCTION("GOOGLETRANSLATE(A17580, ""en"", ""mt"")"),"differenzi fil-valur")</f>
        <v>differenzi fil-valur</v>
      </c>
    </row>
    <row r="17581" ht="15.75" customHeight="1">
      <c r="A17581" s="2" t="s">
        <v>17581</v>
      </c>
      <c r="B17581" s="2" t="str">
        <f>IFERROR(__xludf.DUMMYFUNCTION("GOOGLETRANSLATE(A17581, ""en"", ""mt"")"),"Ħamsa")</f>
        <v>Ħamsa</v>
      </c>
    </row>
    <row r="17582" ht="15.75" customHeight="1">
      <c r="A17582" s="2" t="s">
        <v>17582</v>
      </c>
      <c r="B17582" s="2" t="str">
        <f>IFERROR(__xludf.DUMMYFUNCTION("GOOGLETRANSLATE(A17582, ""en"", ""mt"")"),"L-Artikoli ta 'Smalcald")</f>
        <v>L-Artikoli ta 'Smalcald</v>
      </c>
    </row>
    <row r="17583" ht="15.75" customHeight="1">
      <c r="A17583" s="2" t="s">
        <v>17583</v>
      </c>
      <c r="B17583" s="2" t="str">
        <f>IFERROR(__xludf.DUMMYFUNCTION("GOOGLETRANSLATE(A17583, ""en"", ""mt"")"),"X'tipprovdi l-imbuttar u l-ġbid tal-perċezzjonijiet għad-deskrizzjoni tal-forzi?")</f>
        <v>X'tipprovdi l-imbuttar u l-ġbid tal-perċezzjonijiet għad-deskrizzjoni tal-forzi?</v>
      </c>
    </row>
    <row r="17584" ht="15.75" customHeight="1">
      <c r="A17584" s="2" t="s">
        <v>17584</v>
      </c>
      <c r="B17584" s="2" t="str">
        <f>IFERROR(__xludf.DUMMYFUNCTION("GOOGLETRANSLATE(A17584, ""en"", ""mt"")"),"Kemm kien il-ġid ikkombinat tal- ""10 miljun dollaru miljunarji"" fl-2008?")</f>
        <v>Kemm kien il-ġid ikkombinat tal- "10 miljun dollaru miljunarji" fl-2008?</v>
      </c>
    </row>
    <row r="17585" ht="15.75" customHeight="1">
      <c r="A17585" s="2" t="s">
        <v>17585</v>
      </c>
      <c r="B17585" s="2" t="str">
        <f>IFERROR(__xludf.DUMMYFUNCTION("GOOGLETRANSLATE(A17585, ""en"", ""mt"")"),"X'ġara fil-bini fuq George IV Bridge meta sar il-Parlament miegħu?")</f>
        <v>X'ġara fil-bini fuq George IV Bridge meta sar il-Parlament miegħu?</v>
      </c>
    </row>
    <row r="17586" ht="15.75" customHeight="1">
      <c r="A17586" s="2" t="s">
        <v>17586</v>
      </c>
      <c r="B17586" s="2" t="str">
        <f>IFERROR(__xludf.DUMMYFUNCTION("GOOGLETRANSLATE(A17586, ""en"", ""mt"")"),"li jibqa 'bl-iswed u bl-abjad")</f>
        <v>li jibqa 'bl-iswed u bl-abjad</v>
      </c>
    </row>
    <row r="17587" ht="15.75" customHeight="1">
      <c r="A17587" s="2" t="s">
        <v>17587</v>
      </c>
      <c r="B17587" s="2" t="str">
        <f>IFERROR(__xludf.DUMMYFUNCTION("GOOGLETRANSLATE(A17587, ""en"", ""mt"")"),"Ġesù l-interpretu")</f>
        <v>Ġesù l-interpretu</v>
      </c>
    </row>
    <row r="17588" ht="15.75" customHeight="1">
      <c r="A17588" s="2" t="s">
        <v>17588</v>
      </c>
      <c r="B17588" s="2" t="str">
        <f>IFERROR(__xludf.DUMMYFUNCTION("GOOGLETRANSLATE(A17588, ""en"", ""mt"")"),"Minbarra l-istudju tan-numri ewlenin, liema teorija ġenerali kienet ikkunsidrata bħala l-eżempju uffiċjali tal-matematika pura?")</f>
        <v>Minbarra l-istudju tan-numri ewlenin, liema teorija ġenerali kienet ikkunsidrata bħala l-eżempju uffiċjali tal-matematika pura?</v>
      </c>
    </row>
    <row r="17589" ht="15.75" customHeight="1">
      <c r="A17589" s="2" t="s">
        <v>17589</v>
      </c>
      <c r="B17589" s="2" t="str">
        <f>IFERROR(__xludf.DUMMYFUNCTION("GOOGLETRANSLATE(A17589, ""en"", ""mt"")"),"Fejn miet Harold II?")</f>
        <v>Fejn miet Harold II?</v>
      </c>
    </row>
    <row r="17590" ht="15.75" customHeight="1">
      <c r="A17590" s="2" t="s">
        <v>17590</v>
      </c>
      <c r="B17590" s="2" t="str">
        <f>IFERROR(__xludf.DUMMYFUNCTION("GOOGLETRANSLATE(A17590, ""en"", ""mt"")"),"Ibbażat fuq l-opportunità")</f>
        <v>Ibbażat fuq l-opportunità</v>
      </c>
    </row>
    <row r="17591" ht="15.75" customHeight="1">
      <c r="A17591" s="2" t="s">
        <v>17591</v>
      </c>
      <c r="B17591" s="2" t="str">
        <f>IFERROR(__xludf.DUMMYFUNCTION("GOOGLETRANSLATE(A17591, ""en"", ""mt"")"),"professjonisti mħallsa.")</f>
        <v>professjonisti mħallsa.</v>
      </c>
    </row>
    <row r="17592" ht="15.75" customHeight="1">
      <c r="A17592" s="2" t="s">
        <v>17592</v>
      </c>
      <c r="B17592" s="2" t="str">
        <f>IFERROR(__xludf.DUMMYFUNCTION("GOOGLETRANSLATE(A17592, ""en"", ""mt"")"),"L-ewwel netwerk ta 'dejta pubblika liċenzjata mill-FCC fl-Istati Uniti")</f>
        <v>L-ewwel netwerk ta 'dejta pubblika liċenzjata mill-FCC fl-Istati Uniti</v>
      </c>
    </row>
    <row r="17593" ht="15.75" customHeight="1">
      <c r="A17593" s="2" t="s">
        <v>17593</v>
      </c>
      <c r="B17593" s="2" t="str">
        <f>IFERROR(__xludf.DUMMYFUNCTION("GOOGLETRANSLATE(A17593, ""en"", ""mt"")"),"X’għamlet Tesla f’Maribor għax-xogħol?")</f>
        <v>X’għamlet Tesla f’Maribor għax-xogħol?</v>
      </c>
    </row>
    <row r="17594" ht="15.75" customHeight="1">
      <c r="A17594" s="2" t="s">
        <v>17594</v>
      </c>
      <c r="B17594" s="2" t="str">
        <f>IFERROR(__xludf.DUMMYFUNCTION("GOOGLETRANSLATE(A17594, ""en"", ""mt"")"),"membrana doppja")</f>
        <v>membrana doppja</v>
      </c>
    </row>
    <row r="17595" ht="15.75" customHeight="1">
      <c r="A17595" s="2" t="s">
        <v>17595</v>
      </c>
      <c r="B17595" s="2" t="str">
        <f>IFERROR(__xludf.DUMMYFUNCTION("GOOGLETRANSLATE(A17595, ""en"", ""mt"")"),"Minn xiex qal Fritschel li l-irqad tar-raġel kien imfixkel?")</f>
        <v>Minn xiex qal Fritschel li l-irqad tar-raġel kien imfixkel?</v>
      </c>
    </row>
    <row r="17596" ht="15.75" customHeight="1">
      <c r="A17596" s="2" t="s">
        <v>17596</v>
      </c>
      <c r="B17596" s="2" t="str">
        <f>IFERROR(__xludf.DUMMYFUNCTION("GOOGLETRANSLATE(A17596, ""en"", ""mt"")"),"nofs daqskemm")</f>
        <v>nofs daqskemm</v>
      </c>
    </row>
    <row r="17597" ht="15.75" customHeight="1">
      <c r="A17597" s="2" t="s">
        <v>17597</v>
      </c>
      <c r="B17597" s="2" t="str">
        <f>IFERROR(__xludf.DUMMYFUNCTION("GOOGLETRANSLATE(A17597, ""en"", ""mt"")"),"Min ħasbu l-bdiewa li Luther se jappoġġja attakk fuqu?")</f>
        <v>Min ħasbu l-bdiewa li Luther se jappoġġja attakk fuqu?</v>
      </c>
    </row>
    <row r="17598" ht="15.75" customHeight="1">
      <c r="A17598" s="2" t="s">
        <v>17598</v>
      </c>
      <c r="B17598" s="2" t="str">
        <f>IFERROR(__xludf.DUMMYFUNCTION("GOOGLETRANSLATE(A17598, ""en"", ""mt"")"),"Interazzjoni aktar fundamentali tal-elettroweak.")</f>
        <v>Interazzjoni aktar fundamentali tal-elettroweak.</v>
      </c>
    </row>
    <row r="17599" ht="15.75" customHeight="1">
      <c r="A17599" s="2" t="s">
        <v>17599</v>
      </c>
      <c r="B17599" s="2" t="str">
        <f>IFERROR(__xludf.DUMMYFUNCTION("GOOGLETRANSLATE(A17599, ""en"", ""mt"")"),"ħabib")</f>
        <v>ħabib</v>
      </c>
    </row>
    <row r="17600" ht="15.75" customHeight="1">
      <c r="A17600" s="2" t="s">
        <v>17600</v>
      </c>
      <c r="B17600" s="2" t="str">
        <f>IFERROR(__xludf.DUMMYFUNCTION("GOOGLETRANSLATE(A17600, ""en"", ""mt"")"),"Talb komuni tal-mewt.")</f>
        <v>Talb komuni tal-mewt.</v>
      </c>
    </row>
    <row r="17601" ht="15.75" customHeight="1">
      <c r="A17601" s="2" t="s">
        <v>17601</v>
      </c>
      <c r="B17601" s="2" t="str">
        <f>IFERROR(__xludf.DUMMYFUNCTION("GOOGLETRANSLATE(A17601, ""en"", ""mt"")"),"dak li kienet il-klima bħal miljuni ta 'snin ilu")</f>
        <v>dak li kienet il-klima bħal miljuni ta 'snin ilu</v>
      </c>
    </row>
    <row r="17602" ht="15.75" customHeight="1">
      <c r="A17602" s="2" t="s">
        <v>17602</v>
      </c>
      <c r="B17602" s="2" t="str">
        <f>IFERROR(__xludf.DUMMYFUNCTION("GOOGLETRANSLATE(A17602, ""en"", ""mt"")"),"£ 26,719")</f>
        <v>£ 26,719</v>
      </c>
    </row>
    <row r="17603" ht="15.75" customHeight="1">
      <c r="A17603" s="2" t="s">
        <v>17603</v>
      </c>
      <c r="B17603" s="2" t="str">
        <f>IFERROR(__xludf.DUMMYFUNCTION("GOOGLETRANSLATE(A17603, ""en"", ""mt"")"),"Il-Festival tal-Birra Newcastle, organizzat minn CaMRA, iseħħ f'April. F'Mejju, Newcastle u Gateshead jospitaw il-Festival tal-Evolution, festival tal-mużika li sar fuq il-Quaysides ta 'Newcastle u Gateshead fuq il-Holiday Bank Spring, b'wirjiet minn atti"&amp;" mid-dinja tal-mużika rock, indie u dance. Il-Biennali AV Festival ta 'l-Art Elettronika Internazzjonali, li fih esibizzjonijiet, kunċerti, konferenzi u screenings tal-films, sar f'Marzu. L-Expo Art tal-Grigal, festival tal-arti u d-disinn mir-reġjuni art"&amp;"isti professjonali, isir fl-aħħar ta 'Mejju. Kul! Newcastlegateshead, festival ta 'ikel u xorb, jibda għal 2 ġimgħat kull sena f'nofs Ġunju.")</f>
        <v>Il-Festival tal-Birra Newcastle, organizzat minn CaMRA, iseħħ f'April. F'Mejju, Newcastle u Gateshead jospitaw il-Festival tal-Evolution, festival tal-mużika li sar fuq il-Quaysides ta 'Newcastle u Gateshead fuq il-Holiday Bank Spring, b'wirjiet minn atti mid-dinja tal-mużika rock, indie u dance. Il-Biennali AV Festival ta 'l-Art Elettronika Internazzjonali, li fih esibizzjonijiet, kunċerti, konferenzi u screenings tal-films, sar f'Marzu. L-Expo Art tal-Grigal, festival tal-arti u d-disinn mir-reġjuni artisti professjonali, isir fl-aħħar ta 'Mejju. Kul! Newcastlegateshead, festival ta 'ikel u xorb, jibda għal 2 ġimgħat kull sena f'nofs Ġunju.</v>
      </c>
    </row>
    <row r="17604" ht="15.75" customHeight="1">
      <c r="A17604" s="2" t="s">
        <v>17604</v>
      </c>
      <c r="B17604" s="2" t="str">
        <f>IFERROR(__xludf.DUMMYFUNCTION("GOOGLETRANSLATE(A17604, ""en"", ""mt"")"),"Liema industrija stabbilixxa n-nobbli b'din is-saldu?")</f>
        <v>Liema industrija stabbilixxa n-nobbli b'din is-saldu?</v>
      </c>
    </row>
    <row r="17605" ht="15.75" customHeight="1">
      <c r="A17605" s="2" t="s">
        <v>17605</v>
      </c>
      <c r="B17605" s="2" t="str">
        <f>IFERROR(__xludf.DUMMYFUNCTION("GOOGLETRANSLATE(A17605, ""en"", ""mt"")"),"Liema snin tas-serje huma disponibbli fuq Blu-ray?")</f>
        <v>Liema snin tas-serje huma disponibbli fuq Blu-ray?</v>
      </c>
    </row>
    <row r="17606" ht="15.75" customHeight="1">
      <c r="A17606" s="2" t="s">
        <v>17606</v>
      </c>
      <c r="B17606" s="2" t="str">
        <f>IFERROR(__xludf.DUMMYFUNCTION("GOOGLETRANSLATE(A17606, ""en"", ""mt"")"),"Post ta 'Varsavja")</f>
        <v>Post ta 'Varsavja</v>
      </c>
    </row>
    <row r="17607" ht="15.75" customHeight="1">
      <c r="A17607" s="2" t="s">
        <v>17607</v>
      </c>
      <c r="B17607" s="2" t="str">
        <f>IFERROR(__xludf.DUMMYFUNCTION("GOOGLETRANSLATE(A17607, ""en"", ""mt"")"),"servizz pubbliku")</f>
        <v>servizz pubbliku</v>
      </c>
    </row>
    <row r="17608" ht="15.75" customHeight="1">
      <c r="A17608" s="2" t="s">
        <v>17608</v>
      </c>
      <c r="B17608" s="2" t="str">
        <f>IFERROR(__xludf.DUMMYFUNCTION("GOOGLETRANSLATE(A17608, ""en"", ""mt"")"),"4.6 biljun sena")</f>
        <v>4.6 biljun sena</v>
      </c>
    </row>
    <row r="17609" ht="15.75" customHeight="1">
      <c r="A17609" s="2" t="s">
        <v>17609</v>
      </c>
      <c r="B17609" s="2" t="str">
        <f>IFERROR(__xludf.DUMMYFUNCTION("GOOGLETRANSLATE(A17609, ""en"", ""mt"")"),"Tnaqqis fid-domanda tal-Punent")</f>
        <v>Tnaqqis fid-domanda tal-Punent</v>
      </c>
    </row>
    <row r="17610" ht="15.75" customHeight="1">
      <c r="A17610" s="2" t="s">
        <v>17610</v>
      </c>
      <c r="B17610" s="2" t="str">
        <f>IFERROR(__xludf.DUMMYFUNCTION("GOOGLETRANSLATE(A17610, ""en"", ""mt"")"),"Dogg lira")</f>
        <v>Dogg lira</v>
      </c>
    </row>
    <row r="17611" ht="15.75" customHeight="1">
      <c r="A17611" s="2" t="s">
        <v>17611</v>
      </c>
      <c r="B17611" s="2" t="str">
        <f>IFERROR(__xludf.DUMMYFUNCTION("GOOGLETRANSLATE(A17611, ""en"", ""mt"")"),"Fil-fatt ma kisser l-ebda liġi")</f>
        <v>Fil-fatt ma kisser l-ebda liġi</v>
      </c>
    </row>
    <row r="17612" ht="15.75" customHeight="1">
      <c r="A17612" s="2" t="s">
        <v>17612</v>
      </c>
      <c r="B17612" s="2" t="str">
        <f>IFERROR(__xludf.DUMMYFUNCTION("GOOGLETRANSLATE(A17612, ""en"", ""mt"")"),"1.6 miljun sena")</f>
        <v>1.6 miljun sena</v>
      </c>
    </row>
    <row r="17613" ht="15.75" customHeight="1">
      <c r="A17613" s="2" t="s">
        <v>17613</v>
      </c>
      <c r="B17613" s="2" t="str">
        <f>IFERROR(__xludf.DUMMYFUNCTION("GOOGLETRANSLATE(A17613, ""en"", ""mt"")"),"Ir-Rabat fih ħafna żoni topografikament, ġeoloġikament u klimatikament differenti, li jvarjaw mill-klima mxarrba u moderata tal-Gippsland fix-Xlokk saż-żoni Alpini Vittorjani miksija bil-borra li jogħlew għal kważi 2,000 m (6,600 ft), bil-Muntanja Bogong "&amp;"l-ogħla quċċata fi 1,986 m (6,516 ft). Hemm pjanuri estensivi semi-aridi lejn il-punent u l-majjistral. Hemm serje estensiva ta 'sistemi tax-xmajjar fir-Rabat. L-iktar notevoli hija s-sistema tax-Xmara Murray. Xmajjar oħra jinkludu: Xmara tal-Fran, Xmara "&amp;"Goulburn, River Patterson, River King, River Campaspe, River Loddon, River Wimmera, Elgin River, Barwon River, Thomson River, Snowy River, Latrobe River, Yarra River, Mabrarnong, River Mitta, Mitta River, Hopkins Xmara, Xmara Merri u Xmara Kiewa. Is-simbo"&amp;"li tal-istat jinkludu s-Saħħa Roża (Fjura tal-Istat), il-Possum ta 'Leadbeater (State Animal) u l-Honeyeater Elmuted (State Bird).")</f>
        <v>Ir-Rabat fih ħafna żoni topografikament, ġeoloġikament u klimatikament differenti, li jvarjaw mill-klima mxarrba u moderata tal-Gippsland fix-Xlokk saż-żoni Alpini Vittorjani miksija bil-borra li jogħlew għal kważi 2,000 m (6,600 ft), bil-Muntanja Bogong l-ogħla quċċata fi 1,986 m (6,516 ft). Hemm pjanuri estensivi semi-aridi lejn il-punent u l-majjistral. Hemm serje estensiva ta 'sistemi tax-xmajjar fir-Rabat. L-iktar notevoli hija s-sistema tax-Xmara Murray. Xmajjar oħra jinkludu: Xmara tal-Fran, Xmara Goulburn, River Patterson, River King, River Campaspe, River Loddon, River Wimmera, Elgin River, Barwon River, Thomson River, Snowy River, Latrobe River, Yarra River, Mabrarnong, River Mitta, Mitta River, Hopkins Xmara, Xmara Merri u Xmara Kiewa. Is-simboli tal-istat jinkludu s-Saħħa Roża (Fjura tal-Istat), il-Possum ta 'Leadbeater (State Animal) u l-Honeyeater Elmuted (State Bird).</v>
      </c>
    </row>
    <row r="17614" ht="15.75" customHeight="1">
      <c r="A17614" s="2" t="s">
        <v>17614</v>
      </c>
      <c r="B17614" s="2" t="str">
        <f>IFERROR(__xludf.DUMMYFUNCTION("GOOGLETRANSLATE(A17614, ""en"", ""mt"")"),"Suite proprjetarja ta 'protokolli ta' netwerking")</f>
        <v>Suite proprjetarja ta 'protokolli ta' netwerking</v>
      </c>
    </row>
    <row r="17615" ht="15.75" customHeight="1">
      <c r="A17615" s="2" t="s">
        <v>17615</v>
      </c>
      <c r="B17615" s="2" t="str">
        <f>IFERROR(__xludf.DUMMYFUNCTION("GOOGLETRANSLATE(A17615, ""en"", ""mt"")"),"Dixxiplini akkademiċi varji")</f>
        <v>Dixxiplini akkademiċi varji</v>
      </c>
    </row>
    <row r="17616" ht="15.75" customHeight="1">
      <c r="A17616" s="2" t="s">
        <v>17616</v>
      </c>
      <c r="B17616" s="2" t="str">
        <f>IFERROR(__xludf.DUMMYFUNCTION("GOOGLETRANSLATE(A17616, ""en"", ""mt"")"),"Matul l-istess sena, Tesla kitbet trattat, l-arti li tipproġetta enerġija konċentrata mhux mifruxa permezz tal-midja naturali, dwar armi ta 'raġġ ta' partikuli ċċarġjati. Tesla ppubblikat id-dokument f'attentat biex tesponi fuq id-deskrizzjoni teknika ta "&amp;"'""superweapon li jtemm il-gwerra kollha."" Dan it-trattat bħalissa jinsab fl-Arkivju tal-Mużew Nikola Tesla f'Belgrad. Jiddeskrivi tubu tal-vakwu miftuħ b'siġill tal-ġett tal-gass li jippermetti li l-partiċelli joħorġu, metodu ta 'ċċarġjar ta' partiċelli"&amp;" għal miljuni ta 'volt, u metodu ta' ħolqien u direzzjoni ta 'flussi ta' partiċelli mhux diżpersivi (permezz ta 'repulsjoni elettrostatika). Tesla ppruvat tinteressa lid-Dipartiment tal-Gwerra tal-Istati Uniti, ir-Renju Unit, l-Unjoni Sovjetika, u l-Jugos"&amp;"lavja fl-apparat.")</f>
        <v>Matul l-istess sena, Tesla kitbet trattat, l-arti li tipproġetta enerġija konċentrata mhux mifruxa permezz tal-midja naturali, dwar armi ta 'raġġ ta' partikuli ċċarġjati. Tesla ppubblikat id-dokument f'attentat biex tesponi fuq id-deskrizzjoni teknika ta '"superweapon li jtemm il-gwerra kollha." Dan it-trattat bħalissa jinsab fl-Arkivju tal-Mużew Nikola Tesla f'Belgrad. Jiddeskrivi tubu tal-vakwu miftuħ b'siġill tal-ġett tal-gass li jippermetti li l-partiċelli joħorġu, metodu ta 'ċċarġjar ta' partiċelli għal miljuni ta 'volt, u metodu ta' ħolqien u direzzjoni ta 'flussi ta' partiċelli mhux diżpersivi (permezz ta 'repulsjoni elettrostatika). Tesla ppruvat tinteressa lid-Dipartiment tal-Gwerra tal-Istati Uniti, ir-Renju Unit, l-Unjoni Sovjetika, u l-Jugoslavja fl-apparat.</v>
      </c>
    </row>
    <row r="17617" ht="15.75" customHeight="1">
      <c r="A17617" s="2" t="s">
        <v>17617</v>
      </c>
      <c r="B17617" s="2" t="str">
        <f>IFERROR(__xludf.DUMMYFUNCTION("GOOGLETRANSLATE(A17617, ""en"", ""mt"")"),"Ħajja b'saħħitha")</f>
        <v>Ħajja b'saħħitha</v>
      </c>
    </row>
    <row r="17618" ht="15.75" customHeight="1">
      <c r="A17618" s="2" t="s">
        <v>17618</v>
      </c>
      <c r="B17618" s="2" t="str">
        <f>IFERROR(__xludf.DUMMYFUNCTION("GOOGLETRANSLATE(A17618, ""en"", ""mt"")"),"X'jagħmlu r-razez ta 'y. Pestis jissuġġerixxu li l-pesta?")</f>
        <v>X'jagħmlu r-razez ta 'y. Pestis jissuġġerixxu li l-pesta?</v>
      </c>
    </row>
    <row r="17619" ht="15.75" customHeight="1">
      <c r="A17619" s="2" t="s">
        <v>17619</v>
      </c>
      <c r="B17619" s="2" t="str">
        <f>IFERROR(__xludf.DUMMYFUNCTION("GOOGLETRANSLATE(A17619, ""en"", ""mt"")"),"fruntieri diverġenti")</f>
        <v>fruntieri diverġenti</v>
      </c>
    </row>
    <row r="17620" ht="15.75" customHeight="1">
      <c r="A17620" s="2" t="s">
        <v>17620</v>
      </c>
      <c r="B17620" s="2" t="str">
        <f>IFERROR(__xludf.DUMMYFUNCTION("GOOGLETRANSLATE(A17620, ""en"", ""mt"")"),"li tippermetti li l-vettura spazjali Lander tintuża bħala ""dgħajsa tas-salvataġġ")</f>
        <v>li tippermetti li l-vettura spazjali Lander tintuża bħala "dgħajsa tas-salvataġġ</v>
      </c>
    </row>
    <row r="17621" ht="15.75" customHeight="1">
      <c r="A17621" s="2" t="s">
        <v>17621</v>
      </c>
      <c r="B17621" s="2" t="str">
        <f>IFERROR(__xludf.DUMMYFUNCTION("GOOGLETRANSLATE(A17621, ""en"", ""mt"")"),"Ir-rwol tal-mapep tas-seklu dsatax")</f>
        <v>Ir-rwol tal-mapep tas-seklu dsatax</v>
      </c>
    </row>
    <row r="17622" ht="15.75" customHeight="1">
      <c r="A17622" s="2" t="s">
        <v>17622</v>
      </c>
      <c r="B17622" s="2" t="str">
        <f>IFERROR(__xludf.DUMMYFUNCTION("GOOGLETRANSLATE(A17622, ""en"", ""mt"")"),"Kuntrarju għat-twemmin popolari, Genghis Khan ma rbaħx l-oqsma kollha fl-aħħar mill-aħħar parti mill-imperu Mongoljan. Fil-ħin tal-mewt tiegħu, l-Imperu Mongoljan jinfirex mill-Baħar Kaspjan sal-Baħar tal-Ġappun. L-espansjoni tal-Imperu kompliet għal ġene"&amp;"razzjoni jew aktar wara l-mewt ta 'Genghis fl-1227. Taħt is-suċċessur ta' Genghis Ögedei Khan il-veloċità tal-espansjoni laħqet il-quċċata tagħha. L-armati tal-Mongol imbuttati fil-Persja, temmew ix-XIA tal-Punent u l-fdalijiet tal-Khwarezmids, u daħlu f'"&amp;"kunflitt mad-Dynasty tal-Kanzunetta Imperjali taċ-Ċina, li bdew gwerra li damet sal-1279 u dik ikkonkluda mal-Mongoli li kisbu l-kontroll taċ-Ċina kollha. Huma mbuttati wkoll aktar lejn ir-Russja u l-Ewropa tal-Lvant.")</f>
        <v>Kuntrarju għat-twemmin popolari, Genghis Khan ma rbaħx l-oqsma kollha fl-aħħar mill-aħħar parti mill-imperu Mongoljan. Fil-ħin tal-mewt tiegħu, l-Imperu Mongoljan jinfirex mill-Baħar Kaspjan sal-Baħar tal-Ġappun. L-espansjoni tal-Imperu kompliet għal ġenerazzjoni jew aktar wara l-mewt ta 'Genghis fl-1227. Taħt is-suċċessur ta' Genghis Ögedei Khan il-veloċità tal-espansjoni laħqet il-quċċata tagħha. L-armati tal-Mongol imbuttati fil-Persja, temmew ix-XIA tal-Punent u l-fdalijiet tal-Khwarezmids, u daħlu f'kunflitt mad-Dynasty tal-Kanzunetta Imperjali taċ-Ċina, li bdew gwerra li damet sal-1279 u dik ikkonkluda mal-Mongoli li kisbu l-kontroll taċ-Ċina kollha. Huma mbuttati wkoll aktar lejn ir-Russja u l-Ewropa tal-Lvant.</v>
      </c>
    </row>
    <row r="17623" ht="15.75" customHeight="1">
      <c r="A17623" s="2" t="s">
        <v>17623</v>
      </c>
      <c r="B17623" s="2" t="str">
        <f>IFERROR(__xludf.DUMMYFUNCTION("GOOGLETRANSLATE(A17623, ""en"", ""mt"")"),"""Anniversarju tad-Deheb""")</f>
        <v>"Anniversarju tad-Deheb"</v>
      </c>
    </row>
    <row r="17624" ht="15.75" customHeight="1">
      <c r="A17624" s="2" t="s">
        <v>17624</v>
      </c>
      <c r="B17624" s="2" t="str">
        <f>IFERROR(__xludf.DUMMYFUNCTION("GOOGLETRANSLATE(A17624, ""en"", ""mt"")"),"Kemm kien kellu timijiet ta 'Los Angeles?")</f>
        <v>Kemm kien kellu timijiet ta 'Los Angeles?</v>
      </c>
    </row>
    <row r="17625" ht="15.75" customHeight="1">
      <c r="A17625" s="2" t="s">
        <v>17625</v>
      </c>
      <c r="B17625" s="2" t="str">
        <f>IFERROR(__xludf.DUMMYFUNCTION("GOOGLETRANSLATE(A17625, ""en"", ""mt"")"),"Aktar ugwaljanza fid-distribuzzjoni tad-dħul")</f>
        <v>Aktar ugwaljanza fid-distribuzzjoni tad-dħul</v>
      </c>
    </row>
    <row r="17626" ht="15.75" customHeight="1">
      <c r="A17626" s="2" t="s">
        <v>17626</v>
      </c>
      <c r="B17626" s="2" t="str">
        <f>IFERROR(__xludf.DUMMYFUNCTION("GOOGLETRANSLATE(A17626, ""en"", ""mt"")"),"L-UMC tgħallem li l-pornografija hija dwar xiex?")</f>
        <v>L-UMC tgħallem li l-pornografija hija dwar xiex?</v>
      </c>
    </row>
    <row r="17627" ht="15.75" customHeight="1">
      <c r="A17627" s="2" t="s">
        <v>17627</v>
      </c>
      <c r="B17627" s="2" t="str">
        <f>IFERROR(__xludf.DUMMYFUNCTION("GOOGLETRANSLATE(A17627, ""en"", ""mt"")"),"Il-kontroll tal-gvern tar-Renju Unit għen ix-xewqa għal Parlament Skoċċiż?")</f>
        <v>Il-kontroll tal-gvern tar-Renju Unit għen ix-xewqa għal Parlament Skoċċiż?</v>
      </c>
    </row>
    <row r="17628" ht="15.75" customHeight="1">
      <c r="A17628" s="2" t="s">
        <v>17628</v>
      </c>
      <c r="B17628" s="2" t="str">
        <f>IFERROR(__xludf.DUMMYFUNCTION("GOOGLETRANSLATE(A17628, ""en"", ""mt"")"),"X’għamlu l-poplu Lhudi u għalhekk oġġetti pagani ma kinux ikunu fit-Tempju ta ’Ġerusalemm?")</f>
        <v>X’għamlu l-poplu Lhudi u għalhekk oġġetti pagani ma kinux ikunu fit-Tempju ta ’Ġerusalemm?</v>
      </c>
    </row>
    <row r="17629" ht="15.75" customHeight="1">
      <c r="A17629" s="2" t="s">
        <v>17629</v>
      </c>
      <c r="B17629" s="2" t="str">
        <f>IFERROR(__xludf.DUMMYFUNCTION("GOOGLETRANSLATE(A17629, ""en"", ""mt"")"),"X'inhu mkabbar fl-artijiet għolja fertili?")</f>
        <v>X'inhu mkabbar fl-artijiet għolja fertili?</v>
      </c>
    </row>
    <row r="17630" ht="15.75" customHeight="1">
      <c r="A17630" s="2" t="s">
        <v>17630</v>
      </c>
      <c r="B17630" s="2" t="str">
        <f>IFERROR(__xludf.DUMMYFUNCTION("GOOGLETRANSLATE(A17630, ""en"", ""mt"")"),"Fit-28 ta 'Diċembru, 2015, ESPN Deportes ħabbret li laħqu ftehim ma' CBS u l-NFL biex ikunu x-xandar esklussiv bil-lingwa Spanjola tal-logħba, li mmarka t-tielet xandira ddedikata bil-lingwa Spanjola tas-Super Bowl. B'differenza mill-NBC u l-Fox, CBS m'għ"&amp;"andux ħanut tal-lingwa Spanjola tiegħu stess li jista 'jxandar il-logħba (għalkemm għal kull politika tal-kampjonat, saret sejħa ta' play-by-play separata Spanjola fuq it-tieni kanal ta 'programm awdjo ta' CBS għal over-the- telespettaturi tal-arja). Il-l"&amp;"ogħba ġiet imsejħa mill-ekwipaġġ tal-kummentarju tal-futbol tat-Tnejn filgħaxija ta 'ESPN Deportes ta' Alvaro Martin u Raul Allegre, u r-reporter Sideline John Sutcliffe. ESPN Deportes ixandru kopertura ta 'qabel il-logħba u wara l-logħba, filwaqt li Mart"&amp;"in, Allegre, u Sutcliffe kkontribwew rapporti bil-lingwa Ingliża għall-isportscenter ta' ESPN u Mike &amp; Mike.")</f>
        <v>Fit-28 ta 'Diċembru, 2015, ESPN Deportes ħabbret li laħqu ftehim ma' CBS u l-NFL biex ikunu x-xandar esklussiv bil-lingwa Spanjola tal-logħba, li mmarka t-tielet xandira ddedikata bil-lingwa Spanjola tas-Super Bowl. B'differenza mill-NBC u l-Fox, CBS m'għandux ħanut tal-lingwa Spanjola tiegħu stess li jista 'jxandar il-logħba (għalkemm għal kull politika tal-kampjonat, saret sejħa ta' play-by-play separata Spanjola fuq it-tieni kanal ta 'programm awdjo ta' CBS għal over-the- telespettaturi tal-arja). Il-logħba ġiet imsejħa mill-ekwipaġġ tal-kummentarju tal-futbol tat-Tnejn filgħaxija ta 'ESPN Deportes ta' Alvaro Martin u Raul Allegre, u r-reporter Sideline John Sutcliffe. ESPN Deportes ixandru kopertura ta 'qabel il-logħba u wara l-logħba, filwaqt li Martin, Allegre, u Sutcliffe kkontribwew rapporti bil-lingwa Ingliża għall-isportscenter ta' ESPN u Mike &amp; Mike.</v>
      </c>
    </row>
    <row r="17631" ht="15.75" customHeight="1">
      <c r="A17631" s="2" t="s">
        <v>17631</v>
      </c>
      <c r="B17631" s="2" t="str">
        <f>IFERROR(__xludf.DUMMYFUNCTION("GOOGLETRANSLATE(A17631, ""en"", ""mt"")"),"Il-bnadar ta 'l-Istati Uniti fuq il-qamar għad għandhom il-kulur oriġinali tagħhom jew kienu faded minħabba x-xemx?")</f>
        <v>Il-bnadar ta 'l-Istati Uniti fuq il-qamar għad għandhom il-kulur oriġinali tagħhom jew kienu faded minħabba x-xemx?</v>
      </c>
    </row>
    <row r="17632" ht="15.75" customHeight="1">
      <c r="A17632" s="2" t="s">
        <v>17632</v>
      </c>
      <c r="B17632" s="2" t="str">
        <f>IFERROR(__xludf.DUMMYFUNCTION("GOOGLETRANSLATE(A17632, ""en"", ""mt"")"),"Liema fergħa hija indipendenti mill-fergħat l-oħra?")</f>
        <v>Liema fergħa hija indipendenti mill-fergħat l-oħra?</v>
      </c>
    </row>
    <row r="17633" ht="15.75" customHeight="1">
      <c r="A17633" s="2" t="s">
        <v>17633</v>
      </c>
      <c r="B17633" s="2" t="str">
        <f>IFERROR(__xludf.DUMMYFUNCTION("GOOGLETRANSLATE(A17633, ""en"", ""mt"")"),"X'tipi ta 'skejjel huma l-iktar ErgänZungsschulen?")</f>
        <v>X'tipi ta 'skejjel huma l-iktar ErgänZungsschulen?</v>
      </c>
    </row>
    <row r="17634" ht="15.75" customHeight="1">
      <c r="A17634" s="2" t="s">
        <v>17634</v>
      </c>
      <c r="B17634" s="2" t="str">
        <f>IFERROR(__xludf.DUMMYFUNCTION("GOOGLETRANSLATE(A17634, ""en"", ""mt"")"),"Il-metodu LOR kellu l-vantaġġ li jippermetti li l-vettura spazjali Lander tintuża bħala ""dgħajsa tas-salvataġġ"" f'każ ta 'falliment tal-vapur tal-kmand. Xi dokumenti juru li din it-teorija ġiet diskussa qabel u wara li ntgħażel il-metodu. Studju tal-MSC"&amp;" tal-1964 ikkonkluda, ""L-LM [bħala d-dgħajsa tas-salvataġġ] ... finalment twaqqa ', għax ma jista' jiġi identifikat l-ebda falliment raġonevoli tas-CSM li jipprojbixxi l-użu tal-SPS."" Ironikament, biss falliment bħal dan ġara fuq Apollo 13 meta splużjon"&amp;"i ta 'tank ta' ossiġnu ħalliet il-vapur tal-kmand mingħajr enerġija elettrika. Il-modulu Lunar ipprovda propulsjoni, enerġija elettrika u appoġġ għall-ħajja biex l-ekwipaġġ jidħol fid-dar mingħajr periklu.")</f>
        <v>Il-metodu LOR kellu l-vantaġġ li jippermetti li l-vettura spazjali Lander tintuża bħala "dgħajsa tas-salvataġġ" f'każ ta 'falliment tal-vapur tal-kmand. Xi dokumenti juru li din it-teorija ġiet diskussa qabel u wara li ntgħażel il-metodu. Studju tal-MSC tal-1964 ikkonkluda, "L-LM [bħala d-dgħajsa tas-salvataġġ] ... finalment twaqqa ', għax ma jista' jiġi identifikat l-ebda falliment raġonevoli tas-CSM li jipprojbixxi l-użu tal-SPS." Ironikament, biss falliment bħal dan ġara fuq Apollo 13 meta splużjoni ta 'tank ta' ossiġnu ħalliet il-vapur tal-kmand mingħajr enerġija elettrika. Il-modulu Lunar ipprovda propulsjoni, enerġija elettrika u appoġġ għall-ħajja biex l-ekwipaġġ jidħol fid-dar mingħajr periklu.</v>
      </c>
    </row>
    <row r="17635" ht="15.75" customHeight="1">
      <c r="A17635" s="2" t="s">
        <v>17635</v>
      </c>
      <c r="B17635" s="2" t="str">
        <f>IFERROR(__xludf.DUMMYFUNCTION("GOOGLETRANSLATE(A17635, ""en"", ""mt"")"),"Kolonizzanti")</f>
        <v>Kolonizzanti</v>
      </c>
    </row>
    <row r="17636" ht="15.75" customHeight="1">
      <c r="A17636" s="2" t="s">
        <v>17636</v>
      </c>
      <c r="B17636" s="2" t="str">
        <f>IFERROR(__xludf.DUMMYFUNCTION("GOOGLETRANSLATE(A17636, ""en"", ""mt"")"),"rovina lilu")</f>
        <v>rovina lilu</v>
      </c>
    </row>
    <row r="17637" ht="15.75" customHeight="1">
      <c r="A17637" s="2" t="s">
        <v>17637</v>
      </c>
      <c r="B17637" s="2" t="str">
        <f>IFERROR(__xludf.DUMMYFUNCTION("GOOGLETRANSLATE(A17637, ""en"", ""mt"")"),"Wied Buckland ħdejn Bright")</f>
        <v>Wied Buckland ħdejn Bright</v>
      </c>
    </row>
    <row r="17638" ht="15.75" customHeight="1">
      <c r="A17638" s="2" t="s">
        <v>17638</v>
      </c>
      <c r="B17638" s="2" t="str">
        <f>IFERROR(__xludf.DUMMYFUNCTION("GOOGLETRANSLATE(A17638, ""en"", ""mt"")"),"astenosfera")</f>
        <v>astenosfera</v>
      </c>
    </row>
    <row r="17639" ht="15.75" customHeight="1">
      <c r="A17639" s="2" t="s">
        <v>17639</v>
      </c>
      <c r="B17639" s="2" t="str">
        <f>IFERROR(__xludf.DUMMYFUNCTION("GOOGLETRANSLATE(A17639, ""en"", ""mt"")"),"Il-kollezzjoni tat-tapizzerija tinkludi framment tad-drapp ta ’San Gereon, l-eqdem tapizzerija Ewropea li għadu ħaj. Il-qofol tal-kollezzjoni huwa l-erba 'tapizzeriji tal-kaċċa ta' Devonshire, tapizzeriji rari ħafna tas-seklu 15, minsuġin fl-Olanda, li ju"&amp;"ru l-kaċċa ta 'diversi annimali; Mhux biss l-età tagħhom iżda d-daqs tagħhom jagħmlu dawn uniċi. Iż-żewġ ċentri Ingliżi ewlenin ta 'l-insiġ tat-tapizzerija tas-sekli 16 u 17 rispettivament, Sheldon &amp; Mortlake huma rappreżentati fil-kollezzjoni minn divers"&amp;"i eżempji. Inklużi wkoll it-tapizzeriji mill-workshop ta 'John Vanderbank li kienet il-manifattura ewlenija tat-Tapizzerija Ingliża fl-aħħar tas-seklu 17 u l-bidu tas-seklu 18. Uħud mill-ifjen tapizzeriji huma eżempji mill-workshop tal-Gobelins, inkluż se"&amp;"tt ta '' Jason u l-Argonauts 'li jmorru mill-1750. Ċentri oħra kontinentali ta 'l-insiġ ta' l-irfid b'xogħol fil-kollezzjoni jinkludu Brussell, Tournai, Beauvais, Strasburgu u Firenze.")</f>
        <v>Il-kollezzjoni tat-tapizzerija tinkludi framment tad-drapp ta ’San Gereon, l-eqdem tapizzerija Ewropea li għadu ħaj. Il-qofol tal-kollezzjoni huwa l-erba 'tapizzeriji tal-kaċċa ta' Devonshire, tapizzeriji rari ħafna tas-seklu 15, minsuġin fl-Olanda, li juru l-kaċċa ta 'diversi annimali; Mhux biss l-età tagħhom iżda d-daqs tagħhom jagħmlu dawn uniċi. Iż-żewġ ċentri Ingliżi ewlenin ta 'l-insiġ tat-tapizzerija tas-sekli 16 u 17 rispettivament, Sheldon &amp; Mortlake huma rappreżentati fil-kollezzjoni minn diversi eżempji. Inklużi wkoll it-tapizzeriji mill-workshop ta 'John Vanderbank li kienet il-manifattura ewlenija tat-Tapizzerija Ingliża fl-aħħar tas-seklu 17 u l-bidu tas-seklu 18. Uħud mill-ifjen tapizzeriji huma eżempji mill-workshop tal-Gobelins, inkluż sett ta '' Jason u l-Argonauts 'li jmorru mill-1750. Ċentri oħra kontinentali ta 'l-insiġ ta' l-irfid b'xogħol fil-kollezzjoni jinkludu Brussell, Tournai, Beauvais, Strasburgu u Firenze.</v>
      </c>
    </row>
    <row r="17640" ht="15.75" customHeight="1">
      <c r="A17640" s="2" t="s">
        <v>17640</v>
      </c>
      <c r="B17640" s="2" t="str">
        <f>IFERROR(__xludf.DUMMYFUNCTION("GOOGLETRANSLATE(A17640, ""en"", ""mt"")"),"ram gilt")</f>
        <v>ram gilt</v>
      </c>
    </row>
    <row r="17641" ht="15.75" customHeight="1">
      <c r="A17641" s="2" t="s">
        <v>17641</v>
      </c>
      <c r="B17641" s="2" t="str">
        <f>IFERROR(__xludf.DUMMYFUNCTION("GOOGLETRANSLATE(A17641, ""en"", ""mt"")"),"Kemm hemm residenti l-akbar żona metropolitana?")</f>
        <v>Kemm hemm residenti l-akbar żona metropolitana?</v>
      </c>
    </row>
    <row r="17642" ht="15.75" customHeight="1">
      <c r="A17642" s="2" t="s">
        <v>17642</v>
      </c>
      <c r="B17642" s="2" t="str">
        <f>IFERROR(__xludf.DUMMYFUNCTION("GOOGLETRANSLATE(A17642, ""en"", ""mt"")"),"muntanji")</f>
        <v>muntanji</v>
      </c>
    </row>
    <row r="17643" ht="15.75" customHeight="1">
      <c r="A17643" s="2" t="s">
        <v>17643</v>
      </c>
      <c r="B17643" s="2" t="str">
        <f>IFERROR(__xludf.DUMMYFUNCTION("GOOGLETRANSLATE(A17643, ""en"", ""mt"")"),"Liema molekuli jaġixxu bħala sinjali tad-difiża?")</f>
        <v>Liema molekuli jaġixxu bħala sinjali tad-difiża?</v>
      </c>
    </row>
    <row r="17644" ht="15.75" customHeight="1">
      <c r="A17644" s="2" t="s">
        <v>17644</v>
      </c>
      <c r="B17644" s="2" t="str">
        <f>IFERROR(__xludf.DUMMYFUNCTION("GOOGLETRANSLATE(A17644, ""en"", ""mt"")"),"vot maġġoranza sempliċi")</f>
        <v>vot maġġoranza sempliċi</v>
      </c>
    </row>
    <row r="17645" ht="15.75" customHeight="1">
      <c r="A17645" s="2" t="s">
        <v>17645</v>
      </c>
      <c r="B17645" s="2" t="str">
        <f>IFERROR(__xludf.DUMMYFUNCTION("GOOGLETRANSLATE(A17645, ""en"", ""mt"")"),"Meta l-Istati Uniti rtiraw mill-Bretton Woods?")</f>
        <v>Meta l-Istati Uniti rtiraw mill-Bretton Woods?</v>
      </c>
    </row>
    <row r="17646" ht="15.75" customHeight="1">
      <c r="A17646" s="2" t="s">
        <v>17646</v>
      </c>
      <c r="B17646" s="2" t="str">
        <f>IFERROR(__xludf.DUMMYFUNCTION("GOOGLETRANSLATE(A17646, ""en"", ""mt"")"),"Richard i")</f>
        <v>Richard i</v>
      </c>
    </row>
    <row r="17647" ht="15.75" customHeight="1">
      <c r="A17647" s="2" t="s">
        <v>17647</v>
      </c>
      <c r="B17647" s="2" t="str">
        <f>IFERROR(__xludf.DUMMYFUNCTION("GOOGLETRANSLATE(A17647, ""en"", ""mt"")"),"Xi kultant xi kultant joffru l-kontej biex jiksbu aktar għalliema?")</f>
        <v>Xi kultant xi kultant joffru l-kontej biex jiksbu aktar għalliema?</v>
      </c>
    </row>
    <row r="17648" ht="15.75" customHeight="1">
      <c r="A17648" s="2" t="s">
        <v>17648</v>
      </c>
      <c r="B17648" s="2" t="str">
        <f>IFERROR(__xludf.DUMMYFUNCTION("GOOGLETRANSLATE(A17648, ""en"", ""mt"")"),"Kollha f'moħħu")</f>
        <v>Kollha f'moħħu</v>
      </c>
    </row>
    <row r="17649" ht="15.75" customHeight="1">
      <c r="A17649" s="2" t="s">
        <v>17649</v>
      </c>
      <c r="B17649" s="2" t="str">
        <f>IFERROR(__xludf.DUMMYFUNCTION("GOOGLETRANSLATE(A17649, ""en"", ""mt"")"),"Liema forma huma Tylakoids Granal?")</f>
        <v>Liema forma huma Tylakoids Granal?</v>
      </c>
    </row>
    <row r="17650" ht="15.75" customHeight="1">
      <c r="A17650" s="2" t="s">
        <v>17650</v>
      </c>
      <c r="B17650" s="2" t="str">
        <f>IFERROR(__xludf.DUMMYFUNCTION("GOOGLETRANSLATE(A17650, ""en"", ""mt"")"),"L-isports tal-kulleġġ huma wkoll popolari fin-Nofsinhar tal-Kalifornja. L-UCLA Bruins u l-USC Trojans iż-żewġ timijiet tal-qasam fid-Diviżjoni I tal-NCAA fil-Konferenza Pac-12, u hemm rivalità għal żmien twil bejn l-iskejjel.")</f>
        <v>L-isports tal-kulleġġ huma wkoll popolari fin-Nofsinhar tal-Kalifornja. L-UCLA Bruins u l-USC Trojans iż-żewġ timijiet tal-qasam fid-Diviżjoni I tal-NCAA fil-Konferenza Pac-12, u hemm rivalità għal żmien twil bejn l-iskejjel.</v>
      </c>
    </row>
    <row r="17651" ht="15.75" customHeight="1">
      <c r="A17651" s="2" t="s">
        <v>17651</v>
      </c>
      <c r="B17651" s="2" t="str">
        <f>IFERROR(__xludf.DUMMYFUNCTION("GOOGLETRANSLATE(A17651, ""en"", ""mt"")"),"Thomas Reid u Dugald Stewart")</f>
        <v>Thomas Reid u Dugald Stewart</v>
      </c>
    </row>
    <row r="17652" ht="15.75" customHeight="1">
      <c r="A17652" s="2" t="s">
        <v>17652</v>
      </c>
      <c r="B17652" s="2" t="str">
        <f>IFERROR(__xludf.DUMMYFUNCTION("GOOGLETRANSLATE(A17652, ""en"", ""mt"")"),"L-appoġġ tal-Gran Brittanja ta 'Franza li fiha l-gwerra wasslet biex Rodin jagħti ħafna mill-iskulturi tiegħu lill-V &amp; A?")</f>
        <v>L-appoġġ tal-Gran Brittanja ta 'Franza li fiha l-gwerra wasslet biex Rodin jagħti ħafna mill-iskulturi tiegħu lill-V &amp; A?</v>
      </c>
    </row>
    <row r="17653" ht="15.75" customHeight="1">
      <c r="A17653" s="2" t="s">
        <v>17653</v>
      </c>
      <c r="B17653" s="2" t="str">
        <f>IFERROR(__xludf.DUMMYFUNCTION("GOOGLETRANSLATE(A17653, ""en"", ""mt"")"),"Matul il-provinċji tagħha ta 'l-Amerika ta' Fuq")</f>
        <v>Matul il-provinċji tagħha ta 'l-Amerika ta' Fuq</v>
      </c>
    </row>
    <row r="17654" ht="15.75" customHeight="1">
      <c r="A17654" s="2" t="s">
        <v>17654</v>
      </c>
      <c r="B17654" s="2" t="str">
        <f>IFERROR(__xludf.DUMMYFUNCTION("GOOGLETRANSLATE(A17654, ""en"", ""mt"")"),"28 affiljati ABC u żewġ subchannel addizzjonali biss")</f>
        <v>28 affiljati ABC u żewġ subchannel addizzjonali biss</v>
      </c>
    </row>
    <row r="17655" ht="15.75" customHeight="1">
      <c r="A17655" s="2" t="s">
        <v>17655</v>
      </c>
      <c r="B17655" s="2" t="str">
        <f>IFERROR(__xludf.DUMMYFUNCTION("GOOGLETRANSLATE(A17655, ""en"", ""mt"")"),"22 ta ’Ottubru 2006")</f>
        <v>22 ta ’Ottubru 2006</v>
      </c>
    </row>
    <row r="17656" ht="15.75" customHeight="1">
      <c r="A17656" s="2" t="s">
        <v>17656</v>
      </c>
      <c r="B17656" s="2" t="str">
        <f>IFERROR(__xludf.DUMMYFUNCTION("GOOGLETRANSLATE(A17656, ""en"", ""mt"")"),"1530s u 1540s")</f>
        <v>1530s u 1540s</v>
      </c>
    </row>
    <row r="17657" ht="15.75" customHeight="1">
      <c r="A17657" s="2" t="s">
        <v>17657</v>
      </c>
      <c r="B17657" s="2" t="str">
        <f>IFERROR(__xludf.DUMMYFUNCTION("GOOGLETRANSLATE(A17657, ""en"", ""mt"")"),"Dak li jżid il-motivazzjoni tal-istudent biex titgħallem?")</f>
        <v>Dak li jżid il-motivazzjoni tal-istudent biex titgħallem?</v>
      </c>
    </row>
    <row r="17658" ht="15.75" customHeight="1">
      <c r="A17658" s="2" t="s">
        <v>17658</v>
      </c>
      <c r="B17658" s="2" t="str">
        <f>IFERROR(__xludf.DUMMYFUNCTION("GOOGLETRANSLATE(A17658, ""en"", ""mt"")"),"Ikkontrollat, sperimentali")</f>
        <v>Ikkontrollat, sperimentali</v>
      </c>
    </row>
    <row r="17659" ht="15.75" customHeight="1">
      <c r="A17659" s="2" t="s">
        <v>17659</v>
      </c>
      <c r="B17659" s="2" t="str">
        <f>IFERROR(__xludf.DUMMYFUNCTION("GOOGLETRANSLATE(A17659, ""en"", ""mt"")"),"Kemm jista 'l-piż jista' jibgħat l-ispazju ta 'Saturn b'dan l-ammont ta' ġibda?")</f>
        <v>Kemm jista 'l-piż jista' jibgħat l-ispazju ta 'Saturn b'dan l-ammont ta' ġibda?</v>
      </c>
    </row>
    <row r="17660" ht="15.75" customHeight="1">
      <c r="A17660" s="2" t="s">
        <v>17660</v>
      </c>
      <c r="B17660" s="2" t="str">
        <f>IFERROR(__xludf.DUMMYFUNCTION("GOOGLETRANSLATE(A17660, ""en"", ""mt"")"),"X'kienet id-data tat-tieġ?")</f>
        <v>X'kienet id-data tat-tieġ?</v>
      </c>
    </row>
    <row r="17661" ht="15.75" customHeight="1">
      <c r="A17661" s="2" t="s">
        <v>17661</v>
      </c>
      <c r="B17661" s="2" t="str">
        <f>IFERROR(__xludf.DUMMYFUNCTION("GOOGLETRANSLATE(A17661, ""en"", ""mt"")"),"Oġġetti Rinaxximentali Taljani u Franċiżi")</f>
        <v>Oġġetti Rinaxximentali Taljani u Franċiżi</v>
      </c>
    </row>
    <row r="17662" ht="15.75" customHeight="1">
      <c r="A17662" s="2" t="s">
        <v>17662</v>
      </c>
      <c r="B17662" s="2" t="str">
        <f>IFERROR(__xludf.DUMMYFUNCTION("GOOGLETRANSLATE(A17662, ""en"", ""mt"")"),"X'inhu isem għall-modi differenti kif tagħti struzzjonijiet lill-istudenti?")</f>
        <v>X'inhu isem għall-modi differenti kif tagħti struzzjonijiet lill-istudenti?</v>
      </c>
    </row>
    <row r="17663" ht="15.75" customHeight="1">
      <c r="A17663" s="2" t="s">
        <v>17663</v>
      </c>
      <c r="B17663" s="2" t="str">
        <f>IFERROR(__xludf.DUMMYFUNCTION("GOOGLETRANSLATE(A17663, ""en"", ""mt"")"),"Parlament Skoċċiż")</f>
        <v>Parlament Skoċċiż</v>
      </c>
    </row>
    <row r="17664" ht="15.75" customHeight="1">
      <c r="A17664" s="2" t="s">
        <v>17664</v>
      </c>
      <c r="B17664" s="2" t="str">
        <f>IFERROR(__xludf.DUMMYFUNCTION("GOOGLETRANSLATE(A17664, ""en"", ""mt"")"),"""L-applikazzjoni ħażina ta 'proċeduri IPCC stabbiliti sew f'dan il-każ""")</f>
        <v>"L-applikazzjoni ħażina ta 'proċeduri IPCC stabbiliti sew f'dan il-każ"</v>
      </c>
    </row>
    <row r="17665" ht="15.75" customHeight="1">
      <c r="A17665" s="2" t="s">
        <v>17665</v>
      </c>
      <c r="B17665" s="2" t="str">
        <f>IFERROR(__xludf.DUMMYFUNCTION("GOOGLETRANSLATE(A17665, ""en"", ""mt"")"),"Madwar 3.5 biljun sena ilu")</f>
        <v>Madwar 3.5 biljun sena ilu</v>
      </c>
    </row>
    <row r="17666" ht="15.75" customHeight="1">
      <c r="A17666" s="2" t="s">
        <v>17666</v>
      </c>
      <c r="B17666" s="2" t="str">
        <f>IFERROR(__xludf.DUMMYFUNCTION("GOOGLETRANSLATE(A17666, ""en"", ""mt"")"),"Diżubbidjenza ċivili")</f>
        <v>Diżubbidjenza ċivili</v>
      </c>
    </row>
    <row r="17667" ht="15.75" customHeight="1">
      <c r="A17667" s="2" t="s">
        <v>17667</v>
      </c>
      <c r="B17667" s="2" t="str">
        <f>IFERROR(__xludf.DUMMYFUNCTION("GOOGLETRANSLATE(A17667, ""en"", ""mt"")"),"bit-tema")</f>
        <v>bit-tema</v>
      </c>
    </row>
    <row r="17668" ht="15.75" customHeight="1">
      <c r="A17668" s="2" t="s">
        <v>17668</v>
      </c>
      <c r="B17668" s="2" t="str">
        <f>IFERROR(__xludf.DUMMYFUNCTION("GOOGLETRANSLATE(A17668, ""en"", ""mt"")"),"labirint ta 'problemi semantiċi u niceties grammatikali")</f>
        <v>labirint ta 'problemi semantiċi u niceties grammatikali</v>
      </c>
    </row>
    <row r="17669" ht="15.75" customHeight="1">
      <c r="A17669" s="2" t="s">
        <v>17669</v>
      </c>
      <c r="B17669" s="2" t="str">
        <f>IFERROR(__xludf.DUMMYFUNCTION("GOOGLETRANSLATE(A17669, ""en"", ""mt"")"),"X'inhu l-isem tal-mużew u ċ-ċentru ta 'riċerka għall-istudji tal-Lvant Qarib, li huwa proprjetà tal-università?")</f>
        <v>X'inhu l-isem tal-mużew u ċ-ċentru ta 'riċerka għall-istudji tal-Lvant Qarib, li huwa proprjetà tal-università?</v>
      </c>
    </row>
    <row r="17670" ht="15.75" customHeight="1">
      <c r="A17670" s="2" t="s">
        <v>17670</v>
      </c>
      <c r="B17670" s="2" t="str">
        <f>IFERROR(__xludf.DUMMYFUNCTION("GOOGLETRANSLATE(A17670, ""en"", ""mt"")"),"Biex tagħmel impressjoni")</f>
        <v>Biex tagħmel impressjoni</v>
      </c>
    </row>
    <row r="17671" ht="15.75" customHeight="1">
      <c r="A17671" s="2" t="s">
        <v>17671</v>
      </c>
      <c r="B17671" s="2" t="str">
        <f>IFERROR(__xludf.DUMMYFUNCTION("GOOGLETRANSLATE(A17671, ""en"", ""mt"")"),"pajjiżi")</f>
        <v>pajjiżi</v>
      </c>
    </row>
    <row r="17672" ht="15.75" customHeight="1">
      <c r="A17672" s="2" t="s">
        <v>17672</v>
      </c>
      <c r="B17672" s="2" t="str">
        <f>IFERROR(__xludf.DUMMYFUNCTION("GOOGLETRANSLATE(A17672, ""en"", ""mt"")"),"X'inhu inkluż fil-ġestjoni tat-terapija tal-medikazzjoni?")</f>
        <v>X'inhu inkluż fil-ġestjoni tat-terapija tal-medikazzjoni?</v>
      </c>
    </row>
    <row r="17673" ht="15.75" customHeight="1">
      <c r="A17673" s="2" t="s">
        <v>17673</v>
      </c>
      <c r="B17673" s="2" t="str">
        <f>IFERROR(__xludf.DUMMYFUNCTION("GOOGLETRANSLATE(A17673, ""en"", ""mt"")"),"Fejn xi ħaddiema għamlu aktar minn $ 100,000?")</f>
        <v>Fejn xi ħaddiema għamlu aktar minn $ 100,000?</v>
      </c>
    </row>
    <row r="17674" ht="15.75" customHeight="1">
      <c r="A17674" s="2" t="s">
        <v>17674</v>
      </c>
      <c r="B17674" s="2" t="str">
        <f>IFERROR(__xludf.DUMMYFUNCTION("GOOGLETRANSLATE(A17674, ""en"", ""mt"")"),"Rikostruzzjoni")</f>
        <v>Rikostruzzjoni</v>
      </c>
    </row>
    <row r="17675" ht="15.75" customHeight="1">
      <c r="A17675" s="2" t="s">
        <v>17675</v>
      </c>
      <c r="B17675" s="2" t="str">
        <f>IFERROR(__xludf.DUMMYFUNCTION("GOOGLETRANSLATE(A17675, ""en"", ""mt"")"),"fil-pjanti C4")</f>
        <v>fil-pjanti C4</v>
      </c>
    </row>
    <row r="17676" ht="15.75" customHeight="1">
      <c r="A17676" s="2" t="s">
        <v>17676</v>
      </c>
      <c r="B17676" s="2" t="str">
        <f>IFERROR(__xludf.DUMMYFUNCTION("GOOGLETRANSLATE(A17676, ""en"", ""mt"")"),"Skambju tat-Telefon ta 'Budapest")</f>
        <v>Skambju tat-Telefon ta 'Budapest</v>
      </c>
    </row>
    <row r="17677" ht="15.75" customHeight="1">
      <c r="A17677" s="2" t="s">
        <v>17677</v>
      </c>
      <c r="B17677" s="2" t="str">
        <f>IFERROR(__xludf.DUMMYFUNCTION("GOOGLETRANSLATE(A17677, ""en"", ""mt"")"),"F'magna atmosferika, xi tfisser il-pressjoni ta 'l-arja?")</f>
        <v>F'magna atmosferika, xi tfisser il-pressjoni ta 'l-arja?</v>
      </c>
    </row>
    <row r="17678" ht="15.75" customHeight="1">
      <c r="A17678" s="2" t="s">
        <v>17678</v>
      </c>
      <c r="B17678" s="2" t="str">
        <f>IFERROR(__xludf.DUMMYFUNCTION("GOOGLETRANSLATE(A17678, ""en"", ""mt"")"),"Min ta l-kunsens irjali tagħha għall-Att tal-Iskozja tal-1998?")</f>
        <v>Min ta l-kunsens irjali tagħha għall-Att tal-Iskozja tal-1998?</v>
      </c>
    </row>
    <row r="17679" ht="15.75" customHeight="1">
      <c r="A17679" s="2" t="s">
        <v>17679</v>
      </c>
      <c r="B17679" s="2" t="str">
        <f>IFERROR(__xludf.DUMMYFUNCTION("GOOGLETRANSLATE(A17679, ""en"", ""mt"")"),"1000 u 1900")</f>
        <v>1000 u 1900</v>
      </c>
    </row>
    <row r="17680" ht="15.75" customHeight="1">
      <c r="A17680" s="2" t="s">
        <v>17680</v>
      </c>
      <c r="B17680" s="2" t="str">
        <f>IFERROR(__xludf.DUMMYFUNCTION("GOOGLETRANSLATE(A17680, ""en"", ""mt"")"),"Soċjaliżmu f'pajjiż wieħed """)</f>
        <v>Soċjaliżmu f'pajjiż wieħed "</v>
      </c>
    </row>
    <row r="17681" ht="15.75" customHeight="1">
      <c r="A17681" s="2" t="s">
        <v>17681</v>
      </c>
      <c r="B17681" s="2" t="str">
        <f>IFERROR(__xludf.DUMMYFUNCTION("GOOGLETRANSLATE(A17681, ""en"", ""mt"")"),"12 ta 'Diċembru")</f>
        <v>12 ta 'Diċembru</v>
      </c>
    </row>
    <row r="17682" ht="15.75" customHeight="1">
      <c r="A17682" s="2" t="s">
        <v>17682</v>
      </c>
      <c r="B17682" s="2" t="str">
        <f>IFERROR(__xludf.DUMMYFUNCTION("GOOGLETRANSLATE(A17682, ""en"", ""mt"")"),"Delinkwenti tas-sess")</f>
        <v>Delinkwenti tas-sess</v>
      </c>
    </row>
    <row r="17683" ht="15.75" customHeight="1">
      <c r="A17683" s="2" t="s">
        <v>17683</v>
      </c>
      <c r="B17683" s="2" t="str">
        <f>IFERROR(__xludf.DUMMYFUNCTION("GOOGLETRANSLATE(A17683, ""en"", ""mt"")"),"xi hornworts u alka")</f>
        <v>xi hornworts u alka</v>
      </c>
    </row>
    <row r="17684" ht="15.75" customHeight="1">
      <c r="A17684" s="2" t="s">
        <v>17684</v>
      </c>
      <c r="B17684" s="2" t="str">
        <f>IFERROR(__xludf.DUMMYFUNCTION("GOOGLETRANSLATE(A17684, ""en"", ""mt"")"),"Tarka ta 'radjazzjoni protettiva")</f>
        <v>Tarka ta 'radjazzjoni protettiva</v>
      </c>
    </row>
    <row r="17685" ht="15.75" customHeight="1">
      <c r="A17685" s="2" t="s">
        <v>17685</v>
      </c>
      <c r="B17685" s="2" t="str">
        <f>IFERROR(__xludf.DUMMYFUNCTION("GOOGLETRANSLATE(A17685, ""en"", ""mt"")"),"saqaf")</f>
        <v>saqaf</v>
      </c>
    </row>
    <row r="17686" ht="15.75" customHeight="1">
      <c r="A17686" s="2" t="s">
        <v>17686</v>
      </c>
      <c r="B17686" s="2" t="str">
        <f>IFERROR(__xludf.DUMMYFUNCTION("GOOGLETRANSLATE(A17686, ""en"", ""mt"")"),"15-il mil")</f>
        <v>15-il mil</v>
      </c>
    </row>
    <row r="17687" ht="15.75" customHeight="1">
      <c r="A17687" s="2" t="s">
        <v>17687</v>
      </c>
      <c r="B17687" s="2" t="str">
        <f>IFERROR(__xludf.DUMMYFUNCTION("GOOGLETRANSLATE(A17687, ""en"", ""mt"")"),"Juża meraq tal-għeneb mhux iffermentat")</f>
        <v>Juża meraq tal-għeneb mhux iffermentat</v>
      </c>
    </row>
    <row r="17688" ht="15.75" customHeight="1">
      <c r="A17688" s="2" t="s">
        <v>17688</v>
      </c>
      <c r="B17688" s="2" t="str">
        <f>IFERROR(__xludf.DUMMYFUNCTION("GOOGLETRANSLATE(A17688, ""en"", ""mt"")"),"Problemi iebsa mill-NP")</f>
        <v>Problemi iebsa mill-NP</v>
      </c>
    </row>
    <row r="17689" ht="15.75" customHeight="1">
      <c r="A17689" s="2" t="s">
        <v>17689</v>
      </c>
      <c r="B17689" s="2" t="str">
        <f>IFERROR(__xludf.DUMMYFUNCTION("GOOGLETRANSLATE(A17689, ""en"", ""mt"")"),"Tyne u Wear Metro")</f>
        <v>Tyne u Wear Metro</v>
      </c>
    </row>
    <row r="17690" ht="15.75" customHeight="1">
      <c r="A17690" s="2" t="s">
        <v>17690</v>
      </c>
      <c r="B17690" s="2" t="str">
        <f>IFERROR(__xludf.DUMMYFUNCTION("GOOGLETRANSLATE(A17690, ""en"", ""mt"")"),"Il-Knisja Metodista Magħquda (UMC) hija denominazzjoni Metodista Protestanti Mainline. Fis-seklu 19 il-predeċessur ewlieni tiegħu kien mexxej fl-evanġeliċiżmu. Imwaqqfa fl-1968 mill-Unjoni tal-Knisja Metodista (l-Istati Uniti) u l-Knisja Evanġelika ta ’Ħu"&amp;"tna Magħquda, l-UMC traċċa l-għeruq tagħha lura għall-moviment tal-qawmien mill-ġdid ta’ John u Charles Wesley fl-Ingilterra kif ukoll mill-qawmien kbir fl-Istati Uniti. Bħala tali, l-orjentazzjoni teoloġika tal-knisja hija deċiżament Wesleyan. Huwa jħadd"&amp;"an elementi kemm liturġiċi kif ukoll evanġeliċi.")</f>
        <v>Il-Knisja Metodista Magħquda (UMC) hija denominazzjoni Metodista Protestanti Mainline. Fis-seklu 19 il-predeċessur ewlieni tiegħu kien mexxej fl-evanġeliċiżmu. Imwaqqfa fl-1968 mill-Unjoni tal-Knisja Metodista (l-Istati Uniti) u l-Knisja Evanġelika ta ’Ħutna Magħquda, l-UMC traċċa l-għeruq tagħha lura għall-moviment tal-qawmien mill-ġdid ta’ John u Charles Wesley fl-Ingilterra kif ukoll mill-qawmien kbir fl-Istati Uniti. Bħala tali, l-orjentazzjoni teoloġika tal-knisja hija deċiżament Wesleyan. Huwa jħaddan elementi kemm liturġiċi kif ukoll evanġeliċi.</v>
      </c>
    </row>
    <row r="17691" ht="15.75" customHeight="1">
      <c r="A17691" s="2" t="s">
        <v>17691</v>
      </c>
      <c r="B17691" s="2" t="str">
        <f>IFERROR(__xludf.DUMMYFUNCTION("GOOGLETRANSLATE(A17691, ""en"", ""mt"")"),"X'inhi l-istima ta 'kemm tobba jagħtu d-droga waħedhom?")</f>
        <v>X'inhi l-istima ta 'kemm tobba jagħtu d-droga waħedhom?</v>
      </c>
    </row>
    <row r="17692" ht="15.75" customHeight="1">
      <c r="A17692" s="2" t="s">
        <v>17692</v>
      </c>
      <c r="B17692" s="2" t="str">
        <f>IFERROR(__xludf.DUMMYFUNCTION("GOOGLETRANSLATE(A17692, ""en"", ""mt"")"),"X'jista 'jnaqqas ir-riskju ta' korrimenti fuq ix-xogħol fl-industrija tal-kostruzzjoni?")</f>
        <v>X'jista 'jnaqqas ir-riskju ta' korrimenti fuq ix-xogħol fl-industrija tal-kostruzzjoni?</v>
      </c>
    </row>
    <row r="17693" ht="15.75" customHeight="1">
      <c r="A17693" s="2" t="s">
        <v>17693</v>
      </c>
      <c r="B17693" s="2" t="str">
        <f>IFERROR(__xludf.DUMMYFUNCTION("GOOGLETRANSLATE(A17693, ""en"", ""mt"")"),"kloroplast derivat minn alka ħadra")</f>
        <v>kloroplast derivat minn alka ħadra</v>
      </c>
    </row>
    <row r="17694" ht="15.75" customHeight="1">
      <c r="A17694" s="2" t="s">
        <v>17694</v>
      </c>
      <c r="B17694" s="2" t="str">
        <f>IFERROR(__xludf.DUMMYFUNCTION("GOOGLETRANSLATE(A17694, ""en"", ""mt"")"),"Armata Ħamra E.")</f>
        <v>Armata Ħamra E.</v>
      </c>
    </row>
    <row r="17695" ht="15.75" customHeight="1">
      <c r="A17695" s="2" t="s">
        <v>17695</v>
      </c>
      <c r="B17695" s="2" t="str">
        <f>IFERROR(__xludf.DUMMYFUNCTION("GOOGLETRANSLATE(A17695, ""en"", ""mt"")"),"Murray Gold u Ben Foster")</f>
        <v>Murray Gold u Ben Foster</v>
      </c>
    </row>
    <row r="17696" ht="15.75" customHeight="1">
      <c r="A17696" s="2" t="s">
        <v>17696</v>
      </c>
      <c r="B17696" s="2" t="str">
        <f>IFERROR(__xludf.DUMMYFUNCTION("GOOGLETRANSLATE(A17696, ""en"", ""mt"")"),"F'liema inbidlet il-Laguna Zuider Zee Brackish?")</f>
        <v>F'liema inbidlet il-Laguna Zuider Zee Brackish?</v>
      </c>
    </row>
    <row r="17697" ht="15.75" customHeight="1">
      <c r="A17697" s="2" t="s">
        <v>17697</v>
      </c>
      <c r="B17697" s="2" t="str">
        <f>IFERROR(__xludf.DUMMYFUNCTION("GOOGLETRANSLATE(A17697, ""en"", ""mt"")"),"Minn liema pajjiżi oriġinaw in-Norveġja?")</f>
        <v>Minn liema pajjiżi oriġinaw in-Norveġja?</v>
      </c>
    </row>
    <row r="17698" ht="15.75" customHeight="1">
      <c r="A17698" s="2" t="s">
        <v>17698</v>
      </c>
      <c r="B17698" s="2" t="str">
        <f>IFERROR(__xludf.DUMMYFUNCTION("GOOGLETRANSLATE(A17698, ""en"", ""mt"")"),"ħames darbiet")</f>
        <v>ħames darbiet</v>
      </c>
    </row>
    <row r="17699" ht="15.75" customHeight="1">
      <c r="A17699" s="2" t="s">
        <v>17699</v>
      </c>
      <c r="B17699" s="2" t="str">
        <f>IFERROR(__xludf.DUMMYFUNCTION("GOOGLETRANSLATE(A17699, ""en"", ""mt"")"),"rispett")</f>
        <v>rispett</v>
      </c>
    </row>
    <row r="17700" ht="15.75" customHeight="1">
      <c r="A17700" s="2" t="s">
        <v>17700</v>
      </c>
      <c r="B17700" s="2" t="str">
        <f>IFERROR(__xludf.DUMMYFUNCTION("GOOGLETRANSLATE(A17700, ""en"", ""mt"")"),"F'liema każ kien nazzjonali Olandiż mhux intitolat li jkompli jirċievi benefiċċji meta mar il-Belġju?")</f>
        <v>F'liema każ kien nazzjonali Olandiż mhux intitolat li jkompli jirċievi benefiċċji meta mar il-Belġju?</v>
      </c>
    </row>
    <row r="17701" ht="15.75" customHeight="1">
      <c r="A17701" s="2" t="s">
        <v>17701</v>
      </c>
      <c r="B17701" s="2" t="str">
        <f>IFERROR(__xludf.DUMMYFUNCTION("GOOGLETRANSLATE(A17701, ""en"", ""mt"")"),"Minn dak li l-fotosintesi tikseb l-ossiġnu?")</f>
        <v>Minn dak li l-fotosintesi tikseb l-ossiġnu?</v>
      </c>
    </row>
    <row r="17702" ht="15.75" customHeight="1">
      <c r="A17702" s="2" t="s">
        <v>17702</v>
      </c>
      <c r="B17702" s="2" t="str">
        <f>IFERROR(__xludf.DUMMYFUNCTION("GOOGLETRANSLATE(A17702, ""en"", ""mt"")"),"Id- ""Distrett Storiku tat-Triq Huguenot"" fi New Paltz")</f>
        <v>Id- "Distrett Storiku tat-Triq Huguenot" fi New Paltz</v>
      </c>
    </row>
    <row r="17703" ht="15.75" customHeight="1">
      <c r="A17703" s="2" t="s">
        <v>17703</v>
      </c>
      <c r="B17703" s="2" t="str">
        <f>IFERROR(__xludf.DUMMYFUNCTION("GOOGLETRANSLATE(A17703, ""en"", ""mt"")"),"X'tip ta 'algoritmu huwa diviżjoni ta' prova?")</f>
        <v>X'tip ta 'algoritmu huwa diviżjoni ta' prova?</v>
      </c>
    </row>
    <row r="17704" ht="15.75" customHeight="1">
      <c r="A17704" s="2" t="s">
        <v>17704</v>
      </c>
      <c r="B17704" s="2" t="str">
        <f>IFERROR(__xludf.DUMMYFUNCTION("GOOGLETRANSLATE(A17704, ""en"", ""mt"")"),"X'kien l-isem tar-Re tal-Iskoċċiżi?")</f>
        <v>X'kien l-isem tar-Re tal-Iskoċċiżi?</v>
      </c>
    </row>
    <row r="17705" ht="15.75" customHeight="1">
      <c r="A17705" s="2" t="s">
        <v>17705</v>
      </c>
      <c r="B17705" s="2" t="str">
        <f>IFERROR(__xludf.DUMMYFUNCTION("GOOGLETRANSLATE(A17705, ""en"", ""mt"")"),"ma kien kopert fl-ebda gazzetti fil-jiem, ġimgħat u xhur wara li ġara.")</f>
        <v>ma kien kopert fl-ebda gazzetti fil-jiem, ġimgħat u xhur wara li ġara.</v>
      </c>
    </row>
    <row r="17706" ht="15.75" customHeight="1">
      <c r="A17706" s="2" t="s">
        <v>17706</v>
      </c>
      <c r="B17706" s="2" t="str">
        <f>IFERROR(__xludf.DUMMYFUNCTION("GOOGLETRANSLATE(A17706, ""en"", ""mt"")"),"Liema skambju f'Varsavja huwa wieħed mill-aktar importanti għall-Ewropa Ċentrali u tal-Lvant?")</f>
        <v>Liema skambju f'Varsavja huwa wieħed mill-aktar importanti għall-Ewropa Ċentrali u tal-Lvant?</v>
      </c>
    </row>
    <row r="17707" ht="15.75" customHeight="1">
      <c r="A17707" s="2" t="s">
        <v>17707</v>
      </c>
      <c r="B17707" s="2" t="str">
        <f>IFERROR(__xludf.DUMMYFUNCTION("GOOGLETRANSLATE(A17707, ""en"", ""mt"")"),"X’għamel dan l-għajnuna?")</f>
        <v>X’għamel dan l-għajnuna?</v>
      </c>
    </row>
    <row r="17708" ht="15.75" customHeight="1">
      <c r="A17708" s="2" t="s">
        <v>17708</v>
      </c>
      <c r="B17708" s="2" t="str">
        <f>IFERROR(__xludf.DUMMYFUNCTION("GOOGLETRANSLATE(A17708, ""en"", ""mt"")"),"Kemm outputs huma mistennija għal kull input fi problema ta 'funzjoni?")</f>
        <v>Kemm outputs huma mistennija għal kull input fi problema ta 'funzjoni?</v>
      </c>
    </row>
    <row r="17709" ht="15.75" customHeight="1">
      <c r="A17709" s="2" t="s">
        <v>17709</v>
      </c>
      <c r="B17709" s="2" t="str">
        <f>IFERROR(__xludf.DUMMYFUNCTION("GOOGLETRANSLATE(A17709, ""en"", ""mt"")"),"Sal-bidu tas-snin 1980, l-industrija kienet sors ewlieni ta 'tniġġis tal-ilma. Għalkemm ħafna pjanti u fabbriki jistgħu jinstabu tul ir-Renu fl-Isvizzera, huwa tul ir-Renu t'isfel li l-biċċa l-kbira tagħhom huma kkonċentrati, hekk kif ix-xmara tgħaddi mil"&amp;"l-ibliet il-kbar ta 'Cologne, Düsseldorf u Duisburg. Duisburg huwa d-dar tal-ikbar port intern tal-Ewropa u jiffunzjona bħala hub għall-portijiet tal-baħar ta 'Rotterdam, Antwerp u Amsterdam. Ir-RUHR, li tgħaqqad ir-Rhine f'Duisburg, illum hija xmara nadi"&amp;"fa, grazzi għal taħlita ta 'kontrolli ambjentali aktar stretti, tranżizzjoni minn industrija tqila għal industrija ħafifa u miżuri ta' tindif, bħalma huma r-riforestazzjoni ta 'gagazza u l-kampijiet. Ir-RUHR bħalissa tipprovdi lir-reġjun bl-ilma tax-xorb."&amp;" Jikkontribwixxi 70 m3 / s (2,500 cu ft / s) għar-Rhine. Xmajjar oħra fiż-żona tar-Ruhr, fuq kollox, l-Emscher, għadhom għandhom grad konsiderevoli ta 'tniġġis.")</f>
        <v>Sal-bidu tas-snin 1980, l-industrija kienet sors ewlieni ta 'tniġġis tal-ilma. Għalkemm ħafna pjanti u fabbriki jistgħu jinstabu tul ir-Renu fl-Isvizzera, huwa tul ir-Renu t'isfel li l-biċċa l-kbira tagħhom huma kkonċentrati, hekk kif ix-xmara tgħaddi mill-ibliet il-kbar ta 'Cologne, Düsseldorf u Duisburg. Duisburg huwa d-dar tal-ikbar port intern tal-Ewropa u jiffunzjona bħala hub għall-portijiet tal-baħar ta 'Rotterdam, Antwerp u Amsterdam. Ir-RUHR, li tgħaqqad ir-Rhine f'Duisburg, illum hija xmara nadifa, grazzi għal taħlita ta 'kontrolli ambjentali aktar stretti, tranżizzjoni minn industrija tqila għal industrija ħafifa u miżuri ta' tindif, bħalma huma r-riforestazzjoni ta 'gagazza u l-kampijiet. Ir-RUHR bħalissa tipprovdi lir-reġjun bl-ilma tax-xorb. Jikkontribwixxi 70 m3 / s (2,500 cu ft / s) għar-Rhine. Xmajjar oħra fiż-żona tar-Ruhr, fuq kollox, l-Emscher, għadhom għandhom grad konsiderevoli ta 'tniġġis.</v>
      </c>
    </row>
    <row r="17710" ht="15.75" customHeight="1">
      <c r="A17710" s="2" t="s">
        <v>17710</v>
      </c>
      <c r="B17710" s="2" t="str">
        <f>IFERROR(__xludf.DUMMYFUNCTION("GOOGLETRANSLATE(A17710, ""en"", ""mt"")"),"Matul dik is-sena, Tesla ħadmet f'Pittsburgh, billi tgħin biex toħloq sistema kurrenti alternattiva biex tixgħel il-streetcars tal-belt. Huwa sab il-ħin hemm frustranti minħabba kunflitti bejnu u l-inġiniera l-oħra ta 'Westinghouse dwar kif l-aħjar li tim"&amp;"plimenta AC Power. Bejniethom, huma stabbilixxew is-sistema kurrenti ta '60 ċiklu AC ipproponiet Tesla (biex taqbel mal-frekwenza tax-xogħol tal-mutur ta 'Tesla), għalkemm dalwaqt sabu li, peress li l-mutur ta' induzzjoni ta 'Tesla jista' jimxi biss b'vel"&amp;"oċità kostanti, ma jaħdimx għal triq karozzi. Huma spiċċaw jużaw mutur ta 'trazzjoni DC minflok.")</f>
        <v>Matul dik is-sena, Tesla ħadmet f'Pittsburgh, billi tgħin biex toħloq sistema kurrenti alternattiva biex tixgħel il-streetcars tal-belt. Huwa sab il-ħin hemm frustranti minħabba kunflitti bejnu u l-inġiniera l-oħra ta 'Westinghouse dwar kif l-aħjar li timplimenta AC Power. Bejniethom, huma stabbilixxew is-sistema kurrenti ta '60 ċiklu AC ipproponiet Tesla (biex taqbel mal-frekwenza tax-xogħol tal-mutur ta 'Tesla), għalkemm dalwaqt sabu li, peress li l-mutur ta' induzzjoni ta 'Tesla jista' jimxi biss b'veloċità kostanti, ma jaħdimx għal triq karozzi. Huma spiċċaw jużaw mutur ta 'trazzjoni DC minflok.</v>
      </c>
    </row>
    <row r="17711" ht="15.75" customHeight="1">
      <c r="A17711" s="2" t="s">
        <v>17711</v>
      </c>
      <c r="B17711" s="2" t="str">
        <f>IFERROR(__xludf.DUMMYFUNCTION("GOOGLETRANSLATE(A17711, ""en"", ""mt"")"),"Forts Shirley kien tella 'fil-Carry Oneida")</f>
        <v>Forts Shirley kien tella 'fil-Carry Oneida</v>
      </c>
    </row>
    <row r="17712" ht="15.75" customHeight="1">
      <c r="A17712" s="2" t="s">
        <v>17712</v>
      </c>
      <c r="B17712" s="2" t="str">
        <f>IFERROR(__xludf.DUMMYFUNCTION("GOOGLETRANSLATE(A17712, ""en"", ""mt"")"),"Iż-żewġ membrani tal-kloroplast kif iqabblu mal-membrani doppji oriġinali ta 'Cyanobacterium?")</f>
        <v>Iż-żewġ membrani tal-kloroplast kif iqabblu mal-membrani doppji oriġinali ta 'Cyanobacterium?</v>
      </c>
    </row>
    <row r="17713" ht="15.75" customHeight="1">
      <c r="A17713" s="2" t="s">
        <v>17713</v>
      </c>
      <c r="B17713" s="2" t="str">
        <f>IFERROR(__xludf.DUMMYFUNCTION("GOOGLETRANSLATE(A17713, ""en"", ""mt"")"),"Ħażna tas-sħab")</f>
        <v>Ħażna tas-sħab</v>
      </c>
    </row>
    <row r="17714" ht="15.75" customHeight="1">
      <c r="A17714" s="2" t="s">
        <v>17714</v>
      </c>
      <c r="B17714" s="2" t="str">
        <f>IFERROR(__xludf.DUMMYFUNCTION("GOOGLETRANSLATE(A17714, ""en"", ""mt"")"),"il-knisja lokali")</f>
        <v>il-knisja lokali</v>
      </c>
    </row>
    <row r="17715" ht="15.75" customHeight="1">
      <c r="A17715" s="2" t="s">
        <v>17715</v>
      </c>
      <c r="B17715" s="2" t="str">
        <f>IFERROR(__xludf.DUMMYFUNCTION("GOOGLETRANSLATE(A17715, ""en"", ""mt"")"),"1961 sal-1972")</f>
        <v>1961 sal-1972</v>
      </c>
    </row>
    <row r="17716" ht="15.75" customHeight="1">
      <c r="A17716" s="2" t="s">
        <v>17716</v>
      </c>
      <c r="B17716" s="2" t="str">
        <f>IFERROR(__xludf.DUMMYFUNCTION("GOOGLETRANSLATE(A17716, ""en"", ""mt"")"),"Għal xiex wasslet iż-żieda fil-ħaddiema tas-sengħa?")</f>
        <v>Għal xiex wasslet iż-żieda fil-ħaddiema tas-sengħa?</v>
      </c>
    </row>
    <row r="17717" ht="15.75" customHeight="1">
      <c r="A17717" s="2" t="s">
        <v>17717</v>
      </c>
      <c r="B17717" s="2" t="str">
        <f>IFERROR(__xludf.DUMMYFUNCTION("GOOGLETRANSLATE(A17717, ""en"", ""mt"")"),"Vantaġġi fi trasmissjoni ta 'vultaġġ għoli fuq distanzi twal")</f>
        <v>Vantaġġi fi trasmissjoni ta 'vultaġġ għoli fuq distanzi twal</v>
      </c>
    </row>
    <row r="17718" ht="15.75" customHeight="1">
      <c r="A17718" s="2" t="s">
        <v>17718</v>
      </c>
      <c r="B17718" s="2" t="str">
        <f>IFERROR(__xludf.DUMMYFUNCTION("GOOGLETRANSLATE(A17718, ""en"", ""mt"")"),"Il-Gallerija T. T. Tsui")</f>
        <v>Il-Gallerija T. T. Tsui</v>
      </c>
    </row>
    <row r="17719" ht="15.75" customHeight="1">
      <c r="A17719" s="2" t="s">
        <v>17719</v>
      </c>
      <c r="B17719" s="2" t="str">
        <f>IFERROR(__xludf.DUMMYFUNCTION("GOOGLETRANSLATE(A17719, ""en"", ""mt"")"),"aktar minn 2,000")</f>
        <v>aktar minn 2,000</v>
      </c>
    </row>
    <row r="17720" ht="15.75" customHeight="1">
      <c r="A17720" s="2" t="s">
        <v>17720</v>
      </c>
      <c r="B17720" s="2" t="str">
        <f>IFERROR(__xludf.DUMMYFUNCTION("GOOGLETRANSLATE(A17720, ""en"", ""mt"")"),"bħala rapporteur")</f>
        <v>bħala rapporteur</v>
      </c>
    </row>
    <row r="17721" ht="15.75" customHeight="1">
      <c r="A17721" s="2" t="s">
        <v>17721</v>
      </c>
      <c r="B17721" s="2" t="str">
        <f>IFERROR(__xludf.DUMMYFUNCTION("GOOGLETRANSLATE(A17721, ""en"", ""mt"")"),"Uħud mill-kollezzjoni tal-mużew tal-kaxex Koreani huma intarsjati ma 'liema oġġetti?")</f>
        <v>Uħud mill-kollezzjoni tal-mużew tal-kaxex Koreani huma intarsjati ma 'liema oġġetti?</v>
      </c>
    </row>
    <row r="17722" ht="15.75" customHeight="1">
      <c r="A17722" s="2" t="s">
        <v>17722</v>
      </c>
      <c r="B17722" s="2" t="str">
        <f>IFERROR(__xludf.DUMMYFUNCTION("GOOGLETRANSLATE(A17722, ""en"", ""mt"")"),"X'tip ta 'tnedija kien qed iseħħ waqt l-inċident ta' Apollo 1?")</f>
        <v>X'tip ta 'tnedija kien qed iseħħ waqt l-inċident ta' Apollo 1?</v>
      </c>
    </row>
    <row r="17723" ht="15.75" customHeight="1">
      <c r="A17723" s="2" t="s">
        <v>17723</v>
      </c>
      <c r="B17723" s="2" t="str">
        <f>IFERROR(__xludf.DUMMYFUNCTION("GOOGLETRANSLATE(A17723, ""en"", ""mt"")"),"Meta huwa ospitat il-Festival tal-Evoluzzjoni?")</f>
        <v>Meta huwa ospitat il-Festival tal-Evoluzzjoni?</v>
      </c>
    </row>
    <row r="17724" ht="15.75" customHeight="1">
      <c r="A17724" s="2" t="s">
        <v>17724</v>
      </c>
      <c r="B17724" s="2" t="str">
        <f>IFERROR(__xludf.DUMMYFUNCTION("GOOGLETRANSLATE(A17724, ""en"", ""mt"")"),"Fejn fiċ-Ċina huwa Genghis Khan l-iktar li jidher favorevoli llum?")</f>
        <v>Fejn fiċ-Ċina huwa Genghis Khan l-iktar li jidher favorevoli llum?</v>
      </c>
    </row>
    <row r="17725" ht="15.75" customHeight="1">
      <c r="A17725" s="2" t="s">
        <v>17725</v>
      </c>
      <c r="B17725" s="2" t="str">
        <f>IFERROR(__xludf.DUMMYFUNCTION("GOOGLETRANSLATE(A17725, ""en"", ""mt"")"),"estinzjoni tad-dinosawri")</f>
        <v>estinzjoni tad-dinosawri</v>
      </c>
    </row>
    <row r="17726" ht="15.75" customHeight="1">
      <c r="A17726" s="2" t="s">
        <v>17726</v>
      </c>
      <c r="B17726" s="2" t="str">
        <f>IFERROR(__xludf.DUMMYFUNCTION("GOOGLETRANSLATE(A17726, ""en"", ""mt"")"),"WTRF-TV")</f>
        <v>WTRF-TV</v>
      </c>
    </row>
    <row r="17727" ht="15.75" customHeight="1">
      <c r="A17727" s="2" t="s">
        <v>17727</v>
      </c>
      <c r="B17727" s="2" t="str">
        <f>IFERROR(__xludf.DUMMYFUNCTION("GOOGLETRANSLATE(A17727, ""en"", ""mt"")"),"Sunday Times University of the Year")</f>
        <v>Sunday Times University of the Year</v>
      </c>
    </row>
    <row r="17728" ht="15.75" customHeight="1">
      <c r="A17728" s="2" t="s">
        <v>17728</v>
      </c>
      <c r="B17728" s="2" t="str">
        <f>IFERROR(__xludf.DUMMYFUNCTION("GOOGLETRANSLATE(A17728, ""en"", ""mt"")"),"X'kienet il-pożizzjoni ta 'Tesla fl-iskambju tat-telefon Budapest?")</f>
        <v>X'kienet il-pożizzjoni ta 'Tesla fl-iskambju tat-telefon Budapest?</v>
      </c>
    </row>
    <row r="17729" ht="15.75" customHeight="1">
      <c r="A17729" s="2" t="s">
        <v>17729</v>
      </c>
      <c r="B17729" s="2" t="str">
        <f>IFERROR(__xludf.DUMMYFUNCTION("GOOGLETRANSLATE(A17729, ""en"", ""mt"")"),"X'għandhom ikunu soċjetajiet estremament mhux ugwali?")</f>
        <v>X'għandhom ikunu soċjetajiet estremament mhux ugwali?</v>
      </c>
    </row>
    <row r="17730" ht="15.75" customHeight="1">
      <c r="A17730" s="2" t="s">
        <v>17730</v>
      </c>
      <c r="B17730" s="2" t="str">
        <f>IFERROR(__xludf.DUMMYFUNCTION("GOOGLETRANSLATE(A17730, ""en"", ""mt"")"),"Liema logo jintuża għall-merkanzija kollha li għandha tobba tal-passat?")</f>
        <v>Liema logo jintuża għall-merkanzija kollha li għandha tobba tal-passat?</v>
      </c>
    </row>
    <row r="17731" ht="15.75" customHeight="1">
      <c r="A17731" s="2" t="s">
        <v>17731</v>
      </c>
      <c r="B17731" s="2" t="str">
        <f>IFERROR(__xludf.DUMMYFUNCTION("GOOGLETRANSLATE(A17731, ""en"", ""mt"")"),"X'inhi l-pożizzjoni tas-satellita li ppermettiet lil Sky ixandar il-kanali kważi elclusively għar-Renju Unit?")</f>
        <v>X'inhi l-pożizzjoni tas-satellita li ppermettiet lil Sky ixandar il-kanali kważi elclusively għar-Renju Unit?</v>
      </c>
    </row>
    <row r="17732" ht="15.75" customHeight="1">
      <c r="A17732" s="2" t="s">
        <v>17732</v>
      </c>
      <c r="B17732" s="2" t="str">
        <f>IFERROR(__xludf.DUMMYFUNCTION("GOOGLETRANSLATE(A17732, ""en"", ""mt"")"),"Netwerk tax-Xjenza tal-Kompjuter")</f>
        <v>Netwerk tax-Xjenza tal-Kompjuter</v>
      </c>
    </row>
    <row r="17733" ht="15.75" customHeight="1">
      <c r="A17733" s="2" t="s">
        <v>17733</v>
      </c>
      <c r="B17733" s="2" t="str">
        <f>IFERROR(__xludf.DUMMYFUNCTION("GOOGLETRANSLATE(A17733, ""en"", ""mt"")"),"Il-baqar ingħataw")</f>
        <v>Il-baqar ingħataw</v>
      </c>
    </row>
    <row r="17734" ht="15.75" customHeight="1">
      <c r="A17734" s="2" t="s">
        <v>17734</v>
      </c>
      <c r="B17734" s="2" t="str">
        <f>IFERROR(__xludf.DUMMYFUNCTION("GOOGLETRANSLATE(A17734, ""en"", ""mt"")"),"X'inhu l-proċess li bih il-patoġeni jevadu s-sistema immunitarja billi jinħbew ġewwa ċ-ċelloli ospitanti?")</f>
        <v>X'inhu l-proċess li bih il-patoġeni jevadu s-sistema immunitarja billi jinħbew ġewwa ċ-ċelloli ospitanti?</v>
      </c>
    </row>
    <row r="17735" ht="15.75" customHeight="1">
      <c r="A17735" s="2" t="s">
        <v>17735</v>
      </c>
      <c r="B17735" s="2" t="str">
        <f>IFERROR(__xludf.DUMMYFUNCTION("GOOGLETRANSLATE(A17735, ""en"", ""mt"")"),"Imħabba ġenwina ta 'Alla b'qalb, ruħ, moħħ, u saħħa, u mħabba ġenwina tal-ġirien tagħna bħalna nfusna")</f>
        <v>Imħabba ġenwina ta 'Alla b'qalb, ruħ, moħħ, u saħħa, u mħabba ġenwina tal-ġirien tagħna bħalna nfusna</v>
      </c>
    </row>
    <row r="17736" ht="15.75" customHeight="1">
      <c r="A17736" s="2" t="s">
        <v>17736</v>
      </c>
      <c r="B17736" s="2" t="str">
        <f>IFERROR(__xludf.DUMMYFUNCTION("GOOGLETRANSLATE(A17736, ""en"", ""mt"")"),"il-knisja ta ’San Tumas il-martri")</f>
        <v>il-knisja ta ’San Tumas il-martri</v>
      </c>
    </row>
    <row r="17737" ht="15.75" customHeight="1">
      <c r="A17737" s="2" t="s">
        <v>17737</v>
      </c>
      <c r="B17737" s="2" t="str">
        <f>IFERROR(__xludf.DUMMYFUNCTION("GOOGLETRANSLATE(A17737, ""en"", ""mt"")"),"X'inhi xi ħaġa li ta 'spiss tinqata' u inkluża fil-blat sedimentarju?")</f>
        <v>X'inhi xi ħaġa li ta 'spiss tinqata' u inkluża fil-blat sedimentarju?</v>
      </c>
    </row>
    <row r="17738" ht="15.75" customHeight="1">
      <c r="A17738" s="2" t="s">
        <v>17738</v>
      </c>
      <c r="B17738" s="2" t="str">
        <f>IFERROR(__xludf.DUMMYFUNCTION("GOOGLETRANSLATE(A17738, ""en"", ""mt"")"),"Kaxxa tal-Pulizija Brittanika Blu")</f>
        <v>Kaxxa tal-Pulizija Brittanika Blu</v>
      </c>
    </row>
    <row r="17739" ht="15.75" customHeight="1">
      <c r="A17739" s="2" t="s">
        <v>17739</v>
      </c>
      <c r="B17739" s="2" t="str">
        <f>IFERROR(__xludf.DUMMYFUNCTION("GOOGLETRANSLATE(A17739, ""en"", ""mt"")"),"Ewropew")</f>
        <v>Ewropew</v>
      </c>
    </row>
    <row r="17740" ht="15.75" customHeight="1">
      <c r="A17740" s="2" t="s">
        <v>17740</v>
      </c>
      <c r="B17740" s="2" t="str">
        <f>IFERROR(__xludf.DUMMYFUNCTION("GOOGLETRANSLATE(A17740, ""en"", ""mt"")"),"Savanna semi-arida fit-Tramuntana u l-Lvant")</f>
        <v>Savanna semi-arida fit-Tramuntana u l-Lvant</v>
      </c>
    </row>
    <row r="17741" ht="15.75" customHeight="1">
      <c r="A17741" s="2" t="s">
        <v>17741</v>
      </c>
      <c r="B17741" s="2" t="str">
        <f>IFERROR(__xludf.DUMMYFUNCTION("GOOGLETRANSLATE(A17741, ""en"", ""mt"")"),"29 ta 'Marzu, 1883")</f>
        <v>29 ta 'Marzu, 1883</v>
      </c>
    </row>
    <row r="17742" ht="15.75" customHeight="1">
      <c r="A17742" s="2" t="s">
        <v>17742</v>
      </c>
      <c r="B17742" s="2" t="str">
        <f>IFERROR(__xludf.DUMMYFUNCTION("GOOGLETRANSLATE(A17742, ""en"", ""mt"")"),"Minbarra l-Klabb tal-Karozzi tan-Nofsinhar ta 'California, liema AAA Auto Club oħra għażlet li tissimplifika l-qasma?")</f>
        <v>Minbarra l-Klabb tal-Karozzi tan-Nofsinhar ta 'California, liema AAA Auto Club oħra għażlet li tissimplifika l-qasma?</v>
      </c>
    </row>
    <row r="17743" ht="15.75" customHeight="1">
      <c r="A17743" s="2" t="s">
        <v>17743</v>
      </c>
      <c r="B17743" s="2" t="str">
        <f>IFERROR(__xludf.DUMMYFUNCTION("GOOGLETRANSLATE(A17743, ""en"", ""mt"")"),"email")</f>
        <v>email</v>
      </c>
    </row>
    <row r="17744" ht="15.75" customHeight="1">
      <c r="A17744" s="2" t="s">
        <v>17744</v>
      </c>
      <c r="B17744" s="2" t="str">
        <f>IFERROR(__xludf.DUMMYFUNCTION("GOOGLETRANSLATE(A17744, ""en"", ""mt"")"),"Forsi l-iktar differenza sinifikanti bejn l-iskola primarja u t-tagħlim tal-iskola sekondarja hija r-relazzjoni bejn l-għalliema u t-tfal. Fl-iskejjel primarji kull klassi għandha għalliem li jibqa ’magħhom għall-biċċa l-kbira tal-ġimgħa u jgħallimhom il-"&amp;"kurrikulu kollu. Fl-iskejjel sekondarji huma jiġu mgħallma minn speċjalisti tas-suġġetti differenti kull sessjoni matul il-ġimgħa u jista 'jkollhom għaxar jew aktar għalliema differenti. Ir-relazzjoni bejn it-tfal u l-għalliema tagħhom għandha tendenza li"&amp;" tkun eqreb fl-iskola primarja fejn jaġixxu bħala forma ta 'tutur, għalliem speċjalizzat u ġenitur sostitut matul il-ġurnata.")</f>
        <v>Forsi l-iktar differenza sinifikanti bejn l-iskola primarja u t-tagħlim tal-iskola sekondarja hija r-relazzjoni bejn l-għalliema u t-tfal. Fl-iskejjel primarji kull klassi għandha għalliem li jibqa ’magħhom għall-biċċa l-kbira tal-ġimgħa u jgħallimhom il-kurrikulu kollu. Fl-iskejjel sekondarji huma jiġu mgħallma minn speċjalisti tas-suġġetti differenti kull sessjoni matul il-ġimgħa u jista 'jkollhom għaxar jew aktar għalliema differenti. Ir-relazzjoni bejn it-tfal u l-għalliema tagħhom għandha tendenza li tkun eqreb fl-iskola primarja fejn jaġixxu bħala forma ta 'tutur, għalliem speċjalizzat u ġenitur sostitut matul il-ġurnata.</v>
      </c>
    </row>
    <row r="17745" ht="15.75" customHeight="1">
      <c r="A17745" s="2" t="s">
        <v>17745</v>
      </c>
      <c r="B17745" s="2" t="str">
        <f>IFERROR(__xludf.DUMMYFUNCTION("GOOGLETRANSLATE(A17745, ""en"", ""mt"")"),"Meta l-istudenti tal-Kulleġġ Shimer tħallew jittrasferixxu fl-Università ta ’Chicago?")</f>
        <v>Meta l-istudenti tal-Kulleġġ Shimer tħallew jittrasferixxu fl-Università ta ’Chicago?</v>
      </c>
    </row>
    <row r="17746" ht="15.75" customHeight="1">
      <c r="A17746" s="2" t="s">
        <v>17746</v>
      </c>
      <c r="B17746" s="2" t="str">
        <f>IFERROR(__xludf.DUMMYFUNCTION("GOOGLETRANSLATE(A17746, ""en"", ""mt"")"),"P - 1")</f>
        <v>P - 1</v>
      </c>
    </row>
    <row r="17747" ht="15.75" customHeight="1">
      <c r="A17747" s="2" t="s">
        <v>17747</v>
      </c>
      <c r="B17747" s="2" t="str">
        <f>IFERROR(__xludf.DUMMYFUNCTION("GOOGLETRANSLATE(A17747, ""en"", ""mt"")"),"Oqsma relatati mill-qrib fix-xjenza teoretika tal-kompjuter huma analiżi tal-algoritmi u t-teorija tal-komputabbiltà. Distinzjoni ewlenija bejn l-analiżi tal-algoritmi u t-teorija tal-kumplessità tal-komputazzjoni hija li l-ewwel hija ddedikata għall-anal"&amp;"iżi tal-ammont ta 'riżorsi meħtieġa minn algoritmu partikolari biex issolvi problema, filwaqt li dan tal-aħħar jistaqsi mistoqsija aktar ġenerali dwar l-algoritmi kollha possibbli li jistgħu jintużaw Issolvi l-istess problema. B'mod iktar preċiż, jipprova"&amp;" jikklassifika problemi li jistgħu jew ma jistgħux jissolvew b'riżorsi ristretti kif xieraq. Min-naħa tiegħu, l-impożizzjoni ta 'restrizzjonijiet fuq ir-riżorsi disponibbli huwa dak li jiddistingwi l-kumplessità tal-komputazzjoni mit-teorija tal-komputabb"&amp;"iltà: din l-aħħar teorija tistaqsi x'tip ta' problemi jistgħu, fil-prinċipju, jiġu solvuti b'mod algoritmiku.")</f>
        <v>Oqsma relatati mill-qrib fix-xjenza teoretika tal-kompjuter huma analiżi tal-algoritmi u t-teorija tal-komputabbiltà. Distinzjoni ewlenija bejn l-analiżi tal-algoritmi u t-teorija tal-kumplessità tal-komputazzjoni hija li l-ewwel hija ddedikata għall-analiżi tal-ammont ta 'riżorsi meħtieġa minn algoritmu partikolari biex issolvi problema, filwaqt li dan tal-aħħar jistaqsi mistoqsija aktar ġenerali dwar l-algoritmi kollha possibbli li jistgħu jintużaw Issolvi l-istess problema. B'mod iktar preċiż, jipprova jikklassifika problemi li jistgħu jew ma jistgħux jissolvew b'riżorsi ristretti kif xieraq. Min-naħa tiegħu, l-impożizzjoni ta 'restrizzjonijiet fuq ir-riżorsi disponibbli huwa dak li jiddistingwi l-kumplessità tal-komputazzjoni mit-teorija tal-komputabbiltà: din l-aħħar teorija tistaqsi x'tip ta' problemi jistgħu, fil-prinċipju, jiġu solvuti b'mod algoritmiku.</v>
      </c>
    </row>
    <row r="17748" ht="15.75" customHeight="1">
      <c r="A17748" s="2" t="s">
        <v>17748</v>
      </c>
      <c r="B17748" s="2" t="str">
        <f>IFERROR(__xludf.DUMMYFUNCTION("GOOGLETRANSLATE(A17748, ""en"", ""mt"")"),"X'kienu t-tliet partijiet tal-gvern ta 'Kublai?")</f>
        <v>X'kienu t-tliet partijiet tal-gvern ta 'Kublai?</v>
      </c>
    </row>
    <row r="17749" ht="15.75" customHeight="1">
      <c r="A17749" s="2" t="s">
        <v>17749</v>
      </c>
      <c r="B17749" s="2" t="str">
        <f>IFERROR(__xludf.DUMMYFUNCTION("GOOGLETRANSLATE(A17749, ""en"", ""mt"")"),"Kif l-operatur li josserva s-sinjal rifless?")</f>
        <v>Kif l-operatur li josserva s-sinjal rifless?</v>
      </c>
    </row>
    <row r="17750" ht="15.75" customHeight="1">
      <c r="A17750" s="2" t="s">
        <v>17750</v>
      </c>
      <c r="B17750" s="2" t="str">
        <f>IFERROR(__xludf.DUMMYFUNCTION("GOOGLETRANSLATE(A17750, ""en"", ""mt"")"),"bidla fil-qalb")</f>
        <v>bidla fil-qalb</v>
      </c>
    </row>
    <row r="17751" ht="15.75" customHeight="1">
      <c r="A17751" s="2" t="s">
        <v>17751</v>
      </c>
      <c r="B17751" s="2" t="str">
        <f>IFERROR(__xludf.DUMMYFUNCTION("GOOGLETRANSLATE(A17751, ""en"", ""mt"")"),"Spy diġitali")</f>
        <v>Spy diġitali</v>
      </c>
    </row>
    <row r="17752" ht="15.75" customHeight="1">
      <c r="A17752" s="2" t="s">
        <v>17752</v>
      </c>
      <c r="B17752" s="2" t="str">
        <f>IFERROR(__xludf.DUMMYFUNCTION("GOOGLETRANSLATE(A17752, ""en"", ""mt"")"),"Aktar mill-logħba bi 23 sena, ir-Regatta Harvard-Yale kienet is-sors oriġinali tar-rivalità atletika bejn iż-żewġ skejjel. Dan isir kull sena f'Ġunju fuq ix-Xmara Thames fil-Lvant tal-Connecticut. L-ekwipaġġ ta 'Harvard huwa tipikament meqjus bħala wieħed"&amp;" mill-aqwa timijiet fil-pajjiż fil-qdif. Illum, Harvard Fields l-aqwa timijiet f’diversi sports oħra, bħat-tim tal-hockey tas-silġ tal-irġiel ta ’Harvard Crimson (b’rivalità qawwija kontra Cornell), Squash, u anke riċentement rebħu titli tal-NCAA fil-fjur"&amp;"etti tal-irġiel u tan-nisa. Harvard rebaħ ukoll il-Kampjonati Nazzjonali tal-Assoċjazzjoni Intercollegiate Association fl-2003.")</f>
        <v>Aktar mill-logħba bi 23 sena, ir-Regatta Harvard-Yale kienet is-sors oriġinali tar-rivalità atletika bejn iż-żewġ skejjel. Dan isir kull sena f'Ġunju fuq ix-Xmara Thames fil-Lvant tal-Connecticut. L-ekwipaġġ ta 'Harvard huwa tipikament meqjus bħala wieħed mill-aqwa timijiet fil-pajjiż fil-qdif. Illum, Harvard Fields l-aqwa timijiet f’diversi sports oħra, bħat-tim tal-hockey tas-silġ tal-irġiel ta ’Harvard Crimson (b’rivalità qawwija kontra Cornell), Squash, u anke riċentement rebħu titli tal-NCAA fil-fjuretti tal-irġiel u tan-nisa. Harvard rebaħ ukoll il-Kampjonati Nazzjonali tal-Assoċjazzjoni Intercollegiate Association fl-2003.</v>
      </c>
    </row>
    <row r="17753" ht="15.75" customHeight="1">
      <c r="A17753" s="2" t="s">
        <v>17753</v>
      </c>
      <c r="B17753" s="2" t="str">
        <f>IFERROR(__xludf.DUMMYFUNCTION("GOOGLETRANSLATE(A17753, ""en"", ""mt"")"),"Dokumenti Xjentifiċi u Riżultati Dokumentati Indipendentement minn Korpi Xjentifiċi oħra")</f>
        <v>Dokumenti Xjentifiċi u Riżultati Dokumentati Indipendentement minn Korpi Xjentifiċi oħra</v>
      </c>
    </row>
    <row r="17754" ht="15.75" customHeight="1">
      <c r="A17754" s="2" t="s">
        <v>17754</v>
      </c>
      <c r="B17754" s="2" t="str">
        <f>IFERROR(__xludf.DUMMYFUNCTION("GOOGLETRANSLATE(A17754, ""en"", ""mt"")"),"Fejn il-fergħat ta 'Waal u Nederrijn-Lek jitneħħew?")</f>
        <v>Fejn il-fergħat ta 'Waal u Nederrijn-Lek jitneħħew?</v>
      </c>
    </row>
    <row r="17755" ht="15.75" customHeight="1">
      <c r="A17755" s="2" t="s">
        <v>17755</v>
      </c>
      <c r="B17755" s="2" t="str">
        <f>IFERROR(__xludf.DUMMYFUNCTION("GOOGLETRANSLATE(A17755, ""en"", ""mt"")"),"Min kienu Otachi?")</f>
        <v>Min kienu Otachi?</v>
      </c>
    </row>
    <row r="17756" ht="15.75" customHeight="1">
      <c r="A17756" s="2" t="s">
        <v>17756</v>
      </c>
      <c r="B17756" s="2" t="str">
        <f>IFERROR(__xludf.DUMMYFUNCTION("GOOGLETRANSLATE(A17756, ""en"", ""mt"")"),"X'se jħaffef l-ossiġnu kkonċentrat?")</f>
        <v>X'se jħaffef l-ossiġnu kkonċentrat?</v>
      </c>
    </row>
    <row r="17757" ht="15.75" customHeight="1">
      <c r="A17757" s="2" t="s">
        <v>17757</v>
      </c>
      <c r="B17757" s="2" t="str">
        <f>IFERROR(__xludf.DUMMYFUNCTION("GOOGLETRANSLATE(A17757, ""en"", ""mt"")"),"X'inhi l-iktar riżorsa kritika fl-analiżi tal-problemi tal-komputazzjoni assoċjati ma 'magni tat-Turing mhux deterministiċi?")</f>
        <v>X'inhi l-iktar riżorsa kritika fl-analiżi tal-problemi tal-komputazzjoni assoċjati ma 'magni tat-Turing mhux deterministiċi?</v>
      </c>
    </row>
    <row r="17758" ht="15.75" customHeight="1">
      <c r="A17758" s="2" t="s">
        <v>17758</v>
      </c>
      <c r="B17758" s="2" t="str">
        <f>IFERROR(__xludf.DUMMYFUNCTION("GOOGLETRANSLATE(A17758, ""en"", ""mt"")"),"Fejn tikkonċentra l-ġid maħluq ġdid?")</f>
        <v>Fejn tikkonċentra l-ġid maħluq ġdid?</v>
      </c>
    </row>
    <row r="17759" ht="15.75" customHeight="1">
      <c r="A17759" s="2" t="s">
        <v>17759</v>
      </c>
      <c r="B17759" s="2" t="str">
        <f>IFERROR(__xludf.DUMMYFUNCTION("GOOGLETRANSLATE(A17759, ""en"", ""mt"")"),"triq parabolika")</f>
        <v>triq parabolika</v>
      </c>
    </row>
    <row r="17760" ht="15.75" customHeight="1">
      <c r="A17760" s="2" t="s">
        <v>17760</v>
      </c>
      <c r="B17760" s="2" t="str">
        <f>IFERROR(__xludf.DUMMYFUNCTION("GOOGLETRANSLATE(A17760, ""en"", ""mt"")"),"Relazzjonijiet kummerċjali iżgħar mal-ġirien tagħhom")</f>
        <v>Relazzjonijiet kummerċjali iżgħar mal-ġirien tagħhom</v>
      </c>
    </row>
    <row r="17761" ht="15.75" customHeight="1">
      <c r="A17761" s="2" t="s">
        <v>17761</v>
      </c>
      <c r="B17761" s="2" t="str">
        <f>IFERROR(__xludf.DUMMYFUNCTION("GOOGLETRANSLATE(A17761, ""en"", ""mt"")"),"propulsjoni")</f>
        <v>propulsjoni</v>
      </c>
    </row>
    <row r="17762" ht="15.75" customHeight="1">
      <c r="A17762" s="2" t="s">
        <v>17762</v>
      </c>
      <c r="B17762" s="2" t="str">
        <f>IFERROR(__xludf.DUMMYFUNCTION("GOOGLETRANSLATE(A17762, ""en"", ""mt"")"),"l-organizzazzjoni tal-jihad Iżlamiku Eġizzjan")</f>
        <v>l-organizzazzjoni tal-jihad Iżlamiku Eġizzjan</v>
      </c>
    </row>
    <row r="17763" ht="15.75" customHeight="1">
      <c r="A17763" s="2" t="s">
        <v>17763</v>
      </c>
      <c r="B17763" s="2" t="str">
        <f>IFERROR(__xludf.DUMMYFUNCTION("GOOGLETRANSLATE(A17763, ""en"", ""mt"")"),"X'ġara fl-1992 fi proċess fir-Renju Unit kollu?")</f>
        <v>X'ġara fl-1992 fi proċess fir-Renju Unit kollu?</v>
      </c>
    </row>
    <row r="17764" ht="15.75" customHeight="1">
      <c r="A17764" s="2" t="s">
        <v>17764</v>
      </c>
      <c r="B17764" s="2" t="str">
        <f>IFERROR(__xludf.DUMMYFUNCTION("GOOGLETRANSLATE(A17764, ""en"", ""mt"")"),"Ħamsin elf dollaru")</f>
        <v>Ħamsin elf dollaru</v>
      </c>
    </row>
    <row r="17765" ht="15.75" customHeight="1">
      <c r="A17765" s="2" t="s">
        <v>17765</v>
      </c>
      <c r="B17765" s="2" t="str">
        <f>IFERROR(__xludf.DUMMYFUNCTION("GOOGLETRANSLATE(A17765, ""en"", ""mt"")"),"għandu jgħix")</f>
        <v>għandu jgħix</v>
      </c>
    </row>
    <row r="17766" ht="15.75" customHeight="1">
      <c r="A17766" s="2" t="s">
        <v>17766</v>
      </c>
      <c r="B17766" s="2" t="str">
        <f>IFERROR(__xludf.DUMMYFUNCTION("GOOGLETRANSLATE(A17766, ""en"", ""mt"")"),"Minbarra t-tagħlim fi ħdan il-familja, fejn inkella jsir it-tagħlim informali?")</f>
        <v>Minbarra t-tagħlim fi ħdan il-familja, fejn inkella jsir it-tagħlim informali?</v>
      </c>
    </row>
    <row r="17767" ht="15.75" customHeight="1">
      <c r="A17767" s="2" t="s">
        <v>17767</v>
      </c>
      <c r="B17767" s="2" t="str">
        <f>IFERROR(__xludf.DUMMYFUNCTION("GOOGLETRANSLATE(A17767, ""en"", ""mt"")"),"X'inhu Salm 31: 5?")</f>
        <v>X'inhu Salm 31: 5?</v>
      </c>
    </row>
    <row r="17768" ht="15.75" customHeight="1">
      <c r="A17768" s="2" t="s">
        <v>17768</v>
      </c>
      <c r="B17768" s="2" t="str">
        <f>IFERROR(__xludf.DUMMYFUNCTION("GOOGLETRANSLATE(A17768, ""en"", ""mt"")"),"Il-premiering l-għada tal-qtil ta 'John F. Kennedy, l-ewwel episodju ta' Doctor Who ġie ripetut bit-tieni episodju l-ġimgħa ta 'wara. Doctor Who dejjem deher inizjalment fuq il-kanal Mainstream BBC One tal-BBC, fejn huwa meqjus bħala spettaklu tal-familja"&amp;", li jiġbed udjenzi ta 'ħafna miljuni ta' telespettaturi; Episodji issa huma ripetuti fuq BBC Three. Il-popolarità tal-programm waxed u naqset matul l-għexieren ta 'snin, bi tliet perjodi notevoli ta' klassifikazzjonijiet għoljin. L-ewwel waħda minn dawn "&amp;"kienet il-perjodu ""Dalekmania"" (madwar 1964-1965), meta l-popolarità tad-Daleks regolarment ġabet lill-klassifikazzjonijiet ta 'Doctor Who ta' bejn 9 u 14-il miljun, anke għal stejjer li ma kinux jidhru magħhom. It-tieni kien l-aħħar tas-snin sebgħin, m"&amp;"eta Tom Baker kultant ġibed udjenzi ta 'aktar minn 12-il miljun.")</f>
        <v>Il-premiering l-għada tal-qtil ta 'John F. Kennedy, l-ewwel episodju ta' Doctor Who ġie ripetut bit-tieni episodju l-ġimgħa ta 'wara. Doctor Who dejjem deher inizjalment fuq il-kanal Mainstream BBC One tal-BBC, fejn huwa meqjus bħala spettaklu tal-familja, li jiġbed udjenzi ta 'ħafna miljuni ta' telespettaturi; Episodji issa huma ripetuti fuq BBC Three. Il-popolarità tal-programm waxed u naqset matul l-għexieren ta 'snin, bi tliet perjodi notevoli ta' klassifikazzjonijiet għoljin. L-ewwel waħda minn dawn kienet il-perjodu "Dalekmania" (madwar 1964-1965), meta l-popolarità tad-Daleks regolarment ġabet lill-klassifikazzjonijiet ta 'Doctor Who ta' bejn 9 u 14-il miljun, anke għal stejjer li ma kinux jidhru magħhom. It-tieni kien l-aħħar tas-snin sebgħin, meta Tom Baker kultant ġibed udjenzi ta 'aktar minn 12-il miljun.</v>
      </c>
    </row>
    <row r="17769" ht="15.75" customHeight="1">
      <c r="A17769" s="2" t="s">
        <v>17769</v>
      </c>
      <c r="B17769" s="2" t="str">
        <f>IFERROR(__xludf.DUMMYFUNCTION("GOOGLETRANSLATE(A17769, ""en"", ""mt"")"),"Xi jfisser 'Gram-negattiv'?")</f>
        <v>Xi jfisser 'Gram-negattiv'?</v>
      </c>
    </row>
    <row r="17770" ht="15.75" customHeight="1">
      <c r="A17770" s="2" t="s">
        <v>17770</v>
      </c>
      <c r="B17770" s="2" t="str">
        <f>IFERROR(__xludf.DUMMYFUNCTION("GOOGLETRANSLATE(A17770, ""en"", ""mt"")"),"Fejn jista 'jinstab ġieħ għall-waqgħa ta' Varsavja?")</f>
        <v>Fejn jista 'jinstab ġieħ għall-waqgħa ta' Varsavja?</v>
      </c>
    </row>
    <row r="17771" ht="15.75" customHeight="1">
      <c r="A17771" s="2" t="s">
        <v>17771</v>
      </c>
      <c r="B17771" s="2" t="str">
        <f>IFERROR(__xludf.DUMMYFUNCTION("GOOGLETRANSLATE(A17771, ""en"", ""mt"")"),"Dħul rilevanti aħjar")</f>
        <v>Dħul rilevanti aħjar</v>
      </c>
    </row>
    <row r="17772" ht="15.75" customHeight="1">
      <c r="A17772" s="2" t="s">
        <v>17772</v>
      </c>
      <c r="B17772" s="2" t="str">
        <f>IFERROR(__xludf.DUMMYFUNCTION("GOOGLETRANSLATE(A17772, ""en"", ""mt"")"),"Fejn jista 'għalliem jgħallem li mhux ġewwa bini?")</f>
        <v>Fejn jista 'għalliem jgħallem li mhux ġewwa bini?</v>
      </c>
    </row>
    <row r="17773" ht="15.75" customHeight="1">
      <c r="A17773" s="2" t="s">
        <v>17773</v>
      </c>
      <c r="B17773" s="2" t="str">
        <f>IFERROR(__xludf.DUMMYFUNCTION("GOOGLETRANSLATE(A17773, ""en"", ""mt"")"),"Xi tfisser żieda fis-sehem tad-dħul tal-qiegħ 20 fil-mija tan-nies ta 'soċjetà?")</f>
        <v>Xi tfisser żieda fis-sehem tad-dħul tal-qiegħ 20 fil-mija tan-nies ta 'soċjetà?</v>
      </c>
    </row>
    <row r="17774" ht="15.75" customHeight="1">
      <c r="A17774" s="2" t="s">
        <v>17774</v>
      </c>
      <c r="B17774" s="2" t="str">
        <f>IFERROR(__xludf.DUMMYFUNCTION("GOOGLETRANSLATE(A17774, ""en"", ""mt"")"),"Dak li hu maħsub li ġara lill-y. Pestis li kkawża l-mewt sewda?")</f>
        <v>Dak li hu maħsub li ġara lill-y. Pestis li kkawża l-mewt sewda?</v>
      </c>
    </row>
    <row r="17775" ht="15.75" customHeight="1">
      <c r="A17775" s="2" t="s">
        <v>17775</v>
      </c>
      <c r="B17775" s="2" t="str">
        <f>IFERROR(__xludf.DUMMYFUNCTION("GOOGLETRANSLATE(A17775, ""en"", ""mt"")"),"Ktieb tal-Eżodu,")</f>
        <v>Ktieb tal-Eżodu,</v>
      </c>
    </row>
    <row r="17776" ht="15.75" customHeight="1">
      <c r="A17776" s="2" t="s">
        <v>17776</v>
      </c>
      <c r="B17776" s="2" t="str">
        <f>IFERROR(__xludf.DUMMYFUNCTION("GOOGLETRANSLATE(A17776, ""en"", ""mt"")"),"L-imperjalizmu kellu rwol importanti fl-istoriji tal-Ġappun, il-Korea, l-Imperu Assirjan, l-Imperu Ċiniż, l-Imperu Ruman, il-Greċja, l-Imperu Biżantin, l-Imperu Persjan, l-Imperu Ottoman, l-Eġittu tal-qedem, l-Imperu Brittaniku, l-Indja, u ħafna imperi oħ"&amp;"ra. L-imperjalizmu kien komponent bażiku għall-konkwisti ta 'Genghis Khan matul l-imperu Mongoljan, u ta' linji oħra tal-gwerra. Numru ta 'imperi Musulmani rikonoxxuti storikament fl-għexieren. L-Afrika Sub-Saħarjana dehret ukoll għexieren ta 'imperi li j"&amp;"kunu qabel l-era kolonjali Ewropea, pereżempju l-Imperu Etjopjan, l-Imperu Oyo, l-Unjoni Asante, l-Imperu Luba, l-Imperu Lunda, u l-Imperu Mutapa. L-Amerika matul l-era pre-Kolumbjana kellha wkoll imperi kbar bħall-Imperu Aztek u l-Imperu Incan.")</f>
        <v>L-imperjalizmu kellu rwol importanti fl-istoriji tal-Ġappun, il-Korea, l-Imperu Assirjan, l-Imperu Ċiniż, l-Imperu Ruman, il-Greċja, l-Imperu Biżantin, l-Imperu Persjan, l-Imperu Ottoman, l-Eġittu tal-qedem, l-Imperu Brittaniku, l-Indja, u ħafna imperi oħra. L-imperjalizmu kien komponent bażiku għall-konkwisti ta 'Genghis Khan matul l-imperu Mongoljan, u ta' linji oħra tal-gwerra. Numru ta 'imperi Musulmani rikonoxxuti storikament fl-għexieren. L-Afrika Sub-Saħarjana dehret ukoll għexieren ta 'imperi li jkunu qabel l-era kolonjali Ewropea, pereżempju l-Imperu Etjopjan, l-Imperu Oyo, l-Unjoni Asante, l-Imperu Luba, l-Imperu Lunda, u l-Imperu Mutapa. L-Amerika matul l-era pre-Kolumbjana kellha wkoll imperi kbar bħall-Imperu Aztek u l-Imperu Incan.</v>
      </c>
    </row>
    <row r="17777" ht="15.75" customHeight="1">
      <c r="A17777" s="2" t="s">
        <v>17777</v>
      </c>
      <c r="B17777" s="2" t="str">
        <f>IFERROR(__xludf.DUMMYFUNCTION("GOOGLETRANSLATE(A17777, ""en"", ""mt"")"),"is-sid tal-propjetà")</f>
        <v>is-sid tal-propjetà</v>
      </c>
    </row>
    <row r="17778" ht="15.75" customHeight="1">
      <c r="A17778" s="2" t="s">
        <v>17778</v>
      </c>
      <c r="B17778" s="2" t="str">
        <f>IFERROR(__xludf.DUMMYFUNCTION("GOOGLETRANSLATE(A17778, ""en"", ""mt"")"),"Minħabba ċerti dikjarazzjonijiet x’kien l-istat maħsub tal-fehmiet reliġjużi tiegħu?")</f>
        <v>Minħabba ċerti dikjarazzjonijiet x’kien l-istat maħsub tal-fehmiet reliġjużi tiegħu?</v>
      </c>
    </row>
    <row r="17779" ht="15.75" customHeight="1">
      <c r="A17779" s="2" t="s">
        <v>17779</v>
      </c>
      <c r="B17779" s="2" t="str">
        <f>IFERROR(__xludf.DUMMYFUNCTION("GOOGLETRANSLATE(A17779, ""en"", ""mt"")"),"Liema teorija waslet fl-1811 li ppreżentat is-suppożizzjoni ta 'molekuli diatomiċi?")</f>
        <v>Liema teorija waslet fl-1811 li ppreżentat is-suppożizzjoni ta 'molekuli diatomiċi?</v>
      </c>
    </row>
    <row r="17780" ht="15.75" customHeight="1">
      <c r="A17780" s="2" t="s">
        <v>17780</v>
      </c>
      <c r="B17780" s="2" t="str">
        <f>IFERROR(__xludf.DUMMYFUNCTION("GOOGLETRANSLATE(A17780, ""en"", ""mt"")"),"Għal ħafna organiżmi, x'inhi s-sistema dominanti ta 'difiża?")</f>
        <v>Għal ħafna organiżmi, x'inhi s-sistema dominanti ta 'difiża?</v>
      </c>
    </row>
    <row r="17781" ht="15.75" customHeight="1">
      <c r="A17781" s="2" t="s">
        <v>17781</v>
      </c>
      <c r="B17781" s="2" t="str">
        <f>IFERROR(__xludf.DUMMYFUNCTION("GOOGLETRANSLATE(A17781, ""en"", ""mt"")"),"X'inhu n-Nasuwt?")</f>
        <v>X'inhu n-Nasuwt?</v>
      </c>
    </row>
    <row r="17782" ht="15.75" customHeight="1">
      <c r="A17782" s="2" t="s">
        <v>17782</v>
      </c>
      <c r="B17782" s="2" t="str">
        <f>IFERROR(__xludf.DUMMYFUNCTION("GOOGLETRANSLATE(A17782, ""en"", ""mt"")"),"jista 'jkun ta' interess għal qasam partikolari bħal kostitwenza ta 'membru")</f>
        <v>jista 'jkun ta' interess għal qasam partikolari bħal kostitwenza ta 'membru</v>
      </c>
    </row>
    <row r="17783" ht="15.75" customHeight="1">
      <c r="A17783" s="2" t="s">
        <v>17783</v>
      </c>
      <c r="B17783" s="2" t="str">
        <f>IFERROR(__xludf.DUMMYFUNCTION("GOOGLETRANSLATE(A17783, ""en"", ""mt"")"),"Kemm universitajiet għandu Newcastle?")</f>
        <v>Kemm universitajiet għandu Newcastle?</v>
      </c>
    </row>
    <row r="17784" ht="15.75" customHeight="1">
      <c r="A17784" s="2" t="s">
        <v>17784</v>
      </c>
      <c r="B17784" s="2" t="str">
        <f>IFERROR(__xludf.DUMMYFUNCTION("GOOGLETRANSLATE(A17784, ""en"", ""mt"")"),"Artikoli 106 u 107")</f>
        <v>Artikoli 106 u 107</v>
      </c>
    </row>
    <row r="17785" ht="15.75" customHeight="1">
      <c r="A17785" s="2" t="s">
        <v>17785</v>
      </c>
      <c r="B17785" s="2" t="str">
        <f>IFERROR(__xludf.DUMMYFUNCTION("GOOGLETRANSLATE(A17785, ""en"", ""mt"")"),"mili ta 'orbitali molekulari")</f>
        <v>mili ta 'orbitali molekulari</v>
      </c>
    </row>
    <row r="17786" ht="15.75" customHeight="1">
      <c r="A17786" s="2" t="s">
        <v>17786</v>
      </c>
      <c r="B17786" s="2" t="str">
        <f>IFERROR(__xludf.DUMMYFUNCTION("GOOGLETRANSLATE(A17786, ""en"", ""mt"")"),"Jekk l-uċuħ tal-unitajiet tal-blat fil-jingħalaq jibqgħu jippuntaw 'il fuq, huma jissejħu?")</f>
        <v>Jekk l-uċuħ tal-unitajiet tal-blat fil-jingħalaq jibqgħu jippuntaw 'il fuq, huma jissejħu?</v>
      </c>
    </row>
    <row r="17787" ht="15.75" customHeight="1">
      <c r="A17787" s="2" t="s">
        <v>17787</v>
      </c>
      <c r="B17787" s="2" t="str">
        <f>IFERROR(__xludf.DUMMYFUNCTION("GOOGLETRANSLATE(A17787, ""en"", ""mt"")"),"kombinazzjoni ta 'antrax u pandemiċi oħra")</f>
        <v>kombinazzjoni ta 'antrax u pandemiċi oħra</v>
      </c>
    </row>
    <row r="17788" ht="15.75" customHeight="1">
      <c r="A17788" s="2" t="s">
        <v>17788</v>
      </c>
      <c r="B17788" s="2" t="str">
        <f>IFERROR(__xludf.DUMMYFUNCTION("GOOGLETRANSLATE(A17788, ""en"", ""mt"")"),"ir-raba ’gwerra interkolonjali u l-gwerra kbira għall-imperu")</f>
        <v>ir-raba ’gwerra interkolonjali u l-gwerra kbira għall-imperu</v>
      </c>
    </row>
    <row r="17789" ht="15.75" customHeight="1">
      <c r="A17789" s="2" t="s">
        <v>17789</v>
      </c>
      <c r="B17789" s="2" t="str">
        <f>IFERROR(__xludf.DUMMYFUNCTION("GOOGLETRANSLATE(A17789, ""en"", ""mt"")"),"tnaqqas l-ispejjeż tal-konsumatur")</f>
        <v>tnaqqas l-ispejjeż tal-konsumatur</v>
      </c>
    </row>
    <row r="17790" ht="15.75" customHeight="1">
      <c r="A17790" s="2" t="s">
        <v>17790</v>
      </c>
      <c r="B17790" s="2" t="str">
        <f>IFERROR(__xludf.DUMMYFUNCTION("GOOGLETRANSLATE(A17790, ""en"", ""mt"")"),"10 ta ’Frar 1763")</f>
        <v>10 ta ’Frar 1763</v>
      </c>
    </row>
    <row r="17791" ht="15.75" customHeight="1">
      <c r="A17791" s="2" t="s">
        <v>17791</v>
      </c>
      <c r="B17791" s="2" t="str">
        <f>IFERROR(__xludf.DUMMYFUNCTION("GOOGLETRANSLATE(A17791, ""en"", ""mt"")"),"Taħt dawl intens")</f>
        <v>Taħt dawl intens</v>
      </c>
    </row>
    <row r="17792" ht="15.75" customHeight="1">
      <c r="A17792" s="2" t="s">
        <v>17792</v>
      </c>
      <c r="B17792" s="2" t="str">
        <f>IFERROR(__xludf.DUMMYFUNCTION("GOOGLETRANSLATE(A17792, ""en"", ""mt"")"),"L-ispirtu ta 'protesta għandu jinżamm it-triq kollha")</f>
        <v>L-ispirtu ta 'protesta għandu jinżamm it-triq kollha</v>
      </c>
    </row>
    <row r="17793" ht="15.75" customHeight="1">
      <c r="A17793" s="2" t="s">
        <v>17793</v>
      </c>
      <c r="B17793" s="2" t="str">
        <f>IFERROR(__xludf.DUMMYFUNCTION("GOOGLETRANSLATE(A17793, ""en"", ""mt"")"),"F’liema sena l-università rat l-ewwel waqgħa fl-applikazzjonijiet?")</f>
        <v>F’liema sena l-università rat l-ewwel waqgħa fl-applikazzjonijiet?</v>
      </c>
    </row>
    <row r="17794" ht="15.75" customHeight="1">
      <c r="A17794" s="2" t="s">
        <v>17794</v>
      </c>
      <c r="B17794" s="2" t="str">
        <f>IFERROR(__xludf.DUMMYFUNCTION("GOOGLETRANSLATE(A17794, ""en"", ""mt"")"),"X'inhuma dawk bi dħul aktar baxx li spiss ma jkunux jistgħu jimmaniġġjaw?")</f>
        <v>X'inhuma dawk bi dħul aktar baxx li spiss ma jkunux jistgħu jimmaniġġjaw?</v>
      </c>
    </row>
    <row r="17795" ht="15.75" customHeight="1">
      <c r="A17795" s="2" t="s">
        <v>17795</v>
      </c>
      <c r="B17795" s="2" t="str">
        <f>IFERROR(__xludf.DUMMYFUNCTION("GOOGLETRANSLATE(A17795, ""en"", ""mt"")"),"Kemm kien jiswa biex tibni l-istadium fejn kien jindaqq Super Bowl 50?")</f>
        <v>Kemm kien jiswa biex tibni l-istadium fejn kien jindaqq Super Bowl 50?</v>
      </c>
    </row>
    <row r="17796" ht="15.75" customHeight="1">
      <c r="A17796" s="2" t="s">
        <v>17796</v>
      </c>
      <c r="B17796" s="2" t="str">
        <f>IFERROR(__xludf.DUMMYFUNCTION("GOOGLETRANSLATE(A17796, ""en"", ""mt"")"),"Madwar 61.1% tal-Vittorjani jiddeskrivu lilhom infushom bħala Kristjani. Kattoliċi Rumani jiffurmaw l-akbar grupp reliġjuż uniku fl-istat b’26,7% tal-popolazzjoni Vittorjana, segwita minn Anglikani u membri tal-knisja li tgħaqqad. Il-Buddiżmu huwa l-akbar"&amp;" reliġjon mhux Kristjana tal-istat, b'168,637 membru bħala l-iktar ċensiment riċenti. Victoria hija wkoll dar ta ’152,775 Musulmani u 45,150 Lhud. L-Induiżmu huwa r-reliġjon li qed tikber bl-iktar mod mgħaġġel. Madwar 20% tal-Vittorjani ma jitolbu l-ebda "&amp;"reliġjon. Fost dawk li jiddikjaraw affiljazzjoni reliġjuża, l-attendenza tal-knisja hija baxxa.")</f>
        <v>Madwar 61.1% tal-Vittorjani jiddeskrivu lilhom infushom bħala Kristjani. Kattoliċi Rumani jiffurmaw l-akbar grupp reliġjuż uniku fl-istat b’26,7% tal-popolazzjoni Vittorjana, segwita minn Anglikani u membri tal-knisja li tgħaqqad. Il-Buddiżmu huwa l-akbar reliġjon mhux Kristjana tal-istat, b'168,637 membru bħala l-iktar ċensiment riċenti. Victoria hija wkoll dar ta ’152,775 Musulmani u 45,150 Lhud. L-Induiżmu huwa r-reliġjon li qed tikber bl-iktar mod mgħaġġel. Madwar 20% tal-Vittorjani ma jitolbu l-ebda reliġjon. Fost dawk li jiddikjaraw affiljazzjoni reliġjuża, l-attendenza tal-knisja hija baxxa.</v>
      </c>
    </row>
    <row r="17797" ht="15.75" customHeight="1">
      <c r="A17797" s="2" t="s">
        <v>17797</v>
      </c>
      <c r="B17797" s="2" t="str">
        <f>IFERROR(__xludf.DUMMYFUNCTION("GOOGLETRANSLATE(A17797, ""en"", ""mt"")"),"Xi jgħallem għalliem fl-iskola primarja?")</f>
        <v>Xi jgħallem għalliem fl-iskola primarja?</v>
      </c>
    </row>
    <row r="17798" ht="15.75" customHeight="1">
      <c r="A17798" s="2" t="s">
        <v>17798</v>
      </c>
      <c r="B17798" s="2" t="str">
        <f>IFERROR(__xludf.DUMMYFUNCTION("GOOGLETRANSLATE(A17798, ""en"", ""mt"")"),"Mikroorganiżmi jew tossini li jidħlu b'suċċess f'organiżmu jiltaqgħu maċ-ċelloli u l-mekkaniżmi tas-sistema immuni innata. Ir-rispons intrinsiku ġeneralment jiġi kkawżat meta l-mikrobi jiġu identifikati minn riċetturi ta 'rikonoxximent tal-mudelli, li jir"&amp;"rikonoxxu komponenti li huma kkonservati fost gruppi wesgħin ta' mikro-organiżmi, jew meta ċelloli bil-ħsara, imweġġa 'jew stressati jibagħtu sinjali ta' allarm, li ħafna minnhom (iżda mhux kollha) huma rikonoxxuti Mill-istess riċetturi bħal dawk li jirri"&amp;"konoxxu l-patoġeni. Id-difiżi immuni innati mhumiex speċifiċi, u jfisser li dawn is-sistemi jirrispondu għal patoġeni b'mod ġeneriku. Din is-sistema ma tagħtix immunità dejjiema kontra patoġen. Is-sistema immuni innata hija s-sistema dominanti tad-difiża "&amp;"ospitanti fil-biċċa l-kbira tal-organiżmi.")</f>
        <v>Mikroorganiżmi jew tossini li jidħlu b'suċċess f'organiżmu jiltaqgħu maċ-ċelloli u l-mekkaniżmi tas-sistema immuni innata. Ir-rispons intrinsiku ġeneralment jiġi kkawżat meta l-mikrobi jiġu identifikati minn riċetturi ta 'rikonoxximent tal-mudelli, li jirrikonoxxu komponenti li huma kkonservati fost gruppi wesgħin ta' mikro-organiżmi, jew meta ċelloli bil-ħsara, imweġġa 'jew stressati jibagħtu sinjali ta' allarm, li ħafna minnhom (iżda mhux kollha) huma rikonoxxuti Mill-istess riċetturi bħal dawk li jirrikonoxxu l-patoġeni. Id-difiżi immuni innati mhumiex speċifiċi, u jfisser li dawn is-sistemi jirrispondu għal patoġeni b'mod ġeneriku. Din is-sistema ma tagħtix immunità dejjiema kontra patoġen. Is-sistema immuni innata hija s-sistema dominanti tad-difiża ospitanti fil-biċċa l-kbira tal-organiżmi.</v>
      </c>
    </row>
    <row r="17799" ht="15.75" customHeight="1">
      <c r="A17799" s="2" t="s">
        <v>17799</v>
      </c>
      <c r="B17799" s="2" t="str">
        <f>IFERROR(__xludf.DUMMYFUNCTION("GOOGLETRANSLATE(A17799, ""en"", ""mt"")"),"distribuzzjoni")</f>
        <v>distribuzzjoni</v>
      </c>
    </row>
    <row r="17800" ht="15.75" customHeight="1">
      <c r="A17800" s="2" t="s">
        <v>17800</v>
      </c>
      <c r="B17800" s="2" t="str">
        <f>IFERROR(__xludf.DUMMYFUNCTION("GOOGLETRANSLATE(A17800, ""en"", ""mt"")"),"X'inhuma eżempji ta 'atturi ekonomiċi?")</f>
        <v>X'inhuma eżempji ta 'atturi ekonomiċi?</v>
      </c>
    </row>
    <row r="17801" ht="15.75" customHeight="1">
      <c r="A17801" s="2" t="s">
        <v>17801</v>
      </c>
      <c r="B17801" s="2" t="str">
        <f>IFERROR(__xludf.DUMMYFUNCTION("GOOGLETRANSLATE(A17801, ""en"", ""mt"")"),"mitħun")</f>
        <v>mitħun</v>
      </c>
    </row>
    <row r="17802" ht="15.75" customHeight="1">
      <c r="A17802" s="2" t="s">
        <v>17802</v>
      </c>
      <c r="B17802" s="2" t="str">
        <f>IFERROR(__xludf.DUMMYFUNCTION("GOOGLETRANSLATE(A17802, ""en"", ""mt"")"),"riflessiva")</f>
        <v>riflessiva</v>
      </c>
    </row>
    <row r="17803" ht="15.75" customHeight="1">
      <c r="A17803" s="2" t="s">
        <v>17803</v>
      </c>
      <c r="B17803" s="2" t="str">
        <f>IFERROR(__xludf.DUMMYFUNCTION("GOOGLETRANSLATE(A17803, ""en"", ""mt"")"),"jiksbu l-appoġġ tal-Ingliżi u jerġgħu jiksbu l-awtorità fuq in-nies tiegħu stess")</f>
        <v>jiksbu l-appoġġ tal-Ingliżi u jerġgħu jiksbu l-awtorità fuq in-nies tiegħu stess</v>
      </c>
    </row>
    <row r="17804" ht="15.75" customHeight="1">
      <c r="A17804" s="2" t="s">
        <v>17804</v>
      </c>
      <c r="B17804" s="2" t="str">
        <f>IFERROR(__xludf.DUMMYFUNCTION("GOOGLETRANSLATE(A17804, ""en"", ""mt"")"),"Kristu")</f>
        <v>Kristu</v>
      </c>
    </row>
    <row r="17805" ht="15.75" customHeight="1">
      <c r="A17805" s="2" t="s">
        <v>17805</v>
      </c>
      <c r="B17805" s="2" t="str">
        <f>IFERROR(__xludf.DUMMYFUNCTION("GOOGLETRANSLATE(A17805, ""en"", ""mt"")"),"X'ġara minn Apollo 13?")</f>
        <v>X'ġara minn Apollo 13?</v>
      </c>
    </row>
    <row r="17806" ht="15.75" customHeight="1">
      <c r="A17806" s="2" t="s">
        <v>17806</v>
      </c>
      <c r="B17806" s="2" t="str">
        <f>IFERROR(__xludf.DUMMYFUNCTION("GOOGLETRANSLATE(A17806, ""en"", ""mt"")"),"Il-vettura u kollox ġewwa fiha hemm mistrieħ:")</f>
        <v>Il-vettura u kollox ġewwa fiha hemm mistrieħ:</v>
      </c>
    </row>
    <row r="17807" ht="15.75" customHeight="1">
      <c r="A17807" s="2" t="s">
        <v>17807</v>
      </c>
      <c r="B17807" s="2" t="str">
        <f>IFERROR(__xludf.DUMMYFUNCTION("GOOGLETRANSLATE(A17807, ""en"", ""mt"")"),"Il-logħba li għadha kemm ġiet miżżewġa")</f>
        <v>Il-logħba li għadha kemm ġiet miżżewġa</v>
      </c>
    </row>
    <row r="17808" ht="15.75" customHeight="1">
      <c r="A17808" s="2" t="s">
        <v>17808</v>
      </c>
      <c r="B17808" s="2" t="str">
        <f>IFERROR(__xludf.DUMMYFUNCTION("GOOGLETRANSLATE(A17808, ""en"", ""mt"")"),"Kemm fatturi ta 'problemi tas-saħħa u soċjali identifikaw Wilkinson u Pickett?")</f>
        <v>Kemm fatturi ta 'problemi tas-saħħa u soċjali identifikaw Wilkinson u Pickett?</v>
      </c>
    </row>
    <row r="17809" ht="15.75" customHeight="1">
      <c r="A17809" s="2" t="s">
        <v>17809</v>
      </c>
      <c r="B17809" s="2" t="str">
        <f>IFERROR(__xludf.DUMMYFUNCTION("GOOGLETRANSLATE(A17809, ""en"", ""mt"")"),"F'liema data miet Luther?")</f>
        <v>F'liema data miet Luther?</v>
      </c>
    </row>
    <row r="17810" ht="15.75" customHeight="1">
      <c r="A17810" s="2" t="s">
        <v>17810</v>
      </c>
      <c r="B17810" s="2" t="str">
        <f>IFERROR(__xludf.DUMMYFUNCTION("GOOGLETRANSLATE(A17810, ""en"", ""mt"")"),"B'baġit ta '$ 230,000, id-dejta tax-xandir Lunar oriġinali li tibqa' ħajja minn Apollo 11 ġiet ikkompilata minn Nafzger u assenjata lil Lowry Digital għar-restawr. Il-video ġie pproċessat biex jitneħħa l-istorbju bl-addoċċ u ħawwad il-kamera mingħajr ma j"&amp;"eqred il-leġittimità storika. L-immaġini kienu minn tapes fl-Awstralja, l-Arkivju tal-Aħbarijiet tas-CBS, u r-reġistrazzjonijiet ta 'Kinescope li saru fiċ-Ċentru Spazjali Johnson. Il-video restawrat, li jibqa 'bl-iswed u bl-abjad, fih titjib diġitali kons"&amp;"ervattiv u ma kienx jinkludi titjib tal-kwalità tal-ħoss.")</f>
        <v>B'baġit ta '$ 230,000, id-dejta tax-xandir Lunar oriġinali li tibqa' ħajja minn Apollo 11 ġiet ikkompilata minn Nafzger u assenjata lil Lowry Digital għar-restawr. Il-video ġie pproċessat biex jitneħħa l-istorbju bl-addoċċ u ħawwad il-kamera mingħajr ma jeqred il-leġittimità storika. L-immaġini kienu minn tapes fl-Awstralja, l-Arkivju tal-Aħbarijiet tas-CBS, u r-reġistrazzjonijiet ta 'Kinescope li saru fiċ-Ċentru Spazjali Johnson. Il-video restawrat, li jibqa 'bl-iswed u bl-abjad, fih titjib diġitali konservattiv u ma kienx jinkludi titjib tal-kwalità tal-ħoss.</v>
      </c>
    </row>
    <row r="17811" ht="15.75" customHeight="1">
      <c r="A17811" s="2" t="s">
        <v>17811</v>
      </c>
      <c r="B17811" s="2" t="str">
        <f>IFERROR(__xludf.DUMMYFUNCTION("GOOGLETRANSLATE(A17811, ""en"", ""mt"")"),"il-bajjiet kostali u r-riservi tal-logħob")</f>
        <v>il-bajjiet kostali u r-riservi tal-logħob</v>
      </c>
    </row>
    <row r="17812" ht="15.75" customHeight="1">
      <c r="A17812" s="2" t="s">
        <v>17812</v>
      </c>
      <c r="B17812" s="2" t="str">
        <f>IFERROR(__xludf.DUMMYFUNCTION("GOOGLETRANSLATE(A17812, ""en"", ""mt"")"),"Kienu esperimenti ta 'Tesla b'voltaġġ għoli jew vultaġġ baxx?")</f>
        <v>Kienu esperimenti ta 'Tesla b'voltaġġ għoli jew vultaġġ baxx?</v>
      </c>
    </row>
    <row r="17813" ht="15.75" customHeight="1">
      <c r="A17813" s="2" t="s">
        <v>17813</v>
      </c>
      <c r="B17813" s="2" t="str">
        <f>IFERROR(__xludf.DUMMYFUNCTION("GOOGLETRANSLATE(A17813, ""en"", ""mt"")"),"Obdi l-kuxjenza tagħha aktar milli l-liġi umana")</f>
        <v>Obdi l-kuxjenza tagħha aktar milli l-liġi umana</v>
      </c>
    </row>
    <row r="17814" ht="15.75" customHeight="1">
      <c r="A17814" s="2" t="s">
        <v>17814</v>
      </c>
      <c r="B17814" s="2" t="str">
        <f>IFERROR(__xludf.DUMMYFUNCTION("GOOGLETRANSLATE(A17814, ""en"", ""mt"")"),"Kemm tista 'tkun mhedda l-Amazon Rainforest, skond xi mudelli tal-kompjuter?")</f>
        <v>Kemm tista 'tkun mhedda l-Amazon Rainforest, skond xi mudelli tal-kompjuter?</v>
      </c>
    </row>
    <row r="17815" ht="15.75" customHeight="1">
      <c r="A17815" s="2" t="s">
        <v>17815</v>
      </c>
      <c r="B17815" s="2" t="str">
        <f>IFERROR(__xludf.DUMMYFUNCTION("GOOGLETRANSLATE(A17815, ""en"", ""mt"")"),"X'inhi l-firxa tal-ħlas għall-aċċess għall-EPG ta 'BSKYB?")</f>
        <v>X'inhi l-firxa tal-ħlas għall-aċċess għall-EPG ta 'BSKYB?</v>
      </c>
    </row>
    <row r="17816" ht="15.75" customHeight="1">
      <c r="A17816" s="2" t="s">
        <v>17816</v>
      </c>
      <c r="B17816" s="2" t="str">
        <f>IFERROR(__xludf.DUMMYFUNCTION("GOOGLETRANSLATE(A17816, ""en"", ""mt"")"),"Mużika tal-Isferi")</f>
        <v>Mużika tal-Isferi</v>
      </c>
    </row>
    <row r="17817" ht="15.75" customHeight="1">
      <c r="A17817" s="2" t="s">
        <v>17817</v>
      </c>
      <c r="B17817" s="2" t="str">
        <f>IFERROR(__xludf.DUMMYFUNCTION("GOOGLETRANSLATE(A17817, ""en"", ""mt"")"),"Chancel Chapel")</f>
        <v>Chancel Chapel</v>
      </c>
    </row>
    <row r="17818" ht="15.75" customHeight="1">
      <c r="A17818" s="2" t="s">
        <v>17818</v>
      </c>
      <c r="B17818" s="2" t="str">
        <f>IFERROR(__xludf.DUMMYFUNCTION("GOOGLETRANSLATE(A17818, ""en"", ""mt"")"),"X’kien ir-riżultat ta ’din il-pubbliċità?")</f>
        <v>X’kien ir-riżultat ta ’din il-pubbliċità?</v>
      </c>
    </row>
    <row r="17819" ht="15.75" customHeight="1">
      <c r="A17819" s="2" t="s">
        <v>17819</v>
      </c>
      <c r="B17819" s="2" t="str">
        <f>IFERROR(__xludf.DUMMYFUNCTION("GOOGLETRANSLATE(A17819, ""en"", ""mt"")"),"Terra Preta (Dinja l-Iswed), li hija mqassma fuq żoni kbar fil-foresta tal-Amażonja, issa hija aċċettata b'mod wiesa 'bħala prodott ta' ġestjoni indiġena tal-ħamrija. L-iżvilupp ta 'din il-ħamrija fertili ppermetta l-agrikoltura u s-silvikultura fl-ambjen"&amp;"t li qabel kien ostili; Fis-sens li porzjonijiet kbar tal-foresta tropikali tal-Amażonja huma probabbilment ir-riżultat ta 'sekli ta' ġestjoni tal-bniedem, aktar milli jseħħu b'mod naturali kif suppost kien suppost. Fir-reġjun tat-tribù Xingu, il-fdalijie"&amp;"t ta 'wħud minn dawn l-insedjamenti kbar f'nofs il-foresta tal-Amażonja nstabu fl-2003 minn Michael Heckenberger u l-kollegi tal-Università ta' Florida. Fost dawk kien hemm evidenza ta 'toroq, pontijiet u pjazi kbar.")</f>
        <v>Terra Preta (Dinja l-Iswed), li hija mqassma fuq żoni kbar fil-foresta tal-Amażonja, issa hija aċċettata b'mod wiesa 'bħala prodott ta' ġestjoni indiġena tal-ħamrija. L-iżvilupp ta 'din il-ħamrija fertili ppermetta l-agrikoltura u s-silvikultura fl-ambjent li qabel kien ostili; Fis-sens li porzjonijiet kbar tal-foresta tropikali tal-Amażonja huma probabbilment ir-riżultat ta 'sekli ta' ġestjoni tal-bniedem, aktar milli jseħħu b'mod naturali kif suppost kien suppost. Fir-reġjun tat-tribù Xingu, il-fdalijiet ta 'wħud minn dawn l-insedjamenti kbar f'nofs il-foresta tal-Amażonja nstabu fl-2003 minn Michael Heckenberger u l-kollegi tal-Università ta' Florida. Fost dawk kien hemm evidenza ta 'toroq, pontijiet u pjazi kbar.</v>
      </c>
    </row>
    <row r="17820" ht="15.75" customHeight="1">
      <c r="A17820" s="2" t="s">
        <v>17820</v>
      </c>
      <c r="B17820" s="2" t="str">
        <f>IFERROR(__xludf.DUMMYFUNCTION("GOOGLETRANSLATE(A17820, ""en"", ""mt"")"),"Fejn jiffurmaw diks?")</f>
        <v>Fejn jiffurmaw diks?</v>
      </c>
    </row>
    <row r="17821" ht="15.75" customHeight="1">
      <c r="A17821" s="2" t="s">
        <v>17821</v>
      </c>
      <c r="B17821" s="2" t="str">
        <f>IFERROR(__xludf.DUMMYFUNCTION("GOOGLETRANSLATE(A17821, ""en"", ""mt"")"),"F'liema etude ta 'neumes rythmiques il-primes 41, 43, 47 u 53 jidhru?")</f>
        <v>F'liema etude ta 'neumes rythmiques il-primes 41, 43, 47 u 53 jidhru?</v>
      </c>
    </row>
    <row r="17822" ht="15.75" customHeight="1">
      <c r="A17822" s="2" t="s">
        <v>17822</v>
      </c>
      <c r="B17822" s="2" t="str">
        <f>IFERROR(__xludf.DUMMYFUNCTION("GOOGLETRANSLATE(A17822, ""en"", ""mt"")"),"Matul is-snin 1980")</f>
        <v>Matul is-snin 1980</v>
      </c>
    </row>
    <row r="17823" ht="15.75" customHeight="1">
      <c r="A17823" s="2" t="s">
        <v>17823</v>
      </c>
      <c r="B17823" s="2" t="str">
        <f>IFERROR(__xludf.DUMMYFUNCTION("GOOGLETRANSLATE(A17823, ""en"", ""mt"")"),"korrott")</f>
        <v>korrott</v>
      </c>
    </row>
    <row r="17824" ht="15.75" customHeight="1">
      <c r="A17824" s="2" t="s">
        <v>17824</v>
      </c>
      <c r="B17824" s="2" t="str">
        <f>IFERROR(__xludf.DUMMYFUNCTION("GOOGLETRANSLATE(A17824, ""en"", ""mt"")"),"F'liema battalja ġew megħluba l-Mongoli mit-Tran?")</f>
        <v>F'liema battalja ġew megħluba l-Mongoli mit-Tran?</v>
      </c>
    </row>
    <row r="17825" ht="15.75" customHeight="1">
      <c r="A17825" s="2" t="s">
        <v>17825</v>
      </c>
      <c r="B17825" s="2" t="str">
        <f>IFERROR(__xludf.DUMMYFUNCTION("GOOGLETRANSLATE(A17825, ""en"", ""mt"")"),"X'għamel Luther mal-katekiżmi tiegħu?")</f>
        <v>X'għamel Luther mal-katekiżmi tiegħu?</v>
      </c>
    </row>
    <row r="17826" ht="15.75" customHeight="1">
      <c r="A17826" s="2" t="s">
        <v>17826</v>
      </c>
      <c r="B17826" s="2" t="str">
        <f>IFERROR(__xludf.DUMMYFUNCTION("GOOGLETRANSLATE(A17826, ""en"", ""mt"")"),"Min kien ħu Emma?")</f>
        <v>Min kien ħu Emma?</v>
      </c>
    </row>
    <row r="17827" ht="15.75" customHeight="1">
      <c r="A17827" s="2" t="s">
        <v>17827</v>
      </c>
      <c r="B17827" s="2" t="str">
        <f>IFERROR(__xludf.DUMMYFUNCTION("GOOGLETRANSLATE(A17827, ""en"", ""mt"")"),"Id-deportazzjoni tal-popolazzjoni Akkadjana li titkellem bil-Franċiż")</f>
        <v>Id-deportazzjoni tal-popolazzjoni Akkadjana li titkellem bil-Franċiż</v>
      </c>
    </row>
    <row r="17828" ht="15.75" customHeight="1">
      <c r="A17828" s="2" t="s">
        <v>17828</v>
      </c>
      <c r="B17828" s="2" t="str">
        <f>IFERROR(__xludf.DUMMYFUNCTION("GOOGLETRANSLATE(A17828, ""en"", ""mt"")"),"Fl-10 ta 'Jannar 1943, is-Sindku tal-Belt ta' New York, Fiorello La Guardia qara eulogy miktub mill-awtur Sloven-Amerikan Louis Adamic Live Over the WNYC Radio waqt li l-biċċiet tal-vjolin ""Ave Maria"" u ""Tamo Daleko"" kienu jindaqqu fl-isfond. Fit-12 t"&amp;"a 'Jannar, elfejn persuna attendew funeral statali għal Tesla fil-Katidral ta' San Ġwann id-Divin. Wara l-funeral, il-ġisem ta 'Tesla ttieħed fiċ-Ċimiterju Ferncliff f'Ardsley, New York, fejn aktar tard ġie kremat. L-għada, it-tieni servizz tmexxa minn sa"&amp;"ċerdoti prominenti fil-Kappella tat-Trinità (Katidral Ortodoss Serb tal-lum ta ’San Sava) fi New York City.")</f>
        <v>Fl-10 ta 'Jannar 1943, is-Sindku tal-Belt ta' New York, Fiorello La Guardia qara eulogy miktub mill-awtur Sloven-Amerikan Louis Adamic Live Over the WNYC Radio waqt li l-biċċiet tal-vjolin "Ave Maria" u "Tamo Daleko" kienu jindaqqu fl-isfond. Fit-12 ta 'Jannar, elfejn persuna attendew funeral statali għal Tesla fil-Katidral ta' San Ġwann id-Divin. Wara l-funeral, il-ġisem ta 'Tesla ttieħed fiċ-Ċimiterju Ferncliff f'Ardsley, New York, fejn aktar tard ġie kremat. L-għada, it-tieni servizz tmexxa minn saċerdoti prominenti fil-Kappella tat-Trinità (Katidral Ortodoss Serb tal-lum ta ’San Sava) fi New York City.</v>
      </c>
    </row>
    <row r="17829" ht="15.75" customHeight="1">
      <c r="A17829" s="2" t="s">
        <v>17829</v>
      </c>
      <c r="B17829" s="2" t="str">
        <f>IFERROR(__xludf.DUMMYFUNCTION("GOOGLETRANSLATE(A17829, ""en"", ""mt"")"),"Anabaptisti")</f>
        <v>Anabaptisti</v>
      </c>
    </row>
    <row r="17830" ht="15.75" customHeight="1">
      <c r="A17830" s="2" t="s">
        <v>17830</v>
      </c>
      <c r="B17830" s="2" t="str">
        <f>IFERROR(__xludf.DUMMYFUNCTION("GOOGLETRANSLATE(A17830, ""en"", ""mt"")"),"grad li fih dawn il-bnadar iżommu l-kuluri oriġinali tagħhom għadu mhux magħruf")</f>
        <v>grad li fih dawn il-bnadar iżommu l-kuluri oriġinali tagħhom għadu mhux magħruf</v>
      </c>
    </row>
    <row r="17831" ht="15.75" customHeight="1">
      <c r="A17831" s="2" t="s">
        <v>17831</v>
      </c>
      <c r="B17831" s="2" t="str">
        <f>IFERROR(__xludf.DUMMYFUNCTION("GOOGLETRANSLATE(A17831, ""en"", ""mt"")"),"Il-Baħar tat-Tramuntana")</f>
        <v>Il-Baħar tat-Tramuntana</v>
      </c>
    </row>
    <row r="17832" ht="15.75" customHeight="1">
      <c r="A17832" s="2" t="s">
        <v>17832</v>
      </c>
      <c r="B17832" s="2" t="str">
        <f>IFERROR(__xludf.DUMMYFUNCTION("GOOGLETRANSLATE(A17832, ""en"", ""mt"")"),"esplorat in-nisel tal-mużika medjevali u l-istrumentazzjoni u rrelata kif dawk ikkontribwew għall-mużika kontemporanja 500 sena wara")</f>
        <v>esplorat in-nisel tal-mużika medjevali u l-istrumentazzjoni u rrelata kif dawk ikkontribwew għall-mużika kontemporanja 500 sena wara</v>
      </c>
    </row>
    <row r="17833" ht="15.75" customHeight="1">
      <c r="A17833" s="2" t="s">
        <v>17833</v>
      </c>
      <c r="B17833" s="2" t="str">
        <f>IFERROR(__xludf.DUMMYFUNCTION("GOOGLETRANSLATE(A17833, ""en"", ""mt"")"),"X'inhu l-livell ta 'inugwaljanza ta' ekonomija li qed tiżviluppa msejħa?")</f>
        <v>X'inhu l-livell ta 'inugwaljanza ta' ekonomija li qed tiżviluppa msejħa?</v>
      </c>
    </row>
    <row r="17834" ht="15.75" customHeight="1">
      <c r="A17834" s="2" t="s">
        <v>17834</v>
      </c>
      <c r="B17834" s="2" t="str">
        <f>IFERROR(__xludf.DUMMYFUNCTION("GOOGLETRANSLATE(A17834, ""en"", ""mt"")"),"Shi Tianze kien Ċiniż Han li kien jgħix fid-dinastija Jin. Iż-żwieġ interetniku bejn Han u Jurchen sar komuni f'dan il-ħin. Missieru kien Shi Bingzhi (史秉直, Shih Ping-Chih). Shi Bingzhi kien miżżewweġ lil mara Jurchen (kunjom na-ho) u mara Ċiniża Han (kunj"&amp;"om Chang); Mhux magħruf liema minnhom kienet omm Shi Tianze. Shi Tianze kien miżżewweġ ma 'żewġ nisa Jurchen, mara Ċiniża Han, u mara Koreana, u ibnu Shi Gang twieled f'waħda min-nisa Jurchen tiegħu. Il-kunjomijiet tan-nisa Jurchen tiegħu kienu Mo-Nien u "&amp;"Na-ho; Kunjom il-mara Koreana tiegħu kien Li; U l-kunjom tal-mara Ċiniża Han tiegħu kien Shi. Shi Tianze iddefetta lill-forzi tal-Mongol fuq l-invażjoni tagħhom tad-dinastija Jin. Ibnu Shi Gang iżżewweġ mara Kerait; Il-Kerait kienu nies Turkiċi Mongolifik"&amp;"ati u kienu meqjusa bħala parti min-nazzjon Mongoljan "". Shi Tianze (Shih T'ien-Tse), Zhang Rou (Chang Jou, 張柔), u Yan Shi (Yen Shih, 嚴實) u Ċiniż ieħor ta 'klassifikazzjoni għolja li serva fid-dinastija Jin u ddefiniti għall-Mongoli għenu jibnu l-istrutt"&amp;"ura għall-amministrazzjoni tal-istat il-ġdid. Chagaan (Tsagaan) u Zhang Rou nedew flimkien attakk fuq id-dinastija tal-kanzunetta ordnata minn Töregene Khatun.")</f>
        <v>Shi Tianze kien Ċiniż Han li kien jgħix fid-dinastija Jin. Iż-żwieġ interetniku bejn Han u Jurchen sar komuni f'dan il-ħin. Missieru kien Shi Bingzhi (史秉直, Shih Ping-Chih). Shi Bingzhi kien miżżewweġ lil mara Jurchen (kunjom na-ho) u mara Ċiniża Han (kunjom Chang); Mhux magħruf liema minnhom kienet omm Shi Tianze. Shi Tianze kien miżżewweġ ma 'żewġ nisa Jurchen, mara Ċiniża Han, u mara Koreana, u ibnu Shi Gang twieled f'waħda min-nisa Jurchen tiegħu. Il-kunjomijiet tan-nisa Jurchen tiegħu kienu Mo-Nien u Na-ho; Kunjom il-mara Koreana tiegħu kien Li; U l-kunjom tal-mara Ċiniża Han tiegħu kien Shi. Shi Tianze iddefetta lill-forzi tal-Mongol fuq l-invażjoni tagħhom tad-dinastija Jin. Ibnu Shi Gang iżżewweġ mara Kerait; Il-Kerait kienu nies Turkiċi Mongolifikati u kienu meqjusa bħala parti min-nazzjon Mongoljan ". Shi Tianze (Shih T'ien-Tse), Zhang Rou (Chang Jou, 張柔), u Yan Shi (Yen Shih, 嚴實) u Ċiniż ieħor ta 'klassifikazzjoni għolja li serva fid-dinastija Jin u ddefiniti għall-Mongoli għenu jibnu l-istruttura għall-amministrazzjoni tal-istat il-ġdid. Chagaan (Tsagaan) u Zhang Rou nedew flimkien attakk fuq id-dinastija tal-kanzunetta ordnata minn Töregene Khatun.</v>
      </c>
    </row>
    <row r="17835" ht="15.75" customHeight="1">
      <c r="A17835" s="2" t="s">
        <v>17835</v>
      </c>
      <c r="B17835" s="2" t="str">
        <f>IFERROR(__xludf.DUMMYFUNCTION("GOOGLETRANSLATE(A17835, ""en"", ""mt"")"),"sfond iswed")</f>
        <v>sfond iswed</v>
      </c>
    </row>
    <row r="17836" ht="15.75" customHeight="1">
      <c r="A17836" s="2" t="s">
        <v>17836</v>
      </c>
      <c r="B17836" s="2" t="str">
        <f>IFERROR(__xludf.DUMMYFUNCTION("GOOGLETRANSLATE(A17836, ""en"", ""mt"")"),"il-punent")</f>
        <v>il-punent</v>
      </c>
    </row>
    <row r="17837" ht="15.75" customHeight="1">
      <c r="A17837" s="2" t="s">
        <v>17837</v>
      </c>
      <c r="B17837" s="2" t="str">
        <f>IFERROR(__xludf.DUMMYFUNCTION("GOOGLETRANSLATE(A17837, ""en"", ""mt"")"),"Tweġibiet immuni adattivi u innati")</f>
        <v>Tweġibiet immuni adattivi u innati</v>
      </c>
    </row>
    <row r="17838" ht="15.75" customHeight="1">
      <c r="A17838" s="2" t="s">
        <v>17838</v>
      </c>
      <c r="B17838" s="2" t="str">
        <f>IFERROR(__xludf.DUMMYFUNCTION("GOOGLETRANSLATE(A17838, ""en"", ""mt"")"),"rwoli tas-sessi u drawwiet")</f>
        <v>rwoli tas-sessi u drawwiet</v>
      </c>
    </row>
    <row r="17839" ht="15.75" customHeight="1">
      <c r="A17839" s="2" t="s">
        <v>17839</v>
      </c>
      <c r="B17839" s="2" t="str">
        <f>IFERROR(__xludf.DUMMYFUNCTION("GOOGLETRANSLATE(A17839, ""en"", ""mt"")"),"L-assassin fatali u l-mawdryn undead")</f>
        <v>L-assassin fatali u l-mawdryn undead</v>
      </c>
    </row>
    <row r="17840" ht="15.75" customHeight="1">
      <c r="A17840" s="2" t="s">
        <v>17840</v>
      </c>
      <c r="B17840" s="2" t="str">
        <f>IFERROR(__xludf.DUMMYFUNCTION("GOOGLETRANSLATE(A17840, ""en"", ""mt"")"),"Stil aktar assertiv u konfrontattiv")</f>
        <v>Stil aktar assertiv u konfrontattiv</v>
      </c>
    </row>
    <row r="17841" ht="15.75" customHeight="1">
      <c r="A17841" s="2" t="s">
        <v>17841</v>
      </c>
      <c r="B17841" s="3" t="str">
        <f>IFERROR(__xludf.DUMMYFUNCTION("GOOGLETRANSLATE(A17841, ""en"", ""mt"")"),"CBSSports.com")</f>
        <v>CBSSports.com</v>
      </c>
    </row>
    <row r="17842" ht="15.75" customHeight="1">
      <c r="A17842" s="2" t="s">
        <v>17842</v>
      </c>
      <c r="B17842" s="2" t="str">
        <f>IFERROR(__xludf.DUMMYFUNCTION("GOOGLETRANSLATE(A17842, ""en"", ""mt"")"),"X'inhi barriera mekkanika fl-insetti li tipproteġi l-insett?")</f>
        <v>X'inhi barriera mekkanika fl-insetti li tipproteġi l-insett?</v>
      </c>
    </row>
    <row r="17843" ht="15.75" customHeight="1">
      <c r="A17843" s="2" t="s">
        <v>17843</v>
      </c>
      <c r="B17843" s="2" t="str">
        <f>IFERROR(__xludf.DUMMYFUNCTION("GOOGLETRANSLATE(A17843, ""en"", ""mt"")"),"Kemm it-trab tas-Saħara jibqa 'fl-arja fuq l-Amażonja kull sena?")</f>
        <v>Kemm it-trab tas-Saħara jibqa 'fl-arja fuq l-Amażonja kull sena?</v>
      </c>
    </row>
    <row r="17844" ht="15.75" customHeight="1">
      <c r="A17844" s="2" t="s">
        <v>17844</v>
      </c>
      <c r="B17844" s="2" t="str">
        <f>IFERROR(__xludf.DUMMYFUNCTION("GOOGLETRANSLATE(A17844, ""en"", ""mt"")"),"vawċer")</f>
        <v>vawċer</v>
      </c>
    </row>
    <row r="17845" ht="15.75" customHeight="1">
      <c r="A17845" s="2" t="s">
        <v>17845</v>
      </c>
      <c r="B17845" s="2" t="str">
        <f>IFERROR(__xludf.DUMMYFUNCTION("GOOGLETRANSLATE(A17845, ""en"", ""mt"")"),"$ 4.093 miljun")</f>
        <v>$ 4.093 miljun</v>
      </c>
    </row>
    <row r="17846" ht="15.75" customHeight="1">
      <c r="A17846" s="2" t="s">
        <v>17846</v>
      </c>
      <c r="B17846" s="2" t="str">
        <f>IFERROR(__xludf.DUMMYFUNCTION("GOOGLETRANSLATE(A17846, ""en"", ""mt"")"),"il-funzjonijiet tagħhom")</f>
        <v>il-funzjonijiet tagħhom</v>
      </c>
    </row>
    <row r="17847" ht="15.75" customHeight="1">
      <c r="A17847" s="2" t="s">
        <v>17847</v>
      </c>
      <c r="B17847" s="2" t="str">
        <f>IFERROR(__xludf.DUMMYFUNCTION("GOOGLETRANSLATE(A17847, ""en"", ""mt"")"),"Studji stabbli u radjuattivi tal-iżotopi jipprovdu ħarsa lejn xiex?")</f>
        <v>Studji stabbli u radjuattivi tal-iżotopi jipprovdu ħarsa lejn xiex?</v>
      </c>
    </row>
    <row r="17848" ht="15.75" customHeight="1">
      <c r="A17848" s="2" t="s">
        <v>17848</v>
      </c>
      <c r="B17848" s="2" t="str">
        <f>IFERROR(__xludf.DUMMYFUNCTION("GOOGLETRANSLATE(A17848, ""en"", ""mt"")"),"Min Edward għamel l-Arċisqof ta 'Canterbury?")</f>
        <v>Min Edward għamel l-Arċisqof ta 'Canterbury?</v>
      </c>
    </row>
    <row r="17849" ht="15.75" customHeight="1">
      <c r="A17849" s="2" t="s">
        <v>17849</v>
      </c>
      <c r="B17849" s="2" t="str">
        <f>IFERROR(__xludf.DUMMYFUNCTION("GOOGLETRANSLATE(A17849, ""en"", ""mt"")"),"X'jista 'jikkawża li s-salarji jmorru ogħla mill-firxa?")</f>
        <v>X'jista 'jikkawża li s-salarji jmorru ogħla mill-firxa?</v>
      </c>
    </row>
    <row r="17850" ht="15.75" customHeight="1">
      <c r="A17850" s="2" t="s">
        <v>17850</v>
      </c>
      <c r="B17850" s="2" t="str">
        <f>IFERROR(__xludf.DUMMYFUNCTION("GOOGLETRANSLATE(A17850, ""en"", ""mt"")"),"Ħsara lill-Ġilda")</f>
        <v>Ħsara lill-Ġilda</v>
      </c>
    </row>
    <row r="17851" ht="15.75" customHeight="1">
      <c r="A17851" s="2" t="s">
        <v>17851</v>
      </c>
      <c r="B17851" s="2" t="str">
        <f>IFERROR(__xludf.DUMMYFUNCTION("GOOGLETRANSLATE(A17851, ""en"", ""mt"")"),"id-dgħjufija fid-dixxiplina tal-iskola")</f>
        <v>id-dgħjufija fid-dixxiplina tal-iskola</v>
      </c>
    </row>
    <row r="17852" ht="15.75" customHeight="1">
      <c r="A17852" s="2" t="s">
        <v>17852</v>
      </c>
      <c r="B17852" s="2" t="str">
        <f>IFERROR(__xludf.DUMMYFUNCTION("GOOGLETRANSLATE(A17852, ""en"", ""mt"")"),"Dan kien jipproduċi wkoll dokument kostituzzjonali wieħed")</f>
        <v>Dan kien jipproduċi wkoll dokument kostituzzjonali wieħed</v>
      </c>
    </row>
    <row r="17853" ht="15.75" customHeight="1">
      <c r="A17853" s="2" t="s">
        <v>17853</v>
      </c>
      <c r="B17853" s="2" t="str">
        <f>IFERROR(__xludf.DUMMYFUNCTION("GOOGLETRANSLATE(A17853, ""en"", ""mt"")"),"appoġġ għar-rewwixta")</f>
        <v>appoġġ għar-rewwixta</v>
      </c>
    </row>
    <row r="17854" ht="15.75" customHeight="1">
      <c r="A17854" s="2" t="s">
        <v>17854</v>
      </c>
      <c r="B17854" s="2" t="str">
        <f>IFERROR(__xludf.DUMMYFUNCTION("GOOGLETRANSLATE(A17854, ""en"", ""mt"")"),"Il-Parlament Skoċċiż kiber")</f>
        <v>Il-Parlament Skoċċiż kiber</v>
      </c>
    </row>
    <row r="17855" ht="15.75" customHeight="1">
      <c r="A17855" s="2" t="s">
        <v>17855</v>
      </c>
      <c r="B17855" s="2" t="str">
        <f>IFERROR(__xludf.DUMMYFUNCTION("GOOGLETRANSLATE(A17855, ""en"", ""mt"")"),"Xi tagħmel ħsara lill-inugwaljanza dejjem tiżdied?")</f>
        <v>Xi tagħmel ħsara lill-inugwaljanza dejjem tiżdied?</v>
      </c>
    </row>
    <row r="17856" ht="15.75" customHeight="1">
      <c r="A17856" s="2" t="s">
        <v>17856</v>
      </c>
      <c r="B17856" s="2" t="str">
        <f>IFERROR(__xludf.DUMMYFUNCTION("GOOGLETRANSLATE(A17856, ""en"", ""mt"")"),"ċirku r")</f>
        <v>ċirku r</v>
      </c>
    </row>
    <row r="17857" ht="15.75" customHeight="1">
      <c r="A17857" s="2" t="s">
        <v>17857</v>
      </c>
      <c r="B17857" s="2" t="str">
        <f>IFERROR(__xludf.DUMMYFUNCTION("GOOGLETRANSLATE(A17857, ""en"", ""mt"")"),"ħafna ogħla")</f>
        <v>ħafna ogħla</v>
      </c>
    </row>
    <row r="17858" ht="15.75" customHeight="1">
      <c r="A17858" s="2" t="s">
        <v>17858</v>
      </c>
      <c r="B17858" s="2" t="str">
        <f>IFERROR(__xludf.DUMMYFUNCTION("GOOGLETRANSLATE(A17858, ""en"", ""mt"")"),"Ma 'liema velenu tal-annimal Pierre-Louis Moreau de Maupertuis jaħdem?")</f>
        <v>Ma 'liema velenu tal-annimal Pierre-Louis Moreau de Maupertuis jaħdem?</v>
      </c>
    </row>
    <row r="17859" ht="15.75" customHeight="1">
      <c r="A17859" s="2" t="s">
        <v>17859</v>
      </c>
      <c r="B17859" s="2" t="str">
        <f>IFERROR(__xludf.DUMMYFUNCTION("GOOGLETRANSLATE(A17859, ""en"", ""mt"")"),"X'kien ir-riżultat li tgħix fis-siġra tal-injam aħmar ta 'Kalifornja?")</f>
        <v>X'kien ir-riżultat li tgħix fis-siġra tal-injam aħmar ta 'Kalifornja?</v>
      </c>
    </row>
    <row r="17860" ht="15.75" customHeight="1">
      <c r="A17860" s="2" t="s">
        <v>17860</v>
      </c>
      <c r="B17860" s="2" t="str">
        <f>IFERROR(__xludf.DUMMYFUNCTION("GOOGLETRANSLATE(A17860, ""en"", ""mt"")"),"7000 sena")</f>
        <v>7000 sena</v>
      </c>
    </row>
    <row r="17861" ht="15.75" customHeight="1">
      <c r="A17861" s="2" t="s">
        <v>17861</v>
      </c>
      <c r="B17861" s="2" t="str">
        <f>IFERROR(__xludf.DUMMYFUNCTION("GOOGLETRANSLATE(A17861, ""en"", ""mt"")"),"John u Charles Wesley fl-Ingilterra")</f>
        <v>John u Charles Wesley fl-Ingilterra</v>
      </c>
    </row>
    <row r="17862" ht="15.75" customHeight="1">
      <c r="A17862" s="2" t="s">
        <v>17862</v>
      </c>
      <c r="B17862" s="2" t="str">
        <f>IFERROR(__xludf.DUMMYFUNCTION("GOOGLETRANSLATE(A17862, ""en"", ""mt"")"),"Il-kolonjaliżmu spiss ifisser pajjiż li jagħmel?")</f>
        <v>Il-kolonjaliżmu spiss ifisser pajjiż li jagħmel?</v>
      </c>
    </row>
    <row r="17863" ht="15.75" customHeight="1">
      <c r="A17863" s="2" t="s">
        <v>17863</v>
      </c>
      <c r="B17863" s="2" t="str">
        <f>IFERROR(__xludf.DUMMYFUNCTION("GOOGLETRANSLATE(A17863, ""en"", ""mt"")"),"F’Awwissu 1227, matul il-waqgħa ta ’Yinchuan, il-kapitali tal-Punent Xia, Genghis Khan miet. Il-kawża eżatta tal-mewt tiegħu tibqa 'misteru, u hija attribwita b'mod varju biex tinqatel f'azzjoni kontra l-Western Xia, mard, li taqa' miż-żiemel tiegħu, jew "&amp;"feriti sostnuti fil-kaċċa jew fil-battalja. Skond l-istorja sigrieta tal-Mongoli Genghis Khan waqa 'miż-żiemel tiegħu waqt il-kaċċa u miet minħabba l-ħsara. Huwa kien diġà qadim u għajjien mill-vjaġġi tiegħu. Il-Kronika Galizjana - Volhynian tallega li nq"&amp;"atel mill-Western Xia fil-battalja, filwaqt li Marco Polo kiteb li miet wara l-infezzjoni ta 'ferita ta' vleġġa li rċieva matul il-kampanja finali tiegħu. Aktar tard il-kroniki tal-Mongolja jgħaqqdu l-mewt ta 'Genghis ma' Prinċipessa XIA tal-Punent meħuda"&amp;" bħala booty tal-gwerra. Kronika waħda mill-bidu tas-seklu 17 saħansitra tirrelata l-leġġenda li l-Prinċipessa ħeba sejf żgħir u stabbed lilu, għalkemm xi awturi Mongoljani ddubitaw din il-verżjoni u suspettati li kienet invenzjoni mir-rivali Oirads.")</f>
        <v>F’Awwissu 1227, matul il-waqgħa ta ’Yinchuan, il-kapitali tal-Punent Xia, Genghis Khan miet. Il-kawża eżatta tal-mewt tiegħu tibqa 'misteru, u hija attribwita b'mod varju biex tinqatel f'azzjoni kontra l-Western Xia, mard, li taqa' miż-żiemel tiegħu, jew feriti sostnuti fil-kaċċa jew fil-battalja. Skond l-istorja sigrieta tal-Mongoli Genghis Khan waqa 'miż-żiemel tiegħu waqt il-kaċċa u miet minħabba l-ħsara. Huwa kien diġà qadim u għajjien mill-vjaġġi tiegħu. Il-Kronika Galizjana - Volhynian tallega li nqatel mill-Western Xia fil-battalja, filwaqt li Marco Polo kiteb li miet wara l-infezzjoni ta 'ferita ta' vleġġa li rċieva matul il-kampanja finali tiegħu. Aktar tard il-kroniki tal-Mongolja jgħaqqdu l-mewt ta 'Genghis ma' Prinċipessa XIA tal-Punent meħuda bħala booty tal-gwerra. Kronika waħda mill-bidu tas-seklu 17 saħansitra tirrelata l-leġġenda li l-Prinċipessa ħeba sejf żgħir u stabbed lilu, għalkemm xi awturi Mongoljani ddubitaw din il-verżjoni u suspettati li kienet invenzjoni mir-rivali Oirads.</v>
      </c>
    </row>
    <row r="17864" ht="15.75" customHeight="1">
      <c r="A17864" s="2" t="s">
        <v>17864</v>
      </c>
      <c r="B17864" s="2" t="str">
        <f>IFERROR(__xludf.DUMMYFUNCTION("GOOGLETRANSLATE(A17864, ""en"", ""mt"")"),"Il-Programm tal-Arti ta ’Uchicago jingħaqad ma’ dipartimenti akkademiċi u programmi fid-Diviżjoni tal-Umanistika u l-Kulleġġ, kif ukoll organizzazzjonijiet professjonali inkluż it-Teatru tal-Qorti, l-Istitut Orjentali, il-Mużew Intelliġenti tal-Art, is-So"&amp;"ċjetà tar-Rinaxximent, l-Università ta ’Chicago Presents, u student Organizzazzjonijiet tal-Arti. L-università għandha programm ta 'artist fir-residenza u studjużi fi studji ta' prestazzjoni, kritika tal-arti kontemporanja, u storja tal-films. Huwa offra "&amp;"dottorat fil-kompożizzjoni tal-mużika mill-1933 u fl-Istudji taċ-Ċinema u l-Midja mill-2000, Master of Fine Arts in Visual Arts (kmieni fis-snin sebgħin), u Master of Arts fl-Umanistika bi track tal-kitba kreattiva (2000). Għandu programmi ta 'grad ta' ba"&amp;"ċellerat fl-arti viżwali, mużika, u storja tal-arti, u, aktar reċentement, Cinema &amp; Media Studies (1996) u Studji tat-Teatru u tal-Prestazzjoni (2002). Il-qalba tal-edukazzjoni ġenerali tal-kulleġġ tinkludi ħtieġa ta '""drammatika, mużika u arti viżwali"""&amp;", li teħtieġ li l-istudenti jistudjaw l-istorja tal-arti, ix-xewqa tal-palk, jew jibdew jaħdmu bl-iskultura. Bosta eluf ta 'studenti ewlenin u mhux kbar jirreġistraw kull sena fi klassijiet ta' arti kreattivi u spettakli. Uchicago ħafna drabi huwa meqjus "&amp;"bħala l-post fejn twieled il-kummiedja improvisazzjonali hekk kif il-kummiedja tal-kummiedja tal-plejers tal-kumpass evolviet fit-Tieni City Improv Theatre Troupe fl-1959. Iċ-Ċentru Reva u David Logan għall-Arti nfetħu f'Ottubru 2012, ħames snin wara riga"&amp;"l ta '$ 35 miljun mill-istudenti David Logan u martu Reva. Iċ-ċentru jinkludi spazji għal esibizzjonijiet, wirjiet, klassijiet, u produzzjoni tal-midja. Iċ-Ċentru Logan kien iddisinjat minn Tod Williams u Billie Tsien. Dan il-bini huwa attwalment kompleta"&amp;"ment ħġieġ. Il-briks huwa faċċata ddisinjata biex iżżomm il-ħġieġ sikur mir-riħ. Il-periti aktar tard neħħew sezzjonijiet tal-briks meta nibtet pressjoni fil-forma ta 'lmenti li l-veduti tal-belt ġew imblukkati.")</f>
        <v>Il-Programm tal-Arti ta ’Uchicago jingħaqad ma’ dipartimenti akkademiċi u programmi fid-Diviżjoni tal-Umanistika u l-Kulleġġ, kif ukoll organizzazzjonijiet professjonali inkluż it-Teatru tal-Qorti, l-Istitut Orjentali, il-Mużew Intelliġenti tal-Art, is-Soċjetà tar-Rinaxximent, l-Università ta ’Chicago Presents, u student Organizzazzjonijiet tal-Arti. L-università għandha programm ta 'artist fir-residenza u studjużi fi studji ta' prestazzjoni, kritika tal-arti kontemporanja, u storja tal-films. Huwa offra dottorat fil-kompożizzjoni tal-mużika mill-1933 u fl-Istudji taċ-Ċinema u l-Midja mill-2000, Master of Fine Arts in Visual Arts (kmieni fis-snin sebgħin), u Master of Arts fl-Umanistika bi track tal-kitba kreattiva (2000). Għandu programmi ta 'grad ta' baċellerat fl-arti viżwali, mużika, u storja tal-arti, u, aktar reċentement, Cinema &amp; Media Studies (1996) u Studji tat-Teatru u tal-Prestazzjoni (2002). Il-qalba tal-edukazzjoni ġenerali tal-kulleġġ tinkludi ħtieġa ta '"drammatika, mużika u arti viżwali", li teħtieġ li l-istudenti jistudjaw l-istorja tal-arti, ix-xewqa tal-palk, jew jibdew jaħdmu bl-iskultura. Bosta eluf ta 'studenti ewlenin u mhux kbar jirreġistraw kull sena fi klassijiet ta' arti kreattivi u spettakli. Uchicago ħafna drabi huwa meqjus bħala l-post fejn twieled il-kummiedja improvisazzjonali hekk kif il-kummiedja tal-kummiedja tal-plejers tal-kumpass evolviet fit-Tieni City Improv Theatre Troupe fl-1959. Iċ-Ċentru Reva u David Logan għall-Arti nfetħu f'Ottubru 2012, ħames snin wara rigal ta '$ 35 miljun mill-istudenti David Logan u martu Reva. Iċ-ċentru jinkludi spazji għal esibizzjonijiet, wirjiet, klassijiet, u produzzjoni tal-midja. Iċ-Ċentru Logan kien iddisinjat minn Tod Williams u Billie Tsien. Dan il-bini huwa attwalment kompletament ħġieġ. Il-briks huwa faċċata ddisinjata biex iżżomm il-ħġieġ sikur mir-riħ. Il-periti aktar tard neħħew sezzjonijiet tal-briks meta nibtet pressjoni fil-forma ta 'lmenti li l-veduti tal-belt ġew imblukkati.</v>
      </c>
    </row>
    <row r="17865" ht="15.75" customHeight="1">
      <c r="A17865" s="2" t="s">
        <v>17865</v>
      </c>
      <c r="B17865" s="2" t="str">
        <f>IFERROR(__xludf.DUMMYFUNCTION("GOOGLETRANSLATE(A17865, ""en"", ""mt"")"),"Liema pajjiż iffaċċja embargo komplet fil-KEE?")</f>
        <v>Liema pajjiż iffaċċja embargo komplet fil-KEE?</v>
      </c>
    </row>
    <row r="17866" ht="15.75" customHeight="1">
      <c r="A17866" s="2" t="s">
        <v>17866</v>
      </c>
      <c r="B17866" s="2" t="str">
        <f>IFERROR(__xludf.DUMMYFUNCTION("GOOGLETRANSLATE(A17866, ""en"", ""mt"")"),"Fl-2000, ABC nediet kampanja promozzjonali bbażata fuq il-web iffokata madwar il-logo taċ-ċirku tagħha, imsejħa wkoll ""The Dot"", li fiha l-karattru tal-komiks Little Dot wassal lill-viżitaturi biex ""jniżżlu d-dot"", programm li jikkawża li l-logo ABC i"&amp;"tir Madwar l-iskrin u joqgħod fil-kantuniera tal-qiegħ tal-lemin. In-netwerk ingaġġa l-grupp tad-disinn Troika biex jiddisinja u jipproduċi l-identità 2001–02 tiegħu, li kompla juża l-kulur iswed u isfar tal-logo u deher tikek u strixxi f'diversi postijie"&amp;"t promozzjonali u ta 'identifikazzjoni.")</f>
        <v>Fl-2000, ABC nediet kampanja promozzjonali bbażata fuq il-web iffokata madwar il-logo taċ-ċirku tagħha, imsejħa wkoll "The Dot", li fiha l-karattru tal-komiks Little Dot wassal lill-viżitaturi biex "jniżżlu d-dot", programm li jikkawża li l-logo ABC itir Madwar l-iskrin u joqgħod fil-kantuniera tal-qiegħ tal-lemin. In-netwerk ingaġġa l-grupp tad-disinn Troika biex jiddisinja u jipproduċi l-identità 2001–02 tiegħu, li kompla juża l-kulur iswed u isfar tal-logo u deher tikek u strixxi f'diversi postijiet promozzjonali u ta 'identifikazzjoni.</v>
      </c>
    </row>
    <row r="17867" ht="15.75" customHeight="1">
      <c r="A17867" s="2" t="s">
        <v>17867</v>
      </c>
      <c r="B17867" s="2" t="str">
        <f>IFERROR(__xludf.DUMMYFUNCTION("GOOGLETRANSLATE(A17867, ""en"", ""mt"")"),"awtorizzata taxxa fuq il-bejgħ ta 'nofs penny")</f>
        <v>awtorizzata taxxa fuq il-bejgħ ta 'nofs penny</v>
      </c>
    </row>
    <row r="17868" ht="15.75" customHeight="1">
      <c r="A17868" s="2" t="s">
        <v>17868</v>
      </c>
      <c r="B17868" s="2" t="str">
        <f>IFERROR(__xludf.DUMMYFUNCTION("GOOGLETRANSLATE(A17868, ""en"", ""mt"")"),"Annimali u bnedmin differenti jwettqu diversi azzjonijiet")</f>
        <v>Annimali u bnedmin differenti jwettqu diversi azzjonijiet</v>
      </c>
    </row>
    <row r="17869" ht="15.75" customHeight="1">
      <c r="A17869" s="2" t="s">
        <v>17869</v>
      </c>
      <c r="B17869" s="2" t="str">
        <f>IFERROR(__xludf.DUMMYFUNCTION("GOOGLETRANSLATE(A17869, ""en"", ""mt"")"),"Loudoun, amministratur kapaċi iżda kmandant kawt tal-qasam, ippjana operazzjoni waħda kbira għall-1757: attakk fuq il-kapital ġdid ta 'Franza, Quebec. Meta ħalla forza mdaqqsa fil-Fort William Henry biex jaljena lil Montcalm, huwa beda jorganizza għall-is"&amp;"pedizzjoni lejn il-Quebec. Imbagħad ġie ordnat minn William Pitt, is-Segretarju tal-Istat responsabbli għall-Kolonji, biex jattakka l-ewwel Louisbourg. Beset minn dewmien ta 'kull tip, l-ispedizzjoni kienet finalment lesta biex tbaħħar minn Halifax, in-No"&amp;"va Scotia fil-bidu ta' Awwissu. Sadanittant il-vapuri Franċiżi ħarbu mill-imblokk Ingliż tal-kosta Franċiża, u flotta li qabżet lill-Brittaniku wieħed jistenna l-loudoun fi Louisbourg. Quddiem din is-saħħa, Loudoun irritorna fi New York fost aħbarijiet li"&amp;" seħħ massakru fil-Fort William Henry.")</f>
        <v>Loudoun, amministratur kapaċi iżda kmandant kawt tal-qasam, ippjana operazzjoni waħda kbira għall-1757: attakk fuq il-kapital ġdid ta 'Franza, Quebec. Meta ħalla forza mdaqqsa fil-Fort William Henry biex jaljena lil Montcalm, huwa beda jorganizza għall-ispedizzjoni lejn il-Quebec. Imbagħad ġie ordnat minn William Pitt, is-Segretarju tal-Istat responsabbli għall-Kolonji, biex jattakka l-ewwel Louisbourg. Beset minn dewmien ta 'kull tip, l-ispedizzjoni kienet finalment lesta biex tbaħħar minn Halifax, in-Nova Scotia fil-bidu ta' Awwissu. Sadanittant il-vapuri Franċiżi ħarbu mill-imblokk Ingliż tal-kosta Franċiża, u flotta li qabżet lill-Brittaniku wieħed jistenna l-loudoun fi Louisbourg. Quddiem din is-saħħa, Loudoun irritorna fi New York fost aħbarijiet li seħħ massakru fil-Fort William Henry.</v>
      </c>
    </row>
    <row r="17870" ht="15.75" customHeight="1">
      <c r="A17870" s="2" t="s">
        <v>17870</v>
      </c>
      <c r="B17870" s="2" t="str">
        <f>IFERROR(__xludf.DUMMYFUNCTION("GOOGLETRANSLATE(A17870, ""en"", ""mt"")"),"Liema pajjiż kien inkwetat li l-Istati Uniti se jinvadu l-Lvant Nofsani?")</f>
        <v>Liema pajjiż kien inkwetat li l-Istati Uniti se jinvadu l-Lvant Nofsani?</v>
      </c>
    </row>
    <row r="17871" ht="15.75" customHeight="1">
      <c r="A17871" s="2" t="s">
        <v>17871</v>
      </c>
      <c r="B17871" s="2" t="str">
        <f>IFERROR(__xludf.DUMMYFUNCTION("GOOGLETRANSLATE(A17871, ""en"", ""mt"")"),"Glacier")</f>
        <v>Glacier</v>
      </c>
    </row>
    <row r="17872" ht="15.75" customHeight="1">
      <c r="A17872" s="2" t="s">
        <v>17872</v>
      </c>
      <c r="B17872" s="2" t="str">
        <f>IFERROR(__xludf.DUMMYFUNCTION("GOOGLETRANSLATE(A17872, ""en"", ""mt"")"),"X'tip ta 'eżerċizzju juri r-riċerka tirċievi spinta fil-prestazzjoni mill-ossiġnu?")</f>
        <v>X'tip ta 'eżerċizzju juri r-riċerka tirċievi spinta fil-prestazzjoni mill-ossiġnu?</v>
      </c>
    </row>
    <row r="17873" ht="15.75" customHeight="1">
      <c r="A17873" s="2" t="s">
        <v>17873</v>
      </c>
      <c r="B17873" s="2" t="str">
        <f>IFERROR(__xludf.DUMMYFUNCTION("GOOGLETRANSLATE(A17873, ""en"", ""mt"")"),"Minħabba li l-ilbies ta 'kuljum minn eras preċedenti ġeneralment ma baqax ħaj")</f>
        <v>Minħabba li l-ilbies ta 'kuljum minn eras preċedenti ġeneralment ma baqax ħaj</v>
      </c>
    </row>
    <row r="17874" ht="15.75" customHeight="1">
      <c r="A17874" s="2" t="s">
        <v>17874</v>
      </c>
      <c r="B17874" s="2" t="str">
        <f>IFERROR(__xludf.DUMMYFUNCTION("GOOGLETRANSLATE(A17874, ""en"", ""mt"")"),"fertilità")</f>
        <v>fertilità</v>
      </c>
    </row>
    <row r="17875" ht="15.75" customHeight="1">
      <c r="A17875" s="2" t="s">
        <v>17875</v>
      </c>
      <c r="B17875" s="2" t="str">
        <f>IFERROR(__xludf.DUMMYFUNCTION("GOOGLETRANSLATE(A17875, ""en"", ""mt"")"),"Lil nies li jagħtu servizzi ""għar-remunerazzjoni""")</f>
        <v>Lil nies li jagħtu servizzi "għar-remunerazzjoni"</v>
      </c>
    </row>
    <row r="17876" ht="15.75" customHeight="1">
      <c r="A17876" s="2" t="s">
        <v>17876</v>
      </c>
      <c r="B17876" s="2" t="str">
        <f>IFERROR(__xludf.DUMMYFUNCTION("GOOGLETRANSLATE(A17876, ""en"", ""mt"")"),"Il-fossili sessili sessili bikri ta 'frond stromatoveris, miċ-Ċina Chengjiang Lagerstätte u datat għal madwar 515 miljun sena ilu, huwa simili ħafna għal vendobionta tal-perjodu preċedenti ta' Ediacaran. De-Gan Shu, Simon Conway Morris et al. misjuba fuq "&amp;"il-fergħat tagħha dak li huma kkunsidraw ringieli ta 'cili, użati għall-għalf tal-filtri. Huma ssuġġerew li Stromatoveris kienet ""zija"" evoluzzjonarja ta 'ctenophores, u li ċ-ctenophores oriġinaw minn annimali sessili li d-dixxendenti tagħhom saru għaww"&amp;"iema u biddlu ċ-ċili minn mekkaniżmu ta' għalf għal sistema ta 'propulsjoni.")</f>
        <v>Il-fossili sessili sessili bikri ta 'frond stromatoveris, miċ-Ċina Chengjiang Lagerstätte u datat għal madwar 515 miljun sena ilu, huwa simili ħafna għal vendobionta tal-perjodu preċedenti ta' Ediacaran. De-Gan Shu, Simon Conway Morris et al. misjuba fuq il-fergħat tagħha dak li huma kkunsidraw ringieli ta 'cili, użati għall-għalf tal-filtri. Huma ssuġġerew li Stromatoveris kienet "zija" evoluzzjonarja ta 'ctenophores, u li ċ-ctenophores oriġinaw minn annimali sessili li d-dixxendenti tagħhom saru għawwiema u biddlu ċ-ċili minn mekkaniżmu ta' għalf għal sistema ta 'propulsjoni.</v>
      </c>
    </row>
    <row r="17877" ht="15.75" customHeight="1">
      <c r="A17877" s="2" t="s">
        <v>17877</v>
      </c>
      <c r="B17877" s="2" t="str">
        <f>IFERROR(__xludf.DUMMYFUNCTION("GOOGLETRANSLATE(A17877, ""en"", ""mt"")"),"Alġebriku")</f>
        <v>Alġebriku</v>
      </c>
    </row>
    <row r="17878" ht="15.75" customHeight="1">
      <c r="A17878" s="2" t="s">
        <v>17878</v>
      </c>
      <c r="B17878" s="2" t="str">
        <f>IFERROR(__xludf.DUMMYFUNCTION("GOOGLETRANSLATE(A17878, ""en"", ""mt"")"),"Sport uffiċjali tal-iskola")</f>
        <v>Sport uffiċjali tal-iskola</v>
      </c>
    </row>
    <row r="17879" ht="15.75" customHeight="1">
      <c r="A17879" s="2" t="s">
        <v>17879</v>
      </c>
      <c r="B17879" s="2" t="str">
        <f>IFERROR(__xludf.DUMMYFUNCTION("GOOGLETRANSLATE(A17879, ""en"", ""mt"")"),"Fejn hu l-iktar li jista 'jgħallem għalliem?")</f>
        <v>Fejn hu l-iktar li jista 'jgħallem għalliem?</v>
      </c>
    </row>
    <row r="17880" ht="15.75" customHeight="1">
      <c r="A17880" s="2" t="s">
        <v>17880</v>
      </c>
      <c r="B17880" s="2" t="str">
        <f>IFERROR(__xludf.DUMMYFUNCTION("GOOGLETRANSLATE(A17880, ""en"", ""mt"")"),"3 ijiem.")</f>
        <v>3 ijiem.</v>
      </c>
    </row>
    <row r="17881" ht="15.75" customHeight="1">
      <c r="A17881" s="2" t="s">
        <v>17881</v>
      </c>
      <c r="B17881" s="2" t="str">
        <f>IFERROR(__xludf.DUMMYFUNCTION("GOOGLETRANSLATE(A17881, ""en"", ""mt"")"),"L-ispiżjara huma dejjem aktar mistennija li jkunu kkumpensati għall-ħiliet tal-kura tal-pazjent tagħhom")</f>
        <v>L-ispiżjara huma dejjem aktar mistennija li jkunu kkumpensati għall-ħiliet tal-kura tal-pazjent tagħhom</v>
      </c>
    </row>
    <row r="17882" ht="15.75" customHeight="1">
      <c r="A17882" s="2" t="s">
        <v>17882</v>
      </c>
      <c r="B17882" s="2" t="str">
        <f>IFERROR(__xludf.DUMMYFUNCTION("GOOGLETRANSLATE(A17882, ""en"", ""mt"")"),"Sar konnessjoni interattiva għall-ospitanti bejn l-IBM Mainframe Computer Systems fl-Università ta 'Michigan f'Ann Arbor u Wayne State")</f>
        <v>Sar konnessjoni interattiva għall-ospitanti bejn l-IBM Mainframe Computer Systems fl-Università ta 'Michigan f'Ann Arbor u Wayne State</v>
      </c>
    </row>
    <row r="17883" ht="15.75" customHeight="1">
      <c r="A17883" s="2" t="s">
        <v>17883</v>
      </c>
      <c r="B17883" s="2" t="str">
        <f>IFERROR(__xludf.DUMMYFUNCTION("GOOGLETRANSLATE(A17883, ""en"", ""mt"")"),"Fil-ħarifa tal-1937, wara nofsillejl lejl wieħed, Tesla ħalliet il-lukanda New Yorker biex tagħmel il-vjaġġ regolari tiegħu lejn il-katidral u l-librerija biex titma 'l-ħamiem. Waqt li qassam triq ftit blokki mil-lukanda, Tesla ma setgħetx tevita taxicab "&amp;"li jiċċaqlaq u ġie mitfugħ ħafna lejn l-art. Id-dahar ta 'Tesla kien imqaxxar ħafna u tlieta mill-kustilji tiegħu ġew miksura fl-inċident (il-firxa sħiħa tal-korrimenti tiegħu qatt ma tkun magħrufa; Tesla rrifjutat li tikkonsulta tabib - drawwa kważi tul "&amp;"il-ħajja). Tesla ma qajmet l-ebda mistoqsija dwar min kellu t-tort u rrifjuta l-għajnuna medika, u talab biss biex jittieħed fil-lukanda tiegħu permezz tal-kabina. Tesla kienet imqiegħda fis-sodda għal xi xhur u ma setgħetx tkompli titma 'ħamiem mit-tieqa"&amp;" tiegħu; Dalwaqt, huma ma rnexxielhomx jiġu. Fil-bidu tal-1938, Tesla kienet kapaċi tqum. Huwa mill-ewwel reġa 'beda l-mixjiet tal-ħamiem fuq skala ferm aktar limitata, imma ta' spiss kellu att ta 'messaġġier għalih.")</f>
        <v>Fil-ħarifa tal-1937, wara nofsillejl lejl wieħed, Tesla ħalliet il-lukanda New Yorker biex tagħmel il-vjaġġ regolari tiegħu lejn il-katidral u l-librerija biex titma 'l-ħamiem. Waqt li qassam triq ftit blokki mil-lukanda, Tesla ma setgħetx tevita taxicab li jiċċaqlaq u ġie mitfugħ ħafna lejn l-art. Id-dahar ta 'Tesla kien imqaxxar ħafna u tlieta mill-kustilji tiegħu ġew miksura fl-inċident (il-firxa sħiħa tal-korrimenti tiegħu qatt ma tkun magħrufa; Tesla rrifjutat li tikkonsulta tabib - drawwa kważi tul il-ħajja). Tesla ma qajmet l-ebda mistoqsija dwar min kellu t-tort u rrifjuta l-għajnuna medika, u talab biss biex jittieħed fil-lukanda tiegħu permezz tal-kabina. Tesla kienet imqiegħda fis-sodda għal xi xhur u ma setgħetx tkompli titma 'ħamiem mit-tieqa tiegħu; Dalwaqt, huma ma rnexxielhomx jiġu. Fil-bidu tal-1938, Tesla kienet kapaċi tqum. Huwa mill-ewwel reġa 'beda l-mixjiet tal-ħamiem fuq skala ferm aktar limitata, imma ta' spiss kellu att ta 'messaġġier għalih.</v>
      </c>
    </row>
    <row r="17884" ht="15.75" customHeight="1">
      <c r="A17884" s="2" t="s">
        <v>17884</v>
      </c>
      <c r="B17884" s="2" t="str">
        <f>IFERROR(__xludf.DUMMYFUNCTION("GOOGLETRANSLATE(A17884, ""en"", ""mt"")"),"X'kienu ntużaw il-magni tal-fwar bħala sors ta '?")</f>
        <v>X'kienu ntużaw il-magni tal-fwar bħala sors ta '?</v>
      </c>
    </row>
    <row r="17885" ht="15.75" customHeight="1">
      <c r="A17885" s="2" t="s">
        <v>17885</v>
      </c>
      <c r="B17885" s="2" t="str">
        <f>IFERROR(__xludf.DUMMYFUNCTION("GOOGLETRANSLATE(A17885, ""en"", ""mt"")"),"Il-kloroplasti kif iqanqlu s-sistema immuni tal-impjant?")</f>
        <v>Il-kloroplasti kif iqanqlu s-sistema immuni tal-impjant?</v>
      </c>
    </row>
    <row r="17886" ht="15.75" customHeight="1">
      <c r="A17886" s="2" t="s">
        <v>17886</v>
      </c>
      <c r="B17886" s="2" t="str">
        <f>IFERROR(__xludf.DUMMYFUNCTION("GOOGLETRANSLATE(A17886, ""en"", ""mt"")"),"Lejl ta 'nofs is-sajf")</f>
        <v>Lejl ta 'nofs is-sajf</v>
      </c>
    </row>
    <row r="17887" ht="15.75" customHeight="1">
      <c r="A17887" s="2" t="s">
        <v>17887</v>
      </c>
      <c r="B17887" s="2" t="str">
        <f>IFERROR(__xludf.DUMMYFUNCTION("GOOGLETRANSLATE(A17887, ""en"", ""mt"")"),"Liema reliġjonijiet Protestanti għamlu l-kontej tal-Ewropa tat-Tramuntana siguri għall-immigrazzjoni Huguenot?")</f>
        <v>Liema reliġjonijiet Protestanti għamlu l-kontej tal-Ewropa tat-Tramuntana siguri għall-immigrazzjoni Huguenot?</v>
      </c>
    </row>
    <row r="17888" ht="15.75" customHeight="1">
      <c r="A17888" s="2" t="s">
        <v>17888</v>
      </c>
      <c r="B17888" s="2" t="str">
        <f>IFERROR(__xludf.DUMMYFUNCTION("GOOGLETRANSLATE(A17888, ""en"", ""mt"")"),"Artikoli 1 sa 7")</f>
        <v>Artikoli 1 sa 7</v>
      </c>
    </row>
    <row r="17889" ht="15.75" customHeight="1">
      <c r="A17889" s="2" t="s">
        <v>17889</v>
      </c>
      <c r="B17889" s="2" t="str">
        <f>IFERROR(__xludf.DUMMYFUNCTION("GOOGLETRANSLATE(A17889, ""en"", ""mt"")"),"X'inhu l-għan ta 'diżubbidjenza ċivili individwali?")</f>
        <v>X'inhu l-għan ta 'diżubbidjenza ċivili individwali?</v>
      </c>
    </row>
    <row r="17890" ht="15.75" customHeight="1">
      <c r="A17890" s="2" t="s">
        <v>17890</v>
      </c>
      <c r="B17890" s="2" t="str">
        <f>IFERROR(__xludf.DUMMYFUNCTION("GOOGLETRANSLATE(A17890, ""en"", ""mt"")"),"Alberta u l-Kolumbja Brittanika")</f>
        <v>Alberta u l-Kolumbja Brittanika</v>
      </c>
    </row>
    <row r="17891" ht="15.75" customHeight="1">
      <c r="A17891" s="2" t="s">
        <v>17891</v>
      </c>
      <c r="B17891" s="2" t="str">
        <f>IFERROR(__xludf.DUMMYFUNCTION("GOOGLETRANSLATE(A17891, ""en"", ""mt"")"),"Kemm interċezzjonijiet kellhom Manning fl-aħħar tal-logħba?")</f>
        <v>Kemm interċezzjonijiet kellhom Manning fl-aħħar tal-logħba?</v>
      </c>
    </row>
    <row r="17892" ht="15.75" customHeight="1">
      <c r="A17892" s="2" t="s">
        <v>17892</v>
      </c>
      <c r="B17892" s="2" t="str">
        <f>IFERROR(__xludf.DUMMYFUNCTION("GOOGLETRANSLATE(A17892, ""en"", ""mt"")"),"Żied sostanzjalment il-prezz mitlub")</f>
        <v>Żied sostanzjalment il-prezz mitlub</v>
      </c>
    </row>
    <row r="17893" ht="15.75" customHeight="1">
      <c r="A17893" s="2" t="s">
        <v>17893</v>
      </c>
      <c r="B17893" s="2" t="str">
        <f>IFERROR(__xludf.DUMMYFUNCTION("GOOGLETRANSLATE(A17893, ""en"", ""mt"")"),"1550 sa 1900")</f>
        <v>1550 sa 1900</v>
      </c>
    </row>
    <row r="17894" ht="15.75" customHeight="1">
      <c r="A17894" s="2" t="s">
        <v>17894</v>
      </c>
      <c r="B17894" s="2" t="str">
        <f>IFERROR(__xludf.DUMMYFUNCTION("GOOGLETRANSLATE(A17894, ""en"", ""mt"")"),"X’għamel is-Shah meta ffaċċjat bit-telfa mill-forzi ta ’Genghis Khan?")</f>
        <v>X’għamel is-Shah meta ffaċċjat bit-telfa mill-forzi ta ’Genghis Khan?</v>
      </c>
    </row>
    <row r="17895" ht="15.75" customHeight="1">
      <c r="A17895" s="2" t="s">
        <v>17895</v>
      </c>
      <c r="B17895" s="2" t="str">
        <f>IFERROR(__xludf.DUMMYFUNCTION("GOOGLETRANSLATE(A17895, ""en"", ""mt"")"),"Ir-reġimi kif jiġġieldu kontra l-imperjalizmu kulturali?")</f>
        <v>Ir-reġimi kif jiġġieldu kontra l-imperjalizmu kulturali?</v>
      </c>
    </row>
    <row r="17896" ht="15.75" customHeight="1">
      <c r="A17896" s="2" t="s">
        <v>17896</v>
      </c>
      <c r="B17896" s="2" t="str">
        <f>IFERROR(__xludf.DUMMYFUNCTION("GOOGLETRANSLATE(A17896, ""en"", ""mt"")"),"X'tip ta 'mudell tal-fiżika Einstein naqas milli jagħmel?")</f>
        <v>X'tip ta 'mudell tal-fiżika Einstein naqas milli jagħmel?</v>
      </c>
    </row>
    <row r="17897" ht="15.75" customHeight="1">
      <c r="A17897" s="2" t="s">
        <v>17897</v>
      </c>
      <c r="B17897" s="2" t="str">
        <f>IFERROR(__xludf.DUMMYFUNCTION("GOOGLETRANSLATE(A17897, ""en"", ""mt"")"),"Maududi kien jemmen li l-Iżlam kellu bżonn dak li jkun stabbilit?")</f>
        <v>Maududi kien jemmen li l-Iżlam kellu bżonn dak li jkun stabbilit?</v>
      </c>
    </row>
    <row r="17898" ht="15.75" customHeight="1">
      <c r="A17898" s="2" t="s">
        <v>17898</v>
      </c>
      <c r="B17898" s="2" t="str">
        <f>IFERROR(__xludf.DUMMYFUNCTION("GOOGLETRANSLATE(A17898, ""en"", ""mt"")"),"Fejn is-soltu jitwettaq il-kastig korporali f'dawn il-jiem?")</f>
        <v>Fejn is-soltu jitwettaq il-kastig korporali f'dawn il-jiem?</v>
      </c>
    </row>
    <row r="17899" ht="15.75" customHeight="1">
      <c r="A17899" s="2" t="s">
        <v>17899</v>
      </c>
      <c r="B17899" s="2" t="str">
        <f>IFERROR(__xludf.DUMMYFUNCTION("GOOGLETRANSLATE(A17899, ""en"", ""mt"")"),"Meta l-imperjalizmu jolqot in-normi soċjali ta 'stat, kif jissejjaħ?")</f>
        <v>Meta l-imperjalizmu jolqot in-normi soċjali ta 'stat, kif jissejjaħ?</v>
      </c>
    </row>
    <row r="17900" ht="15.75" customHeight="1">
      <c r="A17900" s="2" t="s">
        <v>17900</v>
      </c>
      <c r="B17900" s="2" t="str">
        <f>IFERROR(__xludf.DUMMYFUNCTION("GOOGLETRANSLATE(A17900, ""en"", ""mt"")"),"Donald Davies")</f>
        <v>Donald Davies</v>
      </c>
    </row>
    <row r="17901" ht="15.75" customHeight="1">
      <c r="A17901" s="2" t="s">
        <v>17901</v>
      </c>
      <c r="B17901" s="2" t="str">
        <f>IFERROR(__xludf.DUMMYFUNCTION("GOOGLETRANSLATE(A17901, ""en"", ""mt"")"),"X'inhi kundizzjoni waħda li element P ta 'R għandu jissodisfa sabiex ikun ikkunsidrat bħala element ewlieni?")</f>
        <v>X'inhi kundizzjoni waħda li element P ta 'R għandu jissodisfa sabiex ikun ikkunsidrat bħala element ewlieni?</v>
      </c>
    </row>
    <row r="17902" ht="15.75" customHeight="1">
      <c r="A17902" s="2" t="s">
        <v>17902</v>
      </c>
      <c r="B17902" s="2" t="str">
        <f>IFERROR(__xludf.DUMMYFUNCTION("GOOGLETRANSLATE(A17902, ""en"", ""mt"")"),"Fis-6 ta ’Novembru 1915, rapport tal-aġenzija tal-aħbarijiet ta’ Reuters minn Londra kellu l-Premju Nobel fil-Fiżika tal-1915 mogħti lil Thomas Edison u Nikola Tesla; Madankollu, fil-15 ta 'Novembru, storja ta' Reuters minn Stokkolma ddikjarat il-premju l"&amp;"i kienet qed tingħata lil Sir William Henry Bragg u William Lawrence Bragg ""għas-servizzi tagħhom fl-analiżi tal-istruttura tal-kristall permezz ta 'raġġi X."": 245 kien hemm Xnigħat mhux sostanzjati fil-ħin li Tesla u / jew Edison kienu rrifjutaw il-pre"&amp;"mju. ; riċevitur jista 'jirrifjuta biss Premju Nobel wara li jkun ħabbar rebbieħ.:245")</f>
        <v>Fis-6 ta ’Novembru 1915, rapport tal-aġenzija tal-aħbarijiet ta’ Reuters minn Londra kellu l-Premju Nobel fil-Fiżika tal-1915 mogħti lil Thomas Edison u Nikola Tesla; Madankollu, fil-15 ta 'Novembru, storja ta' Reuters minn Stokkolma ddikjarat il-premju li kienet qed tingħata lil Sir William Henry Bragg u William Lawrence Bragg "għas-servizzi tagħhom fl-analiżi tal-istruttura tal-kristall permezz ta 'raġġi X.": 245 kien hemm Xnigħat mhux sostanzjati fil-ħin li Tesla u / jew Edison kienu rrifjutaw il-premju. ; riċevitur jista 'jirrifjuta biss Premju Nobel wara li jkun ħabbar rebbieħ.:245</v>
      </c>
    </row>
    <row r="17903" ht="15.75" customHeight="1">
      <c r="A17903" s="2" t="s">
        <v>17903</v>
      </c>
      <c r="B17903" s="2" t="str">
        <f>IFERROR(__xludf.DUMMYFUNCTION("GOOGLETRANSLATE(A17903, ""en"", ""mt"")"),"Stat tal-Mongolja Kbira")</f>
        <v>Stat tal-Mongolja Kbira</v>
      </c>
    </row>
    <row r="17904" ht="15.75" customHeight="1">
      <c r="A17904" s="2" t="s">
        <v>17904</v>
      </c>
      <c r="B17904" s="2" t="str">
        <f>IFERROR(__xludf.DUMMYFUNCTION("GOOGLETRANSLATE(A17904, ""en"", ""mt"")"),"In-netwerk tat-televiżjoni għandu tmien proprjetà u mħaddma u aktar minn 232 stazzjon televiżiv affiljat madwar l-Istati Uniti u t-territorji tiegħu. Il-biċċa l-kbira tal-Kanadiżi għandhom aċċess għal mill-inqas affiljat ABC ibbażat fuq l-Istati Uniti, je"&amp;"w fuq l-arja (f'żoni li jinsabu fil-viċin tal-fruntiera tal-Istati Uniti) jew permezz ta 'kejbil, satellita jew fornitur IPTV, għalkemm ħafna mill-programmi ABC huma soġġetti għal regolamenti simultanji ta 'sostituzzjoni imposti mill-Kummissjoni Kanadiża "&amp;"tar-Radju-Televiżjoni u t-Telekomunikazzjoni li tippermetti lill-fornituri tat-televiżjoni jħallsu biex jissostitwixxu sinjal ta' stazzjon Amerikan bl-għalf ta 'xandar Kanadiż biex jipproteġi d-drittijiet ta' programmazzjoni domestika u d-dħul tar-reklama"&amp;"r. ABC News jipprovdi aħbarijiet u karatteristiċi ta 'kontenut għal stazzjonijiet tar-radju magħżula proprjetà ta' Citadel Broadcasting, li xtraw il-Proprjetajiet tar-Radju ABC fl-2007.")</f>
        <v>In-netwerk tat-televiżjoni għandu tmien proprjetà u mħaddma u aktar minn 232 stazzjon televiżiv affiljat madwar l-Istati Uniti u t-territorji tiegħu. Il-biċċa l-kbira tal-Kanadiżi għandhom aċċess għal mill-inqas affiljat ABC ibbażat fuq l-Istati Uniti, jew fuq l-arja (f'żoni li jinsabu fil-viċin tal-fruntiera tal-Istati Uniti) jew permezz ta 'kejbil, satellita jew fornitur IPTV, għalkemm ħafna mill-programmi ABC huma soġġetti għal regolamenti simultanji ta 'sostituzzjoni imposti mill-Kummissjoni Kanadiża tar-Radju-Televiżjoni u t-Telekomunikazzjoni li tippermetti lill-fornituri tat-televiżjoni jħallsu biex jissostitwixxu sinjal ta' stazzjon Amerikan bl-għalf ta 'xandar Kanadiż biex jipproteġi d-drittijiet ta' programmazzjoni domestika u d-dħul tar-reklamar. ABC News jipprovdi aħbarijiet u karatteristiċi ta 'kontenut għal stazzjonijiet tar-radju magħżula proprjetà ta' Citadel Broadcasting, li xtraw il-Proprjetajiet tar-Radju ABC fl-2007.</v>
      </c>
    </row>
    <row r="17905" ht="15.75" customHeight="1">
      <c r="A17905" s="2" t="s">
        <v>17905</v>
      </c>
      <c r="B17905" s="2" t="str">
        <f>IFERROR(__xludf.DUMMYFUNCTION("GOOGLETRANSLATE(A17905, ""en"", ""mt"")"),"Bliet li jankraw ir-reġjuni huma spiss il-hub għal x'tip ta 'attività?")</f>
        <v>Bliet li jankraw ir-reġjuni huma spiss il-hub għal x'tip ta 'attività?</v>
      </c>
    </row>
    <row r="17906" ht="15.75" customHeight="1">
      <c r="A17906" s="2" t="s">
        <v>17906</v>
      </c>
      <c r="B17906" s="2" t="str">
        <f>IFERROR(__xludf.DUMMYFUNCTION("GOOGLETRANSLATE(A17906, ""en"", ""mt"")"),"aktar b'saħħtu fil-parlament Skoċċiż milli f'sistemi parlamentari oħra")</f>
        <v>aktar b'saħħtu fil-parlament Skoċċiż milli f'sistemi parlamentari oħra</v>
      </c>
    </row>
    <row r="17907" ht="15.75" customHeight="1">
      <c r="A17907" s="2" t="s">
        <v>17907</v>
      </c>
      <c r="B17907" s="2" t="str">
        <f>IFERROR(__xludf.DUMMYFUNCTION("GOOGLETRANSLATE(A17907, ""en"", ""mt"")"),"plastid li nieqes mill-klorofilla")</f>
        <v>plastid li nieqes mill-klorofilla</v>
      </c>
    </row>
    <row r="17908" ht="15.75" customHeight="1">
      <c r="A17908" s="2" t="s">
        <v>17908</v>
      </c>
      <c r="B17908" s="2" t="str">
        <f>IFERROR(__xludf.DUMMYFUNCTION("GOOGLETRANSLATE(A17908, ""en"", ""mt"")"),"X'jista 'jżid il-forza tat-tensjoni fuq tagħbija?")</f>
        <v>X'jista 'jżid il-forza tat-tensjoni fuq tagħbija?</v>
      </c>
    </row>
    <row r="17909" ht="15.75" customHeight="1">
      <c r="A17909" s="2" t="s">
        <v>17909</v>
      </c>
      <c r="B17909" s="2" t="str">
        <f>IFERROR(__xludf.DUMMYFUNCTION("GOOGLETRANSLATE(A17909, ""en"", ""mt"")"),"Liema snin rebaħ it-Tabib Min rebaħ ħames premjijiet konsekuttivi?")</f>
        <v>Liema snin rebaħ it-Tabib Min rebaħ ħames premjijiet konsekuttivi?</v>
      </c>
    </row>
    <row r="17910" ht="15.75" customHeight="1">
      <c r="A17910" s="2" t="s">
        <v>17910</v>
      </c>
      <c r="B17910" s="2" t="str">
        <f>IFERROR(__xludf.DUMMYFUNCTION("GOOGLETRANSLATE(A17910, ""en"", ""mt"")"),"X'inhu l-iktar port kummerċjali traffikuż tal-Istati Uniti?")</f>
        <v>X'inhu l-iktar port kummerċjali traffikuż tal-Istati Uniti?</v>
      </c>
    </row>
    <row r="17911" ht="15.75" customHeight="1">
      <c r="A17911" s="2" t="s">
        <v>17911</v>
      </c>
      <c r="B17911" s="2" t="str">
        <f>IFERROR(__xludf.DUMMYFUNCTION("GOOGLETRANSLATE(A17911, ""en"", ""mt"")"),"Perjodu Triassiku")</f>
        <v>Perjodu Triassiku</v>
      </c>
    </row>
    <row r="17912" ht="15.75" customHeight="1">
      <c r="A17912" s="2" t="s">
        <v>17912</v>
      </c>
      <c r="B17912" s="2" t="str">
        <f>IFERROR(__xludf.DUMMYFUNCTION("GOOGLETRANSLATE(A17912, ""en"", ""mt"")"),"Edward John Noble, is-sid ta 'Life Savers Candy, il-katina tal-mediċina Rexall u l-istazzjon tar-radju ta' New York City WMCA, xtara n-netwerk għal $ 8 miljun. Minħabba r-regoli tas-sjieda tal-FCC, it-tranżazzjoni, li kellha tinkludi x-xiri ta 'tliet staz"&amp;"zjonijiet RCA minn Noble, kienet teħtieġlu jerġa' jbiegħ l-istazzjon tiegħu bl-approvazzjoni tal-FCC. Il-kummissjoni awtorizzat it-tranżazzjoni fit-12 ta 'Ottubru, 1943. Ftit wara, in-Netwerk Blu ġie mixtri mill-kumpanija l-ġdida Noble mwaqqfa, is-Sistema"&amp;" ta' Xandir Amerikana. Noble sussegwentement akkwista d-drittijiet għall-isem ""American Broadcasting Company"" mingħand George B. Storer fl-1944; Il-kumpanija ewlenija tagħha adottat l-isem korporattiv American Broadcasting Companies, Inc. Woods żamm il-"&amp;"pożizzjoni tiegħu bħala president u CEO ta 'ABC sa Diċembru 1949, u sussegwentement ġie promoss għall-viċi-president tal-bord qabel ma telaq minn ABC għal kollox fit-30 ta' Ġunju, 1951.")</f>
        <v>Edward John Noble, is-sid ta 'Life Savers Candy, il-katina tal-mediċina Rexall u l-istazzjon tar-radju ta' New York City WMCA, xtara n-netwerk għal $ 8 miljun. Minħabba r-regoli tas-sjieda tal-FCC, it-tranżazzjoni, li kellha tinkludi x-xiri ta 'tliet stazzjonijiet RCA minn Noble, kienet teħtieġlu jerġa' jbiegħ l-istazzjon tiegħu bl-approvazzjoni tal-FCC. Il-kummissjoni awtorizzat it-tranżazzjoni fit-12 ta 'Ottubru, 1943. Ftit wara, in-Netwerk Blu ġie mixtri mill-kumpanija l-ġdida Noble mwaqqfa, is-Sistema ta' Xandir Amerikana. Noble sussegwentement akkwista d-drittijiet għall-isem "American Broadcasting Company" mingħand George B. Storer fl-1944; Il-kumpanija ewlenija tagħha adottat l-isem korporattiv American Broadcasting Companies, Inc. Woods żamm il-pożizzjoni tiegħu bħala president u CEO ta 'ABC sa Diċembru 1949, u sussegwentement ġie promoss għall-viċi-president tal-bord qabel ma telaq minn ABC għal kollox fit-30 ta' Ġunju, 1951.</v>
      </c>
    </row>
    <row r="17913" ht="15.75" customHeight="1">
      <c r="A17913" s="2" t="s">
        <v>17913</v>
      </c>
      <c r="B17913" s="2" t="str">
        <f>IFERROR(__xludf.DUMMYFUNCTION("GOOGLETRANSLATE(A17913, ""en"", ""mt"")"),"riskju għoli ta 'kunflitt ta' interess")</f>
        <v>riskju għoli ta 'kunflitt ta' interess</v>
      </c>
    </row>
    <row r="17914" ht="15.75" customHeight="1">
      <c r="A17914" s="2" t="s">
        <v>17914</v>
      </c>
      <c r="B17914" s="2" t="str">
        <f>IFERROR(__xludf.DUMMYFUNCTION("GOOGLETRANSLATE(A17914, ""en"", ""mt"")"),"Luther u martu marru joqogħdu ġo monasteru ta 'qabel, ""The Black Cloister,"" preżenti tieġ mill-Elector Ġdid John the Sandfast (1525-32). Huma bdew dak li deher li kien żwieġ kuntent u ta 'suċċess, għalkemm il-flus spiss kienu qosra. Bejn li jkollhom sit"&amp;"t itfal, Hans - Ġunju 1526; Elizabeth - 10 ta 'Diċembru 1527, li miet fi ftit xhur; Magdalene - 1529, li miet fl-armi ta ’Luther fl-1542; Martin - 1531; Pawlu - Jannar 1533; u Margaret - 1534; Katharina għenet lill-koppja taqla ’l-għixien billi tbiegħed l"&amp;"-art u ttieħdet il-boarders. Luther ikkonfida lil Michael Stiefel fil-11 ta 'Awwissu 1526: ""Il-katie tiegħi tinsab fl-affarijiet kollha li jobbligaw u jogħġbu lili li ma nibdlux il-faqar tiegħi għall-għana ta' Croesus.""")</f>
        <v>Luther u martu marru joqogħdu ġo monasteru ta 'qabel, "The Black Cloister," preżenti tieġ mill-Elector Ġdid John the Sandfast (1525-32). Huma bdew dak li deher li kien żwieġ kuntent u ta 'suċċess, għalkemm il-flus spiss kienu qosra. Bejn li jkollhom sitt itfal, Hans - Ġunju 1526; Elizabeth - 10 ta 'Diċembru 1527, li miet fi ftit xhur; Magdalene - 1529, li miet fl-armi ta ’Luther fl-1542; Martin - 1531; Pawlu - Jannar 1533; u Margaret - 1534; Katharina għenet lill-koppja taqla ’l-għixien billi tbiegħed l-art u ttieħdet il-boarders. Luther ikkonfida lil Michael Stiefel fil-11 ta 'Awwissu 1526: "Il-katie tiegħi tinsab fl-affarijiet kollha li jobbligaw u jogħġbu lili li ma nibdlux il-faqar tiegħi għall-għana ta' Croesus."</v>
      </c>
    </row>
    <row r="17915" ht="15.75" customHeight="1">
      <c r="A17915" s="2" t="s">
        <v>17915</v>
      </c>
      <c r="B17915" s="2" t="str">
        <f>IFERROR(__xludf.DUMMYFUNCTION("GOOGLETRANSLATE(A17915, ""en"", ""mt"")"),"X'jikkawża li l-ossiġnu triplet jirreaġixxi bil-mod?")</f>
        <v>X'jikkawża li l-ossiġnu triplet jirreaġixxi bil-mod?</v>
      </c>
    </row>
    <row r="17916" ht="15.75" customHeight="1">
      <c r="A17916" s="2" t="s">
        <v>17916</v>
      </c>
      <c r="B17916" s="2" t="str">
        <f>IFERROR(__xludf.DUMMYFUNCTION("GOOGLETRANSLATE(A17916, ""en"", ""mt"")"),"X'inhu li jifred is-sistema newroimmuni u s-sistema immuni periferali fil-bnedmin?")</f>
        <v>X'inhu li jifred is-sistema newroimmuni u s-sistema immuni periferali fil-bnedmin?</v>
      </c>
    </row>
    <row r="17917" ht="15.75" customHeight="1">
      <c r="A17917" s="2" t="s">
        <v>17917</v>
      </c>
      <c r="B17917" s="2" t="str">
        <f>IFERROR(__xludf.DUMMYFUNCTION("GOOGLETRANSLATE(A17917, ""en"", ""mt"")"),"X'inhu l-isem ta 'ġeneralizzazzjoni alġebrika waħda li n-numri primarji ispiraw?")</f>
        <v>X'inhu l-isem ta 'ġeneralizzazzjoni alġebrika waħda li n-numri primarji ispiraw?</v>
      </c>
    </row>
    <row r="17918" ht="15.75" customHeight="1">
      <c r="A17918" s="2" t="s">
        <v>17918</v>
      </c>
      <c r="B17918" s="2" t="str">
        <f>IFERROR(__xludf.DUMMYFUNCTION("GOOGLETRANSLATE(A17918, ""en"", ""mt"")"),"X’tfiżżlet Tesla fl-1887?")</f>
        <v>X’tfiżżlet Tesla fl-1887?</v>
      </c>
    </row>
    <row r="17919" ht="15.75" customHeight="1">
      <c r="A17919" s="2" t="s">
        <v>17919</v>
      </c>
      <c r="B17919" s="2" t="str">
        <f>IFERROR(__xludf.DUMMYFUNCTION("GOOGLETRANSLATE(A17919, ""en"", ""mt"")"),"X'inhu pajjiż ieħor li jippermetti lit-tobba jagħtu d-droga minn ġewwa l-prattika tagħhom?")</f>
        <v>X'inhu pajjiż ieħor li jippermetti lit-tobba jagħtu d-droga minn ġewwa l-prattika tagħhom?</v>
      </c>
    </row>
    <row r="17920" ht="15.75" customHeight="1">
      <c r="A17920" s="2" t="s">
        <v>17920</v>
      </c>
      <c r="B17920" s="2" t="str">
        <f>IFERROR(__xludf.DUMMYFUNCTION("GOOGLETRANSLATE(A17920, ""en"", ""mt"")"),"Jekk P = NP ma jkunx solvut, u t-tnaqqis huwa applikat għal problema magħrufa NP-kompluta vis a vis π2 sa π1, liema konklużjoni tista 'tinġibed għal π1?")</f>
        <v>Jekk P = NP ma jkunx solvut, u t-tnaqqis huwa applikat għal problema magħrufa NP-kompluta vis a vis π2 sa π1, liema konklużjoni tista 'tinġibed għal π1?</v>
      </c>
    </row>
    <row r="17921" ht="15.75" customHeight="1">
      <c r="A17921" s="2" t="s">
        <v>17921</v>
      </c>
      <c r="B17921" s="2" t="str">
        <f>IFERROR(__xludf.DUMMYFUNCTION("GOOGLETRANSLATE(A17921, ""en"", ""mt"")"),"Sawdi")</f>
        <v>Sawdi</v>
      </c>
    </row>
    <row r="17922" ht="15.75" customHeight="1">
      <c r="A17922" s="2" t="s">
        <v>17922</v>
      </c>
      <c r="B17922" s="2" t="str">
        <f>IFERROR(__xludf.DUMMYFUNCTION("GOOGLETRANSLATE(A17922, ""en"", ""mt"")"),"Minn Settembru 2004, id-dar uffiċjali tal-Parlament Skoċċiż kienet bini ġdid tal-Parlament Skoċċiż, fiż-żona ta 'Holyrood ta' Edinburgh. Il-bini tal-Parlament Skoċċiż kien iddisinjat mill-perit Spanjol Enric Miralles bi sħab mad-ditta lokali ta ’arkitettu"&amp;"ra ta’ Edinburgh RMJM li kienet immexxija mill-prinċipal tad-disinn Tony Kettle. Uħud mill-karatteristiċi ewlenin tal-kumpless jinkludu bini b'forma ta 'weraq, fergħa msaqqda bil-ħaxix li tgħaqqad f'parkland li jmissu magħhom u ħitan tal-gabion iffurmati "&amp;"mill-ġebel ta' bini preċedenti. Matul il-bini hemm ħafna motivi ripetuti, bħal forom ibbażati fuq il-ministru tal-iskejjel ta 'Raeburn. Gables imxerrda bil-crow u t-tamboċċi tad-dgħajsa mdawra tal-lobby tal-ġnien, itemmu l-arkitettura unika. Ir-Reġina Eli"&amp;"żabetta II fetħet il-bini l-ġdid fid-9 ta ’Ottubru 2004.")</f>
        <v>Minn Settembru 2004, id-dar uffiċjali tal-Parlament Skoċċiż kienet bini ġdid tal-Parlament Skoċċiż, fiż-żona ta 'Holyrood ta' Edinburgh. Il-bini tal-Parlament Skoċċiż kien iddisinjat mill-perit Spanjol Enric Miralles bi sħab mad-ditta lokali ta ’arkitettura ta’ Edinburgh RMJM li kienet immexxija mill-prinċipal tad-disinn Tony Kettle. Uħud mill-karatteristiċi ewlenin tal-kumpless jinkludu bini b'forma ta 'weraq, fergħa msaqqda bil-ħaxix li tgħaqqad f'parkland li jmissu magħhom u ħitan tal-gabion iffurmati mill-ġebel ta' bini preċedenti. Matul il-bini hemm ħafna motivi ripetuti, bħal forom ibbażati fuq il-ministru tal-iskejjel ta 'Raeburn. Gables imxerrda bil-crow u t-tamboċċi tad-dgħajsa mdawra tal-lobby tal-ġnien, itemmu l-arkitettura unika. Ir-Reġina Eliżabetta II fetħet il-bini l-ġdid fid-9 ta ’Ottubru 2004.</v>
      </c>
    </row>
    <row r="17923" ht="15.75" customHeight="1">
      <c r="A17923" s="2" t="s">
        <v>17923</v>
      </c>
      <c r="B17923" s="2" t="str">
        <f>IFERROR(__xludf.DUMMYFUNCTION("GOOGLETRANSLATE(A17923, ""en"", ""mt"")"),"X'tip ta 'radar intuża biex jikklassifika s-siġar f'erba' kategoriji?")</f>
        <v>X'tip ta 'radar intuża biex jikklassifika s-siġar f'erba' kategoriji?</v>
      </c>
    </row>
    <row r="17924" ht="15.75" customHeight="1">
      <c r="A17924" s="2" t="s">
        <v>17924</v>
      </c>
      <c r="B17924" s="2" t="str">
        <f>IFERROR(__xludf.DUMMYFUNCTION("GOOGLETRANSLATE(A17924, ""en"", ""mt"")"),"għafsa fi tnejn")</f>
        <v>għafsa fi tnejn</v>
      </c>
    </row>
    <row r="17925" ht="15.75" customHeight="1">
      <c r="A17925" s="2" t="s">
        <v>17925</v>
      </c>
      <c r="B17925" s="2" t="str">
        <f>IFERROR(__xludf.DUMMYFUNCTION("GOOGLETRANSLATE(A17925, ""en"", ""mt"")"),"maġġuri")</f>
        <v>maġġuri</v>
      </c>
    </row>
    <row r="17926" ht="15.75" customHeight="1">
      <c r="A17926" s="2" t="s">
        <v>17926</v>
      </c>
      <c r="B17926" s="2" t="str">
        <f>IFERROR(__xludf.DUMMYFUNCTION("GOOGLETRANSLATE(A17926, ""en"", ""mt"")"),"Liema dipartiment fl-Istati Uniti mexxa l-isforzi kontra l-Iżlamiżmu?")</f>
        <v>Liema dipartiment fl-Istati Uniti mexxa l-isforzi kontra l-Iżlamiżmu?</v>
      </c>
    </row>
    <row r="17927" ht="15.75" customHeight="1">
      <c r="A17927" s="2" t="s">
        <v>17927</v>
      </c>
      <c r="B17927" s="2" t="str">
        <f>IFERROR(__xludf.DUMMYFUNCTION("GOOGLETRANSLATE(A17927, ""en"", ""mt"")"),"10-15% tal-popolazzjoni")</f>
        <v>10-15% tal-popolazzjoni</v>
      </c>
    </row>
    <row r="17928" ht="15.75" customHeight="1">
      <c r="A17928" s="2" t="s">
        <v>17928</v>
      </c>
      <c r="B17928" s="2" t="str">
        <f>IFERROR(__xludf.DUMMYFUNCTION("GOOGLETRANSLATE(A17928, ""en"", ""mt"")"),"X'tip ta 'swieq huwa t-tip ta' abitazzjoni hawn taħt?")</f>
        <v>X'tip ta 'swieq huwa t-tip ta' abitazzjoni hawn taħt?</v>
      </c>
    </row>
    <row r="17929" ht="15.75" customHeight="1">
      <c r="A17929" s="2" t="s">
        <v>17929</v>
      </c>
      <c r="B17929" s="2" t="str">
        <f>IFERROR(__xludf.DUMMYFUNCTION("GOOGLETRANSLATE(A17929, ""en"", ""mt"")"),"ċellola li fiha kloroplasti")</f>
        <v>ċellola li fiha kloroplasti</v>
      </c>
    </row>
    <row r="17930" ht="15.75" customHeight="1">
      <c r="A17930" s="2" t="s">
        <v>17930</v>
      </c>
      <c r="B17930" s="2" t="str">
        <f>IFERROR(__xludf.DUMMYFUNCTION("GOOGLETRANSLATE(A17930, ""en"", ""mt"")"),"Taħt it-termini tal-Att tal-Iskozja tal-1978, se titwaqqaf assemblea eletta f'Edinburgu sakemm il-maġġoranza tal-elettorat Skoċċiż ivvota għalih f'referendum li għandu jsir fl-1 ta 'Marzu 1979 li kien jirrappreżenta mill-inqas 40% tal-elettorat totali. Ir"&amp;"-referendum tad-devoluzzjoni Skoċċiża tal-1979 biex jiġi stabbilit assemblea Skoċċiża devolta falliet. Għalkemm il-votazzjoni kienet ta '51 .6% favur assemblea Skoċċiża, din iċ-ċifra ma kinitx daqs l-40% tal-limitu tal-elettorat totali meqjus neċessarju b"&amp;"iex tgħaddi l-miżura, peress li 32.9% tal-popolazzjoni tal-votazzjoni eliġibbli ma kinitx, jew ma setgħetx, vot.")</f>
        <v>Taħt it-termini tal-Att tal-Iskozja tal-1978, se titwaqqaf assemblea eletta f'Edinburgu sakemm il-maġġoranza tal-elettorat Skoċċiż ivvota għalih f'referendum li għandu jsir fl-1 ta 'Marzu 1979 li kien jirrappreżenta mill-inqas 40% tal-elettorat totali. Ir-referendum tad-devoluzzjoni Skoċċiża tal-1979 biex jiġi stabbilit assemblea Skoċċiża devolta falliet. Għalkemm il-votazzjoni kienet ta '51 .6% favur assemblea Skoċċiża, din iċ-ċifra ma kinitx daqs l-40% tal-limitu tal-elettorat totali meqjus neċessarju biex tgħaddi l-miżura, peress li 32.9% tal-popolazzjoni tal-votazzjoni eliġibbli ma kinitx, jew ma setgħetx, vot.</v>
      </c>
    </row>
    <row r="17931" ht="15.75" customHeight="1">
      <c r="A17931" s="2" t="s">
        <v>17931</v>
      </c>
      <c r="B17931" s="2" t="str">
        <f>IFERROR(__xludf.DUMMYFUNCTION("GOOGLETRANSLATE(A17931, ""en"", ""mt"")"),"privileġġ sostanzjali")</f>
        <v>privileġġ sostanzjali</v>
      </c>
    </row>
    <row r="17932" ht="15.75" customHeight="1">
      <c r="A17932" s="2" t="s">
        <v>17932</v>
      </c>
      <c r="B17932" s="2" t="str">
        <f>IFERROR(__xludf.DUMMYFUNCTION("GOOGLETRANSLATE(A17932, ""en"", ""mt"")"),"F'liema tipi ta 'organiżmi l-ewwel evolviet is-sistema immuni adatta?")</f>
        <v>F'liema tipi ta 'organiżmi l-ewwel evolviet is-sistema immuni adatta?</v>
      </c>
    </row>
    <row r="17933" ht="15.75" customHeight="1">
      <c r="A17933" s="2" t="s">
        <v>17933</v>
      </c>
      <c r="B17933" s="2" t="str">
        <f>IFERROR(__xludf.DUMMYFUNCTION("GOOGLETRANSLATE(A17933, ""en"", ""mt"")"),"Fl-Ewropa hemm spiżeriji qodma li għadhom joperaw f'Dubrovnik, il-Kroazja, li tinsab ġewwa l-monasteru Franġiskan, infetħet fl-1317; u fil-kwadru tal-muniċipju ta 'Tallinn, l-Estonja, li tmur mill-inqas 1422. L-eqdem huwa ddikjarat li ġie stabbilit fl-122"&amp;"1 fil-Knisja ta' Santa Maria Novella f'Firenze, l-Italja, li issa fih mużew tal-fwieħa. L-ispiżerija medjevali ta 'Esteve, li tinsab f'Lívia, enklavi Katalana viċin Puigcerdà, issa wkoll mużew, tmur lura għas-seklu 15, u żżomm Albarellos mis-sekli 16 u 17"&amp;", kotba ta' preskrizzjoni qodma u drogi tal-antikità.")</f>
        <v>Fl-Ewropa hemm spiżeriji qodma li għadhom joperaw f'Dubrovnik, il-Kroazja, li tinsab ġewwa l-monasteru Franġiskan, infetħet fl-1317; u fil-kwadru tal-muniċipju ta 'Tallinn, l-Estonja, li tmur mill-inqas 1422. L-eqdem huwa ddikjarat li ġie stabbilit fl-1221 fil-Knisja ta' Santa Maria Novella f'Firenze, l-Italja, li issa fih mużew tal-fwieħa. L-ispiżerija medjevali ta 'Esteve, li tinsab f'Lívia, enklavi Katalana viċin Puigcerdà, issa wkoll mużew, tmur lura għas-seklu 15, u żżomm Albarellos mis-sekli 16 u 17, kotba ta' preskrizzjoni qodma u drogi tal-antikità.</v>
      </c>
    </row>
    <row r="17934" ht="15.75" customHeight="1">
      <c r="A17934" s="2" t="s">
        <v>17934</v>
      </c>
      <c r="B17934" s="2" t="str">
        <f>IFERROR(__xludf.DUMMYFUNCTION("GOOGLETRANSLATE(A17934, ""en"", ""mt"")"),"Il-Qorti Kostituzzjonali Taljana")</f>
        <v>Il-Qorti Kostituzzjonali Taljana</v>
      </c>
    </row>
    <row r="17935" ht="15.75" customHeight="1">
      <c r="A17935" s="2" t="s">
        <v>17935</v>
      </c>
      <c r="B17935" s="2" t="str">
        <f>IFERROR(__xludf.DUMMYFUNCTION("GOOGLETRANSLATE(A17935, ""en"", ""mt"")"),"X'inhu isem ieħor għal Exoteric?")</f>
        <v>X'inhu isem ieħor għal Exoteric?</v>
      </c>
    </row>
    <row r="17936" ht="15.75" customHeight="1">
      <c r="A17936" s="2" t="s">
        <v>17936</v>
      </c>
      <c r="B17936" s="2" t="str">
        <f>IFERROR(__xludf.DUMMYFUNCTION("GOOGLETRANSLATE(A17936, ""en"", ""mt"")"),"X'inhuma s-sorsi sekondarji tal-liġi primarja?")</f>
        <v>X'inhuma s-sorsi sekondarji tal-liġi primarja?</v>
      </c>
    </row>
    <row r="17937" ht="15.75" customHeight="1">
      <c r="A17937" s="2" t="s">
        <v>17937</v>
      </c>
      <c r="B17937" s="2" t="str">
        <f>IFERROR(__xludf.DUMMYFUNCTION("GOOGLETRANSLATE(A17937, ""en"", ""mt"")"),"X'tip ta 'kitbiet il-qari tal-Koran ġab Luther?")</f>
        <v>X'tip ta 'kitbiet il-qari tal-Koran ġab Luther?</v>
      </c>
    </row>
    <row r="17938" ht="15.75" customHeight="1">
      <c r="A17938" s="2" t="s">
        <v>17938</v>
      </c>
      <c r="B17938" s="2" t="str">
        <f>IFERROR(__xludf.DUMMYFUNCTION("GOOGLETRANSLATE(A17938, ""en"", ""mt"")"),"Alan Dershowitz u Lawrence Lessig")</f>
        <v>Alan Dershowitz u Lawrence Lessig</v>
      </c>
    </row>
    <row r="17939" ht="15.75" customHeight="1">
      <c r="A17939" s="2" t="s">
        <v>17939</v>
      </c>
      <c r="B17939" s="2" t="str">
        <f>IFERROR(__xludf.DUMMYFUNCTION("GOOGLETRANSLATE(A17939, ""en"", ""mt"")"),"Għin biex tippreserva t-tolleranza tas-soċjetà")</f>
        <v>Għin biex tippreserva t-tolleranza tas-soċjetà</v>
      </c>
    </row>
    <row r="17940" ht="15.75" customHeight="1">
      <c r="A17940" s="2" t="s">
        <v>17940</v>
      </c>
      <c r="B17940" s="2" t="str">
        <f>IFERROR(__xludf.DUMMYFUNCTION("GOOGLETRANSLATE(A17940, ""en"", ""mt"")"),"prezzijiet")</f>
        <v>prezzijiet</v>
      </c>
    </row>
    <row r="17941" ht="15.75" customHeight="1">
      <c r="A17941" s="2" t="s">
        <v>17941</v>
      </c>
      <c r="B17941" s="2" t="str">
        <f>IFERROR(__xludf.DUMMYFUNCTION("GOOGLETRANSLATE(A17941, ""en"", ""mt"")"),"Għaliex Tesla rritornat għand Gospic?")</f>
        <v>Għaliex Tesla rritornat għand Gospic?</v>
      </c>
    </row>
    <row r="17942" ht="15.75" customHeight="1">
      <c r="A17942" s="2" t="s">
        <v>17942</v>
      </c>
      <c r="B17942" s="2" t="str">
        <f>IFERROR(__xludf.DUMMYFUNCTION("GOOGLETRANSLATE(A17942, ""en"", ""mt"")"),"L-ossiġnu huwa l-iktar element kimiku abbundanti bil-massa fil-bijosfera, l-arja, il-baħar u l-art tad-dinja. L-ossiġnu huwa t-tielet l-iktar element kimiku abbundanti fl-univers, wara l-idroġenu u l-elju. Madwar 0.9% tal-massa tax-xemx hija ossiġnu. L-os"&amp;"siġnu jikkostitwixxi 49.2% tal-qoxra tad-dinja bil-massa u huwa l-komponent ewlieni tal-oċeani tad-dinja (88.8% bil-massa). Il-gass tal-ossiġnu huwa t-tieni l-iktar komponent komuni tal-atmosfera tad-Dinja, li jieħu 20.8% tal-volum tiegħu u 23.1% tal-mass"&amp;"a tiegħu (xi 1015 tunnellata). [D] id-Dinja mhix tas-soltu fost il-pjaneti tas-sistema solari meta jkollha daqshekk għolja konċentrazzjoni ta 'gass ta' ossiġnu fl-atmosfera tiegħu: Mars (b'0.1% o
2 mill-volum) u Venere għandhom konċentrazzjonijiet ferm ak"&amp;"tar baxxi. L-o
2 li jdawru dawn il-pjaneti l-oħra huwa prodott biss minn radjazzjoni ultravjola li għandha impatt fuq molekuli li fihom l-ossiġnu bħal dijossidu tal-karbonju.")</f>
        <v>L-ossiġnu huwa l-iktar element kimiku abbundanti bil-massa fil-bijosfera, l-arja, il-baħar u l-art tad-dinja. L-ossiġnu huwa t-tielet l-iktar element kimiku abbundanti fl-univers, wara l-idroġenu u l-elju. Madwar 0.9% tal-massa tax-xemx hija ossiġnu. L-ossiġnu jikkostitwixxi 49.2% tal-qoxra tad-dinja bil-massa u huwa l-komponent ewlieni tal-oċeani tad-dinja (88.8% bil-massa). Il-gass tal-ossiġnu huwa t-tieni l-iktar komponent komuni tal-atmosfera tad-Dinja, li jieħu 20.8% tal-volum tiegħu u 23.1% tal-massa tiegħu (xi 1015 tunnellata). [D] id-Dinja mhix tas-soltu fost il-pjaneti tas-sistema solari meta jkollha daqshekk għolja konċentrazzjoni ta 'gass ta' ossiġnu fl-atmosfera tiegħu: Mars (b'0.1% o
2 mill-volum) u Venere għandhom konċentrazzjonijiet ferm aktar baxxi. L-o
2 li jdawru dawn il-pjaneti l-oħra huwa prodott biss minn radjazzjoni ultravjola li għandha impatt fuq molekuli li fihom l-ossiġnu bħal dijossidu tal-karbonju.</v>
      </c>
    </row>
    <row r="17943" ht="15.75" customHeight="1">
      <c r="A17943" s="2" t="s">
        <v>17943</v>
      </c>
      <c r="B17943" s="2" t="str">
        <f>IFERROR(__xludf.DUMMYFUNCTION("GOOGLETRANSLATE(A17943, ""en"", ""mt"")"),"$ 5 miljun fi flus kontanti")</f>
        <v>$ 5 miljun fi flus kontanti</v>
      </c>
    </row>
    <row r="17944" ht="15.75" customHeight="1">
      <c r="A17944" s="2" t="s">
        <v>17944</v>
      </c>
      <c r="B17944" s="2" t="str">
        <f>IFERROR(__xludf.DUMMYFUNCTION("GOOGLETRANSLATE(A17944, ""en"", ""mt"")"),"£ 4.2bn")</f>
        <v>£ 4.2bn</v>
      </c>
    </row>
    <row r="17945" ht="15.75" customHeight="1">
      <c r="A17945" s="2" t="s">
        <v>17945</v>
      </c>
      <c r="B17945" s="2" t="str">
        <f>IFERROR(__xludf.DUMMYFUNCTION("GOOGLETRANSLATE(A17945, ""en"", ""mt"")"),"Kibaki għalaq id-distakk u mbagħad għadda lill-avversarju tiegħu")</f>
        <v>Kibaki għalaq id-distakk u mbagħad għadda lill-avversarju tiegħu</v>
      </c>
    </row>
    <row r="17946" ht="15.75" customHeight="1">
      <c r="A17946" s="2" t="s">
        <v>17946</v>
      </c>
      <c r="B17946" s="2" t="str">
        <f>IFERROR(__xludf.DUMMYFUNCTION("GOOGLETRANSLATE(A17946, ""en"", ""mt"")"),"Kanada")</f>
        <v>Kanada</v>
      </c>
    </row>
    <row r="17947" ht="15.75" customHeight="1">
      <c r="A17947" s="2" t="s">
        <v>17947</v>
      </c>
      <c r="B17947" s="2" t="str">
        <f>IFERROR(__xludf.DUMMYFUNCTION("GOOGLETRANSLATE(A17947, ""en"", ""mt"")"),"""Negozju bħas-soltu"" (BAU)")</f>
        <v>"Negozju bħas-soltu" (BAU)</v>
      </c>
    </row>
    <row r="17948" ht="15.75" customHeight="1">
      <c r="A17948" s="2" t="s">
        <v>17948</v>
      </c>
      <c r="B17948" s="2" t="str">
        <f>IFERROR(__xludf.DUMMYFUNCTION("GOOGLETRANSLATE(A17948, ""en"", ""mt"")"),"elfejn")</f>
        <v>elfejn</v>
      </c>
    </row>
    <row r="17949" ht="15.75" customHeight="1">
      <c r="A17949" s="2" t="s">
        <v>17949</v>
      </c>
      <c r="B17949" s="2" t="str">
        <f>IFERROR(__xludf.DUMMYFUNCTION("GOOGLETRANSLATE(A17949, ""en"", ""mt"")"),"Edukazzjoni mifruxa")</f>
        <v>Edukazzjoni mifruxa</v>
      </c>
    </row>
    <row r="17950" ht="15.75" customHeight="1">
      <c r="A17950" s="2" t="s">
        <v>17950</v>
      </c>
      <c r="B17950" s="2" t="str">
        <f>IFERROR(__xludf.DUMMYFUNCTION("GOOGLETRANSLATE(A17950, ""en"", ""mt"")"),"300–600 nanometru")</f>
        <v>300–600 nanometru</v>
      </c>
    </row>
    <row r="17951" ht="15.75" customHeight="1">
      <c r="A17951" s="2" t="s">
        <v>17951</v>
      </c>
      <c r="B17951" s="2" t="str">
        <f>IFERROR(__xludf.DUMMYFUNCTION("GOOGLETRANSLATE(A17951, ""en"", ""mt"")"),"Liema teorema tiddikjara li l-probabbiltà li numru n huwa prim inversament proporzjonali mal-logaritmu tiegħu?")</f>
        <v>Liema teorema tiddikjara li l-probabbiltà li numru n huwa prim inversament proporzjonali mal-logaritmu tiegħu?</v>
      </c>
    </row>
    <row r="17952" ht="15.75" customHeight="1">
      <c r="A17952" s="2" t="s">
        <v>17952</v>
      </c>
      <c r="B17952" s="2" t="str">
        <f>IFERROR(__xludf.DUMMYFUNCTION("GOOGLETRANSLATE(A17952, ""en"", ""mt"")"),"Kif jissejjaħ ix-xenarju li fih ma nbiddlux il-prattiki tagħna tal-ħolqien tal-gass serra?")</f>
        <v>Kif jissejjaħ ix-xenarju li fih ma nbiddlux il-prattiki tagħna tal-ħolqien tal-gass serra?</v>
      </c>
    </row>
    <row r="17953" ht="15.75" customHeight="1">
      <c r="A17953" s="2" t="s">
        <v>17953</v>
      </c>
      <c r="B17953" s="2" t="str">
        <f>IFERROR(__xludf.DUMMYFUNCTION("GOOGLETRANSLATE(A17953, ""en"", ""mt"")"),"Fis-snin 30, ir-radju fl-Istati Uniti kien iddominat minn tliet kumpaniji: is-Sistema tax-Xandir ta 'Columbia (CBS), is-Sistema ta' Xandir Reċiproku u l-Kumpanija Nazzjonali tax-Xandir (NBC). L-aħħar kienet proprjetà tal-manifattur tal-elettronika Radio C"&amp;"orporation of America (RCA), li kienet proprjetà ta ’żewġ netwerks tar-radju li kull ġera varjetajiet differenti ta’ programmazzjoni, NBC Blue u NBC Red. In-Netwerk Blu tal-NBC inħoloq fl-1927 għall-iskop primarju li jiġu ttestjati programmi ġodda fis-swi"&amp;"eq ta 'importanza inqas minn dawk servuti minn NBC Red, li serva l-ibliet il-kbar, u biex jittestja s-serje tad-drama.")</f>
        <v>Fis-snin 30, ir-radju fl-Istati Uniti kien iddominat minn tliet kumpaniji: is-Sistema tax-Xandir ta 'Columbia (CBS), is-Sistema ta' Xandir Reċiproku u l-Kumpanija Nazzjonali tax-Xandir (NBC). L-aħħar kienet proprjetà tal-manifattur tal-elettronika Radio Corporation of America (RCA), li kienet proprjetà ta ’żewġ netwerks tar-radju li kull ġera varjetajiet differenti ta’ programmazzjoni, NBC Blue u NBC Red. In-Netwerk Blu tal-NBC inħoloq fl-1927 għall-iskop primarju li jiġu ttestjati programmi ġodda fis-swieq ta 'importanza inqas minn dawk servuti minn NBC Red, li serva l-ibliet il-kbar, u biex jittestja s-serje tad-drama.</v>
      </c>
    </row>
    <row r="17954" ht="15.75" customHeight="1">
      <c r="A17954" s="2" t="s">
        <v>17954</v>
      </c>
      <c r="B17954" s="2" t="str">
        <f>IFERROR(__xludf.DUMMYFUNCTION("GOOGLETRANSLATE(A17954, ""en"", ""mt"")"),"X'tip ta 'żwieġ kien dan?")</f>
        <v>X'tip ta 'żwieġ kien dan?</v>
      </c>
    </row>
    <row r="17955" ht="15.75" customHeight="1">
      <c r="A17955" s="2" t="s">
        <v>17955</v>
      </c>
      <c r="B17955" s="2" t="str">
        <f>IFERROR(__xludf.DUMMYFUNCTION("GOOGLETRANSLATE(A17955, ""en"", ""mt"")"),"Liema Punent kien programm ewlieni għal ABC madwar l-1954?")</f>
        <v>Liema Punent kien programm ewlieni għal ABC madwar l-1954?</v>
      </c>
    </row>
    <row r="17956" ht="15.75" customHeight="1">
      <c r="A17956" s="2" t="s">
        <v>17956</v>
      </c>
      <c r="B17956" s="2" t="str">
        <f>IFERROR(__xludf.DUMMYFUNCTION("GOOGLETRANSLATE(A17956, ""en"", ""mt"")"),"kbir")</f>
        <v>kbir</v>
      </c>
    </row>
    <row r="17957" ht="15.75" customHeight="1">
      <c r="A17957" s="2" t="s">
        <v>17957</v>
      </c>
      <c r="B17957" s="2" t="str">
        <f>IFERROR(__xludf.DUMMYFUNCTION("GOOGLETRANSLATE(A17957, ""en"", ""mt"")"),"rivista kummerċjali għall-industrija tal-kostruzzjoni")</f>
        <v>rivista kummerċjali għall-industrija tal-kostruzzjoni</v>
      </c>
    </row>
    <row r="17958" ht="15.75" customHeight="1">
      <c r="A17958" s="2" t="s">
        <v>17958</v>
      </c>
      <c r="B17958" s="2" t="str">
        <f>IFERROR(__xludf.DUMMYFUNCTION("GOOGLETRANSLATE(A17958, ""en"", ""mt"")"),"Kultant il-membrana taċ-ċellula tal-alka li tittiekel, u l-vakuole fagożomali mill-membrana taċ-ċellula tal-ospitanti")</f>
        <v>Kultant il-membrana taċ-ċellula tal-alka li tittiekel, u l-vakuole fagożomali mill-membrana taċ-ċellula tal-ospitanti</v>
      </c>
    </row>
    <row r="17959" ht="15.75" customHeight="1">
      <c r="A17959" s="2" t="s">
        <v>17959</v>
      </c>
      <c r="B17959" s="2" t="str">
        <f>IFERROR(__xludf.DUMMYFUNCTION("GOOGLETRANSLATE(A17959, ""en"", ""mt"")"),"Minbarra l-iskejjel, fejn inkella l-awtorità bbażata fuq il-popolazzjoni hija effettiva?")</f>
        <v>Minbarra l-iskejjel, fejn inkella l-awtorità bbażata fuq il-popolazzjoni hija effettiva?</v>
      </c>
    </row>
    <row r="17960" ht="15.75" customHeight="1">
      <c r="A17960" s="2" t="s">
        <v>17960</v>
      </c>
      <c r="B17960" s="2" t="str">
        <f>IFERROR(__xludf.DUMMYFUNCTION("GOOGLETRANSLATE(A17960, ""en"", ""mt"")"),"Madwar biljun sena ilu")</f>
        <v>Madwar biljun sena ilu</v>
      </c>
    </row>
    <row r="17961" ht="15.75" customHeight="1">
      <c r="A17961" s="2" t="s">
        <v>17961</v>
      </c>
      <c r="B17961" s="2" t="str">
        <f>IFERROR(__xludf.DUMMYFUNCTION("GOOGLETRANSLATE(A17961, ""en"", ""mt"")"),"Minn min il-Parlament kera bini addizzjonali?")</f>
        <v>Minn min il-Parlament kera bini addizzjonali?</v>
      </c>
    </row>
    <row r="17962" ht="15.75" customHeight="1">
      <c r="A17962" s="2" t="s">
        <v>17962</v>
      </c>
      <c r="B17962" s="2" t="str">
        <f>IFERROR(__xludf.DUMMYFUNCTION("GOOGLETRANSLATE(A17962, ""en"", ""mt"")"),"X'inhu l-proporzjon power-to-piż ta 'impjant tal-fwar meta mqabbel ma' dak ta 'magna ta' kombustjoni interna?")</f>
        <v>X'inhu l-proporzjon power-to-piż ta 'impjant tal-fwar meta mqabbel ma' dak ta 'magna ta' kombustjoni interna?</v>
      </c>
    </row>
    <row r="17963" ht="15.75" customHeight="1">
      <c r="A17963" s="2" t="s">
        <v>17963</v>
      </c>
      <c r="B17963" s="2" t="str">
        <f>IFERROR(__xludf.DUMMYFUNCTION("GOOGLETRANSLATE(A17963, ""en"", ""mt"")"),"Pjazza tal-Parlament, High Street u George IV Bridge f'Edinburgu")</f>
        <v>Pjazza tal-Parlament, High Street u George IV Bridge f'Edinburgu</v>
      </c>
    </row>
    <row r="17964" ht="15.75" customHeight="1">
      <c r="A17964" s="2" t="s">
        <v>17964</v>
      </c>
      <c r="B17964" s="2" t="str">
        <f>IFERROR(__xludf.DUMMYFUNCTION("GOOGLETRANSLATE(A17964, ""en"", ""mt"")"),"Min għażel il-President ta ’Varsavja mill-1990?")</f>
        <v>Min għażel il-President ta ’Varsavja mill-1990?</v>
      </c>
    </row>
    <row r="17965" ht="15.75" customHeight="1">
      <c r="A17965" s="2" t="s">
        <v>17965</v>
      </c>
      <c r="B17965" s="2" t="str">
        <f>IFERROR(__xludf.DUMMYFUNCTION("GOOGLETRANSLATE(A17965, ""en"", ""mt"")"),"L-Uighurs ċedew b'mod paċifiku mingħajr ma jirreżistu b'mod vjolenti")</f>
        <v>L-Uighurs ċedew b'mod paċifiku mingħajr ma jirreżistu b'mod vjolenti</v>
      </c>
    </row>
    <row r="17966" ht="15.75" customHeight="1">
      <c r="A17966" s="2" t="s">
        <v>17966</v>
      </c>
      <c r="B17966" s="2" t="str">
        <f>IFERROR(__xludf.DUMMYFUNCTION("GOOGLETRANSLATE(A17966, ""en"", ""mt"")"),"għanijiet li jirċievi mis-superjur tiegħu.")</f>
        <v>għanijiet li jirċievi mis-superjur tiegħu.</v>
      </c>
    </row>
    <row r="17967" ht="15.75" customHeight="1">
      <c r="A17967" s="2" t="s">
        <v>17967</v>
      </c>
      <c r="B17967" s="2" t="str">
        <f>IFERROR(__xludf.DUMMYFUNCTION("GOOGLETRANSLATE(A17967, ""en"", ""mt"")"),"X'inhi problema partikolari fil-bijoloġija li tibbenefika mid-determinazzjoni ta 'dak p = np?")</f>
        <v>X'inhi problema partikolari fil-bijoloġija li tibbenefika mid-determinazzjoni ta 'dak p = np?</v>
      </c>
    </row>
    <row r="17968" ht="15.75" customHeight="1">
      <c r="A17968" s="2" t="s">
        <v>17968</v>
      </c>
      <c r="B17968" s="2" t="str">
        <f>IFERROR(__xludf.DUMMYFUNCTION("GOOGLETRANSLATE(A17968, ""en"", ""mt"")"),"X'inhu l-isem tal-korp tal-ilma li jinstab lejn il-lvant?")</f>
        <v>X'inhu l-isem tal-korp tal-ilma li jinstab lejn il-lvant?</v>
      </c>
    </row>
    <row r="17969" ht="15.75" customHeight="1">
      <c r="A17969" s="2" t="s">
        <v>17969</v>
      </c>
      <c r="B17969" s="2" t="str">
        <f>IFERROR(__xludf.DUMMYFUNCTION("GOOGLETRANSLATE(A17969, ""en"", ""mt"")"),"Dipartiment tal-Kelma u l-Immaġni")</f>
        <v>Dipartiment tal-Kelma u l-Immaġni</v>
      </c>
    </row>
    <row r="17970" ht="15.75" customHeight="1">
      <c r="A17970" s="2" t="s">
        <v>17970</v>
      </c>
      <c r="B17970" s="2" t="str">
        <f>IFERROR(__xludf.DUMMYFUNCTION("GOOGLETRANSLATE(A17970, ""en"", ""mt"")"),"Relazzjonijiet ta 'qtugħ")</f>
        <v>Relazzjonijiet ta 'qtugħ</v>
      </c>
    </row>
    <row r="17971" ht="15.75" customHeight="1">
      <c r="A17971" s="2" t="s">
        <v>17971</v>
      </c>
      <c r="B17971" s="2" t="str">
        <f>IFERROR(__xludf.DUMMYFUNCTION("GOOGLETRANSLATE(A17971, ""en"", ""mt"")"),"jikkoordina l-awtur ewlieni tal-ħames rapport ta 'valutazzjoni")</f>
        <v>jikkoordina l-awtur ewlieni tal-ħames rapport ta 'valutazzjoni</v>
      </c>
    </row>
    <row r="17972" ht="15.75" customHeight="1">
      <c r="A17972" s="2" t="s">
        <v>17972</v>
      </c>
      <c r="B17972" s="2" t="str">
        <f>IFERROR(__xludf.DUMMYFUNCTION("GOOGLETRANSLATE(A17972, ""en"", ""mt"")"),"Ir-Re Ġorġ III")</f>
        <v>Ir-Re Ġorġ III</v>
      </c>
    </row>
    <row r="17973" ht="15.75" customHeight="1">
      <c r="A17973" s="2" t="s">
        <v>17973</v>
      </c>
      <c r="B17973" s="2" t="str">
        <f>IFERROR(__xludf.DUMMYFUNCTION("GOOGLETRANSLATE(A17973, ""en"", ""mt"")"),"Flimkien ma 'muturi elettriċi, x'tip ta' magni ħadu post magni tal-fwar tal-pistuni?")</f>
        <v>Flimkien ma 'muturi elettriċi, x'tip ta' magni ħadu post magni tal-fwar tal-pistuni?</v>
      </c>
    </row>
    <row r="17974" ht="15.75" customHeight="1">
      <c r="A17974" s="2" t="s">
        <v>17974</v>
      </c>
      <c r="B17974" s="2" t="str">
        <f>IFERROR(__xludf.DUMMYFUNCTION("GOOGLETRANSLATE(A17974, ""en"", ""mt"")"),"115 ° F.")</f>
        <v>115 ° F.</v>
      </c>
    </row>
    <row r="17975" ht="15.75" customHeight="1">
      <c r="A17975" s="2" t="s">
        <v>17975</v>
      </c>
      <c r="B17975" s="2" t="str">
        <f>IFERROR(__xludf.DUMMYFUNCTION("GOOGLETRANSLATE(A17975, ""en"", ""mt"")"),"bis-sinjal jidher fuq skrin fluworexxenti")</f>
        <v>bis-sinjal jidher fuq skrin fluworexxenti</v>
      </c>
    </row>
    <row r="17976" ht="15.75" customHeight="1">
      <c r="A17976" s="2" t="s">
        <v>17976</v>
      </c>
      <c r="B17976" s="2" t="str">
        <f>IFERROR(__xludf.DUMMYFUNCTION("GOOGLETRANSLATE(A17976, ""en"", ""mt"")"),"Ħaddiema b'ħiliet baxxi fil-pajjiżi foqra")</f>
        <v>Ħaddiema b'ħiliet baxxi fil-pajjiżi foqra</v>
      </c>
    </row>
    <row r="17977" ht="15.75" customHeight="1">
      <c r="A17977" s="2" t="s">
        <v>17977</v>
      </c>
      <c r="B17977" s="2" t="str">
        <f>IFERROR(__xludf.DUMMYFUNCTION("GOOGLETRANSLATE(A17977, ""en"", ""mt"")"),"X'tip ta 'film kienu siltiet mill-film tal-ispettaklu?")</f>
        <v>X'tip ta 'film kienu siltiet mill-film tal-ispettaklu?</v>
      </c>
    </row>
    <row r="17978" ht="15.75" customHeight="1">
      <c r="A17978" s="2" t="s">
        <v>17978</v>
      </c>
      <c r="B17978" s="2" t="str">
        <f>IFERROR(__xludf.DUMMYFUNCTION("GOOGLETRANSLATE(A17978, ""en"", ""mt"")"),"Xi teoriji ta 'diżubbidjenza ċivili jqisu li d-diżubbidjenza ċivili hija ġġustifikata biss kontra entitajiet governattivi. Brownlee jargumenta li d-diżubbidjenza fl-oppożizzjoni għad-deċiżjonijiet ta 'aġenziji mhux governattivi bħalma huma t-trejdjunjins,"&amp;" il-banek, u l-universitajiet privati ​​tista' tkun iġġustifikata jekk tirrifletti ""sfida akbar għas-sistema legali li tippermetti li dawn id-deċiżjonijiet jittieħdu"". L-istess prinċipju, hija targumenta, tapplika għal ksur tal-liġi bi protesta kontra o"&amp;"rganizzazzjonijiet internazzjonali u gvernijiet barranin.")</f>
        <v>Xi teoriji ta 'diżubbidjenza ċivili jqisu li d-diżubbidjenza ċivili hija ġġustifikata biss kontra entitajiet governattivi. Brownlee jargumenta li d-diżubbidjenza fl-oppożizzjoni għad-deċiżjonijiet ta 'aġenziji mhux governattivi bħalma huma t-trejdjunjins, il-banek, u l-universitajiet privati ​​tista' tkun iġġustifikata jekk tirrifletti "sfida akbar għas-sistema legali li tippermetti li dawn id-deċiżjonijiet jittieħdu". L-istess prinċipju, hija targumenta, tapplika għal ksur tal-liġi bi protesta kontra organizzazzjonijiet internazzjonali u gvernijiet barranin.</v>
      </c>
    </row>
    <row r="17979" ht="15.75" customHeight="1">
      <c r="A17979" s="2" t="s">
        <v>17979</v>
      </c>
      <c r="B17979" s="2" t="str">
        <f>IFERROR(__xludf.DUMMYFUNCTION("GOOGLETRANSLATE(A17979, ""en"", ""mt"")"),"X'kienet il-forma finali tal-lingwa Anglo-Norman?")</f>
        <v>X'kienet il-forma finali tal-lingwa Anglo-Norman?</v>
      </c>
    </row>
    <row r="17980" ht="15.75" customHeight="1">
      <c r="A17980" s="2" t="s">
        <v>17980</v>
      </c>
      <c r="B17980" s="2" t="str">
        <f>IFERROR(__xludf.DUMMYFUNCTION("GOOGLETRANSLATE(A17980, ""en"", ""mt"")"),"Għal fejn il-biċċa l-kbira tal-abalone u l-awwista maqbuda fl-ilmijiet Vittorjani jintbagħtu?")</f>
        <v>Għal fejn il-biċċa l-kbira tal-abalone u l-awwista maqbuda fl-ilmijiet Vittorjani jintbagħtu?</v>
      </c>
    </row>
    <row r="17981" ht="15.75" customHeight="1">
      <c r="A17981" s="2" t="s">
        <v>17981</v>
      </c>
      <c r="B17981" s="2" t="str">
        <f>IFERROR(__xludf.DUMMYFUNCTION("GOOGLETRANSLATE(A17981, ""en"", ""mt"")"),"L-Iżlamiżmu, magħruf ukoll bħala l-Islam politiku (Għarbi: إسلام سياسي Islām Siyāsī), huwa moviment tal-qawmien mill-ġdid Iżlamiku li spiss ikun ikkaratterizzat minn konservattiviżmu morali, litteraliżmu, u l-attentat ""biex jimplimenta valuri Iżlamiċi fl"&amp;"-isferi kollha tal-ħajja."" L-Iżlamiżmu jiffavorixxi l-ordni mill-ġdid tal-gvern u tas-soċjetà skont ix-Shari'a. Il-movimenti Iżlamisti differenti ġew deskritti bħala ""li joxxillaw bejn żewġ poli"": f'tarf hija strateġija ta 'l-Iżlamizzazzjoni tas-Soċjet"&amp;"à permezz ta' poter tal-istat maqbud minn rivoluzzjoni jew invażjoni; Fl-arblu l-ieħor ""riformist"" l-Iżlamisti jaħdmu biex is-soċjetà Iżlamizza gradwalment ""minn isfel għal fuq"". Il-movimenti ""bla dubju biddlu l-Lvant Nofsani aktar minn kwalunkwe xej"&amp;"ra minn meta l-istati moderni kisbu l-indipendenza"", jiddefinixxu mill-ġdid ""politika u anke fruntieri"" skond ġurnalist wieħed (Robin Wright).")</f>
        <v>L-Iżlamiżmu, magħruf ukoll bħala l-Islam politiku (Għarbi: إسلام سياسي Islām Siyāsī), huwa moviment tal-qawmien mill-ġdid Iżlamiku li spiss ikun ikkaratterizzat minn konservattiviżmu morali, litteraliżmu, u l-attentat "biex jimplimenta valuri Iżlamiċi fl-isferi kollha tal-ħajja." L-Iżlamiżmu jiffavorixxi l-ordni mill-ġdid tal-gvern u tas-soċjetà skont ix-Shari'a. Il-movimenti Iżlamisti differenti ġew deskritti bħala "li joxxillaw bejn żewġ poli": f'tarf hija strateġija ta 'l-Iżlamizzazzjoni tas-Soċjetà permezz ta' poter tal-istat maqbud minn rivoluzzjoni jew invażjoni; Fl-arblu l-ieħor "riformist" l-Iżlamisti jaħdmu biex is-soċjetà Iżlamizza gradwalment "minn isfel għal fuq". Il-movimenti "bla dubju biddlu l-Lvant Nofsani aktar minn kwalunkwe xejra minn meta l-istati moderni kisbu l-indipendenza", jiddefinixxu mill-ġdid "politika u anke fruntieri" skond ġurnalist wieħed (Robin Wright).</v>
      </c>
    </row>
    <row r="17982" ht="15.75" customHeight="1">
      <c r="A17982" s="2" t="s">
        <v>17982</v>
      </c>
      <c r="B17982" s="2" t="str">
        <f>IFERROR(__xludf.DUMMYFUNCTION("GOOGLETRANSLATE(A17982, ""en"", ""mt"")"),"Kemm mili madwar l-Oċean Atlantiku jivvjaġġa t-trab tas-Saharan?")</f>
        <v>Kemm mili madwar l-Oċean Atlantiku jivvjaġġa t-trab tas-Saharan?</v>
      </c>
    </row>
    <row r="17983" ht="15.75" customHeight="1">
      <c r="A17983" s="2" t="s">
        <v>17983</v>
      </c>
      <c r="B17983" s="2" t="str">
        <f>IFERROR(__xludf.DUMMYFUNCTION("GOOGLETRANSLATE(A17983, ""en"", ""mt"")"),"status superjuri għall-oħrajn kollha fl-oqsma relatati mas-saħħa")</f>
        <v>status superjuri għall-oħrajn kollha fl-oqsma relatati mas-saħħa</v>
      </c>
    </row>
    <row r="17984" ht="15.75" customHeight="1">
      <c r="A17984" s="2" t="s">
        <v>17984</v>
      </c>
      <c r="B17984" s="2" t="str">
        <f>IFERROR(__xludf.DUMMYFUNCTION("GOOGLETRANSLATE(A17984, ""en"", ""mt"")"),"X’kawża li ċ-Ċina tissospendi l-proġett tal-ferrovija tagħhom?")</f>
        <v>X’kawża li ċ-Ċina tissospendi l-proġett tal-ferrovija tagħhom?</v>
      </c>
    </row>
    <row r="17985" ht="15.75" customHeight="1">
      <c r="A17985" s="2" t="s">
        <v>17985</v>
      </c>
      <c r="B17985" s="2" t="str">
        <f>IFERROR(__xludf.DUMMYFUNCTION("GOOGLETRANSLATE(A17985, ""en"", ""mt"")"),"Kemm interċezzjonijiet AQIB Talib kellu għall-istaġun regolari?")</f>
        <v>Kemm interċezzjonijiet AQIB Talib kellu għall-istaġun regolari?</v>
      </c>
    </row>
    <row r="17986" ht="15.75" customHeight="1">
      <c r="A17986" s="2" t="s">
        <v>17986</v>
      </c>
      <c r="B17986" s="2" t="str">
        <f>IFERROR(__xludf.DUMMYFUNCTION("GOOGLETRANSLATE(A17986, ""en"", ""mt"")"),"Problema ta 'sodisfazzjon Boolean NP-komplut NP")</f>
        <v>Problema ta 'sodisfazzjon Boolean NP-komplut NP</v>
      </c>
    </row>
    <row r="17987" ht="15.75" customHeight="1">
      <c r="A17987" s="2" t="s">
        <v>17987</v>
      </c>
      <c r="B17987" s="2" t="str">
        <f>IFERROR(__xludf.DUMMYFUNCTION("GOOGLETRANSLATE(A17987, ""en"", ""mt"")"),"frekwenza u severità tal-impatti tal-mikrometeoriti")</f>
        <v>frekwenza u severità tal-impatti tal-mikrometeoriti</v>
      </c>
    </row>
    <row r="17988" ht="15.75" customHeight="1">
      <c r="A17988" s="2" t="s">
        <v>17988</v>
      </c>
      <c r="B17988" s="2" t="str">
        <f>IFERROR(__xludf.DUMMYFUNCTION("GOOGLETRANSLATE(A17988, ""en"", ""mt"")"),"biddel it-trattati eżistenti")</f>
        <v>biddel it-trattati eżistenti</v>
      </c>
    </row>
    <row r="17989" ht="15.75" customHeight="1">
      <c r="A17989" s="2" t="s">
        <v>17989</v>
      </c>
      <c r="B17989" s="2" t="str">
        <f>IFERROR(__xludf.DUMMYFUNCTION("GOOGLETRANSLATE(A17989, ""en"", ""mt"")"),"Biex tgħin biex jitnaqqas il-konsum, fl-1974 ġie impost limitu massimu ta 'veloċità massima ta' 55 mph (madwar 88 km / h) permezz tal-Att dwar il-Konservazzjoni tal-Enerġija ta 'l-Awtostrada ta' Emerġenza. L-iżvilupp tar-riżerva strateġika tal-pitrolju be"&amp;"da fl-1975, u fl-1977 inħoloq id-Dipartiment tal-Enerġija fil-livell tal-Kabinett, segwit mill-Att Nazzjonali dwar l-Enerġija tal-1978. [Ċitazzjoni meħtieġa] fit-28 ta 'Novembru, 1995, Bill Clinton iffirma l-Att Nazzjonali tad-Deżin tal-Highway , li jispi"&amp;"ċċa l-limitu federali ta 'veloċità ta' 55 mph (89 km / h), li jippermetti lill-istati jirrestawraw il-limitu ta 'veloċità massima preċedenti tagħhom.")</f>
        <v>Biex tgħin biex jitnaqqas il-konsum, fl-1974 ġie impost limitu massimu ta 'veloċità massima ta' 55 mph (madwar 88 km / h) permezz tal-Att dwar il-Konservazzjoni tal-Enerġija ta 'l-Awtostrada ta' Emerġenza. L-iżvilupp tar-riżerva strateġika tal-pitrolju beda fl-1975, u fl-1977 inħoloq id-Dipartiment tal-Enerġija fil-livell tal-Kabinett, segwit mill-Att Nazzjonali dwar l-Enerġija tal-1978. [Ċitazzjoni meħtieġa] fit-28 ta 'Novembru, 1995, Bill Clinton iffirma l-Att Nazzjonali tad-Deżin tal-Highway , li jispiċċa l-limitu federali ta 'veloċità ta' 55 mph (89 km / h), li jippermetti lill-istati jirrestawraw il-limitu ta 'veloċità massima preċedenti tagħhom.</v>
      </c>
    </row>
    <row r="17990" ht="15.75" customHeight="1">
      <c r="A17990" s="2" t="s">
        <v>17990</v>
      </c>
      <c r="B17990" s="2" t="str">
        <f>IFERROR(__xludf.DUMMYFUNCTION("GOOGLETRANSLATE(A17990, ""en"", ""mt"")"),"Liema xahar huwa l-iktar sħun fi Fresno?")</f>
        <v>Liema xahar huwa l-iktar sħun fi Fresno?</v>
      </c>
    </row>
    <row r="17991" ht="15.75" customHeight="1">
      <c r="A17991" s="2" t="s">
        <v>17991</v>
      </c>
      <c r="B17991" s="2" t="str">
        <f>IFERROR(__xludf.DUMMYFUNCTION("GOOGLETRANSLATE(A17991, ""en"", ""mt"")"),"Biex kontinwament tespandi l-investiment")</f>
        <v>Biex kontinwament tespandi l-investiment</v>
      </c>
    </row>
    <row r="17992" ht="15.75" customHeight="1">
      <c r="A17992" s="2" t="s">
        <v>17992</v>
      </c>
      <c r="B17992" s="2" t="str">
        <f>IFERROR(__xludf.DUMMYFUNCTION("GOOGLETRANSLATE(A17992, ""en"", ""mt"")"),"Kif jiġu peżati l-voti biex jiżguraw li stati iżgħar ma jkunux iddominati minn dawk ikbar?")</f>
        <v>Kif jiġu peżati l-voti biex jiżguraw li stati iżgħar ma jkunux iddominati minn dawk ikbar?</v>
      </c>
    </row>
    <row r="17993" ht="15.75" customHeight="1">
      <c r="A17993" s="2" t="s">
        <v>17993</v>
      </c>
      <c r="B17993" s="2" t="str">
        <f>IFERROR(__xludf.DUMMYFUNCTION("GOOGLETRANSLATE(A17993, ""en"", ""mt"")"),"toffri paga ogħla")</f>
        <v>toffri paga ogħla</v>
      </c>
    </row>
    <row r="17994" ht="15.75" customHeight="1">
      <c r="A17994" s="2" t="s">
        <v>17994</v>
      </c>
      <c r="B17994" s="2" t="str">
        <f>IFERROR(__xludf.DUMMYFUNCTION("GOOGLETRANSLATE(A17994, ""en"", ""mt"")"),"X'tista 'taffettwa forza fuq parti waħda ta' oġġett?")</f>
        <v>X'tista 'taffettwa forza fuq parti waħda ta' oġġett?</v>
      </c>
    </row>
    <row r="17995" ht="15.75" customHeight="1">
      <c r="A17995" s="2" t="s">
        <v>17995</v>
      </c>
      <c r="B17995" s="2" t="str">
        <f>IFERROR(__xludf.DUMMYFUNCTION("GOOGLETRANSLATE(A17995, ""en"", ""mt"")"),"Fejn Luther iddeskriva l-post ta 'mistrieħ tal-qaddisin?")</f>
        <v>Fejn Luther iddeskriva l-post ta 'mistrieħ tal-qaddisin?</v>
      </c>
    </row>
    <row r="17996" ht="15.75" customHeight="1">
      <c r="A17996" s="2" t="s">
        <v>17996</v>
      </c>
      <c r="B17996" s="2" t="str">
        <f>IFERROR(__xludf.DUMMYFUNCTION("GOOGLETRANSLATE(A17996, ""en"", ""mt"")"),"Sqallija u n-Nofsinhar tal-Ewropa")</f>
        <v>Sqallija u n-Nofsinhar tal-Ewropa</v>
      </c>
    </row>
    <row r="17997" ht="15.75" customHeight="1">
      <c r="A17997" s="2" t="s">
        <v>17997</v>
      </c>
      <c r="B17997" s="2" t="str">
        <f>IFERROR(__xludf.DUMMYFUNCTION("GOOGLETRANSLATE(A17997, ""en"", ""mt"")"),"sorċerija jew saħansitra velenu")</f>
        <v>sorċerija jew saħansitra velenu</v>
      </c>
    </row>
    <row r="17998" ht="15.75" customHeight="1">
      <c r="A17998" s="2" t="s">
        <v>17998</v>
      </c>
      <c r="B17998" s="2" t="str">
        <f>IFERROR(__xludf.DUMMYFUNCTION("GOOGLETRANSLATE(A17998, ""en"", ""mt"")"),"X'inhu labirint ta 'tubi membranous?")</f>
        <v>X'inhu labirint ta 'tubi membranous?</v>
      </c>
    </row>
    <row r="17999" ht="15.75" customHeight="1">
      <c r="A17999" s="2" t="s">
        <v>17999</v>
      </c>
      <c r="B17999" s="2" t="str">
        <f>IFERROR(__xludf.DUMMYFUNCTION("GOOGLETRANSLATE(A17999, ""en"", ""mt"")"),"Liema kundizzjonijiet għandhom jiġu sodisfatti biex tippreskrivi sustanza kkontrollata?")</f>
        <v>Liema kundizzjonijiet għandhom jiġu sodisfatti biex tippreskrivi sustanza kkontrollata?</v>
      </c>
    </row>
    <row r="18000" ht="15.75" customHeight="1">
      <c r="A18000" s="2" t="s">
        <v>18000</v>
      </c>
      <c r="B18000" s="2" t="str">
        <f>IFERROR(__xludf.DUMMYFUNCTION("GOOGLETRANSLATE(A18000, ""en"", ""mt"")"),"Skond Politifact l-aqwa 400 Amerikani l-aktar sinjuri ""għandhom aktar ġid minn nofs l-Amerikani kollha magħquda."" Skond in-New York Times fit-22 ta 'Lulju, 2014, l- ""1 fil-mija l-aktar sinjur fl-Istati Uniti issa għandhom aktar ġid mill-qiegħ 90 fil-mi"&amp;"ja"". Il-ġid li jintiret jista 'jgħin biex jispjega għaliex ħafna Amerikani li saru sinjuri setgħu kellhom ""bidu sostanzjali"". F'Settembru 2012, skont l-Istitut għall-Istudji tal-Politika, ""aktar minn 60 fil-mija"" tal-Forbes l-aktar sinjur 400 Amerika"&amp;"n ""kiber bi privileġġ sostanzjali"".")</f>
        <v>Skond Politifact l-aqwa 400 Amerikani l-aktar sinjuri "għandhom aktar ġid minn nofs l-Amerikani kollha magħquda." Skond in-New York Times fit-22 ta 'Lulju, 2014, l- "1 fil-mija l-aktar sinjur fl-Istati Uniti issa għandhom aktar ġid mill-qiegħ 90 fil-mija". Il-ġid li jintiret jista 'jgħin biex jispjega għaliex ħafna Amerikani li saru sinjuri setgħu kellhom "bidu sostanzjali". F'Settembru 2012, skont l-Istitut għall-Istudji tal-Politika, "aktar minn 60 fil-mija" tal-Forbes l-aktar sinjur 400 Amerikan "kiber bi privileġġ sostanzjali".</v>
      </c>
    </row>
    <row r="18001" ht="15.75" customHeight="1">
      <c r="A18001" s="2" t="s">
        <v>18001</v>
      </c>
      <c r="B18001" s="2" t="str">
        <f>IFERROR(__xludf.DUMMYFUNCTION("GOOGLETRANSLATE(A18001, ""en"", ""mt"")"),"Komposti ta 'ossidu")</f>
        <v>Komposti ta 'ossidu</v>
      </c>
    </row>
    <row r="18002" ht="15.75" customHeight="1">
      <c r="A18002" s="2" t="s">
        <v>18002</v>
      </c>
      <c r="B18002" s="2" t="str">
        <f>IFERROR(__xludf.DUMMYFUNCTION("GOOGLETRANSLATE(A18002, ""en"", ""mt"")"),"X’għamel Luther għall-Lhud?")</f>
        <v>X’għamel Luther għall-Lhud?</v>
      </c>
    </row>
    <row r="18003" ht="15.75" customHeight="1">
      <c r="A18003" s="2" t="s">
        <v>18003</v>
      </c>
      <c r="B18003" s="2" t="str">
        <f>IFERROR(__xludf.DUMMYFUNCTION("GOOGLETRANSLATE(A18003, ""en"", ""mt"")"),"It-tradizzjoni medika Ċiniża tal-wan kellha ""erba 'skejjel kbar"" li l-wan wirt mid-dinastija Jin. L-erba 'skejjel kienu bbażati fuq l-istess fondazzjoni intellettwali, iżda favur l-approċċi teoretiċi differenti lejn il-mediċina. Taħt il-Mongoli, il-prat"&amp;"tika tal-mediċina Ċiniża nfirxet għal partijiet oħra tal-imperu. It-tobba Ċiniżi nġabru flimkien ma ’kampanji militari mill-Mongoli hekk kif espandew lejn il-Punent. Tekniki mediċi Ċiniżi bħal acupuncture, moxibustion, dijanjosi tal-polz, u diversi mediċi"&amp;"ni tal-ħxejjex u elixirs ġew trasmessi lejn il-punent lejn il-Lvant Nofsani u l-bqija tal-imperu. Saru diversi avvanzi mediċi fil-perjodu tal-wan. It-tabib Wei Yilin (1277-1347) ivvinta metodu ta 'sospensjoni għat-tnaqqis tal-ġonot diżlokati, li huwa wett"&amp;"aq bl-użu ta' anestetiċi. It-tabib Mongoljan Hu Sihui ddeskriva l-importanza ta 'dieta tajba fi trattat mediku 1330.")</f>
        <v>It-tradizzjoni medika Ċiniża tal-wan kellha "erba 'skejjel kbar" li l-wan wirt mid-dinastija Jin. L-erba 'skejjel kienu bbażati fuq l-istess fondazzjoni intellettwali, iżda favur l-approċċi teoretiċi differenti lejn il-mediċina. Taħt il-Mongoli, il-prattika tal-mediċina Ċiniża nfirxet għal partijiet oħra tal-imperu. It-tobba Ċiniżi nġabru flimkien ma ’kampanji militari mill-Mongoli hekk kif espandew lejn il-Punent. Tekniki mediċi Ċiniżi bħal acupuncture, moxibustion, dijanjosi tal-polz, u diversi mediċini tal-ħxejjex u elixirs ġew trasmessi lejn il-punent lejn il-Lvant Nofsani u l-bqija tal-imperu. Saru diversi avvanzi mediċi fil-perjodu tal-wan. It-tabib Wei Yilin (1277-1347) ivvinta metodu ta 'sospensjoni għat-tnaqqis tal-ġonot diżlokati, li huwa wettaq bl-użu ta' anestetiċi. It-tabib Mongoljan Hu Sihui ddeskriva l-importanza ta 'dieta tajba fi trattat mediku 1330.</v>
      </c>
    </row>
    <row r="18004" ht="15.75" customHeight="1">
      <c r="A18004" s="2" t="s">
        <v>18004</v>
      </c>
      <c r="B18004" s="2" t="str">
        <f>IFERROR(__xludf.DUMMYFUNCTION("GOOGLETRANSLATE(A18004, ""en"", ""mt"")"),"Il-Kristjaneżmu u l-Kultura Franċiża")</f>
        <v>Il-Kristjaneżmu u l-Kultura Franċiża</v>
      </c>
    </row>
    <row r="18005" ht="15.75" customHeight="1">
      <c r="A18005" s="2" t="s">
        <v>18005</v>
      </c>
      <c r="B18005" s="2" t="str">
        <f>IFERROR(__xludf.DUMMYFUNCTION("GOOGLETRANSLATE(A18005, ""en"", ""mt"")"),"F'liema punt fil-ġurnata kienet miżżewġa l-koppja?")</f>
        <v>F'liema punt fil-ġurnata kienet miżżewġa l-koppja?</v>
      </c>
    </row>
    <row r="18006" ht="15.75" customHeight="1">
      <c r="A18006" s="2" t="s">
        <v>18006</v>
      </c>
      <c r="B18006" s="2" t="str">
        <f>IFERROR(__xludf.DUMMYFUNCTION("GOOGLETRANSLATE(A18006, ""en"", ""mt"")"),"l-istess f'kull qafas ta 'referenza inerzjali")</f>
        <v>l-istess f'kull qafas ta 'referenza inerzjali</v>
      </c>
    </row>
    <row r="18007" ht="15.75" customHeight="1">
      <c r="A18007" s="2" t="s">
        <v>18007</v>
      </c>
      <c r="B18007" s="2" t="str">
        <f>IFERROR(__xludf.DUMMYFUNCTION("GOOGLETRANSLATE(A18007, ""en"", ""mt"")"),"Dipartiment tal-Kelma u l-Immaġni.")</f>
        <v>Dipartiment tal-Kelma u l-Immaġni.</v>
      </c>
    </row>
    <row r="18008" ht="15.75" customHeight="1">
      <c r="A18008" s="2" t="s">
        <v>18008</v>
      </c>
      <c r="B18008" s="2" t="str">
        <f>IFERROR(__xludf.DUMMYFUNCTION("GOOGLETRANSLATE(A18008, ""en"", ""mt"")"),"Il-kostruzzjoni tinvolvi t-traduzzjoni ta 'xiex?")</f>
        <v>Il-kostruzzjoni tinvolvi t-traduzzjoni ta 'xiex?</v>
      </c>
    </row>
    <row r="18009" ht="15.75" customHeight="1">
      <c r="A18009" s="2" t="s">
        <v>18009</v>
      </c>
      <c r="B18009" s="2" t="str">
        <f>IFERROR(__xludf.DUMMYFUNCTION("GOOGLETRANSLATE(A18009, ""en"", ""mt"")"),"aktar minn 2,")</f>
        <v>aktar minn 2,</v>
      </c>
    </row>
    <row r="18010" ht="15.75" customHeight="1">
      <c r="A18010" s="2" t="s">
        <v>18010</v>
      </c>
      <c r="B18010" s="2" t="str">
        <f>IFERROR(__xludf.DUMMYFUNCTION("GOOGLETRANSLATE(A18010, ""en"", ""mt"")"),"Jamukha, u l-protettur tiegħu, Toghrul Khan")</f>
        <v>Jamukha, u l-protettur tiegħu, Toghrul Khan</v>
      </c>
    </row>
    <row r="18011" ht="15.75" customHeight="1">
      <c r="A18011" s="2" t="s">
        <v>18011</v>
      </c>
      <c r="B18011" s="2" t="str">
        <f>IFERROR(__xludf.DUMMYFUNCTION("GOOGLETRANSLATE(A18011, ""en"", ""mt"")"),"Gospić")</f>
        <v>Gospić</v>
      </c>
    </row>
    <row r="18012" ht="15.75" customHeight="1">
      <c r="A18012" s="2" t="s">
        <v>18012</v>
      </c>
      <c r="B18012" s="2" t="str">
        <f>IFERROR(__xludf.DUMMYFUNCTION("GOOGLETRANSLATE(A18012, ""en"", ""mt"")"),"Gasquet (1908) sostna li l-isem Latin Atra Mors (Black Death) għall-epidemija tas-seklu 14 deher l-ewwel darba fiż-żminijiet moderni fl-1631 fi ktieb dwar l-istorja Daniża minn J.I. Pontanus: ""Vocatibant Mortem Vulgo &amp; Ab Effectu Atram. Isem. Fl-Ingilter"&amp;"ra, ma kienx sal-1823 li l-epidemija medjevali kienet l-ewwel imsejħa l-Black Death.")</f>
        <v>Gasquet (1908) sostna li l-isem Latin Atra Mors (Black Death) għall-epidemija tas-seklu 14 deher l-ewwel darba fiż-żminijiet moderni fl-1631 fi ktieb dwar l-istorja Daniża minn J.I. Pontanus: "Vocatibant Mortem Vulgo &amp; Ab Effectu Atram. Isem. Fl-Ingilterra, ma kienx sal-1823 li l-epidemija medjevali kienet l-ewwel imsejħa l-Black Death.</v>
      </c>
    </row>
    <row r="18013" ht="15.75" customHeight="1">
      <c r="A18013" s="2" t="s">
        <v>18013</v>
      </c>
      <c r="B18013" s="2" t="str">
        <f>IFERROR(__xludf.DUMMYFUNCTION("GOOGLETRANSLATE(A18013, ""en"", ""mt"")"),"Liema bliet ewlenin fl-Ewropa tal-Lvant ma nqerdux mill-invażjoni tal-Mongolja?")</f>
        <v>Liema bliet ewlenin fl-Ewropa tal-Lvant ma nqerdux mill-invażjoni tal-Mongolja?</v>
      </c>
    </row>
    <row r="18014" ht="15.75" customHeight="1">
      <c r="A18014" s="2" t="s">
        <v>18014</v>
      </c>
      <c r="B18014" s="2" t="str">
        <f>IFERROR(__xludf.DUMMYFUNCTION("GOOGLETRANSLATE(A18014, ""en"", ""mt"")"),"Skond it-teorema ta 'Wilson, liema fatt irid ikun diviżibbli minn n jekk xi numru sħiħ n&gt; 4 għandu jkun ikkunsidrat bħala kompost?")</f>
        <v>Skond it-teorema ta 'Wilson, liema fatt irid ikun diviżibbli minn n jekk xi numru sħiħ n&gt; 4 għandu jkun ikkunsidrat bħala kompost?</v>
      </c>
    </row>
    <row r="18015" ht="15.75" customHeight="1">
      <c r="A18015" s="2" t="s">
        <v>18015</v>
      </c>
      <c r="B18015" s="2" t="str">
        <f>IFERROR(__xludf.DUMMYFUNCTION("GOOGLETRANSLATE(A18015, ""en"", ""mt"")"),"ugwaljanza akbar")</f>
        <v>ugwaljanza akbar</v>
      </c>
    </row>
    <row r="18016" ht="15.75" customHeight="1">
      <c r="A18016" s="2" t="s">
        <v>18016</v>
      </c>
      <c r="B18016" s="2" t="str">
        <f>IFERROR(__xludf.DUMMYFUNCTION("GOOGLETRANSLATE(A18016, ""en"", ""mt"")"),"Meta ġew skoperti x-rays?")</f>
        <v>Meta ġew skoperti x-rays?</v>
      </c>
    </row>
    <row r="18017" ht="15.75" customHeight="1">
      <c r="A18017" s="2" t="s">
        <v>18017</v>
      </c>
      <c r="B18017" s="2" t="str">
        <f>IFERROR(__xludf.DUMMYFUNCTION("GOOGLETRANSLATE(A18017, ""en"", ""mt"")"),"X'inhuma ż-żrinġijiet tad-dart li huma magħrufa li jnixxu?")</f>
        <v>X'inhuma ż-żrinġijiet tad-dart li huma magħrufa li jnixxu?</v>
      </c>
    </row>
    <row r="18018" ht="15.75" customHeight="1">
      <c r="A18018" s="2" t="s">
        <v>18018</v>
      </c>
      <c r="B18018" s="2" t="str">
        <f>IFERROR(__xludf.DUMMYFUNCTION("GOOGLETRANSLATE(A18018, ""en"", ""mt"")"),"tqiegħedhom fuq il-fidi profetika.")</f>
        <v>tqiegħedhom fuq il-fidi profetika.</v>
      </c>
    </row>
    <row r="18019" ht="15.75" customHeight="1">
      <c r="A18019" s="2" t="s">
        <v>18019</v>
      </c>
      <c r="B18019" s="2" t="str">
        <f>IFERROR(__xludf.DUMMYFUNCTION("GOOGLETRANSLATE(A18019, ""en"", ""mt"")"),"l-elettorat ta 'Brandenburg u l-elettorat tal-palatinate")</f>
        <v>l-elettorat ta 'Brandenburg u l-elettorat tal-palatinate</v>
      </c>
    </row>
    <row r="18020" ht="15.75" customHeight="1">
      <c r="A18020" s="2" t="s">
        <v>18020</v>
      </c>
      <c r="B18020" s="2" t="str">
        <f>IFERROR(__xludf.DUMMYFUNCTION("GOOGLETRANSLATE(A18020, ""en"", ""mt"")"),"Liema teorija tiġġustifika l-imperjalizmu parzjalment?")</f>
        <v>Liema teorija tiġġustifika l-imperjalizmu parzjalment?</v>
      </c>
    </row>
    <row r="18021" ht="15.75" customHeight="1">
      <c r="A18021" s="2" t="s">
        <v>18021</v>
      </c>
      <c r="B18021" s="2" t="str">
        <f>IFERROR(__xludf.DUMMYFUNCTION("GOOGLETRANSLATE(A18021, ""en"", ""mt"")"),"Neuroimmuni")</f>
        <v>Neuroimmuni</v>
      </c>
    </row>
    <row r="18022" ht="15.75" customHeight="1">
      <c r="A18022" s="2" t="s">
        <v>18022</v>
      </c>
      <c r="B18022" s="2" t="str">
        <f>IFERROR(__xludf.DUMMYFUNCTION("GOOGLETRANSLATE(A18022, ""en"", ""mt"")"),"Liema komponent ta 'l-ilma huwa aktar solubbli minn nitroġenu?")</f>
        <v>Liema komponent ta 'l-ilma huwa aktar solubbli minn nitroġenu?</v>
      </c>
    </row>
    <row r="18023" ht="15.75" customHeight="1">
      <c r="A18023" s="2" t="s">
        <v>18023</v>
      </c>
      <c r="B18023" s="2" t="str">
        <f>IFERROR(__xludf.DUMMYFUNCTION("GOOGLETRANSLATE(A18023, ""en"", ""mt"")"),"Liema prinċipju jenfasizza s-sinifikat tal-primes fit-teorija tan-numri")</f>
        <v>Liema prinċipju jenfasizza s-sinifikat tal-primes fit-teorija tan-numri</v>
      </c>
    </row>
    <row r="18024" ht="15.75" customHeight="1">
      <c r="A18024" s="2" t="s">
        <v>18024</v>
      </c>
      <c r="B18024" s="2" t="str">
        <f>IFERROR(__xludf.DUMMYFUNCTION("GOOGLETRANSLATE(A18024, ""en"", ""mt"")"),"metodu li bih il-mediċini huma mitluba u riċevuti")</f>
        <v>metodu li bih il-mediċini huma mitluba u riċevuti</v>
      </c>
    </row>
    <row r="18025" ht="15.75" customHeight="1">
      <c r="A18025" s="2" t="s">
        <v>18025</v>
      </c>
      <c r="B18025" s="2" t="str">
        <f>IFERROR(__xludf.DUMMYFUNCTION("GOOGLETRANSLATE(A18025, ""en"", ""mt"")"),"Awturi Richard Wilkinson u Kate Pickett")</f>
        <v>Awturi Richard Wilkinson u Kate Pickett</v>
      </c>
    </row>
    <row r="18026" ht="15.75" customHeight="1">
      <c r="A18026" s="2" t="s">
        <v>18026</v>
      </c>
      <c r="B18026" s="2" t="str">
        <f>IFERROR(__xludf.DUMMYFUNCTION("GOOGLETRANSLATE(A18026, ""en"", ""mt"")"),"Ekwazzjonijiet Newtonjani")</f>
        <v>Ekwazzjonijiet Newtonjani</v>
      </c>
    </row>
    <row r="18027" ht="15.75" customHeight="1">
      <c r="A18027" s="2" t="s">
        <v>18027</v>
      </c>
      <c r="B18027" s="2" t="str">
        <f>IFERROR(__xludf.DUMMYFUNCTION("GOOGLETRANSLATE(A18027, ""en"", ""mt"")"),"Imperatur Chengzong")</f>
        <v>Imperatur Chengzong</v>
      </c>
    </row>
    <row r="18028" ht="15.75" customHeight="1">
      <c r="A18028" s="2" t="s">
        <v>18028</v>
      </c>
      <c r="B18028" s="2" t="str">
        <f>IFERROR(__xludf.DUMMYFUNCTION("GOOGLETRANSLATE(A18028, ""en"", ""mt"")"),"tnaqqas l-ispejjeż u timmassimizza l-profitti")</f>
        <v>tnaqqas l-ispejjeż u timmassimizza l-profitti</v>
      </c>
    </row>
    <row r="18029" ht="15.75" customHeight="1">
      <c r="A18029" s="2" t="s">
        <v>18029</v>
      </c>
      <c r="B18029" s="2" t="str">
        <f>IFERROR(__xludf.DUMMYFUNCTION("GOOGLETRANSLATE(A18029, ""en"", ""mt"")"),"X'inhuma l-aktar tliet elementi abbundanti tal-univers bil-massa?")</f>
        <v>X'inhuma l-aktar tliet elementi abbundanti tal-univers bil-massa?</v>
      </c>
    </row>
    <row r="18030" ht="15.75" customHeight="1">
      <c r="A18030" s="2" t="s">
        <v>18030</v>
      </c>
      <c r="B18030" s="2" t="str">
        <f>IFERROR(__xludf.DUMMYFUNCTION("GOOGLETRANSLATE(A18030, ""en"", ""mt"")"),"tagħti")</f>
        <v>tagħti</v>
      </c>
    </row>
    <row r="18031" ht="15.75" customHeight="1">
      <c r="A18031" s="2" t="s">
        <v>18031</v>
      </c>
      <c r="B18031" s="2" t="str">
        <f>IFERROR(__xludf.DUMMYFUNCTION("GOOGLETRANSLATE(A18031, ""en"", ""mt"")"),"iż-żewġ kobor tal-forza jew jitnaqqsu mill-oħra")</f>
        <v>iż-żewġ kobor tal-forza jew jitnaqqsu mill-oħra</v>
      </c>
    </row>
    <row r="18032" ht="15.75" customHeight="1">
      <c r="A18032" s="2" t="s">
        <v>18032</v>
      </c>
      <c r="B18032" s="2" t="str">
        <f>IFERROR(__xludf.DUMMYFUNCTION("GOOGLETRANSLATE(A18032, ""en"", ""mt"")"),"Il-President tal-Università Robert Maynard Hutchins De-enfasizza Varsity Athletics")</f>
        <v>Il-President tal-Università Robert Maynard Hutchins De-enfasizza Varsity Athletics</v>
      </c>
    </row>
    <row r="18033" ht="15.75" customHeight="1">
      <c r="A18033" s="2" t="s">
        <v>18033</v>
      </c>
      <c r="B18033" s="2" t="str">
        <f>IFERROR(__xludf.DUMMYFUNCTION("GOOGLETRANSLATE(A18033, ""en"", ""mt"")"),"Għaliex il-pulizija u s-servizzi tan-nar jaqgħu taħt il-ħsieb tal-Parlament Skoċċiż?")</f>
        <v>Għaliex il-pulizija u s-servizzi tan-nar jaqgħu taħt il-ħsieb tal-Parlament Skoċċiż?</v>
      </c>
    </row>
    <row r="18034" ht="15.75" customHeight="1">
      <c r="A18034" s="2" t="s">
        <v>18034</v>
      </c>
      <c r="B18034" s="2" t="str">
        <f>IFERROR(__xludf.DUMMYFUNCTION("GOOGLETRANSLATE(A18034, ""en"", ""mt"")"),"ibbażat fil-komunità")</f>
        <v>ibbażat fil-komunità</v>
      </c>
    </row>
    <row r="18035" ht="15.75" customHeight="1">
      <c r="A18035" s="2" t="s">
        <v>18035</v>
      </c>
      <c r="B18035" s="2" t="str">
        <f>IFERROR(__xludf.DUMMYFUNCTION("GOOGLETRANSLATE(A18035, ""en"", ""mt"")"),"Senser tal-bilanċ li jikkonsisti fi statolit")</f>
        <v>Senser tal-bilanċ li jikkonsisti fi statolit</v>
      </c>
    </row>
    <row r="18036" ht="15.75" customHeight="1">
      <c r="A18036" s="2" t="s">
        <v>18036</v>
      </c>
      <c r="B18036" s="2" t="str">
        <f>IFERROR(__xludf.DUMMYFUNCTION("GOOGLETRANSLATE(A18036, ""en"", ""mt"")"),"Tlieta")</f>
        <v>Tlieta</v>
      </c>
    </row>
    <row r="18037" ht="15.75" customHeight="1">
      <c r="A18037" s="2" t="s">
        <v>18037</v>
      </c>
      <c r="B18037" s="2" t="str">
        <f>IFERROR(__xludf.DUMMYFUNCTION("GOOGLETRANSLATE(A18037, ""en"", ""mt"")"),"X’inkiseb art meta sofra n-nazzjonaliżmu Għarbi?")</f>
        <v>X’inkiseb art meta sofra n-nazzjonaliżmu Għarbi?</v>
      </c>
    </row>
    <row r="18038" ht="15.75" customHeight="1">
      <c r="A18038" s="2" t="s">
        <v>18038</v>
      </c>
      <c r="B18038" s="2" t="str">
        <f>IFERROR(__xludf.DUMMYFUNCTION("GOOGLETRANSLATE(A18038, ""en"", ""mt"")"),"Fejn marru l-iskarikar mill-glaċieri fl-Ewropa fl-aħħar era tas-silġ?")</f>
        <v>Fejn marru l-iskarikar mill-glaċieri fl-Ewropa fl-aħħar era tas-silġ?</v>
      </c>
    </row>
    <row r="18039" ht="15.75" customHeight="1">
      <c r="A18039" s="2" t="s">
        <v>18039</v>
      </c>
      <c r="B18039" s="2" t="str">
        <f>IFERROR(__xludf.DUMMYFUNCTION("GOOGLETRANSLATE(A18039, ""en"", ""mt"")"),"l-20")</f>
        <v>l-20</v>
      </c>
    </row>
    <row r="18040" ht="15.75" customHeight="1">
      <c r="A18040" s="2" t="s">
        <v>18040</v>
      </c>
      <c r="B18040" s="2" t="str">
        <f>IFERROR(__xludf.DUMMYFUNCTION("GOOGLETRANSLATE(A18040, ""en"", ""mt"")"),"X'kien l-isem tal-battalja li mmarkat l-ewwel rebħa Konfederata fi Florida?")</f>
        <v>X'kien l-isem tal-battalja li mmarkat l-ewwel rebħa Konfederata fi Florida?</v>
      </c>
    </row>
    <row r="18041" ht="15.75" customHeight="1">
      <c r="A18041" s="2" t="s">
        <v>18041</v>
      </c>
      <c r="B18041" s="2" t="str">
        <f>IFERROR(__xludf.DUMMYFUNCTION("GOOGLETRANSLATE(A18041, ""en"", ""mt"")"),"Għal liema tip ta 'riżultati jistgħu saħansitra jwasslu swieq stabbli?")</f>
        <v>Għal liema tip ta 'riżultati jistgħu saħansitra jwasslu swieq stabbli?</v>
      </c>
    </row>
    <row r="18042" ht="15.75" customHeight="1">
      <c r="A18042" s="2" t="s">
        <v>18042</v>
      </c>
      <c r="B18042" s="2" t="str">
        <f>IFERROR(__xludf.DUMMYFUNCTION("GOOGLETRANSLATE(A18042, ""en"", ""mt"")"),"allegazzjonijiet ta 'kondotta ħażina professjonali")</f>
        <v>allegazzjonijiet ta 'kondotta ħażina professjonali</v>
      </c>
    </row>
    <row r="18043" ht="15.75" customHeight="1">
      <c r="A18043" s="2" t="s">
        <v>18043</v>
      </c>
      <c r="B18043" s="2" t="str">
        <f>IFERROR(__xludf.DUMMYFUNCTION("GOOGLETRANSLATE(A18043, ""en"", ""mt"")"),"Liema tip ieħor ta 'sport huwa popolari fin-Nofsinhar ta' California?")</f>
        <v>Liema tip ieħor ta 'sport huwa popolari fin-Nofsinhar ta' California?</v>
      </c>
    </row>
    <row r="18044" ht="15.75" customHeight="1">
      <c r="A18044" s="2" t="s">
        <v>18044</v>
      </c>
      <c r="B18044" s="2" t="str">
        <f>IFERROR(__xludf.DUMMYFUNCTION("GOOGLETRANSLATE(A18044, ""en"", ""mt"")"),"Min janalizza kampjuni tal-blat minn qlub tat-tħaffir fil-laboratorju?")</f>
        <v>Min janalizza kampjuni tal-blat minn qlub tat-tħaffir fil-laboratorju?</v>
      </c>
    </row>
    <row r="18045" ht="15.75" customHeight="1">
      <c r="A18045" s="2" t="s">
        <v>18045</v>
      </c>
      <c r="B18045" s="2" t="str">
        <f>IFERROR(__xludf.DUMMYFUNCTION("GOOGLETRANSLATE(A18045, ""en"", ""mt"")"),"Meta ġew megħluba n-nuqqasijiet tal-fiżika ta 'Aristotile?")</f>
        <v>Meta ġew megħluba n-nuqqasijiet tal-fiżika ta 'Aristotile?</v>
      </c>
    </row>
    <row r="18046" ht="15.75" customHeight="1">
      <c r="A18046" s="2" t="s">
        <v>18046</v>
      </c>
      <c r="B18046" s="2" t="str">
        <f>IFERROR(__xludf.DUMMYFUNCTION("GOOGLETRANSLATE(A18046, ""en"", ""mt"")"),"Jekk l-UE ma tikkonformax mad-drittijiet u l-prinċipji kostituzzjonali bażiċi tagħha")</f>
        <v>Jekk l-UE ma tikkonformax mad-drittijiet u l-prinċipji kostituzzjonali bażiċi tagħha</v>
      </c>
    </row>
    <row r="18047" ht="15.75" customHeight="1">
      <c r="A18047" s="2" t="s">
        <v>18047</v>
      </c>
      <c r="B18047" s="2" t="str">
        <f>IFERROR(__xludf.DUMMYFUNCTION("GOOGLETRANSLATE(A18047, ""en"", ""mt"")"),"L-Afrika tat-Tramuntana u tal-Punent, kif ukoll l-Asja tax-Xlokk,")</f>
        <v>L-Afrika tat-Tramuntana u tal-Punent, kif ukoll l-Asja tax-Xlokk,</v>
      </c>
    </row>
    <row r="18048" ht="15.75" customHeight="1">
      <c r="A18048" s="2" t="s">
        <v>18048</v>
      </c>
      <c r="B18048" s="2" t="str">
        <f>IFERROR(__xludf.DUMMYFUNCTION("GOOGLETRANSLATE(A18048, ""en"", ""mt"")"),"Kunsill Ġenerali tat-Tagħlim għall-Iskozja")</f>
        <v>Kunsill Ġenerali tat-Tagħlim għall-Iskozja</v>
      </c>
    </row>
    <row r="18049" ht="15.75" customHeight="1">
      <c r="A18049" s="2" t="s">
        <v>18049</v>
      </c>
      <c r="B18049" s="2" t="str">
        <f>IFERROR(__xludf.DUMMYFUNCTION("GOOGLETRANSLATE(A18049, ""en"", ""mt"")"),"1756 għall-iffirmar tat-Trattat tal-Paċi fl-1763")</f>
        <v>1756 għall-iffirmar tat-Trattat tal-Paċi fl-1763</v>
      </c>
    </row>
    <row r="18050" ht="15.75" customHeight="1">
      <c r="A18050" s="2" t="s">
        <v>18050</v>
      </c>
      <c r="B18050" s="2" t="str">
        <f>IFERROR(__xludf.DUMMYFUNCTION("GOOGLETRANSLATE(A18050, ""en"", ""mt"")"),"Kmieni seklu għoxrin")</f>
        <v>Kmieni seklu għoxrin</v>
      </c>
    </row>
    <row r="18051" ht="15.75" customHeight="1">
      <c r="A18051" s="2" t="s">
        <v>18051</v>
      </c>
      <c r="B18051" s="2" t="str">
        <f>IFERROR(__xludf.DUMMYFUNCTION("GOOGLETRANSLATE(A18051, ""en"", ""mt"")"),"Dak li ġiegħel lil Shen Kuo jemmen li l-art kienet iffurmata mill-erożjoni tal-muntanji?")</f>
        <v>Dak li ġiegħel lil Shen Kuo jemmen li l-art kienet iffurmata mill-erożjoni tal-muntanji?</v>
      </c>
    </row>
    <row r="18052" ht="15.75" customHeight="1">
      <c r="A18052" s="2" t="s">
        <v>18052</v>
      </c>
      <c r="B18052" s="2" t="str">
        <f>IFERROR(__xludf.DUMMYFUNCTION("GOOGLETRANSLATE(A18052, ""en"", ""mt"")"),"Huwa ħabbar rebbieħ")</f>
        <v>Huwa ħabbar rebbieħ</v>
      </c>
    </row>
    <row r="18053" ht="15.75" customHeight="1">
      <c r="A18053" s="2" t="s">
        <v>18053</v>
      </c>
      <c r="B18053" s="2" t="str">
        <f>IFERROR(__xludf.DUMMYFUNCTION("GOOGLETRANSLATE(A18053, ""en"", ""mt"")"),"Pesta Taljana")</f>
        <v>Pesta Taljana</v>
      </c>
    </row>
    <row r="18054" ht="15.75" customHeight="1">
      <c r="A18054" s="2" t="s">
        <v>18054</v>
      </c>
      <c r="B18054" s="2" t="str">
        <f>IFERROR(__xludf.DUMMYFUNCTION("GOOGLETRANSLATE(A18054, ""en"", ""mt"")"),"Rigal tal-grazzja ta ’Alla")</f>
        <v>Rigal tal-grazzja ta ’Alla</v>
      </c>
    </row>
    <row r="18055" ht="15.75" customHeight="1">
      <c r="A18055" s="2" t="s">
        <v>18055</v>
      </c>
      <c r="B18055" s="2" t="str">
        <f>IFERROR(__xludf.DUMMYFUNCTION("GOOGLETRANSLATE(A18055, ""en"", ""mt"")"),"il-bużżieqa tad-djar")</f>
        <v>il-bużżieqa tad-djar</v>
      </c>
    </row>
    <row r="18056" ht="15.75" customHeight="1">
      <c r="A18056" s="2" t="s">
        <v>18056</v>
      </c>
      <c r="B18056" s="2" t="str">
        <f>IFERROR(__xludf.DUMMYFUNCTION("GOOGLETRANSLATE(A18056, ""en"", ""mt"")"),"Liema lingwa l-Qorti tal-Ġustizzja aċċettat li kienet meħtieġa tgħallem f'kulleġġ ta 'Dublin fil-Ministru għall-Edukazzjoni Groner vs?")</f>
        <v>Liema lingwa l-Qorti tal-Ġustizzja aċċettat li kienet meħtieġa tgħallem f'kulleġġ ta 'Dublin fil-Ministru għall-Edukazzjoni Groner vs?</v>
      </c>
    </row>
    <row r="18057" ht="15.75" customHeight="1">
      <c r="A18057" s="2" t="s">
        <v>18057</v>
      </c>
      <c r="B18057" s="2" t="str">
        <f>IFERROR(__xludf.DUMMYFUNCTION("GOOGLETRANSLATE(A18057, ""en"", ""mt"")"),"eluf ta ’snin")</f>
        <v>eluf ta ’snin</v>
      </c>
    </row>
    <row r="18058" ht="15.75" customHeight="1">
      <c r="A18058" s="2" t="s">
        <v>18058</v>
      </c>
      <c r="B18058" s="2" t="str">
        <f>IFERROR(__xludf.DUMMYFUNCTION("GOOGLETRANSLATE(A18058, ""en"", ""mt"")"),"Ekonomija")</f>
        <v>Ekonomija</v>
      </c>
    </row>
    <row r="18059" ht="15.75" customHeight="1">
      <c r="A18059" s="2" t="s">
        <v>18059</v>
      </c>
      <c r="B18059" s="2" t="str">
        <f>IFERROR(__xludf.DUMMYFUNCTION("GOOGLETRANSLATE(A18059, ""en"", ""mt"")"),"Flimkien ma 'xewqa għal aktar pressjoni tal-fwar, x'kienu s-sewwieqa bikrija li qed ifittxu li jiġġeneraw meta waqqfu valvi ta' sigurtà 'l isfel?")</f>
        <v>Flimkien ma 'xewqa għal aktar pressjoni tal-fwar, x'kienu s-sewwieqa bikrija li qed ifittxu li jiġġeneraw meta waqqfu valvi ta' sigurtà 'l isfel?</v>
      </c>
    </row>
    <row r="18060" ht="15.75" customHeight="1">
      <c r="A18060" s="2" t="s">
        <v>18060</v>
      </c>
      <c r="B18060" s="2" t="str">
        <f>IFERROR(__xludf.DUMMYFUNCTION("GOOGLETRANSLATE(A18060, ""en"", ""mt"")"),"X'tip ta 'teorija tan-numri tuża u tistudja l-ideali ewlenin?")</f>
        <v>X'tip ta 'teorija tan-numri tuża u tistudja l-ideali ewlenin?</v>
      </c>
    </row>
    <row r="18061" ht="15.75" customHeight="1">
      <c r="A18061" s="2" t="s">
        <v>18061</v>
      </c>
      <c r="B18061" s="2" t="str">
        <f>IFERROR(__xludf.DUMMYFUNCTION("GOOGLETRANSLATE(A18061, ""en"", ""mt"")"),"X'kien suċċess kbir, speċjalment fil-bini mill-ġdid ta 'Varsavja?")</f>
        <v>X'kien suċċess kbir, speċjalment fil-bini mill-ġdid ta 'Varsavja?</v>
      </c>
    </row>
    <row r="18062" ht="15.75" customHeight="1">
      <c r="A18062" s="2" t="s">
        <v>18062</v>
      </c>
      <c r="B18062" s="2" t="str">
        <f>IFERROR(__xludf.DUMMYFUNCTION("GOOGLETRANSLATE(A18062, ""en"", ""mt"")"),"11-il miljun")</f>
        <v>11-il miljun</v>
      </c>
    </row>
    <row r="18063" ht="15.75" customHeight="1">
      <c r="A18063" s="2" t="s">
        <v>18063</v>
      </c>
      <c r="B18063" s="2" t="str">
        <f>IFERROR(__xludf.DUMMYFUNCTION("GOOGLETRANSLATE(A18063, ""en"", ""mt"")"),"Kif huma rranġati l-pirenojdi u t-thylakoids?")</f>
        <v>Kif huma rranġati l-pirenojdi u t-thylakoids?</v>
      </c>
    </row>
    <row r="18064" ht="15.75" customHeight="1">
      <c r="A18064" s="2" t="s">
        <v>18064</v>
      </c>
      <c r="B18064" s="2" t="str">
        <f>IFERROR(__xludf.DUMMYFUNCTION("GOOGLETRANSLATE(A18064, ""en"", ""mt"")"),"Hordes qattiela u ħalliena")</f>
        <v>Hordes qattiela u ħalliena</v>
      </c>
    </row>
    <row r="18065" ht="15.75" customHeight="1">
      <c r="A18065" s="2" t="s">
        <v>18065</v>
      </c>
      <c r="B18065" s="2" t="str">
        <f>IFERROR(__xludf.DUMMYFUNCTION("GOOGLETRANSLATE(A18065, ""en"", ""mt"")"),"Ġestjoni fqira, diviżjonijiet interni, u scouts Kanadiżi effettivi")</f>
        <v>Ġestjoni fqira, diviżjonijiet interni, u scouts Kanadiżi effettivi</v>
      </c>
    </row>
    <row r="18066" ht="15.75" customHeight="1">
      <c r="A18066" s="2" t="s">
        <v>18066</v>
      </c>
      <c r="B18066" s="2" t="str">
        <f>IFERROR(__xludf.DUMMYFUNCTION("GOOGLETRANSLATE(A18066, ""en"", ""mt"")"),"meqrud")</f>
        <v>meqrud</v>
      </c>
    </row>
    <row r="18067" ht="15.75" customHeight="1">
      <c r="A18067" s="2" t="s">
        <v>18067</v>
      </c>
      <c r="B18067" s="2" t="str">
        <f>IFERROR(__xludf.DUMMYFUNCTION("GOOGLETRANSLATE(A18067, ""en"", ""mt"")"),"Kemm hemm rotazzjonijiet tal-krank f'ċiklu tal-magna?")</f>
        <v>Kemm hemm rotazzjonijiet tal-krank f'ċiklu tal-magna?</v>
      </c>
    </row>
    <row r="18068" ht="15.75" customHeight="1">
      <c r="A18068" s="2" t="s">
        <v>18068</v>
      </c>
      <c r="B18068" s="2" t="str">
        <f>IFERROR(__xludf.DUMMYFUNCTION("GOOGLETRANSLATE(A18068, ""en"", ""mt"")"),"Ftit qtar biss")</f>
        <v>Ftit qtar biss</v>
      </c>
    </row>
    <row r="18069" ht="15.75" customHeight="1">
      <c r="A18069" s="2" t="s">
        <v>18069</v>
      </c>
      <c r="B18069" s="2" t="str">
        <f>IFERROR(__xludf.DUMMYFUNCTION("GOOGLETRANSLATE(A18069, ""en"", ""mt"")"),"Xi jfisser għalliem fir-rigward tas-suġġett tiegħu?")</f>
        <v>Xi jfisser għalliem fir-rigward tas-suġġett tiegħu?</v>
      </c>
    </row>
    <row r="18070" ht="15.75" customHeight="1">
      <c r="A18070" s="2" t="s">
        <v>18070</v>
      </c>
      <c r="B18070" s="2" t="str">
        <f>IFERROR(__xludf.DUMMYFUNCTION("GOOGLETRANSLATE(A18070, ""en"", ""mt"")"),"""tagħlaq"" id-dibattitu")</f>
        <v>"tagħlaq" id-dibattitu</v>
      </c>
    </row>
    <row r="18071" ht="15.75" customHeight="1">
      <c r="A18071" s="2" t="s">
        <v>18071</v>
      </c>
      <c r="B18071" s="2" t="str">
        <f>IFERROR(__xludf.DUMMYFUNCTION("GOOGLETRANSLATE(A18071, ""en"", ""mt"")"),"dipendenza fuq it-tagħlim ta 'sħabhom")</f>
        <v>dipendenza fuq it-tagħlim ta 'sħabhom</v>
      </c>
    </row>
    <row r="18072" ht="15.75" customHeight="1">
      <c r="A18072" s="2" t="s">
        <v>18072</v>
      </c>
      <c r="B18072" s="2" t="str">
        <f>IFERROR(__xludf.DUMMYFUNCTION("GOOGLETRANSLATE(A18072, ""en"", ""mt"")"),"Prezzijiet għoljin tal-fjuwil u kompetizzjoni ġdida")</f>
        <v>Prezzijiet għoljin tal-fjuwil u kompetizzjoni ġdida</v>
      </c>
    </row>
    <row r="18073" ht="15.75" customHeight="1">
      <c r="A18073" s="2" t="s">
        <v>18073</v>
      </c>
      <c r="B18073" s="2" t="str">
        <f>IFERROR(__xludf.DUMMYFUNCTION("GOOGLETRANSLATE(A18073, ""en"", ""mt"")"),"Lipidi Monolayer")</f>
        <v>Lipidi Monolayer</v>
      </c>
    </row>
    <row r="18074" ht="15.75" customHeight="1">
      <c r="A18074" s="2" t="s">
        <v>18074</v>
      </c>
      <c r="B18074" s="2" t="str">
        <f>IFERROR(__xludf.DUMMYFUNCTION("GOOGLETRANSLATE(A18074, ""en"", ""mt"")"),"Liema karatteristika f'dawn l-aħħar snin kienet marbuta ħafna mas-saħħa f'pajjiżi żviluppati?")</f>
        <v>Liema karatteristika f'dawn l-aħħar snin kienet marbuta ħafna mas-saħħa f'pajjiżi żviluppati?</v>
      </c>
    </row>
    <row r="18075" ht="15.75" customHeight="1">
      <c r="A18075" s="2" t="s">
        <v>18075</v>
      </c>
      <c r="B18075" s="2" t="str">
        <f>IFERROR(__xludf.DUMMYFUNCTION("GOOGLETRANSLATE(A18075, ""en"", ""mt"")"),"il-pubbliku.")</f>
        <v>il-pubbliku.</v>
      </c>
    </row>
    <row r="18076" ht="15.75" customHeight="1">
      <c r="A18076" s="2" t="s">
        <v>18076</v>
      </c>
      <c r="B18076" s="2" t="str">
        <f>IFERROR(__xludf.DUMMYFUNCTION("GOOGLETRANSLATE(A18076, ""en"", ""mt"")"),"fabbriki")</f>
        <v>fabbriki</v>
      </c>
    </row>
    <row r="18077" ht="15.75" customHeight="1">
      <c r="A18077" s="2" t="s">
        <v>18077</v>
      </c>
      <c r="B18077" s="2" t="str">
        <f>IFERROR(__xludf.DUMMYFUNCTION("GOOGLETRANSLATE(A18077, ""en"", ""mt"")"),"Liema kumpanija għandha ABC?")</f>
        <v>Liema kumpanija għandha ABC?</v>
      </c>
    </row>
    <row r="18078" ht="15.75" customHeight="1">
      <c r="A18078" s="2" t="s">
        <v>18078</v>
      </c>
      <c r="B18078" s="2" t="str">
        <f>IFERROR(__xludf.DUMMYFUNCTION("GOOGLETRANSLATE(A18078, ""en"", ""mt"")"),"Kif tipprova tistabbilixxi assemblea Skoċċiża devolta fl-1979?")</f>
        <v>Kif tipprova tistabbilixxi assemblea Skoċċiża devolta fl-1979?</v>
      </c>
    </row>
    <row r="18079" ht="15.75" customHeight="1">
      <c r="A18079" s="2" t="s">
        <v>18079</v>
      </c>
      <c r="B18079" s="2" t="str">
        <f>IFERROR(__xludf.DUMMYFUNCTION("GOOGLETRANSLATE(A18079, ""en"", ""mt"")"),"għat-tisfija tal-art tal-madwar u l-polders")</f>
        <v>għat-tisfija tal-art tal-madwar u l-polders</v>
      </c>
    </row>
    <row r="18080" ht="15.75" customHeight="1">
      <c r="A18080" s="2" t="s">
        <v>18080</v>
      </c>
      <c r="B18080" s="2" t="str">
        <f>IFERROR(__xludf.DUMMYFUNCTION("GOOGLETRANSLATE(A18080, ""en"", ""mt"")"),"X’segwi l-ispettaklu tard ma ’Stephen Colbert?")</f>
        <v>X’segwi l-ispettaklu tard ma ’Stephen Colbert?</v>
      </c>
    </row>
    <row r="18081" ht="15.75" customHeight="1">
      <c r="A18081" s="2" t="s">
        <v>18081</v>
      </c>
      <c r="B18081" s="2" t="str">
        <f>IFERROR(__xludf.DUMMYFUNCTION("GOOGLETRANSLATE(A18081, ""en"", ""mt"")"),"X’kienu jagħmlu d-dimostranti mal-avukat ta ’Kristu?")</f>
        <v>X’kienu jagħmlu d-dimostranti mal-avukat ta ’Kristu?</v>
      </c>
    </row>
    <row r="18082" ht="15.75" customHeight="1">
      <c r="A18082" s="2" t="s">
        <v>18082</v>
      </c>
      <c r="B18082" s="2" t="str">
        <f>IFERROR(__xludf.DUMMYFUNCTION("GOOGLETRANSLATE(A18082, ""en"", ""mt"")"),"abjad")</f>
        <v>abjad</v>
      </c>
    </row>
    <row r="18083" ht="15.75" customHeight="1">
      <c r="A18083" s="2" t="s">
        <v>18083</v>
      </c>
      <c r="B18083" s="2" t="str">
        <f>IFERROR(__xludf.DUMMYFUNCTION("GOOGLETRANSLATE(A18083, ""en"", ""mt"")"),"Liema storja ta 'ftit verità hija pilastru tal-istorja?")</f>
        <v>Liema storja ta 'ftit verità hija pilastru tal-istorja?</v>
      </c>
    </row>
    <row r="18084" ht="15.75" customHeight="1">
      <c r="A18084" s="2" t="s">
        <v>18084</v>
      </c>
      <c r="B18084" s="2" t="str">
        <f>IFERROR(__xludf.DUMMYFUNCTION("GOOGLETRANSLATE(A18084, ""en"", ""mt"")"),"Mill-aħħar tas-snin 1950, ix-xjentist Amerikan tal-kompjuter Paul Baran żviluppa l-kunċett distribwit blokka ta 'messaġġi adattivi li qalbu bl-għan li jipprovdi metodu ta' rotta tolleranti għall-ħsarat għal messaġġi tat-telekomunikazzjoni bħala parti minn"&amp;" programm ta 'riċerka fil-Korporazzjoni RAND, iffinanzjat mill-Istati Uniti Dipartiment tad-Difiża. Dan il-kunċett jikkuntrasta u jikkontradixxi l-prinċipji stabbiliti minn qabel ta 'allokazzjoni minn qabel ta' bandwidth tan-netwerk, imsaħħaħ fil-biċċa l-"&amp;"kbira mill-iżvilupp ta 'telekomunikazzjonijiet fis-sistema tal-qanpiena. Il-kunċett il-ġdid sab ftit reżonanza fost l-implimentaturi tan-netwerk sakemm ix-xogħol indipendenti ta 'Donald Davies fil-Laboratorju Fiżiku Nazzjonali (ir-Renju Unit) (NPL) fl-aħħ"&amp;"ar tas-snin 1960. Davies huwa kkreditat li jgħaqqad il-bdil tal-pakketti tal-isem modern u jispira bosta netwerks ta ’bidla fil-pakketti fl-Ewropa fid-deċennju li ġej, inkluż l-inkorporazzjoni tal-kunċett fil-bidu ta’ Arpanet fl-Istati Uniti.")</f>
        <v>Mill-aħħar tas-snin 1950, ix-xjentist Amerikan tal-kompjuter Paul Baran żviluppa l-kunċett distribwit blokka ta 'messaġġi adattivi li qalbu bl-għan li jipprovdi metodu ta' rotta tolleranti għall-ħsarat għal messaġġi tat-telekomunikazzjoni bħala parti minn programm ta 'riċerka fil-Korporazzjoni RAND, iffinanzjat mill-Istati Uniti Dipartiment tad-Difiża. Dan il-kunċett jikkuntrasta u jikkontradixxi l-prinċipji stabbiliti minn qabel ta 'allokazzjoni minn qabel ta' bandwidth tan-netwerk, imsaħħaħ fil-biċċa l-kbira mill-iżvilupp ta 'telekomunikazzjonijiet fis-sistema tal-qanpiena. Il-kunċett il-ġdid sab ftit reżonanza fost l-implimentaturi tan-netwerk sakemm ix-xogħol indipendenti ta 'Donald Davies fil-Laboratorju Fiżiku Nazzjonali (ir-Renju Unit) (NPL) fl-aħħar tas-snin 1960. Davies huwa kkreditat li jgħaqqad il-bdil tal-pakketti tal-isem modern u jispira bosta netwerks ta ’bidla fil-pakketti fl-Ewropa fid-deċennju li ġej, inkluż l-inkorporazzjoni tal-kunċett fil-bidu ta’ Arpanet fl-Istati Uniti.</v>
      </c>
    </row>
    <row r="18085" ht="15.75" customHeight="1">
      <c r="A18085" s="2" t="s">
        <v>18085</v>
      </c>
      <c r="B18085" s="2" t="str">
        <f>IFERROR(__xludf.DUMMYFUNCTION("GOOGLETRANSLATE(A18085, ""en"", ""mt"")"),"istruzzjoni")</f>
        <v>istruzzjoni</v>
      </c>
    </row>
    <row r="18086" ht="15.75" customHeight="1">
      <c r="A18086" s="2" t="s">
        <v>18086</v>
      </c>
      <c r="B18086" s="2" t="str">
        <f>IFERROR(__xludf.DUMMYFUNCTION("GOOGLETRANSLATE(A18086, ""en"", ""mt"")"),"malajr u deċiżiv")</f>
        <v>malajr u deċiżiv</v>
      </c>
    </row>
    <row r="18087" ht="15.75" customHeight="1">
      <c r="A18087" s="2" t="s">
        <v>18087</v>
      </c>
      <c r="B18087" s="2" t="str">
        <f>IFERROR(__xludf.DUMMYFUNCTION("GOOGLETRANSLATE(A18087, ""en"", ""mt"")"),"Liema porzjon ta 'speċi ta' għasafar jiffurmaw it-total tad-dinja jgħixu fil-foresta tropikali?")</f>
        <v>Liema porzjon ta 'speċi ta' għasafar jiffurmaw it-total tad-dinja jgħixu fil-foresta tropikali?</v>
      </c>
    </row>
    <row r="18088" ht="15.75" customHeight="1">
      <c r="A18088" s="2" t="s">
        <v>18088</v>
      </c>
      <c r="B18088" s="2" t="str">
        <f>IFERROR(__xludf.DUMMYFUNCTION("GOOGLETRANSLATE(A18088, ""en"", ""mt"")"),"Meta twaqqfet it-tieni imperu Ġermaniż?")</f>
        <v>Meta twaqqfet it-tieni imperu Ġermaniż?</v>
      </c>
    </row>
    <row r="18089" ht="15.75" customHeight="1">
      <c r="A18089" s="2" t="s">
        <v>18089</v>
      </c>
      <c r="B18089" s="2" t="str">
        <f>IFERROR(__xludf.DUMMYFUNCTION("GOOGLETRANSLATE(A18089, ""en"", ""mt"")"),"fornituri internazzjonali tad-droga, aktar milli konsumaturi")</f>
        <v>fornituri internazzjonali tad-droga, aktar milli konsumaturi</v>
      </c>
    </row>
    <row r="18090" ht="15.75" customHeight="1">
      <c r="A18090" s="2" t="s">
        <v>18090</v>
      </c>
      <c r="B18090" s="2" t="str">
        <f>IFERROR(__xludf.DUMMYFUNCTION("GOOGLETRANSLATE(A18090, ""en"", ""mt"")"),"avjoniċi, telekomunikazzjonijiet, u kompjuters")</f>
        <v>avjoniċi, telekomunikazzjonijiet, u kompjuters</v>
      </c>
    </row>
    <row r="18091" ht="15.75" customHeight="1">
      <c r="A18091" s="2" t="s">
        <v>18091</v>
      </c>
      <c r="B18091" s="2" t="str">
        <f>IFERROR(__xludf.DUMMYFUNCTION("GOOGLETRANSLATE(A18091, ""en"", ""mt"")"),"ir-raġġ () tad-dinja")</f>
        <v>ir-raġġ () tad-dinja</v>
      </c>
    </row>
    <row r="18092" ht="15.75" customHeight="1">
      <c r="A18092" s="2" t="s">
        <v>18092</v>
      </c>
      <c r="B18092" s="2" t="str">
        <f>IFERROR(__xludf.DUMMYFUNCTION("GOOGLETRANSLATE(A18092, ""en"", ""mt"")"),"Madwar tliet sigħat")</f>
        <v>Madwar tliet sigħat</v>
      </c>
    </row>
    <row r="18093" ht="15.75" customHeight="1">
      <c r="A18093" s="2" t="s">
        <v>18093</v>
      </c>
      <c r="B18093" s="2" t="str">
        <f>IFERROR(__xludf.DUMMYFUNCTION("GOOGLETRANSLATE(A18093, ""en"", ""mt"")"),"Il-Mermaid (Syrenka) hija s-simbolu ta ’Varsavja u tista’ tinstab fuq statwi madwar il-belt u fuq l-istemma tal-belt. Din ix-xbihat ilhom jintużaw mill-inqas f'nofs is-seklu 14. L-eqdem siġill armat eżistenti ta 'Varsavja huwa mis-sena 1390, li jikkonsist"&amp;"i minn siġill tond imdawwar bl-iskrizzjoni Latina Sigilium Civitatis varsoviensis (siġill tal-belt ta' Varsavja). City Records sa l-1609 jiddokumentaw l-użu ta 'forma mhux raffinata ta' mostru tal-baħar ma 'parti ta' fuq tal-ġisem u żżomm xabla fid-dwiefe"&amp;"r tagħha. Fl-1653 il-poeta Zygmunt Laukowski jistaqsi l-mistoqsija:")</f>
        <v>Il-Mermaid (Syrenka) hija s-simbolu ta ’Varsavja u tista’ tinstab fuq statwi madwar il-belt u fuq l-istemma tal-belt. Din ix-xbihat ilhom jintużaw mill-inqas f'nofs is-seklu 14. L-eqdem siġill armat eżistenti ta 'Varsavja huwa mis-sena 1390, li jikkonsisti minn siġill tond imdawwar bl-iskrizzjoni Latina Sigilium Civitatis varsoviensis (siġill tal-belt ta' Varsavja). City Records sa l-1609 jiddokumentaw l-użu ta 'forma mhux raffinata ta' mostru tal-baħar ma 'parti ta' fuq tal-ġisem u żżomm xabla fid-dwiefer tagħha. Fl-1653 il-poeta Zygmunt Laukowski jistaqsi l-mistoqsija:</v>
      </c>
    </row>
    <row r="18094" ht="15.75" customHeight="1">
      <c r="A18094" s="2" t="s">
        <v>18094</v>
      </c>
      <c r="B18094" s="2" t="str">
        <f>IFERROR(__xludf.DUMMYFUNCTION("GOOGLETRANSLATE(A18094, ""en"", ""mt"")"),"X'inhu ffurmat meta fagożoma tgħaqqad ma 'lisosoma?")</f>
        <v>X'inhu ffurmat meta fagożoma tgħaqqad ma 'lisosoma?</v>
      </c>
    </row>
    <row r="18095" ht="15.75" customHeight="1">
      <c r="A18095" s="2" t="s">
        <v>18095</v>
      </c>
      <c r="B18095" s="2" t="str">
        <f>IFERROR(__xludf.DUMMYFUNCTION("GOOGLETRANSLATE(A18095, ""en"", ""mt"")"),"Kemm xjenzati sejħu biex ibiddlu l-IPCC fi Frar 2010?")</f>
        <v>Kemm xjenzati sejħu biex ibiddlu l-IPCC fi Frar 2010?</v>
      </c>
    </row>
    <row r="18096" ht="15.75" customHeight="1">
      <c r="A18096" s="2" t="s">
        <v>18096</v>
      </c>
      <c r="B18096" s="2" t="str">
        <f>IFERROR(__xludf.DUMMYFUNCTION("GOOGLETRANSLATE(A18096, ""en"", ""mt"")"),"Università Ingliża")</f>
        <v>Università Ingliża</v>
      </c>
    </row>
    <row r="18097" ht="15.75" customHeight="1">
      <c r="A18097" s="2" t="s">
        <v>18097</v>
      </c>
      <c r="B18097" s="2" t="str">
        <f>IFERROR(__xludf.DUMMYFUNCTION("GOOGLETRANSLATE(A18097, ""en"", ""mt"")"),"In-nixfa reżistenti")</f>
        <v>In-nixfa reżistenti</v>
      </c>
    </row>
    <row r="18098" ht="15.75" customHeight="1">
      <c r="A18098" s="2" t="s">
        <v>18098</v>
      </c>
      <c r="B18098" s="2" t="str">
        <f>IFERROR(__xludf.DUMMYFUNCTION("GOOGLETRANSLATE(A18098, ""en"", ""mt"")"),"kontaġju emozzjonali")</f>
        <v>kontaġju emozzjonali</v>
      </c>
    </row>
    <row r="18099" ht="15.75" customHeight="1">
      <c r="A18099" s="2" t="s">
        <v>18099</v>
      </c>
      <c r="B18099" s="2" t="str">
        <f>IFERROR(__xludf.DUMMYFUNCTION("GOOGLETRANSLATE(A18099, ""en"", ""mt"")"),"X'inhu l-benefiċċju li jorbot il-polypeptide?")</f>
        <v>X'inhu l-benefiċċju li jorbot il-polypeptide?</v>
      </c>
    </row>
    <row r="18100" ht="15.75" customHeight="1">
      <c r="A18100" s="2" t="s">
        <v>18100</v>
      </c>
      <c r="B18100" s="2" t="str">
        <f>IFERROR(__xludf.DUMMYFUNCTION("GOOGLETRANSLATE(A18100, ""en"", ""mt"")"),"ċelloli T regolatorji")</f>
        <v>ċelloli T regolatorji</v>
      </c>
    </row>
    <row r="18101" ht="15.75" customHeight="1">
      <c r="A18101" s="2" t="s">
        <v>18101</v>
      </c>
      <c r="B18101" s="2" t="str">
        <f>IFERROR(__xludf.DUMMYFUNCTION("GOOGLETRANSLATE(A18101, ""en"", ""mt"")"),"Kif kienu l-mexxejja lura fl-Ewropa jħossu dwar aħbarijiet minn Celeron Expedition?")</f>
        <v>Kif kienu l-mexxejja lura fl-Ewropa jħossu dwar aħbarijiet minn Celeron Expedition?</v>
      </c>
    </row>
    <row r="18102" ht="15.75" customHeight="1">
      <c r="A18102" s="2" t="s">
        <v>18102</v>
      </c>
      <c r="B18102" s="2" t="str">
        <f>IFERROR(__xludf.DUMMYFUNCTION("GOOGLETRANSLATE(A18102, ""en"", ""mt"")"),"Kemm nies intilfu f'Alġers matul l-1620-21?")</f>
        <v>Kemm nies intilfu f'Alġers matul l-1620-21?</v>
      </c>
    </row>
    <row r="18103" ht="15.75" customHeight="1">
      <c r="A18103" s="2" t="s">
        <v>18103</v>
      </c>
      <c r="B18103" s="2" t="str">
        <f>IFERROR(__xludf.DUMMYFUNCTION("GOOGLETRANSLATE(A18103, ""en"", ""mt"")"),"Għal min kienet maħsuba din il-massa ġdida?")</f>
        <v>Għal min kienet maħsuba din il-massa ġdida?</v>
      </c>
    </row>
    <row r="18104" ht="15.75" customHeight="1">
      <c r="A18104" s="2" t="s">
        <v>18104</v>
      </c>
      <c r="B18104" s="2" t="str">
        <f>IFERROR(__xludf.DUMMYFUNCTION("GOOGLETRANSLATE(A18104, ""en"", ""mt"")"),"individwalment")</f>
        <v>individwalment</v>
      </c>
    </row>
    <row r="18105" ht="15.75" customHeight="1">
      <c r="A18105" s="2" t="s">
        <v>18105</v>
      </c>
      <c r="B18105" s="2" t="str">
        <f>IFERROR(__xludf.DUMMYFUNCTION("GOOGLETRANSLATE(A18105, ""en"", ""mt"")"),"Min wettaq il-mużika kollha Doctor Who mill-Ispecial tal-Milied tal-2005?")</f>
        <v>Min wettaq il-mużika kollha Doctor Who mill-Ispecial tal-Milied tal-2005?</v>
      </c>
    </row>
    <row r="18106" ht="15.75" customHeight="1">
      <c r="A18106" s="2" t="s">
        <v>18106</v>
      </c>
      <c r="B18106" s="2" t="str">
        <f>IFERROR(__xludf.DUMMYFUNCTION("GOOGLETRANSLATE(A18106, ""en"", ""mt"")"),"Flimkien ma 'l-isport u l-arti, x'inhu tip ta' borża ta 'talent?")</f>
        <v>Flimkien ma 'l-isport u l-arti, x'inhu tip ta' borża ta 'talent?</v>
      </c>
    </row>
    <row r="18107" ht="15.75" customHeight="1">
      <c r="A18107" s="2" t="s">
        <v>18107</v>
      </c>
      <c r="B18107" s="2" t="str">
        <f>IFERROR(__xludf.DUMMYFUNCTION("GOOGLETRANSLATE(A18107, ""en"", ""mt"")"),"kombinazzjoni ta 'ermafroditiżmu u riproduzzjoni bikrija")</f>
        <v>kombinazzjoni ta 'ermafroditiżmu u riproduzzjoni bikrija</v>
      </c>
    </row>
    <row r="18108" ht="15.75" customHeight="1">
      <c r="A18108" s="2" t="s">
        <v>18108</v>
      </c>
      <c r="B18108" s="2" t="str">
        <f>IFERROR(__xludf.DUMMYFUNCTION("GOOGLETRANSLATE(A18108, ""en"", ""mt"")"),"Kemm hemm punti fil-pedament tar-Riforma?")</f>
        <v>Kemm hemm punti fil-pedament tar-Riforma?</v>
      </c>
    </row>
    <row r="18109" ht="15.75" customHeight="1">
      <c r="A18109" s="2" t="s">
        <v>18109</v>
      </c>
      <c r="B18109" s="2" t="str">
        <f>IFERROR(__xludf.DUMMYFUNCTION("GOOGLETRANSLATE(A18109, ""en"", ""mt"")"),"Minn fejn ixandar l-istazzjon tar-radju ta 'Newcastle Student matul it-termini?")</f>
        <v>Minn fejn ixandar l-istazzjon tar-radju ta 'Newcastle Student matul it-termini?</v>
      </c>
    </row>
    <row r="18110" ht="15.75" customHeight="1">
      <c r="A18110" s="2" t="s">
        <v>18110</v>
      </c>
      <c r="B18110" s="2" t="str">
        <f>IFERROR(__xludf.DUMMYFUNCTION("GOOGLETRANSLATE(A18110, ""en"", ""mt"")"),"ħadem biex jirradikalizza l-moviment Iżlamista")</f>
        <v>ħadem biex jirradikalizza l-moviment Iżlamista</v>
      </c>
    </row>
    <row r="18111" ht="15.75" customHeight="1">
      <c r="A18111" s="2" t="s">
        <v>18111</v>
      </c>
      <c r="B18111" s="2" t="str">
        <f>IFERROR(__xludf.DUMMYFUNCTION("GOOGLETRANSLATE(A18111, ""en"", ""mt"")"),"X'inhi d-differenza ewlenija bejn l-ispiżeriji onlajn u l-ispiżeriji tal-komunità?")</f>
        <v>X'inhi d-differenza ewlenija bejn l-ispiżeriji onlajn u l-ispiżeriji tal-komunità?</v>
      </c>
    </row>
    <row r="18112" ht="15.75" customHeight="1">
      <c r="A18112" s="2" t="s">
        <v>18112</v>
      </c>
      <c r="B18112" s="2" t="str">
        <f>IFERROR(__xludf.DUMMYFUNCTION("GOOGLETRANSLATE(A18112, ""en"", ""mt"")"),"In-Normanni wara dan adottaw id-duttrini feudali dejjem jikbru tal-bqija ta 'Franza, u ħadmuhom f'sistema ġerarkika funzjonali kemm fin-Normandija kif ukoll fl-Ingilterra. Il-kbarat Norman il-ġodda kienu kulturalment u etnikament distinti mill-aristokrazi"&amp;"ja Franċiża l-qadima, li ħafna minnhom traċċaw in-nisel tagħhom għal franki tad-dinastija Karolingjana. Il-biċċa l-kbira tal-kavallieri Norman baqgħu fqar u bil-ġuħ tal-art, u sal-1066 in-Normandija kienet qed tesporta ġlieda kontra l-ġlied għal aktar min"&amp;"n ġenerazzjoni. Ħafna Normanni tal-Italja, Franza u l-Ingilterra eventwalment servew bħala kruċjati akkaniti taħt il-Prinċep Italo-Norman Bohemund I u r-Re Anglo-Norman Richard Richard il-Qalb tal-Iljun.")</f>
        <v>In-Normanni wara dan adottaw id-duttrini feudali dejjem jikbru tal-bqija ta 'Franza, u ħadmuhom f'sistema ġerarkika funzjonali kemm fin-Normandija kif ukoll fl-Ingilterra. Il-kbarat Norman il-ġodda kienu kulturalment u etnikament distinti mill-aristokrazija Franċiża l-qadima, li ħafna minnhom traċċaw in-nisel tagħhom għal franki tad-dinastija Karolingjana. Il-biċċa l-kbira tal-kavallieri Norman baqgħu fqar u bil-ġuħ tal-art, u sal-1066 in-Normandija kienet qed tesporta ġlieda kontra l-ġlied għal aktar minn ġenerazzjoni. Ħafna Normanni tal-Italja, Franza u l-Ingilterra eventwalment servew bħala kruċjati akkaniti taħt il-Prinċep Italo-Norman Bohemund I u r-Re Anglo-Norman Richard Richard il-Qalb tal-Iljun.</v>
      </c>
    </row>
    <row r="18113" ht="15.75" customHeight="1">
      <c r="A18113" s="2" t="s">
        <v>18113</v>
      </c>
      <c r="B18113" s="2" t="str">
        <f>IFERROR(__xludf.DUMMYFUNCTION("GOOGLETRANSLATE(A18113, ""en"", ""mt"")"),"Minbarra l-konċepiment tal-punt, liema monument jintuża fid-definizzjoni l-oħra tan-Nofsinhar ta 'California?")</f>
        <v>Minbarra l-konċepiment tal-punt, liema monument jintuża fid-definizzjoni l-oħra tan-Nofsinhar ta 'California?</v>
      </c>
    </row>
    <row r="18114" ht="15.75" customHeight="1">
      <c r="A18114" s="2" t="s">
        <v>18114</v>
      </c>
      <c r="B18114" s="2" t="str">
        <f>IFERROR(__xludf.DUMMYFUNCTION("GOOGLETRANSLATE(A18114, ""en"", ""mt"")"),"żewġ reġimenti ġodda")</f>
        <v>żewġ reġimenti ġodda</v>
      </c>
    </row>
    <row r="18115" ht="15.75" customHeight="1">
      <c r="A18115" s="2" t="s">
        <v>18115</v>
      </c>
      <c r="B18115" s="2" t="str">
        <f>IFERROR(__xludf.DUMMYFUNCTION("GOOGLETRANSLATE(A18115, ""en"", ""mt"")"),"bronż gilt")</f>
        <v>bronż gilt</v>
      </c>
    </row>
    <row r="18116" ht="15.75" customHeight="1">
      <c r="A18116" s="2" t="s">
        <v>18116</v>
      </c>
      <c r="B18116" s="2" t="str">
        <f>IFERROR(__xludf.DUMMYFUNCTION("GOOGLETRANSLATE(A18116, ""en"", ""mt"")"),"Il-moviment li kien se jsir il-Knisja Metodista Magħquda beda f’nofs is-seklu 18 fil-Knisja tal-Ingilterra. Grupp żgħir ta ’studenti, inklużi John Wesley, Charles Wesley u George Whitefield, iltaqgħu fil-kampus tal-Università ta’ Oxford. Huma ffokaw fuq s"&amp;"tudju tal-Bibbja, studju metodiku tal-Iskrittura u jgħixu ħajja qaddisa. Studenti oħra burlahom, u qalu li kienu l- ""Holy Club"" u ""l-Metodisti"", li huma metodiċi u eċċezzjonalment dettaljati fl-istudju tal-Bibbja tagħhom, opinjonijiet u stil ta 'ħajja"&amp;" dixxiplinati. Eventwalment, l-hekk imsejħa Metodisti bdew soċjetajiet jew klassijiet individwali għall-membri tal-Knisja tal-Ingilterra li riedu jgħixu ħajja aktar reliġjuża.")</f>
        <v>Il-moviment li kien se jsir il-Knisja Metodista Magħquda beda f’nofs is-seklu 18 fil-Knisja tal-Ingilterra. Grupp żgħir ta ’studenti, inklużi John Wesley, Charles Wesley u George Whitefield, iltaqgħu fil-kampus tal-Università ta’ Oxford. Huma ffokaw fuq studju tal-Bibbja, studju metodiku tal-Iskrittura u jgħixu ħajja qaddisa. Studenti oħra burlahom, u qalu li kienu l- "Holy Club" u "l-Metodisti", li huma metodiċi u eċċezzjonalment dettaljati fl-istudju tal-Bibbja tagħhom, opinjonijiet u stil ta 'ħajja dixxiplinati. Eventwalment, l-hekk imsejħa Metodisti bdew soċjetajiet jew klassijiet individwali għall-membri tal-Knisja tal-Ingilterra li riedu jgħixu ħajja aktar reliġjuża.</v>
      </c>
    </row>
    <row r="18117" ht="15.75" customHeight="1">
      <c r="A18117" s="2" t="s">
        <v>18117</v>
      </c>
      <c r="B18117" s="2" t="str">
        <f>IFERROR(__xludf.DUMMYFUNCTION("GOOGLETRANSLATE(A18117, ""en"", ""mt"")"),"Min jittratta l-maġġoranza tal-popolazzjoni medikament?")</f>
        <v>Min jittratta l-maġġoranza tal-popolazzjoni medikament?</v>
      </c>
    </row>
    <row r="18118" ht="15.75" customHeight="1">
      <c r="A18118" s="2" t="s">
        <v>18118</v>
      </c>
      <c r="B18118" s="2" t="str">
        <f>IFERROR(__xludf.DUMMYFUNCTION("GOOGLETRANSLATE(A18118, ""en"", ""mt"")"),"In-Nofsinhar ta ’California hija d-dar għall-Ajruport Internazzjonali ta’ Los Angeles, it-tieni ajruport l-aktar busine fl-Istati Uniti mill-volum tal-passiġġieri (ara l-ajruporti l-aktar traffikużi tad-dinja mit-traffiku tal-passiġġieri) u t-tielet mill-"&amp;"volum internazzjonali tal-passiġġieri (ara l-ajruporti l-aktar traffikużi fl-Istati Uniti bit-traffiku internazzjonali tal-passiġġieri ); L-Ajruport Internazzjonali ta 'San Diego L-Ajruport ta' Runway Uniku l-aktar bieżel fid-dinja; L-Ajruport ta 'Van Nuy"&amp;"s, l-Ajruport ta' l-Avjazzjoni Ġenerali l-aktar traffikuż fid-dinja; Ajruporti kummerċjali ewlenin fil-Kontea ta 'Orange, Bakersfield, Ontario, Burbank u Long Beach; u bosta ajruporti ta 'l-avjazzjoni kummerċjali u ġenerali iżgħar.")</f>
        <v>In-Nofsinhar ta ’California hija d-dar għall-Ajruport Internazzjonali ta’ Los Angeles, it-tieni ajruport l-aktar busine fl-Istati Uniti mill-volum tal-passiġġieri (ara l-ajruporti l-aktar traffikużi tad-dinja mit-traffiku tal-passiġġieri) u t-tielet mill-volum internazzjonali tal-passiġġieri (ara l-ajruporti l-aktar traffikużi fl-Istati Uniti bit-traffiku internazzjonali tal-passiġġieri ); L-Ajruport Internazzjonali ta 'San Diego L-Ajruport ta' Runway Uniku l-aktar bieżel fid-dinja; L-Ajruport ta 'Van Nuys, l-Ajruport ta' l-Avjazzjoni Ġenerali l-aktar traffikuż fid-dinja; Ajruporti kummerċjali ewlenin fil-Kontea ta 'Orange, Bakersfield, Ontario, Burbank u Long Beach; u bosta ajruporti ta 'l-avjazzjoni kummerċjali u ġenerali iżgħar.</v>
      </c>
    </row>
    <row r="18119" ht="15.75" customHeight="1">
      <c r="A18119" s="2" t="s">
        <v>18119</v>
      </c>
      <c r="B18119" s="2" t="str">
        <f>IFERROR(__xludf.DUMMYFUNCTION("GOOGLETRANSLATE(A18119, ""en"", ""mt"")"),"L-imperi Asante u Lunda kienu f'liema reġjun?")</f>
        <v>L-imperi Asante u Lunda kienu f'liema reġjun?</v>
      </c>
    </row>
    <row r="18120" ht="15.75" customHeight="1">
      <c r="A18120" s="2" t="s">
        <v>18120</v>
      </c>
      <c r="B18120" s="2" t="str">
        <f>IFERROR(__xludf.DUMMYFUNCTION("GOOGLETRANSLATE(A18120, ""en"", ""mt"")"),"Kif jidhru ż-żgħażagħ Ctenophores ġenerali?")</f>
        <v>Kif jidhru ż-żgħażagħ Ctenophores ġenerali?</v>
      </c>
    </row>
    <row r="18121" ht="15.75" customHeight="1">
      <c r="A18121" s="2" t="s">
        <v>18121</v>
      </c>
      <c r="B18121" s="2" t="str">
        <f>IFERROR(__xludf.DUMMYFUNCTION("GOOGLETRANSLATE(A18121, ""en"", ""mt"")"),"Sebat ijiem lejn ix-xmara Rhine")</f>
        <v>Sebat ijiem lejn ix-xmara Rhine</v>
      </c>
    </row>
    <row r="18122" ht="15.75" customHeight="1">
      <c r="A18122" s="2" t="s">
        <v>18122</v>
      </c>
      <c r="B18122" s="2" t="str">
        <f>IFERROR(__xludf.DUMMYFUNCTION("GOOGLETRANSLATE(A18122, ""en"", ""mt"")"),"Għażla tal-prodott tad-droga")</f>
        <v>Għażla tal-prodott tad-droga</v>
      </c>
    </row>
    <row r="18123" ht="15.75" customHeight="1">
      <c r="A18123" s="2" t="s">
        <v>18123</v>
      </c>
      <c r="B18123" s="2" t="str">
        <f>IFERROR(__xludf.DUMMYFUNCTION("GOOGLETRANSLATE(A18123, ""en"", ""mt"")"),"Fejn jiltaqa 'l-kunsill?")</f>
        <v>Fejn jiltaqa 'l-kunsill?</v>
      </c>
    </row>
    <row r="18124" ht="15.75" customHeight="1">
      <c r="A18124" s="2" t="s">
        <v>18124</v>
      </c>
      <c r="B18124" s="2" t="str">
        <f>IFERROR(__xludf.DUMMYFUNCTION("GOOGLETRANSLATE(A18124, ""en"", ""mt"")"),"aċidu gastriku")</f>
        <v>aċidu gastriku</v>
      </c>
    </row>
    <row r="18125" ht="15.75" customHeight="1">
      <c r="A18125" s="2" t="s">
        <v>18125</v>
      </c>
      <c r="B18125" s="2" t="str">
        <f>IFERROR(__xludf.DUMMYFUNCTION("GOOGLETRANSLATE(A18125, ""en"", ""mt"")"),"btieti tal-aringi.")</f>
        <v>btieti tal-aringi.</v>
      </c>
    </row>
    <row r="18126" ht="15.75" customHeight="1">
      <c r="A18126" s="2" t="s">
        <v>18126</v>
      </c>
      <c r="B18126" s="2" t="str">
        <f>IFERROR(__xludf.DUMMYFUNCTION("GOOGLETRANSLATE(A18126, ""en"", ""mt"")"),"Estwarju simili għall-Arċipelagu")</f>
        <v>Estwarju simili għall-Arċipelagu</v>
      </c>
    </row>
    <row r="18127" ht="15.75" customHeight="1">
      <c r="A18127" s="2" t="s">
        <v>18127</v>
      </c>
      <c r="B18127" s="2" t="str">
        <f>IFERROR(__xludf.DUMMYFUNCTION("GOOGLETRANSLATE(A18127, ""en"", ""mt"")"),"Ma 'Tesla ma tissieletx waqt li kienet l-iskola?")</f>
        <v>Ma 'Tesla ma tissieletx waqt li kienet l-iskola?</v>
      </c>
    </row>
    <row r="18128" ht="15.75" customHeight="1">
      <c r="A18128" s="2" t="s">
        <v>18128</v>
      </c>
      <c r="B18128" s="2" t="str">
        <f>IFERROR(__xludf.DUMMYFUNCTION("GOOGLETRANSLATE(A18128, ""en"", ""mt"")"),"ċelloli infettati bil-patoġeni")</f>
        <v>ċelloli infettati bil-patoġeni</v>
      </c>
    </row>
    <row r="18129" ht="15.75" customHeight="1">
      <c r="A18129" s="2" t="s">
        <v>18129</v>
      </c>
      <c r="B18129" s="2" t="str">
        <f>IFERROR(__xludf.DUMMYFUNCTION("GOOGLETRANSLATE(A18129, ""en"", ""mt"")"),"S-band ta 'qligħ għoli")</f>
        <v>S-band ta 'qligħ għoli</v>
      </c>
    </row>
    <row r="18130" ht="15.75" customHeight="1">
      <c r="A18130" s="2" t="s">
        <v>18130</v>
      </c>
      <c r="B18130" s="2" t="str">
        <f>IFERROR(__xludf.DUMMYFUNCTION("GOOGLETRANSLATE(A18130, ""en"", ""mt"")"),"Kapaċità li jeħles ir-risponsi immuni li jospitaw")</f>
        <v>Kapaċità li jeħles ir-risponsi immuni li jospitaw</v>
      </c>
    </row>
    <row r="18131" ht="15.75" customHeight="1">
      <c r="A18131" s="2" t="s">
        <v>18131</v>
      </c>
      <c r="B18131" s="2" t="str">
        <f>IFERROR(__xludf.DUMMYFUNCTION("GOOGLETRANSLATE(A18131, ""en"", ""mt"")"),"Żid O2 minflok CO2")</f>
        <v>Żid O2 minflok CO2</v>
      </c>
    </row>
    <row r="18132" ht="15.75" customHeight="1">
      <c r="A18132" s="2" t="s">
        <v>18132</v>
      </c>
      <c r="B18132" s="2" t="str">
        <f>IFERROR(__xludf.DUMMYFUNCTION("GOOGLETRANSLATE(A18132, ""en"", ""mt"")"),"kloroplasti derivati ​​minn alka ħadra")</f>
        <v>kloroplasti derivati ​​minn alka ħadra</v>
      </c>
    </row>
    <row r="18133" ht="15.75" customHeight="1">
      <c r="A18133" s="2" t="s">
        <v>18133</v>
      </c>
      <c r="B18133" s="2" t="str">
        <f>IFERROR(__xludf.DUMMYFUNCTION("GOOGLETRANSLATE(A18133, ""en"", ""mt"")"),"F'kuntest modern")</f>
        <v>F'kuntest modern</v>
      </c>
    </row>
    <row r="18134" ht="15.75" customHeight="1">
      <c r="A18134" s="2" t="s">
        <v>18134</v>
      </c>
      <c r="B18134" s="2" t="str">
        <f>IFERROR(__xludf.DUMMYFUNCTION("GOOGLETRANSLATE(A18134, ""en"", ""mt"")"),"trattament")</f>
        <v>trattament</v>
      </c>
    </row>
    <row r="18135" ht="15.75" customHeight="1">
      <c r="A18135" s="2" t="s">
        <v>18135</v>
      </c>
      <c r="B18135" s="2" t="str">
        <f>IFERROR(__xludf.DUMMYFUNCTION("GOOGLETRANSLATE(A18135, ""en"", ""mt"")"),"X'inhu l-iktar xahar sħun ta 'Jacksonville bħala medja?")</f>
        <v>X'inhu l-iktar xahar sħun ta 'Jacksonville bħala medja?</v>
      </c>
    </row>
    <row r="18136" ht="15.75" customHeight="1">
      <c r="A18136" s="2" t="s">
        <v>18136</v>
      </c>
      <c r="B18136" s="2" t="str">
        <f>IFERROR(__xludf.DUMMYFUNCTION("GOOGLETRANSLATE(A18136, ""en"", ""mt"")"),"Unità SI ta 'densità tal-fluss manjetiku")</f>
        <v>Unità SI ta 'densità tal-fluss manjetiku</v>
      </c>
    </row>
    <row r="18137" ht="15.75" customHeight="1">
      <c r="A18137" s="2" t="s">
        <v>18137</v>
      </c>
      <c r="B18137" s="2" t="str">
        <f>IFERROR(__xludf.DUMMYFUNCTION("GOOGLETRANSLATE(A18137, ""en"", ""mt"")"),"21 ta ’Frar 1804")</f>
        <v>21 ta ’Frar 1804</v>
      </c>
    </row>
    <row r="18138" ht="15.75" customHeight="1">
      <c r="A18138" s="2" t="s">
        <v>18138</v>
      </c>
      <c r="B18138" s="2" t="str">
        <f>IFERROR(__xludf.DUMMYFUNCTION("GOOGLETRANSLATE(A18138, ""en"", ""mt"")"),"frizzjoni statika")</f>
        <v>frizzjoni statika</v>
      </c>
    </row>
    <row r="18139" ht="15.75" customHeight="1">
      <c r="A18139" s="2" t="s">
        <v>18139</v>
      </c>
      <c r="B18139" s="2" t="str">
        <f>IFERROR(__xludf.DUMMYFUNCTION("GOOGLETRANSLATE(A18139, ""en"", ""mt"")"),"X'tip ta 'spazju f'Varsavja huma l-Ġnien Botaniku u l-Ġnien tal-Librerija Universitarja?")</f>
        <v>X'tip ta 'spazju f'Varsavja huma l-Ġnien Botaniku u l-Ġnien tal-Librerija Universitarja?</v>
      </c>
    </row>
    <row r="18140" ht="15.75" customHeight="1">
      <c r="A18140" s="2" t="s">
        <v>18140</v>
      </c>
      <c r="B18140" s="2" t="str">
        <f>IFERROR(__xludf.DUMMYFUNCTION("GOOGLETRANSLATE(A18140, ""en"", ""mt"")"),"Surinam tan-Nofsinhar")</f>
        <v>Surinam tan-Nofsinhar</v>
      </c>
    </row>
    <row r="18141" ht="15.75" customHeight="1">
      <c r="A18141" s="2" t="s">
        <v>18141</v>
      </c>
      <c r="B18141" s="2" t="str">
        <f>IFERROR(__xludf.DUMMYFUNCTION("GOOGLETRANSLATE(A18141, ""en"", ""mt"")"),"distruttiv")</f>
        <v>distruttiv</v>
      </c>
    </row>
    <row r="18142" ht="15.75" customHeight="1">
      <c r="A18142" s="2" t="s">
        <v>18142</v>
      </c>
      <c r="B18142" s="2" t="str">
        <f>IFERROR(__xludf.DUMMYFUNCTION("GOOGLETRANSLATE(A18142, ""en"", ""mt"")"),"Tnax-il djar residenzjali")</f>
        <v>Tnax-il djar residenzjali</v>
      </c>
    </row>
    <row r="18143" ht="15.75" customHeight="1">
      <c r="A18143" s="2" t="s">
        <v>18143</v>
      </c>
      <c r="B18143" s="2" t="str">
        <f>IFERROR(__xludf.DUMMYFUNCTION("GOOGLETRANSLATE(A18143, ""en"", ""mt"")"),"X'kienet ir-rata bażi għal reklam ta '30 sekonda matul Super Bowl 50?")</f>
        <v>X'kienet ir-rata bażi għal reklam ta '30 sekonda matul Super Bowl 50?</v>
      </c>
    </row>
    <row r="18144" ht="15.75" customHeight="1">
      <c r="A18144" s="2" t="s">
        <v>18144</v>
      </c>
      <c r="B18144" s="2" t="str">
        <f>IFERROR(__xludf.DUMMYFUNCTION("GOOGLETRANSLATE(A18144, ""en"", ""mt"")"),"Benefiċċji ta 'xogħlijiet tajbin jistgħu jinkisbu billi d-donazzjoni ta' flus lill-knisja")</f>
        <v>Benefiċċji ta 'xogħlijiet tajbin jistgħu jinkisbu billi d-donazzjoni ta' flus lill-knisja</v>
      </c>
    </row>
    <row r="18145" ht="15.75" customHeight="1">
      <c r="A18145" s="2" t="s">
        <v>18145</v>
      </c>
      <c r="B18145" s="2" t="str">
        <f>IFERROR(__xludf.DUMMYFUNCTION("GOOGLETRANSLATE(A18145, ""en"", ""mt"")"),"Żviluppi li fihom ix-xjenzati influwenzaw il-ħolqien tal-farmakoloġija fl-Islam medjevali?")</f>
        <v>Żviluppi li fihom ix-xjenzati influwenzaw il-ħolqien tal-farmakoloġija fl-Islam medjevali?</v>
      </c>
    </row>
    <row r="18146" ht="15.75" customHeight="1">
      <c r="A18146" s="2" t="s">
        <v>18146</v>
      </c>
      <c r="B18146" s="2" t="str">
        <f>IFERROR(__xludf.DUMMYFUNCTION("GOOGLETRANSLATE(A18146, ""en"", ""mt"")"),"matriċi")</f>
        <v>matriċi</v>
      </c>
    </row>
    <row r="18147" ht="15.75" customHeight="1">
      <c r="A18147" s="2" t="s">
        <v>18147</v>
      </c>
      <c r="B18147" s="2" t="str">
        <f>IFERROR(__xludf.DUMMYFUNCTION("GOOGLETRANSLATE(A18147, ""en"", ""mt"")"),"Il-Partit Konservattiv")</f>
        <v>Il-Partit Konservattiv</v>
      </c>
    </row>
    <row r="18148" ht="15.75" customHeight="1">
      <c r="A18148" s="2" t="s">
        <v>18148</v>
      </c>
      <c r="B18148" s="2" t="str">
        <f>IFERROR(__xludf.DUMMYFUNCTION("GOOGLETRANSLATE(A18148, ""en"", ""mt"")"),"Dak li joffri definizzjoni kunċettwali tal-forza?")</f>
        <v>Dak li joffri definizzjoni kunċettwali tal-forza?</v>
      </c>
    </row>
    <row r="18149" ht="15.75" customHeight="1">
      <c r="A18149" s="2" t="s">
        <v>18149</v>
      </c>
      <c r="B18149" s="2" t="str">
        <f>IFERROR(__xludf.DUMMYFUNCTION("GOOGLETRANSLATE(A18149, ""en"", ""mt"")"),"X'inhi l-unika storja tas-serje oriġinali fejn Doctor Who jivvjaġġa waħdu?")</f>
        <v>X'inhi l-unika storja tas-serje oriġinali fejn Doctor Who jivvjaġġa waħdu?</v>
      </c>
    </row>
    <row r="18150" ht="15.75" customHeight="1">
      <c r="A18150" s="2" t="s">
        <v>18150</v>
      </c>
      <c r="B18150" s="2" t="str">
        <f>IFERROR(__xludf.DUMMYFUNCTION("GOOGLETRANSLATE(A18150, ""en"", ""mt"")"),"Esplorazzjoni")</f>
        <v>Esplorazzjoni</v>
      </c>
    </row>
    <row r="18151" ht="15.75" customHeight="1">
      <c r="A18151" s="2" t="s">
        <v>18151</v>
      </c>
      <c r="B18151" s="2" t="str">
        <f>IFERROR(__xludf.DUMMYFUNCTION("GOOGLETRANSLATE(A18151, ""en"", ""mt"")"),"Jacksonville, _Florida")</f>
        <v>Jacksonville, _Florida</v>
      </c>
    </row>
    <row r="18152" ht="15.75" customHeight="1">
      <c r="A18152" s="2" t="s">
        <v>18152</v>
      </c>
      <c r="B18152" s="2" t="str">
        <f>IFERROR(__xludf.DUMMYFUNCTION("GOOGLETRANSLATE(A18152, ""en"", ""mt"")"),"L-iktar strument utli għall-analiżi tal-prestazzjoni tal-magni tal-fwar huwa l-indikatur tal-magna tal-fwar. Verżjonijiet bikrija kienu qed jintużaw sal-1851, iżda l-aktar indikatur ta ’suċċess ġie żviluppat għall-inventur tal-magna b’veloċità għolja u l-"&amp;"manifattur Charles Porter minn Charles Richard u esibiti fil-wirja ta’ Londra fl-1862. L-indikatur tal-magna tal-fwar jintraċċa fuq il-karta tal-pressjoni fil-karta fiċ-ċilindru matul il-madwar ċiklu, li jista 'jintuża biex jidentifika diversi problemi u "&amp;"jikkalkula l-horsepower żviluppata. Kien użat regolarment minn inġiniera, mekkaniċi u spetturi tal-assigurazzjoni. L-indikatur tal-magna jista 'jintuża wkoll fuq magni ta' kombustjoni interna. Ara l-immaġni tad-dijagramma tal-indikatur hawn taħt (fit-taqs"&amp;"ima tat-tipi ta ’unitajiet tal-mutur).")</f>
        <v>L-iktar strument utli għall-analiżi tal-prestazzjoni tal-magni tal-fwar huwa l-indikatur tal-magna tal-fwar. Verżjonijiet bikrija kienu qed jintużaw sal-1851, iżda l-aktar indikatur ta ’suċċess ġie żviluppat għall-inventur tal-magna b’veloċità għolja u l-manifattur Charles Porter minn Charles Richard u esibiti fil-wirja ta’ Londra fl-1862. L-indikatur tal-magna tal-fwar jintraċċa fuq il-karta tal-pressjoni fil-karta fiċ-ċilindru matul il-madwar ċiklu, li jista 'jintuża biex jidentifika diversi problemi u jikkalkula l-horsepower żviluppata. Kien użat regolarment minn inġiniera, mekkaniċi u spetturi tal-assigurazzjoni. L-indikatur tal-magna jista 'jintuża wkoll fuq magni ta' kombustjoni interna. Ara l-immaġni tad-dijagramma tal-indikatur hawn taħt (fit-taqsima tat-tipi ta ’unitajiet tal-mutur).</v>
      </c>
    </row>
    <row r="18153" ht="15.75" customHeight="1">
      <c r="A18153" s="2" t="s">
        <v>18153</v>
      </c>
      <c r="B18153" s="2" t="str">
        <f>IFERROR(__xludf.DUMMYFUNCTION("GOOGLETRANSLATE(A18153, ""en"", ""mt"")"),"Elettriku, ilma, drenaġġ, telefon, u kejbil")</f>
        <v>Elettriku, ilma, drenaġġ, telefon, u kejbil</v>
      </c>
    </row>
    <row r="18154" ht="15.75" customHeight="1">
      <c r="A18154" s="2" t="s">
        <v>18154</v>
      </c>
      <c r="B18154" s="2" t="str">
        <f>IFERROR(__xludf.DUMMYFUNCTION("GOOGLETRANSLATE(A18154, ""en"", ""mt"")"),"Kemm hemm volumi li żżomm il-librerija John Crerar bejn wieħed u ieħor?")</f>
        <v>Kemm hemm volumi li żżomm il-librerija John Crerar bejn wieħed u ieħor?</v>
      </c>
    </row>
    <row r="18155" ht="15.75" customHeight="1">
      <c r="A18155" s="2" t="s">
        <v>18155</v>
      </c>
      <c r="B18155" s="2" t="str">
        <f>IFERROR(__xludf.DUMMYFUNCTION("GOOGLETRANSLATE(A18155, ""en"", ""mt"")"),"Minħabba pressjoni mill-istudjows tal-films li jixtiequ jżidu l-produzzjoni tagħhom, hekk kif in-netwerks ewlenin bdew jixxandru films rilaxxati teatralment, ABC ingħaqad ma 'CBS u NBC fix-xandir tal-films nhar il-Ħadd iljieli fl-1962, bit-tnedija tal-fil"&amp;"m ABC Sunday Night, li ddebutta sena wara l-kompetituri tagħha u inizjalment ġie ppreżentat bl-iswed u bl-abjad. Minkejja żieda sinifikanti fit-telespettatur (is-sehem tal-udjenza tiegħu żdied għal 33% mis-sehem ta '15% li kellu fl-1953), ABC baqa 'fit-ti"&amp;"elet post; Il-kumpanija kellha dħul totali ta '$ 15.5 miljun, terz tad-dħul miġbud minn CBS fl-istess perjodu. Biex tlaħħaq, ABC segwiet il-Flintstones b'serje animata oħra minn Hanna-Barbera, il-Jetsons, li ddebuttaw fit-23 ta 'Settembru, 1962 bħala l-ew"&amp;"wel serje televiżiva li xxandret bil-kulur fuq in-netwerk. Fl-1 ta 'April, 1963, ABC iddebutta l-Isptar Ġenerali tas-Soap Opera, li kien ikompli jsir il-programm ta' divertiment li ilu għaddej tan-netwerk tat-televiżjoni. Dik is-sena rat ukoll il-premiere"&amp;" tal-Fugitive (fis-17 ta 'Settembru), serje ta' drama li tiċċentra fuq raġel fuq il-ġirja wara li ġie akkużat li wettaq qtil li ma wettaqx.")</f>
        <v>Minħabba pressjoni mill-istudjows tal-films li jixtiequ jżidu l-produzzjoni tagħhom, hekk kif in-netwerks ewlenin bdew jixxandru films rilaxxati teatralment, ABC ingħaqad ma 'CBS u NBC fix-xandir tal-films nhar il-Ħadd iljieli fl-1962, bit-tnedija tal-film ABC Sunday Night, li ddebutta sena wara l-kompetituri tagħha u inizjalment ġie ppreżentat bl-iswed u bl-abjad. Minkejja żieda sinifikanti fit-telespettatur (is-sehem tal-udjenza tiegħu żdied għal 33% mis-sehem ta '15% li kellu fl-1953), ABC baqa 'fit-tielet post; Il-kumpanija kellha dħul totali ta '$ 15.5 miljun, terz tad-dħul miġbud minn CBS fl-istess perjodu. Biex tlaħħaq, ABC segwiet il-Flintstones b'serje animata oħra minn Hanna-Barbera, il-Jetsons, li ddebuttaw fit-23 ta 'Settembru, 1962 bħala l-ewwel serje televiżiva li xxandret bil-kulur fuq in-netwerk. Fl-1 ta 'April, 1963, ABC iddebutta l-Isptar Ġenerali tas-Soap Opera, li kien ikompli jsir il-programm ta' divertiment li ilu għaddej tan-netwerk tat-televiżjoni. Dik is-sena rat ukoll il-premiere tal-Fugitive (fis-17 ta 'Settembru), serje ta' drama li tiċċentra fuq raġel fuq il-ġirja wara li ġie akkużat li wettaq qtil li ma wettaqx.</v>
      </c>
    </row>
    <row r="18156" ht="15.75" customHeight="1">
      <c r="A18156" s="2" t="s">
        <v>18156</v>
      </c>
      <c r="B18156" s="2" t="str">
        <f>IFERROR(__xludf.DUMMYFUNCTION("GOOGLETRANSLATE(A18156, ""en"", ""mt"")"),"Kif kienu l-irġiel li għamlu kompiti bħal dawk tal-ispiżjara tal-lum fil-Ġappun fil-perjodi ta 'Asuka u Nara?")</f>
        <v>Kif kienu l-irġiel li għamlu kompiti bħal dawk tal-ispiżjara tal-lum fil-Ġappun fil-perjodi ta 'Asuka u Nara?</v>
      </c>
    </row>
    <row r="18157" ht="15.75" customHeight="1">
      <c r="A18157" s="2" t="s">
        <v>18157</v>
      </c>
      <c r="B18157" s="2" t="str">
        <f>IFERROR(__xludf.DUMMYFUNCTION("GOOGLETRANSLATE(A18157, ""en"", ""mt"")"),"kummerċ ħieles")</f>
        <v>kummerċ ħieles</v>
      </c>
    </row>
    <row r="18158" ht="15.75" customHeight="1">
      <c r="A18158" s="2" t="s">
        <v>18158</v>
      </c>
      <c r="B18158" s="2" t="str">
        <f>IFERROR(__xludf.DUMMYFUNCTION("GOOGLETRANSLATE(A18158, ""en"", ""mt"")"),"Luther tkellem kontra l-Lhud fis-Sassonja, Brandenburg, u Silesia. Josel ta 'Rosheim, il-kelliem tal-Lhud li pprova jgħin lill-Lhud ta' Sassonja fl-1537, aktar tard waħħalhom l-għawġ tagħhom fuq ""dak il-qassis li ismu kien Martin Luther - jista 'ġismu u "&amp;"r-ruħ tiegħu jkunu marbuta fl-infern! - Min kiteb u ħareġ ħafna eretika Kotba li fihom qal li kull min kien jgħin lill-Lhud kien iddestinat għall-perdizzjoni. "" Josel talab lill-Belt ta 'Strasburgu biex tipprojbixxi l-bejgħ tax-xogħlijiet anti-Lhud ta' L"&amp;"uther: huma rrifjutaw inizjalment, iżda għamlu hekk meta ragħaj Luteran f'Hochfelden uża priedka biex iħeġġeġ lill-parruċċani tiegħu biex joqtlu l-Lhud. L-influwenza ta 'Luther baqgħet għaddejja wara mewtu. Matul l-1580s, l-irvellijiet wasslu għat-tkeċċij"&amp;"a tal-Lhud minn diversi stati Ġermaniżi Luterani.")</f>
        <v>Luther tkellem kontra l-Lhud fis-Sassonja, Brandenburg, u Silesia. Josel ta 'Rosheim, il-kelliem tal-Lhud li pprova jgħin lill-Lhud ta' Sassonja fl-1537, aktar tard waħħalhom l-għawġ tagħhom fuq "dak il-qassis li ismu kien Martin Luther - jista 'ġismu u r-ruħ tiegħu jkunu marbuta fl-infern! - Min kiteb u ħareġ ħafna eretika Kotba li fihom qal li kull min kien jgħin lill-Lhud kien iddestinat għall-perdizzjoni. " Josel talab lill-Belt ta 'Strasburgu biex tipprojbixxi l-bejgħ tax-xogħlijiet anti-Lhud ta' Luther: huma rrifjutaw inizjalment, iżda għamlu hekk meta ragħaj Luteran f'Hochfelden uża priedka biex iħeġġeġ lill-parruċċani tiegħu biex joqtlu l-Lhud. L-influwenza ta 'Luther baqgħet għaddejja wara mewtu. Matul l-1580s, l-irvellijiet wasslu għat-tkeċċija tal-Lhud minn diversi stati Ġermaniżi Luterani.</v>
      </c>
    </row>
    <row r="18159" ht="15.75" customHeight="1">
      <c r="A18159" s="2" t="s">
        <v>18159</v>
      </c>
      <c r="B18159" s="2" t="str">
        <f>IFERROR(__xludf.DUMMYFUNCTION("GOOGLETRANSLATE(A18159, ""en"", ""mt"")"),"bagħat lil Dieskau fil-Fort San Frédéric biex jiltaqa 'ma' dik it-theddida")</f>
        <v>bagħat lil Dieskau fil-Fort San Frédéric biex jiltaqa 'ma' dik it-theddida</v>
      </c>
    </row>
    <row r="18160" ht="15.75" customHeight="1">
      <c r="A18160" s="2" t="s">
        <v>18160</v>
      </c>
      <c r="B18160" s="2" t="str">
        <f>IFERROR(__xludf.DUMMYFUNCTION("GOOGLETRANSLATE(A18160, ""en"", ""mt"")"),"Jailer")</f>
        <v>Jailer</v>
      </c>
    </row>
    <row r="18161" ht="15.75" customHeight="1">
      <c r="A18161" s="2" t="s">
        <v>18161</v>
      </c>
      <c r="B18161" s="2" t="str">
        <f>IFERROR(__xludf.DUMMYFUNCTION("GOOGLETRANSLATE(A18161, ""en"", ""mt"")"),"il-Mongoli")</f>
        <v>il-Mongoli</v>
      </c>
    </row>
    <row r="18162" ht="15.75" customHeight="1">
      <c r="A18162" s="2" t="s">
        <v>18162</v>
      </c>
      <c r="B18162" s="2" t="str">
        <f>IFERROR(__xludf.DUMMYFUNCTION("GOOGLETRANSLATE(A18162, ""en"", ""mt"")"),"Tkabbir ekonomiku baxx")</f>
        <v>Tkabbir ekonomiku baxx</v>
      </c>
    </row>
    <row r="18163" ht="15.75" customHeight="1">
      <c r="A18163" s="2" t="s">
        <v>18163</v>
      </c>
      <c r="B18163" s="2" t="str">
        <f>IFERROR(__xludf.DUMMYFUNCTION("GOOGLETRANSLATE(A18163, ""en"", ""mt"")"),"Permezz ta 'ġustifikazzjoni ċerta teoriji razzjali u ġeografiċi, l-Ewropa ħasbet minnha nnifisha?")</f>
        <v>Permezz ta 'ġustifikazzjoni ċerta teoriji razzjali u ġeografiċi, l-Ewropa ħasbet minnha nnifisha?</v>
      </c>
    </row>
    <row r="18164" ht="15.75" customHeight="1">
      <c r="A18164" s="2" t="s">
        <v>18164</v>
      </c>
      <c r="B18164" s="2" t="str">
        <f>IFERROR(__xludf.DUMMYFUNCTION("GOOGLETRANSLATE(A18164, ""en"", ""mt"")"),"Archangel Michael")</f>
        <v>Archangel Michael</v>
      </c>
    </row>
    <row r="18165" ht="15.75" customHeight="1">
      <c r="A18165" s="2" t="s">
        <v>18165</v>
      </c>
      <c r="B18165" s="2" t="str">
        <f>IFERROR(__xludf.DUMMYFUNCTION("GOOGLETRANSLATE(A18165, ""en"", ""mt"")"),"Klima subtropikali umda")</f>
        <v>Klima subtropikali umda</v>
      </c>
    </row>
    <row r="18166" ht="15.75" customHeight="1">
      <c r="A18166" s="2" t="s">
        <v>18166</v>
      </c>
      <c r="B18166" s="2" t="str">
        <f>IFERROR(__xludf.DUMMYFUNCTION("GOOGLETRANSLATE(A18166, ""en"", ""mt"")"),"X'wassal għar-Renju Unit biex tissottoskrivi għall-ftehim dwar il-politika soċjali?")</f>
        <v>X'wassal għar-Renju Unit biex tissottoskrivi għall-ftehim dwar il-politika soċjali?</v>
      </c>
    </row>
    <row r="18167" ht="15.75" customHeight="1">
      <c r="A18167" s="2" t="s">
        <v>18167</v>
      </c>
      <c r="B18167" s="2" t="str">
        <f>IFERROR(__xludf.DUMMYFUNCTION("GOOGLETRANSLATE(A18167, ""en"", ""mt"")"),"Bourgeois")</f>
        <v>Bourgeois</v>
      </c>
    </row>
    <row r="18168" ht="15.75" customHeight="1">
      <c r="A18168" s="2" t="s">
        <v>18168</v>
      </c>
      <c r="B18168" s="2" t="str">
        <f>IFERROR(__xludf.DUMMYFUNCTION("GOOGLETRANSLATE(A18168, ""en"", ""mt"")"),"X’kontribwixxa għall-inugwaljanza mnaqqsa bejn ħaddiema mħarrġa u mhux imħarrġa?")</f>
        <v>X’kontribwixxa għall-inugwaljanza mnaqqsa bejn ħaddiema mħarrġa u mhux imħarrġa?</v>
      </c>
    </row>
    <row r="18169" ht="15.75" customHeight="1">
      <c r="A18169" s="2" t="s">
        <v>18169</v>
      </c>
      <c r="B18169" s="2" t="str">
        <f>IFERROR(__xludf.DUMMYFUNCTION("GOOGLETRANSLATE(A18169, ""en"", ""mt"")"),"Meta ġie ppubblikat studju li jikkonferma l-projezzjonijiet tal-IPCC tal-2001?")</f>
        <v>Meta ġie ppubblikat studju li jikkonferma l-projezzjonijiet tal-IPCC tal-2001?</v>
      </c>
    </row>
    <row r="18170" ht="15.75" customHeight="1">
      <c r="A18170" s="2" t="s">
        <v>18170</v>
      </c>
      <c r="B18170" s="2" t="str">
        <f>IFERROR(__xludf.DUMMYFUNCTION("GOOGLETRANSLATE(A18170, ""en"", ""mt"")"),"tagħti lil ħuha Polynices dfin xieraq.")</f>
        <v>tagħti lil ħuha Polynices dfin xieraq.</v>
      </c>
    </row>
    <row r="18171" ht="15.75" customHeight="1">
      <c r="A18171" s="2" t="s">
        <v>18171</v>
      </c>
      <c r="B18171" s="2" t="str">
        <f>IFERROR(__xludf.DUMMYFUNCTION("GOOGLETRANSLATE(A18171, ""en"", ""mt"")"),"idea ta 'turmenti")</f>
        <v>idea ta 'turmenti</v>
      </c>
    </row>
    <row r="18172" ht="15.75" customHeight="1">
      <c r="A18172" s="2" t="s">
        <v>18172</v>
      </c>
      <c r="B18172" s="2" t="str">
        <f>IFERROR(__xludf.DUMMYFUNCTION("GOOGLETRANSLATE(A18172, ""en"", ""mt"")"),"Il-knisja tirrifjuta kienet bħala strument ta 'xiex?")</f>
        <v>Il-knisja tirrifjuta kienet bħala strument ta 'xiex?</v>
      </c>
    </row>
    <row r="18173" ht="15.75" customHeight="1">
      <c r="A18173" s="2" t="s">
        <v>18173</v>
      </c>
      <c r="B18173" s="2" t="str">
        <f>IFERROR(__xludf.DUMMYFUNCTION("GOOGLETRANSLATE(A18173, ""en"", ""mt"")"),"Fl-Istati Uniti, x'inhi l-veloċità tas-soltu tat-turbina b'60 hertz ta 'poter?")</f>
        <v>Fl-Istati Uniti, x'inhi l-veloċità tas-soltu tat-turbina b'60 hertz ta 'poter?</v>
      </c>
    </row>
    <row r="18174" ht="15.75" customHeight="1">
      <c r="A18174" s="2" t="s">
        <v>18174</v>
      </c>
      <c r="B18174" s="2" t="str">
        <f>IFERROR(__xludf.DUMMYFUNCTION("GOOGLETRANSLATE(A18174, ""en"", ""mt"")"),"Inqas")</f>
        <v>Inqas</v>
      </c>
    </row>
    <row r="18175" ht="15.75" customHeight="1">
      <c r="A18175" s="2" t="s">
        <v>18175</v>
      </c>
      <c r="B18175" s="2" t="str">
        <f>IFERROR(__xludf.DUMMYFUNCTION("GOOGLETRANSLATE(A18175, ""en"", ""mt"")"),"Kif tissejjaħ il-verżjoni riveduta tal-Ktieb tat-Talb Komuni?")</f>
        <v>Kif tissejjaħ il-verżjoni riveduta tal-Ktieb tat-Talb Komuni?</v>
      </c>
    </row>
    <row r="18176" ht="15.75" customHeight="1">
      <c r="A18176" s="2" t="s">
        <v>18176</v>
      </c>
      <c r="B18176" s="2" t="str">
        <f>IFERROR(__xludf.DUMMYFUNCTION("GOOGLETRANSLATE(A18176, ""en"", ""mt"")"),"L-applikazzjoni ħażina ta 'proċeduri IPCC stabbiliti sew")</f>
        <v>L-applikazzjoni ħażina ta 'proċeduri IPCC stabbiliti sew</v>
      </c>
    </row>
    <row r="18177" ht="15.75" customHeight="1">
      <c r="A18177" s="2" t="s">
        <v>18177</v>
      </c>
      <c r="B18177" s="2" t="str">
        <f>IFERROR(__xludf.DUMMYFUNCTION("GOOGLETRANSLATE(A18177, ""en"", ""mt"")"),"Librerija importanti oħra - il-Librerija tal-Università, imwaqqfa fl-1816, hija dar għal aktar minn żewġ miljun oġġett. Il-bini kien iddisinjat mill-periti Marek Budzyński u Zbigniew Badowski u nfetaħ fil-15 ta 'Diċembru 1999. Huwa mdawwar bl-aħdar. Il-Ġn"&amp;"ien tal-Librerija tal-Università, iddisinjat minn Irena Bajerska, infetaħ fit-12 ta 'Ġunju 2002. Huwa wieħed mill-ikbar u l-isbaħ ġonna tas-saqaf fl-Ewropa b'żona ta' aktar minn 10,000 m2 (107,639.10 sq ft), u pjanti li jkopru 5,111 m2 ( 55,014.35 sq ft)."&amp;" Bħala l-ġnien tal-università huwa miftuħ għall-pubbliku kuljum.")</f>
        <v>Librerija importanti oħra - il-Librerija tal-Università, imwaqqfa fl-1816, hija dar għal aktar minn żewġ miljun oġġett. Il-bini kien iddisinjat mill-periti Marek Budzyński u Zbigniew Badowski u nfetaħ fil-15 ta 'Diċembru 1999. Huwa mdawwar bl-aħdar. Il-Ġnien tal-Librerija tal-Università, iddisinjat minn Irena Bajerska, infetaħ fit-12 ta 'Ġunju 2002. Huwa wieħed mill-ikbar u l-isbaħ ġonna tas-saqaf fl-Ewropa b'żona ta' aktar minn 10,000 m2 (107,639.10 sq ft), u pjanti li jkopru 5,111 m2 ( 55,014.35 sq ft). Bħala l-ġnien tal-università huwa miftuħ għall-pubbliku kuljum.</v>
      </c>
    </row>
    <row r="18178" ht="15.75" customHeight="1">
      <c r="A18178" s="2" t="s">
        <v>18178</v>
      </c>
      <c r="B18178" s="2" t="str">
        <f>IFERROR(__xludf.DUMMYFUNCTION("GOOGLETRANSLATE(A18178, ""en"", ""mt"")"),"Kif tikklassifika Victoria fir-rigward tad-densità tal-popolazzjoni?")</f>
        <v>Kif tikklassifika Victoria fir-rigward tad-densità tal-popolazzjoni?</v>
      </c>
    </row>
    <row r="18179" ht="15.75" customHeight="1">
      <c r="A18179" s="2" t="s">
        <v>18179</v>
      </c>
      <c r="B18179" s="2" t="str">
        <f>IFERROR(__xludf.DUMMYFUNCTION("GOOGLETRANSLATE(A18179, ""en"", ""mt"")"),"Ir-rati rrappurtati ta 'mortalità fiż-żoni rurali matul il-pandemija tas-seklu 14 kienu inkonsistenti mal-pesta bubonika moderna")</f>
        <v>Ir-rati rrappurtati ta 'mortalità fiż-żoni rurali matul il-pandemija tas-seklu 14 kienu inkonsistenti mal-pesta bubonika moderna</v>
      </c>
    </row>
    <row r="18180" ht="15.75" customHeight="1">
      <c r="A18180" s="2" t="s">
        <v>18180</v>
      </c>
      <c r="B18180" s="2" t="str">
        <f>IFERROR(__xludf.DUMMYFUNCTION("GOOGLETRANSLATE(A18180, ""en"", ""mt"")"),"Kemm kien jiddikjara li kellu jgħaddi qabel ma ta r-raġġ lid-dinja?")</f>
        <v>Kemm kien jiddikjara li kellu jgħaddi qabel ma ta r-raġġ lid-dinja?</v>
      </c>
    </row>
    <row r="18181" ht="15.75" customHeight="1">
      <c r="A18181" s="2" t="s">
        <v>18181</v>
      </c>
      <c r="B18181" s="2" t="str">
        <f>IFERROR(__xludf.DUMMYFUNCTION("GOOGLETRANSLATE(A18181, ""en"", ""mt"")"),"L-ewwel xokk taż-żejt")</f>
        <v>L-ewwel xokk taż-żejt</v>
      </c>
    </row>
    <row r="18182" ht="15.75" customHeight="1">
      <c r="A18182" s="2" t="s">
        <v>18182</v>
      </c>
      <c r="B18182" s="2" t="str">
        <f>IFERROR(__xludf.DUMMYFUNCTION("GOOGLETRANSLATE(A18182, ""en"", ""mt"")"),"18 ta 'Jannar, 1974,")</f>
        <v>18 ta 'Jannar, 1974,</v>
      </c>
    </row>
    <row r="18183" ht="15.75" customHeight="1">
      <c r="A18183" s="2" t="s">
        <v>18183</v>
      </c>
      <c r="B18183" s="2" t="str">
        <f>IFERROR(__xludf.DUMMYFUNCTION("GOOGLETRANSLATE(A18183, ""en"", ""mt"")"),"sitt serje ta 'teżijiet")</f>
        <v>sitt serje ta 'teżijiet</v>
      </c>
    </row>
    <row r="18184" ht="15.75" customHeight="1">
      <c r="A18184" s="2" t="s">
        <v>18184</v>
      </c>
      <c r="B18184" s="2" t="str">
        <f>IFERROR(__xludf.DUMMYFUNCTION("GOOGLETRANSLATE(A18184, ""en"", ""mt"")"),"Liema materjal tal-bini is-sala tad-dħul u t-turġien tal-ġenb tal-ġenb jużaw il-biċċa l-kbira?")</f>
        <v>Liema materjal tal-bini is-sala tad-dħul u t-turġien tal-ġenb tal-ġenb jużaw il-biċċa l-kbira?</v>
      </c>
    </row>
    <row r="18185" ht="15.75" customHeight="1">
      <c r="A18185" s="2" t="s">
        <v>18185</v>
      </c>
      <c r="B18185" s="2" t="str">
        <f>IFERROR(__xludf.DUMMYFUNCTION("GOOGLETRANSLATE(A18185, ""en"", ""mt"")"),"Liema pajjiż juża l-iskutella ta 'Hygieia bħala simbolu tal-ispiżerija?")</f>
        <v>Liema pajjiż juża l-iskutella ta 'Hygieia bħala simbolu tal-ispiżerija?</v>
      </c>
    </row>
    <row r="18186" ht="15.75" customHeight="1">
      <c r="A18186" s="2" t="s">
        <v>18186</v>
      </c>
      <c r="B18186" s="2" t="str">
        <f>IFERROR(__xludf.DUMMYFUNCTION("GOOGLETRANSLATE(A18186, ""en"", ""mt"")"),"Seklu 7")</f>
        <v>Seklu 7</v>
      </c>
    </row>
    <row r="18187" ht="15.75" customHeight="1">
      <c r="A18187" s="2" t="s">
        <v>18187</v>
      </c>
      <c r="B18187" s="2" t="str">
        <f>IFERROR(__xludf.DUMMYFUNCTION("GOOGLETRANSLATE(A18187, ""en"", ""mt"")"),"""Il-kelma"" imperu ""ġejja mill-kelma Latina Imperium; li għalih l-eqreb ekwivalenti Ingliż modern jista 'jkun"" sovranità "", jew sempliċement"" regola "". L-akbar distinzjoni ta 'imperu hija permezz tal-ammont ta' art li nazzjon ħakem u espandiet. Il-p"&amp;"oter politiku kiber mill-art li qed jirbħu, madankollu l-aspetti kulturali u ekonomiċi iffjorixxew permezz tar-rotot tal-baħar u tal-kummerċ. Distinzjoni dwar l-imperi hija ""li għalkemm l-imperi politiċi nbnew l-aktar permezz ta 'espansjoni fuq l-art, l-"&amp;"influwenzi ekonomiċi u kulturali jinfirxu mill-inqas daqs il-baħar"". Uħud mill-aspetti ewlenin tal-kummerċ li marru barranin kienu jikkonsistu minn annimali u prodotti tal-pjanti. L-imperi Ewropej fl-Asja u l-Afrika ""ġew meqjusa bħala l-forom klassiċi t"&amp;"a 'l-imperjalizmu: u tabilħaqq ħafna kotba dwar is-suġġett jillimitaw ruħhom għall-imperi Ewropej tal-baħar"". L-espansjoni Ewropea kkawżat li d-dinja tinqasam minn kif in-nazzjon żviluppat u li qed jiżviluppa huma deskritti permezz tat-teorija tas-sistem"&amp;"i dinjija. Iż-żewġ reġjuni ewlenin huma l-qalba u l-periferija. Il-qalba tikkonsisti f'oqsma għoljin ta 'dħul u profitt; Il-periferija tinsab fuq in-naħa opposta tal-ispettru li jikkonsisti f'żoni ta 'dħul baxx u profitt. Dawn it-teoriji kritiċi tal-ġeopo"&amp;"litika wasslu għal diskussjoni miżjuda dwar it-tifsira u l-impatt tal-imperjalizmu fuq id-dinja post-kolonjali moderna. Il-mexxej Russu Lenin issuġġerixxa li ""l-imperjalizmu kien l-ogħla forma ta 'kapitaliżmu, fejn qal li l-imperjalizmu żviluppa wara l-k"&amp;"olonjaliżmu, u kien distint mill-kolonjaliżmu mill-kapitaliżmu tal-monopolju"". Din l-idea minn Lenin tenfasizza kemm l-ordni tad-dinja politika ġdida ġdida saret fl-era moderna tagħna. Il-ġeopolitika issa tiffoka fuq l-istati li jsiru atturi ekonomiċi ew"&amp;"lenin fis-suq; Xi stati llum huma meqjusa bħala imperi minħabba l-awtorità politika u ekonomika tagħhom fuq nazzjonijiet oħra.")</f>
        <v>"Il-kelma" imperu "ġejja mill-kelma Latina Imperium; li għalih l-eqreb ekwivalenti Ingliż modern jista 'jkun" sovranità ", jew sempliċement" regola ". L-akbar distinzjoni ta 'imperu hija permezz tal-ammont ta' art li nazzjon ħakem u espandiet. Il-poter politiku kiber mill-art li qed jirbħu, madankollu l-aspetti kulturali u ekonomiċi iffjorixxew permezz tar-rotot tal-baħar u tal-kummerċ. Distinzjoni dwar l-imperi hija "li għalkemm l-imperi politiċi nbnew l-aktar permezz ta 'espansjoni fuq l-art, l-influwenzi ekonomiċi u kulturali jinfirxu mill-inqas daqs il-baħar". Uħud mill-aspetti ewlenin tal-kummerċ li marru barranin kienu jikkonsistu minn annimali u prodotti tal-pjanti. L-imperi Ewropej fl-Asja u l-Afrika "ġew meqjusa bħala l-forom klassiċi ta 'l-imperjalizmu: u tabilħaqq ħafna kotba dwar is-suġġett jillimitaw ruħhom għall-imperi Ewropej tal-baħar". L-espansjoni Ewropea kkawżat li d-dinja tinqasam minn kif in-nazzjon żviluppat u li qed jiżviluppa huma deskritti permezz tat-teorija tas-sistemi dinjija. Iż-żewġ reġjuni ewlenin huma l-qalba u l-periferija. Il-qalba tikkonsisti f'oqsma għoljin ta 'dħul u profitt; Il-periferija tinsab fuq in-naħa opposta tal-ispettru li jikkonsisti f'żoni ta 'dħul baxx u profitt. Dawn it-teoriji kritiċi tal-ġeopolitika wasslu għal diskussjoni miżjuda dwar it-tifsira u l-impatt tal-imperjalizmu fuq id-dinja post-kolonjali moderna. Il-mexxej Russu Lenin issuġġerixxa li "l-imperjalizmu kien l-ogħla forma ta 'kapitaliżmu, fejn qal li l-imperjalizmu żviluppa wara l-kolonjaliżmu, u kien distint mill-kolonjaliżmu mill-kapitaliżmu tal-monopolju". Din l-idea minn Lenin tenfasizza kemm l-ordni tad-dinja politika ġdida ġdida saret fl-era moderna tagħna. Il-ġeopolitika issa tiffoka fuq l-istati li jsiru atturi ekonomiċi ewlenin fis-suq; Xi stati llum huma meqjusa bħala imperi minħabba l-awtorità politika u ekonomika tagħhom fuq nazzjonijiet oħra.</v>
      </c>
    </row>
    <row r="18188" ht="15.75" customHeight="1">
      <c r="A18188" s="2" t="s">
        <v>18188</v>
      </c>
      <c r="B18188" s="2" t="str">
        <f>IFERROR(__xludf.DUMMYFUNCTION("GOOGLETRANSLATE(A18188, ""en"", ""mt"")"),"Min-naħa tiegħu, in-netwerk televiżiv ipproduċa ftit suċċessi ġodda matul l-1977: Jannar ra l-premiere ta 'Roots, miniseries ibbażati fuq rumanz ta' Alex Haley li ġie ppubblikat is-sena ta 'qabel; F’Settembru, The Love Boat, serje ta ’antoloġija ta’ kummi"&amp;"edja-drama prodotta minn Aaron Spelling li kienet ibbażata madwar l-ekwipaġġ ta ’vapur tal-kruċieri u kienet tidher tliet stejjer iċċentrati parzjalment fuq il-passiġġieri varji tal-vapur; Għalkemm kritikament lambasted, is-serje rriżulta li kienet suċċes"&amp;"s tal-klassifikazzjonijiet u damet disa 'staġuni. L-għeruq komplew isiru wieħed mill-iktar programmi nominali fl-istorja tat-televiżjoni Amerikana, bi klassifikazzjonijiet bla preċedent għall-finali tagħha. Is-suċċess ta 'Roots, Happy Days u The Love Boat"&amp;" ippermettew li n-netwerk jieħu l-ewwel post fil-klassifikazzjonijiet għall-ewwel darba fl-istaġun 1976-77. Fit-13 ta 'Settembru, 1977, in-netwerk iddebutta SOAP, parodija kontroversjali tas-sapun li saret magħrufa għall-ewwel serje televiżiva li għandha "&amp;"karattru ewlieni omosesswali (interpretata minn dak iż-żmien mhux magħruf Billy Crystal); L-aħħar dam fuq in-netwerk fl-20 ta 'April, 1981.")</f>
        <v>Min-naħa tiegħu, in-netwerk televiżiv ipproduċa ftit suċċessi ġodda matul l-1977: Jannar ra l-premiere ta 'Roots, miniseries ibbażati fuq rumanz ta' Alex Haley li ġie ppubblikat is-sena ta 'qabel; F’Settembru, The Love Boat, serje ta ’antoloġija ta’ kummiedja-drama prodotta minn Aaron Spelling li kienet ibbażata madwar l-ekwipaġġ ta ’vapur tal-kruċieri u kienet tidher tliet stejjer iċċentrati parzjalment fuq il-passiġġieri varji tal-vapur; Għalkemm kritikament lambasted, is-serje rriżulta li kienet suċċess tal-klassifikazzjonijiet u damet disa 'staġuni. L-għeruq komplew isiru wieħed mill-iktar programmi nominali fl-istorja tat-televiżjoni Amerikana, bi klassifikazzjonijiet bla preċedent għall-finali tagħha. Is-suċċess ta 'Roots, Happy Days u The Love Boat ippermettew li n-netwerk jieħu l-ewwel post fil-klassifikazzjonijiet għall-ewwel darba fl-istaġun 1976-77. Fit-13 ta 'Settembru, 1977, in-netwerk iddebutta SOAP, parodija kontroversjali tas-sapun li saret magħrufa għall-ewwel serje televiżiva li għandha karattru ewlieni omosesswali (interpretata minn dak iż-żmien mhux magħruf Billy Crystal); L-aħħar dam fuq in-netwerk fl-20 ta 'April, 1981.</v>
      </c>
    </row>
    <row r="18189" ht="15.75" customHeight="1">
      <c r="A18189" s="2" t="s">
        <v>18189</v>
      </c>
      <c r="B18189" s="2" t="str">
        <f>IFERROR(__xludf.DUMMYFUNCTION("GOOGLETRANSLATE(A18189, ""en"", ""mt"")"),"96.26%")</f>
        <v>96.26%</v>
      </c>
    </row>
    <row r="18190" ht="15.75" customHeight="1">
      <c r="A18190" s="2" t="s">
        <v>18190</v>
      </c>
      <c r="B18190" s="2" t="str">
        <f>IFERROR(__xludf.DUMMYFUNCTION("GOOGLETRANSLATE(A18190, ""en"", ""mt"")"),"Olandiż")</f>
        <v>Olandiż</v>
      </c>
    </row>
    <row r="18191" ht="15.75" customHeight="1">
      <c r="A18191" s="2" t="s">
        <v>18191</v>
      </c>
      <c r="B18191" s="2" t="str">
        <f>IFERROR(__xludf.DUMMYFUNCTION("GOOGLETRANSLATE(A18191, ""en"", ""mt"")"),"X'kienet l-entità li daħlet u kkawżat lil Miami's Sun Life Stadium biex ma tibqax tkun fit-tmexxija biex tospita Super Bowl 50?")</f>
        <v>X'kienet l-entità li daħlet u kkawżat lil Miami's Sun Life Stadium biex ma tibqax tkun fit-tmexxija biex tospita Super Bowl 50?</v>
      </c>
    </row>
    <row r="18192" ht="15.75" customHeight="1">
      <c r="A18192" s="2" t="s">
        <v>18192</v>
      </c>
      <c r="B18192" s="2" t="str">
        <f>IFERROR(__xludf.DUMMYFUNCTION("GOOGLETRANSLATE(A18192, ""en"", ""mt"")"),"L-Università ta ’Chicago żżomm ukoll faċilitajiet apparti mill-kampus ewlieni tagħha. L-Iskola tan-Negozju tal-Booth tal-Università żżomm kampus f’Singapore, Londra, u fil-viċinat ta ’Downtown Streeterville f’Chicago. Iċ-ċentru f'Pariġi, kampus li jinsab "&amp;"fuq ix-xellug ta 'Seine f'Pariġi, jospita diversi programmi ta' studju li għadhom ma ggradwawx u gradwati. Fil-ħarifa tal-2010, l-Università ta ’Chicago fetħet ukoll ċentru f’Beijing, qrib il-kampus tal-Università ta’ Renmin fid-distrett ta ’Haidian. L-ik"&amp;"tar żidiet riċenti huma ċentru fi New Delhi, l-Indja, li nfetaħ fl-2014, u ċentru f'Hong Kong li nfetaħ fl-2015.")</f>
        <v>L-Università ta ’Chicago żżomm ukoll faċilitajiet apparti mill-kampus ewlieni tagħha. L-Iskola tan-Negozju tal-Booth tal-Università żżomm kampus f’Singapore, Londra, u fil-viċinat ta ’Downtown Streeterville f’Chicago. Iċ-ċentru f'Pariġi, kampus li jinsab fuq ix-xellug ta 'Seine f'Pariġi, jospita diversi programmi ta' studju li għadhom ma ggradwawx u gradwati. Fil-ħarifa tal-2010, l-Università ta ’Chicago fetħet ukoll ċentru f’Beijing, qrib il-kampus tal-Università ta’ Renmin fid-distrett ta ’Haidian. L-iktar żidiet riċenti huma ċentru fi New Delhi, l-Indja, li nfetaħ fl-2014, u ċentru f'Hong Kong li nfetaħ fl-2015.</v>
      </c>
    </row>
    <row r="18193" ht="15.75" customHeight="1">
      <c r="A18193" s="2" t="s">
        <v>18193</v>
      </c>
      <c r="B18193" s="2" t="str">
        <f>IFERROR(__xludf.DUMMYFUNCTION("GOOGLETRANSLATE(A18193, ""en"", ""mt"")"),"Liema pajjiż ir-Rhine tbattal?")</f>
        <v>Liema pajjiż ir-Rhine tbattal?</v>
      </c>
    </row>
    <row r="18194" ht="15.75" customHeight="1">
      <c r="A18194" s="2" t="s">
        <v>18194</v>
      </c>
      <c r="B18194" s="2" t="str">
        <f>IFERROR(__xludf.DUMMYFUNCTION("GOOGLETRANSLATE(A18194, ""en"", ""mt"")"),"Min hu soġġett għall-verifika?")</f>
        <v>Min hu soġġett għall-verifika?</v>
      </c>
    </row>
    <row r="18195" ht="15.75" customHeight="1">
      <c r="A18195" s="2" t="s">
        <v>18195</v>
      </c>
      <c r="B18195" s="2" t="str">
        <f>IFERROR(__xludf.DUMMYFUNCTION("GOOGLETRANSLATE(A18195, ""en"", ""mt"")"),"X'inhu l-isem assoċjat mat-tmien oqsma li jiffurmaw parti min-Nofsinhar ta 'California?")</f>
        <v>X'inhu l-isem assoċjat mat-tmien oqsma li jiffurmaw parti min-Nofsinhar ta 'California?</v>
      </c>
    </row>
    <row r="18196" ht="15.75" customHeight="1">
      <c r="A18196" s="2" t="s">
        <v>18196</v>
      </c>
      <c r="B18196" s="2" t="str">
        <f>IFERROR(__xludf.DUMMYFUNCTION("GOOGLETRANSLATE(A18196, ""en"", ""mt"")"),"Angiosperms C3, u anke xi ġinnasini")</f>
        <v>Angiosperms C3, u anke xi ġinnasini</v>
      </c>
    </row>
    <row r="18197" ht="15.75" customHeight="1">
      <c r="A18197" s="2" t="s">
        <v>18197</v>
      </c>
      <c r="B18197" s="2" t="str">
        <f>IFERROR(__xludf.DUMMYFUNCTION("GOOGLETRANSLATE(A18197, ""en"", ""mt"")"),"Taħt liema politika huma mħeġġa l-għaqdiet tax-xogħol?")</f>
        <v>Taħt liema politika huma mħeġġa l-għaqdiet tax-xogħol?</v>
      </c>
    </row>
    <row r="18198" ht="15.75" customHeight="1">
      <c r="A18198" s="2" t="s">
        <v>18198</v>
      </c>
      <c r="B18198" s="2" t="str">
        <f>IFERROR(__xludf.DUMMYFUNCTION("GOOGLETRANSLATE(A18198, ""en"", ""mt"")"),"Fin-Nofsinhar")</f>
        <v>Fin-Nofsinhar</v>
      </c>
    </row>
    <row r="18199" ht="15.75" customHeight="1">
      <c r="A18199" s="2" t="s">
        <v>18199</v>
      </c>
      <c r="B18199" s="2" t="str">
        <f>IFERROR(__xludf.DUMMYFUNCTION("GOOGLETRANSLATE(A18199, ""en"", ""mt"")"),"Prodotti sekondarji perikolużi ta 'użu ta' ossiġnu f'organiżmi")</f>
        <v>Prodotti sekondarji perikolużi ta 'użu ta' ossiġnu f'organiżmi</v>
      </c>
    </row>
    <row r="18200" ht="15.75" customHeight="1">
      <c r="A18200" s="2" t="s">
        <v>18200</v>
      </c>
      <c r="B18200" s="2" t="str">
        <f>IFERROR(__xludf.DUMMYFUNCTION("GOOGLETRANSLATE(A18200, ""en"", ""mt"")"),"kavallier jirbaħ bout")</f>
        <v>kavallier jirbaħ bout</v>
      </c>
    </row>
    <row r="18201" ht="15.75" customHeight="1">
      <c r="A18201" s="2" t="s">
        <v>18201</v>
      </c>
      <c r="B18201" s="2" t="str">
        <f>IFERROR(__xludf.DUMMYFUNCTION("GOOGLETRANSLATE(A18201, ""en"", ""mt"")"),"il-bidu tas-snin 1960")</f>
        <v>il-bidu tas-snin 1960</v>
      </c>
    </row>
    <row r="18202" ht="15.75" customHeight="1">
      <c r="A18202" s="2" t="s">
        <v>18202</v>
      </c>
      <c r="B18202" s="2" t="str">
        <f>IFERROR(__xludf.DUMMYFUNCTION("GOOGLETRANSLATE(A18202, ""en"", ""mt"")"),"Hughes Hotel")</f>
        <v>Hughes Hotel</v>
      </c>
    </row>
    <row r="18203" ht="15.75" customHeight="1">
      <c r="A18203" s="2" t="s">
        <v>18203</v>
      </c>
      <c r="B18203" s="2" t="str">
        <f>IFERROR(__xludf.DUMMYFUNCTION("GOOGLETRANSLATE(A18203, ""en"", ""mt"")"),"Ir-ribelljonijiet Huguenot")</f>
        <v>Ir-ribelljonijiet Huguenot</v>
      </c>
    </row>
    <row r="18204" ht="15.75" customHeight="1">
      <c r="A18204" s="2" t="s">
        <v>18204</v>
      </c>
      <c r="B18204" s="2" t="str">
        <f>IFERROR(__xludf.DUMMYFUNCTION("GOOGLETRANSLATE(A18204, ""en"", ""mt"")"),"X'kien involut Luther fit-trattament tal-imħuħ f'Mansfeld?")</f>
        <v>X'kien involut Luther fit-trattament tal-imħuħ f'Mansfeld?</v>
      </c>
    </row>
    <row r="18205" ht="15.75" customHeight="1">
      <c r="A18205" s="2" t="s">
        <v>18205</v>
      </c>
      <c r="B18205" s="2" t="str">
        <f>IFERROR(__xludf.DUMMYFUNCTION("GOOGLETRANSLATE(A18205, ""en"", ""mt"")"),"Ordni Pubbliku")</f>
        <v>Ordni Pubbliku</v>
      </c>
    </row>
    <row r="18206" ht="15.75" customHeight="1">
      <c r="A18206" s="2" t="s">
        <v>18206</v>
      </c>
      <c r="B18206" s="2" t="str">
        <f>IFERROR(__xludf.DUMMYFUNCTION("GOOGLETRANSLATE(A18206, ""en"", ""mt"")"),"Ħares lejn iż-żewġ possibbiltajiet")</f>
        <v>Ħares lejn iż-żewġ possibbiltajiet</v>
      </c>
    </row>
    <row r="18207" ht="15.75" customHeight="1">
      <c r="A18207" s="2" t="s">
        <v>18207</v>
      </c>
      <c r="B18207" s="2" t="str">
        <f>IFERROR(__xludf.DUMMYFUNCTION("GOOGLETRANSLATE(A18207, ""en"", ""mt"")"),"Liema telf nett sofrew il-Konservattivi?")</f>
        <v>Liema telf nett sofrew il-Konservattivi?</v>
      </c>
    </row>
    <row r="18208" ht="15.75" customHeight="1">
      <c r="A18208" s="2" t="s">
        <v>18208</v>
      </c>
      <c r="B18208" s="2" t="str">
        <f>IFERROR(__xludf.DUMMYFUNCTION("GOOGLETRANSLATE(A18208, ""en"", ""mt"")"),"X'kienet elenkata l-belt il-qadima ta 'Varsavja bħal fl-1980?")</f>
        <v>X'kienet elenkata l-belt il-qadima ta 'Varsavja bħal fl-1980?</v>
      </c>
    </row>
    <row r="18209" ht="15.75" customHeight="1">
      <c r="A18209" s="2" t="s">
        <v>18209</v>
      </c>
      <c r="B18209" s="2" t="str">
        <f>IFERROR(__xludf.DUMMYFUNCTION("GOOGLETRANSLATE(A18209, ""en"", ""mt"")"),"Biex tiffissa d-dijossidu tal-karbonju fil-molekuli taz-zokkor fil-proċess tal-fotosintesi, il-kloroplasti jużaw enzima msejħa Rubisco. Rubisco għandu problema - għandu problemi biex jiddistingwi bejn id-dijossidu tal-karbonju u l-ossiġnu, u għalhekk f'ko"&amp;"nċentrazzjonijiet għoljin ta 'ossiġnu, Rubisco jibda aċċidentalment iżid ossiġnu mal-prekursuri taz-zokkor. Dan għandu r-riżultat aħħari tal-enerġija ATP li qed tinħela u s-CO2 qed jiġi rilaxxat, kollha mingħajr zokkor. Din hija problema kbira, peress li "&amp;"O2 huwa prodott mir-reazzjonijiet tad-dawl inizjali tal-fotosintesi, li jikkawżaw kwistjonijiet fil-linja fiċ-ċiklu ta 'Calvin li juża Rubisco.")</f>
        <v>Biex tiffissa d-dijossidu tal-karbonju fil-molekuli taz-zokkor fil-proċess tal-fotosintesi, il-kloroplasti jużaw enzima msejħa Rubisco. Rubisco għandu problema - għandu problemi biex jiddistingwi bejn id-dijossidu tal-karbonju u l-ossiġnu, u għalhekk f'konċentrazzjonijiet għoljin ta 'ossiġnu, Rubisco jibda aċċidentalment iżid ossiġnu mal-prekursuri taz-zokkor. Dan għandu r-riżultat aħħari tal-enerġija ATP li qed tinħela u s-CO2 qed jiġi rilaxxat, kollha mingħajr zokkor. Din hija problema kbira, peress li O2 huwa prodott mir-reazzjonijiet tad-dawl inizjali tal-fotosintesi, li jikkawżaw kwistjonijiet fil-linja fiċ-ċiklu ta 'Calvin li juża Rubisco.</v>
      </c>
    </row>
    <row r="18210" ht="15.75" customHeight="1">
      <c r="A18210" s="2" t="s">
        <v>18210</v>
      </c>
      <c r="B18210" s="2" t="str">
        <f>IFERROR(__xludf.DUMMYFUNCTION("GOOGLETRANSLATE(A18210, ""en"", ""mt"")"),"Supretendent Brittaniku għall-Affarijiet Indjani")</f>
        <v>Supretendent Brittaniku għall-Affarijiet Indjani</v>
      </c>
    </row>
    <row r="18211" ht="15.75" customHeight="1">
      <c r="A18211" s="2" t="s">
        <v>18211</v>
      </c>
      <c r="B18211" s="2" t="str">
        <f>IFERROR(__xludf.DUMMYFUNCTION("GOOGLETRANSLATE(A18211, ""en"", ""mt"")"),"L-Gżejjer Brittaniċi")</f>
        <v>L-Gżejjer Brittaniċi</v>
      </c>
    </row>
    <row r="18212" ht="15.75" customHeight="1">
      <c r="A18212" s="2" t="s">
        <v>18212</v>
      </c>
      <c r="B18212" s="2" t="str">
        <f>IFERROR(__xludf.DUMMYFUNCTION("GOOGLETRANSLATE(A18212, ""en"", ""mt"")"),"Liema websajt CBS ipprovdiet nixxiegħa?")</f>
        <v>Liema websajt CBS ipprovdiet nixxiegħa?</v>
      </c>
    </row>
    <row r="18213" ht="15.75" customHeight="1">
      <c r="A18213" s="2" t="s">
        <v>18213</v>
      </c>
      <c r="B18213" s="2" t="str">
        <f>IFERROR(__xludf.DUMMYFUNCTION("GOOGLETRANSLATE(A18213, ""en"", ""mt"")"),"X'kienet il-preżenza militari ta 'Frensh fil-bidu tal-gwerra?")</f>
        <v>X'kienet il-preżenza militari ta 'Frensh fil-bidu tal-gwerra?</v>
      </c>
    </row>
    <row r="18214" ht="15.75" customHeight="1">
      <c r="A18214" s="2" t="s">
        <v>18214</v>
      </c>
      <c r="B18214" s="2" t="str">
        <f>IFERROR(__xludf.DUMMYFUNCTION("GOOGLETRANSLATE(A18214, ""en"", ""mt"")"),"kompost b'erba 'karbonju")</f>
        <v>kompost b'erba 'karbonju</v>
      </c>
    </row>
    <row r="18215" ht="15.75" customHeight="1">
      <c r="A18215" s="2" t="s">
        <v>18215</v>
      </c>
      <c r="B18215" s="2" t="str">
        <f>IFERROR(__xludf.DUMMYFUNCTION("GOOGLETRANSLATE(A18215, ""en"", ""mt"")"),"Xogħol niket fuq id-dnub f'qalb il-bniedem")</f>
        <v>Xogħol niket fuq id-dnub f'qalb il-bniedem</v>
      </c>
    </row>
    <row r="18216" ht="15.75" customHeight="1">
      <c r="A18216" s="2" t="s">
        <v>18216</v>
      </c>
      <c r="B18216" s="2" t="str">
        <f>IFERROR(__xludf.DUMMYFUNCTION("GOOGLETRANSLATE(A18216, ""en"", ""mt"")"),"Fejn twaqqfet il-Fratellanza Musulmana?")</f>
        <v>Fejn twaqqfet il-Fratellanza Musulmana?</v>
      </c>
    </row>
    <row r="18217" ht="15.75" customHeight="1">
      <c r="A18217" s="2" t="s">
        <v>18217</v>
      </c>
      <c r="B18217" s="2" t="str">
        <f>IFERROR(__xludf.DUMMYFUNCTION("GOOGLETRANSLATE(A18217, ""en"", ""mt"")"),"il-ħin meħud")</f>
        <v>il-ħin meħud</v>
      </c>
    </row>
    <row r="18218" ht="15.75" customHeight="1">
      <c r="A18218" s="2" t="s">
        <v>18218</v>
      </c>
      <c r="B18218" s="2" t="str">
        <f>IFERROR(__xludf.DUMMYFUNCTION("GOOGLETRANSLATE(A18218, ""en"", ""mt"")"),"Liema Monarki kien il-Mużew Victoria u Albert imsemmi wara?")</f>
        <v>Liema Monarki kien il-Mużew Victoria u Albert imsemmi wara?</v>
      </c>
    </row>
    <row r="18219" ht="15.75" customHeight="1">
      <c r="A18219" s="2" t="s">
        <v>18219</v>
      </c>
      <c r="B18219" s="2" t="str">
        <f>IFERROR(__xludf.DUMMYFUNCTION("GOOGLETRANSLATE(A18219, ""en"", ""mt"")"),"X’kienu saru talbiet lill-Ingliżi?")</f>
        <v>X’kienu saru talbiet lill-Ingliżi?</v>
      </c>
    </row>
    <row r="18220" ht="15.75" customHeight="1">
      <c r="A18220" s="2" t="s">
        <v>18220</v>
      </c>
      <c r="B18220" s="2" t="str">
        <f>IFERROR(__xludf.DUMMYFUNCTION("GOOGLETRANSLATE(A18220, ""en"", ""mt"")"),"X'kien l-ewwel netwerk tal-internet2 imsemmi")</f>
        <v>X'kien l-ewwel netwerk tal-internet2 imsemmi</v>
      </c>
    </row>
    <row r="18221" ht="15.75" customHeight="1">
      <c r="A18221" s="2" t="s">
        <v>18221</v>
      </c>
      <c r="B18221" s="2" t="str">
        <f>IFERROR(__xludf.DUMMYFUNCTION("GOOGLETRANSLATE(A18221, ""en"", ""mt"")"),"Fl-1926, Tesla kkummentat dwar il-mard tas-sussistenza soċjali tan-nisa u t-taqbida tan-nisa lejn l-ugwaljanza bejn is-sessi, u indika li l-futur tal-umanità se jitmexxa minn ""naħal reġina."" Huwa emmen li n-nisa kienu se jsiru s-sess dominanti fil-futur"&amp;".")</f>
        <v>Fl-1926, Tesla kkummentat dwar il-mard tas-sussistenza soċjali tan-nisa u t-taqbida tan-nisa lejn l-ugwaljanza bejn is-sessi, u indika li l-futur tal-umanità se jitmexxa minn "naħal reġina." Huwa emmen li n-nisa kienu se jsiru s-sess dominanti fil-futur.</v>
      </c>
    </row>
    <row r="18222" ht="15.75" customHeight="1">
      <c r="A18222" s="2" t="s">
        <v>18222</v>
      </c>
      <c r="B18222" s="2" t="str">
        <f>IFERROR(__xludf.DUMMYFUNCTION("GOOGLETRANSLATE(A18222, ""en"", ""mt"")"),"Ftit galleriji ġew iddisinjati mill-ġdid fid-disgħinijiet inklużi l-Indja, Ġappuniż, Ċiniż, xogħol tal-ħadid, il-galleriji ewlenin tal-ħġieġ u l-gallerija tal-fidda ewlenija li ġiet imsaħħa aktar fl-2002 meta wħud mid-dekorazzjoni Vittorjana ġiet rikreata"&amp;". Dan kien jinkludi tnejn mill-għaxar kolonni li għandhom id-dekorazzjoni taċ-ċeramika tagħhom mibdula u d-disinji miżbugħin elaborati rrestawrati fuq il-limitu. Bħala parti mir-rinnovazzjoni tal-2006 il-pavimenti tal-mużajk fil-gallerija tal-iskultura ġe"&amp;"w restawrati - il-biċċa l-kbira tal-pavimenti Vittorjani kienu koperti fil-linolju wara t-Tieni Gwerra Dinjija. Wara s-suċċess tal-Galleriji Brittaniċi, infetaħ fl-2001, ġie deċiż li jimbarka fuq disinn mill-ġdid tal-galleriji kollha fil-mużew; Dan huwa m"&amp;"agħruf bħala ""FuturePlan"", u nħoloq f'konsultazzjoni mad-disinjaturi tal-wirjiet u l-metafora tal-masterplanners. Il-pjan huwa mistenni li jieħu madwar għaxar snin u beda fl-2002. Sal-lum diversi galleriji ġew iddisinjati mill-ġdid, l-aktar, fl-2002: il"&amp;"-gallerija tal-fidda ewlenija, kontemporanja; Fl-2003: fotografija, id-daħla ewlenija, il-galleriji tal-pittura; Fl-2004: il-mina għas-subway li twassal għall-istazzjon tat-tubi ta 'South Kensington, sinjali ġodda fil-mużew, arkitettura, V &amp; A u RIBA qari"&amp;" kmamar u ħwienet, metall, kamra tal-membri, ħġieġ kontemporanju, il-gallerija tal-iskultura ta' Gilbert Bayes; Fl-2005: ritratt minjaturi, stampi u tpinġijiet, wirjiet fil-kamra 117, il-ġnien, fidda sagra u ħġieġ imtebba; Fl-2006: Ħanut tas-Sala Ċentrali"&amp;", Lvant Nofsani Iżlamiku, The New Café, Galleriji tal-Iskultura. Bosta disinjaturi u periti kienu involuti f'dan ix-xogħol. Eva Jiřičná iddisinjat it-titjib għad-daħla ewlenija u Rotunda, il-ħanut il-ġdid, il-mina u l-galleriji tal-iskultura. Gareth Hoski"&amp;"ns kien responsabbli għall-arkitettura kontemporanja u l-arkitettura, Softroom, il-Lvant Nofsani Iżlamiku u l-kamra tal-membri, McInnes Usher McKnight Architects (MUMA) kienu responsabbli għall-kafetterija l-ġdida u ddisinjaw il-galleriji l-ġodda medjeval"&amp;"i u tar-Rinaxximent li nfetħu fl-2009.")</f>
        <v>Ftit galleriji ġew iddisinjati mill-ġdid fid-disgħinijiet inklużi l-Indja, Ġappuniż, Ċiniż, xogħol tal-ħadid, il-galleriji ewlenin tal-ħġieġ u l-gallerija tal-fidda ewlenija li ġiet imsaħħa aktar fl-2002 meta wħud mid-dekorazzjoni Vittorjana ġiet rikreata. Dan kien jinkludi tnejn mill-għaxar kolonni li għandhom id-dekorazzjoni taċ-ċeramika tagħhom mibdula u d-disinji miżbugħin elaborati rrestawrati fuq il-limitu. Bħala parti mir-rinnovazzjoni tal-2006 il-pavimenti tal-mużajk fil-gallerija tal-iskultura ġew restawrati - il-biċċa l-kbira tal-pavimenti Vittorjani kienu koperti fil-linolju wara t-Tieni Gwerra Dinjija. Wara s-suċċess tal-Galleriji Brittaniċi, infetaħ fl-2001, ġie deċiż li jimbarka fuq disinn mill-ġdid tal-galleriji kollha fil-mużew; Dan huwa magħruf bħala "FuturePlan", u nħoloq f'konsultazzjoni mad-disinjaturi tal-wirjiet u l-metafora tal-masterplanners. Il-pjan huwa mistenni li jieħu madwar għaxar snin u beda fl-2002. Sal-lum diversi galleriji ġew iddisinjati mill-ġdid, l-aktar, fl-2002: il-gallerija tal-fidda ewlenija, kontemporanja; Fl-2003: fotografija, id-daħla ewlenija, il-galleriji tal-pittura; Fl-2004: il-mina għas-subway li twassal għall-istazzjon tat-tubi ta 'South Kensington, sinjali ġodda fil-mużew, arkitettura, V &amp; A u RIBA qari kmamar u ħwienet, metall, kamra tal-membri, ħġieġ kontemporanju, il-gallerija tal-iskultura ta' Gilbert Bayes; Fl-2005: ritratt minjaturi, stampi u tpinġijiet, wirjiet fil-kamra 117, il-ġnien, fidda sagra u ħġieġ imtebba; Fl-2006: Ħanut tas-Sala Ċentrali, Lvant Nofsani Iżlamiku, The New Café, Galleriji tal-Iskultura. Bosta disinjaturi u periti kienu involuti f'dan ix-xogħol. Eva Jiřičná iddisinjat it-titjib għad-daħla ewlenija u Rotunda, il-ħanut il-ġdid, il-mina u l-galleriji tal-iskultura. Gareth Hoskins kien responsabbli għall-arkitettura kontemporanja u l-arkitettura, Softroom, il-Lvant Nofsani Iżlamiku u l-kamra tal-membri, McInnes Usher McKnight Architects (MUMA) kienu responsabbli għall-kafetterija l-ġdida u ddisinjaw il-galleriji l-ġodda medjevali u tar-Rinaxximent li nfetħu fl-2009.</v>
      </c>
    </row>
    <row r="18223" ht="15.75" customHeight="1">
      <c r="A18223" s="2" t="s">
        <v>18223</v>
      </c>
      <c r="B18223" s="2" t="str">
        <f>IFERROR(__xludf.DUMMYFUNCTION("GOOGLETRANSLATE(A18223, ""en"", ""mt"")"),"Gospic, Imperu Awstrijak")</f>
        <v>Gospic, Imperu Awstrijak</v>
      </c>
    </row>
    <row r="18224" ht="15.75" customHeight="1">
      <c r="A18224" s="2" t="s">
        <v>18224</v>
      </c>
      <c r="B18224" s="2" t="str">
        <f>IFERROR(__xludf.DUMMYFUNCTION("GOOGLETRANSLATE(A18224, ""en"", ""mt"")"),"Biex tkompli tenfasizza d-differenza bejn problema u istanza, ikkunsidra l-istanza li ġejja tal-verżjoni tad-deċiżjoni tal-problema tal-bejjiegħ li jivvjaġġa: Hemm rotta ta 'l-aktar 2000 kilometru li jgħaddu mill-akbar 15-il belt tal-Ġermanja kollha? It-t"&amp;"weġiba kwantitattiva għal din il-problema partikolari hija ta 'użu żgħir biex tissolva każijiet oħra tal-problema, bħalma titlob vjaġġ bir-ritorn mis-siti kollha f'Milan li t-tul totali tagħhom huwa l-aktar 10 km. Għal din ir-raġuni, it-teorija tal-kumple"&amp;"ssità tindirizza problemi tal-komputazzjoni u mhux każijiet ta 'problema partikolari.")</f>
        <v>Biex tkompli tenfasizza d-differenza bejn problema u istanza, ikkunsidra l-istanza li ġejja tal-verżjoni tad-deċiżjoni tal-problema tal-bejjiegħ li jivvjaġġa: Hemm rotta ta 'l-aktar 2000 kilometru li jgħaddu mill-akbar 15-il belt tal-Ġermanja kollha? It-tweġiba kwantitattiva għal din il-problema partikolari hija ta 'użu żgħir biex tissolva każijiet oħra tal-problema, bħalma titlob vjaġġ bir-ritorn mis-siti kollha f'Milan li t-tul totali tagħhom huwa l-aktar 10 km. Għal din ir-raġuni, it-teorija tal-kumplessità tindirizza problemi tal-komputazzjoni u mhux każijiet ta 'problema partikolari.</v>
      </c>
    </row>
    <row r="18225" ht="15.75" customHeight="1">
      <c r="A18225" s="2" t="s">
        <v>18225</v>
      </c>
      <c r="B18225" s="2" t="str">
        <f>IFERROR(__xludf.DUMMYFUNCTION("GOOGLETRANSLATE(A18225, ""en"", ""mt"")"),"In-Netwerk tad-Dejta Qaleb Pubbliku Mħaddem mill-PTT Telecom Olandiż")</f>
        <v>In-Netwerk tad-Dejta Qaleb Pubbliku Mħaddem mill-PTT Telecom Olandiż</v>
      </c>
    </row>
    <row r="18226" ht="15.75" customHeight="1">
      <c r="A18226" s="2" t="s">
        <v>18226</v>
      </c>
      <c r="B18226" s="2" t="str">
        <f>IFERROR(__xludf.DUMMYFUNCTION("GOOGLETRANSLATE(A18226, ""en"", ""mt"")"),"sa tliet kwarti tal-popolazzjoni")</f>
        <v>sa tliet kwarti tal-popolazzjoni</v>
      </c>
    </row>
    <row r="18227" ht="15.75" customHeight="1">
      <c r="A18227" s="2" t="s">
        <v>18227</v>
      </c>
      <c r="B18227" s="2" t="str">
        <f>IFERROR(__xludf.DUMMYFUNCTION("GOOGLETRANSLATE(A18227, ""en"", ""mt"")"),"Sistema ta 'Modifika ta' Restrizzjoni")</f>
        <v>Sistema ta 'Modifika ta' Restrizzjoni</v>
      </c>
    </row>
    <row r="18228" ht="15.75" customHeight="1">
      <c r="A18228" s="2" t="s">
        <v>18228</v>
      </c>
      <c r="B18228" s="2" t="str">
        <f>IFERROR(__xludf.DUMMYFUNCTION("GOOGLETRANSLATE(A18228, ""en"", ""mt"")"),"Il-bram u l-anemoni tal-baħar jappartjenu għal liema grupp /")</f>
        <v>Il-bram u l-anemoni tal-baħar jappartjenu għal liema grupp /</v>
      </c>
    </row>
    <row r="18229" ht="15.75" customHeight="1">
      <c r="A18229" s="2" t="s">
        <v>18229</v>
      </c>
      <c r="B18229" s="2" t="str">
        <f>IFERROR(__xludf.DUMMYFUNCTION("GOOGLETRANSLATE(A18229, ""en"", ""mt"")"),"Effett dirett jew effett indirett fuq il-liġijiet tal-Istati Membri tal-Unjoni Ewropea")</f>
        <v>Effett dirett jew effett indirett fuq il-liġijiet tal-Istati Membri tal-Unjoni Ewropea</v>
      </c>
    </row>
    <row r="18230" ht="15.75" customHeight="1">
      <c r="A18230" s="2" t="s">
        <v>18230</v>
      </c>
      <c r="B18230" s="2" t="str">
        <f>IFERROR(__xludf.DUMMYFUNCTION("GOOGLETRANSLATE(A18230, ""en"", ""mt"")"),"Harold Winston appoġġa liema pajjiż matul il-gwerra tas-sitt ijiem tiegħu?")</f>
        <v>Harold Winston appoġġa liema pajjiż matul il-gwerra tas-sitt ijiem tiegħu?</v>
      </c>
    </row>
    <row r="18231" ht="15.75" customHeight="1">
      <c r="A18231" s="2" t="s">
        <v>18231</v>
      </c>
      <c r="B18231" s="2" t="str">
        <f>IFERROR(__xludf.DUMMYFUNCTION("GOOGLETRANSLATE(A18231, ""en"", ""mt"")"),"Gass diatomiku tal-ossiġnu")</f>
        <v>Gass diatomiku tal-ossiġnu</v>
      </c>
    </row>
    <row r="18232" ht="15.75" customHeight="1">
      <c r="A18232" s="2" t="s">
        <v>18232</v>
      </c>
      <c r="B18232" s="2" t="str">
        <f>IFERROR(__xludf.DUMMYFUNCTION("GOOGLETRANSLATE(A18232, ""en"", ""mt"")"),"L-Istat Membru ma jistax jinforza liġijiet konfliġġenti")</f>
        <v>L-Istat Membru ma jistax jinforza liġijiet konfliġġenti</v>
      </c>
    </row>
    <row r="18233" ht="15.75" customHeight="1">
      <c r="A18233" s="2" t="s">
        <v>18233</v>
      </c>
      <c r="B18233" s="2" t="str">
        <f>IFERROR(__xludf.DUMMYFUNCTION("GOOGLETRANSLATE(A18233, ""en"", ""mt"")"),"numru sħiħ arbitrarji")</f>
        <v>numru sħiħ arbitrarji</v>
      </c>
    </row>
    <row r="18234" ht="15.75" customHeight="1">
      <c r="A18234" s="2" t="s">
        <v>18234</v>
      </c>
      <c r="B18234" s="2" t="str">
        <f>IFERROR(__xludf.DUMMYFUNCTION("GOOGLETRANSLATE(A18234, ""en"", ""mt"")"),"iffokat fuq l-identità u l-għaqda, li kienu kwistjonijiet kritiċi dak iż-żmien")</f>
        <v>iffokat fuq l-identità u l-għaqda, li kienu kwistjonijiet kritiċi dak iż-żmien</v>
      </c>
    </row>
    <row r="18235" ht="15.75" customHeight="1">
      <c r="A18235" s="2" t="s">
        <v>18235</v>
      </c>
      <c r="B18235" s="2" t="str">
        <f>IFERROR(__xludf.DUMMYFUNCTION("GOOGLETRANSLATE(A18235, ""en"", ""mt"")"),"kordi ideali li huma bla massa")</f>
        <v>kordi ideali li huma bla massa</v>
      </c>
    </row>
    <row r="18236" ht="15.75" customHeight="1">
      <c r="A18236" s="2" t="s">
        <v>18236</v>
      </c>
      <c r="B18236" s="2" t="str">
        <f>IFERROR(__xludf.DUMMYFUNCTION("GOOGLETRANSLATE(A18236, ""en"", ""mt"")"),"Iva jew Le")</f>
        <v>Iva jew Le</v>
      </c>
    </row>
    <row r="18237" ht="15.75" customHeight="1">
      <c r="A18237" s="2" t="s">
        <v>18237</v>
      </c>
      <c r="B18237" s="2" t="str">
        <f>IFERROR(__xludf.DUMMYFUNCTION("GOOGLETRANSLATE(A18237, ""en"", ""mt"")"),"waqt ikla fl-unur tiegħu")</f>
        <v>waqt ikla fl-unur tiegħu</v>
      </c>
    </row>
    <row r="18238" ht="15.75" customHeight="1">
      <c r="A18238" s="2" t="s">
        <v>18238</v>
      </c>
      <c r="B18238" s="2" t="str">
        <f>IFERROR(__xludf.DUMMYFUNCTION("GOOGLETRANSLATE(A18238, ""en"", ""mt"")"),"Liema etniċità kienet Shi Tianze?")</f>
        <v>Liema etniċità kienet Shi Tianze?</v>
      </c>
    </row>
    <row r="18239" ht="15.75" customHeight="1">
      <c r="A18239" s="2" t="s">
        <v>18239</v>
      </c>
      <c r="B18239" s="2" t="str">
        <f>IFERROR(__xludf.DUMMYFUNCTION("GOOGLETRANSLATE(A18239, ""en"", ""mt"")"),"Xi jemmnu xi wħud dwar din il-pronunzja?")</f>
        <v>Xi jemmnu xi wħud dwar din il-pronunzja?</v>
      </c>
    </row>
    <row r="18240" ht="15.75" customHeight="1">
      <c r="A18240" s="2" t="s">
        <v>18240</v>
      </c>
      <c r="B18240" s="2" t="str">
        <f>IFERROR(__xludf.DUMMYFUNCTION("GOOGLETRANSLATE(A18240, ""en"", ""mt"")"),"Liema żewġ mexxejja tal-Mongolja żiedu l-Persja mal-Imperu Mongoljan?")</f>
        <v>Liema żewġ mexxejja tal-Mongolja żiedu l-Persja mal-Imperu Mongoljan?</v>
      </c>
    </row>
    <row r="18241" ht="15.75" customHeight="1">
      <c r="A18241" s="2" t="s">
        <v>18241</v>
      </c>
      <c r="B18241" s="2" t="str">
        <f>IFERROR(__xludf.DUMMYFUNCTION("GOOGLETRANSLATE(A18241, ""en"", ""mt"")"),"Tylakoids u spazju intermembrane")</f>
        <v>Tylakoids u spazju intermembrane</v>
      </c>
    </row>
    <row r="18242" ht="15.75" customHeight="1">
      <c r="A18242" s="2" t="s">
        <v>18242</v>
      </c>
      <c r="B18242" s="2" t="str">
        <f>IFERROR(__xludf.DUMMYFUNCTION("GOOGLETRANSLATE(A18242, ""en"", ""mt"")"),"Virginia fin-Nofsinhar lejn in-Nova Scotia fit-Tramuntana")</f>
        <v>Virginia fin-Nofsinhar lejn in-Nova Scotia fit-Tramuntana</v>
      </c>
    </row>
    <row r="18243" ht="15.75" customHeight="1">
      <c r="A18243" s="2" t="s">
        <v>18243</v>
      </c>
      <c r="B18243" s="2" t="str">
        <f>IFERROR(__xludf.DUMMYFUNCTION("GOOGLETRANSLATE(A18243, ""en"", ""mt"")"),"Kumpaniji tal-milizja lokali miġbura, ġeneralment imħarrġa morda u disponibbli biss għal perjodi qosra, biex jittrattaw theddid indiġenu, iżda ma kellhom l-ebda forzi permanenti.")</f>
        <v>Kumpaniji tal-milizja lokali miġbura, ġeneralment imħarrġa morda u disponibbli biss għal perjodi qosra, biex jittrattaw theddid indiġenu, iżda ma kellhom l-ebda forzi permanenti.</v>
      </c>
    </row>
    <row r="18244" ht="15.75" customHeight="1">
      <c r="A18244" s="2" t="s">
        <v>18244</v>
      </c>
      <c r="B18244" s="2" t="str">
        <f>IFERROR(__xludf.DUMMYFUNCTION("GOOGLETRANSLATE(A18244, ""en"", ""mt"")"),"Hija dik il-qawwa li tippermettilna nħobbu u jimmotivawna biex infittxu relazzjoni ma 'Alla permezz ta' Ġesù Kristu.")</f>
        <v>Hija dik il-qawwa li tippermettilna nħobbu u jimmotivawna biex infittxu relazzjoni ma 'Alla permezz ta' Ġesù Kristu.</v>
      </c>
    </row>
    <row r="18245" ht="15.75" customHeight="1">
      <c r="A18245" s="2" t="s">
        <v>18245</v>
      </c>
      <c r="B18245" s="2" t="str">
        <f>IFERROR(__xludf.DUMMYFUNCTION("GOOGLETRANSLATE(A18245, ""en"", ""mt"")"),"Dak li jiżdied malajr hekk kif id-dħul per capita jiżdied?")</f>
        <v>Dak li jiżdied malajr hekk kif id-dħul per capita jiżdied?</v>
      </c>
    </row>
    <row r="18246" ht="15.75" customHeight="1">
      <c r="A18246" s="2" t="s">
        <v>18246</v>
      </c>
      <c r="B18246" s="2" t="str">
        <f>IFERROR(__xludf.DUMMYFUNCTION("GOOGLETRANSLATE(A18246, ""en"", ""mt"")"),"X'tip ta 'magna tal-fwar tipproduċi ħafna mill-elettriku fid-dinja llum?")</f>
        <v>X'tip ta 'magna tal-fwar tipproduċi ħafna mill-elettriku fid-dinja llum?</v>
      </c>
    </row>
    <row r="18247" ht="15.75" customHeight="1">
      <c r="A18247" s="2" t="s">
        <v>18247</v>
      </c>
      <c r="B18247" s="2" t="str">
        <f>IFERROR(__xludf.DUMMYFUNCTION("GOOGLETRANSLATE(A18247, ""en"", ""mt"")"),"X'kien Warner Sinback")</f>
        <v>X'kien Warner Sinback</v>
      </c>
    </row>
    <row r="18248" ht="15.75" customHeight="1">
      <c r="A18248" s="2" t="s">
        <v>18248</v>
      </c>
      <c r="B18248" s="2" t="str">
        <f>IFERROR(__xludf.DUMMYFUNCTION("GOOGLETRANSLATE(A18248, ""en"", ""mt"")"),"Il-Franċiż ħaseb li jġib x’jista ’jgħolli reġjuni oħra?")</f>
        <v>Il-Franċiż ħaseb li jġib x’jista ’jgħolli reġjuni oħra?</v>
      </c>
    </row>
    <row r="18249" ht="15.75" customHeight="1">
      <c r="A18249" s="2" t="s">
        <v>18249</v>
      </c>
      <c r="B18249" s="2" t="str">
        <f>IFERROR(__xludf.DUMMYFUNCTION("GOOGLETRANSLATE(A18249, ""en"", ""mt"")"),"Fuq liema xahar, kull erba 'snin, huma miżmuma l-elezzjonijiet ġenerali ordinarji?")</f>
        <v>Fuq liema xahar, kull erba 'snin, huma miżmuma l-elezzjonijiet ġenerali ordinarji?</v>
      </c>
    </row>
    <row r="18250" ht="15.75" customHeight="1">
      <c r="A18250" s="2" t="s">
        <v>18250</v>
      </c>
      <c r="B18250" s="2" t="str">
        <f>IFERROR(__xludf.DUMMYFUNCTION("GOOGLETRANSLATE(A18250, ""en"", ""mt"")"),"fuq raġunijiet bibliċi")</f>
        <v>fuq raġunijiet bibliċi</v>
      </c>
    </row>
    <row r="18251" ht="15.75" customHeight="1">
      <c r="A18251" s="2" t="s">
        <v>18251</v>
      </c>
      <c r="B18251" s="2" t="str">
        <f>IFERROR(__xludf.DUMMYFUNCTION("GOOGLETRANSLATE(A18251, ""en"", ""mt"")"),"X'tip ta 'disturbi jseħħu meta parti mis-sistema immunitarja ma tkunx attiva?")</f>
        <v>X'tip ta 'disturbi jseħħu meta parti mis-sistema immunitarja ma tkunx attiva?</v>
      </c>
    </row>
    <row r="18252" ht="15.75" customHeight="1">
      <c r="A18252" s="2" t="s">
        <v>18252</v>
      </c>
      <c r="B18252" s="2" t="str">
        <f>IFERROR(__xludf.DUMMYFUNCTION("GOOGLETRANSLATE(A18252, ""en"", ""mt"")"),"il-karti tiegħu")</f>
        <v>il-karti tiegħu</v>
      </c>
    </row>
    <row r="18253" ht="15.75" customHeight="1">
      <c r="A18253" s="2" t="s">
        <v>18253</v>
      </c>
      <c r="B18253" s="2" t="str">
        <f>IFERROR(__xludf.DUMMYFUNCTION("GOOGLETRANSLATE(A18253, ""en"", ""mt"")"),"Fl-2009 x'kienet it-total ta 'għotjiet mogħtija minn Harvard?")</f>
        <v>Fl-2009 x'kienet it-total ta 'għotjiet mogħtija minn Harvard?</v>
      </c>
    </row>
    <row r="18254" ht="15.75" customHeight="1">
      <c r="A18254" s="2" t="s">
        <v>18254</v>
      </c>
      <c r="B18254" s="2" t="str">
        <f>IFERROR(__xludf.DUMMYFUNCTION("GOOGLETRANSLATE(A18254, ""en"", ""mt"")"),"Taħt liema qrati hija applikata l-iktar liġi tal-UE?")</f>
        <v>Taħt liema qrati hija applikata l-iktar liġi tal-UE?</v>
      </c>
    </row>
    <row r="18255" ht="15.75" customHeight="1">
      <c r="A18255" s="2" t="s">
        <v>18255</v>
      </c>
      <c r="B18255" s="2" t="str">
        <f>IFERROR(__xludf.DUMMYFUNCTION("GOOGLETRANSLATE(A18255, ""en"", ""mt"")"),"Mekkaniżmi ta 'tqassim mill-ġdid bħal programmi ta' benesseri soċjali")</f>
        <v>Mekkaniżmi ta 'tqassim mill-ġdid bħal programmi ta' benesseri soċjali</v>
      </c>
    </row>
    <row r="18256" ht="15.75" customHeight="1">
      <c r="A18256" s="2" t="s">
        <v>18256</v>
      </c>
      <c r="B18256" s="2" t="str">
        <f>IFERROR(__xludf.DUMMYFUNCTION("GOOGLETRANSLATE(A18256, ""en"", ""mt"")"),"immunoglobulini u riċetturi taċ-ċelloli T")</f>
        <v>immunoglobulini u riċetturi taċ-ċelloli T</v>
      </c>
    </row>
    <row r="18257" ht="15.75" customHeight="1">
      <c r="A18257" s="2" t="s">
        <v>18257</v>
      </c>
      <c r="B18257" s="2" t="str">
        <f>IFERROR(__xludf.DUMMYFUNCTION("GOOGLETRANSLATE(A18257, ""en"", ""mt"")"),"Meta sseħħ il-migrazzjoni annwali tal-annimali?")</f>
        <v>Meta sseħħ il-migrazzjoni annwali tal-annimali?</v>
      </c>
    </row>
    <row r="18258" ht="15.75" customHeight="1">
      <c r="A18258" s="2" t="s">
        <v>18258</v>
      </c>
      <c r="B18258" s="2" t="str">
        <f>IFERROR(__xludf.DUMMYFUNCTION("GOOGLETRANSLATE(A18258, ""en"", ""mt"")"),"1524–25")</f>
        <v>1524–25</v>
      </c>
    </row>
    <row r="18259" ht="15.75" customHeight="1">
      <c r="A18259" s="2" t="s">
        <v>18259</v>
      </c>
      <c r="B18259" s="2" t="str">
        <f>IFERROR(__xludf.DUMMYFUNCTION("GOOGLETRANSLATE(A18259, ""en"", ""mt"")"),"L-Att tal-Kolonja tar-Rabat")</f>
        <v>L-Att tal-Kolonja tar-Rabat</v>
      </c>
    </row>
    <row r="18260" ht="15.75" customHeight="1">
      <c r="A18260" s="2" t="s">
        <v>18260</v>
      </c>
      <c r="B18260" s="2" t="str">
        <f>IFERROR(__xludf.DUMMYFUNCTION("GOOGLETRANSLATE(A18260, ""en"", ""mt"")"),"Exoskeleton")</f>
        <v>Exoskeleton</v>
      </c>
    </row>
    <row r="18261" ht="15.75" customHeight="1">
      <c r="A18261" s="2" t="s">
        <v>18261</v>
      </c>
      <c r="B18261" s="2" t="str">
        <f>IFERROR(__xludf.DUMMYFUNCTION("GOOGLETRANSLATE(A18261, ""en"", ""mt"")"),"Kuba")</f>
        <v>Kuba</v>
      </c>
    </row>
    <row r="18262" ht="15.75" customHeight="1">
      <c r="A18262" s="2" t="s">
        <v>18262</v>
      </c>
      <c r="B18262" s="2" t="str">
        <f>IFERROR(__xludf.DUMMYFUNCTION("GOOGLETRANSLATE(A18262, ""en"", ""mt"")"),"Liberaliżmu Ewropew Kontinentali")</f>
        <v>Liberaliżmu Ewropew Kontinentali</v>
      </c>
    </row>
    <row r="18263" ht="15.75" customHeight="1">
      <c r="A18263" s="2" t="s">
        <v>18263</v>
      </c>
      <c r="B18263" s="2" t="str">
        <f>IFERROR(__xludf.DUMMYFUNCTION("GOOGLETRANSLATE(A18263, ""en"", ""mt"")"),"Il-pjan Swynnerton, li kien użat biex jippremja l-lealiżi u jikkastiga lil Mau Mau.")</f>
        <v>Il-pjan Swynnerton, li kien użat biex jippremja l-lealiżi u jikkastiga lil Mau Mau.</v>
      </c>
    </row>
    <row r="18264" ht="15.75" customHeight="1">
      <c r="A18264" s="2" t="s">
        <v>18264</v>
      </c>
      <c r="B18264" s="2" t="str">
        <f>IFERROR(__xludf.DUMMYFUNCTION("GOOGLETRANSLATE(A18264, ""en"", ""mt"")"),"jissupplimentah.")</f>
        <v>jissupplimentah.</v>
      </c>
    </row>
    <row r="18265" ht="15.75" customHeight="1">
      <c r="A18265" s="2" t="s">
        <v>18265</v>
      </c>
      <c r="B18265" s="2" t="str">
        <f>IFERROR(__xludf.DUMMYFUNCTION("GOOGLETRANSLATE(A18265, ""en"", ""mt"")"),"Min jista 'jfittex bidliet jew eżenzjonijiet fil-liġi li jirregola l-art fejn se jinbena l-bini?")</f>
        <v>Min jista 'jfittex bidliet jew eżenzjonijiet fil-liġi li jirregola l-art fejn se jinbena l-bini?</v>
      </c>
    </row>
    <row r="18266" ht="15.75" customHeight="1">
      <c r="A18266" s="2" t="s">
        <v>18266</v>
      </c>
      <c r="B18266" s="2" t="str">
        <f>IFERROR(__xludf.DUMMYFUNCTION("GOOGLETRANSLATE(A18266, ""en"", ""mt"")"),"il-bidu tas-snin 1950")</f>
        <v>il-bidu tas-snin 1950</v>
      </c>
    </row>
    <row r="18267" ht="15.75" customHeight="1">
      <c r="A18267" s="2" t="s">
        <v>18267</v>
      </c>
      <c r="B18267" s="2" t="str">
        <f>IFERROR(__xludf.DUMMYFUNCTION("GOOGLETRANSLATE(A18267, ""en"", ""mt"")"),"X'kien l-ewwel tabib li juri li ġera tvontario?")</f>
        <v>X'kien l-ewwel tabib li juri li ġera tvontario?</v>
      </c>
    </row>
    <row r="18268" ht="15.75" customHeight="1">
      <c r="A18268" s="2" t="s">
        <v>18268</v>
      </c>
      <c r="B18268" s="2" t="str">
        <f>IFERROR(__xludf.DUMMYFUNCTION("GOOGLETRANSLATE(A18268, ""en"", ""mt"")"),"Meta l-kapaċitajiet ta 'persuna jitbaxxew, huma b'xi mod jiġu mċaħħda milli jaqilgħu daqs kemm kienu. Raġel xiħ u ħażin ma jistax jaqla 'daqs żagħżugħ b'saħħtu; Ir-rwoli tas-sessi u d-drawwiet jistgħu jipprevjenu mara milli tirċievi edukazzjoni jew taħdem"&amp;" barra mid-dar. Jista 'jkun hemm epidemija li tikkawża paniku mifrux, jew jista' jkun hemm vjolenza rampanti fiż-żona li tipprevjeni lin-nies milli jmorru jaħdmu minħabba l-biża 'ta' ħajjithom. Bħala riżultat, id-dħul u l-inugwaljanza ekonomika jiżdied, u"&amp;" jsir iktar diffiċli li titnaqqas id-distakk mingħajr għajnuna addizzjonali. Biex tevita din l-inugwaljanza, dan l-approċċ jemmen li huwa importanti li jkollok libertà politika, faċilitajiet ekonomiċi, opportunitajiet soċjali, garanziji ta 'trasparenza u "&amp;"sigurtà protettiva biex tiżgura li n-nies ma jiġux miċħuda l-funzjonazzjonijiet, il-kapaċitajiet, u l-aġenzija tagħhom u jistgħu għalhekk jaħdmu lejn relevanti aħjar dħul.")</f>
        <v>Meta l-kapaċitajiet ta 'persuna jitbaxxew, huma b'xi mod jiġu mċaħħda milli jaqilgħu daqs kemm kienu. Raġel xiħ u ħażin ma jistax jaqla 'daqs żagħżugħ b'saħħtu; Ir-rwoli tas-sessi u d-drawwiet jistgħu jipprevjenu mara milli tirċievi edukazzjoni jew taħdem barra mid-dar. Jista 'jkun hemm epidemija li tikkawża paniku mifrux, jew jista' jkun hemm vjolenza rampanti fiż-żona li tipprevjeni lin-nies milli jmorru jaħdmu minħabba l-biża 'ta' ħajjithom. Bħala riżultat, id-dħul u l-inugwaljanza ekonomika jiżdied, u jsir iktar diffiċli li titnaqqas id-distakk mingħajr għajnuna addizzjonali. Biex tevita din l-inugwaljanza, dan l-approċċ jemmen li huwa importanti li jkollok libertà politika, faċilitajiet ekonomiċi, opportunitajiet soċjali, garanziji ta 'trasparenza u sigurtà protettiva biex tiżgura li n-nies ma jiġux miċħuda l-funzjonazzjonijiet, il-kapaċitajiet, u l-aġenzija tagħhom u jistgħu għalhekk jaħdmu lejn relevanti aħjar dħul.</v>
      </c>
    </row>
    <row r="18269" ht="15.75" customHeight="1">
      <c r="A18269" s="2" t="s">
        <v>18269</v>
      </c>
      <c r="B18269" s="2" t="str">
        <f>IFERROR(__xludf.DUMMYFUNCTION("GOOGLETRANSLATE(A18269, ""en"", ""mt"")"),"Kombustjoni interna")</f>
        <v>Kombustjoni interna</v>
      </c>
    </row>
    <row r="18270" ht="15.75" customHeight="1">
      <c r="A18270" s="2" t="s">
        <v>18270</v>
      </c>
      <c r="B18270" s="2" t="str">
        <f>IFERROR(__xludf.DUMMYFUNCTION("GOOGLETRANSLATE(A18270, ""en"", ""mt"")"),"2005–2010")</f>
        <v>2005–2010</v>
      </c>
    </row>
    <row r="18271" ht="15.75" customHeight="1">
      <c r="A18271" s="2" t="s">
        <v>18271</v>
      </c>
      <c r="B18271" s="2" t="str">
        <f>IFERROR(__xludf.DUMMYFUNCTION("GOOGLETRANSLATE(A18271, ""en"", ""mt"")"),"P mhuwiex fattur ewlieni ta 'q.")</f>
        <v>P mhuwiex fattur ewlieni ta 'q.</v>
      </c>
    </row>
    <row r="18272" ht="15.75" customHeight="1">
      <c r="A18272" s="2" t="s">
        <v>18272</v>
      </c>
      <c r="B18272" s="2" t="str">
        <f>IFERROR(__xludf.DUMMYFUNCTION("GOOGLETRANSLATE(A18272, ""en"", ""mt"")"),"Modulu ta 'eskursjoni lunari")</f>
        <v>Modulu ta 'eskursjoni lunari</v>
      </c>
    </row>
    <row r="18273" ht="15.75" customHeight="1">
      <c r="A18273" s="2" t="s">
        <v>18273</v>
      </c>
      <c r="B18273" s="2" t="str">
        <f>IFERROR(__xludf.DUMMYFUNCTION("GOOGLETRANSLATE(A18273, ""en"", ""mt"")"),"X'kienet il-bażi msemmija għall-iżvilupp tat-Teorija Ġenerali tar-Relatività?")</f>
        <v>X'kienet il-bażi msemmija għall-iżvilupp tat-Teorija Ġenerali tar-Relatività?</v>
      </c>
    </row>
    <row r="18274" ht="15.75" customHeight="1">
      <c r="A18274" s="2" t="s">
        <v>18274</v>
      </c>
      <c r="B18274" s="2" t="str">
        <f>IFERROR(__xludf.DUMMYFUNCTION("GOOGLETRANSLATE(A18274, ""en"", ""mt"")"),"Fil-bidu tal-1938")</f>
        <v>Fil-bidu tal-1938</v>
      </c>
    </row>
    <row r="18275" ht="15.75" customHeight="1">
      <c r="A18275" s="2" t="s">
        <v>18275</v>
      </c>
      <c r="B18275" s="2" t="str">
        <f>IFERROR(__xludf.DUMMYFUNCTION("GOOGLETRANSLATE(A18275, ""en"", ""mt"")"),"ostaklu naturali")</f>
        <v>ostaklu naturali</v>
      </c>
    </row>
    <row r="18276" ht="15.75" customHeight="1">
      <c r="A18276" s="2" t="s">
        <v>18276</v>
      </c>
      <c r="B18276" s="2" t="str">
        <f>IFERROR(__xludf.DUMMYFUNCTION("GOOGLETRANSLATE(A18276, ""en"", ""mt"")"),"jagħti tfittxija ta 'kunsens tal-propjetà tiegħu,")</f>
        <v>jagħti tfittxija ta 'kunsens tal-propjetà tiegħu,</v>
      </c>
    </row>
    <row r="18277" ht="15.75" customHeight="1">
      <c r="A18277" s="2" t="s">
        <v>18277</v>
      </c>
      <c r="B18277" s="2" t="str">
        <f>IFERROR(__xludf.DUMMYFUNCTION("GOOGLETRANSLATE(A18277, ""en"", ""mt"")"),"X'tip ta 'burokrazija l-Istitut Normanni?")</f>
        <v>X'tip ta 'burokrazija l-Istitut Normanni?</v>
      </c>
    </row>
    <row r="18278" ht="15.75" customHeight="1">
      <c r="A18278" s="2" t="s">
        <v>18278</v>
      </c>
      <c r="B18278" s="2" t="str">
        <f>IFERROR(__xludf.DUMMYFUNCTION("GOOGLETRANSLATE(A18278, ""en"", ""mt"")"),"Użu tat-teknoloġija,")</f>
        <v>Użu tat-teknoloġija,</v>
      </c>
    </row>
    <row r="18279" ht="15.75" customHeight="1">
      <c r="A18279" s="2" t="s">
        <v>18279</v>
      </c>
      <c r="B18279" s="2" t="str">
        <f>IFERROR(__xludf.DUMMYFUNCTION("GOOGLETRANSLATE(A18279, ""en"", ""mt"")"),"tfisser li tinvesti")</f>
        <v>tfisser li tinvesti</v>
      </c>
    </row>
    <row r="18280" ht="15.75" customHeight="1">
      <c r="A18280" s="2" t="s">
        <v>18280</v>
      </c>
      <c r="B18280" s="2" t="str">
        <f>IFERROR(__xludf.DUMMYFUNCTION("GOOGLETRANSLATE(A18280, ""en"", ""mt"")"),"X'kien ippjanat Bhutto li jipprojbixxi fi żmien sitt xhur, qabel ma ġie mwaqqa '?")</f>
        <v>X'kien ippjanat Bhutto li jipprojbixxi fi żmien sitt xhur, qabel ma ġie mwaqqa '?</v>
      </c>
    </row>
    <row r="18281" ht="15.75" customHeight="1">
      <c r="A18281" s="2" t="s">
        <v>18281</v>
      </c>
      <c r="B18281" s="2" t="str">
        <f>IFERROR(__xludf.DUMMYFUNCTION("GOOGLETRANSLATE(A18281, ""en"", ""mt"")"),"is-sistema immuni")</f>
        <v>is-sistema immuni</v>
      </c>
    </row>
    <row r="18282" ht="15.75" customHeight="1">
      <c r="A18282" s="2" t="s">
        <v>18282</v>
      </c>
      <c r="B18282" s="2" t="str">
        <f>IFERROR(__xludf.DUMMYFUNCTION("GOOGLETRANSLATE(A18282, ""en"", ""mt"")"),"kinetiku")</f>
        <v>kinetiku</v>
      </c>
    </row>
    <row r="18283" ht="15.75" customHeight="1">
      <c r="A18283" s="2" t="s">
        <v>18283</v>
      </c>
      <c r="B18283" s="2" t="str">
        <f>IFERROR(__xludf.DUMMYFUNCTION("GOOGLETRANSLATE(A18283, ""en"", ""mt"")"),"Ħallas il-kera tiegħu fil-lukanda New Yorker")</f>
        <v>Ħallas il-kera tiegħu fil-lukanda New Yorker</v>
      </c>
    </row>
    <row r="18284" ht="15.75" customHeight="1">
      <c r="A18284" s="2" t="s">
        <v>18284</v>
      </c>
      <c r="B18284" s="2" t="str">
        <f>IFERROR(__xludf.DUMMYFUNCTION("GOOGLETRANSLATE(A18284, ""en"", ""mt"")"),"Min hu responsabbli biex jiżgura li l-Parlament jaħdem sewwa?")</f>
        <v>Min hu responsabbli biex jiżgura li l-Parlament jaħdem sewwa?</v>
      </c>
    </row>
    <row r="18285" ht="15.75" customHeight="1">
      <c r="A18285" s="2" t="s">
        <v>18285</v>
      </c>
      <c r="B18285" s="2" t="str">
        <f>IFERROR(__xludf.DUMMYFUNCTION("GOOGLETRANSLATE(A18285, ""en"", ""mt"")"),"Bajd ta 'Columbus")</f>
        <v>Bajd ta 'Columbus</v>
      </c>
    </row>
    <row r="18286" ht="15.75" customHeight="1">
      <c r="A18286" s="2" t="s">
        <v>18286</v>
      </c>
      <c r="B18286" s="2" t="str">
        <f>IFERROR(__xludf.DUMMYFUNCTION("GOOGLETRANSLATE(A18286, ""en"", ""mt"")"),"Impenn finanzjarju massiv")</f>
        <v>Impenn finanzjarju massiv</v>
      </c>
    </row>
    <row r="18287" ht="15.75" customHeight="1">
      <c r="A18287" s="2" t="s">
        <v>18287</v>
      </c>
      <c r="B18287" s="2" t="str">
        <f>IFERROR(__xludf.DUMMYFUNCTION("GOOGLETRANSLATE(A18287, ""en"", ""mt"")"),"La aħna qed nagħmlu sforz massimu u lanqas niksbu r-riżultati meħtieġa jekk dan il-pajjiż għandu jilħaq pożizzjoni ta 'tmexxija")</f>
        <v>La aħna qed nagħmlu sforz massimu u lanqas niksbu r-riżultati meħtieġa jekk dan il-pajjiż għandu jilħaq pożizzjoni ta 'tmexxija</v>
      </c>
    </row>
    <row r="18288" ht="15.75" customHeight="1">
      <c r="A18288" s="2" t="s">
        <v>18288</v>
      </c>
      <c r="B18288" s="2" t="str">
        <f>IFERROR(__xludf.DUMMYFUNCTION("GOOGLETRANSLATE(A18288, ""en"", ""mt"")"),"Liema għarfien ta 'Galileo kien assoċjat ma' veloċità kostanti?")</f>
        <v>Liema għarfien ta 'Galileo kien assoċjat ma' veloċità kostanti?</v>
      </c>
    </row>
    <row r="18289" ht="15.75" customHeight="1">
      <c r="A18289" s="2" t="s">
        <v>18289</v>
      </c>
      <c r="B18289" s="2" t="str">
        <f>IFERROR(__xludf.DUMMYFUNCTION("GOOGLETRANSLATE(A18289, ""en"", ""mt"")"),"2011-12 rat lil ABC tinżel għar-4 fil-klassifikazzjonijiet fost liema demografija importanti?")</f>
        <v>2011-12 rat lil ABC tinżel għar-4 fil-klassifikazzjonijiet fost liema demografija importanti?</v>
      </c>
    </row>
    <row r="18290" ht="15.75" customHeight="1">
      <c r="A18290" s="2" t="s">
        <v>18290</v>
      </c>
      <c r="B18290" s="2" t="str">
        <f>IFERROR(__xludf.DUMMYFUNCTION("GOOGLETRANSLATE(A18290, ""en"", ""mt"")"),"Monasteru Tibetan tal-Monasteru tal-Kumm")</f>
        <v>Monasteru Tibetan tal-Monasteru tal-Kumm</v>
      </c>
    </row>
    <row r="18291" ht="15.75" customHeight="1">
      <c r="A18291" s="2" t="s">
        <v>18291</v>
      </c>
      <c r="B18291" s="2" t="str">
        <f>IFERROR(__xludf.DUMMYFUNCTION("GOOGLETRANSLATE(A18291, ""en"", ""mt"")"),"It-test tal-plugs-out beda filgħodu tas-27 ta 'Jannar, 1967, u immedjatament kien ibati bi problemi. L-ewwel l-ekwipaġġ innota riħa stramba fl-ispazji tagħhom, li ttardjaw is-siġillar tal-bokkaport. Imbagħad, problemi ta 'komunikazzjoni frustraw lill-astr"&amp;"onawti u ġiegħlu istiva fil-countdown simulat. Matul din l-istiva, nar elettriku beda fil-kabina, u nfirex malajr fil-pressjoni għolja, 100% atmosfera ta 'ossiġnu. Il-pressjoni żdiedet biżżejjed min-nar li l-kabina faqqgħet u n-nar faqqa 'fuq iż-żona tal-"&amp;"kuxxinett, u tentattivi frustranti biex isalvaw l-ekwipaġġ. L-astronawti ġew asfissjati qabel ma setgħet tinfetaħ il-bokkaporti.")</f>
        <v>It-test tal-plugs-out beda filgħodu tas-27 ta 'Jannar, 1967, u immedjatament kien ibati bi problemi. L-ewwel l-ekwipaġġ innota riħa stramba fl-ispazji tagħhom, li ttardjaw is-siġillar tal-bokkaport. Imbagħad, problemi ta 'komunikazzjoni frustraw lill-astronawti u ġiegħlu istiva fil-countdown simulat. Matul din l-istiva, nar elettriku beda fil-kabina, u nfirex malajr fil-pressjoni għolja, 100% atmosfera ta 'ossiġnu. Il-pressjoni żdiedet biżżejjed min-nar li l-kabina faqqgħet u n-nar faqqa 'fuq iż-żona tal-kuxxinett, u tentattivi frustranti biex isalvaw l-ekwipaġġ. L-astronawti ġew asfissjati qabel ma setgħet tinfetaħ il-bokkaporti.</v>
      </c>
    </row>
    <row r="18292" ht="15.75" customHeight="1">
      <c r="A18292" s="2" t="s">
        <v>18292</v>
      </c>
      <c r="B18292" s="2" t="str">
        <f>IFERROR(__xludf.DUMMYFUNCTION("GOOGLETRANSLATE(A18292, ""en"", ""mt"")"),"ċivili")</f>
        <v>ċivili</v>
      </c>
    </row>
    <row r="18293" ht="15.75" customHeight="1">
      <c r="A18293" s="2" t="s">
        <v>18293</v>
      </c>
      <c r="B18293" s="2" t="str">
        <f>IFERROR(__xludf.DUMMYFUNCTION("GOOGLETRANSLATE(A18293, ""en"", ""mt"")"),"Meta l-inugwaljanza ekonomika hija iżgħar, hemm aktar skart u tniġġis?")</f>
        <v>Meta l-inugwaljanza ekonomika hija iżgħar, hemm aktar skart u tniġġis?</v>
      </c>
    </row>
    <row r="18294" ht="15.75" customHeight="1">
      <c r="A18294" s="2" t="s">
        <v>18294</v>
      </c>
      <c r="B18294" s="2" t="str">
        <f>IFERROR(__xludf.DUMMYFUNCTION("GOOGLETRANSLATE(A18294, ""en"", ""mt"")"),"X'inhu l-ogħla livell tal-UMC?")</f>
        <v>X'inhu l-ogħla livell tal-UMC?</v>
      </c>
    </row>
    <row r="18295" ht="15.75" customHeight="1">
      <c r="A18295" s="2" t="s">
        <v>18295</v>
      </c>
      <c r="B18295" s="2" t="str">
        <f>IFERROR(__xludf.DUMMYFUNCTION("GOOGLETRANSLATE(A18295, ""en"", ""mt"")"),"X'tip ta 'kloroplasti għandhom l-euglenofiti?")</f>
        <v>X'tip ta 'kloroplasti għandhom l-euglenofiti?</v>
      </c>
    </row>
    <row r="18296" ht="15.75" customHeight="1">
      <c r="A18296" s="2" t="s">
        <v>18296</v>
      </c>
      <c r="B18296" s="2" t="str">
        <f>IFERROR(__xludf.DUMMYFUNCTION("GOOGLETRANSLATE(A18296, ""en"", ""mt"")"),"Luther kiteb ""Ach Gott, Vom Himmel Sieh Darein"" (""Oh Alla, ħares 'l isfel mill-Ġenna""). ""Nun Komm, der Heiden Heiland"" (issa ġej, Salvatur tal-Ġentili), ibbażat fuq Veni Redemptor Gentium, sar l-innu ewlieni (Hauptlied) għall-Avvent. Huwa ttrasforma"&amp;" solus Ortus Cardine għal ""Christum Wir Sollen Loben Schon"" (""Issa għandna nfaħħru lil Kristu"") u l-kreatur Veni Spiritus għal ""Komm, Gott Schöpfer, Heiliger Geist"" (""Ejja, l-Ispirtu s-Santu, Lord Alla""). Huwa kiteb żewġ innijiet fuq l-Għaxar Kman"&amp;"damenti, ""Dies Sind Die Heilgen Zehn Gebot"" u ""Mensch, Willst du Leben Seliglich"". ""Gelobet Seist Du tiegħu, Jesu Christ"" (""Tifħir lilek, Ġesù Kristu"") sar l-innu ewlieni għall-Milied. Huwa kiteb għal Pentekoste ""Nun Bitten Witt Den Heiligen Geis"&amp;"t"", u adottat għall-Għid ""Kristu Ist Endenen"" (Kristu huwa Rxoxt), ibbażat fuq Victimae Paschali jfaħħar. ""Mit Fried und Freud ich Fahr Dahin"", parafrażi ta 'Nunc dimittis, kienet maħsuba għall-purifikazzjoni, iżda saret ukoll innu funerali. Huwa par"&amp;"aphrased it-Te Deum bħala ""Herr Gott, Dich Loben Wir"" b'forma simplifikata tal-melodija. Sar magħruf bħala l-Ġermaniż Te Deum.")</f>
        <v>Luther kiteb "Ach Gott, Vom Himmel Sieh Darein" ("Oh Alla, ħares 'l isfel mill-Ġenna"). "Nun Komm, der Heiden Heiland" (issa ġej, Salvatur tal-Ġentili), ibbażat fuq Veni Redemptor Gentium, sar l-innu ewlieni (Hauptlied) għall-Avvent. Huwa ttrasforma solus Ortus Cardine għal "Christum Wir Sollen Loben Schon" ("Issa għandna nfaħħru lil Kristu") u l-kreatur Veni Spiritus għal "Komm, Gott Schöpfer, Heiliger Geist" ("Ejja, l-Ispirtu s-Santu, Lord Alla"). Huwa kiteb żewġ innijiet fuq l-Għaxar Kmandamenti, "Dies Sind Die Heilgen Zehn Gebot" u "Mensch, Willst du Leben Seliglich". "Gelobet Seist Du tiegħu, Jesu Christ" ("Tifħir lilek, Ġesù Kristu") sar l-innu ewlieni għall-Milied. Huwa kiteb għal Pentekoste "Nun Bitten Witt Den Heiligen Geist", u adottat għall-Għid "Kristu Ist Endenen" (Kristu huwa Rxoxt), ibbażat fuq Victimae Paschali jfaħħar. "Mit Fried und Freud ich Fahr Dahin", parafrażi ta 'Nunc dimittis, kienet maħsuba għall-purifikazzjoni, iżda saret ukoll innu funerali. Huwa paraphrased it-Te Deum bħala "Herr Gott, Dich Loben Wir" b'forma simplifikata tal-melodija. Sar magħruf bħala l-Ġermaniż Te Deum.</v>
      </c>
    </row>
    <row r="18297" ht="15.75" customHeight="1">
      <c r="A18297" s="2" t="s">
        <v>18297</v>
      </c>
      <c r="B18297" s="2" t="str">
        <f>IFERROR(__xludf.DUMMYFUNCTION("GOOGLETRANSLATE(A18297, ""en"", ""mt"")"),"mal-missier")</f>
        <v>mal-missier</v>
      </c>
    </row>
    <row r="18298" ht="15.75" customHeight="1">
      <c r="A18298" s="2" t="s">
        <v>18298</v>
      </c>
      <c r="B18298" s="2" t="str">
        <f>IFERROR(__xludf.DUMMYFUNCTION("GOOGLETRANSLATE(A18298, ""en"", ""mt"")"),"Protokoll ta 'Montreal")</f>
        <v>Protokoll ta 'Montreal</v>
      </c>
    </row>
    <row r="18299" ht="15.75" customHeight="1">
      <c r="A18299" s="2" t="s">
        <v>18299</v>
      </c>
      <c r="B18299" s="2" t="str">
        <f>IFERROR(__xludf.DUMMYFUNCTION("GOOGLETRANSLATE(A18299, ""en"", ""mt"")"),"Kemm huguenots inqatlu waqt din il-purga?")</f>
        <v>Kemm huguenots inqatlu waqt din il-purga?</v>
      </c>
    </row>
    <row r="18300" ht="15.75" customHeight="1">
      <c r="A18300" s="2" t="s">
        <v>18300</v>
      </c>
      <c r="B18300" s="2" t="str">
        <f>IFERROR(__xludf.DUMMYFUNCTION("GOOGLETRANSLATE(A18300, ""en"", ""mt"")"),"Valley Vistula")</f>
        <v>Valley Vistula</v>
      </c>
    </row>
    <row r="18301" ht="15.75" customHeight="1">
      <c r="A18301" s="2" t="s">
        <v>18301</v>
      </c>
      <c r="B18301" s="2" t="str">
        <f>IFERROR(__xludf.DUMMYFUNCTION("GOOGLETRANSLATE(A18301, ""en"", ""mt"")"),"King Charles III")</f>
        <v>King Charles III</v>
      </c>
    </row>
    <row r="18302" ht="15.75" customHeight="1">
      <c r="A18302" s="2" t="s">
        <v>18302</v>
      </c>
      <c r="B18302" s="2" t="str">
        <f>IFERROR(__xludf.DUMMYFUNCTION("GOOGLETRANSLATE(A18302, ""en"", ""mt"")"),"Parlament tar-Renju Unit f'Westminster")</f>
        <v>Parlament tar-Renju Unit f'Westminster</v>
      </c>
    </row>
    <row r="18303" ht="15.75" customHeight="1">
      <c r="A18303" s="2" t="s">
        <v>18303</v>
      </c>
      <c r="B18303" s="2" t="str">
        <f>IFERROR(__xludf.DUMMYFUNCTION("GOOGLETRANSLATE(A18303, ""en"", ""mt"")"),"24 ta ’Awwissu - 3 ta’ Ottubru 1572")</f>
        <v>24 ta ’Awwissu - 3 ta’ Ottubru 1572</v>
      </c>
    </row>
    <row r="18304" ht="15.75" customHeight="1">
      <c r="A18304" s="2" t="s">
        <v>18304</v>
      </c>
      <c r="B18304" s="2" t="str">
        <f>IFERROR(__xludf.DUMMYFUNCTION("GOOGLETRANSLATE(A18304, ""en"", ""mt"")"),"F'liema indirizz Goldenson żgura kwartieri ġenerali ġodda għal ABC?")</f>
        <v>F'liema indirizz Goldenson żgura kwartieri ġenerali ġodda għal ABC?</v>
      </c>
    </row>
    <row r="18305" ht="15.75" customHeight="1">
      <c r="A18305" s="2" t="s">
        <v>18305</v>
      </c>
      <c r="B18305" s="2" t="str">
        <f>IFERROR(__xludf.DUMMYFUNCTION("GOOGLETRANSLATE(A18305, ""en"", ""mt"")"),"Kif wieħed jikteb t (n) = 7n2 + 15n + 40 fin-notazzjoni kbira?")</f>
        <v>Kif wieħed jikteb t (n) = 7n2 + 15n + 40 fin-notazzjoni kbira?</v>
      </c>
    </row>
    <row r="18306" ht="15.75" customHeight="1">
      <c r="A18306" s="2" t="s">
        <v>18306</v>
      </c>
      <c r="B18306" s="2" t="str">
        <f>IFERROR(__xludf.DUMMYFUNCTION("GOOGLETRANSLATE(A18306, ""en"", ""mt"")"),"Kumitat")</f>
        <v>Kumitat</v>
      </c>
    </row>
    <row r="18307" ht="15.75" customHeight="1">
      <c r="A18307" s="2" t="s">
        <v>18307</v>
      </c>
      <c r="B18307" s="2" t="str">
        <f>IFERROR(__xludf.DUMMYFUNCTION("GOOGLETRANSLATE(A18307, ""en"", ""mt"")"),"Huwa seta 'jwaqqaf il-qoxra tad-Dinja f'tali stat ta' vibrazzjoni li kienet titla 'u taqa' mijiet ta 'saqajn u prattikament teqred iċ-ċiviltà")</f>
        <v>Huwa seta 'jwaqqaf il-qoxra tad-Dinja f'tali stat ta' vibrazzjoni li kienet titla 'u taqa' mijiet ta 'saqajn u prattikament teqred iċ-ċiviltà</v>
      </c>
    </row>
    <row r="18308" ht="15.75" customHeight="1">
      <c r="A18308" s="2" t="s">
        <v>18308</v>
      </c>
      <c r="B18308" s="2" t="str">
        <f>IFERROR(__xludf.DUMMYFUNCTION("GOOGLETRANSLATE(A18308, ""en"", ""mt"")"),"il-kurrikulu.")</f>
        <v>il-kurrikulu.</v>
      </c>
    </row>
    <row r="18309" ht="15.75" customHeight="1">
      <c r="A18309" s="2" t="s">
        <v>18309</v>
      </c>
      <c r="B18309" s="2" t="str">
        <f>IFERROR(__xludf.DUMMYFUNCTION("GOOGLETRANSLATE(A18309, ""en"", ""mt"")"),"X'kienet akkużata Zia-ul-Haq li uża l-Iżlamizzazzjoni biex tilleġittimizza?")</f>
        <v>X'kienet akkużata Zia-ul-Haq li uża l-Iżlamizzazzjoni biex tilleġittimizza?</v>
      </c>
    </row>
    <row r="18310" ht="15.75" customHeight="1">
      <c r="A18310" s="2" t="s">
        <v>18310</v>
      </c>
      <c r="B18310" s="2" t="str">
        <f>IFERROR(__xludf.DUMMYFUNCTION("GOOGLETRANSLATE(A18310, ""en"", ""mt"")"),"Kemm hemm karotenojdi fotosintetiċi?")</f>
        <v>Kemm hemm karotenojdi fotosintetiċi?</v>
      </c>
    </row>
    <row r="18311" ht="15.75" customHeight="1">
      <c r="A18311" s="2" t="s">
        <v>18311</v>
      </c>
      <c r="B18311" s="2" t="str">
        <f>IFERROR(__xludf.DUMMYFUNCTION("GOOGLETRANSLATE(A18311, ""en"", ""mt"")"),"X'effett għandu d-difett ta 'Rubisco?")</f>
        <v>X'effett għandu d-difett ta 'Rubisco?</v>
      </c>
    </row>
    <row r="18312" ht="15.75" customHeight="1">
      <c r="A18312" s="2" t="s">
        <v>18312</v>
      </c>
      <c r="B18312" s="2" t="str">
        <f>IFERROR(__xludf.DUMMYFUNCTION("GOOGLETRANSLATE(A18312, ""en"", ""mt"")"),"Kemm huwa Fresno minn Los Angeles?")</f>
        <v>Kemm huwa Fresno minn Los Angeles?</v>
      </c>
    </row>
    <row r="18313" ht="15.75" customHeight="1">
      <c r="A18313" s="2" t="s">
        <v>18313</v>
      </c>
      <c r="B18313" s="2" t="str">
        <f>IFERROR(__xludf.DUMMYFUNCTION("GOOGLETRANSLATE(A18313, ""en"", ""mt"")"),"jiksru l-wegħdiet tagħhom mingħajr dnub,")</f>
        <v>jiksru l-wegħdiet tagħhom mingħajr dnub,</v>
      </c>
    </row>
    <row r="18314" ht="15.75" customHeight="1">
      <c r="A18314" s="2" t="s">
        <v>18314</v>
      </c>
      <c r="B18314" s="2" t="str">
        <f>IFERROR(__xludf.DUMMYFUNCTION("GOOGLETRANSLATE(A18314, ""en"", ""mt"")"),"jippreserva l-interessi tal-Mongolja fiċ-Ċina u jissodisfa t-talbiet tas-suġġetti Ċiniżi tiegħu")</f>
        <v>jippreserva l-interessi tal-Mongolja fiċ-Ċina u jissodisfa t-talbiet tas-suġġetti Ċiniżi tiegħu</v>
      </c>
    </row>
    <row r="18315" ht="15.75" customHeight="1">
      <c r="A18315" s="2" t="s">
        <v>18315</v>
      </c>
      <c r="B18315" s="2" t="str">
        <f>IFERROR(__xludf.DUMMYFUNCTION("GOOGLETRANSLATE(A18315, ""en"", ""mt"")"),"X'kienet l-ewwel serje li kienet televiżiva bil-kulur fuq ABC?")</f>
        <v>X'kienet l-ewwel serje li kienet televiżiva bil-kulur fuq ABC?</v>
      </c>
    </row>
    <row r="18316" ht="15.75" customHeight="1">
      <c r="A18316" s="2" t="s">
        <v>18316</v>
      </c>
      <c r="B18316" s="2" t="str">
        <f>IFERROR(__xludf.DUMMYFUNCTION("GOOGLETRANSLATE(A18316, ""en"", ""mt"")"),"Super Bowl tal-ftuħ tal-lejl.")</f>
        <v>Super Bowl tal-ftuħ tal-lejl.</v>
      </c>
    </row>
    <row r="18317" ht="15.75" customHeight="1">
      <c r="A18317" s="2" t="s">
        <v>18317</v>
      </c>
      <c r="B18317" s="2" t="str">
        <f>IFERROR(__xludf.DUMMYFUNCTION("GOOGLETRANSLATE(A18317, ""en"", ""mt"")"),"X’jagħmel il-ministru li kien jagħmel il-katalist tan-negozju tal-membri billi jitkellem wara kulħadd?")</f>
        <v>X’jagħmel il-ministru li kien jagħmel il-katalist tan-negozju tal-membri billi jitkellem wara kulħadd?</v>
      </c>
    </row>
    <row r="18318" ht="15.75" customHeight="1">
      <c r="A18318" s="2" t="s">
        <v>18318</v>
      </c>
      <c r="B18318" s="2" t="str">
        <f>IFERROR(__xludf.DUMMYFUNCTION("GOOGLETRANSLATE(A18318, ""en"", ""mt"")"),"inversament")</f>
        <v>inversament</v>
      </c>
    </row>
    <row r="18319" ht="15.75" customHeight="1">
      <c r="A18319" s="2" t="s">
        <v>18319</v>
      </c>
      <c r="B18319" s="2" t="str">
        <f>IFERROR(__xludf.DUMMYFUNCTION("GOOGLETRANSLATE(A18319, ""en"", ""mt"")"),"821.784")</f>
        <v>821.784</v>
      </c>
    </row>
    <row r="18320" ht="15.75" customHeight="1">
      <c r="A18320" s="2" t="s">
        <v>18320</v>
      </c>
      <c r="B18320" s="2" t="str">
        <f>IFERROR(__xludf.DUMMYFUNCTION("GOOGLETRANSLATE(A18320, ""en"", ""mt"")"),"sieq l-arblu")</f>
        <v>sieq l-arblu</v>
      </c>
    </row>
    <row r="18321" ht="15.75" customHeight="1">
      <c r="A18321" s="2" t="s">
        <v>18321</v>
      </c>
      <c r="B18321" s="2" t="str">
        <f>IFERROR(__xludf.DUMMYFUNCTION("GOOGLETRANSLATE(A18321, ""en"", ""mt"")"),"21 minuta")</f>
        <v>21 minuta</v>
      </c>
    </row>
    <row r="18322" ht="15.75" customHeight="1">
      <c r="A18322" s="2" t="s">
        <v>18322</v>
      </c>
      <c r="B18322" s="2" t="str">
        <f>IFERROR(__xludf.DUMMYFUNCTION("GOOGLETRANSLATE(A18322, ""en"", ""mt"")"),"moda, arkitettura, disinn tal-prodott, arti grafika u fotografija")</f>
        <v>moda, arkitettura, disinn tal-prodott, arti grafika u fotografija</v>
      </c>
    </row>
    <row r="18323" ht="15.75" customHeight="1">
      <c r="A18323" s="2" t="s">
        <v>18323</v>
      </c>
      <c r="B18323" s="2" t="str">
        <f>IFERROR(__xludf.DUMMYFUNCTION("GOOGLETRANSLATE(A18323, ""en"", ""mt"")"),"Liema żewġ korpi għandhom jgħaddu l-parlament l-ewwel biex jgħaddu leġiżlazzjoni?")</f>
        <v>Liema żewġ korpi għandhom jgħaddu l-parlament l-ewwel biex jgħaddu leġiżlazzjoni?</v>
      </c>
    </row>
    <row r="18324" ht="15.75" customHeight="1">
      <c r="A18324" s="2" t="s">
        <v>18324</v>
      </c>
      <c r="B18324" s="2" t="str">
        <f>IFERROR(__xludf.DUMMYFUNCTION("GOOGLETRANSLATE(A18324, ""en"", ""mt"")"),"Sistema Min")</f>
        <v>Sistema Min</v>
      </c>
    </row>
    <row r="18325" ht="15.75" customHeight="1">
      <c r="A18325" s="2" t="s">
        <v>18325</v>
      </c>
      <c r="B18325" s="2" t="str">
        <f>IFERROR(__xludf.DUMMYFUNCTION("GOOGLETRANSLATE(A18325, ""en"", ""mt"")"),"Kummerċ tal-Port")</f>
        <v>Kummerċ tal-Port</v>
      </c>
    </row>
    <row r="18326" ht="15.75" customHeight="1">
      <c r="A18326" s="2" t="s">
        <v>18326</v>
      </c>
      <c r="B18326" s="2" t="str">
        <f>IFERROR(__xludf.DUMMYFUNCTION("GOOGLETRANSLATE(A18326, ""en"", ""mt"")"),"Fejn ħadem fuq l-oxxillaturi?")</f>
        <v>Fejn ħadem fuq l-oxxillaturi?</v>
      </c>
    </row>
    <row r="18327" ht="15.75" customHeight="1">
      <c r="A18327" s="2" t="s">
        <v>18327</v>
      </c>
      <c r="B18327" s="2" t="str">
        <f>IFERROR(__xludf.DUMMYFUNCTION("GOOGLETRANSLATE(A18327, ""en"", ""mt"")"),"X'kien l-għan ta 'din id-diżubbidjenza Rumana?")</f>
        <v>X'kien l-għan ta 'din id-diżubbidjenza Rumana?</v>
      </c>
    </row>
    <row r="18328" ht="15.75" customHeight="1">
      <c r="A18328" s="2" t="s">
        <v>18328</v>
      </c>
      <c r="B18328" s="2" t="str">
        <f>IFERROR(__xludf.DUMMYFUNCTION("GOOGLETRANSLATE(A18328, ""en"", ""mt"")"),"Il-belt għadha fiha ħafna teatri. L-akbar, it-Teatru Irjali fi Triq Grey, l-ewwel infetaħ fl-1837, iddisinjat minn John u Benjamin Green. Huwa ospita staġun ta 'wirjiet mill-Royal Shakespeare Company għal aktar minn 25 sena, kif ukoll produzzjonijiet li j"&amp;"duru ta' musicals West End. It-Teatru tal-Mill Volvo Tyne jospita produzzjonijiet iżgħar tat-touring, filwaqt li postijiet oħra jinkludu talent lokali. Stadju tat-Tramuntana, magħruf formalment bħala Newcastle Playhouse u Gulbenkian Studio, jospita divers"&amp;"i produzzjonijiet lokali, nazzjonali u internazzjonali minbarra dawk prodotti mill-Kumpanija tal-Istadju tat-Tramuntana. Teatri oħra fil-belt jinkludu t-Teatru Live, it-Teatru tal-Poplu u t-Teatru tal-Ġublew. Newcastlegateshead ġie vvutat fl-2006 bħala l-"&amp;"Kapitali tal-Arti tar-Renju Unit fi stħarriġ immexxi mill-istazzjon tat-TV Artsworld.")</f>
        <v>Il-belt għadha fiha ħafna teatri. L-akbar, it-Teatru Irjali fi Triq Grey, l-ewwel infetaħ fl-1837, iddisinjat minn John u Benjamin Green. Huwa ospita staġun ta 'wirjiet mill-Royal Shakespeare Company għal aktar minn 25 sena, kif ukoll produzzjonijiet li jduru ta' musicals West End. It-Teatru tal-Mill Volvo Tyne jospita produzzjonijiet iżgħar tat-touring, filwaqt li postijiet oħra jinkludu talent lokali. Stadju tat-Tramuntana, magħruf formalment bħala Newcastle Playhouse u Gulbenkian Studio, jospita diversi produzzjonijiet lokali, nazzjonali u internazzjonali minbarra dawk prodotti mill-Kumpanija tal-Istadju tat-Tramuntana. Teatri oħra fil-belt jinkludu t-Teatru Live, it-Teatru tal-Poplu u t-Teatru tal-Ġublew. Newcastlegateshead ġie vvutat fl-2006 bħala l-Kapitali tal-Arti tar-Renju Unit fi stħarriġ immexxi mill-istazzjon tat-TV Artsworld.</v>
      </c>
    </row>
    <row r="18329" ht="15.75" customHeight="1">
      <c r="A18329" s="2" t="s">
        <v>18329</v>
      </c>
      <c r="B18329" s="2" t="str">
        <f>IFERROR(__xludf.DUMMYFUNCTION("GOOGLETRANSLATE(A18329, ""en"", ""mt"")"),"Repubblika Olandiża")</f>
        <v>Repubblika Olandiża</v>
      </c>
    </row>
    <row r="18330" ht="15.75" customHeight="1">
      <c r="A18330" s="2" t="s">
        <v>18330</v>
      </c>
      <c r="B18330" s="2" t="str">
        <f>IFERROR(__xludf.DUMMYFUNCTION("GOOGLETRANSLATE(A18330, ""en"", ""mt"")"),"wara s-sieq tal-arblu ta 'vapur li jiċċaqlaq")</f>
        <v>wara s-sieq tal-arblu ta 'vapur li jiċċaqlaq</v>
      </c>
    </row>
    <row r="18331" ht="15.75" customHeight="1">
      <c r="A18331" s="2" t="s">
        <v>18331</v>
      </c>
      <c r="B18331" s="2" t="str">
        <f>IFERROR(__xludf.DUMMYFUNCTION("GOOGLETRANSLATE(A18331, ""en"", ""mt"")"),"X'inhuma wħud mill-kawżi tax-xogħol tat-tfal?")</f>
        <v>X'inhuma wħud mill-kawżi tax-xogħol tat-tfal?</v>
      </c>
    </row>
    <row r="18332" ht="15.75" customHeight="1">
      <c r="A18332" s="2" t="s">
        <v>18332</v>
      </c>
      <c r="B18332" s="2" t="str">
        <f>IFERROR(__xludf.DUMMYFUNCTION("GOOGLETRANSLATE(A18332, ""en"", ""mt"")"),"Min ikkontrolla Sqallija quddiem in-Normanni?")</f>
        <v>Min ikkontrolla Sqallija quddiem in-Normanni?</v>
      </c>
    </row>
    <row r="18333" ht="15.75" customHeight="1">
      <c r="A18333" s="2" t="s">
        <v>18333</v>
      </c>
      <c r="B18333" s="2" t="str">
        <f>IFERROR(__xludf.DUMMYFUNCTION("GOOGLETRANSLATE(A18333, ""en"", ""mt"")"),"proġetti ta 'kanalizzazzjoni")</f>
        <v>proġetti ta 'kanalizzazzjoni</v>
      </c>
    </row>
    <row r="18334" ht="15.75" customHeight="1">
      <c r="A18334" s="2" t="s">
        <v>18334</v>
      </c>
      <c r="B18334" s="2" t="str">
        <f>IFERROR(__xludf.DUMMYFUNCTION("GOOGLETRANSLATE(A18334, ""en"", ""mt"")"),"Min għeleb lil Denver fil-Kampjonat AFC?")</f>
        <v>Min għeleb lil Denver fil-Kampjonat AFC?</v>
      </c>
    </row>
    <row r="18335" ht="15.75" customHeight="1">
      <c r="A18335" s="2" t="s">
        <v>18335</v>
      </c>
      <c r="B18335" s="2" t="str">
        <f>IFERROR(__xludf.DUMMYFUNCTION("GOOGLETRANSLATE(A18335, ""en"", ""mt"")"),"Porzjon sostanzjali tal-Asja Ċentrali u ċ-Ċina")</f>
        <v>Porzjon sostanzjali tal-Asja Ċentrali u ċ-Ċina</v>
      </c>
    </row>
    <row r="18336" ht="15.75" customHeight="1">
      <c r="A18336" s="2" t="s">
        <v>18336</v>
      </c>
      <c r="B18336" s="2" t="str">
        <f>IFERROR(__xludf.DUMMYFUNCTION("GOOGLETRANSLATE(A18336, ""en"", ""mt"")"),"Minbarra li tippubblika lin-nobbli Nisranija tan-nazzjon Ġermaniż u fuq il-magħluq Babilonjan tal-knisja, liema xogħol ieħor ipproduċa Luther fl-1520?")</f>
        <v>Minbarra li tippubblika lin-nobbli Nisranija tan-nazzjon Ġermaniż u fuq il-magħluq Babilonjan tal-knisja, liema xogħol ieħor ipproduċa Luther fl-1520?</v>
      </c>
    </row>
    <row r="18337" ht="15.75" customHeight="1">
      <c r="A18337" s="2" t="s">
        <v>18337</v>
      </c>
      <c r="B18337" s="2" t="str">
        <f>IFERROR(__xludf.DUMMYFUNCTION("GOOGLETRANSLATE(A18337, ""en"", ""mt"")"),"Il-katekiżmu żgħir ta 'Luther wera speċjalment effettiv biex jgħin lill-ġenituri jgħallmu lil uliedhom; Bl-istess mod il-katekiżmu akbar kien effettiv għar-ragħajja. Bl-użu tal-vernakulari Ġermaniż, huma esprimew il-kredu tal-appostli f'lingwaġġ aktar sem"&amp;"pliċi, aktar personali u trinitarju. Huwa kiteb kull artiklu tal-kredu biex jesprimi l-karattru tal-Missier, l-Iben, jew l-Ispirtu s-Santu. L-għan ta 'Luther kien li jippermetti lill-katekumens jaraw lilhom infushom bħala oġġett personali tax-xogħol tat-t"&amp;"liet persuni tat-Trinità, li kull wieħed minnhom jaħdem fil-ħajja tal-katekumen. Jiġifieri, Luther iddisinja t-Trinità mhux bħala duttrina li għandha titgħallem, imma bħala persuni li għandhom ikunu magħrufa. Il-Missier joħloq, l-iben jifdi, u l-Ispirtu j"&amp;"qaddes, għaqda divina ma 'personalitajiet separati. Is-salvazzjoni toriġina mal-Missier u tiġbed lil min jemmen lill-Missier. It-trattament ta 'Luther tal-kredu tal-appostli għandu jinftiehem fil-kuntest tad-dekalogu (l-Għaxar Kmandamenti) u t-talb tal-Mu"&amp;"lej, li huma wkoll parti mit-tagħlim katekika Luterana.")</f>
        <v>Il-katekiżmu żgħir ta 'Luther wera speċjalment effettiv biex jgħin lill-ġenituri jgħallmu lil uliedhom; Bl-istess mod il-katekiżmu akbar kien effettiv għar-ragħajja. Bl-użu tal-vernakulari Ġermaniż, huma esprimew il-kredu tal-appostli f'lingwaġġ aktar sempliċi, aktar personali u trinitarju. Huwa kiteb kull artiklu tal-kredu biex jesprimi l-karattru tal-Missier, l-Iben, jew l-Ispirtu s-Santu. L-għan ta 'Luther kien li jippermetti lill-katekumens jaraw lilhom infushom bħala oġġett personali tax-xogħol tat-tliet persuni tat-Trinità, li kull wieħed minnhom jaħdem fil-ħajja tal-katekumen. Jiġifieri, Luther iddisinja t-Trinità mhux bħala duttrina li għandha titgħallem, imma bħala persuni li għandhom ikunu magħrufa. Il-Missier joħloq, l-iben jifdi, u l-Ispirtu jqaddes, għaqda divina ma 'personalitajiet separati. Is-salvazzjoni toriġina mal-Missier u tiġbed lil min jemmen lill-Missier. It-trattament ta 'Luther tal-kredu tal-appostli għandu jinftiehem fil-kuntest tad-dekalogu (l-Għaxar Kmandamenti) u t-talb tal-Mulej, li huma wkoll parti mit-tagħlim katekika Luterana.</v>
      </c>
    </row>
    <row r="18338" ht="15.75" customHeight="1">
      <c r="A18338" s="2" t="s">
        <v>18338</v>
      </c>
      <c r="B18338" s="2" t="str">
        <f>IFERROR(__xludf.DUMMYFUNCTION("GOOGLETRANSLATE(A18338, ""en"", ""mt"")"),"Rwol importanti ieħor tas-sistema immuni huwa li tidentifika u telimina t-tumuri. Din tissejjaħ sorveljanza immuni. Iċ-ċelloli trasformati tat-tumuri jesprimu antiġeni li ma jinstabux fuq ċelloli normali. Għas-sistema immunitarja, dawn l-antiġeni jidhru b"&amp;"arranin, u l-preżenza tagħhom tikkawża ċelloli immuni biex jattakkaw iċ-ċelloli tat-tumur trasformati. L-antiġeni espressi minn tumuri għandhom diversi sorsi; Xi wħud huma derivati ​​minn viruses onkoġeniċi bħall-papillomavirus uman, li jikkawża kanċer ċe"&amp;"rvikali, filwaqt li oħrajn huma l-proteini tal-organiżmu stess li jseħħu f'livelli baxxi f'ċelloli normali iżda jilħqu livelli għoljin fiċ-ċelloli tat-tumur. Eżempju wieħed huwa enzima msejħa tyrosinase li, meta espressa f'livelli għoljin, tittrasforma ċe"&amp;"rti ċelloli tal-ġilda (e.g. melanocytes) f'tumuri msejħa melanomas. It-tielet sors possibbli ta 'antiġeni tat-tumur huma proteini normalment importanti għar-regolazzjoni tat-tkabbir taċ-ċelluli u s-sopravivenza, li komunement jimmutaw f'molekuli li jikkaw"&amp;"żaw il-kanċer imsejħa onkoġeni.")</f>
        <v>Rwol importanti ieħor tas-sistema immuni huwa li tidentifika u telimina t-tumuri. Din tissejjaħ sorveljanza immuni. Iċ-ċelloli trasformati tat-tumuri jesprimu antiġeni li ma jinstabux fuq ċelloli normali. Għas-sistema immunitarja, dawn l-antiġeni jidhru barranin, u l-preżenza tagħhom tikkawża ċelloli immuni biex jattakkaw iċ-ċelloli tat-tumur trasformati. L-antiġeni espressi minn tumuri għandhom diversi sorsi; Xi wħud huma derivati ​​minn viruses onkoġeniċi bħall-papillomavirus uman, li jikkawża kanċer ċervikali, filwaqt li oħrajn huma l-proteini tal-organiżmu stess li jseħħu f'livelli baxxi f'ċelloli normali iżda jilħqu livelli għoljin fiċ-ċelloli tat-tumur. Eżempju wieħed huwa enzima msejħa tyrosinase li, meta espressa f'livelli għoljin, tittrasforma ċerti ċelloli tal-ġilda (e.g. melanocytes) f'tumuri msejħa melanomas. It-tielet sors possibbli ta 'antiġeni tat-tumur huma proteini normalment importanti għar-regolazzjoni tat-tkabbir taċ-ċelluli u s-sopravivenza, li komunement jimmutaw f'molekuli li jikkawżaw il-kanċer imsejħa onkoġeni.</v>
      </c>
    </row>
    <row r="18339" ht="15.75" customHeight="1">
      <c r="A18339" s="2" t="s">
        <v>18339</v>
      </c>
      <c r="B18339" s="2" t="str">
        <f>IFERROR(__xludf.DUMMYFUNCTION("GOOGLETRANSLATE(A18339, ""en"", ""mt"")"),"Liema formazzjoni għandha xejra asimmetrika ta 'terrazzi differenti?")</f>
        <v>Liema formazzjoni għandha xejra asimmetrika ta 'terrazzi differenti?</v>
      </c>
    </row>
    <row r="18340" ht="15.75" customHeight="1">
      <c r="A18340" s="2" t="s">
        <v>18340</v>
      </c>
      <c r="B18340" s="2" t="str">
        <f>IFERROR(__xludf.DUMMYFUNCTION("GOOGLETRANSLATE(A18340, ""en"", ""mt"")"),"430 QK.")</f>
        <v>430 QK.</v>
      </c>
    </row>
    <row r="18341" ht="15.75" customHeight="1">
      <c r="A18341" s="2" t="s">
        <v>18341</v>
      </c>
      <c r="B18341" s="2" t="str">
        <f>IFERROR(__xludf.DUMMYFUNCTION("GOOGLETRANSLATE(A18341, ""en"", ""mt"")"),"X'inhuma l-annimali ""Ħames Big"" fil-Kenja?")</f>
        <v>X'inhuma l-annimali "Ħames Big" fil-Kenja?</v>
      </c>
    </row>
    <row r="18342" ht="15.75" customHeight="1">
      <c r="A18342" s="2" t="s">
        <v>18342</v>
      </c>
      <c r="B18342" s="2" t="str">
        <f>IFERROR(__xludf.DUMMYFUNCTION("GOOGLETRANSLATE(A18342, ""en"", ""mt"")"),"Liema proklamazzjoni aboliet il-Protestantiżmu fi Franza?")</f>
        <v>Liema proklamazzjoni aboliet il-Protestantiżmu fi Franza?</v>
      </c>
    </row>
    <row r="18343" ht="15.75" customHeight="1">
      <c r="A18343" s="2" t="s">
        <v>18343</v>
      </c>
      <c r="B18343" s="2" t="str">
        <f>IFERROR(__xludf.DUMMYFUNCTION("GOOGLETRANSLATE(A18343, ""en"", ""mt"")"),"Ġenesi")</f>
        <v>Ġenesi</v>
      </c>
    </row>
    <row r="18344" ht="15.75" customHeight="1">
      <c r="A18344" s="2" t="s">
        <v>18344</v>
      </c>
      <c r="B18344" s="2" t="str">
        <f>IFERROR(__xludf.DUMMYFUNCTION("GOOGLETRANSLATE(A18344, ""en"", ""mt"")"),"X’jagħmlu dawn l-għalliema?")</f>
        <v>X’jagħmlu dawn l-għalliema?</v>
      </c>
    </row>
    <row r="18345" ht="15.75" customHeight="1">
      <c r="A18345" s="2" t="s">
        <v>18345</v>
      </c>
      <c r="B18345" s="2" t="str">
        <f>IFERROR(__xludf.DUMMYFUNCTION("GOOGLETRANSLATE(A18345, ""en"", ""mt"")"),"inferjuri")</f>
        <v>inferjuri</v>
      </c>
    </row>
    <row r="18346" ht="15.75" customHeight="1">
      <c r="A18346" s="2" t="s">
        <v>18346</v>
      </c>
      <c r="B18346" s="2" t="str">
        <f>IFERROR(__xludf.DUMMYFUNCTION("GOOGLETRANSLATE(A18346, ""en"", ""mt"")"),"Tikklassifika l-istadji ta 'dak li hu importanti għall-immappjar tal-aspetti tal-Amażonja?")</f>
        <v>Tikklassifika l-istadji ta 'dak li hu importanti għall-immappjar tal-aspetti tal-Amażonja?</v>
      </c>
    </row>
    <row r="18347" ht="15.75" customHeight="1">
      <c r="A18347" s="2" t="s">
        <v>18347</v>
      </c>
      <c r="B18347" s="2" t="str">
        <f>IFERROR(__xludf.DUMMYFUNCTION("GOOGLETRANSLATE(A18347, ""en"", ""mt"")"),"Bejn l-1835 u l-1842,")</f>
        <v>Bejn l-1835 u l-1842,</v>
      </c>
    </row>
    <row r="18348" ht="15.75" customHeight="1">
      <c r="A18348" s="2" t="s">
        <v>18348</v>
      </c>
      <c r="B18348" s="2" t="str">
        <f>IFERROR(__xludf.DUMMYFUNCTION("GOOGLETRANSLATE(A18348, ""en"", ""mt"")"),"Prinċipalment fil-Lbiċ ta 'Franza")</f>
        <v>Prinċipalment fil-Lbiċ ta 'Franza</v>
      </c>
    </row>
    <row r="18349" ht="15.75" customHeight="1">
      <c r="A18349" s="2" t="s">
        <v>18349</v>
      </c>
      <c r="B18349" s="2" t="str">
        <f>IFERROR(__xludf.DUMMYFUNCTION("GOOGLETRANSLATE(A18349, ""en"", ""mt"")"),"Tentakli")</f>
        <v>Tentakli</v>
      </c>
    </row>
    <row r="18350" ht="15.75" customHeight="1">
      <c r="A18350" s="2" t="s">
        <v>18350</v>
      </c>
      <c r="B18350" s="2" t="str">
        <f>IFERROR(__xludf.DUMMYFUNCTION("GOOGLETRANSLATE(A18350, ""en"", ""mt"")"),"Sistema 7–4–2–3")</f>
        <v>Sistema 7–4–2–3</v>
      </c>
    </row>
    <row r="18351" ht="15.75" customHeight="1">
      <c r="A18351" s="2" t="s">
        <v>18351</v>
      </c>
      <c r="B18351" s="2" t="str">
        <f>IFERROR(__xludf.DUMMYFUNCTION("GOOGLETRANSLATE(A18351, ""en"", ""mt"")"),"X’għamel għal $ 2 kuljum?")</f>
        <v>X’għamel għal $ 2 kuljum?</v>
      </c>
    </row>
    <row r="18352" ht="15.75" customHeight="1">
      <c r="A18352" s="2" t="s">
        <v>18352</v>
      </c>
      <c r="B18352" s="2" t="str">
        <f>IFERROR(__xludf.DUMMYFUNCTION("GOOGLETRANSLATE(A18352, ""en"", ""mt"")"),"spiċċa inkonklussivament")</f>
        <v>spiċċa inkonklussivament</v>
      </c>
    </row>
    <row r="18353" ht="15.75" customHeight="1">
      <c r="A18353" s="2" t="s">
        <v>18353</v>
      </c>
      <c r="B18353" s="2" t="str">
        <f>IFERROR(__xludf.DUMMYFUNCTION("GOOGLETRANSLATE(A18353, ""en"", ""mt"")"),"15 ta ’Frar 1546")</f>
        <v>15 ta ’Frar 1546</v>
      </c>
    </row>
    <row r="18354" ht="15.75" customHeight="1">
      <c r="A18354" s="2" t="s">
        <v>18354</v>
      </c>
      <c r="B18354" s="2" t="str">
        <f>IFERROR(__xludf.DUMMYFUNCTION("GOOGLETRANSLATE(A18354, ""en"", ""mt"")"),"Ir-Rivoluzzjoni Amerikana")</f>
        <v>Ir-Rivoluzzjoni Amerikana</v>
      </c>
    </row>
    <row r="18355" ht="15.75" customHeight="1">
      <c r="A18355" s="2" t="s">
        <v>18355</v>
      </c>
      <c r="B18355" s="2" t="str">
        <f>IFERROR(__xludf.DUMMYFUNCTION("GOOGLETRANSLATE(A18355, ""en"", ""mt"")"),"butir tal-kawkaw")</f>
        <v>butir tal-kawkaw</v>
      </c>
    </row>
    <row r="18356" ht="15.75" customHeight="1">
      <c r="A18356" s="2" t="s">
        <v>18356</v>
      </c>
      <c r="B18356" s="2" t="str">
        <f>IFERROR(__xludf.DUMMYFUNCTION("GOOGLETRANSLATE(A18356, ""en"", ""mt"")"),"L-ewwel serje tal-programm, tifel li ma jinstabx, juri li t-tabib għandu neputija, Susan Foreman. Fis-serje tal-1967, il-qabar taċ-Ċibermen, meta Victoria Waterfield tiddubita li t-tabib jista 'jiftakar lill-familja tiegħu minħabba, ""li huwa daqshekk ant"&amp;"ik"", it-tabib jgħid li jista' meta verament irid - ""il-kumplament tal-ħin li jorqdu fih Moħħi"". Is-serje tal-2005 tiżvela li d-disa 'tabib ħaseb li kien l-aħħar żmien li għadu ħaj, u li l-pjaneta tad-dar tiegħu kienet inqerdet; F '""The Empty Child"" ("&amp;"2005), Dr Constantine jiddikjara li, ""qabel ma bdiet il-gwerra, jien kont missier u nannu. Issa jien la."" It-tabib jirrimarka bi tweġiba, ""Iva, naf is-sentiment."" F '""Smith and Jones"" (2007), meta mistoqsi jekk kellux ħu, huwa wieġeb, ""Le, mhux akt"&amp;"ar."" Kemm fil-biża 'tagħha (2006) kif ukoll ""The Doctor's Bint"" (2008), huwa jiddikjara li kien, fil-passat, kien missier.")</f>
        <v>L-ewwel serje tal-programm, tifel li ma jinstabx, juri li t-tabib għandu neputija, Susan Foreman. Fis-serje tal-1967, il-qabar taċ-Ċibermen, meta Victoria Waterfield tiddubita li t-tabib jista 'jiftakar lill-familja tiegħu minħabba, "li huwa daqshekk antik", it-tabib jgħid li jista' meta verament irid - "il-kumplament tal-ħin li jorqdu fih Moħħi". Is-serje tal-2005 tiżvela li d-disa 'tabib ħaseb li kien l-aħħar żmien li għadu ħaj, u li l-pjaneta tad-dar tiegħu kienet inqerdet; F '"The Empty Child" (2005), Dr Constantine jiddikjara li, "qabel ma bdiet il-gwerra, jien kont missier u nannu. Issa jien la." It-tabib jirrimarka bi tweġiba, "Iva, naf is-sentiment." F '"Smith and Jones" (2007), meta mistoqsi jekk kellux ħu, huwa wieġeb, "Le, mhux aktar." Kemm fil-biża 'tagħha (2006) kif ukoll "The Doctor's Bint" (2008), huwa jiddikjara li kien, fil-passat, kien missier.</v>
      </c>
    </row>
    <row r="18357" ht="15.75" customHeight="1">
      <c r="A18357" s="2" t="s">
        <v>18357</v>
      </c>
      <c r="B18357" s="2" t="str">
        <f>IFERROR(__xludf.DUMMYFUNCTION("GOOGLETRANSLATE(A18357, ""en"", ""mt"")"),"Meta l-Ġermanja bdiet tibni tagħha stess")</f>
        <v>Meta l-Ġermanja bdiet tibni tagħha stess</v>
      </c>
    </row>
    <row r="18358" ht="15.75" customHeight="1">
      <c r="A18358" s="2" t="s">
        <v>18358</v>
      </c>
      <c r="B18358" s="2" t="str">
        <f>IFERROR(__xludf.DUMMYFUNCTION("GOOGLETRANSLATE(A18358, ""en"", ""mt"")"),"X'inhuma ż-żewġ subsistemi ewlenin tas-sistema immuni?")</f>
        <v>X'inhuma ż-żewġ subsistemi ewlenin tas-sistema immuni?</v>
      </c>
    </row>
    <row r="18359" ht="15.75" customHeight="1">
      <c r="A18359" s="2" t="s">
        <v>18359</v>
      </c>
      <c r="B18359" s="2" t="str">
        <f>IFERROR(__xludf.DUMMYFUNCTION("GOOGLETRANSLATE(A18359, ""en"", ""mt"")"),"Għaliex il-Uighurs kienu kklassifikati ogħla mill-Mongoli?")</f>
        <v>Għaliex il-Uighurs kienu kklassifikati ogħla mill-Mongoli?</v>
      </c>
    </row>
    <row r="18360" ht="15.75" customHeight="1">
      <c r="A18360" s="2" t="s">
        <v>18360</v>
      </c>
      <c r="B18360" s="2" t="str">
        <f>IFERROR(__xludf.DUMMYFUNCTION("GOOGLETRANSLATE(A18360, ""en"", ""mt"")"),"Forza elettromanjetika")</f>
        <v>Forza elettromanjetika</v>
      </c>
    </row>
    <row r="18361" ht="15.75" customHeight="1">
      <c r="A18361" s="2" t="s">
        <v>18361</v>
      </c>
      <c r="B18361" s="2" t="str">
        <f>IFERROR(__xludf.DUMMYFUNCTION("GOOGLETRANSLATE(A18361, ""en"", ""mt"")"),"X'inhu l-prinċipju li jiddikjara li bil-blat sedimentarji, l-inklużjonijiet għandhom ikunu eqdem mill-formazzjoni li fiha?")</f>
        <v>X'inhu l-prinċipju li jiddikjara li bil-blat sedimentarji, l-inklużjonijiet għandhom ikunu eqdem mill-formazzjoni li fiha?</v>
      </c>
    </row>
    <row r="18362" ht="15.75" customHeight="1">
      <c r="A18362" s="2" t="s">
        <v>18362</v>
      </c>
      <c r="B18362" s="2" t="str">
        <f>IFERROR(__xludf.DUMMYFUNCTION("GOOGLETRANSLATE(A18362, ""en"", ""mt"")"),"48.8 ° C (119.8 ° F)")</f>
        <v>48.8 ° C (119.8 ° F)</v>
      </c>
    </row>
    <row r="18363" ht="15.75" customHeight="1">
      <c r="A18363" s="2" t="s">
        <v>18363</v>
      </c>
      <c r="B18363" s="2" t="str">
        <f>IFERROR(__xludf.DUMMYFUNCTION("GOOGLETRANSLATE(A18363, ""en"", ""mt"")"),"Att tal-2012")</f>
        <v>Att tal-2012</v>
      </c>
    </row>
    <row r="18364" ht="15.75" customHeight="1">
      <c r="A18364" s="2" t="s">
        <v>18364</v>
      </c>
      <c r="B18364" s="2" t="str">
        <f>IFERROR(__xludf.DUMMYFUNCTION("GOOGLETRANSLATE(A18364, ""en"", ""mt"")"),"Omm qed tiddikjara ħażin li qed tgħix waħedha")</f>
        <v>Omm qed tiddikjara ħażin li qed tgħix waħedha</v>
      </c>
    </row>
    <row r="18365" ht="15.75" customHeight="1">
      <c r="A18365" s="2" t="s">
        <v>18365</v>
      </c>
      <c r="B18365" s="2" t="str">
        <f>IFERROR(__xludf.DUMMYFUNCTION("GOOGLETRANSLATE(A18365, ""en"", ""mt"")"),"Ir-Reġina Victoria u l-Prinċep Albert")</f>
        <v>Ir-Reġina Victoria u l-Prinċep Albert</v>
      </c>
    </row>
    <row r="18366" ht="15.75" customHeight="1">
      <c r="A18366" s="2" t="s">
        <v>18366</v>
      </c>
      <c r="B18366" s="2" t="str">
        <f>IFERROR(__xludf.DUMMYFUNCTION("GOOGLETRANSLATE(A18366, ""en"", ""mt"")"),"X'inhi l-iktar klassi qawwija ta 'mediċini anti-infjammatorji?")</f>
        <v>X'inhi l-iktar klassi qawwija ta 'mediċini anti-infjammatorji?</v>
      </c>
    </row>
    <row r="18367" ht="15.75" customHeight="1">
      <c r="A18367" s="2" t="s">
        <v>18367</v>
      </c>
      <c r="B18367" s="2" t="str">
        <f>IFERROR(__xludf.DUMMYFUNCTION("GOOGLETRANSLATE(A18367, ""en"", ""mt"")"),"għal tliet raġunijiet")</f>
        <v>għal tliet raġunijiet</v>
      </c>
    </row>
    <row r="18368" ht="15.75" customHeight="1">
      <c r="A18368" s="2" t="s">
        <v>18368</v>
      </c>
      <c r="B18368" s="2" t="str">
        <f>IFERROR(__xludf.DUMMYFUNCTION("GOOGLETRANSLATE(A18368, ""en"", ""mt"")"),"Latitudni baxxa")</f>
        <v>Latitudni baxxa</v>
      </c>
    </row>
    <row r="18369" ht="15.75" customHeight="1">
      <c r="A18369" s="2" t="s">
        <v>18369</v>
      </c>
      <c r="B18369" s="2" t="str">
        <f>IFERROR(__xludf.DUMMYFUNCTION("GOOGLETRANSLATE(A18369, ""en"", ""mt"")"),"Kemm estendiet il-Punent l-imperu Mongoljan wara l-mewt ta 'Kuchlug?")</f>
        <v>Kemm estendiet il-Punent l-imperu Mongoljan wara l-mewt ta 'Kuchlug?</v>
      </c>
    </row>
    <row r="18370" ht="15.75" customHeight="1">
      <c r="A18370" s="2" t="s">
        <v>18370</v>
      </c>
      <c r="B18370" s="2" t="str">
        <f>IFERROR(__xludf.DUMMYFUNCTION("GOOGLETRANSLATE(A18370, ""en"", ""mt"")"),"""Villes de Sûreté""")</f>
        <v>"Villes de Sûreté"</v>
      </c>
    </row>
    <row r="18371" ht="15.75" customHeight="1">
      <c r="A18371" s="2" t="s">
        <v>18371</v>
      </c>
      <c r="B18371" s="2" t="str">
        <f>IFERROR(__xludf.DUMMYFUNCTION("GOOGLETRANSLATE(A18371, ""en"", ""mt"")"),"Dawn l-attakki rreżonjaw mal-Musulmani konservattivi u l-problema ma marrux bit-telfa ta 'Saddam, peress li t-truppi Amerikani baqgħu stazzjonati fir-renju, u kooperazzjoni de facto mal-proċess ta' paċi Palestinjan-Iżraeljan żviluppat. L-Arabja Sawdita pp"&amp;"ruvat tikkumpensa għat-telf tagħha ta 'prestiġju fost dawn il-gruppi billi rażżan dawk l-Iżlamisti domestiċi li attakkawha (bin Laden bħala eżempju ewlieni), u żżid l-għajnuna għal gruppi Iżlamiċi (madrassas Iżlamisti madwar id-dinja u anke għenet xi grup"&amp;"pi Iżlamiċi vjolenti) Dan ma kienx, iżda l-influwenza ta 'qabel il-gwerra tagħha f'isem il-moderazzjoni tnaqqset ħafna. Riżultat ta ’dan kien kampanja ta’ attakki fuq uffiċjali tal-gvern u turisti fl-Eġittu, gwerra ċivili mdemmi fl-Alġerija u l-attakki ta"&amp;" ’terrur ta’ Osama Bin Laden li qegħdin fil-qofol fl-attakk tad-9/11.")</f>
        <v>Dawn l-attakki rreżonjaw mal-Musulmani konservattivi u l-problema ma marrux bit-telfa ta 'Saddam, peress li t-truppi Amerikani baqgħu stazzjonati fir-renju, u kooperazzjoni de facto mal-proċess ta' paċi Palestinjan-Iżraeljan żviluppat. L-Arabja Sawdita ppruvat tikkumpensa għat-telf tagħha ta 'prestiġju fost dawn il-gruppi billi rażżan dawk l-Iżlamisti domestiċi li attakkawha (bin Laden bħala eżempju ewlieni), u żżid l-għajnuna għal gruppi Iżlamiċi (madrassas Iżlamisti madwar id-dinja u anke għenet xi gruppi Iżlamiċi vjolenti) Dan ma kienx, iżda l-influwenza ta 'qabel il-gwerra tagħha f'isem il-moderazzjoni tnaqqset ħafna. Riżultat ta ’dan kien kampanja ta’ attakki fuq uffiċjali tal-gvern u turisti fl-Eġittu, gwerra ċivili mdemmi fl-Alġerija u l-attakki ta ’terrur ta’ Osama Bin Laden li qegħdin fil-qofol fl-attakk tad-9/11.</v>
      </c>
    </row>
    <row r="18372" ht="15.75" customHeight="1">
      <c r="A18372" s="2" t="s">
        <v>18372</v>
      </c>
      <c r="B18372" s="2" t="str">
        <f>IFERROR(__xludf.DUMMYFUNCTION("GOOGLETRANSLATE(A18372, ""en"", ""mt"")"),"Meta spiċċat l-età tal-imperjalizmu?")</f>
        <v>Meta spiċċat l-età tal-imperjalizmu?</v>
      </c>
    </row>
    <row r="18373" ht="15.75" customHeight="1">
      <c r="A18373" s="2" t="s">
        <v>18373</v>
      </c>
      <c r="B18373" s="2" t="str">
        <f>IFERROR(__xludf.DUMMYFUNCTION("GOOGLETRANSLATE(A18373, ""en"", ""mt"")"),"Fil-ħin tal-formazzjoni tagħha, kemm membri kellhom l-UMC?")</f>
        <v>Fil-ħin tal-formazzjoni tagħha, kemm membri kellhom l-UMC?</v>
      </c>
    </row>
    <row r="18374" ht="15.75" customHeight="1">
      <c r="A18374" s="2" t="s">
        <v>18374</v>
      </c>
      <c r="B18374" s="2" t="str">
        <f>IFERROR(__xludf.DUMMYFUNCTION("GOOGLETRANSLATE(A18374, ""en"", ""mt"")"),"L-iskeda ta 'bi nhar ta' ABC bħalissa tinkludi talk shows The View and The Chew, u l-Isptar Ġenerali tas-Soap Opera, li l-aħħar huwa l-itwal programm ta 'divertiment li għaddej fl-istorja tan-netwerk tat-televiżjoni ABC, wara li xandar mill-1963. ABC ixan"&amp;"dar ukoll filgħodu Programm tal-aħbarijiet Good Morning America u għamel hekk mill-1975, għalkemm dak il-programm mhuwiex ikkunsidrat li huwa parti mill-blokka tal-ABC bi nhar. Minbarra t-tfal kollha li ilhom għaddejjin (1970-2011) u One Life to Live (196"&amp;"8-2012), sapun tal-passat notevoli li jidher fuq il-formazzjoni ta 'bi nhar jinkludu Ryan's Hope, Dark Shadows, Loving, The City, The City u Port Charles. ABC xandar ukoll l-aħħar disa 'snin tal-procter &amp; gamble SOAP The Edge of Night, wara l-kanċellazzjo"&amp;"ni tagħha minn CBS fl-1975. ABC Daytime xandar ukoll numru ta' wirjiet tal-logħob, inkluża l-logħba tad-dating, il-logħba li għadha kemm ġiet A Deal, Password, Split Second, $ 10,000 / $ 20,000 Piramida, Family Feud, The Better Sex, Trivia Trap, All-Star "&amp;"Blitz u Hot Streak.")</f>
        <v>L-iskeda ta 'bi nhar ta' ABC bħalissa tinkludi talk shows The View and The Chew, u l-Isptar Ġenerali tas-Soap Opera, li l-aħħar huwa l-itwal programm ta 'divertiment li għaddej fl-istorja tan-netwerk tat-televiżjoni ABC, wara li xandar mill-1963. ABC ixandar ukoll filgħodu Programm tal-aħbarijiet Good Morning America u għamel hekk mill-1975, għalkemm dak il-programm mhuwiex ikkunsidrat li huwa parti mill-blokka tal-ABC bi nhar. Minbarra t-tfal kollha li ilhom għaddejjin (1970-2011) u One Life to Live (1968-2012), sapun tal-passat notevoli li jidher fuq il-formazzjoni ta 'bi nhar jinkludu Ryan's Hope, Dark Shadows, Loving, The City, The City u Port Charles. ABC xandar ukoll l-aħħar disa 'snin tal-procter &amp; gamble SOAP The Edge of Night, wara l-kanċellazzjoni tagħha minn CBS fl-1975. ABC Daytime xandar ukoll numru ta' wirjiet tal-logħob, inkluża l-logħba tad-dating, il-logħba li għadha kemm ġiet A Deal, Password, Split Second, $ 10,000 / $ 20,000 Piramida, Family Feud, The Better Sex, Trivia Trap, All-Star Blitz u Hot Streak.</v>
      </c>
    </row>
    <row r="18375" ht="15.75" customHeight="1">
      <c r="A18375" s="2" t="s">
        <v>18375</v>
      </c>
      <c r="B18375" s="2" t="str">
        <f>IFERROR(__xludf.DUMMYFUNCTION("GOOGLETRANSLATE(A18375, ""en"", ""mt"")"),"Liema parti tas-sistema immunitarja tipproteġi l-moħħ?")</f>
        <v>Liema parti tas-sistema immunitarja tipproteġi l-moħħ?</v>
      </c>
    </row>
    <row r="18376" ht="15.75" customHeight="1">
      <c r="A18376" s="2" t="s">
        <v>18376</v>
      </c>
      <c r="B18376" s="2" t="str">
        <f>IFERROR(__xludf.DUMMYFUNCTION("GOOGLETRANSLATE(A18376, ""en"", ""mt"")"),"6.4 Nanometri")</f>
        <v>6.4 Nanometri</v>
      </c>
    </row>
    <row r="18377" ht="15.75" customHeight="1">
      <c r="A18377" s="2" t="s">
        <v>18377</v>
      </c>
      <c r="B18377" s="2" t="str">
        <f>IFERROR(__xludf.DUMMYFUNCTION("GOOGLETRANSLATE(A18377, ""en"", ""mt"")"),"Il-punt ewlieni tal-Islam tal-Islam kif iseħħ mhux mal-mewt ta 'Ali")</f>
        <v>Il-punt ewlieni tal-Islam tal-Islam kif iseħħ mhux mal-mewt ta 'Ali</v>
      </c>
    </row>
    <row r="18378" ht="15.75" customHeight="1">
      <c r="A18378" s="2" t="s">
        <v>18378</v>
      </c>
      <c r="B18378" s="2" t="str">
        <f>IFERROR(__xludf.DUMMYFUNCTION("GOOGLETRANSLATE(A18378, ""en"", ""mt"")"),"Tabib fil-Bibbja.")</f>
        <v>Tabib fil-Bibbja.</v>
      </c>
    </row>
    <row r="18379" ht="15.75" customHeight="1">
      <c r="A18379" s="2" t="s">
        <v>18379</v>
      </c>
      <c r="B18379" s="2" t="str">
        <f>IFERROR(__xludf.DUMMYFUNCTION("GOOGLETRANSLATE(A18379, ""en"", ""mt"")"),"madwar 3 mili")</f>
        <v>madwar 3 mili</v>
      </c>
    </row>
    <row r="18380" ht="15.75" customHeight="1">
      <c r="A18380" s="2" t="s">
        <v>18380</v>
      </c>
      <c r="B18380" s="2" t="str">
        <f>IFERROR(__xludf.DUMMYFUNCTION("GOOGLETRANSLATE(A18380, ""en"", ""mt"")"),"Kemm ilha tintuża x-xbihat tal-sirena minn Varsavja?")</f>
        <v>Kemm ilha tintuża x-xbihat tal-sirena minn Varsavja?</v>
      </c>
    </row>
    <row r="18381" ht="15.75" customHeight="1">
      <c r="A18381" s="2" t="s">
        <v>18381</v>
      </c>
      <c r="B18381" s="2" t="str">
        <f>IFERROR(__xludf.DUMMYFUNCTION("GOOGLETRANSLATE(A18381, ""en"", ""mt"")"),"X'għandu jgħaddi bl-użu ta 'mezzi demokratiċi mill-komunità skolastika kollha?")</f>
        <v>X'għandu jgħaddi bl-użu ta 'mezzi demokratiċi mill-komunità skolastika kollha?</v>
      </c>
    </row>
    <row r="18382" ht="15.75" customHeight="1">
      <c r="A18382" s="2" t="s">
        <v>18382</v>
      </c>
      <c r="B18382" s="2" t="str">
        <f>IFERROR(__xludf.DUMMYFUNCTION("GOOGLETRANSLATE(A18382, ""en"", ""mt"")"),"Filwaqt li Photosystem II Photolyzes Water biex tinkiseb u tissaħħaħ elettroni ġodda, il-fotosistema I sempliċement terġa 'tdoqq elettroni mdgħajfa fit-tmiem ta' katina tat-trasport tal-elettroni. Normalment, l-elettroni mill-ġdid huma meħuda minn NADP +,"&amp;" għalkemm xi kultant jistgħu joħorġu lura aktar ktajjen ta 'trasport ta' elettroni H + -puming biex jittrasportaw aktar joni ta 'idroġenu fl-ispazju tat-tilkoid biex jiġġeneraw aktar ATP. Din hija msejħa fotofosforilazzjoni ċiklika minħabba li l-elettroni"&amp;" huma riċiklati. Il-fotofosforilazzjoni ċiklika hija komuni fil-pjanti C4, li għandhom bżonn aktar ATP minn NADPH.")</f>
        <v>Filwaqt li Photosystem II Photolyzes Water biex tinkiseb u tissaħħaħ elettroni ġodda, il-fotosistema I sempliċement terġa 'tdoqq elettroni mdgħajfa fit-tmiem ta' katina tat-trasport tal-elettroni. Normalment, l-elettroni mill-ġdid huma meħuda minn NADP +, għalkemm xi kultant jistgħu joħorġu lura aktar ktajjen ta 'trasport ta' elettroni H + -puming biex jittrasportaw aktar joni ta 'idroġenu fl-ispazju tat-tilkoid biex jiġġeneraw aktar ATP. Din hija msejħa fotofosforilazzjoni ċiklika minħabba li l-elettroni huma riċiklati. Il-fotofosforilazzjoni ċiklika hija komuni fil-pjanti C4, li għandhom bżonn aktar ATP minn NADPH.</v>
      </c>
    </row>
    <row r="18383" ht="15.75" customHeight="1">
      <c r="A18383" s="2" t="s">
        <v>18383</v>
      </c>
      <c r="B18383" s="2" t="str">
        <f>IFERROR(__xludf.DUMMYFUNCTION("GOOGLETRANSLATE(A18383, ""en"", ""mt"")"),"il-50 fond")</f>
        <v>il-50 fond</v>
      </c>
    </row>
    <row r="18384" ht="15.75" customHeight="1">
      <c r="A18384" s="2" t="s">
        <v>18384</v>
      </c>
      <c r="B18384" s="2" t="str">
        <f>IFERROR(__xludf.DUMMYFUNCTION("GOOGLETRANSLATE(A18384, ""en"", ""mt"")"),"Is-sistema newroimmuni")</f>
        <v>Is-sistema newroimmuni</v>
      </c>
    </row>
    <row r="18385" ht="15.75" customHeight="1">
      <c r="A18385" s="2" t="s">
        <v>18385</v>
      </c>
      <c r="B18385" s="2" t="str">
        <f>IFERROR(__xludf.DUMMYFUNCTION("GOOGLETRANSLATE(A18385, ""en"", ""mt"")"),"Kemm siġġijiet għandhom partit politiku għandu jkun irrappreżentat fuq il-Bureau Parlamentari?")</f>
        <v>Kemm siġġijiet għandhom partit politiku għandu jkun irrappreżentat fuq il-Bureau Parlamentari?</v>
      </c>
    </row>
    <row r="18386" ht="15.75" customHeight="1">
      <c r="A18386" s="2" t="s">
        <v>18386</v>
      </c>
      <c r="B18386" s="2" t="str">
        <f>IFERROR(__xludf.DUMMYFUNCTION("GOOGLETRANSLATE(A18386, ""en"", ""mt"")"),"jinsabu f'P jew daqs P.")</f>
        <v>jinsabu f'P jew daqs P.</v>
      </c>
    </row>
    <row r="18387" ht="15.75" customHeight="1">
      <c r="A18387" s="2" t="s">
        <v>18387</v>
      </c>
      <c r="B18387" s="2" t="str">
        <f>IFERROR(__xludf.DUMMYFUNCTION("GOOGLETRANSLATE(A18387, ""en"", ""mt"")"),"żewġ terzi")</f>
        <v>żewġ terzi</v>
      </c>
    </row>
    <row r="18388" ht="15.75" customHeight="1">
      <c r="A18388" s="2" t="s">
        <v>18388</v>
      </c>
      <c r="B18388" s="2" t="str">
        <f>IFERROR(__xludf.DUMMYFUNCTION("GOOGLETRANSLATE(A18388, ""en"", ""mt"")"),"Missjoni Impossibli")</f>
        <v>Missjoni Impossibli</v>
      </c>
    </row>
    <row r="18389" ht="15.75" customHeight="1">
      <c r="A18389" s="2" t="s">
        <v>18389</v>
      </c>
      <c r="B18389" s="2" t="str">
        <f>IFERROR(__xludf.DUMMYFUNCTION("GOOGLETRANSLATE(A18389, ""en"", ""mt"")"),"Utilità aggregata ogħla")</f>
        <v>Utilità aggregata ogħla</v>
      </c>
    </row>
    <row r="18390" ht="15.75" customHeight="1">
      <c r="A18390" s="2" t="s">
        <v>18390</v>
      </c>
      <c r="B18390" s="2" t="str">
        <f>IFERROR(__xludf.DUMMYFUNCTION("GOOGLETRANSLATE(A18390, ""en"", ""mt"")"),"Immaniġġja d-dipartiment tal-ispiżerija u oqsma speċjalizzati fil-prattika tal-ispiżerija")</f>
        <v>Immaniġġja d-dipartiment tal-ispiżerija u oqsma speċjalizzati fil-prattika tal-ispiżerija</v>
      </c>
    </row>
    <row r="18391" ht="15.75" customHeight="1">
      <c r="A18391" s="2" t="s">
        <v>18391</v>
      </c>
      <c r="B18391" s="2" t="str">
        <f>IFERROR(__xludf.DUMMYFUNCTION("GOOGLETRANSLATE(A18391, ""en"", ""mt"")"),"Konsorzju ta ’diversi kuntratturi")</f>
        <v>Konsorzju ta ’diversi kuntratturi</v>
      </c>
    </row>
    <row r="18392" ht="15.75" customHeight="1">
      <c r="A18392" s="2" t="s">
        <v>18392</v>
      </c>
      <c r="B18392" s="2" t="str">
        <f>IFERROR(__xludf.DUMMYFUNCTION("GOOGLETRANSLATE(A18392, ""en"", ""mt"")"),"jerġa 'jikseb awtorità fuq in-nies tiegħu stess")</f>
        <v>jerġa 'jikseb awtorità fuq in-nies tiegħu stess</v>
      </c>
    </row>
    <row r="18393" ht="15.75" customHeight="1">
      <c r="A18393" s="2" t="s">
        <v>18393</v>
      </c>
      <c r="B18393" s="2" t="str">
        <f>IFERROR(__xludf.DUMMYFUNCTION("GOOGLETRANSLATE(A18393, ""en"", ""mt"")"),"Paraxut")</f>
        <v>Paraxut</v>
      </c>
    </row>
    <row r="18394" ht="15.75" customHeight="1">
      <c r="A18394" s="2" t="s">
        <v>18394</v>
      </c>
      <c r="B18394" s="2" t="str">
        <f>IFERROR(__xludf.DUMMYFUNCTION("GOOGLETRANSLATE(A18394, ""en"", ""mt"")"),"Min iddisinja l-bibien tal-ħadid li jżejnu l-bini tad-dħul il-ġdid?")</f>
        <v>Min iddisinja l-bibien tal-ħadid li jżejnu l-bini tad-dħul il-ġdid?</v>
      </c>
    </row>
    <row r="18395" ht="15.75" customHeight="1">
      <c r="A18395" s="2" t="s">
        <v>18395</v>
      </c>
      <c r="B18395" s="2" t="str">
        <f>IFERROR(__xludf.DUMMYFUNCTION("GOOGLETRANSLATE(A18395, ""en"", ""mt"")"),"Fejn Maududi eżerċita l-iktar impatt?")</f>
        <v>Fejn Maududi eżerċita l-iktar impatt?</v>
      </c>
    </row>
    <row r="18396" ht="15.75" customHeight="1">
      <c r="A18396" s="2" t="s">
        <v>18396</v>
      </c>
      <c r="B18396" s="2" t="str">
        <f>IFERROR(__xludf.DUMMYFUNCTION("GOOGLETRANSLATE(A18396, ""en"", ""mt"")"),"Minbarra l-vinikultura, x'inhu s-settur ekonomiku li jiddomina l-ieħor fin-nofs tar-Renu?")</f>
        <v>Minbarra l-vinikultura, x'inhu s-settur ekonomiku li jiddomina l-ieħor fin-nofs tar-Renu?</v>
      </c>
    </row>
    <row r="18397" ht="15.75" customHeight="1">
      <c r="A18397" s="2" t="s">
        <v>18397</v>
      </c>
      <c r="B18397" s="2" t="str">
        <f>IFERROR(__xludf.DUMMYFUNCTION("GOOGLETRANSLATE(A18397, ""en"", ""mt"")"),"Jikkompetu Harms Defense")</f>
        <v>Jikkompetu Harms Defense</v>
      </c>
    </row>
    <row r="18398" ht="15.75" customHeight="1">
      <c r="A18398" s="2" t="s">
        <v>18398</v>
      </c>
      <c r="B18398" s="2" t="str">
        <f>IFERROR(__xludf.DUMMYFUNCTION("GOOGLETRANSLATE(A18398, ""en"", ""mt"")"),"X'għandhom jagħtu evidenza ta 'ġeni mogħtija?")</f>
        <v>X'għandhom jagħtu evidenza ta 'ġeni mogħtija?</v>
      </c>
    </row>
    <row r="18399" ht="15.75" customHeight="1">
      <c r="A18399" s="2" t="s">
        <v>18399</v>
      </c>
      <c r="B18399" s="2" t="str">
        <f>IFERROR(__xludf.DUMMYFUNCTION("GOOGLETRANSLATE(A18399, ""en"", ""mt"")"),"L-Iskola Harris tal-Istudji tal-Politika Pubblika")</f>
        <v>L-Iskola Harris tal-Istudji tal-Politika Pubblika</v>
      </c>
    </row>
    <row r="18400" ht="15.75" customHeight="1">
      <c r="A18400" s="2" t="s">
        <v>18400</v>
      </c>
      <c r="B18400" s="2" t="str">
        <f>IFERROR(__xludf.DUMMYFUNCTION("GOOGLETRANSLATE(A18400, ""en"", ""mt"")"),"Irfid ideali")</f>
        <v>Irfid ideali</v>
      </c>
    </row>
    <row r="18401" ht="15.75" customHeight="1">
      <c r="A18401" s="2" t="s">
        <v>18401</v>
      </c>
      <c r="B18401" s="2" t="str">
        <f>IFERROR(__xludf.DUMMYFUNCTION("GOOGLETRANSLATE(A18401, ""en"", ""mt"")"),"Il-Knisja Kattolika fir-reġjun")</f>
        <v>Il-Knisja Kattolika fir-reġjun</v>
      </c>
    </row>
    <row r="18402" ht="15.75" customHeight="1">
      <c r="A18402" s="2" t="s">
        <v>18402</v>
      </c>
      <c r="B18402" s="2" t="str">
        <f>IFERROR(__xludf.DUMMYFUNCTION("GOOGLETRANSLATE(A18402, ""en"", ""mt"")"),"Immunoinformatika")</f>
        <v>Immunoinformatika</v>
      </c>
    </row>
    <row r="18403" ht="15.75" customHeight="1">
      <c r="A18403" s="2" t="s">
        <v>18403</v>
      </c>
      <c r="B18403" s="2" t="str">
        <f>IFERROR(__xludf.DUMMYFUNCTION("GOOGLETRANSLATE(A18403, ""en"", ""mt"")"),"Ħin Parlamentari")</f>
        <v>Ħin Parlamentari</v>
      </c>
    </row>
    <row r="18404" ht="15.75" customHeight="1">
      <c r="A18404" s="2" t="s">
        <v>18404</v>
      </c>
      <c r="B18404" s="2" t="str">
        <f>IFERROR(__xludf.DUMMYFUNCTION("GOOGLETRANSLATE(A18404, ""en"", ""mt"")"),"X'kien il-Mall pedonali msejjaħ?")</f>
        <v>X'kien il-Mall pedonali msejjaħ?</v>
      </c>
    </row>
    <row r="18405" ht="15.75" customHeight="1">
      <c r="A18405" s="2" t="s">
        <v>18405</v>
      </c>
      <c r="B18405" s="2" t="str">
        <f>IFERROR(__xludf.DUMMYFUNCTION("GOOGLETRANSLATE(A18405, ""en"", ""mt"")"),"numru sħiħ ta 'oqsma ta' numri kwadratiċi")</f>
        <v>numru sħiħ ta 'oqsma ta' numri kwadratiċi</v>
      </c>
    </row>
    <row r="18406" ht="15.75" customHeight="1">
      <c r="A18406" s="2" t="s">
        <v>18406</v>
      </c>
      <c r="B18406" s="2" t="str">
        <f>IFERROR(__xludf.DUMMYFUNCTION("GOOGLETRANSLATE(A18406, ""en"", ""mt"")"),"Il-petroloġi jistgħu wkoll jużaw dejta dwar l-inklużjoni tal-fluwidi u jwettqu temperatura għolja u pressjoni esperimenti fiżiċi biex jifhmu t-temperaturi u l-pressjonijiet li fihom jidhru fażijiet minerali differenti, u kif jinbidlu permezz ta 'proċessi "&amp;"igneous u metamorfiċi. Din ir-riċerka tista 'tiġi estrapolata fil-qasam biex tifhem il-proċessi metamorfiċi u l-kundizzjonijiet tal-kristallizzazzjoni ta' blat igneous. Dan ix-xogħol jista 'jgħin ukoll biex jispjega proċessi li jseħħu fid-dinja, bħas-subd"&amp;"uction u l-evoluzzjoni tal-kamra tal-magma.")</f>
        <v>Il-petroloġi jistgħu wkoll jużaw dejta dwar l-inklużjoni tal-fluwidi u jwettqu temperatura għolja u pressjoni esperimenti fiżiċi biex jifhmu t-temperaturi u l-pressjonijiet li fihom jidhru fażijiet minerali differenti, u kif jinbidlu permezz ta 'proċessi igneous u metamorfiċi. Din ir-riċerka tista 'tiġi estrapolata fil-qasam biex tifhem il-proċessi metamorfiċi u l-kundizzjonijiet tal-kristallizzazzjoni ta' blat igneous. Dan ix-xogħol jista 'jgħin ukoll biex jispjega proċessi li jseħħu fid-dinja, bħas-subduction u l-evoluzzjoni tal-kamra tal-magma.</v>
      </c>
    </row>
    <row r="18407" ht="15.75" customHeight="1">
      <c r="A18407" s="2" t="s">
        <v>18407</v>
      </c>
      <c r="B18407" s="2" t="str">
        <f>IFERROR(__xludf.DUMMYFUNCTION("GOOGLETRANSLATE(A18407, ""en"", ""mt"")"),"Kontra min żdiedu l-camisards biex jiġġieldu?")</f>
        <v>Kontra min żdiedu l-camisards biex jiġġieldu?</v>
      </c>
    </row>
    <row r="18408" ht="15.75" customHeight="1">
      <c r="A18408" s="2" t="s">
        <v>18408</v>
      </c>
      <c r="B18408" s="2" t="str">
        <f>IFERROR(__xludf.DUMMYFUNCTION("GOOGLETRANSLATE(A18408, ""en"", ""mt"")"),"Il-Parlament Skoċċiż")</f>
        <v>Il-Parlament Skoċċiż</v>
      </c>
    </row>
    <row r="18409" ht="15.75" customHeight="1">
      <c r="A18409" s="2" t="s">
        <v>18409</v>
      </c>
      <c r="B18409" s="2" t="str">
        <f>IFERROR(__xludf.DUMMYFUNCTION("GOOGLETRANSLATE(A18409, ""en"", ""mt"")"),"X'jistgħu jaħdmu n-nies jekk ma jiġux miċħuda l-funzjonijiet, il-kapaċitajiet u l-aġenzija tagħhom?")</f>
        <v>X'jistgħu jaħdmu n-nies jekk ma jiġux miċħuda l-funzjonijiet, il-kapaċitajiet u l-aġenzija tagħhom?</v>
      </c>
    </row>
    <row r="18410" ht="15.75" customHeight="1">
      <c r="A18410" s="2" t="s">
        <v>18410</v>
      </c>
      <c r="B18410" s="2" t="str">
        <f>IFERROR(__xludf.DUMMYFUNCTION("GOOGLETRANSLATE(A18410, ""en"", ""mt"")"),"X'inhu maħruġ ladarba l-kostruzzjoni tkun kompluta u għaddiet spezzjoni finali?")</f>
        <v>X'inhu maħruġ ladarba l-kostruzzjoni tkun kompluta u għaddiet spezzjoni finali?</v>
      </c>
    </row>
    <row r="18411" ht="15.75" customHeight="1">
      <c r="A18411" s="2" t="s">
        <v>18411</v>
      </c>
      <c r="B18411" s="2" t="str">
        <f>IFERROR(__xludf.DUMMYFUNCTION("GOOGLETRANSLATE(A18411, ""en"", ""mt"")"),"Istitut Orjentali")</f>
        <v>Istitut Orjentali</v>
      </c>
    </row>
    <row r="18412" ht="15.75" customHeight="1">
      <c r="A18412" s="2" t="s">
        <v>18412</v>
      </c>
      <c r="B18412" s="2" t="str">
        <f>IFERROR(__xludf.DUMMYFUNCTION("GOOGLETRANSLATE(A18412, ""en"", ""mt"")"),"New England Patriots")</f>
        <v>New England Patriots</v>
      </c>
    </row>
    <row r="18413" ht="15.75" customHeight="1">
      <c r="A18413" s="2" t="s">
        <v>18413</v>
      </c>
      <c r="B18413" s="2" t="str">
        <f>IFERROR(__xludf.DUMMYFUNCTION("GOOGLETRANSLATE(A18413, ""en"", ""mt"")"),"Liema tip ta 'ċellula jintuża wkoll għar-rispons immuni fil-biċċa l-kbira tat-tipi ta' ħajja invertebrata?")</f>
        <v>Liema tip ta 'ċellula jintuża wkoll għar-rispons immuni fil-biċċa l-kbira tat-tipi ta' ħajja invertebrata?</v>
      </c>
    </row>
    <row r="18414" ht="15.75" customHeight="1">
      <c r="A18414" s="2" t="s">
        <v>18414</v>
      </c>
      <c r="B18414" s="2" t="str">
        <f>IFERROR(__xludf.DUMMYFUNCTION("GOOGLETRANSLATE(A18414, ""en"", ""mt"")"),"X'inhu mod wieħed kif tuża diskors pur biex tilħaq kemm jista 'jkun nies biex jipprotestaw?")</f>
        <v>X'inhu mod wieħed kif tuża diskors pur biex tilħaq kemm jista 'jkun nies biex jipprotestaw?</v>
      </c>
    </row>
    <row r="18415" ht="15.75" customHeight="1">
      <c r="A18415" s="2" t="s">
        <v>18415</v>
      </c>
      <c r="B18415" s="2" t="str">
        <f>IFERROR(__xludf.DUMMYFUNCTION("GOOGLETRANSLATE(A18415, ""en"", ""mt"")"),"X'inhuma r-responsabbiltajiet ġodda li issa qed jittrattaw it-tekniċi tal-ispiżerija?")</f>
        <v>X'inhuma r-responsabbiltajiet ġodda li issa qed jittrattaw it-tekniċi tal-ispiżerija?</v>
      </c>
    </row>
    <row r="18416" ht="15.75" customHeight="1">
      <c r="A18416" s="2" t="s">
        <v>18416</v>
      </c>
      <c r="B18416" s="2" t="str">
        <f>IFERROR(__xludf.DUMMYFUNCTION("GOOGLETRANSLATE(A18416, ""en"", ""mt"")"),"Kemm jista 'jdum kelliem jindirizza lill-membri matul il-ħin tar-riflessjoni?")</f>
        <v>Kemm jista 'jdum kelliem jindirizza lill-membri matul il-ħin tar-riflessjoni?</v>
      </c>
    </row>
    <row r="18417" ht="15.75" customHeight="1">
      <c r="A18417" s="2" t="s">
        <v>18417</v>
      </c>
      <c r="B18417" s="2" t="str">
        <f>IFERROR(__xludf.DUMMYFUNCTION("GOOGLETRANSLATE(A18417, ""en"", ""mt"")"),"Tribujiet fil-porzjonijiet tal-Punent tar-reġjun tal-Lagi l-Kbar")</f>
        <v>Tribujiet fil-porzjonijiet tal-Punent tar-reġjun tal-Lagi l-Kbar</v>
      </c>
    </row>
    <row r="18418" ht="15.75" customHeight="1">
      <c r="A18418" s="2" t="s">
        <v>18418</v>
      </c>
      <c r="B18418" s="2" t="str">
        <f>IFERROR(__xludf.DUMMYFUNCTION("GOOGLETRANSLATE(A18418, ""en"", ""mt"")"),"Meta kienet l-għajnuna tal-vot biex tirratifika l-bidla fil-Kostituzzjoni?")</f>
        <v>Meta kienet l-għajnuna tal-vot biex tirratifika l-bidla fil-Kostituzzjoni?</v>
      </c>
    </row>
    <row r="18419" ht="15.75" customHeight="1">
      <c r="A18419" s="2" t="s">
        <v>18419</v>
      </c>
      <c r="B18419" s="2" t="str">
        <f>IFERROR(__xludf.DUMMYFUNCTION("GOOGLETRANSLATE(A18419, ""en"", ""mt"")"),"Pjanċi taċ-ċomb midfuna")</f>
        <v>Pjanċi taċ-ċomb midfuna</v>
      </c>
    </row>
    <row r="18420" ht="15.75" customHeight="1">
      <c r="A18420" s="2" t="s">
        <v>18420</v>
      </c>
      <c r="B18420" s="2" t="str">
        <f>IFERROR(__xludf.DUMMYFUNCTION("GOOGLETRANSLATE(A18420, ""en"", ""mt"")"),"Aspetti Alġebriċi")</f>
        <v>Aspetti Alġebriċi</v>
      </c>
    </row>
    <row r="18421" ht="15.75" customHeight="1">
      <c r="A18421" s="2" t="s">
        <v>18421</v>
      </c>
      <c r="B18421" s="2" t="str">
        <f>IFERROR(__xludf.DUMMYFUNCTION("GOOGLETRANSLATE(A18421, ""en"", ""mt"")"),"Min huma l-amministraturi ewlenin tal-knisja?")</f>
        <v>Min huma l-amministraturi ewlenin tal-knisja?</v>
      </c>
    </row>
    <row r="18422" ht="15.75" customHeight="1">
      <c r="A18422" s="2" t="s">
        <v>18422</v>
      </c>
      <c r="B18422" s="2" t="str">
        <f>IFERROR(__xludf.DUMMYFUNCTION("GOOGLETRANSLATE(A18422, ""en"", ""mt"")"),"saqaf")</f>
        <v>saqaf</v>
      </c>
    </row>
    <row r="18423" ht="15.75" customHeight="1">
      <c r="A18423" s="2" t="s">
        <v>18423</v>
      </c>
      <c r="B18423" s="2" t="str">
        <f>IFERROR(__xludf.DUMMYFUNCTION("GOOGLETRANSLATE(A18423, ""en"", ""mt"")"),"L-IPCC jirċievi fondi permezz tal-Fond Fiduċjarju tal-IPCC, stabbilit fl-1989 mill-Programm tal-Ambjent tan-Nazzjonijiet Uniti (UNEP) u l-Organizzazzjoni Meteoroloġika Dinjija (WMO), l-ispejjeż tas-Segretarju u tad-Djar tas-Segretarjat huma pprovduti mill"&amp;"-WMO, filwaqt li l-UNEP tissodisfa Spiża tas-Segretarju tad-Deputat. Il-kontribuzzjonijiet annwali tal-flus kontanti għall-fond fiduċjarju huma magħmula mill-WMO, mill-UNEP, u mill-membri tal-IPCC; L-iskala tal-pagamenti hija ddeterminata mill-bord tal-IP"&amp;"CC, li huwa wkoll responsabbli biex jikkunsidra u jadotta b'kunsens tal-baġit annwali. L-organizzazzjoni hija meħtieġa tikkonforma mar-regolamenti finanzjarji u r-regoli tal-WMO.")</f>
        <v>L-IPCC jirċievi fondi permezz tal-Fond Fiduċjarju tal-IPCC, stabbilit fl-1989 mill-Programm tal-Ambjent tan-Nazzjonijiet Uniti (UNEP) u l-Organizzazzjoni Meteoroloġika Dinjija (WMO), l-ispejjeż tas-Segretarju u tad-Djar tas-Segretarjat huma pprovduti mill-WMO, filwaqt li l-UNEP tissodisfa Spiża tas-Segretarju tad-Deputat. Il-kontribuzzjonijiet annwali tal-flus kontanti għall-fond fiduċjarju huma magħmula mill-WMO, mill-UNEP, u mill-membri tal-IPCC; L-iskala tal-pagamenti hija ddeterminata mill-bord tal-IPCC, li huwa wkoll responsabbli biex jikkunsidra u jadotta b'kunsens tal-baġit annwali. L-organizzazzjoni hija meħtieġa tikkonforma mar-regolamenti finanzjarji u r-regoli tal-WMO.</v>
      </c>
    </row>
    <row r="18424" ht="15.75" customHeight="1">
      <c r="A18424" s="2" t="s">
        <v>18424</v>
      </c>
      <c r="B18424" s="2" t="str">
        <f>IFERROR(__xludf.DUMMYFUNCTION("GOOGLETRANSLATE(A18424, ""en"", ""mt"")"),"devjazzjoni")</f>
        <v>devjazzjoni</v>
      </c>
    </row>
    <row r="18425" ht="15.75" customHeight="1">
      <c r="A18425" s="2" t="s">
        <v>18425</v>
      </c>
      <c r="B18425" s="2" t="str">
        <f>IFERROR(__xludf.DUMMYFUNCTION("GOOGLETRANSLATE(A18425, ""en"", ""mt"")"),"għadam")</f>
        <v>għadam</v>
      </c>
    </row>
    <row r="18426" ht="15.75" customHeight="1">
      <c r="A18426" s="2" t="s">
        <v>18426</v>
      </c>
      <c r="B18426" s="2" t="str">
        <f>IFERROR(__xludf.DUMMYFUNCTION("GOOGLETRANSLATE(A18426, ""en"", ""mt"")"),"Il-Ġeneratur tal-Van de Graaff")</f>
        <v>Il-Ġeneratur tal-Van de Graaff</v>
      </c>
    </row>
    <row r="18427" ht="15.75" customHeight="1">
      <c r="A18427" s="2" t="s">
        <v>18427</v>
      </c>
      <c r="B18427" s="2" t="str">
        <f>IFERROR(__xludf.DUMMYFUNCTION("GOOGLETRANSLATE(A18427, ""en"", ""mt"")"),"trasmissjoni turbo-elettrika,")</f>
        <v>trasmissjoni turbo-elettrika,</v>
      </c>
    </row>
    <row r="18428" ht="15.75" customHeight="1">
      <c r="A18428" s="2" t="s">
        <v>18428</v>
      </c>
      <c r="B18428" s="2" t="str">
        <f>IFERROR(__xludf.DUMMYFUNCTION("GOOGLETRANSLATE(A18428, ""en"", ""mt"")"),"Liema politika kien fih ir-rapport ta 'Kelven?")</f>
        <v>Liema politika kien fih ir-rapport ta 'Kelven?</v>
      </c>
    </row>
    <row r="18429" ht="15.75" customHeight="1">
      <c r="A18429" s="2" t="s">
        <v>18429</v>
      </c>
      <c r="B18429" s="2" t="str">
        <f>IFERROR(__xludf.DUMMYFUNCTION("GOOGLETRANSLATE(A18429, ""en"", ""mt"")"),"soċjetajiet")</f>
        <v>soċjetajiet</v>
      </c>
    </row>
    <row r="18430" ht="15.75" customHeight="1">
      <c r="A18430" s="2" t="s">
        <v>18430</v>
      </c>
      <c r="B18430" s="2" t="str">
        <f>IFERROR(__xludf.DUMMYFUNCTION("GOOGLETRANSLATE(A18430, ""en"", ""mt"")"),"X'inhi l-atmosfera fi skola li tuża awtorità bbażata popolarment?")</f>
        <v>X'inhi l-atmosfera fi skola li tuża awtorità bbażata popolarment?</v>
      </c>
    </row>
    <row r="18431" ht="15.75" customHeight="1">
      <c r="A18431" s="2" t="s">
        <v>18431</v>
      </c>
      <c r="B18431" s="2" t="str">
        <f>IFERROR(__xludf.DUMMYFUNCTION("GOOGLETRANSLATE(A18431, ""en"", ""mt"")"),"Dak li ġie żviluppat għall-Air Force")</f>
        <v>Dak li ġie żviluppat għall-Air Force</v>
      </c>
    </row>
    <row r="18432" ht="15.75" customHeight="1">
      <c r="A18432" s="2" t="s">
        <v>18432</v>
      </c>
      <c r="B18432" s="2" t="str">
        <f>IFERROR(__xludf.DUMMYFUNCTION("GOOGLETRANSLATE(A18432, ""en"", ""mt"")"),"imċaħħad milli jaqla 'daqs kemm kienu mod ieħor")</f>
        <v>imċaħħad milli jaqla 'daqs kemm kienu mod ieħor</v>
      </c>
    </row>
    <row r="18433" ht="15.75" customHeight="1">
      <c r="A18433" s="2" t="s">
        <v>18433</v>
      </c>
      <c r="B18433" s="2" t="str">
        <f>IFERROR(__xludf.DUMMYFUNCTION("GOOGLETRANSLATE(A18433, ""en"", ""mt"")"),"Fit-tarf oppost minn ħalq")</f>
        <v>Fit-tarf oppost minn ħalq</v>
      </c>
    </row>
    <row r="18434" ht="15.75" customHeight="1">
      <c r="A18434" s="2" t="s">
        <v>18434</v>
      </c>
      <c r="B18434" s="2" t="str">
        <f>IFERROR(__xludf.DUMMYFUNCTION("GOOGLETRANSLATE(A18434, ""en"", ""mt"")"),"Il-kollezzjoni tal-fidda u tad-deheb tal-V &amp; A hija maqsuma f'liema kategoriji?")</f>
        <v>Il-kollezzjoni tal-fidda u tad-deheb tal-V &amp; A hija maqsuma f'liema kategoriji?</v>
      </c>
    </row>
    <row r="18435" ht="15.75" customHeight="1">
      <c r="A18435" s="2" t="s">
        <v>18435</v>
      </c>
      <c r="B18435" s="2" t="str">
        <f>IFERROR(__xludf.DUMMYFUNCTION("GOOGLETRANSLATE(A18435, ""en"", ""mt"")"),"Għal liema patoġen dan jikkawża l-gangrena tal-gass huwa velenuż ossiġenu?")</f>
        <v>Għal liema patoġen dan jikkawża l-gangrena tal-gass huwa velenuż ossiġenu?</v>
      </c>
    </row>
    <row r="18436" ht="15.75" customHeight="1">
      <c r="A18436" s="2" t="s">
        <v>18436</v>
      </c>
      <c r="B18436" s="2" t="str">
        <f>IFERROR(__xludf.DUMMYFUNCTION("GOOGLETRANSLATE(A18436, ""en"", ""mt"")"),"estinzjoni tad-dinosawri u l-klima aktar mxarrba")</f>
        <v>estinzjoni tad-dinosawri u l-klima aktar mxarrba</v>
      </c>
    </row>
    <row r="18437" ht="15.75" customHeight="1">
      <c r="A18437" s="2" t="s">
        <v>18437</v>
      </c>
      <c r="B18437" s="2" t="str">
        <f>IFERROR(__xludf.DUMMYFUNCTION("GOOGLETRANSLATE(A18437, ""en"", ""mt"")"),"It-terminu imperjalizmu ġie applikat għall-pajjiżi tal-Punent, u liema kontea tal-Lvant?")</f>
        <v>It-terminu imperjalizmu ġie applikat għall-pajjiżi tal-Punent, u liema kontea tal-Lvant?</v>
      </c>
    </row>
    <row r="18438" ht="15.75" customHeight="1">
      <c r="A18438" s="2" t="s">
        <v>18438</v>
      </c>
      <c r="B18438" s="2" t="str">
        <f>IFERROR(__xludf.DUMMYFUNCTION("GOOGLETRANSLATE(A18438, ""en"", ""mt"")"),"Appoġġ politiku")</f>
        <v>Appoġġ politiku</v>
      </c>
    </row>
    <row r="18439" ht="15.75" customHeight="1">
      <c r="A18439" s="2" t="s">
        <v>18439</v>
      </c>
      <c r="B18439" s="2" t="str">
        <f>IFERROR(__xludf.DUMMYFUNCTION("GOOGLETRANSLATE(A18439, ""en"", ""mt"")"),"X'jistgħu jkunu l-forzi ortogonali meta jkun hemm tliet komponenti b'żewġ angoli retti ma 'xulxin?")</f>
        <v>X'jistgħu jkunu l-forzi ortogonali meta jkun hemm tliet komponenti b'żewġ angoli retti ma 'xulxin?</v>
      </c>
    </row>
    <row r="18440" ht="15.75" customHeight="1">
      <c r="A18440" s="2" t="s">
        <v>18440</v>
      </c>
      <c r="B18440" s="2" t="str">
        <f>IFERROR(__xludf.DUMMYFUNCTION("GOOGLETRANSLATE(A18440, ""en"", ""mt"")"),"Tesla kif kienet taf li kien qed jintlaqat mill-partikula?")</f>
        <v>Tesla kif kienet taf li kien qed jintlaqat mill-partikula?</v>
      </c>
    </row>
    <row r="18441" ht="15.75" customHeight="1">
      <c r="A18441" s="2" t="s">
        <v>18441</v>
      </c>
      <c r="B18441" s="2" t="str">
        <f>IFERROR(__xludf.DUMMYFUNCTION("GOOGLETRANSLATE(A18441, ""en"", ""mt"")"),"L-evidenza tindika li ċ-ċidippidi mhumiex xiex?")</f>
        <v>L-evidenza tindika li ċ-ċidippidi mhumiex xiex?</v>
      </c>
    </row>
    <row r="18442" ht="15.75" customHeight="1">
      <c r="A18442" s="2" t="s">
        <v>18442</v>
      </c>
      <c r="B18442" s="2" t="str">
        <f>IFERROR(__xludf.DUMMYFUNCTION("GOOGLETRANSLATE(A18442, ""en"", ""mt"")"),"Taħt l-Att dwar l-Iskozja 1998, l-elezzjonijiet ġenerali ordinarji għall-Parlament Skoċċiż isiru fl-ewwel Ħamis f'Mejju kull erba 'snin (1999, 2003, 2007 u l-bqija). Id-data tal-votazzjoni tista 'tkun varjata sa xahar bl-ebda mod mill-monarka fuq il-propo"&amp;"sta tal-uffiċjal li jippresiedi. Jekk il-Parlament innifsu jsolvi li għandu jinħall (b'mill-inqas żewġ terzi tal-membri jivvutaw favur), jew jekk il-Parlament jonqos milli jinnomina lil wieħed mill-membri tiegħu biex ikun l-ewwel ministru fi żmien 28 jum "&amp;"minn elezzjoni ġenerali jew ta ' Pożizzjoni li ssir battala, l-uffiċjal li jippresiedi jipproponi data għal elezzjoni ġenerali straordinarja u l-Parlament jinħall mir-Reġina permezz ta 'Proklamazzjoni Rjali. L-elezzjonijiet ġenerali straordinarji huma fli"&amp;"mkien ma 'elezzjonijiet ġenerali ordinarji, sakemm ma jinżammux inqas minn sitt xhur qabel id-data ta' elezzjoni ġenerali ordinarja, f'liema każ huma jissuppillawha. L-elezzjoni ordinarja li ġejja terġa 'lura għall-ewwel Ħamis ta' Mejju, multiplu ta 'erba"&amp;"' snin wara l-1999 (i.e., 5 ta 'Mejju 2011, 7 ta' Mejju 2015, eċċ.).")</f>
        <v>Taħt l-Att dwar l-Iskozja 1998, l-elezzjonijiet ġenerali ordinarji għall-Parlament Skoċċiż isiru fl-ewwel Ħamis f'Mejju kull erba 'snin (1999, 2003, 2007 u l-bqija). Id-data tal-votazzjoni tista 'tkun varjata sa xahar bl-ebda mod mill-monarka fuq il-proposta tal-uffiċjal li jippresiedi. Jekk il-Parlament innifsu jsolvi li għandu jinħall (b'mill-inqas żewġ terzi tal-membri jivvutaw favur), jew jekk il-Parlament jonqos milli jinnomina lil wieħed mill-membri tiegħu biex ikun l-ewwel ministru fi żmien 28 jum minn elezzjoni ġenerali jew ta ' Pożizzjoni li ssir battala, l-uffiċjal li jippresiedi jipproponi data għal elezzjoni ġenerali straordinarja u l-Parlament jinħall mir-Reġina permezz ta 'Proklamazzjoni Rjali. L-elezzjonijiet ġenerali straordinarji huma flimkien ma 'elezzjonijiet ġenerali ordinarji, sakemm ma jinżammux inqas minn sitt xhur qabel id-data ta' elezzjoni ġenerali ordinarja, f'liema każ huma jissuppillawha. L-elezzjoni ordinarja li ġejja terġa 'lura għall-ewwel Ħamis ta' Mejju, multiplu ta 'erba' snin wara l-1999 (i.e., 5 ta 'Mejju 2011, 7 ta' Mejju 2015, eċċ.).</v>
      </c>
    </row>
    <row r="18443" ht="15.75" customHeight="1">
      <c r="A18443" s="2" t="s">
        <v>18443</v>
      </c>
      <c r="B18443" s="2" t="str">
        <f>IFERROR(__xludf.DUMMYFUNCTION("GOOGLETRANSLATE(A18443, ""en"", ""mt"")"),"Tnaqqis tal-Karp u Tnaqqis tal-Levin")</f>
        <v>Tnaqqis tal-Karp u Tnaqqis tal-Levin</v>
      </c>
    </row>
    <row r="18444" ht="15.75" customHeight="1">
      <c r="A18444" s="2" t="s">
        <v>18444</v>
      </c>
      <c r="B18444" s="2" t="str">
        <f>IFERROR(__xludf.DUMMYFUNCTION("GOOGLETRANSLATE(A18444, ""en"", ""mt"")"),"kondensatur")</f>
        <v>kondensatur</v>
      </c>
    </row>
    <row r="18445" ht="15.75" customHeight="1">
      <c r="A18445" s="2" t="s">
        <v>18445</v>
      </c>
      <c r="B18445" s="2" t="str">
        <f>IFERROR(__xludf.DUMMYFUNCTION("GOOGLETRANSLATE(A18445, ""en"", ""mt"")"),"X’wassal li d-dinamos jinħaraq?")</f>
        <v>X’wassal li d-dinamos jinħaraq?</v>
      </c>
    </row>
    <row r="18446" ht="15.75" customHeight="1">
      <c r="A18446" s="2" t="s">
        <v>18446</v>
      </c>
      <c r="B18446" s="2" t="str">
        <f>IFERROR(__xludf.DUMMYFUNCTION("GOOGLETRANSLATE(A18446, ""en"", ""mt"")"),"Kif ikkonċentrat il-joni tal-idroġenu jidħlu fl-ispazju tat-tilakoid?")</f>
        <v>Kif ikkonċentrat il-joni tal-idroġenu jidħlu fl-ispazju tat-tilakoid?</v>
      </c>
    </row>
    <row r="18447" ht="15.75" customHeight="1">
      <c r="A18447" s="2" t="s">
        <v>18447</v>
      </c>
      <c r="B18447" s="2" t="str">
        <f>IFERROR(__xludf.DUMMYFUNCTION("GOOGLETRANSLATE(A18447, ""en"", ""mt"")"),"Artijiet ikkontrollati Khwarezmian u Xia")</f>
        <v>Artijiet ikkontrollati Khwarezmian u Xia</v>
      </c>
    </row>
    <row r="18448" ht="15.75" customHeight="1">
      <c r="A18448" s="2" t="s">
        <v>18448</v>
      </c>
      <c r="B18448" s="2" t="str">
        <f>IFERROR(__xludf.DUMMYFUNCTION("GOOGLETRANSLATE(A18448, ""en"", ""mt"")"),"Assemblea Ġenerali tal-Estates tal-Imperu Ruman Qaddis")</f>
        <v>Assemblea Ġenerali tal-Estates tal-Imperu Ruman Qaddis</v>
      </c>
    </row>
    <row r="18449" ht="15.75" customHeight="1">
      <c r="A18449" s="2" t="s">
        <v>18449</v>
      </c>
      <c r="B18449" s="2" t="str">
        <f>IFERROR(__xludf.DUMMYFUNCTION("GOOGLETRANSLATE(A18449, ""en"", ""mt"")"),"Żamma tal-paċi")</f>
        <v>Żamma tal-paċi</v>
      </c>
    </row>
    <row r="18450" ht="15.75" customHeight="1">
      <c r="A18450" s="2" t="s">
        <v>18450</v>
      </c>
      <c r="B18450" s="2" t="str">
        <f>IFERROR(__xludf.DUMMYFUNCTION("GOOGLETRANSLATE(A18450, ""en"", ""mt"")"),"Kemm jaħdmu l-deni tal-pesta?")</f>
        <v>Kemm jaħdmu l-deni tal-pesta?</v>
      </c>
    </row>
    <row r="18451" ht="15.75" customHeight="1">
      <c r="A18451" s="2" t="s">
        <v>18451</v>
      </c>
      <c r="B18451" s="2" t="str">
        <f>IFERROR(__xludf.DUMMYFUNCTION("GOOGLETRANSLATE(A18451, ""en"", ""mt"")"),"bajjiet")</f>
        <v>bajjiet</v>
      </c>
    </row>
    <row r="18452" ht="15.75" customHeight="1">
      <c r="A18452" s="2" t="s">
        <v>18452</v>
      </c>
      <c r="B18452" s="2" t="str">
        <f>IFERROR(__xludf.DUMMYFUNCTION("GOOGLETRANSLATE(A18452, ""en"", ""mt"")"),"Uffiċċju tal-Prinċipal.")</f>
        <v>Uffiċċju tal-Prinċipal.</v>
      </c>
    </row>
    <row r="18453" ht="15.75" customHeight="1">
      <c r="A18453" s="2" t="s">
        <v>18453</v>
      </c>
      <c r="B18453" s="2" t="str">
        <f>IFERROR(__xludf.DUMMYFUNCTION("GOOGLETRANSLATE(A18453, ""en"", ""mt"")"),"Xorta rnexxielha tiffjorixxi")</f>
        <v>Xorta rnexxielha tiffjorixxi</v>
      </c>
    </row>
    <row r="18454" ht="15.75" customHeight="1">
      <c r="A18454" s="2" t="s">
        <v>18454</v>
      </c>
      <c r="B18454" s="2" t="str">
        <f>IFERROR(__xludf.DUMMYFUNCTION("GOOGLETRANSLATE(A18454, ""en"", ""mt"")"),"lura lejn New York")</f>
        <v>lura lejn New York</v>
      </c>
    </row>
    <row r="18455" ht="15.75" customHeight="1">
      <c r="A18455" s="2" t="s">
        <v>18455</v>
      </c>
      <c r="B18455" s="2" t="str">
        <f>IFERROR(__xludf.DUMMYFUNCTION("GOOGLETRANSLATE(A18455, ""en"", ""mt"")"),"Kif huwa deskritt it-temp tax-xitwa f'Jacksonville?")</f>
        <v>Kif huwa deskritt it-temp tax-xitwa f'Jacksonville?</v>
      </c>
    </row>
    <row r="18456" ht="15.75" customHeight="1">
      <c r="A18456" s="2" t="s">
        <v>18456</v>
      </c>
      <c r="B18456" s="2" t="str">
        <f>IFERROR(__xludf.DUMMYFUNCTION("GOOGLETRANSLATE(A18456, ""en"", ""mt"")"),"X'jagħmlu l-kloroplasti bħall-mitokondrija?")</f>
        <v>X'jagħmlu l-kloroplasti bħall-mitokondrija?</v>
      </c>
    </row>
    <row r="18457" ht="15.75" customHeight="1">
      <c r="A18457" s="2" t="s">
        <v>18457</v>
      </c>
      <c r="B18457" s="2" t="str">
        <f>IFERROR(__xludf.DUMMYFUNCTION("GOOGLETRANSLATE(A18457, ""en"", ""mt"")"),"Meta jista 'V &amp; A Dundee?")</f>
        <v>Meta jista 'V &amp; A Dundee?</v>
      </c>
    </row>
    <row r="18458" ht="15.75" customHeight="1">
      <c r="A18458" s="2" t="s">
        <v>18458</v>
      </c>
      <c r="B18458" s="2" t="str">
        <f>IFERROR(__xludf.DUMMYFUNCTION("GOOGLETRANSLATE(A18458, ""en"", ""mt"")"),"baxx")</f>
        <v>baxx</v>
      </c>
    </row>
    <row r="18459" ht="15.75" customHeight="1">
      <c r="A18459" s="2" t="s">
        <v>18459</v>
      </c>
      <c r="B18459" s="2" t="str">
        <f>IFERROR(__xludf.DUMMYFUNCTION("GOOGLETRANSLATE(A18459, ""en"", ""mt"")"),"Għal xiex xi pjanti reġgħu reġgħu bdew il-ġeni tas-saff tal-peptidoglycan?")</f>
        <v>Għal xiex xi pjanti reġgħu reġgħu bdew il-ġeni tas-saff tal-peptidoglycan?</v>
      </c>
    </row>
    <row r="18460" ht="15.75" customHeight="1">
      <c r="A18460" s="2" t="s">
        <v>18460</v>
      </c>
      <c r="B18460" s="2" t="str">
        <f>IFERROR(__xludf.DUMMYFUNCTION("GOOGLETRANSLATE(A18460, ""en"", ""mt"")"),"Liema pajjiż bħalissa għandu grupp li jsejħu lilhom infushom Huguenots?")</f>
        <v>Liema pajjiż bħalissa għandu grupp li jsejħu lilhom infushom Huguenots?</v>
      </c>
    </row>
    <row r="18461" ht="15.75" customHeight="1">
      <c r="A18461" s="2" t="s">
        <v>18461</v>
      </c>
      <c r="B18461" s="2" t="str">
        <f>IFERROR(__xludf.DUMMYFUNCTION("GOOGLETRANSLATE(A18461, ""en"", ""mt"")"),"ċertu numru ta 'salarji tal-għalliema jitħallsu mill-istat")</f>
        <v>ċertu numru ta 'salarji tal-għalliema jitħallsu mill-istat</v>
      </c>
    </row>
    <row r="18462" ht="15.75" customHeight="1">
      <c r="A18462" s="2" t="s">
        <v>18462</v>
      </c>
      <c r="B18462" s="2" t="str">
        <f>IFERROR(__xludf.DUMMYFUNCTION("GOOGLETRANSLATE(A18462, ""en"", ""mt"")"),"8-15")</f>
        <v>8-15</v>
      </c>
    </row>
    <row r="18463" ht="15.75" customHeight="1">
      <c r="A18463" s="2" t="s">
        <v>18463</v>
      </c>
      <c r="B18463" s="2" t="str">
        <f>IFERROR(__xludf.DUMMYFUNCTION("GOOGLETRANSLATE(A18463, ""en"", ""mt"")"),"X'inhi l-missjoni primarja tad-Daleks?")</f>
        <v>X'inhi l-missjoni primarja tad-Daleks?</v>
      </c>
    </row>
    <row r="18464" ht="15.75" customHeight="1">
      <c r="A18464" s="2" t="s">
        <v>18464</v>
      </c>
      <c r="B18464" s="2" t="str">
        <f>IFERROR(__xludf.DUMMYFUNCTION("GOOGLETRANSLATE(A18464, ""en"", ""mt"")"),"nofs miljun")</f>
        <v>nofs miljun</v>
      </c>
    </row>
    <row r="18465" ht="15.75" customHeight="1">
      <c r="A18465" s="2" t="s">
        <v>18465</v>
      </c>
      <c r="B18465" s="2" t="str">
        <f>IFERROR(__xludf.DUMMYFUNCTION("GOOGLETRANSLATE(A18465, ""en"", ""mt"")"),"X'tip ta 'professjonist huwa meqjus bħala tekniku tal-ispiżerija?")</f>
        <v>X'tip ta 'professjonist huwa meqjus bħala tekniku tal-ispiżerija?</v>
      </c>
    </row>
    <row r="18466" ht="15.75" customHeight="1">
      <c r="A18466" s="2" t="s">
        <v>18466</v>
      </c>
      <c r="B18466" s="2" t="str">
        <f>IFERROR(__xludf.DUMMYFUNCTION("GOOGLETRANSLATE(A18466, ""en"", ""mt"")"),"poter politiku")</f>
        <v>poter politiku</v>
      </c>
    </row>
    <row r="18467" ht="15.75" customHeight="1">
      <c r="A18467" s="2" t="s">
        <v>18467</v>
      </c>
      <c r="B18467" s="2" t="str">
        <f>IFERROR(__xludf.DUMMYFUNCTION("GOOGLETRANSLATE(A18467, ""en"", ""mt"")"),"X'kienet iddisinjata mill-ġdid biex tippermetti manuvrabbiltà aħjar fl-LRV?")</f>
        <v>X'kienet iddisinjata mill-ġdid biex tippermetti manuvrabbiltà aħjar fl-LRV?</v>
      </c>
    </row>
    <row r="18468" ht="15.75" customHeight="1">
      <c r="A18468" s="2" t="s">
        <v>18468</v>
      </c>
      <c r="B18468" s="2" t="str">
        <f>IFERROR(__xludf.DUMMYFUNCTION("GOOGLETRANSLATE(A18468, ""en"", ""mt"")"),"Modulu Lunar pilota")</f>
        <v>Modulu Lunar pilota</v>
      </c>
    </row>
    <row r="18469" ht="15.75" customHeight="1">
      <c r="A18469" s="2" t="s">
        <v>18469</v>
      </c>
      <c r="B18469" s="2" t="str">
        <f>IFERROR(__xludf.DUMMYFUNCTION("GOOGLETRANSLATE(A18469, ""en"", ""mt"")"),"Fl-istess ħin il-Mongoli importaw lill-Musulmani tal-Asja Ċentrali biex iservu bħala amministraturi fiċ-Ċina, il-Mongoli bagħtu wkoll lil Han Ċiniżi u Khitans miċ-Ċina biex iservu bħala amministraturi fuq il-popolazzjoni Musulmana f'Bukhara fl-Asja Ċentra"&amp;"li, billi jużaw barranin biex inaqqsu l-poter tal-lokal popli taż-żewġ artijiet. Iċ-Ċiniżi Han ġew imċaqalqa lejn żoni tal-Asja Ċentrali bħal Besh Baliq, AlmalIQ, u Samarqand mill-Mongoli fejn ħadmu bħala artiġjani u bdiewa. Alans ġew ingaġġati fil-forzi "&amp;"tal-Mongolja b'unità waħda msejħa ""Guard Alan Dritt"" li kienet ikkombinata ma 'suldati ""reċentement ċeduti"", Mongoli, u suldati Ċiniżi stazzjonati fl-inħawi ta' l-eks renju ta 'Qocho u f'Besh Balikh il-Mongoli stabbilixxew Ċiniż Kolonja militari mmexx"&amp;"ija mill-Ġeneral Ċiniż Qi Kongzhi (Ch'i Kung-Chih). Wara l-konkwista tal-Mongolja tal-Asja Ċentrali minn Genghis Khan, il-barranin ġew magħżula bħala amministraturi u ko-ġestjoni ma 'Ċiniżi u Qara-Khitays (Khitans) ta' ġonna u għelieqi f'Samarqand tqiegħd"&amp;"u fuq il-Musulmani bħala rekwiżit peress li l-Musulmani ma tħallewx jimmaniġġjaw mingħajrhom. Il-Gvernatur maħtur tal-Mongoljan ta ’Samarqand kien Qara-Khitay (Khitan), kellu t-titlu taishi, familjari mal-kultura Ċiniża li ismu kien Ahai")</f>
        <v>Fl-istess ħin il-Mongoli importaw lill-Musulmani tal-Asja Ċentrali biex iservu bħala amministraturi fiċ-Ċina, il-Mongoli bagħtu wkoll lil Han Ċiniżi u Khitans miċ-Ċina biex iservu bħala amministraturi fuq il-popolazzjoni Musulmana f'Bukhara fl-Asja Ċentrali, billi jużaw barranin biex inaqqsu l-poter tal-lokal popli taż-żewġ artijiet. Iċ-Ċiniżi Han ġew imċaqalqa lejn żoni tal-Asja Ċentrali bħal Besh Baliq, AlmalIQ, u Samarqand mill-Mongoli fejn ħadmu bħala artiġjani u bdiewa. Alans ġew ingaġġati fil-forzi tal-Mongolja b'unità waħda msejħa "Guard Alan Dritt" li kienet ikkombinata ma 'suldati "reċentement ċeduti", Mongoli, u suldati Ċiniżi stazzjonati fl-inħawi ta' l-eks renju ta 'Qocho u f'Besh Balikh il-Mongoli stabbilixxew Ċiniż Kolonja militari mmexxija mill-Ġeneral Ċiniż Qi Kongzhi (Ch'i Kung-Chih). Wara l-konkwista tal-Mongolja tal-Asja Ċentrali minn Genghis Khan, il-barranin ġew magħżula bħala amministraturi u ko-ġestjoni ma 'Ċiniżi u Qara-Khitays (Khitans) ta' ġonna u għelieqi f'Samarqand tqiegħdu fuq il-Musulmani bħala rekwiżit peress li l-Musulmani ma tħallewx jimmaniġġjaw mingħajrhom. Il-Gvernatur maħtur tal-Mongoljan ta ’Samarqand kien Qara-Khitay (Khitan), kellu t-titlu taishi, familjari mal-kultura Ċiniża li ismu kien Ahai</v>
      </c>
    </row>
    <row r="18470" ht="15.75" customHeight="1">
      <c r="A18470" s="2" t="s">
        <v>18470</v>
      </c>
      <c r="B18470" s="2" t="str">
        <f>IFERROR(__xludf.DUMMYFUNCTION("GOOGLETRANSLATE(A18470, ""en"", ""mt"")"),"Att tal-Kolonja tar-Rabat 1855")</f>
        <v>Att tal-Kolonja tar-Rabat 1855</v>
      </c>
    </row>
    <row r="18471" ht="15.75" customHeight="1">
      <c r="A18471" s="2" t="s">
        <v>18471</v>
      </c>
      <c r="B18471" s="2" t="str">
        <f>IFERROR(__xludf.DUMMYFUNCTION("GOOGLETRANSLATE(A18471, ""en"", ""mt"")"),"triq bejn żewġ avvenimenti spazjali-ħin")</f>
        <v>triq bejn żewġ avvenimenti spazjali-ħin</v>
      </c>
    </row>
    <row r="18472" ht="15.75" customHeight="1">
      <c r="A18472" s="2" t="s">
        <v>18472</v>
      </c>
      <c r="B18472" s="2" t="str">
        <f>IFERROR(__xludf.DUMMYFUNCTION("GOOGLETRANSLATE(A18472, ""en"", ""mt"")"),"Peress li l-forzi huma meqjusa bħala push jew ġibdiet, dan jista 'jipprovdi fehim intuwittiv għad-deskrizzjoni tal-forzi. Bħal fil-każ ta 'kunċetti fiżiċi oħra (e.g. temperatura), il-fehim intuwittiv tal-forzi huwa kwantifikat bl-użu ta' definizzjonijiet "&amp;"operattivi preċiżi li huma konsistenti ma 'osservazzjonijiet diretti u mqabbla ma' skala ta 'kejl standard. Permezz ta 'esperimentazzjoni, huwa ddeterminat li l-kejl tal-laboratorju tal-forzi huwa kompletament konsistenti mad-definizzjoni kunċettwali ta' "&amp;"forza offruta mill-mekkanika Newtonjana.")</f>
        <v>Peress li l-forzi huma meqjusa bħala push jew ġibdiet, dan jista 'jipprovdi fehim intuwittiv għad-deskrizzjoni tal-forzi. Bħal fil-każ ta 'kunċetti fiżiċi oħra (e.g. temperatura), il-fehim intuwittiv tal-forzi huwa kwantifikat bl-użu ta' definizzjonijiet operattivi preċiżi li huma konsistenti ma 'osservazzjonijiet diretti u mqabbla ma' skala ta 'kejl standard. Permezz ta 'esperimentazzjoni, huwa ddeterminat li l-kejl tal-laboratorju tal-forzi huwa kompletament konsistenti mad-definizzjoni kunċettwali ta' forza offruta mill-mekkanika Newtonjana.</v>
      </c>
    </row>
    <row r="18473" ht="15.75" customHeight="1">
      <c r="A18473" s="2" t="s">
        <v>18473</v>
      </c>
      <c r="B18473" s="2" t="str">
        <f>IFERROR(__xludf.DUMMYFUNCTION("GOOGLETRANSLATE(A18473, ""en"", ""mt"")"),"aktar minn 10,000")</f>
        <v>aktar minn 10,000</v>
      </c>
    </row>
    <row r="18474" ht="15.75" customHeight="1">
      <c r="A18474" s="2" t="s">
        <v>18474</v>
      </c>
      <c r="B18474" s="2" t="str">
        <f>IFERROR(__xludf.DUMMYFUNCTION("GOOGLETRANSLATE(A18474, ""en"", ""mt"")"),"Użu tal-forza u l-vjolenza u r-rifjut li jissottomettu għall-arrest")</f>
        <v>Użu tal-forza u l-vjolenza u r-rifjut li jissottomettu għall-arrest</v>
      </c>
    </row>
    <row r="18475" ht="15.75" customHeight="1">
      <c r="A18475" s="2" t="s">
        <v>18475</v>
      </c>
      <c r="B18475" s="2" t="str">
        <f>IFERROR(__xludf.DUMMYFUNCTION("GOOGLETRANSLATE(A18475, ""en"", ""mt"")"),"L-ispettaklu globu")</f>
        <v>L-ispettaklu globu</v>
      </c>
    </row>
    <row r="18476" ht="15.75" customHeight="1">
      <c r="A18476" s="2" t="s">
        <v>18476</v>
      </c>
      <c r="B18476" s="2" t="str">
        <f>IFERROR(__xludf.DUMMYFUNCTION("GOOGLETRANSLATE(A18476, ""en"", ""mt"")"),"Seclude lilu nnifsu")</f>
        <v>Seclude lilu nnifsu</v>
      </c>
    </row>
    <row r="18477" ht="15.75" customHeight="1">
      <c r="A18477" s="2" t="s">
        <v>18477</v>
      </c>
      <c r="B18477" s="2" t="str">
        <f>IFERROR(__xludf.DUMMYFUNCTION("GOOGLETRANSLATE(A18477, ""en"", ""mt"")"),"Liema logo kien użat għat-tielet tabib min hu l-istaġun li għadda?")</f>
        <v>Liema logo kien użat għat-tielet tabib min hu l-istaġun li għadda?</v>
      </c>
    </row>
    <row r="18478" ht="15.75" customHeight="1">
      <c r="A18478" s="2" t="s">
        <v>18478</v>
      </c>
      <c r="B18478" s="2" t="str">
        <f>IFERROR(__xludf.DUMMYFUNCTION("GOOGLETRANSLATE(A18478, ""en"", ""mt"")"),"Fejn intbagħtet il-propjetà ta 'Tesla?")</f>
        <v>Fejn intbagħtet il-propjetà ta 'Tesla?</v>
      </c>
    </row>
    <row r="18479" ht="15.75" customHeight="1">
      <c r="A18479" s="2" t="s">
        <v>18479</v>
      </c>
      <c r="B18479" s="2" t="str">
        <f>IFERROR(__xludf.DUMMYFUNCTION("GOOGLETRANSLATE(A18479, ""en"", ""mt"")"),"dikjarazzjoni")</f>
        <v>dikjarazzjoni</v>
      </c>
    </row>
    <row r="18480" ht="15.75" customHeight="1">
      <c r="A18480" s="2" t="s">
        <v>18480</v>
      </c>
      <c r="B18480" s="2" t="str">
        <f>IFERROR(__xludf.DUMMYFUNCTION("GOOGLETRANSLATE(A18480, ""en"", ""mt"")"),"Sistemi ta 'illuminazzjoni bbażati fuq dawl tal-ark elettriku installati")</f>
        <v>Sistemi ta 'illuminazzjoni bbażati fuq dawl tal-ark elettriku installati</v>
      </c>
    </row>
    <row r="18481" ht="15.75" customHeight="1">
      <c r="A18481" s="2" t="s">
        <v>18481</v>
      </c>
      <c r="B18481" s="2" t="str">
        <f>IFERROR(__xludf.DUMMYFUNCTION("GOOGLETRANSLATE(A18481, ""en"", ""mt"")"),"stati individwali")</f>
        <v>stati individwali</v>
      </c>
    </row>
    <row r="18482" ht="15.75" customHeight="1">
      <c r="A18482" s="2" t="s">
        <v>18482</v>
      </c>
      <c r="B18482" s="2" t="str">
        <f>IFERROR(__xludf.DUMMYFUNCTION("GOOGLETRANSLATE(A18482, ""en"", ""mt"")"),"Fejn għamlet il-kampanja tal-Armata ta 'Genghis Khan ta' Jebe f'Khwarezmia?")</f>
        <v>Fejn għamlet il-kampanja tal-Armata ta 'Genghis Khan ta' Jebe f'Khwarezmia?</v>
      </c>
    </row>
    <row r="18483" ht="15.75" customHeight="1">
      <c r="A18483" s="2" t="s">
        <v>18483</v>
      </c>
      <c r="B18483" s="2" t="str">
        <f>IFERROR(__xludf.DUMMYFUNCTION("GOOGLETRANSLATE(A18483, ""en"", ""mt"")"),"kummiedji u orjentati lejn il-familja")</f>
        <v>kummiedji u orjentati lejn il-familja</v>
      </c>
    </row>
    <row r="18484" ht="15.75" customHeight="1">
      <c r="A18484" s="2" t="s">
        <v>18484</v>
      </c>
      <c r="B18484" s="2" t="str">
        <f>IFERROR(__xludf.DUMMYFUNCTION("GOOGLETRANSLATE(A18484, ""en"", ""mt"")"),"L-FBI ordna lill-kustodju tal-propjetà aljena biex jaħtaf l-affarijiet ta 'Tesla")</f>
        <v>L-FBI ordna lill-kustodju tal-propjetà aljena biex jaħtaf l-affarijiet ta 'Tesla</v>
      </c>
    </row>
    <row r="18485" ht="15.75" customHeight="1">
      <c r="A18485" s="2" t="s">
        <v>18485</v>
      </c>
      <c r="B18485" s="2" t="str">
        <f>IFERROR(__xludf.DUMMYFUNCTION("GOOGLETRANSLATE(A18485, ""en"", ""mt"")"),"X'inhu l-isem tal-fond li jiffoka fuq iż-żgħażagħ, il-komunità u l-ambjenti sostenibbli?")</f>
        <v>X'inhu l-isem tal-fond li jiffoka fuq iż-żgħażagħ, il-komunità u l-ambjenti sostenibbli?</v>
      </c>
    </row>
    <row r="18486" ht="15.75" customHeight="1">
      <c r="A18486" s="2" t="s">
        <v>18486</v>
      </c>
      <c r="B18486" s="2" t="str">
        <f>IFERROR(__xludf.DUMMYFUNCTION("GOOGLETRANSLATE(A18486, ""en"", ""mt"")"),"L-innijiet ta 'Luther ispiraw kompożituri biex jiktbu mużika. Johann Sebastian Bach inkluda diversi versi bħala korali fil-kantati tiegħu u l-korale bbażati fuqhom kompletament fuqhom, jiġifieri Kristu jibqa 'fi Todes Banden, BWV 4, kmieni kemm possibilme"&amp;"nt 1707, fit-tieni ċiklu annwali tiegħu (1724 sa 1725) ACH GOTT, VOM HIMEL Sieh Darein, BWV 2, Christ Unser Herr Zum Jordan Kam, BWV 7, Nun Komm, Der Heiden Heiland, BWV 62, Gelobet Seist Du, Jesu Christ, BWV 91, u Aus tiefer mhux Schrei Ich Zu Dir, BWV 3"&amp;"8, aktar tard Ein Feste Burg ist unser Gott, BWV 80, u fl-1735 Wär Gott Nicht Mit Uns Diese Zeit, BWV 14.")</f>
        <v>L-innijiet ta 'Luther ispiraw kompożituri biex jiktbu mużika. Johann Sebastian Bach inkluda diversi versi bħala korali fil-kantati tiegħu u l-korale bbażati fuqhom kompletament fuqhom, jiġifieri Kristu jibqa 'fi Todes Banden, BWV 4, kmieni kemm possibilment 1707, fit-tieni ċiklu annwali tiegħu (1724 sa 1725) ACH GOTT, VOM HIMEL Sieh Darein, BWV 2, Christ Unser Herr Zum Jordan Kam, BWV 7, Nun Komm, Der Heiden Heiland, BWV 62, Gelobet Seist Du, Jesu Christ, BWV 91, u Aus tiefer mhux Schrei Ich Zu Dir, BWV 38, aktar tard Ein Feste Burg ist unser Gott, BWV 80, u fl-1735 Wär Gott Nicht Mit Uns Diese Zeit, BWV 14.</v>
      </c>
    </row>
    <row r="18487" ht="15.75" customHeight="1">
      <c r="A18487" s="2" t="s">
        <v>18487</v>
      </c>
      <c r="B18487" s="2" t="str">
        <f>IFERROR(__xludf.DUMMYFUNCTION("GOOGLETRANSLATE(A18487, ""en"", ""mt"")"),"X'tip ta 'reazzjoni hija preżenti fil-ġeneratur ta' ossiġnu ta 'emerġenza ta' ajruplan?")</f>
        <v>X'tip ta 'reazzjoni hija preżenti fil-ġeneratur ta' ossiġnu ta 'emerġenza ta' ajruplan?</v>
      </c>
    </row>
    <row r="18488" ht="15.75" customHeight="1">
      <c r="A18488" s="2" t="s">
        <v>18488</v>
      </c>
      <c r="B18488" s="2" t="str">
        <f>IFERROR(__xludf.DUMMYFUNCTION("GOOGLETRANSLATE(A18488, ""en"", ""mt"")"),"Kemm ilu Ġwanni Pawlu II kien il-Papa fl-1979?")</f>
        <v>Kemm ilu Ġwanni Pawlu II kien il-Papa fl-1979?</v>
      </c>
    </row>
    <row r="18489" ht="15.75" customHeight="1">
      <c r="A18489" s="2" t="s">
        <v>18489</v>
      </c>
      <c r="B18489" s="2" t="str">
        <f>IFERROR(__xludf.DUMMYFUNCTION("GOOGLETRANSLATE(A18489, ""en"", ""mt"")"),"iż-żgħażagħ u l-anzjani")</f>
        <v>iż-żgħażagħ u l-anzjani</v>
      </c>
    </row>
    <row r="18490" ht="15.75" customHeight="1">
      <c r="A18490" s="2" t="s">
        <v>18490</v>
      </c>
      <c r="B18490" s="2" t="str">
        <f>IFERROR(__xludf.DUMMYFUNCTION("GOOGLETRANSLATE(A18490, ""en"", ""mt"")"),"F’Awwissu 1999, ABC premiered avveniment ta ’serje speċjali, li jrid ikun Millionaire, wirja tal-logħob ibbażata fuq il-programm Ingliż tal-istess titlu. Ospitat matul il-mandat ABC tagħha minn Regis Philbin, il-programm sar suċċess tal-klassifikazzjoniji"&amp;"et maġġuri matul il-ġirja inizjali tas-sajf tiegħu, li wassal lil ABC biex iġġedded il-miljunarju bħala serje regolari, li rritorna fit-18 ta 'Jannar 2000. Fil-quċċata tiegħu, il-programm imxandar daqskemm Sitt iljieli fil-ġimgħa. Mgħaġġel minn Millionair"&amp;"e, matul l-istaġun 1999-2000, ABC sar l-ewwel netwerk li miexi mit-tielet sal-ewwel post fil-klassifikazzjonijiet matul staġun televiżiv wieħed. Millionaire temmet il-ġirja tagħha fuq il-formazzjoni tal-primetime tan-netwerk wara tliet snin fl-2002, bi Bu"&amp;"ena Vista Television li reġa 'beda l-ispettaklu bħala programm sindikat (taħt l-ospitanti oriġinali ta' l-Inkarnazzjoni Meredith Vieira) f'Settembru ta 'dik is-sena.")</f>
        <v>F’Awwissu 1999, ABC premiered avveniment ta ’serje speċjali, li jrid ikun Millionaire, wirja tal-logħob ibbażata fuq il-programm Ingliż tal-istess titlu. Ospitat matul il-mandat ABC tagħha minn Regis Philbin, il-programm sar suċċess tal-klassifikazzjonijiet maġġuri matul il-ġirja inizjali tas-sajf tiegħu, li wassal lil ABC biex iġġedded il-miljunarju bħala serje regolari, li rritorna fit-18 ta 'Jannar 2000. Fil-quċċata tiegħu, il-programm imxandar daqskemm Sitt iljieli fil-ġimgħa. Mgħaġġel minn Millionaire, matul l-istaġun 1999-2000, ABC sar l-ewwel netwerk li miexi mit-tielet sal-ewwel post fil-klassifikazzjonijiet matul staġun televiżiv wieħed. Millionaire temmet il-ġirja tagħha fuq il-formazzjoni tal-primetime tan-netwerk wara tliet snin fl-2002, bi Buena Vista Television li reġa 'beda l-ispettaklu bħala programm sindikat (taħt l-ospitanti oriġinali ta' l-Inkarnazzjoni Meredith Vieira) f'Settembru ta 'dik is-sena.</v>
      </c>
    </row>
    <row r="18491" ht="15.75" customHeight="1">
      <c r="A18491" s="2" t="s">
        <v>18491</v>
      </c>
      <c r="B18491" s="2" t="str">
        <f>IFERROR(__xludf.DUMMYFUNCTION("GOOGLETRANSLATE(A18491, ""en"", ""mt"")"),"iswed")</f>
        <v>iswed</v>
      </c>
    </row>
    <row r="18492" ht="15.75" customHeight="1">
      <c r="A18492" s="2" t="s">
        <v>18492</v>
      </c>
      <c r="B18492" s="2" t="str">
        <f>IFERROR(__xludf.DUMMYFUNCTION("GOOGLETRANSLATE(A18492, ""en"", ""mt"")"),"riformi soċjali domestiċi")</f>
        <v>riformi soċjali domestiċi</v>
      </c>
    </row>
    <row r="18493" ht="15.75" customHeight="1">
      <c r="A18493" s="2" t="s">
        <v>18493</v>
      </c>
      <c r="B18493" s="2" t="str">
        <f>IFERROR(__xludf.DUMMYFUNCTION("GOOGLETRANSLATE(A18493, ""en"", ""mt"")"),"It-tort tal-Puente Hills")</f>
        <v>It-tort tal-Puente Hills</v>
      </c>
    </row>
    <row r="18494" ht="15.75" customHeight="1">
      <c r="A18494" s="2" t="s">
        <v>18494</v>
      </c>
      <c r="B18494" s="2" t="str">
        <f>IFERROR(__xludf.DUMMYFUNCTION("GOOGLETRANSLATE(A18494, ""en"", ""mt"")"),"Wara li l-Arċisqof Albrecht irreveda t-teżijiet, fejn bagħathom?")</f>
        <v>Wara li l-Arċisqof Albrecht irreveda t-teżijiet, fejn bagħathom?</v>
      </c>
    </row>
    <row r="18495" ht="15.75" customHeight="1">
      <c r="A18495" s="2" t="s">
        <v>18495</v>
      </c>
      <c r="B18495" s="2" t="str">
        <f>IFERROR(__xludf.DUMMYFUNCTION("GOOGLETRANSLATE(A18495, ""en"", ""mt"")"),"Minorenni")</f>
        <v>Minorenni</v>
      </c>
    </row>
    <row r="18496" ht="15.75" customHeight="1">
      <c r="A18496" s="2" t="s">
        <v>18496</v>
      </c>
      <c r="B18496" s="2" t="str">
        <f>IFERROR(__xludf.DUMMYFUNCTION("GOOGLETRANSLATE(A18496, ""en"", ""mt"")"),"l-istess metodoloġija tar-rotta tal-messaġġi kif żviluppata minn baran")</f>
        <v>l-istess metodoloġija tar-rotta tal-messaġġi kif żviluppata minn baran</v>
      </c>
    </row>
    <row r="18497" ht="15.75" customHeight="1">
      <c r="A18497" s="2" t="s">
        <v>18497</v>
      </c>
      <c r="B18497" s="2" t="str">
        <f>IFERROR(__xludf.DUMMYFUNCTION("GOOGLETRANSLATE(A18497, ""en"", ""mt"")"),"Lag Baikal")</f>
        <v>Lag Baikal</v>
      </c>
    </row>
    <row r="18498" ht="15.75" customHeight="1">
      <c r="A18498" s="2" t="s">
        <v>18498</v>
      </c>
      <c r="B18498" s="2" t="str">
        <f>IFERROR(__xludf.DUMMYFUNCTION("GOOGLETRANSLATE(A18498, ""en"", ""mt"")"),"Bond doppju kovalenti")</f>
        <v>Bond doppju kovalenti</v>
      </c>
    </row>
    <row r="18499" ht="15.75" customHeight="1">
      <c r="A18499" s="2" t="s">
        <v>18499</v>
      </c>
      <c r="B18499" s="2" t="str">
        <f>IFERROR(__xludf.DUMMYFUNCTION("GOOGLETRANSLATE(A18499, ""en"", ""mt"")"),"Bosta algoritmi ta 'kriptografija ta' ċavetta pubblika, bħal RSA u l-iskambju ewlieni Diffie-Hellman, huma bbażati fuq numri ewlenin kbar (per eżempju, primes ta '512-bit huma ta' spiss użati għal RSA u 1024-bit primes huma tipiċi għal Diffie - Hellman.) "&amp;"Jonqos L-RSA tiddependi fuq is-suppożizzjoni li huwa ħafna iktar faċli (i.e., aktar effiċjenti) li twettaq il-multiplikazzjoni ta 'żewġ numri (kbar) X u Y milli tikkalkula X u Y (koprime assunt) jekk il-prodott XY biss huwa magħruf. L-iskambju ta 'ċavetta"&amp;" Diffie-Hellman jiddependi fuq il-fatt li hemm algoritmi effiċjenti għall-esponenzjazzjoni modulari, filwaqt li l-operazzjoni inversa l-logaritmu diskret huwa maħsub li huwa problema iebsa.")</f>
        <v>Bosta algoritmi ta 'kriptografija ta' ċavetta pubblika, bħal RSA u l-iskambju ewlieni Diffie-Hellman, huma bbażati fuq numri ewlenin kbar (per eżempju, primes ta '512-bit huma ta' spiss użati għal RSA u 1024-bit primes huma tipiċi għal Diffie - Hellman.) Jonqos L-RSA tiddependi fuq is-suppożizzjoni li huwa ħafna iktar faċli (i.e., aktar effiċjenti) li twettaq il-multiplikazzjoni ta 'żewġ numri (kbar) X u Y milli tikkalkula X u Y (koprime assunt) jekk il-prodott XY biss huwa magħruf. L-iskambju ta 'ċavetta Diffie-Hellman jiddependi fuq il-fatt li hemm algoritmi effiċjenti għall-esponenzjazzjoni modulari, filwaqt li l-operazzjoni inversa l-logaritmu diskret huwa maħsub li huwa problema iebsa.</v>
      </c>
    </row>
    <row r="18500" ht="15.75" customHeight="1">
      <c r="A18500" s="2" t="s">
        <v>18500</v>
      </c>
      <c r="B18500" s="2" t="str">
        <f>IFERROR(__xludf.DUMMYFUNCTION("GOOGLETRANSLATE(A18500, ""en"", ""mt"")"),"Imblokka l-portijiet Franċiżi, bagħtu l-flotta tagħhom fi Frar 1755")</f>
        <v>Imblokka l-portijiet Franċiżi, bagħtu l-flotta tagħhom fi Frar 1755</v>
      </c>
    </row>
    <row r="18501" ht="15.75" customHeight="1">
      <c r="A18501" s="2" t="s">
        <v>18501</v>
      </c>
      <c r="B18501" s="2" t="str">
        <f>IFERROR(__xludf.DUMMYFUNCTION("GOOGLETRANSLATE(A18501, ""en"", ""mt"")"),"Ir-relegazzjoni għall-istatus sekondarju għall-ABC irriżultat fit-telespettatur kemm inqas mill-kompetituri tagħhom, skond Goldenson?")</f>
        <v>Ir-relegazzjoni għall-istatus sekondarju għall-ABC irriżultat fit-telespettatur kemm inqas mill-kompetituri tagħhom, skond Goldenson?</v>
      </c>
    </row>
    <row r="18502" ht="15.75" customHeight="1">
      <c r="A18502" s="2" t="s">
        <v>18502</v>
      </c>
      <c r="B18502" s="2" t="str">
        <f>IFERROR(__xludf.DUMMYFUNCTION("GOOGLETRANSLATE(A18502, ""en"", ""mt"")"),"Joskura l-fatt li l-Indjani ġġieldu fuq iż-żewġ naħat tal-kunflitt, u li dan kien parti mill-gwerra tas-seba 'snin")</f>
        <v>Joskura l-fatt li l-Indjani ġġieldu fuq iż-żewġ naħat tal-kunflitt, u li dan kien parti mill-gwerra tas-seba 'snin</v>
      </c>
    </row>
    <row r="18503" ht="15.75" customHeight="1">
      <c r="A18503" s="2" t="s">
        <v>18503</v>
      </c>
      <c r="B18503" s="2" t="str">
        <f>IFERROR(__xludf.DUMMYFUNCTION("GOOGLETRANSLATE(A18503, ""en"", ""mt"")"),"Minn fejn oriġina l-Mewt l-Iswed?")</f>
        <v>Minn fejn oriġina l-Mewt l-Iswed?</v>
      </c>
    </row>
    <row r="18504" ht="15.75" customHeight="1">
      <c r="A18504" s="2" t="s">
        <v>18504</v>
      </c>
      <c r="B18504" s="2" t="str">
        <f>IFERROR(__xludf.DUMMYFUNCTION("GOOGLETRANSLATE(A18504, ""en"", ""mt"")"),"il-muntanji")</f>
        <v>il-muntanji</v>
      </c>
    </row>
    <row r="18505" ht="15.75" customHeight="1">
      <c r="A18505" s="2" t="s">
        <v>18505</v>
      </c>
      <c r="B18505" s="2" t="str">
        <f>IFERROR(__xludf.DUMMYFUNCTION("GOOGLETRANSLATE(A18505, ""en"", ""mt"")"),"X'inhuma l-apicomplexans tip ta '?")</f>
        <v>X'inhuma l-apicomplexans tip ta '?</v>
      </c>
    </row>
    <row r="18506" ht="15.75" customHeight="1">
      <c r="A18506" s="2" t="s">
        <v>18506</v>
      </c>
      <c r="B18506" s="2" t="str">
        <f>IFERROR(__xludf.DUMMYFUNCTION("GOOGLETRANSLATE(A18506, ""en"", ""mt"")"),"Għal kemm żmien Tesla rċeviet dan il-kumpens?")</f>
        <v>Għal kemm żmien Tesla rċeviet dan il-kumpens?</v>
      </c>
    </row>
    <row r="18507" ht="15.75" customHeight="1">
      <c r="A18507" s="2" t="s">
        <v>18507</v>
      </c>
      <c r="B18507" s="2" t="str">
        <f>IFERROR(__xludf.DUMMYFUNCTION("GOOGLETRANSLATE(A18507, ""en"", ""mt"")"),"X'tip ta 'magni tal-fwar ipproduċew l-iktar enerġija sal-bidu tas-seklu 20?")</f>
        <v>X'tip ta 'magni tal-fwar ipproduċew l-iktar enerġija sal-bidu tas-seklu 20?</v>
      </c>
    </row>
    <row r="18508" ht="15.75" customHeight="1">
      <c r="A18508" s="2" t="s">
        <v>18508</v>
      </c>
      <c r="B18508" s="2" t="str">
        <f>IFERROR(__xludf.DUMMYFUNCTION("GOOGLETRANSLATE(A18508, ""en"", ""mt"")"),"Meta kien l-Imperu Ottoman fl-eqqel tiegħu?")</f>
        <v>Meta kien l-Imperu Ottoman fl-eqqel tiegħu?</v>
      </c>
    </row>
    <row r="18509" ht="15.75" customHeight="1">
      <c r="A18509" s="2" t="s">
        <v>18509</v>
      </c>
      <c r="B18509" s="2" t="str">
        <f>IFERROR(__xludf.DUMMYFUNCTION("GOOGLETRANSLATE(A18509, ""en"", ""mt"")"),"il-pesta Taljana tal-1629-1631")</f>
        <v>il-pesta Taljana tal-1629-1631</v>
      </c>
    </row>
    <row r="18510" ht="15.75" customHeight="1">
      <c r="A18510" s="2" t="s">
        <v>18510</v>
      </c>
      <c r="B18510" s="2" t="str">
        <f>IFERROR(__xludf.DUMMYFUNCTION("GOOGLETRANSLATE(A18510, ""en"", ""mt"")"),"Kemm djar kellhom is-servizz satellitari dirett għal dar ta 'BSKYB disponibbli għalihom fl-2010?")</f>
        <v>Kemm djar kellhom is-servizz satellitari dirett għal dar ta 'BSKYB disponibbli għalihom fl-2010?</v>
      </c>
    </row>
    <row r="18511" ht="15.75" customHeight="1">
      <c r="A18511" s="2" t="s">
        <v>18511</v>
      </c>
      <c r="B18511" s="2" t="str">
        <f>IFERROR(__xludf.DUMMYFUNCTION("GOOGLETRANSLATE(A18511, ""en"", ""mt"")"),"L-IPCC kif tħejji rapporti speċjali?")</f>
        <v>L-IPCC kif tħejji rapporti speċjali?</v>
      </c>
    </row>
    <row r="18512" ht="15.75" customHeight="1">
      <c r="A18512" s="2" t="s">
        <v>18512</v>
      </c>
      <c r="B18512" s="2" t="str">
        <f>IFERROR(__xludf.DUMMYFUNCTION("GOOGLETRANSLATE(A18512, ""en"", ""mt"")"),"$ 12")</f>
        <v>$ 12</v>
      </c>
    </row>
    <row r="18513" ht="15.75" customHeight="1">
      <c r="A18513" s="2" t="s">
        <v>18513</v>
      </c>
      <c r="B18513" s="2" t="str">
        <f>IFERROR(__xludf.DUMMYFUNCTION("GOOGLETRANSLATE(A18513, ""en"", ""mt"")"),"Peter Davison, Colin Baker, Sylvester McCoy u Paul McGann")</f>
        <v>Peter Davison, Colin Baker, Sylvester McCoy u Paul McGann</v>
      </c>
    </row>
    <row r="18514" ht="15.75" customHeight="1">
      <c r="A18514" s="2" t="s">
        <v>18514</v>
      </c>
      <c r="B18514" s="2" t="str">
        <f>IFERROR(__xludf.DUMMYFUNCTION("GOOGLETRANSLATE(A18514, ""en"", ""mt"")"),"20 siegħa")</f>
        <v>20 siegħa</v>
      </c>
    </row>
    <row r="18515" ht="15.75" customHeight="1">
      <c r="A18515" s="2" t="s">
        <v>18515</v>
      </c>
      <c r="B18515" s="2" t="str">
        <f>IFERROR(__xludf.DUMMYFUNCTION("GOOGLETRANSLATE(A18515, ""en"", ""mt"")"),"Matul il-kampanja għal Indja ħielsa")</f>
        <v>Matul il-kampanja għal Indja ħielsa</v>
      </c>
    </row>
    <row r="18516" ht="15.75" customHeight="1">
      <c r="A18516" s="2" t="s">
        <v>18516</v>
      </c>
      <c r="B18516" s="2" t="str">
        <f>IFERROR(__xludf.DUMMYFUNCTION("GOOGLETRANSLATE(A18516, ""en"", ""mt"")"),"Kemm Kenjani qed jgħixu taħt il-livell tal-faqar?")</f>
        <v>Kemm Kenjani qed jgħixu taħt il-livell tal-faqar?</v>
      </c>
    </row>
    <row r="18517" ht="15.75" customHeight="1">
      <c r="A18517" s="2" t="s">
        <v>18517</v>
      </c>
      <c r="B18517" s="2" t="str">
        <f>IFERROR(__xludf.DUMMYFUNCTION("GOOGLETRANSLATE(A18517, ""en"", ""mt"")"),"Fl-oqbra tagħhom u fis-sema")</f>
        <v>Fl-oqbra tagħhom u fis-sema</v>
      </c>
    </row>
    <row r="18518" ht="15.75" customHeight="1">
      <c r="A18518" s="2" t="s">
        <v>18518</v>
      </c>
      <c r="B18518" s="2" t="str">
        <f>IFERROR(__xludf.DUMMYFUNCTION("GOOGLETRANSLATE(A18518, ""en"", ""mt"")"),"Kemm btieti ta 'żejt huwa stmat li l-Kenja għandha?")</f>
        <v>Kemm btieti ta 'żejt huwa stmat li l-Kenja għandha?</v>
      </c>
    </row>
    <row r="18519" ht="15.75" customHeight="1">
      <c r="A18519" s="2" t="s">
        <v>18519</v>
      </c>
      <c r="B18519" s="2" t="str">
        <f>IFERROR(__xludf.DUMMYFUNCTION("GOOGLETRANSLATE(A18519, ""en"", ""mt"")"),"Il-biċċa l-kbira tal-platyctenida għandhom korpi ovali li huma ċċattjati fid-direzzjoni orali-aborat, b'par ta 'tentakli li jġorru t-tentilla fuq il-wiċċ aboral. Huma jaqbdu u jkabbru fuq uċuħ billi jtaffu l-farinġi u jużawha bħala ""sieq"" muskolari. L-i"&amp;"speċi kollha tal-platyctenid magħrufa kollha kemm huma nieqsa mill-moxt. Il-platyctenids huma ġeneralment ikkuluriti kriptikament, jgħixu fuq blat, alka, jew l-uċuħ tal-ġisem ta 'invertebrati oħra, u ħafna drabi jiġu żvelati bit-tentakli twal tagħhom b'ħa"&amp;"fna sidebranches, li jidhru streaming barra minn wara tal-ctenophore fil-kurrent.")</f>
        <v>Il-biċċa l-kbira tal-platyctenida għandhom korpi ovali li huma ċċattjati fid-direzzjoni orali-aborat, b'par ta 'tentakli li jġorru t-tentilla fuq il-wiċċ aboral. Huma jaqbdu u jkabbru fuq uċuħ billi jtaffu l-farinġi u jużawha bħala "sieq" muskolari. L-ispeċi kollha tal-platyctenid magħrufa kollha kemm huma nieqsa mill-moxt. Il-platyctenids huma ġeneralment ikkuluriti kriptikament, jgħixu fuq blat, alka, jew l-uċuħ tal-ġisem ta 'invertebrati oħra, u ħafna drabi jiġu żvelati bit-tentakli twal tagħhom b'ħafna sidebranches, li jidhru streaming barra minn wara tal-ctenophore fil-kurrent.</v>
      </c>
    </row>
    <row r="18520" ht="15.75" customHeight="1">
      <c r="A18520" s="2" t="s">
        <v>18520</v>
      </c>
      <c r="B18520" s="2" t="str">
        <f>IFERROR(__xludf.DUMMYFUNCTION("GOOGLETRANSLATE(A18520, ""en"", ""mt"")"),"Sedimentazzjoni qawwija")</f>
        <v>Sedimentazzjoni qawwija</v>
      </c>
    </row>
    <row r="18521" ht="15.75" customHeight="1">
      <c r="A18521" s="2" t="s">
        <v>18521</v>
      </c>
      <c r="B18521" s="2" t="str">
        <f>IFERROR(__xludf.DUMMYFUNCTION("GOOGLETRANSLATE(A18521, ""en"", ""mt"")"),"Kemm hija frekwenti l-borra fil-Lbiċ ta 'l-Istat?")</f>
        <v>Kemm hija frekwenti l-borra fil-Lbiċ ta 'l-Istat?</v>
      </c>
    </row>
    <row r="18522" ht="15.75" customHeight="1">
      <c r="A18522" s="2" t="s">
        <v>18522</v>
      </c>
      <c r="B18522" s="2" t="str">
        <f>IFERROR(__xludf.DUMMYFUNCTION("GOOGLETRANSLATE(A18522, ""en"", ""mt"")"),"Kumpanija tal-Assikurazzjoni Prudenzjali tal-Amerika.")</f>
        <v>Kumpanija tal-Assikurazzjoni Prudenzjali tal-Amerika.</v>
      </c>
    </row>
    <row r="18523" ht="15.75" customHeight="1">
      <c r="A18523" s="2" t="s">
        <v>18523</v>
      </c>
      <c r="B18523" s="2" t="str">
        <f>IFERROR(__xludf.DUMMYFUNCTION("GOOGLETRANSLATE(A18523, ""en"", ""mt"")"),"Liema filosofiji jwaqqfu l-mediċina Ċiniża?")</f>
        <v>Liema filosofiji jwaqqfu l-mediċina Ċiniża?</v>
      </c>
    </row>
    <row r="18524" ht="15.75" customHeight="1">
      <c r="A18524" s="2" t="s">
        <v>18524</v>
      </c>
      <c r="B18524" s="2" t="str">
        <f>IFERROR(__xludf.DUMMYFUNCTION("GOOGLETRANSLATE(A18524, ""en"", ""mt"")"),"Isomorfiżmu tal-graff")</f>
        <v>Isomorfiżmu tal-graff</v>
      </c>
    </row>
    <row r="18525" ht="15.75" customHeight="1">
      <c r="A18525" s="2" t="s">
        <v>18525</v>
      </c>
      <c r="B18525" s="2" t="str">
        <f>IFERROR(__xludf.DUMMYFUNCTION("GOOGLETRANSLATE(A18525, ""en"", ""mt"")"),"il-kilogramma-forza (")</f>
        <v>il-kilogramma-forza (</v>
      </c>
    </row>
    <row r="18526" ht="15.75" customHeight="1">
      <c r="A18526" s="2" t="s">
        <v>18526</v>
      </c>
      <c r="B18526" s="2" t="str">
        <f>IFERROR(__xludf.DUMMYFUNCTION("GOOGLETRANSLATE(A18526, ""en"", ""mt"")"),"Mewt nobbli.")</f>
        <v>Mewt nobbli.</v>
      </c>
    </row>
    <row r="18527" ht="15.75" customHeight="1">
      <c r="A18527" s="2" t="s">
        <v>18527</v>
      </c>
      <c r="B18527" s="2" t="str">
        <f>IFERROR(__xludf.DUMMYFUNCTION("GOOGLETRANSLATE(A18527, ""en"", ""mt"")"),"Kemm hemm stazzjonijiet ewlenin tal-karozzi tal-linja fil-belt ta 'Newcastle?")</f>
        <v>Kemm hemm stazzjonijiet ewlenin tal-karozzi tal-linja fil-belt ta 'Newcastle?</v>
      </c>
    </row>
    <row r="18528" ht="15.75" customHeight="1">
      <c r="A18528" s="2" t="s">
        <v>18528</v>
      </c>
      <c r="B18528" s="2" t="str">
        <f>IFERROR(__xludf.DUMMYFUNCTION("GOOGLETRANSLATE(A18528, ""en"", ""mt"")"),"Supplimentazzjoni ta 'ossiġnu")</f>
        <v>Supplimentazzjoni ta 'ossiġnu</v>
      </c>
    </row>
    <row r="18529" ht="15.75" customHeight="1">
      <c r="A18529" s="2" t="s">
        <v>18529</v>
      </c>
      <c r="B18529" s="2" t="str">
        <f>IFERROR(__xludf.DUMMYFUNCTION("GOOGLETRANSLATE(A18529, ""en"", ""mt"")"),"Il-legalità ta 'azzjoni tiddependi fuq jekk kienx xieraq u neċessarju li jinkisbu l-għanijiet leġittimament segwiti")</f>
        <v>Il-legalità ta 'azzjoni tiddependi fuq jekk kienx xieraq u neċessarju li jinkisbu l-għanijiet leġittimament segwiti</v>
      </c>
    </row>
    <row r="18530" ht="15.75" customHeight="1">
      <c r="A18530" s="2" t="s">
        <v>18530</v>
      </c>
      <c r="B18530" s="2" t="str">
        <f>IFERROR(__xludf.DUMMYFUNCTION("GOOGLETRANSLATE(A18530, ""en"", ""mt"")"),"X'inhuma l-ambjentalisti mħassba dwar li jitilfu fil-foresta tal-Amażonja?")</f>
        <v>X'inhuma l-ambjentalisti mħassba dwar li jitilfu fil-foresta tal-Amażonja?</v>
      </c>
    </row>
    <row r="18531" ht="15.75" customHeight="1">
      <c r="A18531" s="2" t="s">
        <v>18531</v>
      </c>
      <c r="B18531" s="2" t="str">
        <f>IFERROR(__xludf.DUMMYFUNCTION("GOOGLETRANSLATE(A18531, ""en"", ""mt"")"),"Meta ġiet elenkata l-firxa tas-salarji valida għal (xahar u sena)?")</f>
        <v>Meta ġiet elenkata l-firxa tas-salarji valida għal (xahar u sena)?</v>
      </c>
    </row>
    <row r="18532" ht="15.75" customHeight="1">
      <c r="A18532" s="2" t="s">
        <v>18532</v>
      </c>
      <c r="B18532" s="2" t="str">
        <f>IFERROR(__xludf.DUMMYFUNCTION("GOOGLETRANSLATE(A18532, ""en"", ""mt"")"),"sett ta 'trippli")</f>
        <v>sett ta 'trippli</v>
      </c>
    </row>
    <row r="18533" ht="15.75" customHeight="1">
      <c r="A18533" s="2" t="s">
        <v>18533</v>
      </c>
      <c r="B18533" s="2" t="str">
        <f>IFERROR(__xludf.DUMMYFUNCTION("GOOGLETRANSLATE(A18533, ""en"", ""mt"")"),"Biex iżżid l-erja tal-wiċċ tal-kloroplast għat-trasport tal-membrana")</f>
        <v>Biex iżżid l-erja tal-wiċċ tal-kloroplast għat-trasport tal-membrana</v>
      </c>
    </row>
    <row r="18534" ht="15.75" customHeight="1">
      <c r="A18534" s="2" t="s">
        <v>18534</v>
      </c>
      <c r="B18534" s="2" t="str">
        <f>IFERROR(__xludf.DUMMYFUNCTION("GOOGLETRANSLATE(A18534, ""en"", ""mt"")"),"numerużi")</f>
        <v>numerużi</v>
      </c>
    </row>
    <row r="18535" ht="15.75" customHeight="1">
      <c r="A18535" s="2" t="s">
        <v>18535</v>
      </c>
      <c r="B18535" s="2" t="str">
        <f>IFERROR(__xludf.DUMMYFUNCTION("GOOGLETRANSLATE(A18535, ""en"", ""mt"")"),"Min iddikjara Reuters rebaħ il-Premju Nobel tal-1915 fil-fiżika?")</f>
        <v>Min iddikjara Reuters rebaħ il-Premju Nobel tal-1915 fil-fiżika?</v>
      </c>
    </row>
    <row r="18536" ht="15.75" customHeight="1">
      <c r="A18536" s="2" t="s">
        <v>18536</v>
      </c>
      <c r="B18536" s="2" t="str">
        <f>IFERROR(__xludf.DUMMYFUNCTION("GOOGLETRANSLATE(A18536, ""en"", ""mt"")"),"Wied tax-Xmara San Lawrenz")</f>
        <v>Wied tax-Xmara San Lawrenz</v>
      </c>
    </row>
    <row r="18537" ht="15.75" customHeight="1">
      <c r="A18537" s="2" t="s">
        <v>18537</v>
      </c>
      <c r="B18537" s="2" t="str">
        <f>IFERROR(__xludf.DUMMYFUNCTION("GOOGLETRANSLATE(A18537, ""en"", ""mt"")"),"Minbarra avvenimenti kulturali, liema attrazzjoni turistika oħra għandha?")</f>
        <v>Minbarra avvenimenti kulturali, liema attrazzjoni turistika oħra għandha?</v>
      </c>
    </row>
    <row r="18538" ht="15.75" customHeight="1">
      <c r="A18538" s="2" t="s">
        <v>18538</v>
      </c>
      <c r="B18538" s="2" t="str">
        <f>IFERROR(__xludf.DUMMYFUNCTION("GOOGLETRANSLATE(A18538, ""en"", ""mt"")"),"Università ta 'Riċerka Privata")</f>
        <v>Università ta 'Riċerka Privata</v>
      </c>
    </row>
    <row r="18539" ht="15.75" customHeight="1">
      <c r="A18539" s="2" t="s">
        <v>18539</v>
      </c>
      <c r="B18539" s="2" t="str">
        <f>IFERROR(__xludf.DUMMYFUNCTION("GOOGLETRANSLATE(A18539, ""en"", ""mt"")"),"Għal xiex jużaw it-tribujiet Google Earth u GPS?")</f>
        <v>Għal xiex jużaw it-tribujiet Google Earth u GPS?</v>
      </c>
    </row>
    <row r="18540" ht="15.75" customHeight="1">
      <c r="A18540" s="2" t="s">
        <v>18540</v>
      </c>
      <c r="B18540" s="2" t="str">
        <f>IFERROR(__xludf.DUMMYFUNCTION("GOOGLETRANSLATE(A18540, ""en"", ""mt"")"),"Għal qasam F li fih 0 u 1, x'inhu l-qasam ewlieni?")</f>
        <v>Għal qasam F li fih 0 u 1, x'inhu l-qasam ewlieni?</v>
      </c>
    </row>
    <row r="18541" ht="15.75" customHeight="1">
      <c r="A18541" s="2" t="s">
        <v>18541</v>
      </c>
      <c r="B18541" s="2" t="str">
        <f>IFERROR(__xludf.DUMMYFUNCTION("GOOGLETRANSLATE(A18541, ""en"", ""mt"")"),"Id-diżubbidjenza ċivili mhux rivoluzzjonarja hija diżubbidjenza sempliċi tal-liġijiet minħabba li huma ġġudikati ""ħażin"" minn kuxjenza individwali, jew bħala parti minn sforz biex jagħmlu ċerti liġijiet ineffettivi, biex jikkawżaw ir-revoka tagħhom, jew"&amp;" biex jagħmlu pressjoni biex jiksbu wieħed Xewqat politiċi dwar xi kwistjoni oħra. Id-diżubbidjenza ċivili rivoluzzjonarja hija aktar ta 'tentattiv attiv biex titwaqqa' gvern (jew biex tbiddel it-tradizzjonijiet kulturali, id-drawwiet soċjali, it-twemmin "&amp;"reliġjuż, eċċ ... ir-rivoluzzjoni m'għandhiex għalfejn tkun politika, i.e. ""rivoluzzjoni kulturali"", sempliċement timplika knis u Bidla mifruxa għal sezzjoni tat-tessut soċjali). L-atti ta 'Gandhi ġew deskritti bħala diżubbidjenza ċivili rivoluzzjonarja"&amp;". Ġie ddikjarat li l-Ungeriżi taħt Ferenc Deák indirizzaw diżubbidjenza ċivili rivoluzzjonarja kontra l-gvern Awstrijak. Thoreau kiteb ukoll dwar diżubbidjenza ċivili li twettaq ""rivoluzzjoni paċifika."" Howard Zinn, Harvey Wheeler, u oħrajn identifikaw "&amp;"id-dritt imħaddem fid-dikjarazzjoni tal-indipendenza biex ""ibiddel jew jabolixxi"" gvern inġust biex ikun prinċipju ta 'diżubbidjenza ċivili.")</f>
        <v>Id-diżubbidjenza ċivili mhux rivoluzzjonarja hija diżubbidjenza sempliċi tal-liġijiet minħabba li huma ġġudikati "ħażin" minn kuxjenza individwali, jew bħala parti minn sforz biex jagħmlu ċerti liġijiet ineffettivi, biex jikkawżaw ir-revoka tagħhom, jew biex jagħmlu pressjoni biex jiksbu wieħed Xewqat politiċi dwar xi kwistjoni oħra. Id-diżubbidjenza ċivili rivoluzzjonarja hija aktar ta 'tentattiv attiv biex titwaqqa' gvern (jew biex tbiddel it-tradizzjonijiet kulturali, id-drawwiet soċjali, it-twemmin reliġjuż, eċċ ... ir-rivoluzzjoni m'għandhiex għalfejn tkun politika, i.e. "rivoluzzjoni kulturali", sempliċement timplika knis u Bidla mifruxa għal sezzjoni tat-tessut soċjali). L-atti ta 'Gandhi ġew deskritti bħala diżubbidjenza ċivili rivoluzzjonarja. Ġie ddikjarat li l-Ungeriżi taħt Ferenc Deák indirizzaw diżubbidjenza ċivili rivoluzzjonarja kontra l-gvern Awstrijak. Thoreau kiteb ukoll dwar diżubbidjenza ċivili li twettaq "rivoluzzjoni paċifika." Howard Zinn, Harvey Wheeler, u oħrajn identifikaw id-dritt imħaddem fid-dikjarazzjoni tal-indipendenza biex "ibiddel jew jabolixxi" gvern inġust biex ikun prinċipju ta 'diżubbidjenza ċivili.</v>
      </c>
    </row>
    <row r="18542" ht="15.75" customHeight="1">
      <c r="A18542" s="2" t="s">
        <v>18542</v>
      </c>
      <c r="B18542" s="2" t="str">
        <f>IFERROR(__xludf.DUMMYFUNCTION("GOOGLETRANSLATE(A18542, ""en"", ""mt"")"),"Liema tielet tip ta 'motiv juża kliem kreattiv?")</f>
        <v>Liema tielet tip ta 'motiv juża kliem kreattiv?</v>
      </c>
    </row>
    <row r="18543" ht="15.75" customHeight="1">
      <c r="A18543" s="2" t="s">
        <v>18543</v>
      </c>
      <c r="B18543" s="2" t="str">
        <f>IFERROR(__xludf.DUMMYFUNCTION("GOOGLETRANSLATE(A18543, ""en"", ""mt"")"),"Bejn Bingen u Bonn, ir-Renu Nofsani jgħaddi minn ġol-Gorge tar-Rhine, formazzjoni li nħolqot mill-erożjoni. Ir-rata ta 'erożjoni kienet daqs l-uplift fir-reġjun, tali li x-xmara tħalliet madwar il-livell oriġinali tagħha waqt li l-artijiet tal-madwar tqaj"&amp;"mu. Il-gorge huwa pjuttost fil-fond u huwa l-medda tax-xmara li hija magħrufa għall-ħafna kastelli u dwieli tagħha. Huwa Sit ta 'Wirt Dinji tal-UNESCO (2002) u magħruf bħala ""Ir-Renu Romantiku"", b'aktar minn 40 kastell u fortizzi mill-Medju Evu u ħafna "&amp;"villaġġi ta' pajjiż pittoresk u sbieħ.")</f>
        <v>Bejn Bingen u Bonn, ir-Renu Nofsani jgħaddi minn ġol-Gorge tar-Rhine, formazzjoni li nħolqot mill-erożjoni. Ir-rata ta 'erożjoni kienet daqs l-uplift fir-reġjun, tali li x-xmara tħalliet madwar il-livell oriġinali tagħha waqt li l-artijiet tal-madwar tqajmu. Il-gorge huwa pjuttost fil-fond u huwa l-medda tax-xmara li hija magħrufa għall-ħafna kastelli u dwieli tagħha. Huwa Sit ta 'Wirt Dinji tal-UNESCO (2002) u magħruf bħala "Ir-Renu Romantiku", b'aktar minn 40 kastell u fortizzi mill-Medju Evu u ħafna villaġġi ta' pajjiż pittoresk u sbieħ.</v>
      </c>
    </row>
    <row r="18544" ht="15.75" customHeight="1">
      <c r="A18544" s="2" t="s">
        <v>18544</v>
      </c>
      <c r="B18544" s="2" t="str">
        <f>IFERROR(__xludf.DUMMYFUNCTION("GOOGLETRANSLATE(A18544, ""en"", ""mt"")"),"sistema magħluqa ta 'partiċelli")</f>
        <v>sistema magħluqa ta 'partiċelli</v>
      </c>
    </row>
    <row r="18545" ht="15.75" customHeight="1">
      <c r="A18545" s="2" t="s">
        <v>18545</v>
      </c>
      <c r="B18545" s="2" t="str">
        <f>IFERROR(__xludf.DUMMYFUNCTION("GOOGLETRANSLATE(A18545, ""en"", ""mt"")"),"moxt ġelatina.")</f>
        <v>moxt ġelatina.</v>
      </c>
    </row>
    <row r="18546" ht="15.75" customHeight="1">
      <c r="A18546" s="2" t="s">
        <v>18546</v>
      </c>
      <c r="B18546" s="2" t="str">
        <f>IFERROR(__xludf.DUMMYFUNCTION("GOOGLETRANSLATE(A18546, ""en"", ""mt"")"),"Mid-Atlantiku")</f>
        <v>Mid-Atlantiku</v>
      </c>
    </row>
    <row r="18547" ht="15.75" customHeight="1">
      <c r="A18547" s="2" t="s">
        <v>18547</v>
      </c>
      <c r="B18547" s="2" t="str">
        <f>IFERROR(__xludf.DUMMYFUNCTION("GOOGLETRANSLATE(A18547, ""en"", ""mt"")"),"Kemm hemm żoni metropolitani tal-popolazzjoni tan-Nofsinhar ta 'California?")</f>
        <v>Kemm hemm żoni metropolitani tal-popolazzjoni tan-Nofsinhar ta 'California?</v>
      </c>
    </row>
    <row r="18548" ht="15.75" customHeight="1">
      <c r="A18548" s="2" t="s">
        <v>18548</v>
      </c>
      <c r="B18548" s="2" t="str">
        <f>IFERROR(__xludf.DUMMYFUNCTION("GOOGLETRANSLATE(A18548, ""en"", ""mt"")"),"Fil-granuli tal-lamtu tal-amilopectin li jinsabu fiċ-ċitoplasma tagħhom")</f>
        <v>Fil-granuli tal-lamtu tal-amilopectin li jinsabu fiċ-ċitoplasma tagħhom</v>
      </c>
    </row>
    <row r="18549" ht="15.75" customHeight="1">
      <c r="A18549" s="2" t="s">
        <v>18549</v>
      </c>
      <c r="B18549" s="2" t="str">
        <f>IFERROR(__xludf.DUMMYFUNCTION("GOOGLETRANSLATE(A18549, ""en"", ""mt"")"),"Liema saffi ta 'weraq għandhom kloroplasti?")</f>
        <v>Liema saffi ta 'weraq għandhom kloroplasti?</v>
      </c>
    </row>
    <row r="18550" ht="15.75" customHeight="1">
      <c r="A18550" s="2" t="s">
        <v>18550</v>
      </c>
      <c r="B18550" s="2" t="str">
        <f>IFERROR(__xludf.DUMMYFUNCTION("GOOGLETRANSLATE(A18550, ""en"", ""mt"")"),"Reġistru tal-Kunsill Farmaċewtiku Ġenerali (GPHC)")</f>
        <v>Reġistru tal-Kunsill Farmaċewtiku Ġenerali (GPHC)</v>
      </c>
    </row>
    <row r="18551" ht="15.75" customHeight="1">
      <c r="A18551" s="2" t="s">
        <v>18551</v>
      </c>
      <c r="B18551" s="2" t="str">
        <f>IFERROR(__xludf.DUMMYFUNCTION("GOOGLETRANSLATE(A18551, ""en"", ""mt"")"),"Id-dinastija Norman kellha impatt politiku, kulturali u militari maġġuri fuq l-Ewropa medjevali u anke l-Lvant Qarib. In-Normanni kienu famużi għall-ispirtu marzjali tagħhom u eventwalment għall-piety Christian tagħhom, u saru esponenti tal-ortodossija Ka"&amp;"ttolika li fihom assimilaw. Huma adottaw il-lingwa gallo-rumanz ta 'l-art Franki li huma stabbilixxew, id-djalett tagħhom isir magħruf bħala Norman, Normaund jew Norman Franċiż, lingwa letterarja importanti. Id-Dukat tan-Normandija, li huma ffurmaw bit-tr"&amp;"attat mal-kuruna Franċiża, kien fief kbir ta ’Franza medjevali, u taħt Richard I tan-Normandija ġie ffalsifikat ġo prinċipat koeżiv u formidabbli fil-kariga feudali. In-Normanni huma nnotati kemm għall-kultura tagħhom, bħall-arkitettura Rumanika unika tag"&amp;"ħhom u t-tradizzjonijiet mużikali, kif ukoll għall-kisbiet u l-innovazzjonijiet militari sinifikanti tagħhom. Norman Adventurers waqqfu r-Renju ta ’Sqallija taħt Roger II wara li rbħu l-Italja tan-Nofsinhar fuq is-Saraċens u l-Biżantini, u expedition f’is"&amp;"em id-Duka tagħhom, William the Conqueror, wasslet għall-konkwista Norman tal-Ingilterra fil-Battalja ta’ Hastings fl-1066. Norman Cultural u influwenza militari mifruxa minn dawn iċ-ċentri Ewropej ġodda għall-istati tal-Kruċjati tal-Lvant Qarib, fejn il-"&amp;"Prinċep Bohemond tagħhom waqqaf il-Prinċipat ta 'Antijokja fil-Levant, lejn l-Iskozja u Wales fil-Gran Brittanja, lejn l-Irlanda, u lejn il-kosti ta' l-Afrika ta 'Fuq u l-Gżejjer Kanarji.")</f>
        <v>Id-dinastija Norman kellha impatt politiku, kulturali u militari maġġuri fuq l-Ewropa medjevali u anke l-Lvant Qarib. In-Normanni kienu famużi għall-ispirtu marzjali tagħhom u eventwalment għall-piety Christian tagħhom, u saru esponenti tal-ortodossija Kattolika li fihom assimilaw. Huma adottaw il-lingwa gallo-rumanz ta 'l-art Franki li huma stabbilixxew, id-djalett tagħhom isir magħruf bħala Norman, Normaund jew Norman Franċiż, lingwa letterarja importanti. Id-Dukat tan-Normandija, li huma ffurmaw bit-trattat mal-kuruna Franċiża, kien fief kbir ta ’Franza medjevali, u taħt Richard I tan-Normandija ġie ffalsifikat ġo prinċipat koeżiv u formidabbli fil-kariga feudali. In-Normanni huma nnotati kemm għall-kultura tagħhom, bħall-arkitettura Rumanika unika tagħhom u t-tradizzjonijiet mużikali, kif ukoll għall-kisbiet u l-innovazzjonijiet militari sinifikanti tagħhom. Norman Adventurers waqqfu r-Renju ta ’Sqallija taħt Roger II wara li rbħu l-Italja tan-Nofsinhar fuq is-Saraċens u l-Biżantini, u expedition f’isem id-Duka tagħhom, William the Conqueror, wasslet għall-konkwista Norman tal-Ingilterra fil-Battalja ta’ Hastings fl-1066. Norman Cultural u influwenza militari mifruxa minn dawn iċ-ċentri Ewropej ġodda għall-istati tal-Kruċjati tal-Lvant Qarib, fejn il-Prinċep Bohemond tagħhom waqqaf il-Prinċipat ta 'Antijokja fil-Levant, lejn l-Iskozja u Wales fil-Gran Brittanja, lejn l-Irlanda, u lejn il-kosti ta' l-Afrika ta 'Fuq u l-Gżejjer Kanarji.</v>
      </c>
    </row>
    <row r="18552" ht="15.75" customHeight="1">
      <c r="A18552" s="2" t="s">
        <v>18552</v>
      </c>
      <c r="B18552" s="2" t="str">
        <f>IFERROR(__xludf.DUMMYFUNCTION("GOOGLETRANSLATE(A18552, ""en"", ""mt"")"),"Il-Knisja Metodista Magħquda (UMC) tipprattika l-magħmudija tat-trabi u l-adulti. Il-membri mgħammdin huma dawk li ġew mgħammdin bħala tarbija jew tifel, iżda li sussegwentement ma jistqarrux il-fidi tagħhom stess. Dawn il-membri mgħammdin isiru membri li"&amp;" jistqarru permezz tal-konferma u xi kultant il-professjoni tal-fidi. Individwi li qabel ma kinux mgħammdin huma mgħammdin bħala parti mill-professjoni ta 'fidi tagħhom u b'hekk isiru membri li jistqarru b'dan il-mod. L-individwi jistgħu wkoll isiru membr"&amp;"u li jistqarru permezz ta ’trasferiment minn denominazzjoni Nisranija oħra.")</f>
        <v>Il-Knisja Metodista Magħquda (UMC) tipprattika l-magħmudija tat-trabi u l-adulti. Il-membri mgħammdin huma dawk li ġew mgħammdin bħala tarbija jew tifel, iżda li sussegwentement ma jistqarrux il-fidi tagħhom stess. Dawn il-membri mgħammdin isiru membri li jistqarru permezz tal-konferma u xi kultant il-professjoni tal-fidi. Individwi li qabel ma kinux mgħammdin huma mgħammdin bħala parti mill-professjoni ta 'fidi tagħhom u b'hekk isiru membri li jistqarru b'dan il-mod. L-individwi jistgħu wkoll isiru membru li jistqarru permezz ta ’trasferiment minn denominazzjoni Nisranija oħra.</v>
      </c>
    </row>
    <row r="18553" ht="15.75" customHeight="1">
      <c r="A18553" s="2" t="s">
        <v>18553</v>
      </c>
      <c r="B18553" s="2" t="str">
        <f>IFERROR(__xludf.DUMMYFUNCTION("GOOGLETRANSLATE(A18553, ""en"", ""mt"")"),"Riskju għoli ta 'kunflitt ta' interess u / jew l-evitar ta 'poteri assoluti")</f>
        <v>Riskju għoli ta 'kunflitt ta' interess u / jew l-evitar ta 'poteri assoluti</v>
      </c>
    </row>
    <row r="18554" ht="15.75" customHeight="1">
      <c r="A18554" s="2" t="s">
        <v>18554</v>
      </c>
      <c r="B18554" s="2" t="str">
        <f>IFERROR(__xludf.DUMMYFUNCTION("GOOGLETRANSLATE(A18554, ""en"", ""mt"")"),"Kitbiet fil-volumi")</f>
        <v>Kitbiet fil-volumi</v>
      </c>
    </row>
    <row r="18555" ht="15.75" customHeight="1">
      <c r="A18555" s="2" t="s">
        <v>18555</v>
      </c>
      <c r="B18555" s="2" t="str">
        <f>IFERROR(__xludf.DUMMYFUNCTION("GOOGLETRANSLATE(A18555, ""en"", ""mt"")"),"il-marbut fuq il-kumplessità tat-tnaqqis")</f>
        <v>il-marbut fuq il-kumplessità tat-tnaqqis</v>
      </c>
    </row>
    <row r="18556" ht="15.75" customHeight="1">
      <c r="A18556" s="2" t="s">
        <v>18556</v>
      </c>
      <c r="B18556" s="2" t="str">
        <f>IFERROR(__xludf.DUMMYFUNCTION("GOOGLETRANSLATE(A18556, ""en"", ""mt"")"),"""Konvertiti Ġodda""")</f>
        <v>"Konvertiti Ġodda"</v>
      </c>
    </row>
    <row r="18557" ht="15.75" customHeight="1">
      <c r="A18557" s="2" t="s">
        <v>18557</v>
      </c>
      <c r="B18557" s="2" t="str">
        <f>IFERROR(__xludf.DUMMYFUNCTION("GOOGLETRANSLATE(A18557, ""en"", ""mt"")"),"Għal liema żewġ reliġjonijiet Tesla esprimiet ir-rispett?")</f>
        <v>Għal liema żewġ reliġjonijiet Tesla esprimiet ir-rispett?</v>
      </c>
    </row>
    <row r="18558" ht="15.75" customHeight="1">
      <c r="A18558" s="2" t="s">
        <v>18558</v>
      </c>
      <c r="B18558" s="2" t="str">
        <f>IFERROR(__xludf.DUMMYFUNCTION("GOOGLETRANSLATE(A18558, ""en"", ""mt"")"),"L-iktar spettaklu popolari")</f>
        <v>L-iktar spettaklu popolari</v>
      </c>
    </row>
    <row r="18559" ht="15.75" customHeight="1">
      <c r="A18559" s="2" t="s">
        <v>18559</v>
      </c>
      <c r="B18559" s="2" t="str">
        <f>IFERROR(__xludf.DUMMYFUNCTION("GOOGLETRANSLATE(A18559, ""en"", ""mt"")"),"X'rata ta 'unjoni għandhom nazzjonijiet Skandinavi?")</f>
        <v>X'rata ta 'unjoni għandhom nazzjonijiet Skandinavi?</v>
      </c>
    </row>
    <row r="18560" ht="15.75" customHeight="1">
      <c r="A18560" s="2" t="s">
        <v>18560</v>
      </c>
      <c r="B18560" s="2" t="str">
        <f>IFERROR(__xludf.DUMMYFUNCTION("GOOGLETRANSLATE(A18560, ""en"", ""mt"")"),"Chris Keates, is-Segretarju Ġenerali tal-Assoċjazzjoni Nazzjonali tal-Unjoni tal-Iskejjel tal-Għalliema tan-Nisa, qal li l-għalliema li jagħmlu sess ma 'studenti' il-liġi li aħna mħassba dwarha. "" Dan wassal għal għajb mill-protezzjoni tat-tfal u gruppi "&amp;"tad-drittijiet tal-ġenituri. Il-biżgħat li jiġu ttikkettjati pedofili jew Hebephile wasslu għal diversi rġiel li jgawdu jgħallmu jevitaw il-professjoni. F’xi ġurisdizzjonijiet kien allegatament wassal għal nuqqas ta ’għalliema rġiel.")</f>
        <v>Chris Keates, is-Segretarju Ġenerali tal-Assoċjazzjoni Nazzjonali tal-Unjoni tal-Iskejjel tal-Għalliema tan-Nisa, qal li l-għalliema li jagħmlu sess ma 'studenti' il-liġi li aħna mħassba dwarha. " Dan wassal għal għajb mill-protezzjoni tat-tfal u gruppi tad-drittijiet tal-ġenituri. Il-biżgħat li jiġu ttikkettjati pedofili jew Hebephile wasslu għal diversi rġiel li jgawdu jgħallmu jevitaw il-professjoni. F’xi ġurisdizzjonijiet kien allegatament wassal għal nuqqas ta ’għalliema rġiel.</v>
      </c>
    </row>
    <row r="18561" ht="15.75" customHeight="1">
      <c r="A18561" s="2" t="s">
        <v>18561</v>
      </c>
      <c r="B18561" s="2" t="str">
        <f>IFERROR(__xludf.DUMMYFUNCTION("GOOGLETRANSLATE(A18561, ""en"", ""mt"")"),"Kif tissejjaħ il-liwja tar-Rhine f'Basel?")</f>
        <v>Kif tissejjaħ il-liwja tar-Rhine f'Basel?</v>
      </c>
    </row>
    <row r="18562" ht="15.75" customHeight="1">
      <c r="A18562" s="2" t="s">
        <v>18562</v>
      </c>
      <c r="B18562" s="2" t="str">
        <f>IFERROR(__xludf.DUMMYFUNCTION("GOOGLETRANSLATE(A18562, ""en"", ""mt"")"),"Norm isir iżgħar")</f>
        <v>Norm isir iżgħar</v>
      </c>
    </row>
    <row r="18563" ht="15.75" customHeight="1">
      <c r="A18563" s="2" t="s">
        <v>18563</v>
      </c>
      <c r="B18563" s="2" t="str">
        <f>IFERROR(__xludf.DUMMYFUNCTION("GOOGLETRANSLATE(A18563, ""en"", ""mt"")"),"ogħla")</f>
        <v>ogħla</v>
      </c>
    </row>
    <row r="18564" ht="15.75" customHeight="1">
      <c r="A18564" s="2" t="s">
        <v>18564</v>
      </c>
      <c r="B18564" s="2" t="str">
        <f>IFERROR(__xludf.DUMMYFUNCTION("GOOGLETRANSLATE(A18564, ""en"", ""mt"")"),"Lhud")</f>
        <v>Lhud</v>
      </c>
    </row>
    <row r="18565" ht="15.75" customHeight="1">
      <c r="A18565" s="2" t="s">
        <v>18565</v>
      </c>
      <c r="B18565" s="2" t="str">
        <f>IFERROR(__xludf.DUMMYFUNCTION("GOOGLETRANSLATE(A18565, ""en"", ""mt"")"),"Beta tħassir (ta 'newtroni fin-nuklei atomiċi)")</f>
        <v>Beta tħassir (ta 'newtroni fin-nuklei atomiċi)</v>
      </c>
    </row>
    <row r="18566" ht="15.75" customHeight="1">
      <c r="A18566" s="2" t="s">
        <v>18566</v>
      </c>
      <c r="B18566" s="2" t="str">
        <f>IFERROR(__xludf.DUMMYFUNCTION("GOOGLETRANSLATE(A18566, ""en"", ""mt"")"),"antagonistiku")</f>
        <v>antagonistiku</v>
      </c>
    </row>
    <row r="18567" ht="15.75" customHeight="1">
      <c r="A18567" s="2" t="s">
        <v>18567</v>
      </c>
      <c r="B18567" s="2" t="str">
        <f>IFERROR(__xludf.DUMMYFUNCTION("GOOGLETRANSLATE(A18567, ""en"", ""mt"")"),"Ma 'min għamlu l-attakki l-iktar?")</f>
        <v>Ma 'min għamlu l-attakki l-iktar?</v>
      </c>
    </row>
    <row r="18568" ht="15.75" customHeight="1">
      <c r="A18568" s="2" t="s">
        <v>18568</v>
      </c>
      <c r="B18568" s="2" t="str">
        <f>IFERROR(__xludf.DUMMYFUNCTION("GOOGLETRANSLATE(A18568, ""en"", ""mt"")"),"Min kien Iqbal kritiku?")</f>
        <v>Min kien Iqbal kritiku?</v>
      </c>
    </row>
    <row r="18569" ht="15.75" customHeight="1">
      <c r="A18569" s="2" t="s">
        <v>18569</v>
      </c>
      <c r="B18569" s="2" t="str">
        <f>IFERROR(__xludf.DUMMYFUNCTION("GOOGLETRANSLATE(A18569, ""en"", ""mt"")"),"L-ewwel insedjamenti msaħħa fuq is-sit tal-Varsavja tal-lum kienu jinsabu fi Bródno (seklu 9/10) u Jazdów (seklu 12/13). Wara li Jazdów ġie attakkat minn gruppi u duki fil-viċin, ġie stabbilit soluzzjoni simili ġdida fuq is-sit ta 'villaġġ tas-sajd żgħir "&amp;"imsejjaħ Warszowa. Il-Prinċep ta 'Płock, Bolesław II ta' Masovia, stabbilixxa dan is-soluzzjoni, il-ġurnata moderna ta 'Varsav Fl-1413. L-ekonomija ta 'Varsavja tas-seklu 14 mistrieħ fuq l-aktar snajja u kummerċ. Mal-estinzjoni tal-linja dukali lokali, id"&amp;"-dukat ġie inkorporat mill-ġdid fil-kuruna Pollakka fl-1526.")</f>
        <v>L-ewwel insedjamenti msaħħa fuq is-sit tal-Varsavja tal-lum kienu jinsabu fi Bródno (seklu 9/10) u Jazdów (seklu 12/13). Wara li Jazdów ġie attakkat minn gruppi u duki fil-viċin, ġie stabbilit soluzzjoni simili ġdida fuq is-sit ta 'villaġġ tas-sajd żgħir imsejjaħ Warszowa. Il-Prinċep ta 'Płock, Bolesław II ta' Masovia, stabbilixxa dan is-soluzzjoni, il-ġurnata moderna ta 'Varsav Fl-1413. L-ekonomija ta 'Varsavja tas-seklu 14 mistrieħ fuq l-aktar snajja u kummerċ. Mal-estinzjoni tal-linja dukali lokali, id-dukat ġie inkorporat mill-ġdid fil-kuruna Pollakka fl-1526.</v>
      </c>
    </row>
    <row r="18570" ht="15.75" customHeight="1">
      <c r="A18570" s="2" t="s">
        <v>18570</v>
      </c>
      <c r="B18570" s="2" t="str">
        <f>IFERROR(__xludf.DUMMYFUNCTION("GOOGLETRANSLATE(A18570, ""en"", ""mt"")"),"L'umanita")</f>
        <v>L'umanita</v>
      </c>
    </row>
    <row r="18571" ht="15.75" customHeight="1">
      <c r="A18571" s="2" t="s">
        <v>18571</v>
      </c>
      <c r="B18571" s="2" t="str">
        <f>IFERROR(__xludf.DUMMYFUNCTION("GOOGLETRANSLATE(A18571, ""en"", ""mt"")"),"X'intuża biex tħaffef il-pritkuni tat-tungstenu?")</f>
        <v>X'intuża biex tħaffef il-pritkuni tat-tungstenu?</v>
      </c>
    </row>
    <row r="18572" ht="15.75" customHeight="1">
      <c r="A18572" s="2" t="s">
        <v>18572</v>
      </c>
      <c r="B18572" s="2" t="str">
        <f>IFERROR(__xludf.DUMMYFUNCTION("GOOGLETRANSLATE(A18572, ""en"", ""mt"")"),"Istitut Amerikan tal-Inġiniera Elettriċi")</f>
        <v>Istitut Amerikan tal-Inġiniera Elettriċi</v>
      </c>
    </row>
    <row r="18573" ht="15.75" customHeight="1">
      <c r="A18573" s="2" t="s">
        <v>18573</v>
      </c>
      <c r="B18573" s="2" t="str">
        <f>IFERROR(__xludf.DUMMYFUNCTION("GOOGLETRANSLATE(A18573, ""en"", ""mt"")"),"kontra entitajiet governattivi")</f>
        <v>kontra entitajiet governattivi</v>
      </c>
    </row>
    <row r="18574" ht="15.75" customHeight="1">
      <c r="A18574" s="2" t="s">
        <v>18574</v>
      </c>
      <c r="B18574" s="2" t="str">
        <f>IFERROR(__xludf.DUMMYFUNCTION("GOOGLETRANSLATE(A18574, ""en"", ""mt"")"),"Fis-snin 1960, serje ta 'skoperti, li l-iktar importanti minnhom kienet tinfirex il-baħar, wriet li l-litosfera tad-Dinja, li tinkludi l-qoxra tal-qoxra u l-ogħla riġida tal-mantell ta' fuq, hija separata f'numru ta 'pjanċi tettoniċi li jiċċaqalqu madwar "&amp;"il-plastikament Deformazzjoni, solidu, mantell ta 'fuq, li jissejjaħ l-astenosfera. Hemm akkoppjar intimu bejn il-moviment tal-pjanċi fuq il-wiċċ u l-konvezzjoni tal-mantell: mozzjonijiet tal-pjanċa oċeanika u kurrenti tal-konvezzjoni tal-mantell dejjem j"&amp;"iċċaqalqu fl-istess direzzjoni, minħabba li l-litosfera oċeanika hija s-saff tal-konfini termali ta 'fuq tal-mantell tal-konvezzjoni - Dan l-akkoppjar bejn pjanċi riġidi li jiċċaqilqu fuq il-wiċċ tad-dinja u l-mantell tal-konvetti huwa msejjaħ tettonika t"&amp;"al-pjanċa.")</f>
        <v>Fis-snin 1960, serje ta 'skoperti, li l-iktar importanti minnhom kienet tinfirex il-baħar, wriet li l-litosfera tad-Dinja, li tinkludi l-qoxra tal-qoxra u l-ogħla riġida tal-mantell ta' fuq, hija separata f'numru ta 'pjanċi tettoniċi li jiċċaqalqu madwar il-plastikament Deformazzjoni, solidu, mantell ta 'fuq, li jissejjaħ l-astenosfera. Hemm akkoppjar intimu bejn il-moviment tal-pjanċi fuq il-wiċċ u l-konvezzjoni tal-mantell: mozzjonijiet tal-pjanċa oċeanika u kurrenti tal-konvezzjoni tal-mantell dejjem jiċċaqalqu fl-istess direzzjoni, minħabba li l-litosfera oċeanika hija s-saff tal-konfini termali ta 'fuq tal-mantell tal-konvezzjoni - Dan l-akkoppjar bejn pjanċi riġidi li jiċċaqilqu fuq il-wiċċ tad-dinja u l-mantell tal-konvetti huwa msejjaħ tettonika tal-pjanċa.</v>
      </c>
    </row>
    <row r="18575" ht="15.75" customHeight="1">
      <c r="A18575" s="2" t="s">
        <v>18575</v>
      </c>
      <c r="B18575" s="2" t="str">
        <f>IFERROR(__xludf.DUMMYFUNCTION("GOOGLETRANSLATE(A18575, ""en"", ""mt"")"),"Żball fundamentali")</f>
        <v>Żball fundamentali</v>
      </c>
    </row>
    <row r="18576" ht="15.75" customHeight="1">
      <c r="A18576" s="2" t="s">
        <v>18576</v>
      </c>
      <c r="B18576" s="2" t="str">
        <f>IFERROR(__xludf.DUMMYFUNCTION("GOOGLETRANSLATE(A18576, ""en"", ""mt"")"),"Il-partit li ngħata siġġu huwa dak bl-ogħla x'inhu?")</f>
        <v>Il-partit li ngħata siġġu huwa dak bl-ogħla x'inhu?</v>
      </c>
    </row>
    <row r="18577" ht="15.75" customHeight="1">
      <c r="A18577" s="2" t="s">
        <v>18577</v>
      </c>
      <c r="B18577" s="2" t="str">
        <f>IFERROR(__xludf.DUMMYFUNCTION("GOOGLETRANSLATE(A18577, ""en"", ""mt"")"),"Kummerċjali, Xjentifiku, u Kulturali")</f>
        <v>Kummerċjali, Xjentifiku, u Kulturali</v>
      </c>
    </row>
    <row r="18578" ht="15.75" customHeight="1">
      <c r="A18578" s="2" t="s">
        <v>18578</v>
      </c>
      <c r="B18578" s="2" t="str">
        <f>IFERROR(__xludf.DUMMYFUNCTION("GOOGLETRANSLATE(A18578, ""en"", ""mt"")"),"Liema parti mill-kloroplasti tal-kriptofiti hija simili għal Chlorarachniophytes?")</f>
        <v>Liema parti mill-kloroplasti tal-kriptofiti hija simili għal Chlorarachniophytes?</v>
      </c>
    </row>
    <row r="18579" ht="15.75" customHeight="1">
      <c r="A18579" s="2" t="s">
        <v>18579</v>
      </c>
      <c r="B18579" s="2" t="str">
        <f>IFERROR(__xludf.DUMMYFUNCTION("GOOGLETRANSLATE(A18579, ""en"", ""mt"")"),"X'ġara lil Dane?")</f>
        <v>X'ġara lil Dane?</v>
      </c>
    </row>
    <row r="18580" ht="15.75" customHeight="1">
      <c r="A18580" s="2" t="s">
        <v>18580</v>
      </c>
      <c r="B18580" s="2" t="str">
        <f>IFERROR(__xludf.DUMMYFUNCTION("GOOGLETRANSLATE(A18580, ""en"", ""mt"")"),"Prostaglandini")</f>
        <v>Prostaglandini</v>
      </c>
    </row>
    <row r="18581" ht="15.75" customHeight="1">
      <c r="A18581" s="2" t="s">
        <v>18581</v>
      </c>
      <c r="B18581" s="2" t="str">
        <f>IFERROR(__xludf.DUMMYFUNCTION("GOOGLETRANSLATE(A18581, ""en"", ""mt"")"),"L-immunoloġija hija ferm sperimentali fil-prattika ta 'kuljum iżda hija wkoll ikkaratterizzata minn attitudni teoretika kontinwa. Ħafna teoriji ġew issuġġeriti fl-immunoloġija mill-aħħar tas-seklu dsatax sal-lum. L-aħħar tas-seklu 19 u l-bidu tas-seklu 20"&amp;" raw battalja bejn teoriji ""ċellulari"" u ""umoristiċi"" tal-immunità. Skond it-teorija ċellulari tal-immunità, irrappreżentata b'mod partikolari minn Elie Metchnikoff, kienu ċelloli - b'mod aktar preċiż, fagoċiti - li kienu responsabbli għar-risponsi im"&amp;"muni. B'kuntrast, it-teorija umoristika tal-immunità, miżmuma, fost oħrajn, minn Robert Koch u Emil von Behring, iddikjaraw li l-aġenti immuni attivi kienu komponenti li jinħallu (molekuli) misjuba fl- ""umuri"" tal-organiżmu aktar milli ċ-ċelloli tiegħu.")</f>
        <v>L-immunoloġija hija ferm sperimentali fil-prattika ta 'kuljum iżda hija wkoll ikkaratterizzata minn attitudni teoretika kontinwa. Ħafna teoriji ġew issuġġeriti fl-immunoloġija mill-aħħar tas-seklu dsatax sal-lum. L-aħħar tas-seklu 19 u l-bidu tas-seklu 20 raw battalja bejn teoriji "ċellulari" u "umoristiċi" tal-immunità. Skond it-teorija ċellulari tal-immunità, irrappreżentata b'mod partikolari minn Elie Metchnikoff, kienu ċelloli - b'mod aktar preċiż, fagoċiti - li kienu responsabbli għar-risponsi immuni. B'kuntrast, it-teorija umoristika tal-immunità, miżmuma, fost oħrajn, minn Robert Koch u Emil von Behring, iddikjaraw li l-aġenti immuni attivi kienu komponenti li jinħallu (molekuli) misjuba fl- "umuri" tal-organiżmu aktar milli ċ-ċelloli tiegħu.</v>
      </c>
    </row>
    <row r="18582" ht="15.75" customHeight="1">
      <c r="A18582" s="2" t="s">
        <v>18582</v>
      </c>
      <c r="B18582" s="2" t="str">
        <f>IFERROR(__xludf.DUMMYFUNCTION("GOOGLETRANSLATE(A18582, ""en"", ""mt"")"),"Meta Ġappun ħareġ dikjarazzjoni li tgħid lill-Iżraeljani biex jirtiraw mill-Palestina?")</f>
        <v>Meta Ġappun ħareġ dikjarazzjoni li tgħid lill-Iżraeljani biex jirtiraw mill-Palestina?</v>
      </c>
    </row>
    <row r="18583" ht="15.75" customHeight="1">
      <c r="A18583" s="2" t="s">
        <v>18583</v>
      </c>
      <c r="B18583" s="2" t="str">
        <f>IFERROR(__xludf.DUMMYFUNCTION("GOOGLETRANSLATE(A18583, ""en"", ""mt"")"),"It-tabella li ġejja tagħti l-akbar primes magħrufa tat-tipi msemmija. Uħud minn dawn il-primes instabu bl-użu ta ’kompjuters distribwiti. Fl-2009, il-proġett kbir ta 'tfittxija ta' l-Internet Mersenne ingħata premju ta '$ 100,000 għall-ewwel skoperta ta' "&amp;"prim b'mill-inqas 10 miljun ċifra. Il-Fondazzjoni Electronic Frontier toffri wkoll $ 150,000 u $ 250,000 għal primes b'mill-inqas 100 miljun ċifra u 1 biljun ċifra, rispettivament. Uħud mill-ikbar primes mhux magħrufa li għandhom xi forma partikolari (jiġ"&amp;"ifieri, l-ebda formula sempliċi bħal dik ta 'Mersenne Primes) ma nstabu billi ħadu biċċa ta' dejta binarja semi-random, li jibdluha f'numru N, li timmultiplikaha billi 256k għal xi numru sħiħ pożittiv K, u tfittxija għal primes possibbli fl-intervall [256"&amp;"KN + 1, 256K (n + 1) - 1]. [Ċitazzjoni meħtieġa]")</f>
        <v>It-tabella li ġejja tagħti l-akbar primes magħrufa tat-tipi msemmija. Uħud minn dawn il-primes instabu bl-użu ta ’kompjuters distribwiti. Fl-2009, il-proġett kbir ta 'tfittxija ta' l-Internet Mersenne ingħata premju ta '$ 100,000 għall-ewwel skoperta ta' prim b'mill-inqas 10 miljun ċifra. Il-Fondazzjoni Electronic Frontier toffri wkoll $ 150,000 u $ 250,000 għal primes b'mill-inqas 100 miljun ċifra u 1 biljun ċifra, rispettivament. Uħud mill-ikbar primes mhux magħrufa li għandhom xi forma partikolari (jiġifieri, l-ebda formula sempliċi bħal dik ta 'Mersenne Primes) ma nstabu billi ħadu biċċa ta' dejta binarja semi-random, li jibdluha f'numru N, li timmultiplikaha billi 256k għal xi numru sħiħ pożittiv K, u tfittxija għal primes possibbli fl-intervall [256KN + 1, 256K (n + 1) - 1]. [Ċitazzjoni meħtieġa]</v>
      </c>
    </row>
    <row r="18584" ht="15.75" customHeight="1">
      <c r="A18584" s="2" t="s">
        <v>18584</v>
      </c>
      <c r="B18584" s="2" t="str">
        <f>IFERROR(__xludf.DUMMYFUNCTION("GOOGLETRANSLATE(A18584, ""en"", ""mt"")"),"Konverżjoni Lhudija fuq skala kbira")</f>
        <v>Konverżjoni Lhudija fuq skala kbira</v>
      </c>
    </row>
    <row r="18585" ht="15.75" customHeight="1">
      <c r="A18585" s="2" t="s">
        <v>18585</v>
      </c>
      <c r="B18585" s="2" t="str">
        <f>IFERROR(__xludf.DUMMYFUNCTION("GOOGLETRANSLATE(A18585, ""en"", ""mt"")"),"akkomodazzjoni")</f>
        <v>akkomodazzjoni</v>
      </c>
    </row>
    <row r="18586" ht="15.75" customHeight="1">
      <c r="A18586" s="2" t="s">
        <v>18586</v>
      </c>
      <c r="B18586" s="2" t="str">
        <f>IFERROR(__xludf.DUMMYFUNCTION("GOOGLETRANSLATE(A18586, ""en"", ""mt"")"),"Magna tat-Turing Deterministika")</f>
        <v>Magna tat-Turing Deterministika</v>
      </c>
    </row>
    <row r="18587" ht="15.75" customHeight="1">
      <c r="A18587" s="2" t="s">
        <v>18587</v>
      </c>
      <c r="B18587" s="2" t="str">
        <f>IFERROR(__xludf.DUMMYFUNCTION("GOOGLETRANSLATE(A18587, ""en"", ""mt"")"),"Dan jimmotiva l-kunċett ta 'problema li tkun diffiċli għal klassi ta' kumplessità. Problema X hija iebsa għal klassi ta 'problemi ċ Jekk kull problema f'C tista' titnaqqas għal X. Għalhekk l-ebda problema f'C ma hija iktar diffiċli minn X, peress li algor"&amp;"itmu għal X jippermettilna nsolvu kwalunkwe problema f'C. Naturalment, Il-kunċett ta 'problemi iebsa jiddependi mit-tip ta' tnaqqis li qed jintuża. Għal klassijiet ta 'kumplessità ikbar minn P, tnaqqis fil-ħin polinomjali huma komunement użati. B'mod part"&amp;"ikolari, is-sett ta 'problemi li huma diffiċli għal NP huwa s-sett ta' problemi iebsin ta 'NP.")</f>
        <v>Dan jimmotiva l-kunċett ta 'problema li tkun diffiċli għal klassi ta' kumplessità. Problema X hija iebsa għal klassi ta 'problemi ċ Jekk kull problema f'C tista' titnaqqas għal X. Għalhekk l-ebda problema f'C ma hija iktar diffiċli minn X, peress li algoritmu għal X jippermettilna nsolvu kwalunkwe problema f'C. Naturalment, Il-kunċett ta 'problemi iebsa jiddependi mit-tip ta' tnaqqis li qed jintuża. Għal klassijiet ta 'kumplessità ikbar minn P, tnaqqis fil-ħin polinomjali huma komunement użati. B'mod partikolari, is-sett ta 'problemi li huma diffiċli għal NP huwa s-sett ta' problemi iebsin ta 'NP.</v>
      </c>
    </row>
    <row r="18588" ht="15.75" customHeight="1">
      <c r="A18588" s="2" t="s">
        <v>18588</v>
      </c>
      <c r="B18588" s="2" t="str">
        <f>IFERROR(__xludf.DUMMYFUNCTION("GOOGLETRANSLATE(A18588, ""en"", ""mt"")"),"Inżul Lunar bl-ekwipaġġ")</f>
        <v>Inżul Lunar bl-ekwipaġġ</v>
      </c>
    </row>
    <row r="18589" ht="15.75" customHeight="1">
      <c r="A18589" s="2" t="s">
        <v>18589</v>
      </c>
      <c r="B18589" s="2" t="str">
        <f>IFERROR(__xludf.DUMMYFUNCTION("GOOGLETRANSLATE(A18589, ""en"", ""mt"")"),"Il-biċċa l-kbira tal-kors attwali tar-Rhine ma kienx taħt is-silġ matul l-aħħar età tas-silġ; Għalkemm, is-sors tiegħu xorta għandu jkun glaċier. Tundra, bil-flora u l-fawna tal-età tas-silġ, tiġġebbed madwar l-Ewropa Nofsani, mill-Asja sal-Oċean Atlantik"&amp;"u. Dan kien il-każ matul l-aħħar massimu glaċjali, ca. 22,000–14,000 yr bp, meta l-folji tas-silġ koprew l-Iskandinavja, il-Baltiċi, l-Iskozja u l-Alpi, iżda ħallew l-ispazju bejn it-tundra miftuħa. It-trab tal-loess jew tar-riħ minfuħ fuq dik it-tundra, "&amp;"stabbilixxa ġewwa u madwar il-wied tar-Renu, li jikkontribwixxi għall-utilità agrikola attwali tagħha.")</f>
        <v>Il-biċċa l-kbira tal-kors attwali tar-Rhine ma kienx taħt is-silġ matul l-aħħar età tas-silġ; Għalkemm, is-sors tiegħu xorta għandu jkun glaċier. Tundra, bil-flora u l-fawna tal-età tas-silġ, tiġġebbed madwar l-Ewropa Nofsani, mill-Asja sal-Oċean Atlantiku. Dan kien il-każ matul l-aħħar massimu glaċjali, ca. 22,000–14,000 yr bp, meta l-folji tas-silġ koprew l-Iskandinavja, il-Baltiċi, l-Iskozja u l-Alpi, iżda ħallew l-ispazju bejn it-tundra miftuħa. It-trab tal-loess jew tar-riħ minfuħ fuq dik it-tundra, stabbilixxa ġewwa u madwar il-wied tar-Renu, li jikkontribwixxi għall-utilità agrikola attwali tagħha.</v>
      </c>
    </row>
    <row r="18590" ht="15.75" customHeight="1">
      <c r="A18590" s="2" t="s">
        <v>18590</v>
      </c>
      <c r="B18590" s="2" t="str">
        <f>IFERROR(__xludf.DUMMYFUNCTION("GOOGLETRANSLATE(A18590, ""en"", ""mt"")"),"X'tfittex Luther biex jirrestawra?")</f>
        <v>X'tfittex Luther biex jirrestawra?</v>
      </c>
    </row>
    <row r="18591" ht="15.75" customHeight="1">
      <c r="A18591" s="2" t="s">
        <v>18591</v>
      </c>
      <c r="B18591" s="2" t="str">
        <f>IFERROR(__xludf.DUMMYFUNCTION("GOOGLETRANSLATE(A18591, ""en"", ""mt"")"),"31–24")</f>
        <v>31–24</v>
      </c>
    </row>
    <row r="18592" ht="15.75" customHeight="1">
      <c r="A18592" s="2" t="s">
        <v>18592</v>
      </c>
      <c r="B18592" s="2" t="str">
        <f>IFERROR(__xludf.DUMMYFUNCTION("GOOGLETRANSLATE(A18592, ""en"", ""mt"")"),"X'kienu l-ismijiet tas-sħab il-ġodda ta 'Tesla?")</f>
        <v>X'kienu l-ismijiet tas-sħab il-ġodda ta 'Tesla?</v>
      </c>
    </row>
    <row r="18593" ht="15.75" customHeight="1">
      <c r="A18593" s="2" t="s">
        <v>18593</v>
      </c>
      <c r="B18593" s="2" t="str">
        <f>IFERROR(__xludf.DUMMYFUNCTION("GOOGLETRANSLATE(A18593, ""en"", ""mt"")"),"qaddejja lajċi")</f>
        <v>qaddejja lajċi</v>
      </c>
    </row>
    <row r="18594" ht="15.75" customHeight="1">
      <c r="A18594" s="2" t="s">
        <v>18594</v>
      </c>
      <c r="B18594" s="2" t="str">
        <f>IFERROR(__xludf.DUMMYFUNCTION("GOOGLETRANSLATE(A18594, ""en"", ""mt"")"),"Fejn kienet l-ewwel ftehim fir-Rabat?")</f>
        <v>Fejn kienet l-ewwel ftehim fir-Rabat?</v>
      </c>
    </row>
    <row r="18595" ht="15.75" customHeight="1">
      <c r="A18595" s="2" t="s">
        <v>18595</v>
      </c>
      <c r="B18595" s="2" t="str">
        <f>IFERROR(__xludf.DUMMYFUNCTION("GOOGLETRANSLATE(A18595, ""en"", ""mt"")"),"Qatt")</f>
        <v>Qatt</v>
      </c>
    </row>
    <row r="18596" ht="15.75" customHeight="1">
      <c r="A18596" s="2" t="s">
        <v>18596</v>
      </c>
      <c r="B18596" s="2" t="str">
        <f>IFERROR(__xludf.DUMMYFUNCTION("GOOGLETRANSLATE(A18596, ""en"", ""mt"")"),"ambjent")</f>
        <v>ambjent</v>
      </c>
    </row>
    <row r="18597" ht="15.75" customHeight="1">
      <c r="A18597" s="2" t="s">
        <v>18597</v>
      </c>
      <c r="B18597" s="2" t="str">
        <f>IFERROR(__xludf.DUMMYFUNCTION("GOOGLETRANSLATE(A18597, ""en"", ""mt"")"),"Valur taċ-zokkor tal-gżejjer tal-Karibew")</f>
        <v>Valur taċ-zokkor tal-gżejjer tal-Karibew</v>
      </c>
    </row>
    <row r="18598" ht="15.75" customHeight="1">
      <c r="A18598" s="2" t="s">
        <v>18598</v>
      </c>
      <c r="B18598" s="2" t="str">
        <f>IFERROR(__xludf.DUMMYFUNCTION("GOOGLETRANSLATE(A18598, ""en"", ""mt"")"),"In-nisġa")</f>
        <v>In-nisġa</v>
      </c>
    </row>
    <row r="18599" ht="15.75" customHeight="1">
      <c r="A18599" s="2" t="s">
        <v>18599</v>
      </c>
      <c r="B18599" s="2" t="str">
        <f>IFERROR(__xludf.DUMMYFUNCTION("GOOGLETRANSLATE(A18599, ""en"", ""mt"")"),"Ħafna tipi ta 'magni tat-Turing jintużaw biex jiddefinixxu klassijiet ta' kumplessità, bħal magni tat-turing deterministiċi, magni tat-turing probabilistiċi, magni tat-Turing mhux deterministiċi, magni kwantistiċi tat-Turing, magni simmetriċi tat-Turing u"&amp;" magni li jalternaw. Dawn huma kollha daqstant qawwija fil-prinċipju, iżda meta r-riżorsi (bħal ħin jew spazju) huma limitati, uħud minn dawn jistgħu jkunu aktar qawwija minn oħrajn.")</f>
        <v>Ħafna tipi ta 'magni tat-Turing jintużaw biex jiddefinixxu klassijiet ta' kumplessità, bħal magni tat-turing deterministiċi, magni tat-turing probabilistiċi, magni tat-Turing mhux deterministiċi, magni kwantistiċi tat-Turing, magni simmetriċi tat-Turing u magni li jalternaw. Dawn huma kollha daqstant qawwija fil-prinċipju, iżda meta r-riżorsi (bħal ħin jew spazju) huma limitati, uħud minn dawn jistgħu jkunu aktar qawwija minn oħrajn.</v>
      </c>
    </row>
    <row r="18600" ht="15.75" customHeight="1">
      <c r="A18600" s="2" t="s">
        <v>18600</v>
      </c>
      <c r="B18600" s="2" t="str">
        <f>IFERROR(__xludf.DUMMYFUNCTION("GOOGLETRANSLATE(A18600, ""en"", ""mt"")"),"L-intestatura tal-pakkett hija twila")</f>
        <v>L-intestatura tal-pakkett hija twila</v>
      </c>
    </row>
    <row r="18601" ht="15.75" customHeight="1">
      <c r="A18601" s="2" t="s">
        <v>18601</v>
      </c>
      <c r="B18601" s="2" t="str">
        <f>IFERROR(__xludf.DUMMYFUNCTION("GOOGLETRANSLATE(A18601, ""en"", ""mt"")"),"sistema magħluqa")</f>
        <v>sistema magħluqa</v>
      </c>
    </row>
    <row r="18602" ht="15.75" customHeight="1">
      <c r="A18602" s="2" t="s">
        <v>18602</v>
      </c>
      <c r="B18602" s="2" t="str">
        <f>IFERROR(__xludf.DUMMYFUNCTION("GOOGLETRANSLATE(A18602, ""en"", ""mt"")"),"Liema molekuli huma rikonoxxuti bħala barranin mis-sistema immuni?")</f>
        <v>Liema molekuli huma rikonoxxuti bħala barranin mis-sistema immuni?</v>
      </c>
    </row>
    <row r="18603" ht="15.75" customHeight="1">
      <c r="A18603" s="2" t="s">
        <v>18603</v>
      </c>
      <c r="B18603" s="2" t="str">
        <f>IFERROR(__xludf.DUMMYFUNCTION("GOOGLETRANSLATE(A18603, ""en"", ""mt"")"),"Disa 'membri,")</f>
        <v>Disa 'membri,</v>
      </c>
    </row>
    <row r="18604" ht="15.75" customHeight="1">
      <c r="A18604" s="2" t="s">
        <v>18604</v>
      </c>
      <c r="B18604" s="2" t="str">
        <f>IFERROR(__xludf.DUMMYFUNCTION("GOOGLETRANSLATE(A18604, ""en"", ""mt"")"),"Kif jissejjaħ kors ta ’studju?")</f>
        <v>Kif jissejjaħ kors ta ’studju?</v>
      </c>
    </row>
    <row r="18605" ht="15.75" customHeight="1">
      <c r="A18605" s="2" t="s">
        <v>18605</v>
      </c>
      <c r="B18605" s="2" t="str">
        <f>IFERROR(__xludf.DUMMYFUNCTION("GOOGLETRANSLATE(A18605, ""en"", ""mt"")"),"F'liema sena nfetħu l-Qrati tat-Tramuntana u tan-Nofsinhar?")</f>
        <v>F'liema sena nfetħu l-Qrati tat-Tramuntana u tan-Nofsinhar?</v>
      </c>
    </row>
    <row r="18606" ht="15.75" customHeight="1">
      <c r="A18606" s="2" t="s">
        <v>18606</v>
      </c>
      <c r="B18606" s="2" t="str">
        <f>IFERROR(__xludf.DUMMYFUNCTION("GOOGLETRANSLATE(A18606, ""en"", ""mt"")"),"X'inhu PPP magħruf ukoll bħala?")</f>
        <v>X'inhu PPP magħruf ukoll bħala?</v>
      </c>
    </row>
    <row r="18607" ht="15.75" customHeight="1">
      <c r="A18607" s="2" t="s">
        <v>18607</v>
      </c>
      <c r="B18607" s="2" t="str">
        <f>IFERROR(__xludf.DUMMYFUNCTION("GOOGLETRANSLATE(A18607, ""en"", ""mt"")"),"Ir-Rhodesia tat-Tramuntana")</f>
        <v>Ir-Rhodesia tat-Tramuntana</v>
      </c>
    </row>
    <row r="18608" ht="15.75" customHeight="1">
      <c r="A18608" s="2" t="s">
        <v>18608</v>
      </c>
      <c r="B18608" s="2" t="str">
        <f>IFERROR(__xludf.DUMMYFUNCTION("GOOGLETRANSLATE(A18608, ""en"", ""mt"")"),"1 kienu meqjusa bħala prim")</f>
        <v>1 kienu meqjusa bħala prim</v>
      </c>
    </row>
    <row r="18609" ht="15.75" customHeight="1">
      <c r="A18609" s="2" t="s">
        <v>18609</v>
      </c>
      <c r="B18609" s="2" t="str">
        <f>IFERROR(__xludf.DUMMYFUNCTION("GOOGLETRANSLATE(A18609, ""en"", ""mt"")"),"għaxar miljun")</f>
        <v>għaxar miljun</v>
      </c>
    </row>
    <row r="18610" ht="15.75" customHeight="1">
      <c r="A18610" s="2" t="s">
        <v>18610</v>
      </c>
      <c r="B18610" s="2" t="str">
        <f>IFERROR(__xludf.DUMMYFUNCTION("GOOGLETRANSLATE(A18610, ""en"", ""mt"")"),"Kellu jiġi kkonvertit")</f>
        <v>Kellu jiġi kkonvertit</v>
      </c>
    </row>
    <row r="18611" ht="15.75" customHeight="1">
      <c r="A18611" s="2" t="s">
        <v>18611</v>
      </c>
      <c r="B18611" s="2" t="str">
        <f>IFERROR(__xludf.DUMMYFUNCTION("GOOGLETRANSLATE(A18611, ""en"", ""mt"")"),"""L-użu tal-flus,""")</f>
        <v>"L-użu tal-flus,"</v>
      </c>
    </row>
    <row r="18612" ht="15.75" customHeight="1">
      <c r="A18612" s="2" t="s">
        <v>18612</v>
      </c>
      <c r="B18612" s="2" t="str">
        <f>IFERROR(__xludf.DUMMYFUNCTION("GOOGLETRANSLATE(A18612, ""en"", ""mt"")"),"L-uffiċjal li jippresiedi (jew id-deputat uffiċjal li jippresiedi) jiddeċiedi min jitkellem fid-dibattiti tal-kamra u l-ammont ta 'ħin li għalih huma permessi jitkellmu. Normalment, l-uffiċjal li jippresiedi jipprova jikseb bilanċ bejn il-perspettivi diff"&amp;"erenti u l-partiti politiċi meta jagħżlu membri biex jitkellmu. Tipikament, il-ministri jew il-mexxejja tal-partiti jiftħu dibattiti, bil-kelliema tal-ftuħ mogħtija bejn 5 u 20 minuta, u kelliema suċċessivi allokaw inqas ħin. L-uffiċjal li jippresiedi jis"&amp;"ta 'jnaqqas il-ħin tat-taħdit jekk numru kbir ta' membri jixtiequ jipparteċipaw fid-dibattitu. Id-dibattitu huwa aktar informali milli f'xi sistemi parlamentari. Il-membri jistgħu jsejħu lil xulxin direttament bl-isem, aktar milli bil-kostitwenza jew il-p"&amp;"ożizzjoni tal-kabinett, u l-irkupru tal-idejn huwa permess. Diskorsi lill-Awla huma normalment imwassla bl-Ingliż, iżda l-membri jistgħu jużaw Skoċċiżi, Gaeliċi, jew kwalunkwe lingwa oħra bil-ftehim tal-uffiċjal li jippresiedi. Il-Parlament Skoċċiż mexxa "&amp;"dibattiti bil-lingwa Gaelika.")</f>
        <v>L-uffiċjal li jippresiedi (jew id-deputat uffiċjal li jippresiedi) jiddeċiedi min jitkellem fid-dibattiti tal-kamra u l-ammont ta 'ħin li għalih huma permessi jitkellmu. Normalment, l-uffiċjal li jippresiedi jipprova jikseb bilanċ bejn il-perspettivi differenti u l-partiti politiċi meta jagħżlu membri biex jitkellmu. Tipikament, il-ministri jew il-mexxejja tal-partiti jiftħu dibattiti, bil-kelliema tal-ftuħ mogħtija bejn 5 u 20 minuta, u kelliema suċċessivi allokaw inqas ħin. L-uffiċjal li jippresiedi jista 'jnaqqas il-ħin tat-taħdit jekk numru kbir ta' membri jixtiequ jipparteċipaw fid-dibattitu. Id-dibattitu huwa aktar informali milli f'xi sistemi parlamentari. Il-membri jistgħu jsejħu lil xulxin direttament bl-isem, aktar milli bil-kostitwenza jew il-pożizzjoni tal-kabinett, u l-irkupru tal-idejn huwa permess. Diskorsi lill-Awla huma normalment imwassla bl-Ingliż, iżda l-membri jistgħu jużaw Skoċċiżi, Gaeliċi, jew kwalunkwe lingwa oħra bil-ftehim tal-uffiċjal li jippresiedi. Il-Parlament Skoċċiż mexxa dibattiti bil-lingwa Gaelika.</v>
      </c>
    </row>
    <row r="18613" ht="15.75" customHeight="1">
      <c r="A18613" s="2" t="s">
        <v>18613</v>
      </c>
      <c r="B18613" s="2" t="str">
        <f>IFERROR(__xludf.DUMMYFUNCTION("GOOGLETRANSLATE(A18613, ""en"", ""mt"")"),"ċar")</f>
        <v>ċar</v>
      </c>
    </row>
    <row r="18614" ht="15.75" customHeight="1">
      <c r="A18614" s="2" t="s">
        <v>18614</v>
      </c>
      <c r="B18614" s="2" t="str">
        <f>IFERROR(__xludf.DUMMYFUNCTION("GOOGLETRANSLATE(A18614, ""en"", ""mt"")"),"48.8 ° C.")</f>
        <v>48.8 ° C.</v>
      </c>
    </row>
    <row r="18615" ht="15.75" customHeight="1">
      <c r="A18615" s="2" t="s">
        <v>18615</v>
      </c>
      <c r="B18615" s="2" t="str">
        <f>IFERROR(__xludf.DUMMYFUNCTION("GOOGLETRANSLATE(A18615, ""en"", ""mt"")"),"Lincoln Continental,")</f>
        <v>Lincoln Continental,</v>
      </c>
    </row>
    <row r="18616" ht="15.75" customHeight="1">
      <c r="A18616" s="2" t="s">
        <v>18616</v>
      </c>
      <c r="B18616" s="2" t="str">
        <f>IFERROR(__xludf.DUMMYFUNCTION("GOOGLETRANSLATE(A18616, ""en"", ""mt"")"),"Għaliex xi nies għażlu li jmorru l-ħabs għad-diżubbidjenza tagħhom?")</f>
        <v>Għaliex xi nies għażlu li jmorru l-ħabs għad-diżubbidjenza tagħhom?</v>
      </c>
    </row>
    <row r="18617" ht="15.75" customHeight="1">
      <c r="A18617" s="2" t="s">
        <v>18617</v>
      </c>
      <c r="B18617" s="2" t="str">
        <f>IFERROR(__xludf.DUMMYFUNCTION("GOOGLETRANSLATE(A18617, ""en"", ""mt"")"),"It-tentakli ta 'ctenophores cydippid huma tipikament fringed bit-tentilla (""ftit tentakli""), għalkemm ftit ġeneri għandhom tentakli sempliċi mingħajr dawn il-sidebranches. It-tentakli u t-tentilla huma densament mgħottija b'kolloblasti mikroskopiċi li j"&amp;"aqbdu l-priża billi jeħlu magħha. Il-kolloblasti huma ċelloli speċjalizzati f'forma ta 'faqqiegħ fis-saff ta' barra ta 'l-epidermide, u għandhom tliet komponenti ewlenin: ras koppla bil-vesikuli (kmamar) li fihom kolla; zokk li jankra ċ-ċellula fis-saff t"&amp;"'isfel tal-epidermide jew fil-mesoglea; u ħajta spirali li tgħaqqad iz-zokk u hija mwaħħla mar-ras u mal-għerq taz-zokk. Il-funzjoni tal-ħajt spirali hija inċerta, iżda tista 'tassorbi l-istress meta l-priża tipprova taħrab, u b'hekk tipprevjeni li l-koll"&amp;"obast jinqata'. Minbarra l-kolloblasti, il-membri tal-ġeneru Haeckelia, li jitimgħu prinċipalment fuq il-bram, jinkorporaw in-nematokiti tal-vittmi tagħhom fit-tentakli tagħhom stess - xi nudibranchs li jieklu cnidaria bl-istess mod jinkorporaw nematokiti"&amp;" fil-korpi tagħhom għad-difiża. It-tentilla ta 'euplokamis tvarja b'mod sinifikanti minn dawk ta' ċidippidi oħra: fihom muskolu strijat, tip ta 'ċellula mod ieħor mhux magħruf fil-phylum ctenophora; U huma mkebbsa meta jkunu rilassati, waqt li t-tentilla "&amp;"tal-ctenophores l-oħra kollha tawwalija meta jkunu rilassati. It-tentilla ta 'Euplokamis għandhom tliet tipi ta' moviment li jintużaw fil-qbid tal-priża: jistgħu joħorġu malajr ħafna (f'40 sa 60 millisekonda); Jistgħu jikbru, li jistgħu jattiraw il-priża "&amp;"billi jġibu ruħhom bħal dud żgħir planktoniku; U huma coil priża tonda. Il-flicking uniku huwa moviment li ma joħroġx imħaddem mill-kontrazzjoni tal-muskolu strijat. Il-moviment tat-tikmix huwa prodott minn muskoli lixxi, iżda ta 'tip speċjalizzat ħafna. "&amp;"Il-coiling madwar il-priża jitwettaq fil-biċċa l-kbira mir-ritorn tat-tentilla għall-istat inattiv tagħhom, iżda l-kolji jistgħu jiġu ssikkati mill-muskolu lixx.")</f>
        <v>It-tentakli ta 'ctenophores cydippid huma tipikament fringed bit-tentilla ("ftit tentakli"), għalkemm ftit ġeneri għandhom tentakli sempliċi mingħajr dawn il-sidebranches. It-tentakli u t-tentilla huma densament mgħottija b'kolloblasti mikroskopiċi li jaqbdu l-priża billi jeħlu magħha. Il-kolloblasti huma ċelloli speċjalizzati f'forma ta 'faqqiegħ fis-saff ta' barra ta 'l-epidermide, u għandhom tliet komponenti ewlenin: ras koppla bil-vesikuli (kmamar) li fihom kolla; zokk li jankra ċ-ċellula fis-saff t'isfel tal-epidermide jew fil-mesoglea; u ħajta spirali li tgħaqqad iz-zokk u hija mwaħħla mar-ras u mal-għerq taz-zokk. Il-funzjoni tal-ħajt spirali hija inċerta, iżda tista 'tassorbi l-istress meta l-priża tipprova taħrab, u b'hekk tipprevjeni li l-kollobast jinqata'. Minbarra l-kolloblasti, il-membri tal-ġeneru Haeckelia, li jitimgħu prinċipalment fuq il-bram, jinkorporaw in-nematokiti tal-vittmi tagħhom fit-tentakli tagħhom stess - xi nudibranchs li jieklu cnidaria bl-istess mod jinkorporaw nematokiti fil-korpi tagħhom għad-difiża. It-tentilla ta 'euplokamis tvarja b'mod sinifikanti minn dawk ta' ċidippidi oħra: fihom muskolu strijat, tip ta 'ċellula mod ieħor mhux magħruf fil-phylum ctenophora; U huma mkebbsa meta jkunu rilassati, waqt li t-tentilla tal-ctenophores l-oħra kollha tawwalija meta jkunu rilassati. It-tentilla ta 'Euplokamis għandhom tliet tipi ta' moviment li jintużaw fil-qbid tal-priża: jistgħu joħorġu malajr ħafna (f'40 sa 60 millisekonda); Jistgħu jikbru, li jistgħu jattiraw il-priża billi jġibu ruħhom bħal dud żgħir planktoniku; U huma coil priża tonda. Il-flicking uniku huwa moviment li ma joħroġx imħaddem mill-kontrazzjoni tal-muskolu strijat. Il-moviment tat-tikmix huwa prodott minn muskoli lixxi, iżda ta 'tip speċjalizzat ħafna. Il-coiling madwar il-priża jitwettaq fil-biċċa l-kbira mir-ritorn tat-tentilla għall-istat inattiv tagħhom, iżda l-kolji jistgħu jiġu ssikkati mill-muskolu lixx.</v>
      </c>
    </row>
    <row r="18618" ht="15.75" customHeight="1">
      <c r="A18618" s="2" t="s">
        <v>18618</v>
      </c>
      <c r="B18618" s="2" t="str">
        <f>IFERROR(__xludf.DUMMYFUNCTION("GOOGLETRANSLATE(A18618, ""en"", ""mt"")"),"Meta kienet il-kostruzzjoni li biddlet id-delta tar-Rhine?")</f>
        <v>Meta kienet il-kostruzzjoni li biddlet id-delta tar-Rhine?</v>
      </c>
    </row>
    <row r="18619" ht="15.75" customHeight="1">
      <c r="A18619" s="2" t="s">
        <v>18619</v>
      </c>
      <c r="B18619" s="2" t="str">
        <f>IFERROR(__xludf.DUMMYFUNCTION("GOOGLETRANSLATE(A18619, ""en"", ""mt"")"),"kostruttiv")</f>
        <v>kostruttiv</v>
      </c>
    </row>
    <row r="18620" ht="15.75" customHeight="1">
      <c r="A18620" s="2" t="s">
        <v>18620</v>
      </c>
      <c r="B18620" s="2" t="str">
        <f>IFERROR(__xludf.DUMMYFUNCTION("GOOGLETRANSLATE(A18620, ""en"", ""mt"")"),"Il-kloroplasti għandhom id-DNA tagħhom stess, ħafna drabi mqassra bħala ctDNA, jew cpDNA. Huwa magħruf ukoll bħala l-plastome. L-eżistenza tagħha ġiet ippruvata għall-ewwel darba fl-1962, u l-ewwel sekwenzat fl-1986 - meta żewġ timijiet ta 'riċerka Ġappun"&amp;"iżi sekwenzjaw id-DNA tal-kloroplast ta' Liverwort u Tabakk. Minn dakinhar, mijiet ta 'DNAs tal-kloroplast minn speċi varji ġew sekwenzjati, iżda huma l-aktar dawk ta' pjanti tal-art u alka ħadra - glaukofiti, alka ħamra, u gruppi oħra tal-alka huma estre"&amp;"mament mhux irrappreżentati, potenzjalment jintroduċu xi preġudizzju fil-fehmiet ta '""tipiċi"" Struttura u kontenut tad-DNA tal-kloroplast.")</f>
        <v>Il-kloroplasti għandhom id-DNA tagħhom stess, ħafna drabi mqassra bħala ctDNA, jew cpDNA. Huwa magħruf ukoll bħala l-plastome. L-eżistenza tagħha ġiet ippruvata għall-ewwel darba fl-1962, u l-ewwel sekwenzat fl-1986 - meta żewġ timijiet ta 'riċerka Ġappuniżi sekwenzjaw id-DNA tal-kloroplast ta' Liverwort u Tabakk. Minn dakinhar, mijiet ta 'DNAs tal-kloroplast minn speċi varji ġew sekwenzjati, iżda huma l-aktar dawk ta' pjanti tal-art u alka ħadra - glaukofiti, alka ħamra, u gruppi oħra tal-alka huma estremament mhux irrappreżentati, potenzjalment jintroduċu xi preġudizzju fil-fehmiet ta '"tipiċi" Struttura u kontenut tad-DNA tal-kloroplast.</v>
      </c>
    </row>
    <row r="18621" ht="15.75" customHeight="1">
      <c r="A18621" s="2" t="s">
        <v>18621</v>
      </c>
      <c r="B18621" s="2" t="str">
        <f>IFERROR(__xludf.DUMMYFUNCTION("GOOGLETRANSLATE(A18621, ""en"", ""mt"")"),"Xmara Kalka")</f>
        <v>Xmara Kalka</v>
      </c>
    </row>
    <row r="18622" ht="15.75" customHeight="1">
      <c r="A18622" s="2" t="s">
        <v>18622</v>
      </c>
      <c r="B18622" s="2" t="str">
        <f>IFERROR(__xludf.DUMMYFUNCTION("GOOGLETRANSLATE(A18622, ""en"", ""mt"")"),"iċedu jew il-possedimenti kontinentali tagħha tal-Amerika ta ’Fuq fil-lvant tal-Mississippi jew il-gżejjer tal-Karibew ta’ Guadeloupe u Martinique")</f>
        <v>iċedu jew il-possedimenti kontinentali tagħha tal-Amerika ta ’Fuq fil-lvant tal-Mississippi jew il-gżejjer tal-Karibew ta’ Guadeloupe u Martinique</v>
      </c>
    </row>
    <row r="18623" ht="15.75" customHeight="1">
      <c r="A18623" s="2" t="s">
        <v>18623</v>
      </c>
      <c r="B18623" s="2" t="str">
        <f>IFERROR(__xludf.DUMMYFUNCTION("GOOGLETRANSLATE(A18623, ""en"", ""mt"")"),"Klassiku Dinji tal-Oratorju li jagħmel l-Epoch")</f>
        <v>Klassiku Dinji tal-Oratorju li jagħmel l-Epoch</v>
      </c>
    </row>
    <row r="18624" ht="15.75" customHeight="1">
      <c r="A18624" s="2" t="s">
        <v>18624</v>
      </c>
      <c r="B18624" s="2" t="str">
        <f>IFERROR(__xludf.DUMMYFUNCTION("GOOGLETRANSLATE(A18624, ""en"", ""mt"")"),"Ħalq ix-Xmara Monongahela (is-sit tal-lum Pittsburgh, Pennsylvania)")</f>
        <v>Ħalq ix-Xmara Monongahela (is-sit tal-lum Pittsburgh, Pennsylvania)</v>
      </c>
    </row>
    <row r="18625" ht="15.75" customHeight="1">
      <c r="A18625" s="2" t="s">
        <v>18625</v>
      </c>
      <c r="B18625" s="2" t="str">
        <f>IFERROR(__xludf.DUMMYFUNCTION("GOOGLETRANSLATE(A18625, ""en"", ""mt"")"),"Bejn madwar l-1964 u l-1973, ammonti kbar ta 'materjal anzjan maħżun fid-diversi video tape tal-BBC u l-libreriji tal-films ġew meqruda, [nota 3] jintmesaħ, jew sofrew minn ħażna ħażina li wasslet għal deterjorazzjoni severa mill-kwalità tax-xandir. Dan k"&amp;"ien jinkludi bosta episodji antiki ta 'Doctor Who, l-aktar stejjer li jidhru l-ewwel żewġ tobba: William Hartnell u Patrick Troughton. B’kollox, 97 minn 253 episodju prodotti matul l-ewwel sitt snin tal-programm ma jinżammux fl-arkivji tal-BBC (l-aktar st"&amp;"aġuni 3, 4, u 5, li minnu huma nieqsa 79 episodju). Fl-1972, kważi l-episodji kollha li saru kienu magħrufa li jeżistu fil-BBC, filwaqt li sal-1978 il-prattika ta 'timsaħ tapes u li teqred kopji ta' films ""żejda"" twaqqfu.")</f>
        <v>Bejn madwar l-1964 u l-1973, ammonti kbar ta 'materjal anzjan maħżun fid-diversi video tape tal-BBC u l-libreriji tal-films ġew meqruda, [nota 3] jintmesaħ, jew sofrew minn ħażna ħażina li wasslet għal deterjorazzjoni severa mill-kwalità tax-xandir. Dan kien jinkludi bosta episodji antiki ta 'Doctor Who, l-aktar stejjer li jidhru l-ewwel żewġ tobba: William Hartnell u Patrick Troughton. B’kollox, 97 minn 253 episodju prodotti matul l-ewwel sitt snin tal-programm ma jinżammux fl-arkivji tal-BBC (l-aktar staġuni 3, 4, u 5, li minnu huma nieqsa 79 episodju). Fl-1972, kważi l-episodji kollha li saru kienu magħrufa li jeżistu fil-BBC, filwaqt li sal-1978 il-prattika ta 'timsaħ tapes u li teqred kopji ta' films "żejda" twaqqfu.</v>
      </c>
    </row>
    <row r="18626" ht="15.75" customHeight="1">
      <c r="A18626" s="2" t="s">
        <v>18626</v>
      </c>
      <c r="B18626" s="2" t="str">
        <f>IFERROR(__xludf.DUMMYFUNCTION("GOOGLETRANSLATE(A18626, ""en"", ""mt"")"),"Gotiku")</f>
        <v>Gotiku</v>
      </c>
    </row>
    <row r="18627" ht="15.75" customHeight="1">
      <c r="A18627" s="2" t="s">
        <v>18627</v>
      </c>
      <c r="B18627" s="2" t="str">
        <f>IFERROR(__xludf.DUMMYFUNCTION("GOOGLETRANSLATE(A18627, ""en"", ""mt"")"),"Staġun 1965–66")</f>
        <v>Staġun 1965–66</v>
      </c>
    </row>
    <row r="18628" ht="15.75" customHeight="1">
      <c r="A18628" s="2" t="s">
        <v>18628</v>
      </c>
      <c r="B18628" s="2" t="str">
        <f>IFERROR(__xludf.DUMMYFUNCTION("GOOGLETRANSLATE(A18628, ""en"", ""mt"")"),"Hemm aktar minn 10,000 oġġett magħmul mill-fidda jew deheb fil-kollezzjoni, il-wiri (madwar 15% tal-kollezzjoni) huwa maqsum fi sekulari kif ukoll sagru li jkopri kemm Kristjani (Kattoliċi Rumani, Ortodossi Anglikani u Griegi) u bastimenti liturġiċi Lhudi"&amp;"ja u oġġetti. Il-gallerija tal-fidda ewlenija hija maqsuma f'dawn iż-żoni: il-fidda Ingliża qabel l-1800; Silver Brittaniku mill-1800 sal-1900; modernist għall-fidda kontemporanja; Fidda Ewropea. Il-kollezzjoni tinkludi l-ewwel biċċa magħrufa tal-fidda In"&amp;"gliża bil-qofol tad-data, beaker tal-fidda tal-fidda datata 1496–97. Silversmiths ""li x-xogħol tiegħu huwa rrappreżentat fil-kollezzjoni jinkludu Paul de Lamerie u Paul Storr li l-Castlereagh Inkstand datat 1817–19 huwa wieħed mill-ifjen xogħlijiet tiegħ"&amp;"u. Il-gallerija ewlenija tax-xogħol tal-ħadid tkopri ħadid maħdum u mitfugħ Ewropew mill-perjodu medjevali sal-bidu tas-seklu 20. Il-kaptan tax-xogħol tal-ħadid maħdum Jean Tijou huwa rrappreżentat kemm minn eżempji tax-xogħol tiegħu kif ukoll tad-disinji"&amp;" fuq il-karta. Wieħed mill-ikbar oġġetti huwa l-iskrin Hereford, li jiżen kważi 8 tunnellati, 10.5 metri għolja u 11-il metru wiesa ', iddisinjat minn Sir George Gilbert Scott fl-1862 għall-kanċell fil-Katidral ta' Hereford, li minnu tneħħa fl-1967. Kien "&amp;"magħmul minn Skidmore &amp; Company. L-istruttura tal-injam u l-ħadid fondut tagħha hija msebbħa bil-ħadid maħdum, ram maħruq u ram. Ħafna mir-ram u xogħol tal-ħadid huwa miżbugħ f'firxa wiesgħa ta 'kuluri. L-arkati u l-kolonni huma mżejna bi kwarz illustrat "&amp;"u pannelli tal-mużajk.")</f>
        <v>Hemm aktar minn 10,000 oġġett magħmul mill-fidda jew deheb fil-kollezzjoni, il-wiri (madwar 15% tal-kollezzjoni) huwa maqsum fi sekulari kif ukoll sagru li jkopri kemm Kristjani (Kattoliċi Rumani, Ortodossi Anglikani u Griegi) u bastimenti liturġiċi Lhudija u oġġetti. Il-gallerija tal-fidda ewlenija hija maqsuma f'dawn iż-żoni: il-fidda Ingliża qabel l-1800; Silver Brittaniku mill-1800 sal-1900; modernist għall-fidda kontemporanja; Fidda Ewropea. Il-kollezzjoni tinkludi l-ewwel biċċa magħrufa tal-fidda Ingliża bil-qofol tad-data, beaker tal-fidda tal-fidda datata 1496–97. Silversmiths "li x-xogħol tiegħu huwa rrappreżentat fil-kollezzjoni jinkludu Paul de Lamerie u Paul Storr li l-Castlereagh Inkstand datat 1817–19 huwa wieħed mill-ifjen xogħlijiet tiegħu. Il-gallerija ewlenija tax-xogħol tal-ħadid tkopri ħadid maħdum u mitfugħ Ewropew mill-perjodu medjevali sal-bidu tas-seklu 20. Il-kaptan tax-xogħol tal-ħadid maħdum Jean Tijou huwa rrappreżentat kemm minn eżempji tax-xogħol tiegħu kif ukoll tad-disinji fuq il-karta. Wieħed mill-ikbar oġġetti huwa l-iskrin Hereford, li jiżen kważi 8 tunnellati, 10.5 metri għolja u 11-il metru wiesa ', iddisinjat minn Sir George Gilbert Scott fl-1862 għall-kanċell fil-Katidral ta' Hereford, li minnu tneħħa fl-1967. Kien magħmul minn Skidmore &amp; Company. L-istruttura tal-injam u l-ħadid fondut tagħha hija msebbħa bil-ħadid maħdum, ram maħruq u ram. Ħafna mir-ram u xogħol tal-ħadid huwa miżbugħ f'firxa wiesgħa ta 'kuluri. L-arkati u l-kolonni huma mżejna bi kwarz illustrat u pannelli tal-mużajk.</v>
      </c>
    </row>
    <row r="18629" ht="15.75" customHeight="1">
      <c r="A18629" s="2" t="s">
        <v>18629</v>
      </c>
      <c r="B18629" s="2" t="str">
        <f>IFERROR(__xludf.DUMMYFUNCTION("GOOGLETRANSLATE(A18629, ""en"", ""mt"")"),"Segretarju tad-Difiża ta 'l-Istati Uniti")</f>
        <v>Segretarju tad-Difiża ta 'l-Istati Uniti</v>
      </c>
    </row>
    <row r="18630" ht="15.75" customHeight="1">
      <c r="A18630" s="2" t="s">
        <v>18630</v>
      </c>
      <c r="B18630" s="2" t="str">
        <f>IFERROR(__xludf.DUMMYFUNCTION("GOOGLETRANSLATE(A18630, ""en"", ""mt"")"),"X'jispiraw is-sidien ta 'aktar kapital?")</f>
        <v>X'jispiraw is-sidien ta 'aktar kapital?</v>
      </c>
    </row>
    <row r="18631" ht="15.75" customHeight="1">
      <c r="A18631" s="2" t="s">
        <v>18631</v>
      </c>
      <c r="B18631" s="2" t="str">
        <f>IFERROR(__xludf.DUMMYFUNCTION("GOOGLETRANSLATE(A18631, ""en"", ""mt"")"),"klerikali")</f>
        <v>klerikali</v>
      </c>
    </row>
    <row r="18632" ht="15.75" customHeight="1">
      <c r="A18632" s="2" t="s">
        <v>18632</v>
      </c>
      <c r="B18632" s="2" t="str">
        <f>IFERROR(__xludf.DUMMYFUNCTION("GOOGLETRANSLATE(A18632, ""en"", ""mt"")"),"Il-Konferenza Ġenerali")</f>
        <v>Il-Konferenza Ġenerali</v>
      </c>
    </row>
    <row r="18633" ht="15.75" customHeight="1">
      <c r="A18633" s="2" t="s">
        <v>18633</v>
      </c>
      <c r="B18633" s="2" t="str">
        <f>IFERROR(__xludf.DUMMYFUNCTION("GOOGLETRANSLATE(A18633, ""en"", ""mt"")"),"L-invażjoni falliet kemm militarment kif ukoll politikament, hekk kif Pitt reġa 'ppjana kampanji sinifikanti kontra Franza l-ġdida")</f>
        <v>L-invażjoni falliet kemm militarment kif ukoll politikament, hekk kif Pitt reġa 'ppjana kampanji sinifikanti kontra Franza l-ġdida</v>
      </c>
    </row>
    <row r="18634" ht="15.75" customHeight="1">
      <c r="A18634" s="2" t="s">
        <v>18634</v>
      </c>
      <c r="B18634" s="2" t="str">
        <f>IFERROR(__xludf.DUMMYFUNCTION("GOOGLETRANSLATE(A18634, ""en"", ""mt"")"),"tul ix-xmara tana ta ’fuq")</f>
        <v>tul ix-xmara tana ta ’fuq</v>
      </c>
    </row>
    <row r="18635" ht="15.75" customHeight="1">
      <c r="A18635" s="2" t="s">
        <v>18635</v>
      </c>
      <c r="B18635" s="2" t="str">
        <f>IFERROR(__xludf.DUMMYFUNCTION("GOOGLETRANSLATE(A18635, ""en"", ""mt"")"),"Meta seħħew l-ewwel eżempji ta 'diżubbidjenza ċivili kollha kemm hi?")</f>
        <v>Meta seħħew l-ewwel eżempji ta 'diżubbidjenza ċivili kollha kemm hi?</v>
      </c>
    </row>
    <row r="18636" ht="15.75" customHeight="1">
      <c r="A18636" s="2" t="s">
        <v>18636</v>
      </c>
      <c r="B18636" s="2" t="str">
        <f>IFERROR(__xludf.DUMMYFUNCTION("GOOGLETRANSLATE(A18636, ""en"", ""mt"")"),"X'jistgħu jużaw il-kloroplasti biex jiffissaw id-dijossidu tal-karbonju f'zokkor?")</f>
        <v>X'jistgħu jużaw il-kloroplasti biex jiffissaw id-dijossidu tal-karbonju f'zokkor?</v>
      </c>
    </row>
    <row r="18637" ht="15.75" customHeight="1">
      <c r="A18637" s="2" t="s">
        <v>18637</v>
      </c>
      <c r="B18637" s="2" t="str">
        <f>IFERROR(__xludf.DUMMYFUNCTION("GOOGLETRANSLATE(A18637, ""en"", ""mt"")"),"Kemm-il darba ġie mkeċċi Cam Newton?")</f>
        <v>Kemm-il darba ġie mkeċċi Cam Newton?</v>
      </c>
    </row>
    <row r="18638" ht="15.75" customHeight="1">
      <c r="A18638" s="2" t="s">
        <v>18638</v>
      </c>
      <c r="B18638" s="2" t="str">
        <f>IFERROR(__xludf.DUMMYFUNCTION("GOOGLETRANSLATE(A18638, ""en"", ""mt"")"),"Kemm aħwa kellhom Tesla?")</f>
        <v>Kemm aħwa kellhom Tesla?</v>
      </c>
    </row>
    <row r="18639" ht="15.75" customHeight="1">
      <c r="A18639" s="2" t="s">
        <v>18639</v>
      </c>
      <c r="B18639" s="2" t="str">
        <f>IFERROR(__xludf.DUMMYFUNCTION("GOOGLETRANSLATE(A18639, ""en"", ""mt"")"),"Wara li kien innota film bil-ħsara fil-laboratorju tiegħu f'esperimenti preċedenti")</f>
        <v>Wara li kien innota film bil-ħsara fil-laboratorju tiegħu f'esperimenti preċedenti</v>
      </c>
    </row>
    <row r="18640" ht="15.75" customHeight="1">
      <c r="A18640" s="2" t="s">
        <v>18640</v>
      </c>
      <c r="B18640" s="2" t="str">
        <f>IFERROR(__xludf.DUMMYFUNCTION("GOOGLETRANSLATE(A18640, ""en"", ""mt"")"),"tnaqqis fil-livelli tal-ormoni bl-età")</f>
        <v>tnaqqis fil-livelli tal-ormoni bl-età</v>
      </c>
    </row>
    <row r="18641" ht="15.75" customHeight="1">
      <c r="A18641" s="2" t="s">
        <v>18641</v>
      </c>
      <c r="B18641" s="2" t="str">
        <f>IFERROR(__xludf.DUMMYFUNCTION("GOOGLETRANSLATE(A18641, ""en"", ""mt"")"),"Kull Mejju mill-1987, l-Università ta ’Chicago kellha l-Università ta’ Chicago Scavenger Hunt, li fiha timijiet kbar ta ’studenti jikkompetu biex jiksbu oġġetti esoteriċi notorjament minn lista. Mill-1963, il-Festival tal-Arti (FOTA) jieħu f'idejh il-kamp"&amp;"us għal 7-10 ijiem ta 'esibizzjonijiet u sforzi artistiċi interattivi. Kull Jannar, l-università għandha festival tax-xitwa tul ġimgħa, Kuviasungnerk / Kangeiko, li jinkludu rutini ta 'eżerċizzju kmieni filgħodu u workshops ta' fitness. L-università kull "&amp;"sena għandha wkoll karnival u kunċert tas-sajf imsejjaħ Summer Breeze li tospita mużiċisti barra, u hija d-dar għal Doc Films, studenti tas-soċjetà tal-films imwaqqfa fl-1932 li tiskrinja films filgħaxija fl-università. Mill-1946, l-università organizzat "&amp;"id-dibattitu Latke-Hamantash, li jinvolvi diskussjonijiet umoristiċi dwar il-merti relattivi u t-tifsiriet ta 'Latkes u Hamantashen.")</f>
        <v>Kull Mejju mill-1987, l-Università ta ’Chicago kellha l-Università ta’ Chicago Scavenger Hunt, li fiha timijiet kbar ta ’studenti jikkompetu biex jiksbu oġġetti esoteriċi notorjament minn lista. Mill-1963, il-Festival tal-Arti (FOTA) jieħu f'idejh il-kampus għal 7-10 ijiem ta 'esibizzjonijiet u sforzi artistiċi interattivi. Kull Jannar, l-università għandha festival tax-xitwa tul ġimgħa, Kuviasungnerk / Kangeiko, li jinkludu rutini ta 'eżerċizzju kmieni filgħodu u workshops ta' fitness. L-università kull sena għandha wkoll karnival u kunċert tas-sajf imsejjaħ Summer Breeze li tospita mużiċisti barra, u hija d-dar għal Doc Films, studenti tas-soċjetà tal-films imwaqqfa fl-1932 li tiskrinja films filgħaxija fl-università. Mill-1946, l-università organizzat id-dibattitu Latke-Hamantash, li jinvolvi diskussjonijiet umoristiċi dwar il-merti relattivi u t-tifsiriet ta 'Latkes u Hamantashen.</v>
      </c>
    </row>
    <row r="18642" ht="15.75" customHeight="1">
      <c r="A18642" s="2" t="s">
        <v>18642</v>
      </c>
      <c r="B18642" s="2" t="str">
        <f>IFERROR(__xludf.DUMMYFUNCTION("GOOGLETRANSLATE(A18642, ""en"", ""mt"")"),"Liema interpretazzjoni tal-Iżlam hija, għal ħafna mill-osservanti, l- ""istandard tad-deheb"" tar-reliġjon tagħhom?")</f>
        <v>Liema interpretazzjoni tal-Iżlam hija, għal ħafna mill-osservanti, l- "istandard tad-deheb" tar-reliġjon tagħhom?</v>
      </c>
    </row>
    <row r="18643" ht="15.75" customHeight="1">
      <c r="A18643" s="2" t="s">
        <v>18643</v>
      </c>
      <c r="B18643" s="2" t="str">
        <f>IFERROR(__xludf.DUMMYFUNCTION("GOOGLETRANSLATE(A18643, ""en"", ""mt"")"),"qtugħ tal-enerġija")</f>
        <v>qtugħ tal-enerġija</v>
      </c>
    </row>
    <row r="18644" ht="15.75" customHeight="1">
      <c r="A18644" s="2" t="s">
        <v>18644</v>
      </c>
      <c r="B18644" s="2" t="str">
        <f>IFERROR(__xludf.DUMMYFUNCTION("GOOGLETRANSLATE(A18644, ""en"", ""mt"")"),"forma ta 'kon")</f>
        <v>forma ta 'kon</v>
      </c>
    </row>
    <row r="18645" ht="15.75" customHeight="1">
      <c r="A18645" s="2" t="s">
        <v>18645</v>
      </c>
      <c r="B18645" s="2" t="str">
        <f>IFERROR(__xludf.DUMMYFUNCTION("GOOGLETRANSLATE(A18645, ""en"", ""mt"")"),"Kif inkella jistgħu l-petroloġisti jifhmu t-temperatura li fiha jidhru fażijiet minerali differenti?")</f>
        <v>Kif inkella jistgħu l-petroloġisti jifhmu t-temperatura li fiha jidhru fażijiet minerali differenti?</v>
      </c>
    </row>
    <row r="18646" ht="15.75" customHeight="1">
      <c r="A18646" s="2" t="s">
        <v>18646</v>
      </c>
      <c r="B18646" s="2" t="str">
        <f>IFERROR(__xludf.DUMMYFUNCTION("GOOGLETRANSLATE(A18646, ""en"", ""mt"")"),"Is-sommarju eżekuttiv tar-rapport tas-Sommarju WG I għal dawk li jfasslu l-politika jgħid li huma ċerti li l-emissjonijiet li jirriżultaw mill-attivitajiet tal-bniedem qed iżidu sostanzjalment il-konċentrazzjonijiet atmosferiċi tal-gassijiet serra, li jir"&amp;"riżultaw bħala medja fi tisħin addizzjonali tal-wiċċ tad-Dinja. Huma jikkalkulaw b'kunfidenza li s-CO2 kien responsabbli għal aktar minn nofs l-effett ta 'serra msaħħa. Huma jbassru li taħt xenarju ta '""negozju bħas-soltu"" (BAU), it-temperatura medja gl"&amp;"obali tiżdied b'madwar 0.3 ° C kull għaxar snin matul is-seklu [21]. Huma jiġġudikaw li t-temperatura medja globali tal-arja tal-wiċċ żdiedet b'0.3 sa 0.6 ° C matul l-aħħar 100 sena, b'mod wiesa 'konsistenti mal-previżjoni tal-mudelli klimatiċi, iżda wkol"&amp;"l tal-istess kobor bħall-varjabbiltà tal-klima naturali. L-iskoperta mhux ekwivoka tal-effett ta 'serra msaħħa x'aktarx għal għaxar snin jew aktar.")</f>
        <v>Is-sommarju eżekuttiv tar-rapport tas-Sommarju WG I għal dawk li jfasslu l-politika jgħid li huma ċerti li l-emissjonijiet li jirriżultaw mill-attivitajiet tal-bniedem qed iżidu sostanzjalment il-konċentrazzjonijiet atmosferiċi tal-gassijiet serra, li jirriżultaw bħala medja fi tisħin addizzjonali tal-wiċċ tad-Dinja. Huma jikkalkulaw b'kunfidenza li s-CO2 kien responsabbli għal aktar minn nofs l-effett ta 'serra msaħħa. Huma jbassru li taħt xenarju ta '"negozju bħas-soltu" (BAU), it-temperatura medja globali tiżdied b'madwar 0.3 ° C kull għaxar snin matul is-seklu [21]. Huma jiġġudikaw li t-temperatura medja globali tal-arja tal-wiċċ żdiedet b'0.3 sa 0.6 ° C matul l-aħħar 100 sena, b'mod wiesa 'konsistenti mal-previżjoni tal-mudelli klimatiċi, iżda wkoll tal-istess kobor bħall-varjabbiltà tal-klima naturali. L-iskoperta mhux ekwivoka tal-effett ta 'serra msaħħa x'aktarx għal għaxar snin jew aktar.</v>
      </c>
    </row>
    <row r="18647" ht="15.75" customHeight="1">
      <c r="A18647" s="2" t="s">
        <v>18647</v>
      </c>
      <c r="B18647" s="2" t="str">
        <f>IFERROR(__xludf.DUMMYFUNCTION("GOOGLETRANSLATE(A18647, ""en"", ""mt"")"),"Ir-Renu jġib kemm ilma mill-AARE?")</f>
        <v>Ir-Renu jġib kemm ilma mill-AARE?</v>
      </c>
    </row>
    <row r="18648" ht="15.75" customHeight="1">
      <c r="A18648" s="2" t="s">
        <v>18648</v>
      </c>
      <c r="B18648" s="2" t="str">
        <f>IFERROR(__xludf.DUMMYFUNCTION("GOOGLETRANSLATE(A18648, ""en"", ""mt"")"),"Ġewwa sptarijiet u kliniċi")</f>
        <v>Ġewwa sptarijiet u kliniċi</v>
      </c>
    </row>
    <row r="18649" ht="15.75" customHeight="1">
      <c r="A18649" s="2" t="s">
        <v>18649</v>
      </c>
      <c r="B18649" s="2" t="str">
        <f>IFERROR(__xludf.DUMMYFUNCTION("GOOGLETRANSLATE(A18649, ""en"", ""mt"")"),"X'inhi l-endosimbjożi terzjarja tal-kloroplasti tal-haptofite mistennija li joħolqu?")</f>
        <v>X'inhi l-endosimbjożi terzjarja tal-kloroplasti tal-haptofite mistennija li joħolqu?</v>
      </c>
    </row>
    <row r="18650" ht="15.75" customHeight="1">
      <c r="A18650" s="2" t="s">
        <v>18650</v>
      </c>
      <c r="B18650" s="2" t="str">
        <f>IFERROR(__xludf.DUMMYFUNCTION("GOOGLETRANSLATE(A18650, ""en"", ""mt"")"),"Il-Knisja Kattolika fi Franza")</f>
        <v>Il-Knisja Kattolika fi Franza</v>
      </c>
    </row>
    <row r="18651" ht="15.75" customHeight="1">
      <c r="A18651" s="2" t="s">
        <v>18651</v>
      </c>
      <c r="B18651" s="2" t="str">
        <f>IFERROR(__xludf.DUMMYFUNCTION("GOOGLETRANSLATE(A18651, ""en"", ""mt"")"),"ħdejn it-tarf ta 'fuq tal-firxa mogħtija mill-projezzjoni tal-2001 tal-IPCC")</f>
        <v>ħdejn it-tarf ta 'fuq tal-firxa mogħtija mill-projezzjoni tal-2001 tal-IPCC</v>
      </c>
    </row>
    <row r="18652" ht="15.75" customHeight="1">
      <c r="A18652" s="2" t="s">
        <v>18652</v>
      </c>
      <c r="B18652" s="2" t="str">
        <f>IFERROR(__xludf.DUMMYFUNCTION("GOOGLETRANSLATE(A18652, ""en"", ""mt"")"),"L-ipersensittività hija rispons immuni li jagħmel ħsara lit-tessuti tal-ġisem stess. Huma maqsuma f'erba 'klassijiet (Tip I - IV) ibbażati fuq il-mekkaniżmi involuti u l-kors tal-ħin tar-reazzjoni ipersensittiva. L-ipersensittività tat-Tip I hija reazzjon"&amp;"i immedjata jew anafilattika, ħafna drabi assoċjata ma 'allerġija. Is-sintomi jistgħu jvarjaw minn skumdità ħafifa sal-mewt. L-ipersensittività tat-Tip I hija medjata minn IgE, li tikkawża d-degranulazzjoni ta 'ċelloli mast u basophils meta tkun marbuta m"&amp;"ill-antiġen. Ipersensittività tat-Tip II isseħħ meta l-antikorpi jorbtu ma 'antiġeni fuq iċ-ċelloli tal-pazjent stess, li jimmarkawhom għall-qerda. Dan jissejjaħ ukoll sensittività eċċessiva (jew ċitotossika) li jiddependi mill-antikorpi, u huwa medjat mi"&amp;"nn antikorpi IgG u IgM. Kumplessi immuni (aggregazzjonijiet ta 'antiġeni, proteini li jikkumplimentaw, u antikorpi IgG u IgM) depożitati f'diversi tessuti li jqanqlu reazzjonijiet ta' sensittività eċċessiva tat-tip III. Ipersensittività tat-Tip IV (magħru"&amp;"fa wkoll bħala sensittività eċċessiva medjata miċ-ċelloli jew ittardjata) ġeneralment tieħu bejn jumejn u tlett ijiem biex tiżviluppa. Reazzjonijiet tat-tip IV huma involuti f'ħafna mard awtoimmuni u infettiv, iżda jistgħu jinvolvu wkoll dermatite ta 'kun"&amp;"tatt (velenu Ivy). Dawn ir-reazzjonijiet huma medjati minn ċelloli T, monokiti, u makrofaġi.")</f>
        <v>L-ipersensittività hija rispons immuni li jagħmel ħsara lit-tessuti tal-ġisem stess. Huma maqsuma f'erba 'klassijiet (Tip I - IV) ibbażati fuq il-mekkaniżmi involuti u l-kors tal-ħin tar-reazzjoni ipersensittiva. L-ipersensittività tat-Tip I hija reazzjoni immedjata jew anafilattika, ħafna drabi assoċjata ma 'allerġija. Is-sintomi jistgħu jvarjaw minn skumdità ħafifa sal-mewt. L-ipersensittività tat-Tip I hija medjata minn IgE, li tikkawża d-degranulazzjoni ta 'ċelloli mast u basophils meta tkun marbuta mill-antiġen. Ipersensittività tat-Tip II isseħħ meta l-antikorpi jorbtu ma 'antiġeni fuq iċ-ċelloli tal-pazjent stess, li jimmarkawhom għall-qerda. Dan jissejjaħ ukoll sensittività eċċessiva (jew ċitotossika) li jiddependi mill-antikorpi, u huwa medjat minn antikorpi IgG u IgM. Kumplessi immuni (aggregazzjonijiet ta 'antiġeni, proteini li jikkumplimentaw, u antikorpi IgG u IgM) depożitati f'diversi tessuti li jqanqlu reazzjonijiet ta' sensittività eċċessiva tat-tip III. Ipersensittività tat-Tip IV (magħrufa wkoll bħala sensittività eċċessiva medjata miċ-ċelloli jew ittardjata) ġeneralment tieħu bejn jumejn u tlett ijiem biex tiżviluppa. Reazzjonijiet tat-tip IV huma involuti f'ħafna mard awtoimmuni u infettiv, iżda jistgħu jinvolvu wkoll dermatite ta 'kuntatt (velenu Ivy). Dawn ir-reazzjonijiet huma medjati minn ċelloli T, monokiti, u makrofaġi.</v>
      </c>
    </row>
    <row r="18653" ht="15.75" customHeight="1">
      <c r="A18653" s="2" t="s">
        <v>18653</v>
      </c>
      <c r="B18653" s="2" t="str">
        <f>IFERROR(__xludf.DUMMYFUNCTION("GOOGLETRANSLATE(A18653, ""en"", ""mt"")"),"Ctenophores jiffurmaw phylum ta 'annimali li huwa aktar kumpless minn sponoż, madwar kumpless daqs cnidarians (bram, anemoni tal-baħar, eċċ.), U inqas kumplessi minn bilaterjani (li jinkludu kważi l-annimali l-oħra kollha). B'differenza mill-isponoż, kemm"&amp;" ctenophores kif ukoll cnidarians għandhom: ċelloli marbuta permezz ta 'konnessjonijiet bejn iċ-ċelloli u membrani tal-kantina simili għat-twapet; muskoli; sistemi nervużi; U xi wħud għandhom organi sensorji. Ctenophores huma distinti mill-annimali l-oħra"&amp;" kollha billi għandhom kolloblasti, li huma twaħħal u jaderixxu mal-priża, għalkemm ftit speċi ta 'ctenophore m'għandhomxhom.")</f>
        <v>Ctenophores jiffurmaw phylum ta 'annimali li huwa aktar kumpless minn sponoż, madwar kumpless daqs cnidarians (bram, anemoni tal-baħar, eċċ.), U inqas kumplessi minn bilaterjani (li jinkludu kważi l-annimali l-oħra kollha). B'differenza mill-isponoż, kemm ctenophores kif ukoll cnidarians għandhom: ċelloli marbuta permezz ta 'konnessjonijiet bejn iċ-ċelloli u membrani tal-kantina simili għat-twapet; muskoli; sistemi nervużi; U xi wħud għandhom organi sensorji. Ctenophores huma distinti mill-annimali l-oħra kollha billi għandhom kolloblasti, li huma twaħħal u jaderixxu mal-priża, għalkemm ftit speċi ta 'ctenophore m'għandhomxhom.</v>
      </c>
    </row>
    <row r="18654" ht="15.75" customHeight="1">
      <c r="A18654" s="2" t="s">
        <v>18654</v>
      </c>
      <c r="B18654" s="2" t="str">
        <f>IFERROR(__xludf.DUMMYFUNCTION("GOOGLETRANSLATE(A18654, ""en"", ""mt"")"),"Deċiżjoni")</f>
        <v>Deċiżjoni</v>
      </c>
    </row>
    <row r="18655" ht="15.75" customHeight="1">
      <c r="A18655" s="2" t="s">
        <v>18655</v>
      </c>
      <c r="B18655" s="2" t="str">
        <f>IFERROR(__xludf.DUMMYFUNCTION("GOOGLETRANSLATE(A18655, ""en"", ""mt"")"),"linji dritti")</f>
        <v>linji dritti</v>
      </c>
    </row>
    <row r="18656" ht="15.75" customHeight="1">
      <c r="A18656" s="2" t="s">
        <v>18656</v>
      </c>
      <c r="B18656" s="2" t="str">
        <f>IFERROR(__xludf.DUMMYFUNCTION("GOOGLETRANSLATE(A18656, ""en"", ""mt"")"),"irqad")</f>
        <v>irqad</v>
      </c>
    </row>
    <row r="18657" ht="15.75" customHeight="1">
      <c r="A18657" s="2" t="s">
        <v>18657</v>
      </c>
      <c r="B18657" s="2" t="str">
        <f>IFERROR(__xludf.DUMMYFUNCTION("GOOGLETRANSLATE(A18657, ""en"", ""mt"")"),"X'tip ta 'suq hija kkunsidrata l-Kenja?")</f>
        <v>X'tip ta 'suq hija kkunsidrata l-Kenja?</v>
      </c>
    </row>
    <row r="18658" ht="15.75" customHeight="1">
      <c r="A18658" s="2" t="s">
        <v>18658</v>
      </c>
      <c r="B18658" s="2" t="str">
        <f>IFERROR(__xludf.DUMMYFUNCTION("GOOGLETRANSLATE(A18658, ""en"", ""mt"")"),"Liema sett fiss ta 'fatturi jiddetermina l-azzjonijiet ta' magna tat-Turing deterministika")</f>
        <v>Liema sett fiss ta 'fatturi jiddetermina l-azzjonijiet ta' magna tat-Turing deterministika</v>
      </c>
    </row>
    <row r="18659" ht="15.75" customHeight="1">
      <c r="A18659" s="2" t="s">
        <v>18659</v>
      </c>
      <c r="B18659" s="2" t="str">
        <f>IFERROR(__xludf.DUMMYFUNCTION("GOOGLETRANSLATE(A18659, ""en"", ""mt"")"),"Edukazzjoni mhux obbligatorja")</f>
        <v>Edukazzjoni mhux obbligatorja</v>
      </c>
    </row>
    <row r="18660" ht="15.75" customHeight="1">
      <c r="A18660" s="2" t="s">
        <v>18660</v>
      </c>
      <c r="B18660" s="2" t="str">
        <f>IFERROR(__xludf.DUMMYFUNCTION("GOOGLETRANSLATE(A18660, ""en"", ""mt"")"),"tnaqqis wieqaf u kostanti")</f>
        <v>tnaqqis wieqaf u kostanti</v>
      </c>
    </row>
    <row r="18661" ht="15.75" customHeight="1">
      <c r="A18661" s="2" t="s">
        <v>18661</v>
      </c>
      <c r="B18661" s="2" t="str">
        <f>IFERROR(__xludf.DUMMYFUNCTION("GOOGLETRANSLATE(A18661, ""en"", ""mt"")"),"X'jiġri wara li ċ-ċomb idub?")</f>
        <v>X'jiġri wara li ċ-ċomb idub?</v>
      </c>
    </row>
    <row r="18662" ht="15.75" customHeight="1">
      <c r="A18662" s="2" t="s">
        <v>18662</v>
      </c>
      <c r="B18662" s="2" t="str">
        <f>IFERROR(__xludf.DUMMYFUNCTION("GOOGLETRANSLATE(A18662, ""en"", ""mt"")"),"X'inhu ppreservat f'sistema magħluqa ta 'forzi meta aġixxiet?")</f>
        <v>X'inhu ppreservat f'sistema magħluqa ta 'forzi meta aġixxiet?</v>
      </c>
    </row>
    <row r="18663" ht="15.75" customHeight="1">
      <c r="A18663" s="2" t="s">
        <v>18663</v>
      </c>
      <c r="B18663" s="2" t="str">
        <f>IFERROR(__xludf.DUMMYFUNCTION("GOOGLETRANSLATE(A18663, ""en"", ""mt"")"),"Bejn wieħed u ieħor, kemm ossiġnu jifforma l-qoxra tad-dinja?")</f>
        <v>Bejn wieħed u ieħor, kemm ossiġnu jifforma l-qoxra tad-dinja?</v>
      </c>
    </row>
    <row r="18664" ht="15.75" customHeight="1">
      <c r="A18664" s="2" t="s">
        <v>18664</v>
      </c>
      <c r="B18664" s="2" t="str">
        <f>IFERROR(__xludf.DUMMYFUNCTION("GOOGLETRANSLATE(A18664, ""en"", ""mt"")"),"Il-Jetsons")</f>
        <v>Il-Jetsons</v>
      </c>
    </row>
    <row r="18665" ht="15.75" customHeight="1">
      <c r="A18665" s="2" t="s">
        <v>18665</v>
      </c>
      <c r="B18665" s="2" t="str">
        <f>IFERROR(__xludf.DUMMYFUNCTION("GOOGLETRANSLATE(A18665, ""en"", ""mt"")"),"Għaliex Tesla marret Karlovac?")</f>
        <v>Għaliex Tesla marret Karlovac?</v>
      </c>
    </row>
    <row r="18666" ht="15.75" customHeight="1">
      <c r="A18666" s="2" t="s">
        <v>18666</v>
      </c>
      <c r="B18666" s="2" t="str">
        <f>IFERROR(__xludf.DUMMYFUNCTION("GOOGLETRANSLATE(A18666, ""en"", ""mt"")"),"Il-forom normali kollha tad-dixxiplina tal-ġenituri")</f>
        <v>Il-forom normali kollha tad-dixxiplina tal-ġenituri</v>
      </c>
    </row>
    <row r="18667" ht="15.75" customHeight="1">
      <c r="A18667" s="2" t="s">
        <v>18667</v>
      </c>
      <c r="B18667" s="2" t="str">
        <f>IFERROR(__xludf.DUMMYFUNCTION("GOOGLETRANSLATE(A18667, ""en"", ""mt"")"),"it-test tal-primalità AKS")</f>
        <v>it-test tal-primalità AKS</v>
      </c>
    </row>
    <row r="18668" ht="15.75" customHeight="1">
      <c r="A18668" s="2" t="s">
        <v>18668</v>
      </c>
      <c r="B18668" s="2" t="str">
        <f>IFERROR(__xludf.DUMMYFUNCTION("GOOGLETRANSLATE(A18668, ""en"", ""mt"")"),"Kif tinżamm propjetà mhux reġistrata f'forma informali?")</f>
        <v>Kif tinżamm propjetà mhux reġistrata f'forma informali?</v>
      </c>
    </row>
    <row r="18669" ht="15.75" customHeight="1">
      <c r="A18669" s="2" t="s">
        <v>18669</v>
      </c>
      <c r="B18669" s="2" t="str">
        <f>IFERROR(__xludf.DUMMYFUNCTION("GOOGLETRANSLATE(A18669, ""en"", ""mt"")"),"Semmi żewġ serje li ġew mill-ġdid mill-ġdid minflok il-kontinwi tal-plott.")</f>
        <v>Semmi żewġ serje li ġew mill-ġdid mill-ġdid minflok il-kontinwi tal-plott.</v>
      </c>
    </row>
    <row r="18670" ht="15.75" customHeight="1">
      <c r="A18670" s="2" t="s">
        <v>18670</v>
      </c>
      <c r="B18670" s="2" t="str">
        <f>IFERROR(__xludf.DUMMYFUNCTION("GOOGLETRANSLATE(A18670, ""en"", ""mt"")"),"X'kienet il-forma li faget iddisinjat għall-modulu tal-kmand Apollo?")</f>
        <v>X'kienet il-forma li faget iddisinjat għall-modulu tal-kmand Apollo?</v>
      </c>
    </row>
    <row r="18671" ht="15.75" customHeight="1">
      <c r="A18671" s="2" t="s">
        <v>18671</v>
      </c>
      <c r="B18671" s="2" t="str">
        <f>IFERROR(__xludf.DUMMYFUNCTION("GOOGLETRANSLATE(A18671, ""en"", ""mt"")"),"X'inhuma l-akbar oġġetti fil-V &amp; A Ceramics u l-Ġabra tal-Ħġieġ?")</f>
        <v>X'inhuma l-akbar oġġetti fil-V &amp; A Ceramics u l-Ġabra tal-Ħġieġ?</v>
      </c>
    </row>
    <row r="18672" ht="15.75" customHeight="1">
      <c r="A18672" s="2" t="s">
        <v>18672</v>
      </c>
      <c r="B18672" s="2" t="str">
        <f>IFERROR(__xludf.DUMMYFUNCTION("GOOGLETRANSLATE(A18672, ""en"", ""mt"")"),"Il-gwerer orribbli kollha")</f>
        <v>Il-gwerer orribbli kollha</v>
      </c>
    </row>
    <row r="18673" ht="15.75" customHeight="1">
      <c r="A18673" s="2" t="s">
        <v>18673</v>
      </c>
      <c r="B18673" s="2" t="str">
        <f>IFERROR(__xludf.DUMMYFUNCTION("GOOGLETRANSLATE(A18673, ""en"", ""mt"")"),"ċirku kommutattiv")</f>
        <v>ċirku kommutattiv</v>
      </c>
    </row>
    <row r="18674" ht="15.75" customHeight="1">
      <c r="A18674" s="2" t="s">
        <v>18674</v>
      </c>
      <c r="B18674" s="2" t="str">
        <f>IFERROR(__xludf.DUMMYFUNCTION("GOOGLETRANSLATE(A18674, ""en"", ""mt"")"),"Liema pajjiż kellu karigi ta 'kummerċ fl-Indja qabel il-Gran Brittanja?")</f>
        <v>Liema pajjiż kellu karigi ta 'kummerċ fl-Indja qabel il-Gran Brittanja?</v>
      </c>
    </row>
    <row r="18675" ht="15.75" customHeight="1">
      <c r="A18675" s="2" t="s">
        <v>18675</v>
      </c>
      <c r="B18675" s="2" t="str">
        <f>IFERROR(__xludf.DUMMYFUNCTION("GOOGLETRANSLATE(A18675, ""en"", ""mt"")"),"Il-Librerija Regenstein")</f>
        <v>Il-Librerija Regenstein</v>
      </c>
    </row>
    <row r="18676" ht="15.75" customHeight="1">
      <c r="A18676" s="2" t="s">
        <v>18676</v>
      </c>
      <c r="B18676" s="2" t="str">
        <f>IFERROR(__xludf.DUMMYFUNCTION("GOOGLETRANSLATE(A18676, ""en"", ""mt"")"),"Ħafna mix-xogħol tal-Parlament Skoċċiż isir fil-kumitat. Ir-rwol tal-kumitati huwa aktar b'saħħtu fil-Parlament Skoċċiż milli f'sistemi parlamentari oħra, parzjalment bħala mezz biex isaħħaħ ir-rwol ta 'backbenchers fl-iskrutinju tagħhom tal-gvern u parzj"&amp;"alment biex jikkumpensaw għall-fatt li m'hemm l-ebda kamra ta' reviżjoni. Ir-rwol ewlieni tal-kumitati fil-Parlament Skoċċiż huwa li tieħu xhieda minn xhieda, twettaq inkjesti u tifli l-leġiżlazzjoni. Il-laqgħat tal-kumitat isiru nhar it-Tlieta, l-Erbgħa "&amp;"u l-Ħamis filgħodu meta l-Parlament ikun bilqiegħda. Il-kumitati jistgħu wkoll jiltaqgħu f’postijiet oħra madwar l-Iskozja.")</f>
        <v>Ħafna mix-xogħol tal-Parlament Skoċċiż isir fil-kumitat. Ir-rwol tal-kumitati huwa aktar b'saħħtu fil-Parlament Skoċċiż milli f'sistemi parlamentari oħra, parzjalment bħala mezz biex isaħħaħ ir-rwol ta 'backbenchers fl-iskrutinju tagħhom tal-gvern u parzjalment biex jikkumpensaw għall-fatt li m'hemm l-ebda kamra ta' reviżjoni. Ir-rwol ewlieni tal-kumitati fil-Parlament Skoċċiż huwa li tieħu xhieda minn xhieda, twettaq inkjesti u tifli l-leġiżlazzjoni. Il-laqgħat tal-kumitat isiru nhar it-Tlieta, l-Erbgħa u l-Ħamis filgħodu meta l-Parlament ikun bilqiegħda. Il-kumitati jistgħu wkoll jiltaqgħu f’postijiet oħra madwar l-Iskozja.</v>
      </c>
    </row>
    <row r="18677" ht="15.75" customHeight="1">
      <c r="A18677" s="2" t="s">
        <v>18677</v>
      </c>
      <c r="B18677" s="2" t="str">
        <f>IFERROR(__xludf.DUMMYFUNCTION("GOOGLETRANSLATE(A18677, ""en"", ""mt"")"),"Liema xejra kulturali Ingliża matul il-Ġeorġjan hija marbuta mad-disinn matul l-istess perjodu?")</f>
        <v>Liema xejra kulturali Ingliża matul il-Ġeorġjan hija marbuta mad-disinn matul l-istess perjodu?</v>
      </c>
    </row>
    <row r="18678" ht="15.75" customHeight="1">
      <c r="A18678" s="2" t="s">
        <v>18678</v>
      </c>
      <c r="B18678" s="2" t="str">
        <f>IFERROR(__xludf.DUMMYFUNCTION("GOOGLETRANSLATE(A18678, ""en"", ""mt"")"),"Meta r-rappreżentanti bdew jaħdmu fuq id-dettalji ifjen tal-ftehim?")</f>
        <v>Meta r-rappreżentanti bdew jaħdmu fuq id-dettalji ifjen tal-ftehim?</v>
      </c>
    </row>
    <row r="18679" ht="15.75" customHeight="1">
      <c r="A18679" s="2" t="s">
        <v>18679</v>
      </c>
      <c r="B18679" s="2" t="str">
        <f>IFERROR(__xludf.DUMMYFUNCTION("GOOGLETRANSLATE(A18679, ""en"", ""mt"")"),"Northwestern Canada")</f>
        <v>Northwestern Canada</v>
      </c>
    </row>
    <row r="18680" ht="15.75" customHeight="1">
      <c r="A18680" s="2" t="s">
        <v>18680</v>
      </c>
      <c r="B18680" s="2" t="str">
        <f>IFERROR(__xludf.DUMMYFUNCTION("GOOGLETRANSLATE(A18680, ""en"", ""mt"")"),"twemmin reliġjuż")</f>
        <v>twemmin reliġjuż</v>
      </c>
    </row>
    <row r="18681" ht="15.75" customHeight="1">
      <c r="A18681" s="2" t="s">
        <v>18681</v>
      </c>
      <c r="B18681" s="2" t="str">
        <f>IFERROR(__xludf.DUMMYFUNCTION("GOOGLETRANSLATE(A18681, ""en"", ""mt"")"),"Irbaħ il-ħelsien")</f>
        <v>Irbaħ il-ħelsien</v>
      </c>
    </row>
    <row r="18682" ht="15.75" customHeight="1">
      <c r="A18682" s="2" t="s">
        <v>18682</v>
      </c>
      <c r="B18682" s="2" t="str">
        <f>IFERROR(__xludf.DUMMYFUNCTION("GOOGLETRANSLATE(A18682, ""en"", ""mt"")"),"Kemm xita fis-sena Fresno tikseb bħala medja?")</f>
        <v>Kemm xita fis-sena Fresno tikseb bħala medja?</v>
      </c>
    </row>
    <row r="18683" ht="15.75" customHeight="1">
      <c r="A18683" s="2" t="s">
        <v>18683</v>
      </c>
      <c r="B18683" s="2" t="str">
        <f>IFERROR(__xludf.DUMMYFUNCTION("GOOGLETRANSLATE(A18683, ""en"", ""mt"")"),"potenzjalment perikoluż")</f>
        <v>potenzjalment perikoluż</v>
      </c>
    </row>
    <row r="18684" ht="15.75" customHeight="1">
      <c r="A18684" s="2" t="s">
        <v>18684</v>
      </c>
      <c r="B18684" s="2" t="str">
        <f>IFERROR(__xludf.DUMMYFUNCTION("GOOGLETRANSLATE(A18684, ""en"", ""mt"")"),"Skond ċerti teoriji ġeografiċi x'tip ta 'bniedem jipproduċi klima tropikali?")</f>
        <v>Skond ċerti teoriji ġeografiċi x'tip ta 'bniedem jipproduċi klima tropikali?</v>
      </c>
    </row>
    <row r="18685" ht="15.75" customHeight="1">
      <c r="A18685" s="2" t="s">
        <v>18685</v>
      </c>
      <c r="B18685" s="2" t="str">
        <f>IFERROR(__xludf.DUMMYFUNCTION("GOOGLETRANSLATE(A18685, ""en"", ""mt"")"),"Plugs fużibbli taċ-ċomb jistgħu jkunu preżenti fil-kuruna tal-firebox tal-bojler. Jekk il-livell tal-ilma jonqos, b’tali mod li t-temperatura tal-kuruna tal-firebox tiżdied b’mod sinifikanti, iċ-ċomb idub u l-fwar jaħrab, iwissi lill-operaturi, li mbagħad"&amp;" jistgħu jrażżnu manwalment in-nar. Ħlief fl-iżgħar bojlers, il-ħarba tal-fwar għandha ftit effett fuq it-tneħħija tan-nar. Il-plugs huma wkoll żgħar wisq f'żona biex ibaxxu l-pressjoni tal-fwar b'mod sinifikanti, billi depressurizzaw il-bojler. Kieku kie"&amp;"nu akbar, il-volum ta 'l-istim li jaħrab innifsu jipperikola l-ekwipaġġ. [Ċitazzjoni meħtieġa]")</f>
        <v>Plugs fużibbli taċ-ċomb jistgħu jkunu preżenti fil-kuruna tal-firebox tal-bojler. Jekk il-livell tal-ilma jonqos, b’tali mod li t-temperatura tal-kuruna tal-firebox tiżdied b’mod sinifikanti, iċ-ċomb idub u l-fwar jaħrab, iwissi lill-operaturi, li mbagħad jistgħu jrażżnu manwalment in-nar. Ħlief fl-iżgħar bojlers, il-ħarba tal-fwar għandha ftit effett fuq it-tneħħija tan-nar. Il-plugs huma wkoll żgħar wisq f'żona biex ibaxxu l-pressjoni tal-fwar b'mod sinifikanti, billi depressurizzaw il-bojler. Kieku kienu akbar, il-volum ta 'l-istim li jaħrab innifsu jipperikola l-ekwipaġġ. [Ċitazzjoni meħtieġa]</v>
      </c>
    </row>
    <row r="18686" ht="15.75" customHeight="1">
      <c r="A18686" s="2" t="s">
        <v>18686</v>
      </c>
      <c r="B18686" s="2" t="str">
        <f>IFERROR(__xludf.DUMMYFUNCTION("GOOGLETRANSLATE(A18686, ""en"", ""mt"")"),"X'kienu l-ewwel żewġ stazzjonijiet li jġorru l-ipprogrammar ta 'ABC?")</f>
        <v>X'kienu l-ewwel żewġ stazzjonijiet li jġorru l-ipprogrammar ta 'ABC?</v>
      </c>
    </row>
    <row r="18687" ht="15.75" customHeight="1">
      <c r="A18687" s="2" t="s">
        <v>18687</v>
      </c>
      <c r="B18687" s="2" t="str">
        <f>IFERROR(__xludf.DUMMYFUNCTION("GOOGLETRANSLATE(A18687, ""en"", ""mt"")"),"L-Att tal-Iskozja 1998, li ġie mgħoddi mill-Parlament tar-Renju Unit u mogħti l-kunsens irjali mir-Reġina Eliżabetta II fid-19 ta ’Novembru 1998, jirregola l-funzjonijiet u r-rwol tal-Parlament Skoċċiż u jiddelimita l-kompetenza leġiżlattiva tiegħu. L-Att"&amp;" tal-Iskozja 2012 jestendi l-kompetenzi devoluti. Għall-finijiet tas-sovranità parlamentari, il-Parlament tar-Renju Unit f'Westminster ikompli jikkostitwixxi l-Leġislatura Suprema tal-Iskozja. Madankollu, skont it-termini tal-Att dwar l-Iskozja, Westminst"&amp;"er aċċetta li jiddevolvi wħud mir-responsabbiltajiet tiegħu fuq il-politika domestika Skoċċiża lill-Parlament Skoċċiż. Tali ""kwistjonijiet devoluti"" jinkludu edukazzjoni, saħħa, agrikoltura u ġustizzja. L-Att dwar l-Iskozja ppermetta lill-Parlament Skoċ"&amp;"ċiż jgħaddi leġislazzjoni primarja dwar dawn il-kwistjonijiet. Grad ta 'awtorità domestika, u l-politika barranija kollha, jibqgħu mal-Parlament tar-Renju Unit f'Westminster. Il-Parlament Skoċċiż għandu s-setgħa li jgħaddi liġijiet u għandu kapaċità limit"&amp;"ata li tvarja mit-taxxa. Ieħor mir-rwoli tal-Parlament huwa li jżomm il-gvern Skoċċiż.")</f>
        <v>L-Att tal-Iskozja 1998, li ġie mgħoddi mill-Parlament tar-Renju Unit u mogħti l-kunsens irjali mir-Reġina Eliżabetta II fid-19 ta ’Novembru 1998, jirregola l-funzjonijiet u r-rwol tal-Parlament Skoċċiż u jiddelimita l-kompetenza leġiżlattiva tiegħu. L-Att tal-Iskozja 2012 jestendi l-kompetenzi devoluti. Għall-finijiet tas-sovranità parlamentari, il-Parlament tar-Renju Unit f'Westminster ikompli jikkostitwixxi l-Leġislatura Suprema tal-Iskozja. Madankollu, skont it-termini tal-Att dwar l-Iskozja, Westminster aċċetta li jiddevolvi wħud mir-responsabbiltajiet tiegħu fuq il-politika domestika Skoċċiża lill-Parlament Skoċċiż. Tali "kwistjonijiet devoluti" jinkludu edukazzjoni, saħħa, agrikoltura u ġustizzja. L-Att dwar l-Iskozja ppermetta lill-Parlament Skoċċiż jgħaddi leġislazzjoni primarja dwar dawn il-kwistjonijiet. Grad ta 'awtorità domestika, u l-politika barranija kollha, jibqgħu mal-Parlament tar-Renju Unit f'Westminster. Il-Parlament Skoċċiż għandu s-setgħa li jgħaddi liġijiet u għandu kapaċità limitata li tvarja mit-taxxa. Ieħor mir-rwoli tal-Parlament huwa li jżomm il-gvern Skoċċiż.</v>
      </c>
    </row>
    <row r="18688" ht="15.75" customHeight="1">
      <c r="A18688" s="2" t="s">
        <v>18688</v>
      </c>
      <c r="B18688" s="2" t="str">
        <f>IFERROR(__xludf.DUMMYFUNCTION("GOOGLETRANSLATE(A18688, ""en"", ""mt"")"),"Il-kontijiet tat-TV Sky tat-Talbiet")</f>
        <v>Il-kontijiet tat-TV Sky tat-Talbiet</v>
      </c>
    </row>
    <row r="18689" ht="15.75" customHeight="1">
      <c r="A18689" s="2" t="s">
        <v>18689</v>
      </c>
      <c r="B18689" s="2" t="str">
        <f>IFERROR(__xludf.DUMMYFUNCTION("GOOGLETRANSLATE(A18689, ""en"", ""mt"")"),"Pleurobrachia, Beroe u Mnemiopsis")</f>
        <v>Pleurobrachia, Beroe u Mnemiopsis</v>
      </c>
    </row>
    <row r="18690" ht="15.75" customHeight="1">
      <c r="A18690" s="2" t="s">
        <v>18690</v>
      </c>
      <c r="B18690" s="2" t="str">
        <f>IFERROR(__xludf.DUMMYFUNCTION("GOOGLETRANSLATE(A18690, ""en"", ""mt"")"),"kobor")</f>
        <v>kobor</v>
      </c>
    </row>
    <row r="18691" ht="15.75" customHeight="1">
      <c r="A18691" s="2" t="s">
        <v>18691</v>
      </c>
      <c r="B18691" s="2" t="str">
        <f>IFERROR(__xludf.DUMMYFUNCTION("GOOGLETRANSLATE(A18691, ""en"", ""mt"")"),"Min hu elett fil-bidu ta 'kull terminu?")</f>
        <v>Min hu elett fil-bidu ta 'kull terminu?</v>
      </c>
    </row>
    <row r="18692" ht="15.75" customHeight="1">
      <c r="A18692" s="2" t="s">
        <v>18692</v>
      </c>
      <c r="B18692" s="2" t="str">
        <f>IFERROR(__xludf.DUMMYFUNCTION("GOOGLETRANSLATE(A18692, ""en"", ""mt"")"),"Indipendenza Skoċċiża")</f>
        <v>Indipendenza Skoċċiża</v>
      </c>
    </row>
    <row r="18693" ht="15.75" customHeight="1">
      <c r="A18693" s="2" t="s">
        <v>18693</v>
      </c>
      <c r="B18693" s="2" t="str">
        <f>IFERROR(__xludf.DUMMYFUNCTION("GOOGLETRANSLATE(A18693, ""en"", ""mt"")"),"It-tliet tobba")</f>
        <v>It-tliet tobba</v>
      </c>
    </row>
    <row r="18694" ht="15.75" customHeight="1">
      <c r="A18694" s="2" t="s">
        <v>18694</v>
      </c>
      <c r="B18694" s="2" t="str">
        <f>IFERROR(__xludf.DUMMYFUNCTION("GOOGLETRANSLATE(A18694, ""en"", ""mt"")"),"F'liema ""gwerra"" kienet involuta Tesla?")</f>
        <v>F'liema "gwerra" kienet involuta Tesla?</v>
      </c>
    </row>
    <row r="18695" ht="15.75" customHeight="1">
      <c r="A18695" s="2" t="s">
        <v>18695</v>
      </c>
      <c r="B18695" s="2" t="str">
        <f>IFERROR(__xludf.DUMMYFUNCTION("GOOGLETRANSLATE(A18695, ""en"", ""mt"")"),"Fiżista Taljan")</f>
        <v>Fiżista Taljan</v>
      </c>
    </row>
    <row r="18696" ht="15.75" customHeight="1">
      <c r="A18696" s="2" t="s">
        <v>18696</v>
      </c>
      <c r="B18696" s="2" t="str">
        <f>IFERROR(__xludf.DUMMYFUNCTION("GOOGLETRANSLATE(A18696, ""en"", ""mt"")"),"CBS ipprovda flussi diġitali tal-logħba permezz ta 'cbsports.com, u l-apps sportivi CBS fuq pilloli, Windows 10, Xbox One u plejers tal-midja diġitali oħra (bħal Chromecast u Roku). Minħabba l-esklussività tal-komunikazzjonijiet ta 'Verizon, l-istriming f"&amp;"uq smartphones ġie pprovdut biss lill-klijenti bla fili Verizon permezz tas-servizz mobbli NFL. Ix-xandira Spanjola Deportes ESPN saret disponibbli permezz ta ’Watchespn.")</f>
        <v>CBS ipprovda flussi diġitali tal-logħba permezz ta 'cbsports.com, u l-apps sportivi CBS fuq pilloli, Windows 10, Xbox One u plejers tal-midja diġitali oħra (bħal Chromecast u Roku). Minħabba l-esklussività tal-komunikazzjonijiet ta 'Verizon, l-istriming fuq smartphones ġie pprovdut biss lill-klijenti bla fili Verizon permezz tas-servizz mobbli NFL. Ix-xandira Spanjola Deportes ESPN saret disponibbli permezz ta ’Watchespn.</v>
      </c>
    </row>
    <row r="18697" ht="15.75" customHeight="1">
      <c r="A18697" s="2" t="s">
        <v>18697</v>
      </c>
      <c r="B18697" s="2" t="str">
        <f>IFERROR(__xludf.DUMMYFUNCTION("GOOGLETRANSLATE(A18697, ""en"", ""mt"")"),"L-Hoppings, reputazzjoni l-akbar fiera tal-ivvjaġġar fl-Ewropa, isseħħ fuq Newcastle Town Moor kull Ġunju. L-avveniment għandu l-oriġini tiegħu fil-moviment tat-tempra matul il-bidu tas-snin 1880 u jikkoinċidi mal-ġimgħa tat-tellieqa annwali fil-High Gosf"&amp;"orth Park. Newcastle Community Green Festival, li jiddikjara li huwa l-ikbar festival ambjentali tal-komunità b'xejn tar-Renju Unit, iseħħ ukoll kull Ġunju, fil-Leazes Park. Iċ-ċiklun tal-blat tat-tramuntana, festival taċ-ċikliżmu, iseħħ fi ħdan, jew jibd"&amp;"a minn, Newcastle f'Ġunju. Il-Festival u l-Parata tat-Tramuntana tal-Pride isiru fil-Leazes Park u fil-komunità omosesswali tal-belt f'nofs Lulju. Il-Festival ta 'Ouseburn, festival ta' tmiem il-ġimgħa orjentat lejn il-familja ħdejn iċ-ċentru tal-belt, li"&amp;" jinkorpora ""jum ta 'gost tal-familja"" u ""jum tal-karnival"", sar fl-aħħar ta' Lulju.")</f>
        <v>L-Hoppings, reputazzjoni l-akbar fiera tal-ivvjaġġar fl-Ewropa, isseħħ fuq Newcastle Town Moor kull Ġunju. L-avveniment għandu l-oriġini tiegħu fil-moviment tat-tempra matul il-bidu tas-snin 1880 u jikkoinċidi mal-ġimgħa tat-tellieqa annwali fil-High Gosforth Park. Newcastle Community Green Festival, li jiddikjara li huwa l-ikbar festival ambjentali tal-komunità b'xejn tar-Renju Unit, iseħħ ukoll kull Ġunju, fil-Leazes Park. Iċ-ċiklun tal-blat tat-tramuntana, festival taċ-ċikliżmu, iseħħ fi ħdan, jew jibda minn, Newcastle f'Ġunju. Il-Festival u l-Parata tat-Tramuntana tal-Pride isiru fil-Leazes Park u fil-komunità omosesswali tal-belt f'nofs Lulju. Il-Festival ta 'Ouseburn, festival ta' tmiem il-ġimgħa orjentat lejn il-familja ħdejn iċ-ċentru tal-belt, li jinkorpora "jum ta 'gost tal-familja" u "jum tal-karnival", sar fl-aħħar ta' Lulju.</v>
      </c>
    </row>
    <row r="18698" ht="15.75" customHeight="1">
      <c r="A18698" s="2" t="s">
        <v>18698</v>
      </c>
      <c r="B18698" s="2" t="str">
        <f>IFERROR(__xludf.DUMMYFUNCTION("GOOGLETRANSLATE(A18698, ""en"", ""mt"")"),"L-ossiġenu huwa element kimiku bis-simbolu O u n-numru atomiku 8. Huwa membru tal-grupp ta 'chalcogen fuq it-tabella perjodika u huwa aġent mhux immetattiv u ossidanti reattiv ħafna li faċilment jifforma komposti (l-aktar ossidi) b'ħafna elementi. Bil-mas"&amp;"sa, l-ossiġnu huwa t-tielet l-iktar element abbundanti fl-univers, wara l-idroġenu u l-elju. F'temperatura u pressjoni standard, żewġ atomi ta 'l-element jorbtu biex jiffurmaw dijossiġnu, gass diatomiku bla kulur u bla riħa bil-formula o
2. Il-gass ossiġe"&amp;"nu diatomiku jikkostitwixxi 20.8% tal-atmosfera tad-dinja. Madankollu, il-monitoraġġ tal-livelli ta 'ossiġnu atmosferiku juri xejra' l isfel globali, minħabba ħruq ta 'fjuwils fossili. L-ossiġnu huwa l-iktar element abbundanti bil-massa fil-qoxra tad-dinj"&amp;"a bħala parti mill-komposti ta 'ossidu bħal dijossidu tas-silikon, li jifforma kważi nofs il-massa tal-qoxra.")</f>
        <v>L-ossiġenu huwa element kimiku bis-simbolu O u n-numru atomiku 8. Huwa membru tal-grupp ta 'chalcogen fuq it-tabella perjodika u huwa aġent mhux immetattiv u ossidanti reattiv ħafna li faċilment jifforma komposti (l-aktar ossidi) b'ħafna elementi. Bil-massa, l-ossiġnu huwa t-tielet l-iktar element abbundanti fl-univers, wara l-idroġenu u l-elju. F'temperatura u pressjoni standard, żewġ atomi ta 'l-element jorbtu biex jiffurmaw dijossiġnu, gass diatomiku bla kulur u bla riħa bil-formula o
2. Il-gass ossiġenu diatomiku jikkostitwixxi 20.8% tal-atmosfera tad-dinja. Madankollu, il-monitoraġġ tal-livelli ta 'ossiġnu atmosferiku juri xejra' l isfel globali, minħabba ħruq ta 'fjuwils fossili. L-ossiġnu huwa l-iktar element abbundanti bil-massa fil-qoxra tad-dinja bħala parti mill-komposti ta 'ossidu bħal dijossidu tas-silikon, li jifforma kważi nofs il-massa tal-qoxra.</v>
      </c>
    </row>
    <row r="18699" ht="15.75" customHeight="1">
      <c r="A18699" s="2" t="s">
        <v>18699</v>
      </c>
      <c r="B18699" s="2" t="str">
        <f>IFERROR(__xludf.DUMMYFUNCTION("GOOGLETRANSLATE(A18699, ""en"", ""mt"")"),"Liema pajjiż illum huwa fdal tal-Imperu Ottoman?")</f>
        <v>Liema pajjiż illum huwa fdal tal-Imperu Ottoman?</v>
      </c>
    </row>
    <row r="18700" ht="15.75" customHeight="1">
      <c r="A18700" s="2" t="s">
        <v>18700</v>
      </c>
      <c r="B18700" s="2" t="str">
        <f>IFERROR(__xludf.DUMMYFUNCTION("GOOGLETRANSLATE(A18700, ""en"", ""mt"")"),"b'xejn")</f>
        <v>b'xejn</v>
      </c>
    </row>
    <row r="18701" ht="15.75" customHeight="1">
      <c r="A18701" s="2" t="s">
        <v>18701</v>
      </c>
      <c r="B18701" s="2" t="str">
        <f>IFERROR(__xludf.DUMMYFUNCTION("GOOGLETRANSLATE(A18701, ""en"", ""mt"")"),"tkun l-iktar affidabbli u li kien hemm sistema ta 'Westinghouse li tixgħel bozoz inkandexxenti bl-użu ta' kurrent alternattiv b'żewġ fażijiet")</f>
        <v>tkun l-iktar affidabbli u li kien hemm sistema ta 'Westinghouse li tixgħel bozoz inkandexxenti bl-użu ta' kurrent alternattiv b'żewġ fażijiet</v>
      </c>
    </row>
    <row r="18702" ht="15.75" customHeight="1">
      <c r="A18702" s="2" t="s">
        <v>18702</v>
      </c>
      <c r="B18702" s="2" t="str">
        <f>IFERROR(__xludf.DUMMYFUNCTION("GOOGLETRANSLATE(A18702, ""en"", ""mt"")"),"Musulmani tal-Asja Ċentrali")</f>
        <v>Musulmani tal-Asja Ċentrali</v>
      </c>
    </row>
    <row r="18703" ht="15.75" customHeight="1">
      <c r="A18703" s="2" t="s">
        <v>18703</v>
      </c>
      <c r="B18703" s="2" t="str">
        <f>IFERROR(__xludf.DUMMYFUNCTION("GOOGLETRANSLATE(A18703, ""en"", ""mt"")"),"Ctenophora huma inqas kumplessi minn liema phylum ieħor?")</f>
        <v>Ctenophora huma inqas kumplessi minn liema phylum ieħor?</v>
      </c>
    </row>
    <row r="18704" ht="15.75" customHeight="1">
      <c r="A18704" s="2" t="s">
        <v>18704</v>
      </c>
      <c r="B18704" s="2" t="str">
        <f>IFERROR(__xludf.DUMMYFUNCTION("GOOGLETRANSLATE(A18704, ""en"", ""mt"")"),"il-kolja Tesla.")</f>
        <v>il-kolja Tesla.</v>
      </c>
    </row>
    <row r="18705" ht="15.75" customHeight="1">
      <c r="A18705" s="2" t="s">
        <v>18705</v>
      </c>
      <c r="B18705" s="2" t="str">
        <f>IFERROR(__xludf.DUMMYFUNCTION("GOOGLETRANSLATE(A18705, ""en"", ""mt"")"),"Meta l-ispedizzjoni ta 'Céloron waslet f'Logstown, l-Amerikani Nattivi fiż-żona infurmaw lil Céloron li huma kienu l-pajjiż ta' Ohio u li kienu jinnegozjaw mal-Ingliżi irrispettivament mill-Franċiżi. Céloron kompla lejn in-nofsinhar sakemm l-ispedizzjoni "&amp;"tiegħu laħqet il-konfluwenza tal-Ohio u x-Xmajjar ta ’Miami, li jinsabu fin-Nofsinhar tal-villaġġ ta’ Pickawillany, id-dar tal-kap ta ’Miami magħrufa bħala"" Brittanja qadima ”. Céloron hedded ""Brittaniku qadim"" b'konsegwenzi severi jekk kompla jinnegoz"&amp;"ja mal-Ingliżi. ""Old Brittaniku"" injora t-twissija. Diżappuntat, Céloron irritorna f'Montreal f'Novembru 1749.")</f>
        <v>Meta l-ispedizzjoni ta 'Céloron waslet f'Logstown, l-Amerikani Nattivi fiż-żona infurmaw lil Céloron li huma kienu l-pajjiż ta' Ohio u li kienu jinnegozjaw mal-Ingliżi irrispettivament mill-Franċiżi. Céloron kompla lejn in-nofsinhar sakemm l-ispedizzjoni tiegħu laħqet il-konfluwenza tal-Ohio u x-Xmajjar ta ’Miami, li jinsabu fin-Nofsinhar tal-villaġġ ta’ Pickawillany, id-dar tal-kap ta ’Miami magħrufa bħala" Brittanja qadima ”. Céloron hedded "Brittaniku qadim" b'konsegwenzi severi jekk kompla jinnegozja mal-Ingliżi. "Old Brittaniku" injora t-twissija. Diżappuntat, Céloron irritorna f'Montreal f'Novembru 1749.</v>
      </c>
    </row>
    <row r="18706" ht="15.75" customHeight="1">
      <c r="A18706" s="2" t="s">
        <v>18706</v>
      </c>
      <c r="B18706" s="2" t="str">
        <f>IFERROR(__xludf.DUMMYFUNCTION("GOOGLETRANSLATE(A18706, ""en"", ""mt"")"),"X'kienu s-snin sentejn regolamenti li kienu f'kunflitt ma 'liġi Taljana li joriġinaw fil-każ spa ta' simmenthal?")</f>
        <v>X'kienu s-snin sentejn regolamenti li kienu f'kunflitt ma 'liġi Taljana li joriġinaw fil-każ spa ta' simmenthal?</v>
      </c>
    </row>
    <row r="18707" ht="15.75" customHeight="1">
      <c r="A18707" s="2" t="s">
        <v>18707</v>
      </c>
      <c r="B18707" s="2" t="str">
        <f>IFERROR(__xludf.DUMMYFUNCTION("GOOGLETRANSLATE(A18707, ""en"", ""mt"")"),"Ir-rhodoplasts għandhom membrana doppja bi spazju intermembrane u pigmenti tal-phycobilin organizzati fi phycobilisomes fuq il-membrani tat-tilakoid, li jipprevjenu t-tilkoids tagħhom milli jinżlu. Xi wħud fihom pirenojdi. Ir-rhodoplasts għandhom klorofil"&amp;"la a u phycobilins għal pigmenti fotosintetiċi; Il-phycobilin phycoerytherin huwa responsabbli biex jagħti ħafna alka ħamra tal-kulur aħmar distintiv tagħhom. Madankollu, peress li fihom ukoll il-klorofilla blu-aħdar A u pigmenti oħra, ħafna huma ħamrani "&amp;"għal vjola mill-kombinazzjoni. Il-pigment tal-phycoerytherin aħmar huwa adattament biex jgħin lill-alka ħamra taqbad aktar dawl tax-xemx fl-ilma fond - bħal, xi alka ħamra li tgħix f'ilma baxx għandhom inqas phycoerytherin fir-rhodoplasts tagħhom, u jistg"&amp;"ħu jidhru aktar ħodor. Rhodoplasts sintetizza forma ta 'lamtu msejħa Floridean, li tiġbor fi granuli barra r-rhodoplast, fiċ-ċitoplasma ta' l-alka ħamra.")</f>
        <v>Ir-rhodoplasts għandhom membrana doppja bi spazju intermembrane u pigmenti tal-phycobilin organizzati fi phycobilisomes fuq il-membrani tat-tilakoid, li jipprevjenu t-tilkoids tagħhom milli jinżlu. Xi wħud fihom pirenojdi. Ir-rhodoplasts għandhom klorofilla a u phycobilins għal pigmenti fotosintetiċi; Il-phycobilin phycoerytherin huwa responsabbli biex jagħti ħafna alka ħamra tal-kulur aħmar distintiv tagħhom. Madankollu, peress li fihom ukoll il-klorofilla blu-aħdar A u pigmenti oħra, ħafna huma ħamrani għal vjola mill-kombinazzjoni. Il-pigment tal-phycoerytherin aħmar huwa adattament biex jgħin lill-alka ħamra taqbad aktar dawl tax-xemx fl-ilma fond - bħal, xi alka ħamra li tgħix f'ilma baxx għandhom inqas phycoerytherin fir-rhodoplasts tagħhom, u jistgħu jidhru aktar ħodor. Rhodoplasts sintetizza forma ta 'lamtu msejħa Floridean, li tiġbor fi granuli barra r-rhodoplast, fiċ-ċitoplasma ta' l-alka ħamra.</v>
      </c>
    </row>
    <row r="18708" ht="15.75" customHeight="1">
      <c r="A18708" s="2" t="s">
        <v>18708</v>
      </c>
      <c r="B18708" s="2" t="str">
        <f>IFERROR(__xludf.DUMMYFUNCTION("GOOGLETRANSLATE(A18708, ""en"", ""mt"")"),"Il-fratellanza kienet l-uniku grupp ta ’oppożizzjoni fl-Eġittu kapaċi jagħmel dak waqt l-elezzjonijiet?")</f>
        <v>Il-fratellanza kienet l-uniku grupp ta ’oppożizzjoni fl-Eġittu kapaċi jagħmel dak waqt l-elezzjonijiet?</v>
      </c>
    </row>
    <row r="18709" ht="15.75" customHeight="1">
      <c r="A18709" s="2" t="s">
        <v>18709</v>
      </c>
      <c r="B18709" s="2" t="str">
        <f>IFERROR(__xludf.DUMMYFUNCTION("GOOGLETRANSLATE(A18709, ""en"", ""mt"")"),"Tikber malajr")</f>
        <v>Tikber malajr</v>
      </c>
    </row>
    <row r="18710" ht="15.75" customHeight="1">
      <c r="A18710" s="2" t="s">
        <v>18710</v>
      </c>
      <c r="B18710" s="2" t="str">
        <f>IFERROR(__xludf.DUMMYFUNCTION("GOOGLETRANSLATE(A18710, ""en"", ""mt"")"),"Għaliex tintuża r-regola tal-maġġoranza?")</f>
        <v>Għaliex tintuża r-regola tal-maġġoranza?</v>
      </c>
    </row>
    <row r="18711" ht="15.75" customHeight="1">
      <c r="A18711" s="2" t="s">
        <v>18711</v>
      </c>
      <c r="B18711" s="2" t="str">
        <f>IFERROR(__xludf.DUMMYFUNCTION("GOOGLETRANSLATE(A18711, ""en"", ""mt"")"),"Kemm hemm viċi presidenti fuq il-bord tal-istudenti?")</f>
        <v>Kemm hemm viċi presidenti fuq il-bord tal-istudenti?</v>
      </c>
    </row>
    <row r="18712" ht="15.75" customHeight="1">
      <c r="A18712" s="2" t="s">
        <v>18712</v>
      </c>
      <c r="B18712" s="2" t="str">
        <f>IFERROR(__xludf.DUMMYFUNCTION("GOOGLETRANSLATE(A18712, ""en"", ""mt"")"),"Kontenut ta 'enerġija")</f>
        <v>Kontenut ta 'enerġija</v>
      </c>
    </row>
    <row r="18713" ht="15.75" customHeight="1">
      <c r="A18713" s="2" t="s">
        <v>18713</v>
      </c>
      <c r="B18713" s="2" t="str">
        <f>IFERROR(__xludf.DUMMYFUNCTION("GOOGLETRANSLATE(A18713, ""en"", ""mt"")"),"Mard awtoimmuni, mard infjammatorju u kanċer")</f>
        <v>Mard awtoimmuni, mard infjammatorju u kanċer</v>
      </c>
    </row>
    <row r="18714" ht="15.75" customHeight="1">
      <c r="A18714" s="2" t="s">
        <v>18714</v>
      </c>
      <c r="B18714" s="2" t="str">
        <f>IFERROR(__xludf.DUMMYFUNCTION("GOOGLETRANSLATE(A18714, ""en"", ""mt"")"),"Il-Parlament Ewropew u l-Kunsill tal-Unjoni Ewropea")</f>
        <v>Il-Parlament Ewropew u l-Kunsill tal-Unjoni Ewropea</v>
      </c>
    </row>
    <row r="18715" ht="15.75" customHeight="1">
      <c r="A18715" s="2" t="s">
        <v>18715</v>
      </c>
      <c r="B18715" s="2" t="str">
        <f>IFERROR(__xludf.DUMMYFUNCTION("GOOGLETRANSLATE(A18715, ""en"", ""mt"")"),"Min kien raġel wieħed li ngħaqad f'idejh u qal ""Mulej tal-Knisja, aħna magħqudin fik ...?""")</f>
        <v>Min kien raġel wieħed li ngħaqad f'idejh u qal "Mulej tal-Knisja, aħna magħqudin fik ...?"</v>
      </c>
    </row>
    <row r="18716" ht="15.75" customHeight="1">
      <c r="A18716" s="2" t="s">
        <v>18716</v>
      </c>
      <c r="B18716" s="2" t="str">
        <f>IFERROR(__xludf.DUMMYFUNCTION("GOOGLETRANSLATE(A18716, ""en"", ""mt"")"),"Minħabba malfunzjoni fiċ-ċirkwit tal-kamaleont")</f>
        <v>Minħabba malfunzjoni fiċ-ċirkwit tal-kamaleont</v>
      </c>
    </row>
    <row r="18717" ht="15.75" customHeight="1">
      <c r="A18717" s="2" t="s">
        <v>18717</v>
      </c>
      <c r="B18717" s="2" t="str">
        <f>IFERROR(__xludf.DUMMYFUNCTION("GOOGLETRANSLATE(A18717, ""en"", ""mt"")"),"Liema oqsma ta 'studju kienu avvanzati matul il-wan?")</f>
        <v>Liema oqsma ta 'studju kienu avvanzati matul il-wan?</v>
      </c>
    </row>
    <row r="18718" ht="15.75" customHeight="1">
      <c r="A18718" s="2" t="s">
        <v>18718</v>
      </c>
      <c r="B18718" s="2" t="str">
        <f>IFERROR(__xludf.DUMMYFUNCTION("GOOGLETRANSLATE(A18718, ""en"", ""mt"")"),"sintetizza frazzjoni żgħira tal-proteini tagħhom")</f>
        <v>sintetizza frazzjoni żgħira tal-proteini tagħhom</v>
      </c>
    </row>
    <row r="18719" ht="15.75" customHeight="1">
      <c r="A18719" s="2" t="s">
        <v>18719</v>
      </c>
      <c r="B18719" s="2" t="str">
        <f>IFERROR(__xludf.DUMMYFUNCTION("GOOGLETRANSLATE(A18719, ""en"", ""mt"")"),"Il-Ranger waħdu")</f>
        <v>Il-Ranger waħdu</v>
      </c>
    </row>
    <row r="18720" ht="15.75" customHeight="1">
      <c r="A18720" s="2" t="s">
        <v>18720</v>
      </c>
      <c r="B18720" s="2" t="str">
        <f>IFERROR(__xludf.DUMMYFUNCTION("GOOGLETRANSLATE(A18720, ""en"", ""mt"")"),"It-tkissir tal-ostakli għall-kummerċ u t-titjib tal-moviment liberu tal-merkanzija huwa maħsub biex inaqqas xiex?")</f>
        <v>It-tkissir tal-ostakli għall-kummerċ u t-titjib tal-moviment liberu tal-merkanzija huwa maħsub biex inaqqas xiex?</v>
      </c>
    </row>
    <row r="18721" ht="15.75" customHeight="1">
      <c r="A18721" s="2" t="s">
        <v>18721</v>
      </c>
      <c r="B18721" s="2" t="str">
        <f>IFERROR(__xludf.DUMMYFUNCTION("GOOGLETRANSLATE(A18721, ""en"", ""mt"")"),"żdied")</f>
        <v>żdied</v>
      </c>
    </row>
    <row r="18722" ht="15.75" customHeight="1">
      <c r="A18722" s="2" t="s">
        <v>18722</v>
      </c>
      <c r="B18722" s="2" t="str">
        <f>IFERROR(__xludf.DUMMYFUNCTION("GOOGLETRANSLATE(A18722, ""en"", ""mt"")"),"tikkompressa l-iktar era riċenti")</f>
        <v>tikkompressa l-iktar era riċenti</v>
      </c>
    </row>
    <row r="18723" ht="15.75" customHeight="1">
      <c r="A18723" s="2" t="s">
        <v>18723</v>
      </c>
      <c r="B18723" s="2" t="str">
        <f>IFERROR(__xludf.DUMMYFUNCTION("GOOGLETRANSLATE(A18723, ""en"", ""mt"")"),"Kemm żgur li d-dikjarazzjoni qalu li x-xjenzati kienu li t-temperaturi jibqgħu jogħlew?")</f>
        <v>Kemm żgur li d-dikjarazzjoni qalu li x-xjenzati kienu li t-temperaturi jibqgħu jogħlew?</v>
      </c>
    </row>
    <row r="18724" ht="15.75" customHeight="1">
      <c r="A18724" s="2" t="s">
        <v>18724</v>
      </c>
      <c r="B18724" s="2" t="str">
        <f>IFERROR(__xludf.DUMMYFUNCTION("GOOGLETRANSLATE(A18724, ""en"", ""mt"")"),"Liema programm tal-futbol ġie debutat minn ABC fl-1970?")</f>
        <v>Liema programm tal-futbol ġie debutat minn ABC fl-1970?</v>
      </c>
    </row>
    <row r="18725" ht="15.75" customHeight="1">
      <c r="A18725" s="2" t="s">
        <v>18725</v>
      </c>
      <c r="B18725" s="2" t="str">
        <f>IFERROR(__xludf.DUMMYFUNCTION("GOOGLETRANSLATE(A18725, ""en"", ""mt"")"),"Jistgħu BSKYB jivverifika l-preżenza ta 'kanali fuq l-EPG tagħhom?")</f>
        <v>Jistgħu BSKYB jivverifika l-preżenza ta 'kanali fuq l-EPG tagħhom?</v>
      </c>
    </row>
    <row r="18726" ht="15.75" customHeight="1">
      <c r="A18726" s="2" t="s">
        <v>18726</v>
      </c>
      <c r="B18726" s="2" t="str">
        <f>IFERROR(__xludf.DUMMYFUNCTION("GOOGLETRANSLATE(A18726, ""en"", ""mt"")"),"Algoritmu speċifiku li juri t (n) jirrappreżenta liema miżura tal-kumplessità tal-ħin?")</f>
        <v>Algoritmu speċifiku li juri t (n) jirrappreżenta liema miżura tal-kumplessità tal-ħin?</v>
      </c>
    </row>
    <row r="18727" ht="15.75" customHeight="1">
      <c r="A18727" s="2" t="s">
        <v>18727</v>
      </c>
      <c r="B18727" s="2" t="str">
        <f>IFERROR(__xludf.DUMMYFUNCTION("GOOGLETRANSLATE(A18727, ""en"", ""mt"")"),"Għaliex wieħed m'għandux imur il-ħabs?")</f>
        <v>Għaliex wieħed m'għandux imur il-ħabs?</v>
      </c>
    </row>
    <row r="18728" ht="15.75" customHeight="1">
      <c r="A18728" s="2" t="s">
        <v>18728</v>
      </c>
      <c r="B18728" s="2" t="str">
        <f>IFERROR(__xludf.DUMMYFUNCTION("GOOGLETRANSLATE(A18728, ""en"", ""mt"")"),"X'inhi l-banda universali li r-riċevituri diġitali jirċievu l-istazzjonijiet bla ħlas fuq l-ajru?")</f>
        <v>X'inhi l-banda universali li r-riċevituri diġitali jirċievu l-istazzjonijiet bla ħlas fuq l-ajru?</v>
      </c>
    </row>
    <row r="18729" ht="15.75" customHeight="1">
      <c r="A18729" s="2" t="s">
        <v>18729</v>
      </c>
      <c r="B18729" s="2" t="str">
        <f>IFERROR(__xludf.DUMMYFUNCTION("GOOGLETRANSLATE(A18729, ""en"", ""mt"")"),"tibgħat malajr")</f>
        <v>tibgħat malajr</v>
      </c>
    </row>
    <row r="18730" ht="15.75" customHeight="1">
      <c r="A18730" s="2" t="s">
        <v>18730</v>
      </c>
      <c r="B18730" s="2" t="str">
        <f>IFERROR(__xludf.DUMMYFUNCTION("GOOGLETRANSLATE(A18730, ""en"", ""mt"")"),"'l isfel")</f>
        <v>'l isfel</v>
      </c>
    </row>
    <row r="18731" ht="15.75" customHeight="1">
      <c r="A18731" s="2" t="s">
        <v>18731</v>
      </c>
      <c r="B18731" s="2" t="str">
        <f>IFERROR(__xludf.DUMMYFUNCTION("GOOGLETRANSLATE(A18731, ""en"", ""mt"")"),"Interazzjonijiet potenzjali tal-mediċina, reazzjonijiet avversi għall-mediċina, u jivvalutaw l-allerġiji tal-mediċina tal-pazjent")</f>
        <v>Interazzjonijiet potenzjali tal-mediċina, reazzjonijiet avversi għall-mediċina, u jivvalutaw l-allerġiji tal-mediċina tal-pazjent</v>
      </c>
    </row>
    <row r="18732" ht="15.75" customHeight="1">
      <c r="A18732" s="2" t="s">
        <v>18732</v>
      </c>
      <c r="B18732" s="2" t="str">
        <f>IFERROR(__xludf.DUMMYFUNCTION("GOOGLETRANSLATE(A18732, ""en"", ""mt"")"),"Inġiniera tal-ispejjeż u estimaturi")</f>
        <v>Inġiniera tal-ispejjeż u estimaturi</v>
      </c>
    </row>
    <row r="18733" ht="15.75" customHeight="1">
      <c r="A18733" s="2" t="s">
        <v>18733</v>
      </c>
      <c r="B18733" s="2" t="str">
        <f>IFERROR(__xludf.DUMMYFUNCTION("GOOGLETRANSLATE(A18733, ""en"", ""mt"")"),"dħul aktar baxx")</f>
        <v>dħul aktar baxx</v>
      </c>
    </row>
    <row r="18734" ht="15.75" customHeight="1">
      <c r="A18734" s="2" t="s">
        <v>18734</v>
      </c>
      <c r="B18734" s="2" t="str">
        <f>IFERROR(__xludf.DUMMYFUNCTION("GOOGLETRANSLATE(A18734, ""en"", ""mt"")"),"Fl-1226, immedjatament wara li rritorna mill-punent, Genghis Khan beda attakk ta 'ritaljazzjoni fuq it-Tanguts. L-armati tiegħu malajr ħadu Heisui, Ganzhou, u Suzhou (mhux is-Suzhou fil-provinċja ta 'Jiangsu), u fil-ħarifa huwa ħa Xiliang-Fu [Disambiguati"&amp;"on meħtieġa]. Wieħed mill-ġenerali tat-Tangut ikkontesta lill-Mongoli għal battalja qrib il-Muntanji Helan iżda ġie megħlub. F'Novembru, Genghis waqqaf il-belt ta 'Tangut Lingzhou u qasmet ix-Xmara Isfar, għelbet l-armata ta' eżenzjoni ta 'Tangut. Skond i"&amp;"l-leġġenda, kien hawn li Genghis Khan allegatament ra linja ta 'ħames stilel irranġati fis-sema u interpretawha bħala omen tar-rebħa tiegħu.")</f>
        <v>Fl-1226, immedjatament wara li rritorna mill-punent, Genghis Khan beda attakk ta 'ritaljazzjoni fuq it-Tanguts. L-armati tiegħu malajr ħadu Heisui, Ganzhou, u Suzhou (mhux is-Suzhou fil-provinċja ta 'Jiangsu), u fil-ħarifa huwa ħa Xiliang-Fu [Disambiguation meħtieġa]. Wieħed mill-ġenerali tat-Tangut ikkontesta lill-Mongoli għal battalja qrib il-Muntanji Helan iżda ġie megħlub. F'Novembru, Genghis waqqaf il-belt ta 'Tangut Lingzhou u qasmet ix-Xmara Isfar, għelbet l-armata ta' eżenzjoni ta 'Tangut. Skond il-leġġenda, kien hawn li Genghis Khan allegatament ra linja ta 'ħames stilel irranġati fis-sema u interpretawha bħala omen tar-rebħa tiegħu.</v>
      </c>
    </row>
    <row r="18735" ht="15.75" customHeight="1">
      <c r="A18735" s="2" t="s">
        <v>18735</v>
      </c>
      <c r="B18735" s="2" t="str">
        <f>IFERROR(__xludf.DUMMYFUNCTION("GOOGLETRANSLATE(A18735, ""en"", ""mt"")"),"X'kien l-għadd totali ta 'privattivi li kellha Tesla?")</f>
        <v>X'kien l-għadd totali ta 'privattivi li kellha Tesla?</v>
      </c>
    </row>
    <row r="18736" ht="15.75" customHeight="1">
      <c r="A18736" s="2" t="s">
        <v>18736</v>
      </c>
      <c r="B18736" s="2" t="str">
        <f>IFERROR(__xludf.DUMMYFUNCTION("GOOGLETRANSLATE(A18736, ""en"", ""mt"")"),"Problema tal-isomorfiżmu graff")</f>
        <v>Problema tal-isomorfiżmu graff</v>
      </c>
    </row>
    <row r="18737" ht="15.75" customHeight="1">
      <c r="A18737" s="2" t="s">
        <v>18737</v>
      </c>
      <c r="B18737" s="2" t="str">
        <f>IFERROR(__xludf.DUMMYFUNCTION("GOOGLETRANSLATE(A18737, ""en"", ""mt"")"),"folla l-wirt Musulman")</f>
        <v>folla l-wirt Musulman</v>
      </c>
    </row>
    <row r="18738" ht="15.75" customHeight="1">
      <c r="A18738" s="2" t="s">
        <v>18738</v>
      </c>
      <c r="B18738" s="2" t="str">
        <f>IFERROR(__xludf.DUMMYFUNCTION("GOOGLETRANSLATE(A18738, ""en"", ""mt"")"),"fir-renju")</f>
        <v>fir-renju</v>
      </c>
    </row>
    <row r="18739" ht="15.75" customHeight="1">
      <c r="A18739" s="2" t="s">
        <v>18739</v>
      </c>
      <c r="B18739" s="2" t="str">
        <f>IFERROR(__xludf.DUMMYFUNCTION("GOOGLETRANSLATE(A18739, ""en"", ""mt"")"),"""Anniversarju tad-Deheb")</f>
        <v>"Anniversarju tad-Deheb</v>
      </c>
    </row>
    <row r="18740" ht="15.75" customHeight="1">
      <c r="A18740" s="2" t="s">
        <v>18740</v>
      </c>
      <c r="B18740" s="2" t="str">
        <f>IFERROR(__xludf.DUMMYFUNCTION("GOOGLETRANSLATE(A18740, ""en"", ""mt"")"),"Fejn in-nazzjonalisti Ċiniżi mexxew il-mausoleum 'il bogħod milli javvanzaw il-forzi Komunisti Ċiniżi?")</f>
        <v>Fejn in-nazzjonalisti Ċiniżi mexxew il-mausoleum 'il bogħod milli javvanzaw il-forzi Komunisti Ċiniżi?</v>
      </c>
    </row>
    <row r="18741" ht="15.75" customHeight="1">
      <c r="A18741" s="2" t="s">
        <v>18741</v>
      </c>
      <c r="B18741" s="2" t="str">
        <f>IFERROR(__xludf.DUMMYFUNCTION("GOOGLETRANSLATE(A18741, ""en"", ""mt"")"),"Meta s-Sirja u l-Eġittu nedew attakk ta ’sorpriża fuq l-Iżrael?")</f>
        <v>Meta s-Sirja u l-Eġittu nedew attakk ta ’sorpriża fuq l-Iżrael?</v>
      </c>
    </row>
    <row r="18742" ht="15.75" customHeight="1">
      <c r="A18742" s="2" t="s">
        <v>18742</v>
      </c>
      <c r="B18742" s="2" t="str">
        <f>IFERROR(__xludf.DUMMYFUNCTION("GOOGLETRANSLATE(A18742, ""en"", ""mt"")"),"X'inhuma xi kumpaniji kbar tal-ġestjoni tal-ispiżerija?")</f>
        <v>X'inhuma xi kumpaniji kbar tal-ġestjoni tal-ispiżerija?</v>
      </c>
    </row>
    <row r="18743" ht="15.75" customHeight="1">
      <c r="A18743" s="2" t="s">
        <v>18743</v>
      </c>
      <c r="B18743" s="2" t="str">
        <f>IFERROR(__xludf.DUMMYFUNCTION("GOOGLETRANSLATE(A18743, ""en"", ""mt"")"),"Tlesti Q fir-rigward ta 'dak li se jipproduċi l-qasam tan-numri reali?")</f>
        <v>Tlesti Q fir-rigward ta 'dak li se jipproduċi l-qasam tan-numri reali?</v>
      </c>
    </row>
    <row r="18744" ht="15.75" customHeight="1">
      <c r="A18744" s="2" t="s">
        <v>18744</v>
      </c>
      <c r="B18744" s="2" t="str">
        <f>IFERROR(__xludf.DUMMYFUNCTION("GOOGLETRANSLATE(A18744, ""en"", ""mt"")"),"Każ tal-ħġieġ sospiż mill-għatu")</f>
        <v>Każ tal-ħġieġ sospiż mill-għatu</v>
      </c>
    </row>
    <row r="18745" ht="15.75" customHeight="1">
      <c r="A18745" s="2" t="s">
        <v>18745</v>
      </c>
      <c r="B18745" s="2" t="str">
        <f>IFERROR(__xludf.DUMMYFUNCTION("GOOGLETRANSLATE(A18745, ""en"", ""mt"")"),"ħames miljun")</f>
        <v>ħames miljun</v>
      </c>
    </row>
    <row r="18746" ht="15.75" customHeight="1">
      <c r="A18746" s="2" t="s">
        <v>18746</v>
      </c>
      <c r="B18746" s="2" t="str">
        <f>IFERROR(__xludf.DUMMYFUNCTION("GOOGLETRANSLATE(A18746, ""en"", ""mt"")"),"Mhux iddisinjat biex itir fl-atmosfera tad-Dinja jew jirritorna fid-Dinja")</f>
        <v>Mhux iddisinjat biex itir fl-atmosfera tad-Dinja jew jirritorna fid-Dinja</v>
      </c>
    </row>
    <row r="18747" ht="15.75" customHeight="1">
      <c r="A18747" s="2" t="s">
        <v>18747</v>
      </c>
      <c r="B18747" s="2" t="str">
        <f>IFERROR(__xludf.DUMMYFUNCTION("GOOGLETRANSLATE(A18747, ""en"", ""mt"")"),"William ta 'Volpiano u John ta' Ravenna")</f>
        <v>William ta 'Volpiano u John ta' Ravenna</v>
      </c>
    </row>
    <row r="18748" ht="15.75" customHeight="1">
      <c r="A18748" s="2" t="s">
        <v>18748</v>
      </c>
      <c r="B18748" s="2" t="str">
        <f>IFERROR(__xludf.DUMMYFUNCTION("GOOGLETRANSLATE(A18748, ""en"", ""mt"")"),"Iċ-ċittadinanza ta 'l-UE kienet dejjem aktar meqjusa bħala status ""fundamentali"" ta' ċittadini tal-istat membru mill-Qorti tal-Ġustizzja, u għalhekk żiedet in-numru ta 'servizzi soċjali li n-nies jistgħu jaċċessaw kull fejn jimxu. Il-qorti kienet teħtie"&amp;"ġ li l-edukazzjoni għolja, flimkien ma 'forom oħra ta' taħriġ vokazzjonali, għandha tkun aktar aċċess, għalkemm b'perjodi ta 'kwalifikazzjoni. Fil-Kummissjoni vs l-Awstrija l-qorti qalet li l-Awstrija ma kellhiex id-dritt li tillimita postijiet fl-univers"&amp;"itajiet Awstrijaċi għal studenti Awstrijaċi biex tevita ""problemi strutturali, ta 'persunal u finanzjarji"" jekk (prinċipalment Ġermaniżi) studenti barranin applikaw għal postijiet minħabba li kien hemm ftit evidenza ta' problema attwali -")</f>
        <v>Iċ-ċittadinanza ta 'l-UE kienet dejjem aktar meqjusa bħala status "fundamentali" ta' ċittadini tal-istat membru mill-Qorti tal-Ġustizzja, u għalhekk żiedet in-numru ta 'servizzi soċjali li n-nies jistgħu jaċċessaw kull fejn jimxu. Il-qorti kienet teħtieġ li l-edukazzjoni għolja, flimkien ma 'forom oħra ta' taħriġ vokazzjonali, għandha tkun aktar aċċess, għalkemm b'perjodi ta 'kwalifikazzjoni. Fil-Kummissjoni vs l-Awstrija l-qorti qalet li l-Awstrija ma kellhiex id-dritt li tillimita postijiet fl-universitajiet Awstrijaċi għal studenti Awstrijaċi biex tevita "problemi strutturali, ta 'persunal u finanzjarji" jekk (prinċipalment Ġermaniżi) studenti barranin applikaw għal postijiet minħabba li kien hemm ftit evidenza ta' problema attwali -</v>
      </c>
    </row>
    <row r="18749" ht="15.75" customHeight="1">
      <c r="A18749" s="2" t="s">
        <v>18749</v>
      </c>
      <c r="B18749" s="2" t="str">
        <f>IFERROR(__xludf.DUMMYFUNCTION("GOOGLETRANSLATE(A18749, ""en"", ""mt"")"),"Il-Seahawks ta ’Seattle")</f>
        <v>Il-Seahawks ta ’Seattle</v>
      </c>
    </row>
    <row r="18750" ht="15.75" customHeight="1">
      <c r="A18750" s="2" t="s">
        <v>18750</v>
      </c>
      <c r="B18750" s="2" t="str">
        <f>IFERROR(__xludf.DUMMYFUNCTION("GOOGLETRANSLATE(A18750, ""en"", ""mt"")"),"F'liema żewġ serje kien in-numru ta 'riġenerazzjonijiet stabbiliti?")</f>
        <v>F'liema żewġ serje kien in-numru ta 'riġenerazzjonijiet stabbiliti?</v>
      </c>
    </row>
    <row r="18751" ht="15.75" customHeight="1">
      <c r="A18751" s="2" t="s">
        <v>18751</v>
      </c>
      <c r="B18751" s="2" t="str">
        <f>IFERROR(__xludf.DUMMYFUNCTION("GOOGLETRANSLATE(A18751, ""en"", ""mt"")"),"F'żoni l-forzi tagħha okkupati fl-Ewropa tal-Lvant")</f>
        <v>F'żoni l-forzi tagħha okkupati fl-Ewropa tal-Lvant</v>
      </c>
    </row>
    <row r="18752" ht="15.75" customHeight="1">
      <c r="A18752" s="2" t="s">
        <v>18752</v>
      </c>
      <c r="B18752" s="2" t="str">
        <f>IFERROR(__xludf.DUMMYFUNCTION("GOOGLETRANSLATE(A18752, ""en"", ""mt"")"),"Kif it-trattament mhux ugwali taċ-Ċiniż kontra l-Mongoli fil-wan għamel id-dinastija tidher?")</f>
        <v>Kif it-trattament mhux ugwali taċ-Ċiniż kontra l-Mongoli fil-wan għamel id-dinastija tidher?</v>
      </c>
    </row>
    <row r="18753" ht="15.75" customHeight="1">
      <c r="A18753" s="2" t="s">
        <v>18753</v>
      </c>
      <c r="B18753" s="2" t="str">
        <f>IFERROR(__xludf.DUMMYFUNCTION("GOOGLETRANSLATE(A18753, ""en"", ""mt"")"),"Kolonjaliżmu")</f>
        <v>Kolonjaliżmu</v>
      </c>
    </row>
    <row r="18754" ht="15.75" customHeight="1">
      <c r="A18754" s="2" t="s">
        <v>18754</v>
      </c>
      <c r="B18754" s="2" t="str">
        <f>IFERROR(__xludf.DUMMYFUNCTION("GOOGLETRANSLATE(A18754, ""en"", ""mt"")"),"F'liema episodju qed jinġieb li l-ewwel tabib jista 'ma jkunx l-ewwel tabib?")</f>
        <v>F'liema episodju qed jinġieb li l-ewwel tabib jista 'ma jkunx l-ewwel tabib?</v>
      </c>
    </row>
    <row r="18755" ht="15.75" customHeight="1">
      <c r="A18755" s="2" t="s">
        <v>18755</v>
      </c>
      <c r="B18755" s="2" t="str">
        <f>IFERROR(__xludf.DUMMYFUNCTION("GOOGLETRANSLATE(A18755, ""en"", ""mt"")"),"F'liema magna teoretika hija kkonfermata li problema fis-sħubija fil-klassi NP?")</f>
        <v>F'liema magna teoretika hija kkonfermata li problema fis-sħubija fil-klassi NP?</v>
      </c>
    </row>
    <row r="18756" ht="15.75" customHeight="1">
      <c r="A18756" s="2" t="s">
        <v>18756</v>
      </c>
      <c r="B18756" s="2" t="str">
        <f>IFERROR(__xludf.DUMMYFUNCTION("GOOGLETRANSLATE(A18756, ""en"", ""mt"")"),"L-attivazzjoni ta 'ċellula T helper tikkawża li tirrilaxxa liema kimiċi jinfluwenzaw l-attività taċ-ċellula?")</f>
        <v>L-attivazzjoni ta 'ċellula T helper tikkawża li tirrilaxxa liema kimiċi jinfluwenzaw l-attività taċ-ċellula?</v>
      </c>
    </row>
    <row r="18757" ht="15.75" customHeight="1">
      <c r="A18757" s="2" t="s">
        <v>18757</v>
      </c>
      <c r="B18757" s="2" t="str">
        <f>IFERROR(__xludf.DUMMYFUNCTION("GOOGLETRANSLATE(A18757, ""en"", ""mt"")"),"Min jara pazjent wara infermier ma jistax jgħin aktar?")</f>
        <v>Min jara pazjent wara infermier ma jistax jgħin aktar?</v>
      </c>
    </row>
    <row r="18758" ht="15.75" customHeight="1">
      <c r="A18758" s="2" t="s">
        <v>18758</v>
      </c>
      <c r="B18758" s="2" t="str">
        <f>IFERROR(__xludf.DUMMYFUNCTION("GOOGLETRANSLATE(A18758, ""en"", ""mt"")"),"Xi jfisser 'plastid'?")</f>
        <v>Xi jfisser 'plastid'?</v>
      </c>
    </row>
    <row r="18759" ht="15.75" customHeight="1">
      <c r="A18759" s="2" t="s">
        <v>18759</v>
      </c>
      <c r="B18759" s="2" t="str">
        <f>IFERROR(__xludf.DUMMYFUNCTION("GOOGLETRANSLATE(A18759, ""en"", ""mt"")"),"Min minbarra Woodrow Wilson innifsu kellu l-idea għall-inkjesta?")</f>
        <v>Min minbarra Woodrow Wilson innifsu kellu l-idea għall-inkjesta?</v>
      </c>
    </row>
    <row r="18760" ht="15.75" customHeight="1">
      <c r="A18760" s="2" t="s">
        <v>18760</v>
      </c>
      <c r="B18760" s="2" t="str">
        <f>IFERROR(__xludf.DUMMYFUNCTION("GOOGLETRANSLATE(A18760, ""en"", ""mt"")"),"Levi's Stadium.")</f>
        <v>Levi's Stadium.</v>
      </c>
    </row>
    <row r="18761" ht="15.75" customHeight="1">
      <c r="A18761" s="2" t="s">
        <v>18761</v>
      </c>
      <c r="B18761" s="2" t="str">
        <f>IFERROR(__xludf.DUMMYFUNCTION("GOOGLETRANSLATE(A18761, ""en"", ""mt"")"),"għallem klassi kbira ta ’studenti")</f>
        <v>għallem klassi kbira ta ’studenti</v>
      </c>
    </row>
    <row r="18762" ht="15.75" customHeight="1">
      <c r="A18762" s="2" t="s">
        <v>18762</v>
      </c>
      <c r="B18762" s="2" t="str">
        <f>IFERROR(__xludf.DUMMYFUNCTION("GOOGLETRANSLATE(A18762, ""en"", ""mt"")"),"Liema xiri ta 'armi ta' pajjiż mill-Istati Uniti sar 5 darbiet aktar minn Iżrael?")</f>
        <v>Liema xiri ta 'armi ta' pajjiż mill-Istati Uniti sar 5 darbiet aktar minn Iżrael?</v>
      </c>
    </row>
    <row r="18763" ht="15.75" customHeight="1">
      <c r="A18763" s="2" t="s">
        <v>18763</v>
      </c>
      <c r="B18763" s="2" t="str">
        <f>IFERROR(__xludf.DUMMYFUNCTION("GOOGLETRANSLATE(A18763, ""en"", ""mt"")"),"Kenja")</f>
        <v>Kenja</v>
      </c>
    </row>
    <row r="18764" ht="15.75" customHeight="1">
      <c r="A18764" s="2" t="s">
        <v>18764</v>
      </c>
      <c r="B18764" s="2" t="str">
        <f>IFERROR(__xludf.DUMMYFUNCTION("GOOGLETRANSLATE(A18764, ""en"", ""mt"")"),"X'promwoviet NSFNET")</f>
        <v>X'promwoviet NSFNET</v>
      </c>
    </row>
    <row r="18765" ht="15.75" customHeight="1">
      <c r="A18765" s="2" t="s">
        <v>18765</v>
      </c>
      <c r="B18765" s="2" t="str">
        <f>IFERROR(__xludf.DUMMYFUNCTION("GOOGLETRANSLATE(A18765, ""en"", ""mt"")"),"sitt itfal")</f>
        <v>sitt itfal</v>
      </c>
    </row>
    <row r="18766" ht="15.75" customHeight="1">
      <c r="A18766" s="2" t="s">
        <v>18766</v>
      </c>
      <c r="B18766" s="2" t="str">
        <f>IFERROR(__xludf.DUMMYFUNCTION("GOOGLETRANSLATE(A18766, ""en"", ""mt"")"),"X'kien il-verdett fuq allegati żbalji oħra?")</f>
        <v>X'kien il-verdett fuq allegati żbalji oħra?</v>
      </c>
    </row>
    <row r="18767" ht="15.75" customHeight="1">
      <c r="A18767" s="2" t="s">
        <v>18767</v>
      </c>
      <c r="B18767" s="2" t="str">
        <f>IFERROR(__xludf.DUMMYFUNCTION("GOOGLETRANSLATE(A18767, ""en"", ""mt"")"),"Kemm kellha fatturat Cam Newton?")</f>
        <v>Kemm kellha fatturat Cam Newton?</v>
      </c>
    </row>
    <row r="18768" ht="15.75" customHeight="1">
      <c r="A18768" s="2" t="s">
        <v>18768</v>
      </c>
      <c r="B18768" s="2" t="str">
        <f>IFERROR(__xludf.DUMMYFUNCTION("GOOGLETRANSLATE(A18768, ""en"", ""mt"")"),"Kummerċ ma 'Kostantinopli")</f>
        <v>Kummerċ ma 'Kostantinopli</v>
      </c>
    </row>
    <row r="18769" ht="15.75" customHeight="1">
      <c r="A18769" s="2" t="s">
        <v>18769</v>
      </c>
      <c r="B18769" s="2" t="str">
        <f>IFERROR(__xludf.DUMMYFUNCTION("GOOGLETRANSLATE(A18769, ""en"", ""mt"")"),"18 ta 'Lulju, 2006")</f>
        <v>18 ta 'Lulju, 2006</v>
      </c>
    </row>
    <row r="18770" ht="15.75" customHeight="1">
      <c r="A18770" s="2" t="s">
        <v>18770</v>
      </c>
      <c r="B18770" s="2" t="str">
        <f>IFERROR(__xludf.DUMMYFUNCTION("GOOGLETRANSLATE(A18770, ""en"", ""mt"")"),"il-kisi tat-turbina")</f>
        <v>il-kisi tat-turbina</v>
      </c>
    </row>
    <row r="18771" ht="15.75" customHeight="1">
      <c r="A18771" s="2" t="s">
        <v>18771</v>
      </c>
      <c r="B18771" s="2" t="str">
        <f>IFERROR(__xludf.DUMMYFUNCTION("GOOGLETRANSLATE(A18771, ""en"", ""mt"")"),"Obbligatament anerobiku")</f>
        <v>Obbligatament anerobiku</v>
      </c>
    </row>
    <row r="18772" ht="15.75" customHeight="1">
      <c r="A18772" s="2" t="s">
        <v>18772</v>
      </c>
      <c r="B18772" s="2" t="str">
        <f>IFERROR(__xludf.DUMMYFUNCTION("GOOGLETRANSLATE(A18772, ""en"", ""mt"")"),"simboli")</f>
        <v>simboli</v>
      </c>
    </row>
    <row r="18773" ht="15.75" customHeight="1">
      <c r="A18773" s="2" t="s">
        <v>18773</v>
      </c>
      <c r="B18773" s="2" t="str">
        <f>IFERROR(__xludf.DUMMYFUNCTION("GOOGLETRANSLATE(A18773, ""en"", ""mt"")"),"L-input kontinwu tas-sediment fil-lag se joħroġ il-lag")</f>
        <v>L-input kontinwu tas-sediment fil-lag se joħroġ il-lag</v>
      </c>
    </row>
    <row r="18774" ht="15.75" customHeight="1">
      <c r="A18774" s="2" t="s">
        <v>18774</v>
      </c>
      <c r="B18774" s="2" t="str">
        <f>IFERROR(__xludf.DUMMYFUNCTION("GOOGLETRANSLATE(A18774, ""en"", ""mt"")"),"L-iżvilupp tal-bajd fertilizzat huwa dirett, fi kliem ieħor m'hemm l-ebda forma ta 'larva distintiva, u l-minorenni tal-gruppi kollha ġeneralment jixbhu lill-adulti taċ-ċidippidi żgħar. Fil-ġeneru Beroe, il-minorenni, bħall-adulti, m'għandhomx tentakli u "&amp;"għant tat-tentaklu. Fil-biċċa l-kbira tal-ispeċi l-minorenni jiżviluppaw gradwalment il-forom tal-ġisem tal-ġenituri tagħhom. F’xi gruppi, bħalma huma l-platyctenids ċatti u fil-qiegħ, il-minorenni jġibu ruħhom aktar bħal larva vera, hekk kif jgħixu fost "&amp;"il-plankton u b’hekk jokkupaw niċċa ekoloġika differenti mill-ġenituri tagħhom u jilħqu l-forma adulta minn metamorfosi aktar radikali, wara Waqqa 'lejn il-qiegħ tal-baħar.")</f>
        <v>L-iżvilupp tal-bajd fertilizzat huwa dirett, fi kliem ieħor m'hemm l-ebda forma ta 'larva distintiva, u l-minorenni tal-gruppi kollha ġeneralment jixbhu lill-adulti taċ-ċidippidi żgħar. Fil-ġeneru Beroe, il-minorenni, bħall-adulti, m'għandhomx tentakli u għant tat-tentaklu. Fil-biċċa l-kbira tal-ispeċi l-minorenni jiżviluppaw gradwalment il-forom tal-ġisem tal-ġenituri tagħhom. F’xi gruppi, bħalma huma l-platyctenids ċatti u fil-qiegħ, il-minorenni jġibu ruħhom aktar bħal larva vera, hekk kif jgħixu fost il-plankton u b’hekk jokkupaw niċċa ekoloġika differenti mill-ġenituri tagħhom u jilħqu l-forma adulta minn metamorfosi aktar radikali, wara Waqqa 'lejn il-qiegħ tal-baħar.</v>
      </c>
    </row>
    <row r="18775" ht="15.75" customHeight="1">
      <c r="A18775" s="2" t="s">
        <v>18775</v>
      </c>
      <c r="B18775" s="2" t="str">
        <f>IFERROR(__xludf.DUMMYFUNCTION("GOOGLETRANSLATE(A18775, ""en"", ""mt"")"),"Huwa waqa 'mill-iskola")</f>
        <v>Huwa waqa 'mill-iskola</v>
      </c>
    </row>
    <row r="18776" ht="15.75" customHeight="1">
      <c r="A18776" s="2" t="s">
        <v>18776</v>
      </c>
      <c r="B18776" s="2" t="str">
        <f>IFERROR(__xludf.DUMMYFUNCTION("GOOGLETRANSLATE(A18776, ""en"", ""mt"")"),"L-4 Bejgħ u Ċentri tas-Servizz huma meqjusa bħala")</f>
        <v>L-4 Bejgħ u Ċentri tas-Servizz huma meqjusa bħala</v>
      </c>
    </row>
    <row r="18777" ht="15.75" customHeight="1">
      <c r="A18777" s="2" t="s">
        <v>18777</v>
      </c>
      <c r="B18777" s="2" t="str">
        <f>IFERROR(__xludf.DUMMYFUNCTION("GOOGLETRANSLATE(A18777, ""en"", ""mt"")"),"Tbattal l-art tal-madwar u l-polders")</f>
        <v>Tbattal l-art tal-madwar u l-polders</v>
      </c>
    </row>
    <row r="18778" ht="15.75" customHeight="1">
      <c r="A18778" s="2" t="s">
        <v>18778</v>
      </c>
      <c r="B18778" s="2" t="str">
        <f>IFERROR(__xludf.DUMMYFUNCTION("GOOGLETRANSLATE(A18778, ""en"", ""mt"")"),"Fejn jqattgħu Jebe u Subutai wara x-xitwa wara l-qasma tal-armata Mongoljana?")</f>
        <v>Fejn jqattgħu Jebe u Subutai wara x-xitwa wara l-qasma tal-armata Mongoljana?</v>
      </c>
    </row>
    <row r="18779" ht="15.75" customHeight="1">
      <c r="A18779" s="2" t="s">
        <v>18779</v>
      </c>
      <c r="B18779" s="2" t="str">
        <f>IFERROR(__xludf.DUMMYFUNCTION("GOOGLETRANSLATE(A18779, ""en"", ""mt"")"),"Terrazzi mgħarrqa ta 'qabel")</f>
        <v>Terrazzi mgħarrqa ta 'qabel</v>
      </c>
    </row>
    <row r="18780" ht="15.75" customHeight="1">
      <c r="A18780" s="2" t="s">
        <v>18780</v>
      </c>
      <c r="B18780" s="2" t="str">
        <f>IFERROR(__xludf.DUMMYFUNCTION("GOOGLETRANSLATE(A18780, ""en"", ""mt"")"),"X'ifisser ""Da Yuan Tong Zhi""?")</f>
        <v>X'ifisser "Da Yuan Tong Zhi"?</v>
      </c>
    </row>
    <row r="18781" ht="15.75" customHeight="1">
      <c r="A18781" s="2" t="s">
        <v>18781</v>
      </c>
      <c r="B18781" s="2" t="str">
        <f>IFERROR(__xludf.DUMMYFUNCTION("GOOGLETRANSLATE(A18781, ""en"", ""mt"")"),"X'inhuma l-liġijiet tal-fiżika ta 'Galileo, b'referenza għall-objest fil-moviment u l-mistrieħ?")</f>
        <v>X'inhuma l-liġijiet tal-fiżika ta 'Galileo, b'referenza għall-objest fil-moviment u l-mistrieħ?</v>
      </c>
    </row>
    <row r="18782" ht="15.75" customHeight="1">
      <c r="A18782" s="2" t="s">
        <v>18782</v>
      </c>
      <c r="B18782" s="2" t="str">
        <f>IFERROR(__xludf.DUMMYFUNCTION("GOOGLETRANSLATE(A18782, ""en"", ""mt"")"),"Il- ""50"" mogħti lir-rebbieħ tas-Super Bowl huwa miksi b'kemm karats tad-deheb?")</f>
        <v>Il- "50" mogħti lir-rebbieħ tas-Super Bowl huwa miksi b'kemm karats tad-deheb?</v>
      </c>
    </row>
    <row r="18783" ht="15.75" customHeight="1">
      <c r="A18783" s="2" t="s">
        <v>18783</v>
      </c>
      <c r="B18783" s="2" t="str">
        <f>IFERROR(__xludf.DUMMYFUNCTION("GOOGLETRANSLATE(A18783, ""en"", ""mt"")"),"kumpless ġdid ta 'ġewwa")</f>
        <v>kumpless ġdid ta 'ġewwa</v>
      </c>
    </row>
    <row r="18784" ht="15.75" customHeight="1">
      <c r="A18784" s="2" t="s">
        <v>18784</v>
      </c>
      <c r="B18784" s="2" t="str">
        <f>IFERROR(__xludf.DUMMYFUNCTION("GOOGLETRANSLATE(A18784, ""en"", ""mt"")"),"Kemm hemm indirizzi ta 'Von Miller waħdu fil-logħba?")</f>
        <v>Kemm hemm indirizzi ta 'Von Miller waħdu fil-logħba?</v>
      </c>
    </row>
    <row r="18785" ht="15.75" customHeight="1">
      <c r="A18785" s="2" t="s">
        <v>18785</v>
      </c>
      <c r="B18785" s="2" t="str">
        <f>IFERROR(__xludf.DUMMYFUNCTION("GOOGLETRANSLATE(A18785, ""en"", ""mt"")"),"Drapp ta 'San Gereon")</f>
        <v>Drapp ta 'San Gereon</v>
      </c>
    </row>
    <row r="18786" ht="15.75" customHeight="1">
      <c r="A18786" s="2" t="s">
        <v>18786</v>
      </c>
      <c r="B18786" s="2" t="str">
        <f>IFERROR(__xludf.DUMMYFUNCTION("GOOGLETRANSLATE(A18786, ""en"", ""mt"")"),"Kanadiżi, inkluż l-uffiċjal kmandant tagħhom")</f>
        <v>Kanadiżi, inkluż l-uffiċjal kmandant tagħhom</v>
      </c>
    </row>
    <row r="18787" ht="15.75" customHeight="1">
      <c r="A18787" s="2" t="s">
        <v>18787</v>
      </c>
      <c r="B18787" s="2" t="str">
        <f>IFERROR(__xludf.DUMMYFUNCTION("GOOGLETRANSLATE(A18787, ""en"", ""mt"")"),"Gass tal-ossiġnu")</f>
        <v>Gass tal-ossiġnu</v>
      </c>
    </row>
    <row r="18788" ht="15.75" customHeight="1">
      <c r="A18788" s="2" t="s">
        <v>18788</v>
      </c>
      <c r="B18788" s="2" t="str">
        <f>IFERROR(__xludf.DUMMYFUNCTION("GOOGLETRANSLATE(A18788, ""en"", ""mt"")"),"raġel stout")</f>
        <v>raġel stout</v>
      </c>
    </row>
    <row r="18789" ht="15.75" customHeight="1">
      <c r="A18789" s="2" t="s">
        <v>18789</v>
      </c>
      <c r="B18789" s="2" t="str">
        <f>IFERROR(__xludf.DUMMYFUNCTION("GOOGLETRANSLATE(A18789, ""en"", ""mt"")"),"Dak li jgħin il-proċess tal-moviment liberu tal-merkanzija?")</f>
        <v>Dak li jgħin il-proċess tal-moviment liberu tal-merkanzija?</v>
      </c>
    </row>
    <row r="18790" ht="15.75" customHeight="1">
      <c r="A18790" s="2" t="s">
        <v>18790</v>
      </c>
      <c r="B18790" s="2" t="str">
        <f>IFERROR(__xludf.DUMMYFUNCTION("GOOGLETRANSLATE(A18790, ""en"", ""mt"")"),"Liema kejl użaw ix-xjenzati biex jiddeterminaw il-kwalità tal-ilma?")</f>
        <v>Liema kejl użaw ix-xjenzati biex jiddeterminaw il-kwalità tal-ilma?</v>
      </c>
    </row>
    <row r="18791" ht="15.75" customHeight="1">
      <c r="A18791" s="2" t="s">
        <v>18791</v>
      </c>
      <c r="B18791" s="2" t="str">
        <f>IFERROR(__xludf.DUMMYFUNCTION("GOOGLETRANSLATE(A18791, ""en"", ""mt"")"),"X'jaħżen Pyrenoids?")</f>
        <v>X'jaħżen Pyrenoids?</v>
      </c>
    </row>
    <row r="18792" ht="15.75" customHeight="1">
      <c r="A18792" s="2" t="s">
        <v>18792</v>
      </c>
      <c r="B18792" s="2" t="str">
        <f>IFERROR(__xludf.DUMMYFUNCTION("GOOGLETRANSLATE(A18792, ""en"", ""mt"")"),"Rati ogħla ta 'saħħa u problemi soċjali huma biss tnejn minn eżempji ta' effetti minn xiex?")</f>
        <v>Rati ogħla ta 'saħħa u problemi soċjali huma biss tnejn minn eżempji ta' effetti minn xiex?</v>
      </c>
    </row>
    <row r="18793" ht="15.75" customHeight="1">
      <c r="A18793" s="2" t="s">
        <v>18793</v>
      </c>
      <c r="B18793" s="2" t="str">
        <f>IFERROR(__xludf.DUMMYFUNCTION("GOOGLETRANSLATE(A18793, ""en"", ""mt"")"),"b’mod armonjuż")</f>
        <v>b’mod armonjuż</v>
      </c>
    </row>
    <row r="18794" ht="15.75" customHeight="1">
      <c r="A18794" s="2" t="s">
        <v>18794</v>
      </c>
      <c r="B18794" s="2" t="str">
        <f>IFERROR(__xludf.DUMMYFUNCTION("GOOGLETRANSLATE(A18794, ""en"", ""mt"")"),"L-istruttura l-ġdida tippermetti tluq mill-iskejjel fil-livelli kollha jew tkun taħdem għal rasha jew biex tiżgura impjieg fis-settur informali")</f>
        <v>L-istruttura l-ġdida tippermetti tluq mill-iskejjel fil-livelli kollha jew tkun taħdem għal rasha jew biex tiżgura impjieg fis-settur informali</v>
      </c>
    </row>
    <row r="18795" ht="15.75" customHeight="1">
      <c r="A18795" s="2" t="s">
        <v>18795</v>
      </c>
      <c r="B18795" s="2" t="str">
        <f>IFERROR(__xludf.DUMMYFUNCTION("GOOGLETRANSLATE(A18795, ""en"", ""mt"")"),"X'kien ir-Rapport P-2626")</f>
        <v>X'kien ir-Rapport P-2626</v>
      </c>
    </row>
    <row r="18796" ht="15.75" customHeight="1">
      <c r="A18796" s="2" t="s">
        <v>18796</v>
      </c>
      <c r="B18796" s="2" t="str">
        <f>IFERROR(__xludf.DUMMYFUNCTION("GOOGLETRANSLATE(A18796, ""en"", ""mt"")"),"deflate")</f>
        <v>deflate</v>
      </c>
    </row>
    <row r="18797" ht="15.75" customHeight="1">
      <c r="A18797" s="2" t="s">
        <v>18797</v>
      </c>
      <c r="B18797" s="2" t="str">
        <f>IFERROR(__xludf.DUMMYFUNCTION("GOOGLETRANSLATE(A18797, ""en"", ""mt"")"),"għaxar darbiet")</f>
        <v>għaxar darbiet</v>
      </c>
    </row>
    <row r="18798" ht="15.75" customHeight="1">
      <c r="A18798" s="2" t="s">
        <v>18798</v>
      </c>
      <c r="B18798" s="2" t="str">
        <f>IFERROR(__xludf.DUMMYFUNCTION("GOOGLETRANSLATE(A18798, ""en"", ""mt"")"),"Ħsarat normali u permezz tat-tiġbid tad-duttili u t-tnaqqija")</f>
        <v>Ħsarat normali u permezz tat-tiġbid tad-duttili u t-tnaqqija</v>
      </c>
    </row>
    <row r="18799" ht="15.75" customHeight="1">
      <c r="A18799" s="2" t="s">
        <v>18799</v>
      </c>
      <c r="B18799" s="2" t="str">
        <f>IFERROR(__xludf.DUMMYFUNCTION("GOOGLETRANSLATE(A18799, ""en"", ""mt"")"),"L-Isvizzera u l-Olanda")</f>
        <v>L-Isvizzera u l-Olanda</v>
      </c>
    </row>
    <row r="18800" ht="15.75" customHeight="1">
      <c r="A18800" s="2" t="s">
        <v>18800</v>
      </c>
      <c r="B18800" s="2" t="str">
        <f>IFERROR(__xludf.DUMMYFUNCTION("GOOGLETRANSLATE(A18800, ""en"", ""mt"")"),"Fresno huwa mmarkat minn klima semi-arida (Köppen BSH), bi xtiewi ħfief u niedja u sjuf sħan u niexfa, u b'hekk juru karatteristiċi tal-Mediterran. Diċembru u Jannar huma l-iktar xhur kesħin, u medja ta 'madwar 46.5 ° F (8.1 ° C), u hemm 14-il lejl b'live"&amp;"lli ffriżati kull sena, bil-lejl l-iktar kiesaħ tas-sena tipikament tiffoka taħt it-30 ° F (−1.1 ° C) - Lulju huwa l-iktar xahar sħun, b'medja ta '83 .0 ° F (28.3 ° C); Normalment, hemm 32 jum ta '100 ° F (37.8 ° C) + għoljin u 106 ijiem ta' 90 ° F (32.2 "&amp;"° C) + għoljin, u f'Lulju u Awwissu, hemm biss tlieta jew erbat ijiem fejn jilħqu 90 ° F (32.2 ° C). Is-Summers jipprovdu xemx konsiderevoli, b'Lulju jilħaq il-livell ta '97 fil-mija tas-sigħat totali possibbli tax-xemx; Bil-maqlub, Jannar huwa l-inqas b'"&amp;"46 fil-mija biss tal-ħin tax-xemx minħabba ċ-ċpar oħxon. Madankollu, is-sena medja ta '81% tax-xemx possibbli, għal total ta '3550 siegħa. Il-preċipitazzjoni medja annwali hija ta 'madwar 11.5 pulzier (292.1 mm), li, bid-definizzjoni, tikklassifika ż-żona"&amp;" bħala semidesert. Il-biċċa l-kbira tal-ġrajjiet tad-direzzjoni tal-warda tar-riħ joħorġu mill-majjistral, hekk kif irjieħ huma mmexxija 'l isfel tul l-assi tal-Wied Ċentrali ta' Kalifornja; F'Diċembru, Jannar u Frar hemm preżenza akbar ta 'direzzjonijiet"&amp;" tar-riħ tax-xlokk fl-istatistiċi tar-riħ. Il-meteoroloġija Fresno ġiet magħżula fi studju nazzjonali tal-Aġenzija għall-Protezzjoni Ambjentali tal-Istati Uniti għall-analiżi tat-temperatura tal-ekwilibriju għall-użu ta 'dejta meteoroloġika ta' għaxar sni"&amp;"n biex tirrappreżenta locale sħuna u niexfa tal-Punent tal-Istati Uniti.")</f>
        <v>Fresno huwa mmarkat minn klima semi-arida (Köppen BSH), bi xtiewi ħfief u niedja u sjuf sħan u niexfa, u b'hekk juru karatteristiċi tal-Mediterran. Diċembru u Jannar huma l-iktar xhur kesħin, u medja ta 'madwar 46.5 ° F (8.1 ° C), u hemm 14-il lejl b'livelli ffriżati kull sena, bil-lejl l-iktar kiesaħ tas-sena tipikament tiffoka taħt it-30 ° F (−1.1 ° C) - Lulju huwa l-iktar xahar sħun, b'medja ta '83 .0 ° F (28.3 ° C); Normalment, hemm 32 jum ta '100 ° F (37.8 ° C) + għoljin u 106 ijiem ta' 90 ° F (32.2 ° C) + għoljin, u f'Lulju u Awwissu, hemm biss tlieta jew erbat ijiem fejn jilħqu 90 ° F (32.2 ° C). Is-Summers jipprovdu xemx konsiderevoli, b'Lulju jilħaq il-livell ta '97 fil-mija tas-sigħat totali possibbli tax-xemx; Bil-maqlub, Jannar huwa l-inqas b'46 fil-mija biss tal-ħin tax-xemx minħabba ċ-ċpar oħxon. Madankollu, is-sena medja ta '81% tax-xemx possibbli, għal total ta '3550 siegħa. Il-preċipitazzjoni medja annwali hija ta 'madwar 11.5 pulzier (292.1 mm), li, bid-definizzjoni, tikklassifika ż-żona bħala semidesert. Il-biċċa l-kbira tal-ġrajjiet tad-direzzjoni tal-warda tar-riħ joħorġu mill-majjistral, hekk kif irjieħ huma mmexxija 'l isfel tul l-assi tal-Wied Ċentrali ta' Kalifornja; F'Diċembru, Jannar u Frar hemm preżenza akbar ta 'direzzjonijiet tar-riħ tax-xlokk fl-istatistiċi tar-riħ. Il-meteoroloġija Fresno ġiet magħżula fi studju nazzjonali tal-Aġenzija għall-Protezzjoni Ambjentali tal-Istati Uniti għall-analiżi tat-temperatura tal-ekwilibriju għall-użu ta 'dejta meteoroloġika ta' għaxar snin biex tirrappreżenta locale sħuna u niexfa tal-Punent tal-Istati Uniti.</v>
      </c>
    </row>
    <row r="18801" ht="15.75" customHeight="1">
      <c r="A18801" s="2" t="s">
        <v>18801</v>
      </c>
      <c r="B18801" s="2" t="str">
        <f>IFERROR(__xludf.DUMMYFUNCTION("GOOGLETRANSLATE(A18801, ""en"", ""mt"")"),"Fl-1899, John Jacob Astor IV investa $ 100,000 għal Tesla biex tkompli tiżviluppa u tipproduċi sistema ta 'dawl ġdida. Minflok, Tesla użat il-flus biex tiffinanzja l-esperimenti tiegħu ta 'Colorado Springs.")</f>
        <v>Fl-1899, John Jacob Astor IV investa $ 100,000 għal Tesla biex tkompli tiżviluppa u tipproduċi sistema ta 'dawl ġdida. Minflok, Tesla użat il-flus biex tiffinanzja l-esperimenti tiegħu ta 'Colorado Springs.</v>
      </c>
    </row>
    <row r="18802" ht="15.75" customHeight="1">
      <c r="A18802" s="2" t="s">
        <v>18802</v>
      </c>
      <c r="B18802" s="2" t="str">
        <f>IFERROR(__xludf.DUMMYFUNCTION("GOOGLETRANSLATE(A18802, ""en"", ""mt"")"),"""moxt"" u s-suffiss Grieg -φορος li jfisser ""li jġorr""")</f>
        <v>"moxt" u s-suffiss Grieg -φορος li jfisser "li jġorr"</v>
      </c>
    </row>
    <row r="18803" ht="15.75" customHeight="1">
      <c r="A18803" s="2" t="s">
        <v>18803</v>
      </c>
      <c r="B18803" s="2" t="str">
        <f>IFERROR(__xludf.DUMMYFUNCTION("GOOGLETRANSLATE(A18803, ""en"", ""mt"")"),"X'tip ta 'gwerra ċivili ġiet miġġielda bejn kmandanti tal-gwerra politiċi u tribali?")</f>
        <v>X'tip ta 'gwerra ċivili ġiet miġġielda bejn kmandanti tal-gwerra politiċi u tribali?</v>
      </c>
    </row>
    <row r="18804" ht="15.75" customHeight="1">
      <c r="A18804" s="2" t="s">
        <v>18804</v>
      </c>
      <c r="B18804" s="2" t="str">
        <f>IFERROR(__xludf.DUMMYFUNCTION("GOOGLETRANSLATE(A18804, ""en"", ""mt"")"),"Fl-1939 suldati nazzjonalisti Ċiniżi ħadu l-mausoleum mill-pożizzjoni tiegħu fil-'Loord's Encrose '(Mongoljan: Edsen Khoroo) fil-Mongolja biex jipproteġuh mit-truppi Ġappuniżi. Kien ittieħed minn territorju miżmum komunista f'Yan'an madwar 900 km fuq il-k"&amp;"arretti għas-sigurtà f'monasteru Buddista, id-Dongshan Dafo Dian, fejn baqa 'għal għaxar snin. Fl-1949, hekk kif it-truppi komunisti avvanzaw, is-suldati nazzjonalisti mxewha 200 km oħra 'l bogħod lejn il-punent lejn il-famuż Monasteru Tibetan tal-Monaste"&amp;"ru ta' Kummum jew Ta'er Shi qrib Xining, li dalwaqt waqgħu taħt kontroll komunista. Fil-bidu tal-1954, il-bier u r-relikwi ta 'Genghis Khan ġew mibgħuta lura lill-għeluq tal-Mulej fil-Mongolja. Sal-1956 inbena tempju ġdid hemmhekk biex tospitahom. Fl-1968"&amp;" matul ir-Rivoluzzjoni Kulturali, il-Gwardji l-Aħmar qerdu kważi dak kollu ta 'valur. Ir- ""fdalijiet"" reġgħu ġew mill-ġdid fis-snin sebgħin u statwa tal-irħam kbira ta 'Genghis tlestiet fl-1989.")</f>
        <v>Fl-1939 suldati nazzjonalisti Ċiniżi ħadu l-mausoleum mill-pożizzjoni tiegħu fil-'Loord's Encrose '(Mongoljan: Edsen Khoroo) fil-Mongolja biex jipproteġuh mit-truppi Ġappuniżi. Kien ittieħed minn territorju miżmum komunista f'Yan'an madwar 900 km fuq il-karretti għas-sigurtà f'monasteru Buddista, id-Dongshan Dafo Dian, fejn baqa 'għal għaxar snin. Fl-1949, hekk kif it-truppi komunisti avvanzaw, is-suldati nazzjonalisti mxewha 200 km oħra 'l bogħod lejn il-punent lejn il-famuż Monasteru Tibetan tal-Monasteru ta' Kummum jew Ta'er Shi qrib Xining, li dalwaqt waqgħu taħt kontroll komunista. Fil-bidu tal-1954, il-bier u r-relikwi ta 'Genghis Khan ġew mibgħuta lura lill-għeluq tal-Mulej fil-Mongolja. Sal-1956 inbena tempju ġdid hemmhekk biex tospitahom. Fl-1968 matul ir-Rivoluzzjoni Kulturali, il-Gwardji l-Aħmar qerdu kważi dak kollu ta 'valur. Ir- "fdalijiet" reġgħu ġew mill-ġdid fis-snin sebgħin u statwa tal-irħam kbira ta 'Genghis tlestiet fl-1989.</v>
      </c>
    </row>
    <row r="18805" ht="15.75" customHeight="1">
      <c r="A18805" s="2" t="s">
        <v>18805</v>
      </c>
      <c r="B18805" s="2" t="str">
        <f>IFERROR(__xludf.DUMMYFUNCTION("GOOGLETRANSLATE(A18805, ""en"", ""mt"")"),"X'inhu eżempju ta 'barriera mekkanika fuq il-weraq?")</f>
        <v>X'inhu eżempju ta 'barriera mekkanika fuq il-weraq?</v>
      </c>
    </row>
    <row r="18806" ht="15.75" customHeight="1">
      <c r="A18806" s="2" t="s">
        <v>18806</v>
      </c>
      <c r="B18806" s="2" t="str">
        <f>IFERROR(__xludf.DUMMYFUNCTION("GOOGLETRANSLATE(A18806, ""en"", ""mt"")"),"tehmeż komunitajiet periferiċi")</f>
        <v>tehmeż komunitajiet periferiċi</v>
      </c>
    </row>
    <row r="18807" ht="15.75" customHeight="1">
      <c r="A18807" s="2" t="s">
        <v>18807</v>
      </c>
      <c r="B18807" s="2" t="str">
        <f>IFERROR(__xludf.DUMMYFUNCTION("GOOGLETRANSLATE(A18807, ""en"", ""mt"")"),"Serje 1")</f>
        <v>Serje 1</v>
      </c>
    </row>
    <row r="18808" ht="15.75" customHeight="1">
      <c r="A18808" s="2" t="s">
        <v>18808</v>
      </c>
      <c r="B18808" s="2" t="str">
        <f>IFERROR(__xludf.DUMMYFUNCTION("GOOGLETRANSLATE(A18808, ""en"", ""mt"")"),"kisru xi liġijiet speċifiċi, imma jien ħati li ma għamilt l-ebda w")</f>
        <v>kisru xi liġijiet speċifiċi, imma jien ħati li ma għamilt l-ebda w</v>
      </c>
    </row>
    <row r="18809" ht="15.75" customHeight="1">
      <c r="A18809" s="2" t="s">
        <v>18809</v>
      </c>
      <c r="B18809" s="2" t="str">
        <f>IFERROR(__xludf.DUMMYFUNCTION("GOOGLETRANSLATE(A18809, ""en"", ""mt"")"),"Liema kelma waħda uża l-Kummissarju tal-NFL biex jiddeskrivi dak li kien maħsub li jkun Super Bowl 50?")</f>
        <v>Liema kelma waħda uża l-Kummissarju tal-NFL biex jiddeskrivi dak li kien maħsub li jkun Super Bowl 50?</v>
      </c>
    </row>
    <row r="18810" ht="15.75" customHeight="1">
      <c r="A18810" s="2" t="s">
        <v>18810</v>
      </c>
      <c r="B18810" s="2" t="str">
        <f>IFERROR(__xludf.DUMMYFUNCTION("GOOGLETRANSLATE(A18810, ""en"", ""mt"")"),"Seklu 19")</f>
        <v>Seklu 19</v>
      </c>
    </row>
    <row r="18811" ht="15.75" customHeight="1">
      <c r="A18811" s="2" t="s">
        <v>18811</v>
      </c>
      <c r="B18811" s="2" t="str">
        <f>IFERROR(__xludf.DUMMYFUNCTION("GOOGLETRANSLATE(A18811, ""en"", ""mt"")"),"Wirt Ingliż")</f>
        <v>Wirt Ingliż</v>
      </c>
    </row>
    <row r="18812" ht="15.75" customHeight="1">
      <c r="A18812" s="2" t="s">
        <v>18812</v>
      </c>
      <c r="B18812" s="2" t="str">
        <f>IFERROR(__xludf.DUMMYFUNCTION("GOOGLETRANSLATE(A18812, ""en"", ""mt"")"),"X'inhuma l-kumitati fil-Parlament Skoċċiż meta mqabbla ma 'sistemi oħra?")</f>
        <v>X'inhuma l-kumitati fil-Parlament Skoċċiż meta mqabbla ma 'sistemi oħra?</v>
      </c>
    </row>
    <row r="18813" ht="15.75" customHeight="1">
      <c r="A18813" s="2" t="s">
        <v>18813</v>
      </c>
      <c r="B18813" s="2" t="str">
        <f>IFERROR(__xludf.DUMMYFUNCTION("GOOGLETRANSLATE(A18813, ""en"", ""mt"")"),"Londra")</f>
        <v>Londra</v>
      </c>
    </row>
    <row r="18814" ht="15.75" customHeight="1">
      <c r="A18814" s="2" t="s">
        <v>18814</v>
      </c>
      <c r="B18814" s="2" t="str">
        <f>IFERROR(__xludf.DUMMYFUNCTION("GOOGLETRANSLATE(A18814, ""en"", ""mt"")"),"Sitt darbiet rebbieħa tal-Grammy u nominata tal-Premju tal-Akkademja Lady Gaga wettqet l-innu nazzjonali, filwaqt li r-rebbieħa tal-Akkademja Marlee Matlin ipprovdiet traduzzjoni Amerikana tas-Sinjali (ASL).")</f>
        <v>Sitt darbiet rebbieħa tal-Grammy u nominata tal-Premju tal-Akkademja Lady Gaga wettqet l-innu nazzjonali, filwaqt li r-rebbieħa tal-Akkademja Marlee Matlin ipprovdiet traduzzjoni Amerikana tas-Sinjali (ASL).</v>
      </c>
    </row>
    <row r="18815" ht="15.75" customHeight="1">
      <c r="A18815" s="2" t="s">
        <v>18815</v>
      </c>
      <c r="B18815" s="2" t="str">
        <f>IFERROR(__xludf.DUMMYFUNCTION("GOOGLETRANSLATE(A18815, ""en"", ""mt"")"),"Kunsill tal-Belt")</f>
        <v>Kunsill tal-Belt</v>
      </c>
    </row>
    <row r="18816" ht="15.75" customHeight="1">
      <c r="A18816" s="2" t="s">
        <v>18816</v>
      </c>
      <c r="B18816" s="2" t="str">
        <f>IFERROR(__xludf.DUMMYFUNCTION("GOOGLETRANSLATE(A18816, ""en"", ""mt"")"),"Min hi l-università akkreditata minnha?")</f>
        <v>Min hi l-università akkreditata minnha?</v>
      </c>
    </row>
    <row r="18817" ht="15.75" customHeight="1">
      <c r="A18817" s="2" t="s">
        <v>18817</v>
      </c>
      <c r="B18817" s="2" t="str">
        <f>IFERROR(__xludf.DUMMYFUNCTION("GOOGLETRANSLATE(A18817, ""en"", ""mt"")"),"X'inhu mod kif tista 'turi uffiċjali tal-pulizija diżubbidjenza ċivili?")</f>
        <v>X'inhu mod kif tista 'turi uffiċjali tal-pulizija diżubbidjenza ċivili?</v>
      </c>
    </row>
    <row r="18818" ht="15.75" customHeight="1">
      <c r="A18818" s="2" t="s">
        <v>18818</v>
      </c>
      <c r="B18818" s="2" t="str">
        <f>IFERROR(__xludf.DUMMYFUNCTION("GOOGLETRANSLATE(A18818, ""en"", ""mt"")"),"L-ekonomista Joseph Stiglitz ippreżenta evidenza fl-2009 li kemm l-inugwaljanza globali kif ukoll l-inugwaljanza fil-pajjiżi jipprevjenu t-tkabbir billi jillimitaw id-domanda aggregata. L-ekonomista Branko Milanovic, kiteb fl-2001 li, ""il-fehma li l-inug"&amp;"waljanza tad-dħul tagħmel ħsara lit-tkabbir - jew li l-ugwaljanza mtejba tista 'tgħin biex issostni t-tkabbir - saret aktar wiesgħa f'dawn l-aħħar snin. ... Ir-raġuni ewlenija għal din il-bidla hija l-importanza dejjem tiżdied ta' Kapitali umana fl-iżvilu"&amp;"pp. Meta l-kapital fiżiku kien il-biċċa l-kbira, it-tfaddil u l-investimenti kienu ewlenin. Imbagħad kien importanti li jkollok kontinġent kbir ta 'nies sinjuri li jistgħu jiffrankaw proporzjon akbar tad-dħul tagħhom milli l-foqra u jinvestuh fil-kapital "&amp;"fiżiku. Imma issa Li l-kapital uman huwa aktar skars mill-magni, l-edukazzjoni mifruxa saret is-sigriet għat-tkabbir. """)</f>
        <v>L-ekonomista Joseph Stiglitz ippreżenta evidenza fl-2009 li kemm l-inugwaljanza globali kif ukoll l-inugwaljanza fil-pajjiżi jipprevjenu t-tkabbir billi jillimitaw id-domanda aggregata. L-ekonomista Branko Milanovic, kiteb fl-2001 li, "il-fehma li l-inugwaljanza tad-dħul tagħmel ħsara lit-tkabbir - jew li l-ugwaljanza mtejba tista 'tgħin biex issostni t-tkabbir - saret aktar wiesgħa f'dawn l-aħħar snin. ... Ir-raġuni ewlenija għal din il-bidla hija l-importanza dejjem tiżdied ta' Kapitali umana fl-iżvilupp. Meta l-kapital fiżiku kien il-biċċa l-kbira, it-tfaddil u l-investimenti kienu ewlenin. Imbagħad kien importanti li jkollok kontinġent kbir ta 'nies sinjuri li jistgħu jiffrankaw proporzjon akbar tad-dħul tagħhom milli l-foqra u jinvestuh fil-kapital fiżiku. Imma issa Li l-kapital uman huwa aktar skars mill-magni, l-edukazzjoni mifruxa saret is-sigriet għat-tkabbir. "</v>
      </c>
    </row>
    <row r="18819" ht="15.75" customHeight="1">
      <c r="A18819" s="2" t="s">
        <v>18819</v>
      </c>
      <c r="B18819" s="2" t="str">
        <f>IFERROR(__xludf.DUMMYFUNCTION("GOOGLETRANSLATE(A18819, ""en"", ""mt"")"),"Għal xiex il-petroloġisti jużaw mikroprobi elettroniċi fil-laboratorju?")</f>
        <v>Għal xiex il-petroloġisti jużaw mikroprobi elettroniċi fil-laboratorju?</v>
      </c>
    </row>
    <row r="18820" ht="15.75" customHeight="1">
      <c r="A18820" s="2" t="s">
        <v>18820</v>
      </c>
      <c r="B18820" s="2" t="str">
        <f>IFERROR(__xludf.DUMMYFUNCTION("GOOGLETRANSLATE(A18820, ""en"", ""mt"")"),"Kemm hemm ringieli ta 'pettnijiet?")</f>
        <v>Kemm hemm ringieli ta 'pettnijiet?</v>
      </c>
    </row>
    <row r="18821" ht="15.75" customHeight="1">
      <c r="A18821" s="2" t="s">
        <v>18821</v>
      </c>
      <c r="B18821" s="2" t="str">
        <f>IFERROR(__xludf.DUMMYFUNCTION("GOOGLETRANSLATE(A18821, ""en"", ""mt"")"),"X'ttratta b'suċċess it-tnaqqis tal-ożonu?")</f>
        <v>X'ttratta b'suċċess it-tnaqqis tal-ożonu?</v>
      </c>
    </row>
    <row r="18822" ht="15.75" customHeight="1">
      <c r="A18822" s="2" t="s">
        <v>18822</v>
      </c>
      <c r="B18822" s="2" t="str">
        <f>IFERROR(__xludf.DUMMYFUNCTION("GOOGLETRANSLATE(A18822, ""en"", ""mt"")"),"Il-messaġġ u t-tagħlim ta ’Kristu")</f>
        <v>Il-messaġġ u t-tagħlim ta ’Kristu</v>
      </c>
    </row>
    <row r="18823" ht="15.75" customHeight="1">
      <c r="A18823" s="2" t="s">
        <v>18823</v>
      </c>
      <c r="B18823" s="2" t="str">
        <f>IFERROR(__xludf.DUMMYFUNCTION("GOOGLETRANSLATE(A18823, ""en"", ""mt"")"),"f'distanzi akbar")</f>
        <v>f'distanzi akbar</v>
      </c>
    </row>
    <row r="18824" ht="15.75" customHeight="1">
      <c r="A18824" s="2" t="s">
        <v>18824</v>
      </c>
      <c r="B18824" s="2" t="str">
        <f>IFERROR(__xludf.DUMMYFUNCTION("GOOGLETRANSLATE(A18824, ""en"", ""mt"")"),"Liema grupp jopera l-Kulleġġ ta 'San Dominic f'Wanganui?")</f>
        <v>Liema grupp jopera l-Kulleġġ ta 'San Dominic f'Wanganui?</v>
      </c>
    </row>
    <row r="18825" ht="15.75" customHeight="1">
      <c r="A18825" s="2" t="s">
        <v>18825</v>
      </c>
      <c r="B18825" s="2" t="str">
        <f>IFERROR(__xludf.DUMMYFUNCTION("GOOGLETRANSLATE(A18825, ""en"", ""mt"")"),"materjali kombustibbli")</f>
        <v>materjali kombustibbli</v>
      </c>
    </row>
    <row r="18826" ht="15.75" customHeight="1">
      <c r="A18826" s="2" t="s">
        <v>18826</v>
      </c>
      <c r="B18826" s="2" t="str">
        <f>IFERROR(__xludf.DUMMYFUNCTION("GOOGLETRANSLATE(A18826, ""en"", ""mt"")"),"Filippin")</f>
        <v>Filippin</v>
      </c>
    </row>
    <row r="18827" ht="15.75" customHeight="1">
      <c r="A18827" s="2" t="s">
        <v>18827</v>
      </c>
      <c r="B18827" s="2" t="str">
        <f>IFERROR(__xludf.DUMMYFUNCTION("GOOGLETRANSLATE(A18827, ""en"", ""mt"")"),"Livelli ta 'liema affarijiet jintużaw biex jiddeterminaw il-fatturi ta' emissjoni?")</f>
        <v>Livelli ta 'liema affarijiet jintużaw biex jiddeterminaw il-fatturi ta' emissjoni?</v>
      </c>
    </row>
    <row r="18828" ht="15.75" customHeight="1">
      <c r="A18828" s="2" t="s">
        <v>18828</v>
      </c>
      <c r="B18828" s="2" t="str">
        <f>IFERROR(__xludf.DUMMYFUNCTION("GOOGLETRANSLATE(A18828, ""en"", ""mt"")"),"ħafna drabi ħafna drabi")</f>
        <v>ħafna drabi ħafna drabi</v>
      </c>
    </row>
    <row r="18829" ht="15.75" customHeight="1">
      <c r="A18829" s="2" t="s">
        <v>18829</v>
      </c>
      <c r="B18829" s="2" t="str">
        <f>IFERROR(__xludf.DUMMYFUNCTION("GOOGLETRANSLATE(A18829, ""en"", ""mt"")"),"Luther x’sejjaħ il-waqfa tiegħu f’kastell ta ’Wartburg?")</f>
        <v>Luther x’sejjaħ il-waqfa tiegħu f’kastell ta ’Wartburg?</v>
      </c>
    </row>
    <row r="18830" ht="15.75" customHeight="1">
      <c r="A18830" s="2" t="s">
        <v>18830</v>
      </c>
      <c r="B18830" s="2" t="str">
        <f>IFERROR(__xludf.DUMMYFUNCTION("GOOGLETRANSLATE(A18830, ""en"", ""mt"")"),"Invażjoni tal-Imperu Khwarezmid")</f>
        <v>Invażjoni tal-Imperu Khwarezmid</v>
      </c>
    </row>
    <row r="18831" ht="15.75" customHeight="1">
      <c r="A18831" s="2" t="s">
        <v>18831</v>
      </c>
      <c r="B18831" s="2" t="str">
        <f>IFERROR(__xludf.DUMMYFUNCTION("GOOGLETRANSLATE(A18831, ""en"", ""mt"")"),"il-biċċiera tiegħu")</f>
        <v>il-biċċiera tiegħu</v>
      </c>
    </row>
    <row r="18832" ht="15.75" customHeight="1">
      <c r="A18832" s="2" t="s">
        <v>18832</v>
      </c>
      <c r="B18832" s="2" t="str">
        <f>IFERROR(__xludf.DUMMYFUNCTION("GOOGLETRANSLATE(A18832, ""en"", ""mt"")"),"X'jista 'jsir il-foresta tal-Amażonja jekk tgħaddi l-punt tat-twaddib u tibda tmut?")</f>
        <v>X'jista 'jsir il-foresta tal-Amażonja jekk tgħaddi l-punt tat-twaddib u tibda tmut?</v>
      </c>
    </row>
    <row r="18833" ht="15.75" customHeight="1">
      <c r="A18833" s="2" t="s">
        <v>18833</v>
      </c>
      <c r="B18833" s="2" t="str">
        <f>IFERROR(__xludf.DUMMYFUNCTION("GOOGLETRANSLATE(A18833, ""en"", ""mt"")"),"Iż-żona fejn Jacksonville bħalissa qiegħed ilha abitata għal kemm snin?")</f>
        <v>Iż-żona fejn Jacksonville bħalissa qiegħed ilha abitata għal kemm snin?</v>
      </c>
    </row>
    <row r="18834" ht="15.75" customHeight="1">
      <c r="A18834" s="2" t="s">
        <v>18834</v>
      </c>
      <c r="B18834" s="2" t="str">
        <f>IFERROR(__xludf.DUMMYFUNCTION("GOOGLETRANSLATE(A18834, ""en"", ""mt"")"),"azzjonijiet orjentati")</f>
        <v>azzjonijiet orjentati</v>
      </c>
    </row>
    <row r="18835" ht="15.75" customHeight="1">
      <c r="A18835" s="2" t="s">
        <v>18835</v>
      </c>
      <c r="B18835" s="2" t="str">
        <f>IFERROR(__xludf.DUMMYFUNCTION("GOOGLETRANSLATE(A18835, ""en"", ""mt"")"),"X'inhu l-eżami fl-aħħar tal-Form Erba '?")</f>
        <v>X'inhu l-eżami fl-aħħar tal-Form Erba '?</v>
      </c>
    </row>
    <row r="18836" ht="15.75" customHeight="1">
      <c r="A18836" s="2" t="s">
        <v>18836</v>
      </c>
      <c r="B18836" s="2" t="str">
        <f>IFERROR(__xludf.DUMMYFUNCTION("GOOGLETRANSLATE(A18836, ""en"", ""mt"")"),"Liema membrani addizzjonali għandhom il-kloroplasti sekondarji?")</f>
        <v>Liema membrani addizzjonali għandhom il-kloroplasti sekondarji?</v>
      </c>
    </row>
    <row r="18837" ht="15.75" customHeight="1">
      <c r="A18837" s="2" t="s">
        <v>18837</v>
      </c>
      <c r="B18837" s="2" t="str">
        <f>IFERROR(__xludf.DUMMYFUNCTION("GOOGLETRANSLATE(A18837, ""en"", ""mt"")"),"Xeriff għoli u wieħed mill-fundaturi tal-Bank of Ireland")</f>
        <v>Xeriff għoli u wieħed mill-fundaturi tal-Bank of Ireland</v>
      </c>
    </row>
    <row r="18838" ht="15.75" customHeight="1">
      <c r="A18838" s="2" t="s">
        <v>18838</v>
      </c>
      <c r="B18838" s="2" t="str">
        <f>IFERROR(__xludf.DUMMYFUNCTION("GOOGLETRANSLATE(A18838, ""en"", ""mt"")"),"Lingwa solvuta fi żmien kwadratiku timplika l-użu ta 'liema tip ta' magna tat-Turing?")</f>
        <v>Lingwa solvuta fi żmien kwadratiku timplika l-użu ta 'liema tip ta' magna tat-Turing?</v>
      </c>
    </row>
    <row r="18839" ht="15.75" customHeight="1">
      <c r="A18839" s="2" t="s">
        <v>18839</v>
      </c>
      <c r="B18839" s="2" t="str">
        <f>IFERROR(__xludf.DUMMYFUNCTION("GOOGLETRANSLATE(A18839, ""en"", ""mt"")"),"X'inhu l-proċess ta 'tilqim magħruf ukoll bħala?")</f>
        <v>X'inhu l-proċess ta 'tilqim magħruf ukoll bħala?</v>
      </c>
    </row>
    <row r="18840" ht="15.75" customHeight="1">
      <c r="A18840" s="2" t="s">
        <v>18840</v>
      </c>
      <c r="B18840" s="2" t="str">
        <f>IFERROR(__xludf.DUMMYFUNCTION("GOOGLETRANSLATE(A18840, ""en"", ""mt"")"),"Bejn l-1402 u l-1405, l-ispedizzjoni mmexxija min-Norman Noble Jean de Bethencourt u l-Poitevine Gadifer de la Salle ħakmu l-gżejjer Kanariji ta 'Lanzarote, Fuerteventura u El Hierro barra l-kosta tal-Atlantiku tal-Afrika. It-truppi tagħhom inġabru fin-No"&amp;"rmandija, Gascony u aktar tard ġew imsaħħa minn kolonisti Kastiljani.")</f>
        <v>Bejn l-1402 u l-1405, l-ispedizzjoni mmexxija min-Norman Noble Jean de Bethencourt u l-Poitevine Gadifer de la Salle ħakmu l-gżejjer Kanariji ta 'Lanzarote, Fuerteventura u El Hierro barra l-kosta tal-Atlantiku tal-Afrika. It-truppi tagħhom inġabru fin-Normandija, Gascony u aktar tard ġew imsaħħa minn kolonisti Kastiljani.</v>
      </c>
    </row>
    <row r="18841" ht="15.75" customHeight="1">
      <c r="A18841" s="2" t="s">
        <v>18841</v>
      </c>
      <c r="B18841" s="2" t="str">
        <f>IFERROR(__xludf.DUMMYFUNCTION("GOOGLETRANSLATE(A18841, ""en"", ""mt"")"),"Bħal fil-House of Commons, numru ta 'kwalifiki japplikaw għal MSP. Dawn il-kwalifiki ġew introdotti taħt l-Att dwar l-1975 tal-House of Commons tal-1975 u l-Att dwar in-Nazzjonalità Brittanika tal-1981. Speċifikament, il-membri jridu jkunu aktar minn 18-i"&amp;"l sena u għandhom ikunu ċittadin tar-Renju Unit, ir-Repubblika tal-Irlanda, wieħed mill-pajjiżi Commonwealth of Nations, ċittadin ta ’territorju Brittaniku barrani, jew ċittadin tal-Unjoni Ewropea residenti fir-Renju Unit. Il-membri tal-pulizija u tal-for"&amp;"zi armati huma skwalifikati milli joqogħdu fil-Parlament Skoċċiż bħala MSPs eletti, u bl-istess mod, impjegati taċ-ċivil u membri tal-leġiżlaturi barranin huma skwalifikati. Individwu ma jistax joqgħod fil-Parlament Skoċċiż jekk hu jew hi jiġi ġġudikat li"&amp;" jkun insane skont it-termini tal-Att dwar is-Saħħa Mentali (Kura u Trattament) (l-Iskozja) tal-2003.")</f>
        <v>Bħal fil-House of Commons, numru ta 'kwalifiki japplikaw għal MSP. Dawn il-kwalifiki ġew introdotti taħt l-Att dwar l-1975 tal-House of Commons tal-1975 u l-Att dwar in-Nazzjonalità Brittanika tal-1981. Speċifikament, il-membri jridu jkunu aktar minn 18-il sena u għandhom ikunu ċittadin tar-Renju Unit, ir-Repubblika tal-Irlanda, wieħed mill-pajjiżi Commonwealth of Nations, ċittadin ta ’territorju Brittaniku barrani, jew ċittadin tal-Unjoni Ewropea residenti fir-Renju Unit. Il-membri tal-pulizija u tal-forzi armati huma skwalifikati milli joqogħdu fil-Parlament Skoċċiż bħala MSPs eletti, u bl-istess mod, impjegati taċ-ċivil u membri tal-leġiżlaturi barranin huma skwalifikati. Individwu ma jistax joqgħod fil-Parlament Skoċċiż jekk hu jew hi jiġi ġġudikat li jkun insane skont it-termini tal-Att dwar is-Saħħa Mentali (Kura u Trattament) (l-Iskozja) tal-2003.</v>
      </c>
    </row>
    <row r="18842" ht="15.75" customHeight="1">
      <c r="A18842" s="2" t="s">
        <v>18842</v>
      </c>
      <c r="B18842" s="2" t="str">
        <f>IFERROR(__xludf.DUMMYFUNCTION("GOOGLETRANSLATE(A18842, ""en"", ""mt"")"),"Nifs pur o
2 F'applikazzjonijiet spazjali, bħal f'xi ilbiesi spazjali moderni, jew f'inġenji spazjali bikrija bħal Apollo, ma jikkawża l-ebda ħsara minħabba l-pressjonijiet totali baxxi użati. Fil-każ ta 'spazewiits, l-o
2 Pressjoni parzjali fil-gass tan-"&amp;"nifs hija, ġeneralment, madwar 30 kPa (1.4 darbiet normali), u l-o li tirriżulta
2 pressjoni parzjali fid-demm arterjali tal-astronawt hija biss marġinalment aktar mil-livell tal-baħar normali o
2 Pressjoni parzjali (għal aktar informazzjoni dwar dan, ara"&amp;" l-libsa spazjali u l-gass tad-demm arterjali).")</f>
        <v>Nifs pur o
2 F'applikazzjonijiet spazjali, bħal f'xi ilbiesi spazjali moderni, jew f'inġenji spazjali bikrija bħal Apollo, ma jikkawża l-ebda ħsara minħabba l-pressjonijiet totali baxxi użati. Fil-każ ta 'spazewiits, l-o
2 Pressjoni parzjali fil-gass tan-nifs hija, ġeneralment, madwar 30 kPa (1.4 darbiet normali), u l-o li tirriżulta
2 pressjoni parzjali fid-demm arterjali tal-astronawt hija biss marġinalment aktar mil-livell tal-baħar normali o
2 Pressjoni parzjali (għal aktar informazzjoni dwar dan, ara l-libsa spazjali u l-gass tad-demm arterjali).</v>
      </c>
    </row>
    <row r="18843" ht="15.75" customHeight="1">
      <c r="A18843" s="2" t="s">
        <v>18843</v>
      </c>
      <c r="B18843" s="2" t="str">
        <f>IFERROR(__xludf.DUMMYFUNCTION("GOOGLETRANSLATE(A18843, ""en"", ""mt"")"),"Fejn kien jokkupa r-Rhine waqt l-Oloken?")</f>
        <v>Fejn kien jokkupa r-Rhine waqt l-Oloken?</v>
      </c>
    </row>
    <row r="18844" ht="15.75" customHeight="1">
      <c r="A18844" s="2" t="s">
        <v>18844</v>
      </c>
      <c r="B18844" s="2" t="str">
        <f>IFERROR(__xludf.DUMMYFUNCTION("GOOGLETRANSLATE(A18844, ""en"", ""mt"")"),"Metro tal-Kosta tan-Nofsinhar")</f>
        <v>Metro tal-Kosta tan-Nofsinhar</v>
      </c>
    </row>
    <row r="18845" ht="15.75" customHeight="1">
      <c r="A18845" s="2" t="s">
        <v>18845</v>
      </c>
      <c r="B18845" s="2" t="str">
        <f>IFERROR(__xludf.DUMMYFUNCTION("GOOGLETRANSLATE(A18845, ""en"", ""mt"")"),"Newcastle u Gateshead")</f>
        <v>Newcastle u Gateshead</v>
      </c>
    </row>
    <row r="18846" ht="15.75" customHeight="1">
      <c r="A18846" s="2" t="s">
        <v>18846</v>
      </c>
      <c r="B18846" s="2" t="str">
        <f>IFERROR(__xludf.DUMMYFUNCTION("GOOGLETRANSLATE(A18846, ""en"", ""mt"")"),"serje ta 'strajkijiet")</f>
        <v>serje ta 'strajkijiet</v>
      </c>
    </row>
    <row r="18847" ht="15.75" customHeight="1">
      <c r="A18847" s="2" t="s">
        <v>18847</v>
      </c>
      <c r="B18847" s="2" t="str">
        <f>IFERROR(__xludf.DUMMYFUNCTION("GOOGLETRANSLATE(A18847, ""en"", ""mt"")"),"Il-Broncos ħadu vantaġġ bikri fis-Super Bowl 50 u qatt ma ġew imrażżna. Newton kien limitat mid-difiża ta 'Denver, li keċċah seba' darbiet u ġiegħluh fi tliet turnovers, inkluż fumble li rkupraw għal illandjar. Il-linebacker ta 'Denver Von Miller ġie msem"&amp;"mi Super Bowl MVP, li rrekordja ħames indirizzi solo, 2½ xkejjer, u żewġ fumbles sfurzati.")</f>
        <v>Il-Broncos ħadu vantaġġ bikri fis-Super Bowl 50 u qatt ma ġew imrażżna. Newton kien limitat mid-difiża ta 'Denver, li keċċah seba' darbiet u ġiegħluh fi tliet turnovers, inkluż fumble li rkupraw għal illandjar. Il-linebacker ta 'Denver Von Miller ġie msemmi Super Bowl MVP, li rrekordja ħames indirizzi solo, 2½ xkejjer, u żewġ fumbles sfurzati.</v>
      </c>
    </row>
    <row r="18848" ht="15.75" customHeight="1">
      <c r="A18848" s="2" t="s">
        <v>18848</v>
      </c>
      <c r="B18848" s="2" t="str">
        <f>IFERROR(__xludf.DUMMYFUNCTION("GOOGLETRANSLATE(A18848, ""en"", ""mt"")"),"jikkoordina u jissorvelja l-funzjonijiet tal-gvern")</f>
        <v>jikkoordina u jissorvelja l-funzjonijiet tal-gvern</v>
      </c>
    </row>
    <row r="18849" ht="15.75" customHeight="1">
      <c r="A18849" s="2" t="s">
        <v>18849</v>
      </c>
      <c r="B18849" s="2" t="str">
        <f>IFERROR(__xludf.DUMMYFUNCTION("GOOGLETRANSLATE(A18849, ""en"", ""mt"")"),"X'kienu ż-żewġ teoriji ewlenin tal-immunità fl-aħħar tas-seklu 19?")</f>
        <v>X'kienu ż-żewġ teoriji ewlenin tal-immunità fl-aħħar tas-seklu 19?</v>
      </c>
    </row>
    <row r="18850" ht="15.75" customHeight="1">
      <c r="A18850" s="2" t="s">
        <v>18850</v>
      </c>
      <c r="B18850" s="2" t="str">
        <f>IFERROR(__xludf.DUMMYFUNCTION("GOOGLETRANSLATE(A18850, ""en"", ""mt"")"),"X'inhi waħda mir-raġunijiet li l-produzzjoni tal-Istati Uniti nżammet responsabbli għar-riċessjonijiet u tkabbir ekonomiku aktar baxx?")</f>
        <v>X'inhi waħda mir-raġunijiet li l-produzzjoni tal-Istati Uniti nżammet responsabbli għar-riċessjonijiet u tkabbir ekonomiku aktar baxx?</v>
      </c>
    </row>
    <row r="18851" ht="15.75" customHeight="1">
      <c r="A18851" s="2" t="s">
        <v>18851</v>
      </c>
      <c r="B18851" s="2" t="str">
        <f>IFERROR(__xludf.DUMMYFUNCTION("GOOGLETRANSLATE(A18851, ""en"", ""mt"")"),"Fejn huwa bbażat l-energiprojekt AB?")</f>
        <v>Fejn huwa bbażat l-energiprojekt AB?</v>
      </c>
    </row>
    <row r="18852" ht="15.75" customHeight="1">
      <c r="A18852" s="2" t="s">
        <v>18852</v>
      </c>
      <c r="B18852" s="2" t="str">
        <f>IFERROR(__xludf.DUMMYFUNCTION("GOOGLETRANSLATE(A18852, ""en"", ""mt"")"),"37 ° 9 '58.23 """)</f>
        <v>37 ° 9 '58.23 "</v>
      </c>
    </row>
    <row r="18853" ht="15.75" customHeight="1">
      <c r="A18853" s="2" t="s">
        <v>18853</v>
      </c>
      <c r="B18853" s="2" t="str">
        <f>IFERROR(__xludf.DUMMYFUNCTION("GOOGLETRANSLATE(A18853, ""en"", ""mt"")"),"X'għamlet involontarjament il-gwerra tal-Golf fil-bidu tad-disgħinijiet?")</f>
        <v>X'għamlet involontarjament il-gwerra tal-Golf fil-bidu tad-disgħinijiet?</v>
      </c>
    </row>
    <row r="18854" ht="15.75" customHeight="1">
      <c r="A18854" s="2" t="s">
        <v>18854</v>
      </c>
      <c r="B18854" s="2" t="str">
        <f>IFERROR(__xludf.DUMMYFUNCTION("GOOGLETRANSLATE(A18854, ""en"", ""mt"")"),"pajjiż jieħu kontroll fiżiku ta 'ieħor")</f>
        <v>pajjiż jieħu kontroll fiżiku ta 'ieħor</v>
      </c>
    </row>
    <row r="18855" ht="15.75" customHeight="1">
      <c r="A18855" s="2" t="s">
        <v>18855</v>
      </c>
      <c r="B18855" s="2" t="str">
        <f>IFERROR(__xludf.DUMMYFUNCTION("GOOGLETRANSLATE(A18855, ""en"", ""mt"")"),"klijent magħruf")</f>
        <v>klijent magħruf</v>
      </c>
    </row>
    <row r="18856" ht="15.75" customHeight="1">
      <c r="A18856" s="2" t="s">
        <v>18856</v>
      </c>
      <c r="B18856" s="2" t="str">
        <f>IFERROR(__xludf.DUMMYFUNCTION("GOOGLETRANSLATE(A18856, ""en"", ""mt"")"),"forma ġdida")</f>
        <v>forma ġdida</v>
      </c>
    </row>
    <row r="18857" ht="15.75" customHeight="1">
      <c r="A18857" s="2" t="s">
        <v>18857</v>
      </c>
      <c r="B18857" s="2" t="str">
        <f>IFERROR(__xludf.DUMMYFUNCTION("GOOGLETRANSLATE(A18857, ""en"", ""mt"")"),"il-pjanuri aridi tal-Asja Ċentrali")</f>
        <v>il-pjanuri aridi tal-Asja Ċentrali</v>
      </c>
    </row>
    <row r="18858" ht="15.75" customHeight="1">
      <c r="A18858" s="2" t="s">
        <v>18858</v>
      </c>
      <c r="B18858" s="2" t="str">
        <f>IFERROR(__xludf.DUMMYFUNCTION("GOOGLETRANSLATE(A18858, ""en"", ""mt"")"),"ġimgħatejn")</f>
        <v>ġimgħatejn</v>
      </c>
    </row>
    <row r="18859" ht="15.75" customHeight="1">
      <c r="A18859" s="2" t="s">
        <v>18859</v>
      </c>
      <c r="B18859" s="2" t="str">
        <f>IFERROR(__xludf.DUMMYFUNCTION("GOOGLETRANSLATE(A18859, ""en"", ""mt"")"),"kapaċità bħala uffiċjal pubbliku")</f>
        <v>kapaċità bħala uffiċjal pubbliku</v>
      </c>
    </row>
    <row r="18860" ht="15.75" customHeight="1">
      <c r="A18860" s="2" t="s">
        <v>18860</v>
      </c>
      <c r="B18860" s="2" t="str">
        <f>IFERROR(__xludf.DUMMYFUNCTION("GOOGLETRANSLATE(A18860, ""en"", ""mt"")"),"X'inhi l-massa ta 'oġġett proporzjonali għal fil-wiċċ tad-dinja?")</f>
        <v>X'inhi l-massa ta 'oġġett proporzjonali għal fil-wiċċ tad-dinja?</v>
      </c>
    </row>
    <row r="18861" ht="15.75" customHeight="1">
      <c r="A18861" s="2" t="s">
        <v>18861</v>
      </c>
      <c r="B18861" s="2" t="str">
        <f>IFERROR(__xludf.DUMMYFUNCTION("GOOGLETRANSLATE(A18861, ""en"", ""mt"")"),"Ipprovdi limiti assoluti aħjar fuq iż-żmien u r-rati tad-deposizzjoni")</f>
        <v>Ipprovdi limiti assoluti aħjar fuq iż-żmien u r-rati tad-deposizzjoni</v>
      </c>
    </row>
    <row r="18862" ht="15.75" customHeight="1">
      <c r="A18862" s="2" t="s">
        <v>18862</v>
      </c>
      <c r="B18862" s="2" t="str">
        <f>IFERROR(__xludf.DUMMYFUNCTION("GOOGLETRANSLATE(A18862, ""en"", ""mt"")"),"Kif tissejjaħ il-gerżuma?")</f>
        <v>Kif tissejjaħ il-gerżuma?</v>
      </c>
    </row>
    <row r="18863" ht="15.75" customHeight="1">
      <c r="A18863" s="2" t="s">
        <v>18863</v>
      </c>
      <c r="B18863" s="2" t="str">
        <f>IFERROR(__xludf.DUMMYFUNCTION("GOOGLETRANSLATE(A18863, ""en"", ""mt"")"),"pixxini kbar ta 'kumpens")</f>
        <v>pixxini kbar ta 'kumpens</v>
      </c>
    </row>
    <row r="18864" ht="15.75" customHeight="1">
      <c r="A18864" s="2" t="s">
        <v>18864</v>
      </c>
      <c r="B18864" s="2" t="str">
        <f>IFERROR(__xludf.DUMMYFUNCTION("GOOGLETRANSLATE(A18864, ""en"", ""mt"")"),"Ikseb il-prevalenza tal-korruzzjoni tas-settur pubbliku f'diversi pajjiżi")</f>
        <v>Ikseb il-prevalenza tal-korruzzjoni tas-settur pubbliku f'diversi pajjiżi</v>
      </c>
    </row>
    <row r="18865" ht="15.75" customHeight="1">
      <c r="A18865" s="2" t="s">
        <v>18865</v>
      </c>
      <c r="B18865" s="2" t="str">
        <f>IFERROR(__xludf.DUMMYFUNCTION("GOOGLETRANSLATE(A18865, ""en"", ""mt"")"),"Ċentru tat-Titjira Spazjali Marshall (MSFC)")</f>
        <v>Ċentru tat-Titjira Spazjali Marshall (MSFC)</v>
      </c>
    </row>
    <row r="18866" ht="15.75" customHeight="1">
      <c r="A18866" s="2" t="s">
        <v>18866</v>
      </c>
      <c r="B18866" s="2" t="str">
        <f>IFERROR(__xludf.DUMMYFUNCTION("GOOGLETRANSLATE(A18866, ""en"", ""mt"")"),"X'inhuma l-injetturi użati biex ifornu?")</f>
        <v>X'inhuma l-injetturi użati biex ifornu?</v>
      </c>
    </row>
    <row r="18867" ht="15.75" customHeight="1">
      <c r="A18867" s="2" t="s">
        <v>18867</v>
      </c>
      <c r="B18867" s="2" t="str">
        <f>IFERROR(__xludf.DUMMYFUNCTION("GOOGLETRANSLATE(A18867, ""en"", ""mt"")"),"joffru kwalità ogħla ta 'edukazzjoni")</f>
        <v>joffru kwalità ogħla ta 'edukazzjoni</v>
      </c>
    </row>
    <row r="18868" ht="15.75" customHeight="1">
      <c r="A18868" s="2" t="s">
        <v>18868</v>
      </c>
      <c r="B18868" s="2" t="str">
        <f>IFERROR(__xludf.DUMMYFUNCTION("GOOGLETRANSLATE(A18868, ""en"", ""mt"")"),"Permezz tar-Renju tal-Qocho u l-Intermedjarji Tibetani")</f>
        <v>Permezz tar-Renju tal-Qocho u l-Intermedjarji Tibetani</v>
      </c>
    </row>
    <row r="18869" ht="15.75" customHeight="1">
      <c r="A18869" s="2" t="s">
        <v>18869</v>
      </c>
      <c r="B18869" s="2" t="str">
        <f>IFERROR(__xludf.DUMMYFUNCTION("GOOGLETRANSLATE(A18869, ""en"", ""mt"")"),"żviluppa b'mod indipendenti l-istess metodoloġija ta 'rotta ta' messaġġi kif żviluppat minn baran")</f>
        <v>żviluppa b'mod indipendenti l-istess metodoloġija ta 'rotta ta' messaġġi kif żviluppat minn baran</v>
      </c>
    </row>
    <row r="18870" ht="15.75" customHeight="1">
      <c r="A18870" s="2" t="s">
        <v>18870</v>
      </c>
      <c r="B18870" s="2" t="str">
        <f>IFERROR(__xludf.DUMMYFUNCTION("GOOGLETRANSLATE(A18870, ""en"", ""mt"")"),"27.7 miljun")</f>
        <v>27.7 miljun</v>
      </c>
    </row>
    <row r="18871" ht="15.75" customHeight="1">
      <c r="A18871" s="2" t="s">
        <v>18871</v>
      </c>
      <c r="B18871" s="2" t="str">
        <f>IFERROR(__xludf.DUMMYFUNCTION("GOOGLETRANSLATE(A18871, ""en"", ""mt"")"),"bijostratigrafiċi")</f>
        <v>bijostratigrafiċi</v>
      </c>
    </row>
    <row r="18872" ht="15.75" customHeight="1">
      <c r="A18872" s="2" t="s">
        <v>18872</v>
      </c>
      <c r="B18872" s="2" t="str">
        <f>IFERROR(__xludf.DUMMYFUNCTION("GOOGLETRANSLATE(A18872, ""en"", ""mt"")"),"Min sab li kien hemm kultura żviluppata ta 'kummissarju li ma kellhiex ir-responsabbiltà?")</f>
        <v>Min sab li kien hemm kultura żviluppata ta 'kummissarju li ma kellhiex ir-responsabbiltà?</v>
      </c>
    </row>
    <row r="18873" ht="15.75" customHeight="1">
      <c r="A18873" s="2" t="s">
        <v>18873</v>
      </c>
      <c r="B18873" s="2" t="str">
        <f>IFERROR(__xludf.DUMMYFUNCTION("GOOGLETRANSLATE(A18873, ""en"", ""mt"")"),"$ 7.5 miljun")</f>
        <v>$ 7.5 miljun</v>
      </c>
    </row>
    <row r="18874" ht="15.75" customHeight="1">
      <c r="A18874" s="2" t="s">
        <v>18874</v>
      </c>
      <c r="B18874" s="2" t="str">
        <f>IFERROR(__xludf.DUMMYFUNCTION("GOOGLETRANSLATE(A18874, ""en"", ""mt"")"),"8 ta ’Frar 2007")</f>
        <v>8 ta ’Frar 2007</v>
      </c>
    </row>
    <row r="18875" ht="15.75" customHeight="1">
      <c r="A18875" s="2" t="s">
        <v>18875</v>
      </c>
      <c r="B18875" s="2" t="str">
        <f>IFERROR(__xludf.DUMMYFUNCTION("GOOGLETRANSLATE(A18875, ""en"", ""mt"")"),"Liema forma ta 'spazju Tesla kkunsidrat ""kunċett falz""?")</f>
        <v>Liema forma ta 'spazju Tesla kkunsidrat "kunċett falz"?</v>
      </c>
    </row>
    <row r="18876" ht="15.75" customHeight="1">
      <c r="A18876" s="2" t="s">
        <v>18876</v>
      </c>
      <c r="B18876" s="2" t="str">
        <f>IFERROR(__xludf.DUMMYFUNCTION("GOOGLETRANSLATE(A18876, ""en"", ""mt"")"),"Min kienu l-galleriji tal-iskultura li nfetħu fl-2006 imsemmija wara?")</f>
        <v>Min kienu l-galleriji tal-iskultura li nfetħu fl-2006 imsemmija wara?</v>
      </c>
    </row>
    <row r="18877" ht="15.75" customHeight="1">
      <c r="A18877" s="2" t="s">
        <v>18877</v>
      </c>
      <c r="B18877" s="2" t="str">
        <f>IFERROR(__xludf.DUMMYFUNCTION("GOOGLETRANSLATE(A18877, ""en"", ""mt"")"),"Sekli 18 u 19")</f>
        <v>Sekli 18 u 19</v>
      </c>
    </row>
    <row r="18878" ht="15.75" customHeight="1">
      <c r="A18878" s="2" t="s">
        <v>18878</v>
      </c>
      <c r="B18878" s="2" t="str">
        <f>IFERROR(__xludf.DUMMYFUNCTION("GOOGLETRANSLATE(A18878, ""en"", ""mt"")"),"Il-ġeografu ta 'Wilson")</f>
        <v>Il-ġeografu ta 'Wilson</v>
      </c>
    </row>
    <row r="18879" ht="15.75" customHeight="1">
      <c r="A18879" s="2" t="s">
        <v>18879</v>
      </c>
      <c r="B18879" s="2" t="str">
        <f>IFERROR(__xludf.DUMMYFUNCTION("GOOGLETRANSLATE(A18879, ""en"", ""mt"")"),"l-ewwel direttur")</f>
        <v>l-ewwel direttur</v>
      </c>
    </row>
    <row r="18880" ht="15.75" customHeight="1">
      <c r="A18880" s="2" t="s">
        <v>18880</v>
      </c>
      <c r="B18880" s="2" t="str">
        <f>IFERROR(__xludf.DUMMYFUNCTION("GOOGLETRANSLATE(A18880, ""en"", ""mt"")"),"Università ta ’Pariġi")</f>
        <v>Università ta ’Pariġi</v>
      </c>
    </row>
    <row r="18881" ht="15.75" customHeight="1">
      <c r="A18881" s="2" t="s">
        <v>18881</v>
      </c>
      <c r="B18881" s="2" t="str">
        <f>IFERROR(__xludf.DUMMYFUNCTION("GOOGLETRANSLATE(A18881, ""en"", ""mt"")"),"Bini tad-Dawl u tal-Enerġija San Joaquin")</f>
        <v>Bini tad-Dawl u tal-Enerġija San Joaquin</v>
      </c>
    </row>
    <row r="18882" ht="15.75" customHeight="1">
      <c r="A18882" s="2" t="s">
        <v>18882</v>
      </c>
      <c r="B18882" s="2" t="str">
        <f>IFERROR(__xludf.DUMMYFUNCTION("GOOGLETRANSLATE(A18882, ""en"", ""mt"")"),"X'inhu l-virus fil-bnedmin li jikkawża kanċer ċervikali?")</f>
        <v>X'inhu l-virus fil-bnedmin li jikkawża kanċer ċervikali?</v>
      </c>
    </row>
    <row r="18883" ht="15.75" customHeight="1">
      <c r="A18883" s="2" t="s">
        <v>18883</v>
      </c>
      <c r="B18883" s="2" t="str">
        <f>IFERROR(__xludf.DUMMYFUNCTION("GOOGLETRANSLATE(A18883, ""en"", ""mt"")"),"qatel ħafna mill-Kanadiżi")</f>
        <v>qatel ħafna mill-Kanadiżi</v>
      </c>
    </row>
    <row r="18884" ht="15.75" customHeight="1">
      <c r="A18884" s="2" t="s">
        <v>18884</v>
      </c>
      <c r="B18884" s="2" t="str">
        <f>IFERROR(__xludf.DUMMYFUNCTION("GOOGLETRANSLATE(A18884, ""en"", ""mt"")"),"Min kien ir-rivali ewlieni ta 'Louis XIV?")</f>
        <v>Min kien ir-rivali ewlieni ta 'Louis XIV?</v>
      </c>
    </row>
    <row r="18885" ht="15.75" customHeight="1">
      <c r="A18885" s="2" t="s">
        <v>18885</v>
      </c>
      <c r="B18885" s="2" t="str">
        <f>IFERROR(__xludf.DUMMYFUNCTION("GOOGLETRANSLATE(A18885, ""en"", ""mt"")"),"Il-Kummissjoni tat-Tagħlim Ogħla")</f>
        <v>Il-Kummissjoni tat-Tagħlim Ogħla</v>
      </c>
    </row>
    <row r="18886" ht="15.75" customHeight="1">
      <c r="A18886" s="2" t="s">
        <v>18886</v>
      </c>
      <c r="B18886" s="2" t="str">
        <f>IFERROR(__xludf.DUMMYFUNCTION("GOOGLETRANSLATE(A18886, ""en"", ""mt"")"),"Università ta ’Florida tat-Tramuntana")</f>
        <v>Università ta ’Florida tat-Tramuntana</v>
      </c>
    </row>
    <row r="18887" ht="15.75" customHeight="1">
      <c r="A18887" s="2" t="s">
        <v>18887</v>
      </c>
      <c r="B18887" s="2" t="str">
        <f>IFERROR(__xludf.DUMMYFUNCTION("GOOGLETRANSLATE(A18887, ""en"", ""mt"")"),"kloroplast derivat mill-alka ħadra")</f>
        <v>kloroplast derivat mill-alka ħadra</v>
      </c>
    </row>
    <row r="18888" ht="15.75" customHeight="1">
      <c r="A18888" s="2" t="s">
        <v>18888</v>
      </c>
      <c r="B18888" s="2" t="str">
        <f>IFERROR(__xludf.DUMMYFUNCTION("GOOGLETRANSLATE(A18888, ""en"", ""mt"")"),"X’tostda Tesla li l-frekwenzi reżonanti tiegħu setgħu jagħmlu fl-artiklu tal-lum fid-dinja?")</f>
        <v>X’tostda Tesla li l-frekwenzi reżonanti tiegħu setgħu jagħmlu fl-artiklu tal-lum fid-dinja?</v>
      </c>
    </row>
    <row r="18889" ht="15.75" customHeight="1">
      <c r="A18889" s="2" t="s">
        <v>18889</v>
      </c>
      <c r="B18889" s="2" t="str">
        <f>IFERROR(__xludf.DUMMYFUNCTION("GOOGLETRANSLATE(A18889, ""en"", ""mt"")"),"membri")</f>
        <v>membri</v>
      </c>
    </row>
    <row r="18890" ht="15.75" customHeight="1">
      <c r="A18890" s="2" t="s">
        <v>18890</v>
      </c>
      <c r="B18890" s="2" t="str">
        <f>IFERROR(__xludf.DUMMYFUNCTION("GOOGLETRANSLATE(A18890, ""en"", ""mt"")"),"X'jistgħu jikkawżaw li jitħallew barra l-iskadenzi tar-rapport tal-IPCC?")</f>
        <v>X'jistgħu jikkawżaw li jitħallew barra l-iskadenzi tar-rapport tal-IPCC?</v>
      </c>
    </row>
    <row r="18891" ht="15.75" customHeight="1">
      <c r="A18891" s="2" t="s">
        <v>18891</v>
      </c>
      <c r="B18891" s="2" t="str">
        <f>IFERROR(__xludf.DUMMYFUNCTION("GOOGLETRANSLATE(A18891, ""en"", ""mt"")"),"forza ta 'reazzjoni tar-rebbiegħa")</f>
        <v>forza ta 'reazzjoni tar-rebbiegħa</v>
      </c>
    </row>
    <row r="18892" ht="15.75" customHeight="1">
      <c r="A18892" s="2" t="s">
        <v>18892</v>
      </c>
      <c r="B18892" s="2" t="str">
        <f>IFERROR(__xludf.DUMMYFUNCTION("GOOGLETRANSLATE(A18892, ""en"", ""mt"")"),"Il-kompetenza tal-Fratellanza Musulmana tqabbel sew ma 'liema tip ta' gvernijiet lokali?")</f>
        <v>Il-kompetenza tal-Fratellanza Musulmana tqabbel sew ma 'liema tip ta' gvernijiet lokali?</v>
      </c>
    </row>
    <row r="18893" ht="15.75" customHeight="1">
      <c r="A18893" s="2" t="s">
        <v>18893</v>
      </c>
      <c r="B18893" s="2" t="str">
        <f>IFERROR(__xludf.DUMMYFUNCTION("GOOGLETRANSLATE(A18893, ""en"", ""mt"")"),"Leġislazzjoni Domestika tal-Parlament Skoċċiż")</f>
        <v>Leġislazzjoni Domestika tal-Parlament Skoċċiż</v>
      </c>
    </row>
    <row r="18894" ht="15.75" customHeight="1">
      <c r="A18894" s="2" t="s">
        <v>18894</v>
      </c>
      <c r="B18894" s="2" t="str">
        <f>IFERROR(__xludf.DUMMYFUNCTION("GOOGLETRANSLATE(A18894, ""en"", ""mt"")"),"Il-Gran Brittanja kisbet il-kontroll tal-Kanada Franċiża u l-Acadia, kolonji li fihom madwar 80,000 residenti Kattoliċi Rumani li jitkellmu bil-Franċiż. Id-deportazzjoni tal-Akkadjani li bdiet fl-1755 irriżultat f’art magħmula disponibbli għall-migranti m"&amp;"ill-Ewropa u l-kolonji aktar fin-nofsinhar. Il-Brittaniċi reġgħu ssettjati mill-ġdid ħafna Akkadjani matul il-provinċji tal-Amerika ta ’Fuq, iżda ħafna marru Franza, u xi wħud marru fi New Orleans, li huma kienu jistennew li jibqgħu Franċiżi. Uħud intbagħ"&amp;"tu biex jikkolonizzaw postijiet differenti bħall-Guyana Franċiża u l-Gżejjer Falkland; Dawn l-aħħar sforzi ma rnexxewx. Oħrajn emigra lejn postijiet bħal Saint-Domingue, u ħarbu lejn New Orleans wara r-Rivoluzzjoni ta ’Ħaiti. Il-popolazzjoni ta 'Louisiana"&amp;" kkontribwiet għall-fondazzjoni tal-popolazzjoni moderna ta' Cajun. (Il-kelma Franċiża ""Acadien"" evolviet għal ""Cadien"", imbagħad għal ""Cajun"".)")</f>
        <v>Il-Gran Brittanja kisbet il-kontroll tal-Kanada Franċiża u l-Acadia, kolonji li fihom madwar 80,000 residenti Kattoliċi Rumani li jitkellmu bil-Franċiż. Id-deportazzjoni tal-Akkadjani li bdiet fl-1755 irriżultat f’art magħmula disponibbli għall-migranti mill-Ewropa u l-kolonji aktar fin-nofsinhar. Il-Brittaniċi reġgħu ssettjati mill-ġdid ħafna Akkadjani matul il-provinċji tal-Amerika ta ’Fuq, iżda ħafna marru Franza, u xi wħud marru fi New Orleans, li huma kienu jistennew li jibqgħu Franċiżi. Uħud intbagħtu biex jikkolonizzaw postijiet differenti bħall-Guyana Franċiża u l-Gżejjer Falkland; Dawn l-aħħar sforzi ma rnexxewx. Oħrajn emigra lejn postijiet bħal Saint-Domingue, u ħarbu lejn New Orleans wara r-Rivoluzzjoni ta ’Ħaiti. Il-popolazzjoni ta 'Louisiana kkontribwiet għall-fondazzjoni tal-popolazzjoni moderna ta' Cajun. (Il-kelma Franċiża "Acadien" evolviet għal "Cadien", imbagħad għal "Cajun".)</v>
      </c>
    </row>
    <row r="18895" ht="15.75" customHeight="1">
      <c r="A18895" s="2" t="s">
        <v>18895</v>
      </c>
      <c r="B18895" s="2" t="str">
        <f>IFERROR(__xludf.DUMMYFUNCTION("GOOGLETRANSLATE(A18895, ""en"", ""mt"")"),"Liema teatru kien l-aħjar eżempju ta '""Teatru Monumentali Pollakk""?")</f>
        <v>Liema teatru kien l-aħjar eżempju ta '"Teatru Monumentali Pollakk"?</v>
      </c>
    </row>
    <row r="18896" ht="15.75" customHeight="1">
      <c r="A18896" s="2" t="s">
        <v>18896</v>
      </c>
      <c r="B18896" s="2" t="str">
        <f>IFERROR(__xludf.DUMMYFUNCTION("GOOGLETRANSLATE(A18896, ""en"", ""mt"")"),"maniġer tal-kostruzzjoni, inġinier tad-disinn, inġinier tal-kostruzzjoni jew maniġer tal-proġett")</f>
        <v>maniġer tal-kostruzzjoni, inġinier tad-disinn, inġinier tal-kostruzzjoni jew maniġer tal-proġett</v>
      </c>
    </row>
    <row r="18897" ht="15.75" customHeight="1">
      <c r="A18897" s="2" t="s">
        <v>18897</v>
      </c>
      <c r="B18897" s="2" t="str">
        <f>IFERROR(__xludf.DUMMYFUNCTION("GOOGLETRANSLATE(A18897, ""en"", ""mt"")"),"Wirit mid-Dynasty Jin")</f>
        <v>Wirit mid-Dynasty Jin</v>
      </c>
    </row>
    <row r="18898" ht="15.75" customHeight="1">
      <c r="A18898" s="2" t="s">
        <v>18898</v>
      </c>
      <c r="B18898" s="2" t="str">
        <f>IFERROR(__xludf.DUMMYFUNCTION("GOOGLETRANSLATE(A18898, ""en"", ""mt"")"),"Xi tfisser l-iskala CPI?")</f>
        <v>Xi tfisser l-iskala CPI?</v>
      </c>
    </row>
    <row r="18899" ht="15.75" customHeight="1">
      <c r="A18899" s="2" t="s">
        <v>18899</v>
      </c>
      <c r="B18899" s="2" t="str">
        <f>IFERROR(__xludf.DUMMYFUNCTION("GOOGLETRANSLATE(A18899, ""en"", ""mt"")"),"Protokoll tal-Internet (IP)")</f>
        <v>Protokoll tal-Internet (IP)</v>
      </c>
    </row>
    <row r="18900" ht="15.75" customHeight="1">
      <c r="A18900" s="2" t="s">
        <v>18900</v>
      </c>
      <c r="B18900" s="2" t="str">
        <f>IFERROR(__xludf.DUMMYFUNCTION("GOOGLETRANSLATE(A18900, ""en"", ""mt"")"),"ġurnata waħda")</f>
        <v>ġurnata waħda</v>
      </c>
    </row>
    <row r="18901" ht="15.75" customHeight="1">
      <c r="A18901" s="2" t="s">
        <v>18901</v>
      </c>
      <c r="B18901" s="2" t="str">
        <f>IFERROR(__xludf.DUMMYFUNCTION("GOOGLETRANSLATE(A18901, ""en"", ""mt"")"),"kodifikazzjoni tal-input")</f>
        <v>kodifikazzjoni tal-input</v>
      </c>
    </row>
    <row r="18902" ht="15.75" customHeight="1">
      <c r="A18902" s="2" t="s">
        <v>18902</v>
      </c>
      <c r="B18902" s="2" t="str">
        <f>IFERROR(__xludf.DUMMYFUNCTION("GOOGLETRANSLATE(A18902, ""en"", ""mt"")"),"barra")</f>
        <v>barra</v>
      </c>
    </row>
    <row r="18903" ht="15.75" customHeight="1">
      <c r="A18903" s="2" t="s">
        <v>18903</v>
      </c>
      <c r="B18903" s="2" t="str">
        <f>IFERROR(__xludf.DUMMYFUNCTION("GOOGLETRANSLATE(A18903, ""en"", ""mt"")"),"Sitt serje ta 'teżijiet kontra Agricola")</f>
        <v>Sitt serje ta 'teżijiet kontra Agricola</v>
      </c>
    </row>
    <row r="18904" ht="15.75" customHeight="1">
      <c r="A18904" s="2" t="s">
        <v>18904</v>
      </c>
      <c r="B18904" s="2" t="str">
        <f>IFERROR(__xludf.DUMMYFUNCTION("GOOGLETRANSLATE(A18904, ""en"", ""mt"")"),"X'inhu l-Għasafar tal-Istat ta 'Victoria?")</f>
        <v>X'inhu l-Għasafar tal-Istat ta 'Victoria?</v>
      </c>
    </row>
    <row r="18905" ht="15.75" customHeight="1">
      <c r="A18905" s="2" t="s">
        <v>18905</v>
      </c>
      <c r="B18905" s="2" t="str">
        <f>IFERROR(__xludf.DUMMYFUNCTION("GOOGLETRANSLATE(A18905, ""en"", ""mt"")"),"NL u NC")</f>
        <v>NL u NC</v>
      </c>
    </row>
    <row r="18906" ht="15.75" customHeight="1">
      <c r="A18906" s="2" t="s">
        <v>18906</v>
      </c>
      <c r="B18906" s="2" t="str">
        <f>IFERROR(__xludf.DUMMYFUNCTION("GOOGLETRANSLATE(A18906, ""en"", ""mt"")"),"Kif jiġu ddeterminati l-kejl tal-laboratorju tal-forzi?")</f>
        <v>Kif jiġu ddeterminati l-kejl tal-laboratorju tal-forzi?</v>
      </c>
    </row>
    <row r="18907" ht="15.75" customHeight="1">
      <c r="A18907" s="2" t="s">
        <v>18907</v>
      </c>
      <c r="B18907" s="2" t="str">
        <f>IFERROR(__xludf.DUMMYFUNCTION("GOOGLETRANSLATE(A18907, ""en"", ""mt"")"),"X'effett għandha l-liġi tal-Unjoni Ewropea dwar il-liġijiet tal-istati membri?")</f>
        <v>X'effett għandha l-liġi tal-Unjoni Ewropea dwar il-liġijiet tal-istati membri?</v>
      </c>
    </row>
    <row r="18908" ht="15.75" customHeight="1">
      <c r="A18908" s="2" t="s">
        <v>18908</v>
      </c>
      <c r="B18908" s="2" t="str">
        <f>IFERROR(__xludf.DUMMYFUNCTION("GOOGLETRANSLATE(A18908, ""en"", ""mt"")"),"X'inhu terminu għall-iskejjel li jirċievu għajnuna mill-gvern?")</f>
        <v>X'inhu terminu għall-iskejjel li jirċievu għajnuna mill-gvern?</v>
      </c>
    </row>
    <row r="18909" ht="15.75" customHeight="1">
      <c r="A18909" s="2" t="s">
        <v>18909</v>
      </c>
      <c r="B18909" s="2" t="str">
        <f>IFERROR(__xludf.DUMMYFUNCTION("GOOGLETRANSLATE(A18909, ""en"", ""mt"")"),"Hasar, Hachiun, u Temüge")</f>
        <v>Hasar, Hachiun, u Temüge</v>
      </c>
    </row>
    <row r="18910" ht="15.75" customHeight="1">
      <c r="A18910" s="2" t="s">
        <v>18910</v>
      </c>
      <c r="B18910" s="2" t="str">
        <f>IFERROR(__xludf.DUMMYFUNCTION("GOOGLETRANSLATE(A18910, ""en"", ""mt"")"),"X'inhi t-temperatura fl-ogħla porzjon tal-firxa tal-muntanji fix-xitwa?")</f>
        <v>X'inhi t-temperatura fl-ogħla porzjon tal-firxa tal-muntanji fix-xitwa?</v>
      </c>
    </row>
    <row r="18911" ht="15.75" customHeight="1">
      <c r="A18911" s="2" t="s">
        <v>18911</v>
      </c>
      <c r="B18911" s="2" t="str">
        <f>IFERROR(__xludf.DUMMYFUNCTION("GOOGLETRANSLATE(A18911, ""en"", ""mt"")"),"massa tas-sistema")</f>
        <v>massa tas-sistema</v>
      </c>
    </row>
    <row r="18912" ht="15.75" customHeight="1">
      <c r="A18912" s="2" t="s">
        <v>18912</v>
      </c>
      <c r="B18912" s="2" t="str">
        <f>IFERROR(__xludf.DUMMYFUNCTION("GOOGLETRANSLATE(A18912, ""en"", ""mt"")"),"X'tgħid li l-ittra ta 'Schurf qalet li kkawża r-ritorn ta' Luther?")</f>
        <v>X'tgħid li l-ittra ta 'Schurf qalet li kkawża r-ritorn ta' Luther?</v>
      </c>
    </row>
    <row r="18913" ht="15.75" customHeight="1">
      <c r="A18913" s="2" t="s">
        <v>18913</v>
      </c>
      <c r="B18913" s="2" t="str">
        <f>IFERROR(__xludf.DUMMYFUNCTION("GOOGLETRANSLATE(A18913, ""en"", ""mt"")"),"Liema kwistjonijiet ma ġewx indirizzati fit-Trattat ta 'Aix-La-Chapelle?")</f>
        <v>Liema kwistjonijiet ma ġewx indirizzati fit-Trattat ta 'Aix-La-Chapelle?</v>
      </c>
    </row>
    <row r="18914" ht="15.75" customHeight="1">
      <c r="A18914" s="2" t="s">
        <v>18914</v>
      </c>
      <c r="B18914" s="2" t="str">
        <f>IFERROR(__xludf.DUMMYFUNCTION("GOOGLETRANSLATE(A18914, ""en"", ""mt"")"),"Shirley u Johnson.")</f>
        <v>Shirley u Johnson.</v>
      </c>
    </row>
    <row r="18915" ht="15.75" customHeight="1">
      <c r="A18915" s="2" t="s">
        <v>18915</v>
      </c>
      <c r="B18915" s="2" t="str">
        <f>IFERROR(__xludf.DUMMYFUNCTION("GOOGLETRANSLATE(A18915, ""en"", ""mt"")"),"Liema ktieb Luther ttraduċiet fil-Ġermaniż f'dan il-ħin?")</f>
        <v>Liema ktieb Luther ttraduċiet fil-Ġermaniż f'dan il-ħin?</v>
      </c>
    </row>
    <row r="18916" ht="15.75" customHeight="1">
      <c r="A18916" s="2" t="s">
        <v>18916</v>
      </c>
      <c r="B18916" s="2" t="str">
        <f>IFERROR(__xludf.DUMMYFUNCTION("GOOGLETRANSLATE(A18916, ""en"", ""mt"")"),"Il-pjan ta 'Pitt talab għal liema attakki?")</f>
        <v>Il-pjan ta 'Pitt talab għal liema attakki?</v>
      </c>
    </row>
    <row r="18917" ht="15.75" customHeight="1">
      <c r="A18917" s="2" t="s">
        <v>18917</v>
      </c>
      <c r="B18917" s="2" t="str">
        <f>IFERROR(__xludf.DUMMYFUNCTION("GOOGLETRANSLATE(A18917, ""en"", ""mt"")"),"X'jista 'joffri l-bonusijiet jgħinu biex inaqqsu?")</f>
        <v>X'jista 'joffri l-bonusijiet jgħinu biex inaqqsu?</v>
      </c>
    </row>
    <row r="18918" ht="15.75" customHeight="1">
      <c r="A18918" s="2" t="s">
        <v>18918</v>
      </c>
      <c r="B18918" s="2" t="str">
        <f>IFERROR(__xludf.DUMMYFUNCTION("GOOGLETRANSLATE(A18918, ""en"", ""mt"")"),"Uri l-globu")</f>
        <v>Uri l-globu</v>
      </c>
    </row>
    <row r="18919" ht="15.75" customHeight="1">
      <c r="A18919" s="2" t="s">
        <v>18919</v>
      </c>
      <c r="B18919" s="2" t="str">
        <f>IFERROR(__xludf.DUMMYFUNCTION("GOOGLETRANSLATE(A18919, ""en"", ""mt"")"),"Il-grazzja li tiġġustifika")</f>
        <v>Il-grazzja li tiġġustifika</v>
      </c>
    </row>
    <row r="18920" ht="15.75" customHeight="1">
      <c r="A18920" s="2" t="s">
        <v>18920</v>
      </c>
      <c r="B18920" s="2" t="str">
        <f>IFERROR(__xludf.DUMMYFUNCTION("GOOGLETRANSLATE(A18920, ""en"", ""mt"")"),"Min adotta omm Temüjin biex jgħin biex jintegra t-tribujiet li hu ħakem?")</f>
        <v>Min adotta omm Temüjin biex jgħin biex jintegra t-tribujiet li hu ħakem?</v>
      </c>
    </row>
    <row r="18921" ht="15.75" customHeight="1">
      <c r="A18921" s="2" t="s">
        <v>18921</v>
      </c>
      <c r="B18921" s="2" t="str">
        <f>IFERROR(__xludf.DUMMYFUNCTION("GOOGLETRANSLATE(A18921, ""en"", ""mt"")"),"Kemm għandha drawwa l-liġi konswetudinarja Norman?")</f>
        <v>Kemm għandha drawwa l-liġi konswetudinarja Norman?</v>
      </c>
    </row>
    <row r="18922" ht="15.75" customHeight="1">
      <c r="A18922" s="2" t="s">
        <v>18922</v>
      </c>
      <c r="B18922" s="2" t="str">
        <f>IFERROR(__xludf.DUMMYFUNCTION("GOOGLETRANSLATE(A18922, ""en"", ""mt"")"),"Barra mill-użu tagħha tal-karozzi, x'iktar huwa famuż fin-Nofsinhar ta 'California?")</f>
        <v>Barra mill-użu tagħha tal-karozzi, x'iktar huwa famuż fin-Nofsinhar ta 'California?</v>
      </c>
    </row>
    <row r="18923" ht="15.75" customHeight="1">
      <c r="A18923" s="2" t="s">
        <v>18923</v>
      </c>
      <c r="B18923" s="2" t="str">
        <f>IFERROR(__xludf.DUMMYFUNCTION("GOOGLETRANSLATE(A18923, ""en"", ""mt"")"),"Liema annimali ħadu ħsieb Tesla?")</f>
        <v>Liema annimali ħadu ħsieb Tesla?</v>
      </c>
    </row>
    <row r="18924" ht="15.75" customHeight="1">
      <c r="A18924" s="2" t="s">
        <v>18924</v>
      </c>
      <c r="B18924" s="2" t="str">
        <f>IFERROR(__xludf.DUMMYFUNCTION("GOOGLETRANSLATE(A18924, ""en"", ""mt"")"),"id-defection ta 'numru ta' atleti Kenjani biex jirrappreżentaw pajjiżi oħra")</f>
        <v>id-defection ta 'numru ta' atleti Kenjani biex jirrappreżentaw pajjiżi oħra</v>
      </c>
    </row>
    <row r="18925" ht="15.75" customHeight="1">
      <c r="A18925" s="2" t="s">
        <v>18925</v>
      </c>
      <c r="B18925" s="2" t="str">
        <f>IFERROR(__xludf.DUMMYFUNCTION("GOOGLETRANSLATE(A18925, ""en"", ""mt"")"),"is-seklu 16")</f>
        <v>is-seklu 16</v>
      </c>
    </row>
    <row r="18926" ht="15.75" customHeight="1">
      <c r="A18926" s="2" t="s">
        <v>18926</v>
      </c>
      <c r="B18926" s="2" t="str">
        <f>IFERROR(__xludf.DUMMYFUNCTION("GOOGLETRANSLATE(A18926, ""en"", ""mt"")"),"Trattati li jistabbilixxu l-Unjoni Ewropea")</f>
        <v>Trattati li jistabbilixxu l-Unjoni Ewropea</v>
      </c>
    </row>
    <row r="18927" ht="15.75" customHeight="1">
      <c r="A18927" s="2" t="s">
        <v>18927</v>
      </c>
      <c r="B18927" s="2" t="str">
        <f>IFERROR(__xludf.DUMMYFUNCTION("GOOGLETRANSLATE(A18927, ""en"", ""mt"")"),"Kemm-il ġurnata x-Xmara Tyne kellha l-Pont Bambuco?")</f>
        <v>Kemm-il ġurnata x-Xmara Tyne kellha l-Pont Bambuco?</v>
      </c>
    </row>
    <row r="18928" ht="15.75" customHeight="1">
      <c r="A18928" s="2" t="s">
        <v>18928</v>
      </c>
      <c r="B18928" s="2" t="str">
        <f>IFERROR(__xludf.DUMMYFUNCTION("GOOGLETRANSLATE(A18928, ""en"", ""mt"")"),"il-Portugiż")</f>
        <v>il-Portugiż</v>
      </c>
    </row>
    <row r="18929" ht="15.75" customHeight="1">
      <c r="A18929" s="2" t="s">
        <v>18929</v>
      </c>
      <c r="B18929" s="2" t="str">
        <f>IFERROR(__xludf.DUMMYFUNCTION("GOOGLETRANSLATE(A18929, ""en"", ""mt"")"),"Kontijiet tat-TV Sky")</f>
        <v>Kontijiet tat-TV Sky</v>
      </c>
    </row>
    <row r="18930" ht="15.75" customHeight="1">
      <c r="A18930" s="2" t="s">
        <v>18930</v>
      </c>
      <c r="B18930" s="2" t="str">
        <f>IFERROR(__xludf.DUMMYFUNCTION("GOOGLETRANSLATE(A18930, ""en"", ""mt"")"),"Tul liema karatteristika ġeografika jinsabu disa 'djar residenzjali?")</f>
        <v>Tul liema karatteristika ġeografika jinsabu disa 'djar residenzjali?</v>
      </c>
    </row>
    <row r="18931" ht="15.75" customHeight="1">
      <c r="A18931" s="2" t="s">
        <v>18931</v>
      </c>
      <c r="B18931" s="2" t="str">
        <f>IFERROR(__xludf.DUMMYFUNCTION("GOOGLETRANSLATE(A18931, ""en"", ""mt"")"),"Tbassir tal-istruttura tal-proteina")</f>
        <v>Tbassir tal-istruttura tal-proteina</v>
      </c>
    </row>
    <row r="18932" ht="15.75" customHeight="1">
      <c r="A18932" s="2" t="s">
        <v>18932</v>
      </c>
      <c r="B18932" s="2" t="str">
        <f>IFERROR(__xludf.DUMMYFUNCTION("GOOGLETRANSLATE(A18932, ""en"", ""mt"")"),"Il-Galleriji tat-Teatru u l-Prestazzjoni V&amp;A, li qabel kienu l-Mużew tat-Teatru, infetħu f'Marzu 2009. Il-kollezzjonijiet huma maħżuna mill-V &amp; A, u huma disponibbli għal riċerka, esibizzjonijiet u wirjiet oħra. Huma għandhom l-ikbar kollezzjoni nazzjonal"&amp;"i tar-Renju Unit dwar il-prestazzjoni diretta fir-Renju Unit mill-Jum ta 'Shakespeare, li jkopru drama, żfin, teatru mużikali, ċirku, sala tal-mużika, rock u pop, u ħafna forom oħra ta' divertiment live. Tipi ta 'oġġetti murija jinkludu kostumi, mudelli s"&amp;"tabbiliti, parrokki, kotba fil-pront, u posters.")</f>
        <v>Il-Galleriji tat-Teatru u l-Prestazzjoni V&amp;A, li qabel kienu l-Mużew tat-Teatru, infetħu f'Marzu 2009. Il-kollezzjonijiet huma maħżuna mill-V &amp; A, u huma disponibbli għal riċerka, esibizzjonijiet u wirjiet oħra. Huma għandhom l-ikbar kollezzjoni nazzjonali tar-Renju Unit dwar il-prestazzjoni diretta fir-Renju Unit mill-Jum ta 'Shakespeare, li jkopru drama, żfin, teatru mużikali, ċirku, sala tal-mużika, rock u pop, u ħafna forom oħra ta' divertiment live. Tipi ta 'oġġetti murija jinkludu kostumi, mudelli stabbiliti, parrokki, kotba fil-pront, u posters.</v>
      </c>
    </row>
    <row r="18933" ht="15.75" customHeight="1">
      <c r="A18933" s="2" t="s">
        <v>18933</v>
      </c>
      <c r="B18933" s="2" t="str">
        <f>IFERROR(__xludf.DUMMYFUNCTION("GOOGLETRANSLATE(A18933, ""en"", ""mt"")"),"Grad ta 'Baċellerat")</f>
        <v>Grad ta 'Baċellerat</v>
      </c>
    </row>
    <row r="18934" ht="15.75" customHeight="1">
      <c r="A18934" s="2" t="s">
        <v>18934</v>
      </c>
      <c r="B18934" s="2" t="str">
        <f>IFERROR(__xludf.DUMMYFUNCTION("GOOGLETRANSLATE(A18934, ""en"", ""mt"")"),"bla piż")</f>
        <v>bla piż</v>
      </c>
    </row>
    <row r="18935" ht="15.75" customHeight="1">
      <c r="A18935" s="2" t="s">
        <v>18935</v>
      </c>
      <c r="B18935" s="2" t="str">
        <f>IFERROR(__xludf.DUMMYFUNCTION("GOOGLETRANSLATE(A18935, ""en"", ""mt"")"),"Il-Battalja ta 'Bạch ằng")</f>
        <v>Il-Battalja ta 'Bạch ằng</v>
      </c>
    </row>
    <row r="18936" ht="15.75" customHeight="1">
      <c r="A18936" s="2" t="s">
        <v>18936</v>
      </c>
      <c r="B18936" s="2" t="str">
        <f>IFERROR(__xludf.DUMMYFUNCTION("GOOGLETRANSLATE(A18936, ""en"", ""mt"")"),"Liema organizzazzjonijiet tan-NU stabbilixxew l-IPCC?")</f>
        <v>Liema organizzazzjonijiet tan-NU stabbilixxew l-IPCC?</v>
      </c>
    </row>
    <row r="18937" ht="15.75" customHeight="1">
      <c r="A18937" s="2" t="s">
        <v>18937</v>
      </c>
      <c r="B18937" s="2" t="str">
        <f>IFERROR(__xludf.DUMMYFUNCTION("GOOGLETRANSLATE(A18937, ""en"", ""mt"")"),"mill-inqas 90% ċerti")</f>
        <v>mill-inqas 90% ċerti</v>
      </c>
    </row>
    <row r="18938" ht="15.75" customHeight="1">
      <c r="A18938" s="2" t="s">
        <v>18938</v>
      </c>
      <c r="B18938" s="2" t="str">
        <f>IFERROR(__xludf.DUMMYFUNCTION("GOOGLETRANSLATE(A18938, ""en"", ""mt"")"),"Kemm nefqu l-Arabja Sawdita fit-tixrid tal-wahhabism?")</f>
        <v>Kemm nefqu l-Arabja Sawdita fit-tixrid tal-wahhabism?</v>
      </c>
    </row>
    <row r="18939" ht="15.75" customHeight="1">
      <c r="A18939" s="2" t="s">
        <v>18939</v>
      </c>
      <c r="B18939" s="2" t="str">
        <f>IFERROR(__xludf.DUMMYFUNCTION("GOOGLETRANSLATE(A18939, ""en"", ""mt"")"),"Espansjoni rapida fit-telekomunikazzjoni u l-attività finanzjarja")</f>
        <v>Espansjoni rapida fit-telekomunikazzjoni u l-attività finanzjarja</v>
      </c>
    </row>
    <row r="18940" ht="15.75" customHeight="1">
      <c r="A18940" s="2" t="s">
        <v>18940</v>
      </c>
      <c r="B18940" s="2" t="str">
        <f>IFERROR(__xludf.DUMMYFUNCTION("GOOGLETRANSLATE(A18940, ""en"", ""mt"")"),"porċellana, drapp u wallpaper")</f>
        <v>porċellana, drapp u wallpaper</v>
      </c>
    </row>
    <row r="18941" ht="15.75" customHeight="1">
      <c r="A18941" s="2" t="s">
        <v>18941</v>
      </c>
      <c r="B18941" s="2" t="str">
        <f>IFERROR(__xludf.DUMMYFUNCTION("GOOGLETRANSLATE(A18941, ""en"", ""mt"")"),"molekuli awto u mhux awto")</f>
        <v>molekuli awto u mhux awto</v>
      </c>
    </row>
    <row r="18942" ht="15.75" customHeight="1">
      <c r="A18942" s="2" t="s">
        <v>18942</v>
      </c>
      <c r="B18942" s="2" t="str">
        <f>IFERROR(__xludf.DUMMYFUNCTION("GOOGLETRANSLATE(A18942, ""en"", ""mt"")"),"Forom oħra ta 'pesta ġew implikati minn xjenzati moderni. Il-pesta bubonika moderna għandha rata ta 'mortalità ta' 30-75% u sintomi li jinkludu deni ta '38-41 ° C (100-106 ° F), uġigħ ta' ras, ġonot ta 'uġigħ ta' uġigħ, nawżea u rimettar, u sensazzjoni ġe"&amp;"nerali ta 'telqa. Tħalla mhux trattata, minn dawk li jikkuntrattaw il-pesta bubonika, 80 fil-mija jmutu fi żmien tmint ijiem. Il-pesta pnewmonika għandha rata ta 'mortalità ta '90 sa 95 fil-mija. Is-sintomi jinkludu deni, sogħla, u sputum miżbugħ fid-demm"&amp;". Hekk kif il-marda timxi 'l quddiem, l-isputum isir ħieles li jiċċirkola u aħmar jgħajjat. Il-pesta settiċemika hija l-inqas komuni mit-tliet forom, b'rata ta 'mortalità qrib 100%. Is-sintomi huma deni għoljin u rqajja vjola tal-ġilda (purpura minħabba k"&amp;"oagulazzjoni intravaskulari mxerrda). F'każijiet ta 'pesta pnewmonika u partikolarment settiċemika, il-progress tal-marda huwa daqshekk mgħaġġel li ħafna drabi ma jkun hemm l-ebda ħin għall-iżvilupp tal-għoqiedi linfatiċi mkabbra li ġew innotati bħala bub"&amp;"o.")</f>
        <v>Forom oħra ta 'pesta ġew implikati minn xjenzati moderni. Il-pesta bubonika moderna għandha rata ta 'mortalità ta' 30-75% u sintomi li jinkludu deni ta '38-41 ° C (100-106 ° F), uġigħ ta' ras, ġonot ta 'uġigħ ta' uġigħ, nawżea u rimettar, u sensazzjoni ġenerali ta 'telqa. Tħalla mhux trattata, minn dawk li jikkuntrattaw il-pesta bubonika, 80 fil-mija jmutu fi żmien tmint ijiem. Il-pesta pnewmonika għandha rata ta 'mortalità ta '90 sa 95 fil-mija. Is-sintomi jinkludu deni, sogħla, u sputum miżbugħ fid-demm. Hekk kif il-marda timxi 'l quddiem, l-isputum isir ħieles li jiċċirkola u aħmar jgħajjat. Il-pesta settiċemika hija l-inqas komuni mit-tliet forom, b'rata ta 'mortalità qrib 100%. Is-sintomi huma deni għoljin u rqajja vjola tal-ġilda (purpura minħabba koagulazzjoni intravaskulari mxerrda). F'każijiet ta 'pesta pnewmonika u partikolarment settiċemika, il-progress tal-marda huwa daqshekk mgħaġġel li ħafna drabi ma jkun hemm l-ebda ħin għall-iżvilupp tal-għoqiedi linfatiċi mkabbra li ġew innotati bħala bubo.</v>
      </c>
    </row>
    <row r="18943" ht="15.75" customHeight="1">
      <c r="A18943" s="2" t="s">
        <v>18943</v>
      </c>
      <c r="B18943" s="2" t="str">
        <f>IFERROR(__xludf.DUMMYFUNCTION("GOOGLETRANSLATE(A18943, ""en"", ""mt"")"),"Immaniġġja d-dipartiment tal-ispiżerija u żoni speċjalizzati")</f>
        <v>Immaniġġja d-dipartiment tal-ispiżerija u żoni speċjalizzati</v>
      </c>
    </row>
    <row r="18944" ht="15.75" customHeight="1">
      <c r="A18944" s="2" t="s">
        <v>18944</v>
      </c>
      <c r="B18944" s="2" t="str">
        <f>IFERROR(__xludf.DUMMYFUNCTION("GOOGLETRANSLATE(A18944, ""en"", ""mt"")"),"X'inhu l-akbar operatur tal-istazzjon ABC f'termini ta 'firxa tas-suq?")</f>
        <v>X'inhu l-akbar operatur tal-istazzjon ABC f'termini ta 'firxa tas-suq?</v>
      </c>
    </row>
    <row r="18945" ht="15.75" customHeight="1">
      <c r="A18945" s="2" t="s">
        <v>18945</v>
      </c>
      <c r="B18945" s="2" t="str">
        <f>IFERROR(__xludf.DUMMYFUNCTION("GOOGLETRANSLATE(A18945, ""en"", ""mt"")"),"Fejn ħadu l-awtostradi lil Luther?")</f>
        <v>Fejn ħadu l-awtostradi lil Luther?</v>
      </c>
    </row>
    <row r="18946" ht="15.75" customHeight="1">
      <c r="A18946" s="2" t="s">
        <v>18946</v>
      </c>
      <c r="B18946" s="2" t="str">
        <f>IFERROR(__xludf.DUMMYFUNCTION("GOOGLETRANSLATE(A18946, ""en"", ""mt"")"),"Il-problema tal-bejjiegħ li tivvjaġġa hija eżempju ta 'liema tip ta' problema?")</f>
        <v>Il-problema tal-bejjiegħ li tivvjaġġa hija eżempju ta 'liema tip ta' problema?</v>
      </c>
    </row>
    <row r="18947" ht="15.75" customHeight="1">
      <c r="A18947" s="2" t="s">
        <v>18947</v>
      </c>
      <c r="B18947" s="2" t="str">
        <f>IFERROR(__xludf.DUMMYFUNCTION("GOOGLETRANSLATE(A18947, ""en"", ""mt"")"),"Kemm plejers tad-difiża tal-Panthers ġew magħżula għall-Pro Bowl?")</f>
        <v>Kemm plejers tad-difiża tal-Panthers ġew magħżula għall-Pro Bowl?</v>
      </c>
    </row>
    <row r="18948" ht="15.75" customHeight="1">
      <c r="A18948" s="2" t="s">
        <v>18948</v>
      </c>
      <c r="B18948" s="2" t="str">
        <f>IFERROR(__xludf.DUMMYFUNCTION("GOOGLETRANSLATE(A18948, ""en"", ""mt"")"),"Meta żiedu l-prezz taż-żejt għal $ 5.11?")</f>
        <v>Meta żiedu l-prezz taż-żejt għal $ 5.11?</v>
      </c>
    </row>
    <row r="18949" ht="15.75" customHeight="1">
      <c r="A18949" s="2" t="s">
        <v>18949</v>
      </c>
      <c r="B18949" s="2" t="str">
        <f>IFERROR(__xludf.DUMMYFUNCTION("GOOGLETRANSLATE(A18949, ""en"", ""mt"")"),"Meta ż-żejt beda jiġi pprezzat fit-termini tad-deheb?")</f>
        <v>Meta ż-żejt beda jiġi pprezzat fit-termini tad-deheb?</v>
      </c>
    </row>
    <row r="18950" ht="15.75" customHeight="1">
      <c r="A18950" s="2" t="s">
        <v>18950</v>
      </c>
      <c r="B18950" s="2" t="str">
        <f>IFERROR(__xludf.DUMMYFUNCTION("GOOGLETRANSLATE(A18950, ""en"", ""mt"")"),"X'inhu importanti ħafna għat-tkabbir tal-ekonomija?")</f>
        <v>X'inhu importanti ħafna għat-tkabbir tal-ekonomija?</v>
      </c>
    </row>
    <row r="18951" ht="15.75" customHeight="1">
      <c r="A18951" s="2" t="s">
        <v>18951</v>
      </c>
      <c r="B18951" s="2" t="str">
        <f>IFERROR(__xludf.DUMMYFUNCTION("GOOGLETRANSLATE(A18951, ""en"", ""mt"")"),"L-iskultura ta 'Amida Nyorai li hija inkluża fil-kollezzjoni ta' arti Ġappuniża ta 'V&amp;A hija ddatata għal liema seklu?")</f>
        <v>L-iskultura ta 'Amida Nyorai li hija inkluża fil-kollezzjoni ta' arti Ġappuniża ta 'V&amp;A hija ddatata għal liema seklu?</v>
      </c>
    </row>
    <row r="18952" ht="15.75" customHeight="1">
      <c r="A18952" s="2" t="s">
        <v>18952</v>
      </c>
      <c r="B18952" s="2" t="str">
        <f>IFERROR(__xludf.DUMMYFUNCTION("GOOGLETRANSLATE(A18952, ""en"", ""mt"")"),"Wahhabi / salafi jihadist extremist militant group")</f>
        <v>Wahhabi / salafi jihadist extremist militant group</v>
      </c>
    </row>
    <row r="18953" ht="15.75" customHeight="1">
      <c r="A18953" s="2" t="s">
        <v>18953</v>
      </c>
      <c r="B18953" s="2" t="str">
        <f>IFERROR(__xludf.DUMMYFUNCTION("GOOGLETRANSLATE(A18953, ""en"", ""mt"")"),"Matul in-Nofs Eġen, huwa maħsub li l-baċin tad-drenaġġ tal-Amażonja kien maqsum tul in-nofs tal-kontinent mill-arkata Purus. L-ilma fuq in-naħa tal-Lvant ħareġ lejn l-Atlantiku, waqt li l-ilma tal-punent ħareġ lejn il-Paċifiku madwar il-baċin tal-Amazonas"&amp;". Madankollu, hekk kif il-Muntanji Andes żdiedu, inħoloq baċin kbir li jingħalaq lag; issa magħruf bħala l-Baċin Solimões. Fl-aħħar 5-10 miljun sena, dan l-ilma li jakkumula għadda mill-Arch Purus, u ngħaqad mal-fluss tal-Lvant lejn l-Atlantiku.")</f>
        <v>Matul in-Nofs Eġen, huwa maħsub li l-baċin tad-drenaġġ tal-Amażonja kien maqsum tul in-nofs tal-kontinent mill-arkata Purus. L-ilma fuq in-naħa tal-Lvant ħareġ lejn l-Atlantiku, waqt li l-ilma tal-punent ħareġ lejn il-Paċifiku madwar il-baċin tal-Amazonas. Madankollu, hekk kif il-Muntanji Andes żdiedu, inħoloq baċin kbir li jingħalaq lag; issa magħruf bħala l-Baċin Solimões. Fl-aħħar 5-10 miljun sena, dan l-ilma li jakkumula għadda mill-Arch Purus, u ngħaqad mal-fluss tal-Lvant lejn l-Atlantiku.</v>
      </c>
    </row>
    <row r="18954" ht="15.75" customHeight="1">
      <c r="A18954" s="2" t="s">
        <v>18954</v>
      </c>
      <c r="B18954" s="2" t="str">
        <f>IFERROR(__xludf.DUMMYFUNCTION("GOOGLETRANSLATE(A18954, ""en"", ""mt"")"),"Tip ta 'pistuni reċiprokanti")</f>
        <v>Tip ta 'pistuni reċiprokanti</v>
      </c>
    </row>
    <row r="18955" ht="15.75" customHeight="1">
      <c r="A18955" s="2" t="s">
        <v>18955</v>
      </c>
      <c r="B18955" s="2" t="str">
        <f>IFERROR(__xludf.DUMMYFUNCTION("GOOGLETRANSLATE(A18955, ""en"", ""mt"")"),"mases")</f>
        <v>mases</v>
      </c>
    </row>
    <row r="18956" ht="15.75" customHeight="1">
      <c r="A18956" s="2" t="s">
        <v>18956</v>
      </c>
      <c r="B18956" s="2" t="str">
        <f>IFERROR(__xludf.DUMMYFUNCTION("GOOGLETRANSLATE(A18956, ""en"", ""mt"")"),"X'kien l-isem tat-tabib li jilgħab mis-snin 1980?")</f>
        <v>X'kien l-isem tat-tabib li jilgħab mis-snin 1980?</v>
      </c>
    </row>
    <row r="18957" ht="15.75" customHeight="1">
      <c r="A18957" s="2" t="s">
        <v>18957</v>
      </c>
      <c r="B18957" s="2" t="str">
        <f>IFERROR(__xludf.DUMMYFUNCTION("GOOGLETRANSLATE(A18957, ""en"", ""mt"")"),"Kif jgħaddu l-pakketti")</f>
        <v>Kif jgħaddu l-pakketti</v>
      </c>
    </row>
    <row r="18958" ht="15.75" customHeight="1">
      <c r="A18958" s="2" t="s">
        <v>18958</v>
      </c>
      <c r="B18958" s="2" t="str">
        <f>IFERROR(__xludf.DUMMYFUNCTION("GOOGLETRANSLATE(A18958, ""en"", ""mt"")"),"il-50")</f>
        <v>il-50</v>
      </c>
    </row>
    <row r="18959" ht="15.75" customHeight="1">
      <c r="A18959" s="2" t="s">
        <v>18959</v>
      </c>
      <c r="B18959" s="2" t="str">
        <f>IFERROR(__xludf.DUMMYFUNCTION("GOOGLETRANSLATE(A18959, ""en"", ""mt"")"),"X'tipi ta 'xogħol għamel il-Han fl-Asja Ċentrali?")</f>
        <v>X'tipi ta 'xogħol għamel il-Han fl-Asja Ċentrali?</v>
      </c>
    </row>
    <row r="18960" ht="15.75" customHeight="1">
      <c r="A18960" s="2" t="s">
        <v>18960</v>
      </c>
      <c r="B18960" s="2" t="str">
        <f>IFERROR(__xludf.DUMMYFUNCTION("GOOGLETRANSLATE(A18960, ""en"", ""mt"")"),"depożiti minerali")</f>
        <v>depożiti minerali</v>
      </c>
    </row>
    <row r="18961" ht="15.75" customHeight="1">
      <c r="A18961" s="2" t="s">
        <v>18961</v>
      </c>
      <c r="B18961" s="2" t="str">
        <f>IFERROR(__xludf.DUMMYFUNCTION("GOOGLETRANSLATE(A18961, ""en"", ""mt"")"),"Akkademja tal-Padiljun tal-Istilla tal-Letteratura")</f>
        <v>Akkademja tal-Padiljun tal-Istilla tal-Letteratura</v>
      </c>
    </row>
    <row r="18962" ht="15.75" customHeight="1">
      <c r="A18962" s="2" t="s">
        <v>18962</v>
      </c>
      <c r="B18962" s="2" t="str">
        <f>IFERROR(__xludf.DUMMYFUNCTION("GOOGLETRANSLATE(A18962, ""en"", ""mt"")"),"X'inhi l-inugwaljanza assoċjata ma 'livelli ogħla ta'?")</f>
        <v>X'inhi l-inugwaljanza assoċjata ma 'livelli ogħla ta'?</v>
      </c>
    </row>
    <row r="18963" ht="15.75" customHeight="1">
      <c r="A18963" s="2" t="s">
        <v>18963</v>
      </c>
      <c r="B18963" s="2" t="str">
        <f>IFERROR(__xludf.DUMMYFUNCTION("GOOGLETRANSLATE(A18963, ""en"", ""mt"")"),"tripartite")</f>
        <v>tripartite</v>
      </c>
    </row>
    <row r="18964" ht="15.75" customHeight="1">
      <c r="A18964" s="2" t="s">
        <v>18964</v>
      </c>
      <c r="B18964" s="2" t="str">
        <f>IFERROR(__xludf.DUMMYFUNCTION("GOOGLETRANSLATE(A18964, ""en"", ""mt"")"),"Kemm mill-popolazzjoni tad-dinja spiċċat tara l-immaġini tad-dinja u tal-qamar?")</f>
        <v>Kemm mill-popolazzjoni tad-dinja spiċċat tara l-immaġini tad-dinja u tal-qamar?</v>
      </c>
    </row>
    <row r="18965" ht="15.75" customHeight="1">
      <c r="A18965" s="2" t="s">
        <v>18965</v>
      </c>
      <c r="B18965" s="2" t="str">
        <f>IFERROR(__xludf.DUMMYFUNCTION("GOOGLETRANSLATE(A18965, ""en"", ""mt"")"),"Mekkanika Newtonjana")</f>
        <v>Mekkanika Newtonjana</v>
      </c>
    </row>
    <row r="18966" ht="15.75" customHeight="1">
      <c r="A18966" s="2" t="s">
        <v>18966</v>
      </c>
      <c r="B18966" s="2" t="str">
        <f>IFERROR(__xludf.DUMMYFUNCTION("GOOGLETRANSLATE(A18966, ""en"", ""mt"")"),"rata tat-taxxa")</f>
        <v>rata tat-taxxa</v>
      </c>
    </row>
    <row r="18967" ht="15.75" customHeight="1">
      <c r="A18967" s="2" t="s">
        <v>18967</v>
      </c>
      <c r="B18967" s="2" t="str">
        <f>IFERROR(__xludf.DUMMYFUNCTION("GOOGLETRANSLATE(A18967, ""en"", ""mt"")"),"Liema għodda jużaw l-istratigraphers biex jaraw id-dejta tagħhom fi tliet dimensjonijiet?")</f>
        <v>Liema għodda jużaw l-istratigraphers biex jaraw id-dejta tagħhom fi tliet dimensjonijiet?</v>
      </c>
    </row>
    <row r="18968" ht="15.75" customHeight="1">
      <c r="A18968" s="2" t="s">
        <v>18968</v>
      </c>
      <c r="B18968" s="2" t="str">
        <f>IFERROR(__xludf.DUMMYFUNCTION("GOOGLETRANSLATE(A18968, ""en"", ""mt"")"),"żoni iżolati")</f>
        <v>żoni iżolati</v>
      </c>
    </row>
    <row r="18969" ht="15.75" customHeight="1">
      <c r="A18969" s="2" t="s">
        <v>18969</v>
      </c>
      <c r="B18969" s="2" t="str">
        <f>IFERROR(__xludf.DUMMYFUNCTION("GOOGLETRANSLATE(A18969, ""en"", ""mt"")"),"Liema terminu jaħsbu li l-Iżlamisti għandhom jiġu applikati għalihom?")</f>
        <v>Liema terminu jaħsbu li l-Iżlamisti għandhom jiġu applikati għalihom?</v>
      </c>
    </row>
    <row r="18970" ht="15.75" customHeight="1">
      <c r="A18970" s="2" t="s">
        <v>18970</v>
      </c>
      <c r="B18970" s="2" t="str">
        <f>IFERROR(__xludf.DUMMYFUNCTION("GOOGLETRANSLATE(A18970, ""en"", ""mt"")"),"Drogi ikbar (&gt; 500 DA) jistgħu jipprovokaw rispons immuni newtralizzanti, partikolarment jekk il-mediċini jingħataw ripetutament, jew f'dożi ikbar. Dan jillimita l-effikaċja ta 'mediċini bbażati fuq peptidi u proteini akbar (li huma tipikament ikbar minn "&amp;"6000 DA). F’xi każijiet, il-mediċina nnifisha mhix immunogenika, imma tista ’tiġi amministrata b’kompost immunogeniku, kif inhu xi kultant il-każ għat-Taxol. Ġew żviluppati metodi tal-komputazzjoni biex ibassru l-immunogeniċità tal-peptidi u l-proteini, l"&amp;"i huma partikolarment utli fit-tfassil ta 'antikorpi terapewtiċi, li jivvalutaw il-virulenza probabbli ta' mutazzjonijiet fil-partiċelli tal-kisja virali, u l-validazzjoni ta 'trattamenti ta' mediċini bbażati fuq il-peptidi. Tekniki bikrija serrħu prinċip"&amp;"alment fuq l-osservazzjoni li l-aċidi amminiċi idrofiliċi huma rappreżentati żżejjed fir-reġjuni tal-epitopi minn aċidi amminiċi idrofobiċi; Madankollu, żviluppi aktar reċenti jiddependu fuq tekniki ta 'tagħlim tal-magni bl-użu ta' bażijiet tad-dejta ta '"&amp;"epitopi magħrufa eżistenti, ġeneralment fuq proteini tal-virus studjati sew, bħala sett ta' taħriġ. Dejtabejż aċċessibbli pubblikament ġiet stabbilita għall-katalogar ta 'epitopi minn patoġeni magħrufa li huma rikonoxxibbli miċ-ċelloli B. Il-qasam emerġen"&amp;"ti ta 'studji bbażati fuq il-bijoinformatika dwar l-immunogeniċità huwa msemmi bħala immunoinformatika. Immunoproteomics huwa l-istudju ta 'settijiet kbar ta' proteini (proteomiċi) involuti fir-rispons immuni.")</f>
        <v>Drogi ikbar (&gt; 500 DA) jistgħu jipprovokaw rispons immuni newtralizzanti, partikolarment jekk il-mediċini jingħataw ripetutament, jew f'dożi ikbar. Dan jillimita l-effikaċja ta 'mediċini bbażati fuq peptidi u proteini akbar (li huma tipikament ikbar minn 6000 DA). F’xi każijiet, il-mediċina nnifisha mhix immunogenika, imma tista ’tiġi amministrata b’kompost immunogeniku, kif inhu xi kultant il-każ għat-Taxol. Ġew żviluppati metodi tal-komputazzjoni biex ibassru l-immunogeniċità tal-peptidi u l-proteini, li huma partikolarment utli fit-tfassil ta 'antikorpi terapewtiċi, li jivvalutaw il-virulenza probabbli ta' mutazzjonijiet fil-partiċelli tal-kisja virali, u l-validazzjoni ta 'trattamenti ta' mediċini bbażati fuq il-peptidi. Tekniki bikrija serrħu prinċipalment fuq l-osservazzjoni li l-aċidi amminiċi idrofiliċi huma rappreżentati żżejjed fir-reġjuni tal-epitopi minn aċidi amminiċi idrofobiċi; Madankollu, żviluppi aktar reċenti jiddependu fuq tekniki ta 'tagħlim tal-magni bl-użu ta' bażijiet tad-dejta ta 'epitopi magħrufa eżistenti, ġeneralment fuq proteini tal-virus studjati sew, bħala sett ta' taħriġ. Dejtabejż aċċessibbli pubblikament ġiet stabbilita għall-katalogar ta 'epitopi minn patoġeni magħrufa li huma rikonoxxibbli miċ-ċelloli B. Il-qasam emerġenti ta 'studji bbażati fuq il-bijoinformatika dwar l-immunogeniċità huwa msemmi bħala immunoinformatika. Immunoproteomics huwa l-istudju ta 'settijiet kbar ta' proteini (proteomiċi) involuti fir-rispons immuni.</v>
      </c>
    </row>
    <row r="18971" ht="15.75" customHeight="1">
      <c r="A18971" s="2" t="s">
        <v>18971</v>
      </c>
      <c r="B18971" s="2" t="str">
        <f>IFERROR(__xludf.DUMMYFUNCTION("GOOGLETRANSLATE(A18971, ""en"", ""mt"")"),"Kif effettwa dan il-prezzijiet tal-produttur?")</f>
        <v>Kif effettwa dan il-prezzijiet tal-produttur?</v>
      </c>
    </row>
    <row r="18972" ht="15.75" customHeight="1">
      <c r="A18972" s="2" t="s">
        <v>18972</v>
      </c>
      <c r="B18972" s="2" t="str">
        <f>IFERROR(__xludf.DUMMYFUNCTION("GOOGLETRANSLATE(A18972, ""en"", ""mt"")"),"Beating the Odds: The Untold Story Behind The Rise of ABC")</f>
        <v>Beating the Odds: The Untold Story Behind The Rise of ABC</v>
      </c>
    </row>
    <row r="18973" ht="15.75" customHeight="1">
      <c r="A18973" s="2" t="s">
        <v>18973</v>
      </c>
      <c r="B18973" s="2" t="str">
        <f>IFERROR(__xludf.DUMMYFUNCTION("GOOGLETRANSLATE(A18973, ""en"", ""mt"")"),"Min waqqaf il-finanzjament taż-żerriegħa għall-avveniment tul il-ġimgħa li wassal għas-Super Bowl?")</f>
        <v>Min waqqaf il-finanzjament taż-żerriegħa għall-avveniment tul il-ġimgħa li wassal għas-Super Bowl?</v>
      </c>
    </row>
    <row r="18974" ht="15.75" customHeight="1">
      <c r="A18974" s="2" t="s">
        <v>18974</v>
      </c>
      <c r="B18974" s="2" t="str">
        <f>IFERROR(__xludf.DUMMYFUNCTION("GOOGLETRANSLATE(A18974, ""en"", ""mt"")"),"X'inhu t-titlu għal gradwat tas-seminarju li jservi mandat ta 'sentejn f'ħatriet full-time wara li jkun ġie kkummissjonat?")</f>
        <v>X'inhu t-titlu għal gradwat tas-seminarju li jservi mandat ta 'sentejn f'ħatriet full-time wara li jkun ġie kkummissjonat?</v>
      </c>
    </row>
    <row r="18975" ht="15.75" customHeight="1">
      <c r="A18975" s="2" t="s">
        <v>18975</v>
      </c>
      <c r="B18975" s="2" t="str">
        <f>IFERROR(__xludf.DUMMYFUNCTION("GOOGLETRANSLATE(A18975, ""en"", ""mt"")"),"Il-magna Uniflow hija tentattiv biex tiffissa kwistjoni li tqum f'liema ċiklu?")</f>
        <v>Il-magna Uniflow hija tentattiv biex tiffissa kwistjoni li tqum f'liema ċiklu?</v>
      </c>
    </row>
    <row r="18976" ht="15.75" customHeight="1">
      <c r="A18976" s="2" t="s">
        <v>18976</v>
      </c>
      <c r="B18976" s="2" t="str">
        <f>IFERROR(__xludf.DUMMYFUNCTION("GOOGLETRANSLATE(A18976, ""en"", ""mt"")"),"Iċ-ċensura tal-kummissjoni tas-santer irriżultat f’liema każ?")</f>
        <v>Iċ-ċensura tal-kummissjoni tas-santer irriżultat f’liema każ?</v>
      </c>
    </row>
    <row r="18977" ht="15.75" customHeight="1">
      <c r="A18977" s="2" t="s">
        <v>18977</v>
      </c>
      <c r="B18977" s="2" t="str">
        <f>IFERROR(__xludf.DUMMYFUNCTION("GOOGLETRANSLATE(A18977, ""en"", ""mt"")"),"Prova u riabilitazzjoni ta 'Joan of Arc")</f>
        <v>Prova u riabilitazzjoni ta 'Joan of Arc</v>
      </c>
    </row>
    <row r="18978" ht="15.75" customHeight="1">
      <c r="A18978" s="2" t="s">
        <v>18978</v>
      </c>
      <c r="B18978" s="2" t="str">
        <f>IFERROR(__xludf.DUMMYFUNCTION("GOOGLETRANSLATE(A18978, ""en"", ""mt"")"),"pjaga")</f>
        <v>pjaga</v>
      </c>
    </row>
    <row r="18979" ht="15.75" customHeight="1">
      <c r="A18979" s="2" t="s">
        <v>18979</v>
      </c>
      <c r="B18979" s="2" t="str">
        <f>IFERROR(__xludf.DUMMYFUNCTION("GOOGLETRANSLATE(A18979, ""en"", ""mt"")"),"X'inhu isem ġenerali ieħor għal għalliem reliġjuż?")</f>
        <v>X'inhu isem ġenerali ieħor għal għalliem reliġjuż?</v>
      </c>
    </row>
    <row r="18980" ht="15.75" customHeight="1">
      <c r="A18980" s="2" t="s">
        <v>18980</v>
      </c>
      <c r="B18980" s="2" t="str">
        <f>IFERROR(__xludf.DUMMYFUNCTION("GOOGLETRANSLATE(A18980, ""en"", ""mt"")"),"Anglo-Sassonu")</f>
        <v>Anglo-Sassonu</v>
      </c>
    </row>
    <row r="18981" ht="15.75" customHeight="1">
      <c r="A18981" s="2" t="s">
        <v>18981</v>
      </c>
      <c r="B18981" s="2" t="str">
        <f>IFERROR(__xludf.DUMMYFUNCTION("GOOGLETRANSLATE(A18981, ""en"", ""mt"")"),"Kodiċi taihō (701) u ddikjarat mill-ġdid fil-kodiċi yōrō")</f>
        <v>Kodiċi taihō (701) u ddikjarat mill-ġdid fil-kodiċi yōrō</v>
      </c>
    </row>
    <row r="18982" ht="15.75" customHeight="1">
      <c r="A18982" s="2" t="s">
        <v>18982</v>
      </c>
      <c r="B18982" s="2" t="str">
        <f>IFERROR(__xludf.DUMMYFUNCTION("GOOGLETRANSLATE(A18982, ""en"", ""mt"")"),"Mill-paċi ta 'Westphalia, ir-Renu ta' Fuq ffurma fruntiera kontenzjuża bejn Franza u l-Ġermanja. L-istabbiliment ta '""fruntieri naturali"" fuq ir-Renu kien għan fit-tul tal-politika barranija Franċiża, peress li l-Medju Evu, għalkemm il-fruntiera tal-lin"&amp;"gwa kienet - u hija - ħafna iktar lejn il-Punent. Il-mexxejja Franċiżi, bħal Louis XIV u Napoleon Bonaparte, ippruvaw bi gradi differenti ta ’suċċess biex jannessu artijiet fil-punent tar-Renu. Il-Konfederazzjoni tar-Renu ġiet stabbilita minn Napuljun, bħ"&amp;"ala stat tal-klijent Franċiż, fl-1806 u damet sal-1814, li matulha serva bħala sors sinifikanti ta 'riżorsi u ħaddiema militari għall-ewwel imperu Franċiż. Fl-1840, il-kriżi tar-Renu, imqanqla mix-xewqa tal-Prim Ministru Franċiż Adolphe Thiers li terġa 't"&amp;"iddaħħal ir-Renu bħala fruntiera naturali, wasslet għal kriżi diplomatika u mewġa ta' nazzjonaliżmu fil-Ġermanja.")</f>
        <v>Mill-paċi ta 'Westphalia, ir-Renu ta' Fuq ffurma fruntiera kontenzjuża bejn Franza u l-Ġermanja. L-istabbiliment ta '"fruntieri naturali" fuq ir-Renu kien għan fit-tul tal-politika barranija Franċiża, peress li l-Medju Evu, għalkemm il-fruntiera tal-lingwa kienet - u hija - ħafna iktar lejn il-Punent. Il-mexxejja Franċiżi, bħal Louis XIV u Napoleon Bonaparte, ippruvaw bi gradi differenti ta ’suċċess biex jannessu artijiet fil-punent tar-Renu. Il-Konfederazzjoni tar-Renu ġiet stabbilita minn Napuljun, bħala stat tal-klijent Franċiż, fl-1806 u damet sal-1814, li matulha serva bħala sors sinifikanti ta 'riżorsi u ħaddiema militari għall-ewwel imperu Franċiż. Fl-1840, il-kriżi tar-Renu, imqanqla mix-xewqa tal-Prim Ministru Franċiż Adolphe Thiers li terġa 'tiddaħħal ir-Renu bħala fruntiera naturali, wasslet għal kriżi diplomatika u mewġa ta' nazzjonaliżmu fil-Ġermanja.</v>
      </c>
    </row>
    <row r="18983" ht="15.75" customHeight="1">
      <c r="A18983" s="2" t="s">
        <v>18983</v>
      </c>
      <c r="B18983" s="2" t="str">
        <f>IFERROR(__xludf.DUMMYFUNCTION("GOOGLETRANSLATE(A18983, ""en"", ""mt"")"),"X'ifisser Luther ma jfissirx li l-massa l-ġdida tissostitwixxi?")</f>
        <v>X'ifisser Luther ma jfissirx li l-massa l-ġdida tissostitwixxi?</v>
      </c>
    </row>
    <row r="18984" ht="15.75" customHeight="1">
      <c r="A18984" s="2" t="s">
        <v>18984</v>
      </c>
      <c r="B18984" s="2" t="str">
        <f>IFERROR(__xludf.DUMMYFUNCTION("GOOGLETRANSLATE(A18984, ""en"", ""mt"")"),"X'jaħżen NADPH?")</f>
        <v>X'jaħżen NADPH?</v>
      </c>
    </row>
    <row r="18985" ht="15.75" customHeight="1">
      <c r="A18985" s="2" t="s">
        <v>18985</v>
      </c>
      <c r="B18985" s="2" t="str">
        <f>IFERROR(__xludf.DUMMYFUNCTION("GOOGLETRANSLATE(A18985, ""en"", ""mt"")"),"jibqgħu siekta jekk għamlu l-avversarji tiegħu")</f>
        <v>jibqgħu siekta jekk għamlu l-avversarji tiegħu</v>
      </c>
    </row>
    <row r="18986" ht="15.75" customHeight="1">
      <c r="A18986" s="2" t="s">
        <v>18986</v>
      </c>
      <c r="B18986" s="2" t="str">
        <f>IFERROR(__xludf.DUMMYFUNCTION("GOOGLETRANSLATE(A18986, ""en"", ""mt"")"),"Liema żewġ riżorsi kkunsmati komunement minn mudelli alternattivi huma tipikament magħrufa li jvarjaw?")</f>
        <v>Liema żewġ riżorsi kkunsmati komunement minn mudelli alternattivi huma tipikament magħrufa li jvarjaw?</v>
      </c>
    </row>
    <row r="18987" ht="15.75" customHeight="1">
      <c r="A18987" s="2" t="s">
        <v>18987</v>
      </c>
      <c r="B18987" s="2" t="str">
        <f>IFERROR(__xludf.DUMMYFUNCTION("GOOGLETRANSLATE(A18987, ""en"", ""mt"")"),"NP-Hard")</f>
        <v>NP-Hard</v>
      </c>
    </row>
    <row r="18988" ht="15.75" customHeight="1">
      <c r="A18988" s="2" t="s">
        <v>18988</v>
      </c>
      <c r="B18988" s="2" t="str">
        <f>IFERROR(__xludf.DUMMYFUNCTION("GOOGLETRANSLATE(A18988, ""en"", ""mt"")"),"Il-Golf tal-Kampjonat Miftuħ u l-Wimbledon")</f>
        <v>Il-Golf tal-Kampjonat Miftuħ u l-Wimbledon</v>
      </c>
    </row>
    <row r="18989" ht="15.75" customHeight="1">
      <c r="A18989" s="2" t="s">
        <v>18989</v>
      </c>
      <c r="B18989" s="2" t="str">
        <f>IFERROR(__xludf.DUMMYFUNCTION("GOOGLETRANSLATE(A18989, ""en"", ""mt"")"),"Immunodefiċjenza sseħħ")</f>
        <v>Immunodefiċjenza sseħħ</v>
      </c>
    </row>
    <row r="18990" ht="15.75" customHeight="1">
      <c r="A18990" s="2" t="s">
        <v>18990</v>
      </c>
      <c r="B18990" s="2" t="str">
        <f>IFERROR(__xludf.DUMMYFUNCTION("GOOGLETRANSLATE(A18990, ""en"", ""mt"")"),"It-tielet użu tal-liġi")</f>
        <v>It-tielet użu tal-liġi</v>
      </c>
    </row>
    <row r="18991" ht="15.75" customHeight="1">
      <c r="A18991" s="2" t="s">
        <v>18991</v>
      </c>
      <c r="B18991" s="2" t="str">
        <f>IFERROR(__xludf.DUMMYFUNCTION("GOOGLETRANSLATE(A18991, ""en"", ""mt"")"),"0.5–1.4 m [50–140 cm]")</f>
        <v>0.5–1.4 m [50–140 cm]</v>
      </c>
    </row>
    <row r="18992" ht="15.75" customHeight="1">
      <c r="A18992" s="2" t="s">
        <v>18992</v>
      </c>
      <c r="B18992" s="2" t="str">
        <f>IFERROR(__xludf.DUMMYFUNCTION("GOOGLETRANSLATE(A18992, ""en"", ""mt"")"),"Meta l-FCC iffriża l-applikazzjonijiet li deħlin għal stazzjonijiet ġodda?")</f>
        <v>Meta l-FCC iffriża l-applikazzjonijiet li deħlin għal stazzjonijiet ġodda?</v>
      </c>
    </row>
    <row r="18993" ht="15.75" customHeight="1">
      <c r="A18993" s="2" t="s">
        <v>18993</v>
      </c>
      <c r="B18993" s="2" t="str">
        <f>IFERROR(__xludf.DUMMYFUNCTION("GOOGLETRANSLATE(A18993, ""en"", ""mt"")"),"Tpinġi r-relazzjoni bejn il-livell ta 'dħul u l-inugwaljanza, il-Kuznets raw l-ekonomiji ta' dħul medju li qed jiżviluppaw il-livell ta 'inugwaljanza li joħroġ biex jifforma dak li issa huwa magħruf bħala l-kurva tal-Kuznets. Kuznets urew din ir-relazzjon"&amp;"i bl-użu ta 'dejta trasversali. Madankollu, ittestjar aktar reċenti ta 'din it-teorija b'data ta' pannell superjuri wera li huwa dgħajjef ħafna. Il-kurva ta 'Kuznets tbassar li l-inugwaljanza fid-dħul eventwalment tonqos il-ħin. Bħala eżempju, l-inugwalja"&amp;"nza fid-dħul waqgħet fl-Istati Uniti matul il-moviment tal-iskola għolja tagħha mill-1910 sal-1940 u wara. [Ċitazzjoni meħtieġa] Madankollu, dejta riċenti turi li l-livell ta 'inugwaljanza fid-dħul beda jiżdied wara s-snin sebgħin. Dan mhux neċessarjament"&amp;" jikkontesta t-teorija tal-Kuznets. [Ċitazzjoni meħtieġa] Jista 'jkun possibbli li ċiklu ta' Kuznets ieħor iseħħ, speċifikament il-moviment mis-settur tal-manifattura għas-settur tas-servizz. [Ċitazzjoni meħtieġa] Dan jimplika li jista 'jkun possibbli għa"&amp;"l multiplu Iċ-ċikli tal-Kuznets għandhom ikunu fis-seħħ fi kwalunkwe ħin.")</f>
        <v>Tpinġi r-relazzjoni bejn il-livell ta 'dħul u l-inugwaljanza, il-Kuznets raw l-ekonomiji ta' dħul medju li qed jiżviluppaw il-livell ta 'inugwaljanza li joħroġ biex jifforma dak li issa huwa magħruf bħala l-kurva tal-Kuznets. Kuznets urew din ir-relazzjoni bl-użu ta 'dejta trasversali. Madankollu, ittestjar aktar reċenti ta 'din it-teorija b'data ta' pannell superjuri wera li huwa dgħajjef ħafna. Il-kurva ta 'Kuznets tbassar li l-inugwaljanza fid-dħul eventwalment tonqos il-ħin. Bħala eżempju, l-inugwaljanza fid-dħul waqgħet fl-Istati Uniti matul il-moviment tal-iskola għolja tagħha mill-1910 sal-1940 u wara. [Ċitazzjoni meħtieġa] Madankollu, dejta riċenti turi li l-livell ta 'inugwaljanza fid-dħul beda jiżdied wara s-snin sebgħin. Dan mhux neċessarjament jikkontesta t-teorija tal-Kuznets. [Ċitazzjoni meħtieġa] Jista 'jkun possibbli li ċiklu ta' Kuznets ieħor iseħħ, speċifikament il-moviment mis-settur tal-manifattura għas-settur tas-servizz. [Ċitazzjoni meħtieġa] Dan jimplika li jista 'jkun possibbli għal multiplu Iċ-ċikli tal-Kuznets għandhom ikunu fis-seħħ fi kwalunkwe ħin.</v>
      </c>
    </row>
    <row r="18994" ht="15.75" customHeight="1">
      <c r="A18994" s="2" t="s">
        <v>18994</v>
      </c>
      <c r="B18994" s="2" t="str">
        <f>IFERROR(__xludf.DUMMYFUNCTION("GOOGLETRANSLATE(A18994, ""en"", ""mt"")"),"X'kien imsaħħaħ fl-2014?")</f>
        <v>X'kien imsaħħaħ fl-2014?</v>
      </c>
    </row>
    <row r="18995" ht="15.75" customHeight="1">
      <c r="A18995" s="2" t="s">
        <v>18995</v>
      </c>
      <c r="B18995" s="2" t="str">
        <f>IFERROR(__xludf.DUMMYFUNCTION("GOOGLETRANSLATE(A18995, ""en"", ""mt"")"),"żewġt irġiel")</f>
        <v>żewġt irġiel</v>
      </c>
    </row>
    <row r="18996" ht="15.75" customHeight="1">
      <c r="A18996" s="2" t="s">
        <v>18996</v>
      </c>
      <c r="B18996" s="2" t="str">
        <f>IFERROR(__xludf.DUMMYFUNCTION("GOOGLETRANSLATE(A18996, ""en"", ""mt"")"),"innegozjat bejn il-punti finali")</f>
        <v>innegozjat bejn il-punti finali</v>
      </c>
    </row>
    <row r="18997" ht="15.75" customHeight="1">
      <c r="A18997" s="2" t="s">
        <v>18997</v>
      </c>
      <c r="B18997" s="2" t="str">
        <f>IFERROR(__xludf.DUMMYFUNCTION("GOOGLETRANSLATE(A18997, ""en"", ""mt"")"),"L-ewwel")</f>
        <v>L-ewwel</v>
      </c>
    </row>
    <row r="18998" ht="15.75" customHeight="1">
      <c r="A18998" s="2" t="s">
        <v>18998</v>
      </c>
      <c r="B18998" s="2" t="str">
        <f>IFERROR(__xludf.DUMMYFUNCTION("GOOGLETRANSLATE(A18998, ""en"", ""mt"")"),"Kumitat Eżekuttiv")</f>
        <v>Kumitat Eżekuttiv</v>
      </c>
    </row>
    <row r="18999" ht="15.75" customHeight="1">
      <c r="A18999" s="2" t="s">
        <v>18999</v>
      </c>
      <c r="B18999" s="2" t="str">
        <f>IFERROR(__xludf.DUMMYFUNCTION("GOOGLETRANSLATE(A18999, ""en"", ""mt"")"),"Min hu l-imħallef finali ta 'dritt u ħażin?")</f>
        <v>Min hu l-imħallef finali ta 'dritt u ħażin?</v>
      </c>
    </row>
    <row r="19000" ht="15.75" customHeight="1">
      <c r="A19000" s="2" t="s">
        <v>19000</v>
      </c>
      <c r="B19000" s="2" t="str">
        <f>IFERROR(__xludf.DUMMYFUNCTION("GOOGLETRANSLATE(A19000, ""en"", ""mt"")"),"Xi trid in-NU trid tistabbilizza?")</f>
        <v>Xi trid in-NU trid tistabbilizza?</v>
      </c>
    </row>
    <row r="19001" ht="15.75" customHeight="1">
      <c r="A19001" s="2" t="s">
        <v>19001</v>
      </c>
      <c r="B19001" s="2" t="str">
        <f>IFERROR(__xludf.DUMMYFUNCTION("GOOGLETRANSLATE(A19001, ""en"", ""mt"")"),"servizz lill-proxxmu fil-vokazzjonijiet komuni u ta 'kuljum ta' din id-dinja li titħassar")</f>
        <v>servizz lill-proxxmu fil-vokazzjonijiet komuni u ta 'kuljum ta' din id-dinja li titħassar</v>
      </c>
    </row>
    <row r="19002" ht="15.75" customHeight="1">
      <c r="A19002" s="2" t="s">
        <v>19002</v>
      </c>
      <c r="B19002" s="2" t="str">
        <f>IFERROR(__xludf.DUMMYFUNCTION("GOOGLETRANSLATE(A19002, ""en"", ""mt"")"),"ikomplu l-protesta tagħhom")</f>
        <v>ikomplu l-protesta tagħhom</v>
      </c>
    </row>
    <row r="19003" ht="15.75" customHeight="1">
      <c r="A19003" s="2" t="s">
        <v>19003</v>
      </c>
      <c r="B19003" s="2" t="str">
        <f>IFERROR(__xludf.DUMMYFUNCTION("GOOGLETRANSLATE(A19003, ""en"", ""mt"")"),"Liema punt it-teologi kienu differenti fuq l-aħħar ċena?")</f>
        <v>Liema punt it-teologi kienu differenti fuq l-aħħar ċena?</v>
      </c>
    </row>
    <row r="19004" ht="15.75" customHeight="1">
      <c r="A19004" s="2" t="s">
        <v>19004</v>
      </c>
      <c r="B19004" s="2" t="str">
        <f>IFERROR(__xludf.DUMMYFUNCTION("GOOGLETRANSLATE(A19004, ""en"", ""mt"")"),"Min għen lil Wesley bl-ordna ta 'Whatcoat u Vasey bħala Presbyters?")</f>
        <v>Min għen lil Wesley bl-ordna ta 'Whatcoat u Vasey bħala Presbyters?</v>
      </c>
    </row>
    <row r="19005" ht="15.75" customHeight="1">
      <c r="A19005" s="2" t="s">
        <v>19005</v>
      </c>
      <c r="B19005" s="2" t="str">
        <f>IFERROR(__xludf.DUMMYFUNCTION("GOOGLETRANSLATE(A19005, ""en"", ""mt"")"),"fix-xatt tal-lemin tal-Vistula, mill-fruntiera tal-Lvant ta 'Varsavja")</f>
        <v>fix-xatt tal-lemin tal-Vistula, mill-fruntiera tal-Lvant ta 'Varsavja</v>
      </c>
    </row>
    <row r="19006" ht="15.75" customHeight="1">
      <c r="A19006" s="2" t="s">
        <v>19006</v>
      </c>
      <c r="B19006" s="2" t="str">
        <f>IFERROR(__xludf.DUMMYFUNCTION("GOOGLETRANSLATE(A19006, ""en"", ""mt"")"),"Fil-Knisja ta ’Ġesù Kristu tal-Qaddisin tal-Aħħar Jum (Knisja LDS), l-għalliem huwa uffiċċju fis-saċerdozju Aaroniku, ġeneralment mogħti lil subien żgħar jew konvertiti riċenti, u għandu ftit komuni mal-arketip“ għalliem spiritwali ”. Ir-rwol ta '""għalli"&amp;"em spiritwali"" jista' jimtela minn ħafna individwi fil-knisja LDS, ħafna drabi ħabib ta 'fiduċja, li jista' jorganizza xi kariga, minn anzjan għall-isqof, jew l-ebda uffiċċju. L-enfasi fuq il-mentoring spiritwali fil-knisja LDS hija simili għal dik fit-t"&amp;"radizzjonijiet l-aktar ""baxxi"" tal-Protestantiżmu, b'enfasi aktar qawwija fuq ir-raġel u missier ta 'familja biex tipprovdi gwida spiritwali għall-familja kollha tiegħu, idealment fi Konsultazzjoni ma 'martu, anke jekk ir-raġel mhuwiex membru tal-knisja"&amp;" LDS, ibbażata fuq interpretatios ta' ċerti testi bibliċi li jxandru l-awtorità spiritwali tar-raġel fiż-żwieġ. Anki r-rappreżentanti tas-saċerdozju huma mistennija jiddifferixxu lill-missier tad-dar meta jkunu fid-dar tiegħu. Barra minn hekk, gwida spiri"&amp;"twali addizzjonali hija offruta minn dawk li għandhom l-uffiċċju tal-patrijarka, li suppost mill-qaddisin tal-aħħar jum jagħtu ċerti rigali tal-Ispirtu, bħall-abbiltà li jipprofetizzaw, lid-detenturi tiegħu. Din il-gwida hija ġeneralment offruta waqt ċeri"&amp;"monja msejħa l-barka patrijarkali.")</f>
        <v>Fil-Knisja ta ’Ġesù Kristu tal-Qaddisin tal-Aħħar Jum (Knisja LDS), l-għalliem huwa uffiċċju fis-saċerdozju Aaroniku, ġeneralment mogħti lil subien żgħar jew konvertiti riċenti, u għandu ftit komuni mal-arketip“ għalliem spiritwali ”. Ir-rwol ta '"għalliem spiritwali" jista' jimtela minn ħafna individwi fil-knisja LDS, ħafna drabi ħabib ta 'fiduċja, li jista' jorganizza xi kariga, minn anzjan għall-isqof, jew l-ebda uffiċċju. L-enfasi fuq il-mentoring spiritwali fil-knisja LDS hija simili għal dik fit-tradizzjonijiet l-aktar "baxxi" tal-Protestantiżmu, b'enfasi aktar qawwija fuq ir-raġel u missier ta 'familja biex tipprovdi gwida spiritwali għall-familja kollha tiegħu, idealment fi Konsultazzjoni ma 'martu, anke jekk ir-raġel mhuwiex membru tal-knisja LDS, ibbażata fuq interpretatios ta' ċerti testi bibliċi li jxandru l-awtorità spiritwali tar-raġel fiż-żwieġ. Anki r-rappreżentanti tas-saċerdozju huma mistennija jiddifferixxu lill-missier tad-dar meta jkunu fid-dar tiegħu. Barra minn hekk, gwida spiritwali addizzjonali hija offruta minn dawk li għandhom l-uffiċċju tal-patrijarka, li suppost mill-qaddisin tal-aħħar jum jagħtu ċerti rigali tal-Ispirtu, bħall-abbiltà li jipprofetizzaw, lid-detenturi tiegħu. Din il-gwida hija ġeneralment offruta waqt ċerimonja msejħa l-barka patrijarkali.</v>
      </c>
    </row>
    <row r="19007" ht="15.75" customHeight="1">
      <c r="A19007" s="2" t="s">
        <v>19007</v>
      </c>
      <c r="B19007" s="2" t="str">
        <f>IFERROR(__xludf.DUMMYFUNCTION("GOOGLETRANSLATE(A19007, ""en"", ""mt"")"),"L-IPCC ma jwettaqx riċerka u lanqas ma jissorvelja d-dejta relatata mal-klima. L-awturi ewlenin tar-rapporti tal-IPCC jivvalutaw l-informazzjoni disponibbli dwar il-bidla fil-klima bbażata fuq sorsi ppubblikati. Skond il-linji gwida tal-IPCC, l-awturi għa"&amp;"ndhom jagħtu prijorità lil sorsi riveduti mill-pari. L-awturi jistgħu jirreferu għal sorsi mhux riveduti mhux mill-peer (il- ""letteratura griża""), sakemm ikunu ta 'kwalità suffiċjenti. Eżempji ta 'sorsi mhux riveduti mhux mill-peer jinkludu riżultati ta"&amp;"l-mudell, rapporti minn aġenziji tal-gvern u organizzazzjonijiet mhux governattivi, u ġurnali tal-industrija. Kull rapport tal-IPCC sussegwenti jinnota oqsma fejn ix-xjenza tjiebet mir-rapport preċedenti u tinnota wkoll oqsma fejn hija meħtieġa aktar riċe"&amp;"rka.")</f>
        <v>L-IPCC ma jwettaqx riċerka u lanqas ma jissorvelja d-dejta relatata mal-klima. L-awturi ewlenin tar-rapporti tal-IPCC jivvalutaw l-informazzjoni disponibbli dwar il-bidla fil-klima bbażata fuq sorsi ppubblikati. Skond il-linji gwida tal-IPCC, l-awturi għandhom jagħtu prijorità lil sorsi riveduti mill-pari. L-awturi jistgħu jirreferu għal sorsi mhux riveduti mhux mill-peer (il- "letteratura griża"), sakemm ikunu ta 'kwalità suffiċjenti. Eżempji ta 'sorsi mhux riveduti mhux mill-peer jinkludu riżultati tal-mudell, rapporti minn aġenziji tal-gvern u organizzazzjonijiet mhux governattivi, u ġurnali tal-industrija. Kull rapport tal-IPCC sussegwenti jinnota oqsma fejn ix-xjenza tjiebet mir-rapport preċedenti u tinnota wkoll oqsma fejn hija meħtieġa aktar riċerka.</v>
      </c>
    </row>
    <row r="19008" ht="15.75" customHeight="1">
      <c r="A19008" s="2" t="s">
        <v>19008</v>
      </c>
      <c r="B19008" s="2" t="str">
        <f>IFERROR(__xludf.DUMMYFUNCTION("GOOGLETRANSLATE(A19008, ""en"", ""mt"")"),"X'tip ta 'netwerk kien ABC meta beda l-ewwel?")</f>
        <v>X'tip ta 'netwerk kien ABC meta beda l-ewwel?</v>
      </c>
    </row>
    <row r="19009" ht="15.75" customHeight="1">
      <c r="A19009" s="2" t="s">
        <v>19009</v>
      </c>
      <c r="B19009" s="2" t="str">
        <f>IFERROR(__xludf.DUMMYFUNCTION("GOOGLETRANSLATE(A19009, ""en"", ""mt"")"),"Xi elementi tal-fratellanza, għalkemm forsi kontra l-ordnijiet, kienu jinvolvu ruħhom fi vjolenza kontra l-gvern, u l-fundatur tiegħu Al-Banna ġie maqtul fl-1949 bħala ritaljazzjoni għall-qtil tal-premier tal-Eġittu Mahmud Fami Naqrashi tliet xhur qabel. "&amp;"Il-fratellanza sofriet repressjoni perjodika fl-Eġittu u ġiet ipprojbita diversi drabi, fl-1948 u bosta snin wara wara konfronti mal-president Eġizzjan Gamal Abdul Nasser, li ħabs eluf ta ’membri għal bosta snin.")</f>
        <v>Xi elementi tal-fratellanza, għalkemm forsi kontra l-ordnijiet, kienu jinvolvu ruħhom fi vjolenza kontra l-gvern, u l-fundatur tiegħu Al-Banna ġie maqtul fl-1949 bħala ritaljazzjoni għall-qtil tal-premier tal-Eġittu Mahmud Fami Naqrashi tliet xhur qabel. Il-fratellanza sofriet repressjoni perjodika fl-Eġittu u ġiet ipprojbita diversi drabi, fl-1948 u bosta snin wara wara konfronti mal-president Eġizzjan Gamal Abdul Nasser, li ħabs eluf ta ’membri għal bosta snin.</v>
      </c>
    </row>
    <row r="19010" ht="15.75" customHeight="1">
      <c r="A19010" s="2" t="s">
        <v>19010</v>
      </c>
      <c r="B19010" s="2" t="str">
        <f>IFERROR(__xludf.DUMMYFUNCTION("GOOGLETRANSLATE(A19010, ""en"", ""mt"")"),"Fl-1271, Kublai Khan impona l-isem Great Yuan (Ċiniż: 大 大; pinyin: dà yuán; wade - giles: ta-yüan), li stabbilixxa d-dinastija Yuan. ""Dà Yuán"" (大 元) hija mis-sentenza ""大 哉 乾元"" (Dà Zai Qián Yuán / ""Kbira hija Qián, il-Primal"") fil-kummentarji dwar it"&amp;"-taqsima klassika tal-bidliet (i ching) rigward Qián (乾) - Il-kontroparti bil-lingwa Mongoljana kienet Dai Ön Ulus, mogħtija wkoll bħala Ikh Yuan üls jew Yekhe Yuan Ulus. Fil-Mongoljan, Dai Ön (wan kbir) ħafna drabi jintuża flimkien mal- ""Yeke Mongghul U"&amp;"lus"" (Lit. ""Great Mongol Stat""), li jirriżulta f'Dai Ön Yeke Mongghul Ulus (Script Mongoljan :), li jfisser ""Yuan Great Mongol Stat"". Id-dinastija Yuan hija magħrufa wkoll bħala d- ""Dynasty Mongol"" jew ""Dynasty Mongol taċ-Ċina"", simili għall-ismi"&amp;"jiet ""Dynasty Manchu"" jew ""Dynasty Manchu taċ-Ċina"" għad-dinastija Qing. Barra minn hekk, il-Yuan xi kultant huwa magħruf bħala l- ""Imperu tal-Khan il-Kbir"" jew ""Khanate tal-Khan il-Kbir"", li partikolarment deher fuq xi mapep tal-wan, peress li l-"&amp;"imperaturi tal-wan kellhom it-titlu nominali ta 'Khan il-Kbir. Madankollu, iż-żewġ termini jistgħu jirreferu wkoll għall-Khanate fi ħdan l-imperu Mongoljan immexxi direttament mill-Khans il-Kbir qabel l-istabbiliment attwali tad-Dynasty Yuan minn Kublai K"&amp;"han fl-1271.")</f>
        <v>Fl-1271, Kublai Khan impona l-isem Great Yuan (Ċiniż: 大 大; pinyin: dà yuán; wade - giles: ta-yüan), li stabbilixxa d-dinastija Yuan. "Dà Yuán" (大 元) hija mis-sentenza "大 哉 乾元" (Dà Zai Qián Yuán / "Kbira hija Qián, il-Primal") fil-kummentarji dwar it-taqsima klassika tal-bidliet (i ching) rigward Qián (乾) - Il-kontroparti bil-lingwa Mongoljana kienet Dai Ön Ulus, mogħtija wkoll bħala Ikh Yuan üls jew Yekhe Yuan Ulus. Fil-Mongoljan, Dai Ön (wan kbir) ħafna drabi jintuża flimkien mal- "Yeke Mongghul Ulus" (Lit. "Great Mongol Stat"), li jirriżulta f'Dai Ön Yeke Mongghul Ulus (Script Mongoljan :), li jfisser "Yuan Great Mongol Stat". Id-dinastija Yuan hija magħrufa wkoll bħala d- "Dynasty Mongol" jew "Dynasty Mongol taċ-Ċina", simili għall-ismijiet "Dynasty Manchu" jew "Dynasty Manchu taċ-Ċina" għad-dinastija Qing. Barra minn hekk, il-Yuan xi kultant huwa magħruf bħala l- "Imperu tal-Khan il-Kbir" jew "Khanate tal-Khan il-Kbir", li partikolarment deher fuq xi mapep tal-wan, peress li l-imperaturi tal-wan kellhom it-titlu nominali ta 'Khan il-Kbir. Madankollu, iż-żewġ termini jistgħu jirreferu wkoll għall-Khanate fi ħdan l-imperu Mongoljan immexxi direttament mill-Khans il-Kbir qabel l-istabbiliment attwali tad-Dynasty Yuan minn Kublai Khan fl-1271.</v>
      </c>
    </row>
    <row r="19011" ht="15.75" customHeight="1">
      <c r="A19011" s="2" t="s">
        <v>19011</v>
      </c>
      <c r="B19011" s="2" t="str">
        <f>IFERROR(__xludf.DUMMYFUNCTION("GOOGLETRANSLATE(A19011, ""en"", ""mt"")"),"Ingilterra")</f>
        <v>Ingilterra</v>
      </c>
    </row>
    <row r="19012" ht="15.75" customHeight="1">
      <c r="A19012" s="2" t="s">
        <v>19012</v>
      </c>
      <c r="B19012" s="2" t="str">
        <f>IFERROR(__xludf.DUMMYFUNCTION("GOOGLETRANSLATE(A19012, ""en"", ""mt"")"),"""Imperjalizmu informali")</f>
        <v>"Imperjalizmu informali</v>
      </c>
    </row>
    <row r="19013" ht="15.75" customHeight="1">
      <c r="A19013" s="2" t="s">
        <v>19013</v>
      </c>
      <c r="B19013" s="2" t="str">
        <f>IFERROR(__xludf.DUMMYFUNCTION("GOOGLETRANSLATE(A19013, ""en"", ""mt"")"),"X'inhu sottożin?")</f>
        <v>X'inhu sottożin?</v>
      </c>
    </row>
    <row r="19014" ht="15.75" customHeight="1">
      <c r="A19014" s="2" t="s">
        <v>19014</v>
      </c>
      <c r="B19014" s="2" t="str">
        <f>IFERROR(__xludf.DUMMYFUNCTION("GOOGLETRANSLATE(A19014, ""en"", ""mt"")"),"kastig korporali")</f>
        <v>kastig korporali</v>
      </c>
    </row>
    <row r="19015" ht="15.75" customHeight="1">
      <c r="A19015" s="2" t="s">
        <v>19015</v>
      </c>
      <c r="B19015" s="2" t="str">
        <f>IFERROR(__xludf.DUMMYFUNCTION("GOOGLETRANSLATE(A19015, ""en"", ""mt"")"),"Artrite, u infezzjoni fil-widna")</f>
        <v>Artrite, u infezzjoni fil-widna</v>
      </c>
    </row>
    <row r="19016" ht="15.75" customHeight="1">
      <c r="A19016" s="2" t="s">
        <v>19016</v>
      </c>
      <c r="B19016" s="2" t="str">
        <f>IFERROR(__xludf.DUMMYFUNCTION("GOOGLETRANSLATE(A19016, ""en"", ""mt"")"),"X'beda jibdel il-mod kif jgħallmu l-għalliema fil-klassi, ġeneralment?")</f>
        <v>X'beda jibdel il-mod kif jgħallmu l-għalliema fil-klassi, ġeneralment?</v>
      </c>
    </row>
    <row r="19017" ht="15.75" customHeight="1">
      <c r="A19017" s="2" t="s">
        <v>19017</v>
      </c>
      <c r="B19017" s="2" t="str">
        <f>IFERROR(__xludf.DUMMYFUNCTION("GOOGLETRANSLATE(A19017, ""en"", ""mt"")"),"il-minorenni huma kapaċi riproduzzjoni")</f>
        <v>il-minorenni huma kapaċi riproduzzjoni</v>
      </c>
    </row>
    <row r="19018" ht="15.75" customHeight="1">
      <c r="A19018" s="2" t="s">
        <v>19018</v>
      </c>
      <c r="B19018" s="2" t="str">
        <f>IFERROR(__xludf.DUMMYFUNCTION("GOOGLETRANSLATE(A19018, ""en"", ""mt"")"),"F'din l-aħħar konnessjoni, l-isem jista 'jissuġġerixxi l-inferenza derogatorja ta' qima superstizzjuża; Il-fancy popolari ddeċidiet li Huguon, il-bieb tar-Re Hugo, kien haunted mill-fatat ta 'Le Roi Huguet (meqjus mill-Kattoliċi Rumani bħala Scoundrel inf"&amp;"ami) u spirti oħra, li minflok kienu fil-Purgatorju ġew lura biex jagħmlu ħsara lill-għixien bil-lejl. Kien f'dan il-post fi tours li l-prétendus réformés (""dawn allegatament"" riformati "") inġabru b'mod abitwali bil-lejl, kemm għal skopijiet politiċi, "&amp;"kif ukoll għat-talb u l-kant tas-salmi. Spjegazzjonijiet bħal dawn ġew rintraċċati għall-kontemporanja, Reguier de la Plancha (d. 1560), li fid-de l'esta de France offra l-kont li ġej dwar l-oriġini tal-isem, kif ikkwotat mill-Cape kull xahar:")</f>
        <v>F'din l-aħħar konnessjoni, l-isem jista 'jissuġġerixxi l-inferenza derogatorja ta' qima superstizzjuża; Il-fancy popolari ddeċidiet li Huguon, il-bieb tar-Re Hugo, kien haunted mill-fatat ta 'Le Roi Huguet (meqjus mill-Kattoliċi Rumani bħala Scoundrel infami) u spirti oħra, li minflok kienu fil-Purgatorju ġew lura biex jagħmlu ħsara lill-għixien bil-lejl. Kien f'dan il-post fi tours li l-prétendus réformés ("dawn allegatament" riformati ") inġabru b'mod abitwali bil-lejl, kemm għal skopijiet politiċi, kif ukoll għat-talb u l-kant tas-salmi. Spjegazzjonijiet bħal dawn ġew rintraċċati għall-kontemporanja, Reguier de la Plancha (d. 1560), li fid-de l'esta de France offra l-kont li ġej dwar l-oriġini tal-isem, kif ikkwotat mill-Cape kull xahar:</v>
      </c>
    </row>
    <row r="19019" ht="15.75" customHeight="1">
      <c r="A19019" s="2" t="s">
        <v>19019</v>
      </c>
      <c r="B19019" s="2" t="str">
        <f>IFERROR(__xludf.DUMMYFUNCTION("GOOGLETRANSLATE(A19019, ""en"", ""mt"")"),"Kattoliċiżmu")</f>
        <v>Kattoliċiżmu</v>
      </c>
    </row>
    <row r="19020" ht="15.75" customHeight="1">
      <c r="A19020" s="2" t="s">
        <v>19020</v>
      </c>
      <c r="B19020" s="2" t="str">
        <f>IFERROR(__xludf.DUMMYFUNCTION("GOOGLETRANSLATE(A19020, ""en"", ""mt"")"),"ottimizzazzjoni ta 'trattament ta' mediċina")</f>
        <v>ottimizzazzjoni ta 'trattament ta' mediċina</v>
      </c>
    </row>
    <row r="19021" ht="15.75" customHeight="1">
      <c r="A19021" s="2" t="s">
        <v>19021</v>
      </c>
      <c r="B19021" s="2" t="str">
        <f>IFERROR(__xludf.DUMMYFUNCTION("GOOGLETRANSLATE(A19021, ""en"", ""mt"")"),"Fejn iltaqa 'l-kongregazzjoni ta' San Ġorġ inizjalment fl-1767?")</f>
        <v>Fejn iltaqa 'l-kongregazzjoni ta' San Ġorġ inizjalment fl-1767?</v>
      </c>
    </row>
    <row r="19022" ht="15.75" customHeight="1">
      <c r="A19022" s="2" t="s">
        <v>19022</v>
      </c>
      <c r="B19022" s="2" t="str">
        <f>IFERROR(__xludf.DUMMYFUNCTION("GOOGLETRANSLATE(A19022, ""en"", ""mt"")"),"Sentenzi")</f>
        <v>Sentenzi</v>
      </c>
    </row>
    <row r="19023" ht="15.75" customHeight="1">
      <c r="A19023" s="2" t="s">
        <v>19023</v>
      </c>
      <c r="B19023" s="2" t="str">
        <f>IFERROR(__xludf.DUMMYFUNCTION("GOOGLETRANSLATE(A19023, ""en"", ""mt"")"),"pressjoni biex tnaqqas l-ispejjeż u timmassimizza l-profitti")</f>
        <v>pressjoni biex tnaqqas l-ispejjeż u timmassimizza l-profitti</v>
      </c>
    </row>
    <row r="19024" ht="15.75" customHeight="1">
      <c r="A19024" s="2" t="s">
        <v>19024</v>
      </c>
      <c r="B19024" s="2" t="str">
        <f>IFERROR(__xludf.DUMMYFUNCTION("GOOGLETRANSLATE(A19024, ""en"", ""mt"")"),"Fatturi ambjentali bħall-kulur ħafif u l-intensità")</f>
        <v>Fatturi ambjentali bħall-kulur ħafif u l-intensità</v>
      </c>
    </row>
    <row r="19025" ht="15.75" customHeight="1">
      <c r="A19025" s="2" t="s">
        <v>19025</v>
      </c>
      <c r="B19025" s="2" t="str">
        <f>IFERROR(__xludf.DUMMYFUNCTION("GOOGLETRANSLATE(A19025, ""en"", ""mt"")"),"fin-Nofsinhar taċ-Ċina")</f>
        <v>fin-Nofsinhar taċ-Ċina</v>
      </c>
    </row>
    <row r="19026" ht="15.75" customHeight="1">
      <c r="A19026" s="2" t="s">
        <v>19026</v>
      </c>
      <c r="B19026" s="2" t="str">
        <f>IFERROR(__xludf.DUMMYFUNCTION("GOOGLETRANSLATE(A19026, ""en"", ""mt"")"),"Elettroni mhux imqabbda")</f>
        <v>Elettroni mhux imqabbda</v>
      </c>
    </row>
    <row r="19027" ht="15.75" customHeight="1">
      <c r="A19027" s="2" t="s">
        <v>19027</v>
      </c>
      <c r="B19027" s="2" t="str">
        <f>IFERROR(__xludf.DUMMYFUNCTION("GOOGLETRANSLATE(A19027, ""en"", ""mt"")"),"Il-qawwa ta 'kull parti fil-Parlament")</f>
        <v>Il-qawwa ta 'kull parti fil-Parlament</v>
      </c>
    </row>
    <row r="19028" ht="15.75" customHeight="1">
      <c r="A19028" s="2" t="s">
        <v>19028</v>
      </c>
      <c r="B19028" s="2" t="str">
        <f>IFERROR(__xludf.DUMMYFUNCTION("GOOGLETRANSLATE(A19028, ""en"", ""mt"")"),"kwantitajiet skalari indikati")</f>
        <v>kwantitajiet skalari indikati</v>
      </c>
    </row>
    <row r="19029" ht="15.75" customHeight="1">
      <c r="A19029" s="2" t="s">
        <v>19029</v>
      </c>
      <c r="B19029" s="2" t="str">
        <f>IFERROR(__xludf.DUMMYFUNCTION("GOOGLETRANSLATE(A19029, ""en"", ""mt"")"),"X’għamel Guo Shoujing għall-kalendarji?")</f>
        <v>X’għamel Guo Shoujing għall-kalendarji?</v>
      </c>
    </row>
    <row r="19030" ht="15.75" customHeight="1">
      <c r="A19030" s="2" t="s">
        <v>19030</v>
      </c>
      <c r="B19030" s="2" t="str">
        <f>IFERROR(__xludf.DUMMYFUNCTION("GOOGLETRANSLATE(A19030, ""en"", ""mt"")"),"Depopolazzjoni serja u bidla permanenti kemm fl-istrutturi ekonomiċi kif ukoll soċjali")</f>
        <v>Depopolazzjoni serja u bidla permanenti kemm fl-istrutturi ekonomiċi kif ukoll soċjali</v>
      </c>
    </row>
    <row r="19031" ht="15.75" customHeight="1">
      <c r="A19031" s="2" t="s">
        <v>19031</v>
      </c>
      <c r="B19031" s="2" t="str">
        <f>IFERROR(__xludf.DUMMYFUNCTION("GOOGLETRANSLATE(A19031, ""en"", ""mt"")"),"separatament mit-tobba")</f>
        <v>separatament mit-tobba</v>
      </c>
    </row>
    <row r="19032" ht="15.75" customHeight="1">
      <c r="A19032" s="2" t="s">
        <v>19032</v>
      </c>
      <c r="B19032" s="2" t="str">
        <f>IFERROR(__xludf.DUMMYFUNCTION("GOOGLETRANSLATE(A19032, ""en"", ""mt"")"),"Il-kloroplasti jistgħu jservu bħala sensuri ċellulari. Wara li jindunaw l-istress f'ċellula, li jista 'jkun minħabba patoġen, il-kloroplasti jibdew jipproduċu molekuli bħall-aċidu saliċiliku, l-aċidu ġiżmoniku, l-ossidu nitriku u speċi reattivi ta' ossiġe"&amp;"nu li jistgħu jservu bħala sinjali tad-difiża. Bħala sinjali ċellulari, speċi reattivi ta 'ossiġnu huma molekuli instabbli, u għalhekk probabbilment ma jħallux il-kloroplast, iżda minflok jgħaddu s-sinjal tagħhom għal molekula tat-tieni messaġġier mhux ma"&amp;"għrufa. Dawn il-molekuli kollha jibdew sinjalazzjoni retrograda - sinjali mill-kloroplast li jirregolaw l-espressjoni tal-ġene fin-nukleu.")</f>
        <v>Il-kloroplasti jistgħu jservu bħala sensuri ċellulari. Wara li jindunaw l-istress f'ċellula, li jista 'jkun minħabba patoġen, il-kloroplasti jibdew jipproduċu molekuli bħall-aċidu saliċiliku, l-aċidu ġiżmoniku, l-ossidu nitriku u speċi reattivi ta' ossiġenu li jistgħu jservu bħala sinjali tad-difiża. Bħala sinjali ċellulari, speċi reattivi ta 'ossiġnu huma molekuli instabbli, u għalhekk probabbilment ma jħallux il-kloroplast, iżda minflok jgħaddu s-sinjal tagħhom għal molekula tat-tieni messaġġier mhux magħrufa. Dawn il-molekuli kollha jibdew sinjalazzjoni retrograda - sinjali mill-kloroplast li jirregolaw l-espressjoni tal-ġene fin-nukleu.</v>
      </c>
    </row>
    <row r="19033" ht="15.75" customHeight="1">
      <c r="A19033" s="2" t="s">
        <v>19033</v>
      </c>
      <c r="B19033" s="2" t="str">
        <f>IFERROR(__xludf.DUMMYFUNCTION("GOOGLETRANSLATE(A19033, ""en"", ""mt"")"),"Ħażiż Spanjol")</f>
        <v>Ħażiż Spanjol</v>
      </c>
    </row>
    <row r="19034" ht="15.75" customHeight="1">
      <c r="A19034" s="2" t="s">
        <v>19034</v>
      </c>
      <c r="B19034" s="2" t="str">
        <f>IFERROR(__xludf.DUMMYFUNCTION("GOOGLETRANSLATE(A19034, ""en"", ""mt"")"),"Is-sid tipikament jagħti kuntratt lil min?")</f>
        <v>Is-sid tipikament jagħti kuntratt lil min?</v>
      </c>
    </row>
    <row r="19035" ht="15.75" customHeight="1">
      <c r="A19035" s="2" t="s">
        <v>19035</v>
      </c>
      <c r="B19035" s="2" t="str">
        <f>IFERROR(__xludf.DUMMYFUNCTION("GOOGLETRANSLATE(A19035, ""en"", ""mt"")"),"X'tip ta 'qawwa ġiet murija fil-Fiera Dinjija minn Westinghouse u Tesla?")</f>
        <v>X'tip ta 'qawwa ġiet murija fil-Fiera Dinjija minn Westinghouse u Tesla?</v>
      </c>
    </row>
    <row r="19036" ht="15.75" customHeight="1">
      <c r="A19036" s="2" t="s">
        <v>19036</v>
      </c>
      <c r="B19036" s="2" t="str">
        <f>IFERROR(__xludf.DUMMYFUNCTION("GOOGLETRANSLATE(A19036, ""en"", ""mt"")"),"Ir-rwol ewlieni tal-kloroplasti huwa li tmexxi fotosintesi, fejn il-klorofilla tal-pigment fotosintetiku taqbad l-enerġija mix-xemx u tikkonvertiha u taħżenha fil-molekuli tal-ħażna tal-enerġija ATP u NADPH waqt li tillibera l-ossiġnu mill-ilma. Imbagħad "&amp;"jużaw l-ATP u l-NADPH biex jagħmlu molekuli organiċi mid-dijossidu tal-karbonju fi proċess magħruf bħala ċ-ċiklu ta 'Calvin. Il-kloroplasti jwettqu numru ta 'funzjonijiet oħra, inklużi s-sinteżi tal-aċidu xaħmi, ħafna sinteżi ta' aċidu amminiku, u r-rispo"&amp;"ns immuni fil-pjanti. In-numru ta 'kloroplasti għal kull ċellula jvarja minn 1 f'alka sa 100 f'impjanti bħal Arabidopsis u qamħ.")</f>
        <v>Ir-rwol ewlieni tal-kloroplasti huwa li tmexxi fotosintesi, fejn il-klorofilla tal-pigment fotosintetiku taqbad l-enerġija mix-xemx u tikkonvertiha u taħżenha fil-molekuli tal-ħażna tal-enerġija ATP u NADPH waqt li tillibera l-ossiġnu mill-ilma. Imbagħad jużaw l-ATP u l-NADPH biex jagħmlu molekuli organiċi mid-dijossidu tal-karbonju fi proċess magħruf bħala ċ-ċiklu ta 'Calvin. Il-kloroplasti jwettqu numru ta 'funzjonijiet oħra, inklużi s-sinteżi tal-aċidu xaħmi, ħafna sinteżi ta' aċidu amminiku, u r-rispons immuni fil-pjanti. In-numru ta 'kloroplasti għal kull ċellula jvarja minn 1 f'alka sa 100 f'impjanti bħal Arabidopsis u qamħ.</v>
      </c>
    </row>
    <row r="19037" ht="15.75" customHeight="1">
      <c r="A19037" s="2" t="s">
        <v>19037</v>
      </c>
      <c r="B19037" s="2" t="str">
        <f>IFERROR(__xludf.DUMMYFUNCTION("GOOGLETRANSLATE(A19037, ""en"", ""mt"")"),"il-membrana oriġinali taċ-ċellula tal-alka ħamra endosymbiont")</f>
        <v>il-membrana oriġinali taċ-ċellula tal-alka ħamra endosymbiont</v>
      </c>
    </row>
    <row r="19038" ht="15.75" customHeight="1">
      <c r="A19038" s="2" t="s">
        <v>19038</v>
      </c>
      <c r="B19038" s="2" t="str">
        <f>IFERROR(__xludf.DUMMYFUNCTION("GOOGLETRANSLATE(A19038, ""en"", ""mt"")"),"Liema gwerra tal-Istati Uniti għandha ammont kbir ta 'diżubbidjenti ċivili?")</f>
        <v>Liema gwerra tal-Istati Uniti għandha ammont kbir ta 'diżubbidjenti ċivili?</v>
      </c>
    </row>
    <row r="19039" ht="15.75" customHeight="1">
      <c r="A19039" s="2" t="s">
        <v>19039</v>
      </c>
      <c r="B19039" s="2" t="str">
        <f>IFERROR(__xludf.DUMMYFUNCTION("GOOGLETRANSLATE(A19039, ""en"", ""mt"")"),"Magna tat-Turing")</f>
        <v>Magna tat-Turing</v>
      </c>
    </row>
    <row r="19040" ht="15.75" customHeight="1">
      <c r="A19040" s="2" t="s">
        <v>19040</v>
      </c>
      <c r="B19040" s="2" t="str">
        <f>IFERROR(__xludf.DUMMYFUNCTION("GOOGLETRANSLATE(A19040, ""en"", ""mt"")"),"X'jista 'jgħin għalliem fl-organizzazzjoni?")</f>
        <v>X'jista 'jgħin għalliem fl-organizzazzjoni?</v>
      </c>
    </row>
    <row r="19041" ht="15.75" customHeight="1">
      <c r="A19041" s="2" t="s">
        <v>19041</v>
      </c>
      <c r="B19041" s="2" t="str">
        <f>IFERROR(__xludf.DUMMYFUNCTION("GOOGLETRANSLATE(A19041, ""en"", ""mt"")"),"Kważi l-impjanti tal-enerġija nukleari kollha jiġġeneraw l-elettriku billi jsaħħnu l-ilma biex jipprovdu fwar li jmexxi turbina konnessa ma 'ġeneratur elettriku. Vapuri u sottomarini li jaħdmu bl-enerġija nukleari jew jużaw turbina tal-fwar direttament għ"&amp;"all-propulsjoni ewlenija, bil-ġeneraturi jipprovdu enerġija awżiljarja, jew inkella jimpjegaw trasmissjoni turbo-elettrika, fejn il-fwar isuq ġeneratur turbo stabbilit bil-propulsjoni pprovduta minn muturi elettriċi. Numru limitat ta 'lokomottivi tal-ferr"&amp;"ovija tat-turbina bil-fwar ġew manifatturati. Xi lokomottivi li ma jikkondensawx li jmexxu dirett iltaqgħu ma 'xi suċċess għal operazzjonijiet ta' merkanzija ta 'ġibda twila fl-Iżvezja u għal xogħol ta' passiġġieri espressi fil-Gran Brittanja, iżda ma kin"&amp;"ux ripetuti. X'imkien ieħor, l-aktar fl-Istati Uniti, disinji aktar avvanzati bi trasmissjoni elettrika ġew mibnija b'mod sperimentali, iżda mhux riprodotti. Instab li t-turbini tal-fwar ma kinux idealment adattati għall-ambjent tal-ferrovija u dawn il-lo"&amp;"komottivi naqsu milli jneħħu l-unità tal-fwar reċiprokanti klassiċi bil-mod li għamlu t-trazzjoni tad-diżil modern u l-elettriku. [Ċitazzjoni meħtieġa]")</f>
        <v>Kważi l-impjanti tal-enerġija nukleari kollha jiġġeneraw l-elettriku billi jsaħħnu l-ilma biex jipprovdu fwar li jmexxi turbina konnessa ma 'ġeneratur elettriku. Vapuri u sottomarini li jaħdmu bl-enerġija nukleari jew jużaw turbina tal-fwar direttament għall-propulsjoni ewlenija, bil-ġeneraturi jipprovdu enerġija awżiljarja, jew inkella jimpjegaw trasmissjoni turbo-elettrika, fejn il-fwar isuq ġeneratur turbo stabbilit bil-propulsjoni pprovduta minn muturi elettriċi. Numru limitat ta 'lokomottivi tal-ferrovija tat-turbina bil-fwar ġew manifatturati. Xi lokomottivi li ma jikkondensawx li jmexxu dirett iltaqgħu ma 'xi suċċess għal operazzjonijiet ta' merkanzija ta 'ġibda twila fl-Iżvezja u għal xogħol ta' passiġġieri espressi fil-Gran Brittanja, iżda ma kinux ripetuti. X'imkien ieħor, l-aktar fl-Istati Uniti, disinji aktar avvanzati bi trasmissjoni elettrika ġew mibnija b'mod sperimentali, iżda mhux riprodotti. Instab li t-turbini tal-fwar ma kinux idealment adattati għall-ambjent tal-ferrovija u dawn il-lokomottivi naqsu milli jneħħu l-unità tal-fwar reċiprokanti klassiċi bil-mod li għamlu t-trazzjoni tad-diżil modern u l-elettriku. [Ċitazzjoni meħtieġa]</v>
      </c>
    </row>
    <row r="19042" ht="15.75" customHeight="1">
      <c r="A19042" s="2" t="s">
        <v>19042</v>
      </c>
      <c r="B19042" s="2" t="str">
        <f>IFERROR(__xludf.DUMMYFUNCTION("GOOGLETRANSLATE(A19042, ""en"", ""mt"")"),"Liema żewġ nisa kienu qed jisfidaw il-Fargħun fl-istorja mill-Ktieb tal-Eżodu?")</f>
        <v>Liema żewġ nisa kienu qed jisfidaw il-Fargħun fl-istorja mill-Ktieb tal-Eżodu?</v>
      </c>
    </row>
    <row r="19043" ht="15.75" customHeight="1">
      <c r="A19043" s="2" t="s">
        <v>19043</v>
      </c>
      <c r="B19043" s="2" t="str">
        <f>IFERROR(__xludf.DUMMYFUNCTION("GOOGLETRANSLATE(A19043, ""en"", ""mt"")"),"X'inhu l-isem tal-iskola tal-ġurnata privata għall-istudenti tal-K-12 li l-università tmexxi?")</f>
        <v>X'inhu l-isem tal-iskola tal-ġurnata privata għall-istudenti tal-K-12 li l-università tmexxi?</v>
      </c>
    </row>
    <row r="19044" ht="15.75" customHeight="1">
      <c r="A19044" s="2" t="s">
        <v>19044</v>
      </c>
      <c r="B19044" s="2" t="str">
        <f>IFERROR(__xludf.DUMMYFUNCTION("GOOGLETRANSLATE(A19044, ""en"", ""mt"")"),"X'għandha ekwivalenza bejn il-massa u l-ispazju-ħin?")</f>
        <v>X'għandha ekwivalenza bejn il-massa u l-ispazju-ħin?</v>
      </c>
    </row>
    <row r="19045" ht="15.75" customHeight="1">
      <c r="A19045" s="2" t="s">
        <v>19045</v>
      </c>
      <c r="B19045" s="2" t="str">
        <f>IFERROR(__xludf.DUMMYFUNCTION("GOOGLETRANSLATE(A19045, ""en"", ""mt"")"),"Relatività Ġenerali")</f>
        <v>Relatività Ġenerali</v>
      </c>
    </row>
    <row r="19046" ht="15.75" customHeight="1">
      <c r="A19046" s="2" t="s">
        <v>19046</v>
      </c>
      <c r="B19046" s="2" t="str">
        <f>IFERROR(__xludf.DUMMYFUNCTION("GOOGLETRANSLATE(A19046, ""en"", ""mt"")"),"X'inhuma Los Angeles, Orange, San Diego, San Bernardino u Riverside?")</f>
        <v>X'inhuma Los Angeles, Orange, San Diego, San Bernardino u Riverside?</v>
      </c>
    </row>
    <row r="19047" ht="15.75" customHeight="1">
      <c r="A19047" s="2" t="s">
        <v>19047</v>
      </c>
      <c r="B19047" s="2" t="str">
        <f>IFERROR(__xludf.DUMMYFUNCTION("GOOGLETRANSLATE(A19047, ""en"", ""mt"")"),"Essay tal-kastig")</f>
        <v>Essay tal-kastig</v>
      </c>
    </row>
    <row r="19048" ht="15.75" customHeight="1">
      <c r="A19048" s="2" t="s">
        <v>19048</v>
      </c>
      <c r="B19048" s="2" t="str">
        <f>IFERROR(__xludf.DUMMYFUNCTION("GOOGLETRANSLATE(A19048, ""en"", ""mt"")"),"tnejn jew aktar")</f>
        <v>tnejn jew aktar</v>
      </c>
    </row>
    <row r="19049" ht="15.75" customHeight="1">
      <c r="A19049" s="2" t="s">
        <v>19049</v>
      </c>
      <c r="B19049" s="2" t="str">
        <f>IFERROR(__xludf.DUMMYFUNCTION("GOOGLETRANSLATE(A19049, ""en"", ""mt"")"),"X’ingħata bħala l-kawża tal-mewt?")</f>
        <v>X’ingħata bħala l-kawża tal-mewt?</v>
      </c>
    </row>
    <row r="19050" ht="15.75" customHeight="1">
      <c r="A19050" s="2" t="s">
        <v>19050</v>
      </c>
      <c r="B19050" s="2" t="str">
        <f>IFERROR(__xludf.DUMMYFUNCTION("GOOGLETRANSLATE(A19050, ""en"", ""mt"")"),"80 miljun aderent")</f>
        <v>80 miljun aderent</v>
      </c>
    </row>
    <row r="19051" ht="15.75" customHeight="1">
      <c r="A19051" s="2" t="s">
        <v>19051</v>
      </c>
      <c r="B19051" s="2" t="str">
        <f>IFERROR(__xludf.DUMMYFUNCTION("GOOGLETRANSLATE(A19051, ""en"", ""mt"")"),"Konferenza Ġenerali tal-1996 Il -")</f>
        <v>Konferenza Ġenerali tal-1996 Il -</v>
      </c>
    </row>
    <row r="19052" ht="15.75" customHeight="1">
      <c r="A19052" s="2" t="s">
        <v>19052</v>
      </c>
      <c r="B19052" s="2" t="str">
        <f>IFERROR(__xludf.DUMMYFUNCTION("GOOGLETRANSLATE(A19052, ""en"", ""mt"")"),"X'għandhom studji dwar l-inugwaljanza fid-dħul kultant sabu evidenza li tikkonferma?")</f>
        <v>X'għandhom studji dwar l-inugwaljanza fid-dħul kultant sabu evidenza li tikkonferma?</v>
      </c>
    </row>
    <row r="19053" ht="15.75" customHeight="1">
      <c r="A19053" s="2" t="s">
        <v>19053</v>
      </c>
      <c r="B19053" s="2" t="str">
        <f>IFERROR(__xludf.DUMMYFUNCTION("GOOGLETRANSLATE(A19053, ""en"", ""mt"")"),"Mediċina Musulmana")</f>
        <v>Mediċina Musulmana</v>
      </c>
    </row>
    <row r="19054" ht="15.75" customHeight="1">
      <c r="A19054" s="2" t="s">
        <v>19054</v>
      </c>
      <c r="B19054" s="2" t="str">
        <f>IFERROR(__xludf.DUMMYFUNCTION("GOOGLETRANSLATE(A19054, ""en"", ""mt"")"),"X'tip ta 'ċaħda tirriżulta f'reazzjoni immuni mnaqqsa u produzzjoni ta' antikorpi aktar baxxi?")</f>
        <v>X'tip ta 'ċaħda tirriżulta f'reazzjoni immuni mnaqqsa u produzzjoni ta' antikorpi aktar baxxi?</v>
      </c>
    </row>
    <row r="19055" ht="15.75" customHeight="1">
      <c r="A19055" s="2" t="s">
        <v>19055</v>
      </c>
      <c r="B19055" s="2" t="str">
        <f>IFERROR(__xludf.DUMMYFUNCTION("GOOGLETRANSLATE(A19055, ""en"", ""mt"")"),"kull stat")</f>
        <v>kull stat</v>
      </c>
    </row>
    <row r="19056" ht="15.75" customHeight="1">
      <c r="A19056" s="2" t="s">
        <v>19056</v>
      </c>
      <c r="B19056" s="2" t="str">
        <f>IFERROR(__xludf.DUMMYFUNCTION("GOOGLETRANSLATE(A19056, ""en"", ""mt"")"),"F'liema ħin miet Martin Luther?")</f>
        <v>F'liema ħin miet Martin Luther?</v>
      </c>
    </row>
    <row r="19057" ht="15.75" customHeight="1">
      <c r="A19057" s="2" t="s">
        <v>19057</v>
      </c>
      <c r="B19057" s="2" t="str">
        <f>IFERROR(__xludf.DUMMYFUNCTION("GOOGLETRANSLATE(A19057, ""en"", ""mt"")"),"żied il-prezz mitlub")</f>
        <v>żied il-prezz mitlub</v>
      </c>
    </row>
    <row r="19058" ht="15.75" customHeight="1">
      <c r="A19058" s="2" t="s">
        <v>19058</v>
      </c>
      <c r="B19058" s="2" t="str">
        <f>IFERROR(__xludf.DUMMYFUNCTION("GOOGLETRANSLATE(A19058, ""en"", ""mt"")"),"Ċidippid ctenophores għandhom korpi li huma ftit jew wisq tond, xi kultant kważi sferiċi u drabi oħra aktar ċilindriċi jew forma ta 'bajd; Il-kosta komuni ""gooseberry tal-baħar,"" Pleurobrachia, xi kultant għandha korp b'forma ta 'bajd bil-ħalq fit-tarf "&amp;"dejjaq, għalkemm xi individwi huma aktar uniformi tondi. Minn naħat opposti tal-ġisem testendi par ta 'tentakli twal u rqaq, kull wieħed miżmum f'għant li fih jista' jiġi rtirat. Xi speċi ta 'cydippids għandhom korpi li huma ċċattjati għal diversi estensj"&amp;"onijiet, sabiex ikunu usa' fil-pjan tat-tentakli.")</f>
        <v>Ċidippid ctenophores għandhom korpi li huma ftit jew wisq tond, xi kultant kważi sferiċi u drabi oħra aktar ċilindriċi jew forma ta 'bajd; Il-kosta komuni "gooseberry tal-baħar," Pleurobrachia, xi kultant għandha korp b'forma ta 'bajd bil-ħalq fit-tarf dejjaq, għalkemm xi individwi huma aktar uniformi tondi. Minn naħat opposti tal-ġisem testendi par ta 'tentakli twal u rqaq, kull wieħed miżmum f'għant li fih jista' jiġi rtirat. Xi speċi ta 'cydippids għandhom korpi li huma ċċattjati għal diversi estensjonijiet, sabiex ikunu usa' fil-pjan tat-tentakli.</v>
      </c>
    </row>
    <row r="19059" ht="15.75" customHeight="1">
      <c r="A19059" s="2" t="s">
        <v>19059</v>
      </c>
      <c r="B19059" s="2" t="str">
        <f>IFERROR(__xludf.DUMMYFUNCTION("GOOGLETRANSLATE(A19059, ""en"", ""mt"")"),"Iċ-ċiklu ta 'Rankine xi kultant jissejjaħ ċiklu ta' Carnot prattiku għaliex, meta tintuża turbina effiċjenti, id-dijagramma TS tibda tixbah iċ-ċiklu Carnot. Id-differenza ewlenija hija li ż-żieda tas-sħana (fil-bojler) u ċ-ċaħda (fil-kondensatur) huma pro"&amp;"ċessi iżobariċi (pressjoni kostanti) fiċ-ċiklu ta 'rankine u proċessi iżotermiċi (temperatura kostanti) fiċ-ċiklu teoretiku tal-karnot. F’dan iċ-ċiklu tintuża pompa biex tippressa l-fluwidu tax-xogħol li jiġi rċevut mill-kondensatur bħala likwidu mhux bħa"&amp;"la gass. L-ippumpjar tal-fluwidu tax-xogħol f'forma likwida matul iċ-ċiklu jeħtieġ frazzjoni żgħira ta 'l-enerġija biex tittrasportaha meta mqabbel ma' l-enerġija meħtieġa biex tikkompressa l-fluwidu tax-xogħol f'forma gassuża f'kompressur (bħal fiċ-ċiklu"&amp;" ta 'Carnot). Iċ-ċiklu ta 'magna tal-fwar reċiprokanti huwa differenti minn dak tat-turbini minħabba l-kondensazzjoni u l-evaporazzjoni mill-ġdid li jseħħu fiċ-ċilindru jew fil-passaġġi tad-dħul tal-fwar.")</f>
        <v>Iċ-ċiklu ta 'Rankine xi kultant jissejjaħ ċiklu ta' Carnot prattiku għaliex, meta tintuża turbina effiċjenti, id-dijagramma TS tibda tixbah iċ-ċiklu Carnot. Id-differenza ewlenija hija li ż-żieda tas-sħana (fil-bojler) u ċ-ċaħda (fil-kondensatur) huma proċessi iżobariċi (pressjoni kostanti) fiċ-ċiklu ta 'rankine u proċessi iżotermiċi (temperatura kostanti) fiċ-ċiklu teoretiku tal-karnot. F’dan iċ-ċiklu tintuża pompa biex tippressa l-fluwidu tax-xogħol li jiġi rċevut mill-kondensatur bħala likwidu mhux bħala gass. L-ippumpjar tal-fluwidu tax-xogħol f'forma likwida matul iċ-ċiklu jeħtieġ frazzjoni żgħira ta 'l-enerġija biex tittrasportaha meta mqabbel ma' l-enerġija meħtieġa biex tikkompressa l-fluwidu tax-xogħol f'forma gassuża f'kompressur (bħal fiċ-ċiklu ta 'Carnot). Iċ-ċiklu ta 'magna tal-fwar reċiprokanti huwa differenti minn dak tat-turbini minħabba l-kondensazzjoni u l-evaporazzjoni mill-ġdid li jseħħu fiċ-ċilindru jew fil-passaġġi tad-dħul tal-fwar.</v>
      </c>
    </row>
    <row r="19060" ht="15.75" customHeight="1">
      <c r="A19060" s="2" t="s">
        <v>19060</v>
      </c>
      <c r="B19060" s="2" t="str">
        <f>IFERROR(__xludf.DUMMYFUNCTION("GOOGLETRANSLATE(A19060, ""en"", ""mt"")"),"James Bryant Conant (President, 1933–1953) reġa 'ssaħħaħ il-borża ta' studju kreattiv biex jiggarantixxi l-preeminenza tagħha fost l-istituzzjonijiet ta 'riċerka. Huwa ra l-edukazzjoni għolja bħala vettura ta 'opportunità għat-talent minflok intitolament "&amp;"għall-għonja, u għalhekk Conant fassal programmi biex jidentifikaw, jirreklutaw u jappoġġjaw żgħażagħ b'talent. Fl-1943, huwa talab lill-fakultà tagħmel dikjarazzjoni definittiva dwar dak li għandha tkun l-edukazzjoni ġenerali, fil-livell sekondarju kif u"&amp;"koll fil-livell tal-kulleġġ. Ir-rapport li rriżulta, ippubblikat fl-1945, kien wieħed mill-aktar manifesti influwenti fl-istorja tal-edukazzjoni Amerikana fis-seklu 20.")</f>
        <v>James Bryant Conant (President, 1933–1953) reġa 'ssaħħaħ il-borża ta' studju kreattiv biex jiggarantixxi l-preeminenza tagħha fost l-istituzzjonijiet ta 'riċerka. Huwa ra l-edukazzjoni għolja bħala vettura ta 'opportunità għat-talent minflok intitolament għall-għonja, u għalhekk Conant fassal programmi biex jidentifikaw, jirreklutaw u jappoġġjaw żgħażagħ b'talent. Fl-1943, huwa talab lill-fakultà tagħmel dikjarazzjoni definittiva dwar dak li għandha tkun l-edukazzjoni ġenerali, fil-livell sekondarju kif ukoll fil-livell tal-kulleġġ. Ir-rapport li rriżulta, ippubblikat fl-1945, kien wieħed mill-aktar manifesti influwenti fl-istorja tal-edukazzjoni Amerikana fis-seklu 20.</v>
      </c>
    </row>
    <row r="19061" ht="15.75" customHeight="1">
      <c r="A19061" s="2" t="s">
        <v>19061</v>
      </c>
      <c r="B19061" s="2" t="str">
        <f>IFERROR(__xludf.DUMMYFUNCTION("GOOGLETRANSLATE(A19061, ""en"", ""mt"")"),"Kemm hemm abitanti li fih iż-żona ta 'Los Angeles?")</f>
        <v>Kemm hemm abitanti li fih iż-żona ta 'Los Angeles?</v>
      </c>
    </row>
    <row r="19062" ht="15.75" customHeight="1">
      <c r="A19062" s="2" t="s">
        <v>19062</v>
      </c>
      <c r="B19062" s="2" t="str">
        <f>IFERROR(__xludf.DUMMYFUNCTION("GOOGLETRANSLATE(A19062, ""en"", ""mt"")"),"Vosges Mountains")</f>
        <v>Vosges Mountains</v>
      </c>
    </row>
    <row r="19063" ht="15.75" customHeight="1">
      <c r="A19063" s="2" t="s">
        <v>19063</v>
      </c>
      <c r="B19063" s="2" t="str">
        <f>IFERROR(__xludf.DUMMYFUNCTION("GOOGLETRANSLATE(A19063, ""en"", ""mt"")"),"Kemm irnexxiet l-isforzi riveduti Franċiżi?")</f>
        <v>Kemm irnexxiet l-isforzi riveduti Franċiżi?</v>
      </c>
    </row>
    <row r="19064" ht="15.75" customHeight="1">
      <c r="A19064" s="2" t="s">
        <v>19064</v>
      </c>
      <c r="B19064" s="2" t="str">
        <f>IFERROR(__xludf.DUMMYFUNCTION("GOOGLETRANSLATE(A19064, ""en"", ""mt"")"),"Kemm-il darba ġie mkeċċi Cam Newton fis-Super Bowl 50?")</f>
        <v>Kemm-il darba ġie mkeċċi Cam Newton fis-Super Bowl 50?</v>
      </c>
    </row>
    <row r="19065" ht="15.75" customHeight="1">
      <c r="A19065" s="2" t="s">
        <v>19065</v>
      </c>
      <c r="B19065" s="2" t="str">
        <f>IFERROR(__xludf.DUMMYFUNCTION("GOOGLETRANSLATE(A19065, ""en"", ""mt"")"),"regoli")</f>
        <v>regoli</v>
      </c>
    </row>
    <row r="19066" ht="15.75" customHeight="1">
      <c r="A19066" s="2" t="s">
        <v>19066</v>
      </c>
      <c r="B19066" s="2" t="str">
        <f>IFERROR(__xludf.DUMMYFUNCTION("GOOGLETRANSLATE(A19066, ""en"", ""mt"")"),"5 ta 'Settembru, 1985")</f>
        <v>5 ta 'Settembru, 1985</v>
      </c>
    </row>
    <row r="19067" ht="15.75" customHeight="1">
      <c r="A19067" s="2" t="s">
        <v>19067</v>
      </c>
      <c r="B19067" s="2" t="str">
        <f>IFERROR(__xludf.DUMMYFUNCTION("GOOGLETRANSLATE(A19067, ""en"", ""mt"")"),"B'liema mod kien jara Lavoisier li l-landa li uża fl-esperiment tiegħu żdiedet?")</f>
        <v>B'liema mod kien jara Lavoisier li l-landa li uża fl-esperiment tiegħu żdiedet?</v>
      </c>
    </row>
    <row r="19068" ht="15.75" customHeight="1">
      <c r="A19068" s="2" t="s">
        <v>19068</v>
      </c>
      <c r="B19068" s="2" t="str">
        <f>IFERROR(__xludf.DUMMYFUNCTION("GOOGLETRANSLATE(A19068, ""en"", ""mt"")"),"Liema artikolu TFEU jiddefinixxi l-proċedura leġiżlattiva ordinarja li tapplika għal maġġoranza ta 'atti ta' l-UE?")</f>
        <v>Liema artikolu TFEU jiddefinixxi l-proċedura leġiżlattiva ordinarja li tapplika għal maġġoranza ta 'atti ta' l-UE?</v>
      </c>
    </row>
    <row r="19069" ht="15.75" customHeight="1">
      <c r="A19069" s="2" t="s">
        <v>19069</v>
      </c>
      <c r="B19069" s="2" t="str">
        <f>IFERROR(__xludf.DUMMYFUNCTION("GOOGLETRANSLATE(A19069, ""en"", ""mt"")"),"L-ewwel referenza storika għal Varsavja tmur lura għas-sena 1313, fi żmien meta Kraków serva bħala l-belt kapitali Pollakka. Minħabba l-lok ċentrali tagħha bejn il-kapitali Pollakki-Litwani tal-Commonwealth ta 'Kraków u Vilnius, Varsav It-tielet diviżjoni"&amp;" tal-Polonja fl-1795, Varsavja ġiet inkorporata fir-Renju tal-Prussja. Fl-1806 matul il-Gwerer Napoloniċi, il-belt saret il-kapitali uffiċjali tal-Gran Dukat ta ’Varsavja, stat ta’ pupazzi tal-ewwel imperu Franċiż stabbilit minn Napoleon Bonaparte. Skond "&amp;"id-deċiżjonijiet tal-Kungress ta 'Vjenna, l-Imperu Russu annessa Varsavja fl-1815 u sar parti mir- ""Renju tal-Kungress"". Fl-1918 biss kisbet l-indipendenza mir-regola barranija u ħarġet bħala kapitali ġdida tar-Repubblika Indipendenti tal-Polonja. L-inv"&amp;"ażjoni Ġermaniża fl-1939, il-massakru tal-popolazzjoni Lhudija u d-deportazzjonijiet għall-kampijiet tal-konċentrament wasslu għar-rewwixta fil-ghetto ta 'Varsav ""Minħabba li baqa 'ħaj ħafna gwerer, kunflitti u invażjonijiet matul l-istorja twila tiegħu."&amp;" L-iktar notevolment, il-belt kienet teħtieġ bini mill-ġdid iebes wara l-ħsara estensiva li sofriet fit-Tieni Gwerra Dinjija, li qerdet 85% tal-bini tagħha. Fid-9 ta 'Novembru 1940, il-belt ingħatat l-ogħla dekorazzjoni militari għall-eroiżmu tal-Polonja,"&amp;" il-militari VirtUti, waqt l-Assedju ta' Varsavja (1939).")</f>
        <v>L-ewwel referenza storika għal Varsavja tmur lura għas-sena 1313, fi żmien meta Kraków serva bħala l-belt kapitali Pollakka. Minħabba l-lok ċentrali tagħha bejn il-kapitali Pollakki-Litwani tal-Commonwealth ta 'Kraków u Vilnius, Varsav It-tielet diviżjoni tal-Polonja fl-1795, Varsavja ġiet inkorporata fir-Renju tal-Prussja. Fl-1806 matul il-Gwerer Napoloniċi, il-belt saret il-kapitali uffiċjali tal-Gran Dukat ta ’Varsavja, stat ta’ pupazzi tal-ewwel imperu Franċiż stabbilit minn Napoleon Bonaparte. Skond id-deċiżjonijiet tal-Kungress ta 'Vjenna, l-Imperu Russu annessa Varsavja fl-1815 u sar parti mir- "Renju tal-Kungress". Fl-1918 biss kisbet l-indipendenza mir-regola barranija u ħarġet bħala kapitali ġdida tar-Repubblika Indipendenti tal-Polonja. L-invażjoni Ġermaniża fl-1939, il-massakru tal-popolazzjoni Lhudija u d-deportazzjonijiet għall-kampijiet tal-konċentrament wasslu għar-rewwixta fil-ghetto ta 'Varsav "Minħabba li baqa 'ħaj ħafna gwerer, kunflitti u invażjonijiet matul l-istorja twila tiegħu. L-iktar notevolment, il-belt kienet teħtieġ bini mill-ġdid iebes wara l-ħsara estensiva li sofriet fit-Tieni Gwerra Dinjija, li qerdet 85% tal-bini tagħha. Fid-9 ta 'Novembru 1940, il-belt ingħatat l-ogħla dekorazzjoni militari għall-eroiżmu tal-Polonja, il-militari VirtUti, waqt l-Assedju ta' Varsavja (1939).</v>
      </c>
    </row>
    <row r="19070" ht="15.75" customHeight="1">
      <c r="A19070" s="2" t="s">
        <v>19070</v>
      </c>
      <c r="B19070" s="2" t="str">
        <f>IFERROR(__xludf.DUMMYFUNCTION("GOOGLETRANSLATE(A19070, ""en"", ""mt"")"),"indaqs")</f>
        <v>indaqs</v>
      </c>
    </row>
    <row r="19071" ht="15.75" customHeight="1">
      <c r="A19071" s="2" t="s">
        <v>19071</v>
      </c>
      <c r="B19071" s="2" t="str">
        <f>IFERROR(__xludf.DUMMYFUNCTION("GOOGLETRANSLATE(A19071, ""en"", ""mt"")"),"Mainstream Nazzjonalist u Sekularist Kungress Nazzjonali Indjan")</f>
        <v>Mainstream Nazzjonalist u Sekularist Kungress Nazzjonali Indjan</v>
      </c>
    </row>
    <row r="19072" ht="15.75" customHeight="1">
      <c r="A19072" s="2" t="s">
        <v>19072</v>
      </c>
      <c r="B19072" s="2" t="str">
        <f>IFERROR(__xludf.DUMMYFUNCTION("GOOGLETRANSLATE(A19072, ""en"", ""mt"")"),"F'kundizzjonijiet ta 'dawl baxx")</f>
        <v>F'kundizzjonijiet ta 'dawl baxx</v>
      </c>
    </row>
    <row r="19073" ht="15.75" customHeight="1">
      <c r="A19073" s="2" t="s">
        <v>19073</v>
      </c>
      <c r="B19073" s="2" t="str">
        <f>IFERROR(__xludf.DUMMYFUNCTION("GOOGLETRANSLATE(A19073, ""en"", ""mt"")"),"realtajiet tas-suq u tat-teknoloġija")</f>
        <v>realtajiet tas-suq u tat-teknoloġija</v>
      </c>
    </row>
    <row r="19074" ht="15.75" customHeight="1">
      <c r="A19074" s="2" t="s">
        <v>19074</v>
      </c>
      <c r="B19074" s="2" t="str">
        <f>IFERROR(__xludf.DUMMYFUNCTION("GOOGLETRANSLATE(A19074, ""en"", ""mt"")"),"Pożizzjoni oħra fil-Knisja Metodista Magħquda hija dik tal-qaddej lajk. Għalkemm mhux meqjus kleru, il-kelliema lajċi spiss jippridkaw waqt is-servizzi tal-qima meta anzjan ordnat, ragħaj lokali, membru assoċjat jew djaknu mhuwiex disponibbli. Hemm żewġ k"&amp;"ategoriji ta 'qaddejja lajċi: qaddej tal-knisja lokali, li jservu u permezz tal-knejjes lokali tagħhom, u qaddejja lajċi ċċertifikati, li jservu fil-knejjes tagħhom stess, fi knejjes oħra, u permezz ta' proġetti u programmi distrettwali jew konferenza. Bi"&amp;"ex ikunu rikonoxxuti bħala qaddej tal-knisja lokali, dawn għandhom ikunu rrakkomandati mill-konferenza tar-ragħaj u tal-knisja tagħhom jew tal-konferenza tal-ħlas, u jlestu l-kors bażiku għal qaddej lajk. Kull sena għandhom jerġgħu japplikaw, jirrappurtaw"&amp;" kif servew u komplew jitgħallmu matul dik is-sena. Sabiex ikunu rikonoxxuti bħala impjegat lajk iċċertifikat, dawn għandhom ikunu rrakkomandati mill-konferenza tar-ragħaj u tal-knisja tagħhom jew konferenza tal-ħlas, imla l-kors bażiku u kors ta 'qaddej "&amp;"lajk wieħed, u jiġu intervistati mid-distrett jew il-kumitat tal-konferenza dwar it-taħdit tal-lajċi. Għandhom jirrappurtaw u jerġgħu japplikaw kull sena; U għandhom jimlew mill-inqas kors avvanzat kull tliet snin.")</f>
        <v>Pożizzjoni oħra fil-Knisja Metodista Magħquda hija dik tal-qaddej lajk. Għalkemm mhux meqjus kleru, il-kelliema lajċi spiss jippridkaw waqt is-servizzi tal-qima meta anzjan ordnat, ragħaj lokali, membru assoċjat jew djaknu mhuwiex disponibbli. Hemm żewġ kategoriji ta 'qaddejja lajċi: qaddej tal-knisja lokali, li jservu u permezz tal-knejjes lokali tagħhom, u qaddejja lajċi ċċertifikati, li jservu fil-knejjes tagħhom stess, fi knejjes oħra, u permezz ta' proġetti u programmi distrettwali jew konferenza. Biex ikunu rikonoxxuti bħala qaddej tal-knisja lokali, dawn għandhom ikunu rrakkomandati mill-konferenza tar-ragħaj u tal-knisja tagħhom jew tal-konferenza tal-ħlas, u jlestu l-kors bażiku għal qaddej lajk. Kull sena għandhom jerġgħu japplikaw, jirrappurtaw kif servew u komplew jitgħallmu matul dik is-sena. Sabiex ikunu rikonoxxuti bħala impjegat lajk iċċertifikat, dawn għandhom ikunu rrakkomandati mill-konferenza tar-ragħaj u tal-knisja tagħhom jew konferenza tal-ħlas, imla l-kors bażiku u kors ta 'qaddej lajk wieħed, u jiġu intervistati mid-distrett jew il-kumitat tal-konferenza dwar it-taħdit tal-lajċi. Għandhom jirrappurtaw u jerġgħu japplikaw kull sena; U għandhom jimlew mill-inqas kors avvanzat kull tliet snin.</v>
      </c>
    </row>
    <row r="19075" ht="15.75" customHeight="1">
      <c r="A19075" s="2" t="s">
        <v>19075</v>
      </c>
      <c r="B19075" s="2" t="str">
        <f>IFERROR(__xludf.DUMMYFUNCTION("GOOGLETRANSLATE(A19075, ""en"", ""mt"")"),"Kanzunetta ġdida li nqajmu")</f>
        <v>Kanzunetta ġdida li nqajmu</v>
      </c>
    </row>
    <row r="19076" ht="15.75" customHeight="1">
      <c r="A19076" s="2" t="s">
        <v>19076</v>
      </c>
      <c r="B19076" s="2" t="str">
        <f>IFERROR(__xludf.DUMMYFUNCTION("GOOGLETRANSLATE(A19076, ""en"", ""mt"")"),"X’sejjaħ Martin Brecht f’Luther fuq il-Lhud?")</f>
        <v>X’sejjaħ Martin Brecht f’Luther fuq il-Lhud?</v>
      </c>
    </row>
    <row r="19077" ht="15.75" customHeight="1">
      <c r="A19077" s="2" t="s">
        <v>19077</v>
      </c>
      <c r="B19077" s="2" t="str">
        <f>IFERROR(__xludf.DUMMYFUNCTION("GOOGLETRANSLATE(A19077, ""en"", ""mt"")"),"Fil-Gran Brittanja, l-arti Norman tibqa 'ħajja primarjament bħala xogħol tal-ġebel jew xogħol tal-metall, bħal kapitali u fonts tal-magħmudija. Fin-Nofsinhar tal-Italja, madankollu, ix-xogħol artistiku Norman jibqa 'ħaj f'forom influwenzati sew mill-foreb"&amp;"ears Griegi, Lombard u Għarab tiegħu. Ir-regalia rjali ppreservata f'Palermo, il-kuruna hija bizantina fl-istil u l-mantar tal-inkurunazzjoni huwa ta 'sengħa Għarbija bl-iskrizzjonijiet Għarbi. Ħafna knejjes jippreservaw fonts skolpiti, kapitali u aktar i"&amp;"mportanti mill-mużajk, li kienu komuni fl-Italja Norman u ġibdu ħafna fuq il-wirt Grieg. Lombard Salerno kien ċentru ta 'l-avorju fis-seklu 11 u dan kompla taħt il-ħakma Norman. Fl-aħħarnett għandu jkun innutat l-att sesswali bejn il-Kruċjati Franċiżi li "&amp;"jivvjaġġaw lejn l-Art Imqaddsa li ġabu magħhom artefatti Franċiżi li bihom jagħtu rigal il-knejjes li fihom waqfu fin-Nofsinhar tal-Italja fost il-kuġini Norman tagħhom. Għal din ir-raġuni ħafna knejjes Taljani t'Isfel jippreservaw xogħlijiet minn Franza "&amp;"flimkien mal-biċċiet indiġeni tagħhom.")</f>
        <v>Fil-Gran Brittanja, l-arti Norman tibqa 'ħajja primarjament bħala xogħol tal-ġebel jew xogħol tal-metall, bħal kapitali u fonts tal-magħmudija. Fin-Nofsinhar tal-Italja, madankollu, ix-xogħol artistiku Norman jibqa 'ħaj f'forom influwenzati sew mill-forebears Griegi, Lombard u Għarab tiegħu. Ir-regalia rjali ppreservata f'Palermo, il-kuruna hija bizantina fl-istil u l-mantar tal-inkurunazzjoni huwa ta 'sengħa Għarbija bl-iskrizzjonijiet Għarbi. Ħafna knejjes jippreservaw fonts skolpiti, kapitali u aktar importanti mill-mużajk, li kienu komuni fl-Italja Norman u ġibdu ħafna fuq il-wirt Grieg. Lombard Salerno kien ċentru ta 'l-avorju fis-seklu 11 u dan kompla taħt il-ħakma Norman. Fl-aħħarnett għandu jkun innutat l-att sesswali bejn il-Kruċjati Franċiżi li jivvjaġġaw lejn l-Art Imqaddsa li ġabu magħhom artefatti Franċiżi li bihom jagħtu rigal il-knejjes li fihom waqfu fin-Nofsinhar tal-Italja fost il-kuġini Norman tagħhom. Għal din ir-raġuni ħafna knejjes Taljani t'Isfel jippreservaw xogħlijiet minn Franza flimkien mal-biċċiet indiġeni tagħhom.</v>
      </c>
    </row>
    <row r="19078" ht="15.75" customHeight="1">
      <c r="A19078" s="2" t="s">
        <v>19078</v>
      </c>
      <c r="B19078" s="2" t="str">
        <f>IFERROR(__xludf.DUMMYFUNCTION("GOOGLETRANSLATE(A19078, ""en"", ""mt"")"),"Xi klassijiet ta 'kumplessità")</f>
        <v>Xi klassijiet ta 'kumplessità</v>
      </c>
    </row>
    <row r="19079" ht="15.75" customHeight="1">
      <c r="A19079" s="2" t="s">
        <v>19079</v>
      </c>
      <c r="B19079" s="2" t="str">
        <f>IFERROR(__xludf.DUMMYFUNCTION("GOOGLETRANSLATE(A19079, ""en"", ""mt"")"),"Il-Liġijiet tal-Fiżika")</f>
        <v>Il-Liġijiet tal-Fiżika</v>
      </c>
    </row>
    <row r="19080" ht="15.75" customHeight="1">
      <c r="A19080" s="2" t="s">
        <v>19080</v>
      </c>
      <c r="B19080" s="2" t="str">
        <f>IFERROR(__xludf.DUMMYFUNCTION("GOOGLETRANSLATE(A19080, ""en"", ""mt"")"),"Liema kimika uża Priestley fl-esperimenti tiegħu fuq l-ossiġnu?")</f>
        <v>Liema kimika uża Priestley fl-esperimenti tiegħu fuq l-ossiġnu?</v>
      </c>
    </row>
    <row r="19081" ht="15.75" customHeight="1">
      <c r="A19081" s="2" t="s">
        <v>19081</v>
      </c>
      <c r="B19081" s="2" t="str">
        <f>IFERROR(__xludf.DUMMYFUNCTION("GOOGLETRANSLATE(A19081, ""en"", ""mt"")"),"Doża ta 'unità, jew doża waħda ta' mediċina")</f>
        <v>Doża ta 'unità, jew doża waħda ta' mediċina</v>
      </c>
    </row>
    <row r="19082" ht="15.75" customHeight="1">
      <c r="A19082" s="2" t="s">
        <v>19082</v>
      </c>
      <c r="B19082" s="2" t="str">
        <f>IFERROR(__xludf.DUMMYFUNCTION("GOOGLETRANSLATE(A19082, ""en"", ""mt"")"),"Kellu jaħdem f'diversi impjiegi ta 'tiswija elettrika")</f>
        <v>Kellu jaħdem f'diversi impjiegi ta 'tiswija elettrika</v>
      </c>
    </row>
    <row r="19083" ht="15.75" customHeight="1">
      <c r="A19083" s="2" t="s">
        <v>19083</v>
      </c>
      <c r="B19083" s="2" t="str">
        <f>IFERROR(__xludf.DUMMYFUNCTION("GOOGLETRANSLATE(A19083, ""en"", ""mt"")"),"Diviżjoni u Amministrazzjoni tat-Territorju li għadu kif ġie maħkuma")</f>
        <v>Diviżjoni u Amministrazzjoni tat-Territorju li għadu kif ġie maħkuma</v>
      </c>
    </row>
    <row r="19084" ht="15.75" customHeight="1">
      <c r="A19084" s="2" t="s">
        <v>19084</v>
      </c>
      <c r="B19084" s="2" t="str">
        <f>IFERROR(__xludf.DUMMYFUNCTION("GOOGLETRANSLATE(A19084, ""en"", ""mt"")"),"it-test tal-primalità Fermat")</f>
        <v>it-test tal-primalità Fermat</v>
      </c>
    </row>
    <row r="19085" ht="15.75" customHeight="1">
      <c r="A19085" s="2" t="s">
        <v>19085</v>
      </c>
      <c r="B19085" s="2" t="str">
        <f>IFERROR(__xludf.DUMMYFUNCTION("GOOGLETRANSLATE(A19085, ""en"", ""mt"")"),"X'inhu l-klijenti biex jiksbu funzjonijiet Sky + jekk ma jissottoskrivux għall-kanali ta 'BSKYB?")</f>
        <v>X'inhu l-klijenti biex jiksbu funzjonijiet Sky + jekk ma jissottoskrivux għall-kanali ta 'BSKYB?</v>
      </c>
    </row>
    <row r="19086" ht="15.75" customHeight="1">
      <c r="A19086" s="2" t="s">
        <v>19086</v>
      </c>
      <c r="B19086" s="2" t="str">
        <f>IFERROR(__xludf.DUMMYFUNCTION("GOOGLETRANSLATE(A19086, ""en"", ""mt"")"),"Jekk detenzjoni tirrikjedi li student joqgħod hemm, kif huma meħtieġa biex ipoġġu?")</f>
        <v>Jekk detenzjoni tirrikjedi li student joqgħod hemm, kif huma meħtieġa biex ipoġġu?</v>
      </c>
    </row>
    <row r="19087" ht="15.75" customHeight="1">
      <c r="A19087" s="2" t="s">
        <v>19087</v>
      </c>
      <c r="B19087" s="2" t="str">
        <f>IFERROR(__xludf.DUMMYFUNCTION("GOOGLETRANSLATE(A19087, ""en"", ""mt"")"),"Upper Danubju")</f>
        <v>Upper Danubju</v>
      </c>
    </row>
    <row r="19088" ht="15.75" customHeight="1">
      <c r="A19088" s="2" t="s">
        <v>19088</v>
      </c>
      <c r="B19088" s="2" t="str">
        <f>IFERROR(__xludf.DUMMYFUNCTION("GOOGLETRANSLATE(A19088, ""en"", ""mt"")"),"F'Marzu 2015, kemm stazzjonijiet ta 'proprjetà u mħaddma kellhom ABC?")</f>
        <v>F'Marzu 2015, kemm stazzjonijiet ta 'proprjetà u mħaddma kellhom ABC?</v>
      </c>
    </row>
    <row r="19089" ht="15.75" customHeight="1">
      <c r="A19089" s="2" t="s">
        <v>19089</v>
      </c>
      <c r="B19089" s="2" t="str">
        <f>IFERROR(__xludf.DUMMYFUNCTION("GOOGLETRANSLATE(A19089, ""en"", ""mt"")"),"weraq")</f>
        <v>weraq</v>
      </c>
    </row>
    <row r="19090" ht="15.75" customHeight="1">
      <c r="A19090" s="2" t="s">
        <v>19090</v>
      </c>
      <c r="B19090" s="2" t="str">
        <f>IFERROR(__xludf.DUMMYFUNCTION("GOOGLETRANSLATE(A19090, ""en"", ""mt"")"),"Min kien Boleslaw II ta 'Masovia?")</f>
        <v>Min kien Boleslaw II ta 'Masovia?</v>
      </c>
    </row>
    <row r="19091" ht="15.75" customHeight="1">
      <c r="A19091" s="2" t="s">
        <v>19091</v>
      </c>
      <c r="B19091" s="2" t="str">
        <f>IFERROR(__xludf.DUMMYFUNCTION("GOOGLETRANSLATE(A19091, ""en"", ""mt"")"),"Liema perjodu ta 'żmien il-ġbir tal-iskultura jkopri?")</f>
        <v>Liema perjodu ta 'żmien il-ġbir tal-iskultura jkopri?</v>
      </c>
    </row>
    <row r="19092" ht="15.75" customHeight="1">
      <c r="A19092" s="2" t="s">
        <v>19092</v>
      </c>
      <c r="B19092" s="2" t="str">
        <f>IFERROR(__xludf.DUMMYFUNCTION("GOOGLETRANSLATE(A19092, ""en"", ""mt"")"),"Ġwanni Pawlu II")</f>
        <v>Ġwanni Pawlu II</v>
      </c>
    </row>
    <row r="19093" ht="15.75" customHeight="1">
      <c r="A19093" s="2" t="s">
        <v>19093</v>
      </c>
      <c r="B19093" s="2" t="str">
        <f>IFERROR(__xludf.DUMMYFUNCTION("GOOGLETRANSLATE(A19093, ""en"", ""mt"")"),"X'inhu simili għal-litteriżmu li għalliem jgħallem?")</f>
        <v>X'inhu simili għal-litteriżmu li għalliem jgħallem?</v>
      </c>
    </row>
    <row r="19094" ht="15.75" customHeight="1">
      <c r="A19094" s="2" t="s">
        <v>19094</v>
      </c>
      <c r="B19094" s="2" t="str">
        <f>IFERROR(__xludf.DUMMYFUNCTION("GOOGLETRANSLATE(A19094, ""en"", ""mt"")"),"Għaliex huwa diffiċli li ssolvi nuqqas ta 'qbil dwar il-bidliet fil-foresta tropikali tal-Amażonja?")</f>
        <v>Għaliex huwa diffiċli li ssolvi nuqqas ta 'qbil dwar il-bidliet fil-foresta tropikali tal-Amażonja?</v>
      </c>
    </row>
    <row r="19095" ht="15.75" customHeight="1">
      <c r="A19095" s="2" t="s">
        <v>19095</v>
      </c>
      <c r="B19095" s="2" t="str">
        <f>IFERROR(__xludf.DUMMYFUNCTION("GOOGLETRANSLATE(A19095, ""en"", ""mt"")"),"Liema bliet Ingliżi oħra kienu siti ta 'soluzzjoni ta' Huguenot?")</f>
        <v>Liema bliet Ingliżi oħra kienu siti ta 'soluzzjoni ta' Huguenot?</v>
      </c>
    </row>
    <row r="19096" ht="15.75" customHeight="1">
      <c r="A19096" s="2" t="s">
        <v>19096</v>
      </c>
      <c r="B19096" s="2" t="str">
        <f>IFERROR(__xludf.DUMMYFUNCTION("GOOGLETRANSLATE(A19096, ""en"", ""mt"")"),"abbonament ta 'kull xahar")</f>
        <v>abbonament ta 'kull xahar</v>
      </c>
    </row>
    <row r="19097" ht="15.75" customHeight="1">
      <c r="A19097" s="2" t="s">
        <v>19097</v>
      </c>
      <c r="B19097" s="2" t="str">
        <f>IFERROR(__xludf.DUMMYFUNCTION("GOOGLETRANSLATE(A19097, ""en"", ""mt"")"),"Membri mgħammdin")</f>
        <v>Membri mgħammdin</v>
      </c>
    </row>
    <row r="19098" ht="15.75" customHeight="1">
      <c r="A19098" s="2" t="s">
        <v>19098</v>
      </c>
      <c r="B19098" s="2" t="str">
        <f>IFERROR(__xludf.DUMMYFUNCTION("GOOGLETRANSLATE(A19098, ""en"", ""mt"")"),"L-awtur tal-IPCC Richard Lindzen għamel numru ta ’kritika tal-qatran. Fost il-kritika tiegħu, Lindzen iddikjara li s-Sommarju tal-WGI għal dawk li jfasslu l-politika (SPM) ma jiġbor fil-qosor ir-rapport sħiħ tal-WGI. Pereżempju, Lindzen jiddikjara li l-SP"&amp;"M jissottolinja l-inċertezza assoċjata mal-mudelli klimatiċi. John Houghton, li kien ko-president ta 'Tar WGI, wieġeb għall-kritika ta' Lindzen dwar l-SPM. Houghton enfasizza li l-SPM huwa miftiehem mid-delegati minn ħafna mill-gvernijiet tad-dinja, u li "&amp;"kwalunkwe tibdil fl-SPM għandu jkun appoġġjat minn evidenza xjentifika.")</f>
        <v>L-awtur tal-IPCC Richard Lindzen għamel numru ta ’kritika tal-qatran. Fost il-kritika tiegħu, Lindzen iddikjara li s-Sommarju tal-WGI għal dawk li jfasslu l-politika (SPM) ma jiġbor fil-qosor ir-rapport sħiħ tal-WGI. Pereżempju, Lindzen jiddikjara li l-SPM jissottolinja l-inċertezza assoċjata mal-mudelli klimatiċi. John Houghton, li kien ko-president ta 'Tar WGI, wieġeb għall-kritika ta' Lindzen dwar l-SPM. Houghton enfasizza li l-SPM huwa miftiehem mid-delegati minn ħafna mill-gvernijiet tad-dinja, u li kwalunkwe tibdil fl-SPM għandu jkun appoġġjat minn evidenza xjentifika.</v>
      </c>
    </row>
    <row r="19099" ht="15.75" customHeight="1">
      <c r="A19099" s="2" t="s">
        <v>19099</v>
      </c>
      <c r="B19099" s="2" t="str">
        <f>IFERROR(__xludf.DUMMYFUNCTION("GOOGLETRANSLATE(A19099, ""en"", ""mt"")"),"Il-Gwerer tar-Reliġjon")</f>
        <v>Il-Gwerer tar-Reliġjon</v>
      </c>
    </row>
    <row r="19100" ht="15.75" customHeight="1">
      <c r="A19100" s="2" t="s">
        <v>19100</v>
      </c>
      <c r="B19100" s="2" t="str">
        <f>IFERROR(__xludf.DUMMYFUNCTION("GOOGLETRANSLATE(A19100, ""en"", ""mt"")"),"Il-marka tal-anarkija nkitbet biex tipprotesta kontra xiex?")</f>
        <v>Il-marka tal-anarkija nkitbet biex tipprotesta kontra xiex?</v>
      </c>
    </row>
    <row r="19101" ht="15.75" customHeight="1">
      <c r="A19101" s="2" t="s">
        <v>19101</v>
      </c>
      <c r="B19101" s="2" t="str">
        <f>IFERROR(__xludf.DUMMYFUNCTION("GOOGLETRANSLATE(A19101, ""en"", ""mt"")"),"It-Tardis")</f>
        <v>It-Tardis</v>
      </c>
    </row>
    <row r="19102" ht="15.75" customHeight="1">
      <c r="A19102" s="2" t="s">
        <v>19102</v>
      </c>
      <c r="B19102" s="2" t="str">
        <f>IFERROR(__xludf.DUMMYFUNCTION("GOOGLETRANSLATE(A19102, ""en"", ""mt"")"),"Ħolqien ta 'pjan komprensiv ta' terapija ta 'mediċina għal problemi speċifiċi għall-pazjent")</f>
        <v>Ħolqien ta 'pjan komprensiv ta' terapija ta 'mediċina għal problemi speċifiċi għall-pazjent</v>
      </c>
    </row>
    <row r="19103" ht="15.75" customHeight="1">
      <c r="A19103" s="2" t="s">
        <v>19103</v>
      </c>
      <c r="B19103" s="2" t="str">
        <f>IFERROR(__xludf.DUMMYFUNCTION("GOOGLETRANSLATE(A19103, ""en"", ""mt"")"),"Teorema tan-Numru Prim")</f>
        <v>Teorema tan-Numru Prim</v>
      </c>
    </row>
    <row r="19104" ht="15.75" customHeight="1">
      <c r="A19104" s="2" t="s">
        <v>19104</v>
      </c>
      <c r="B19104" s="2" t="str">
        <f>IFERROR(__xludf.DUMMYFUNCTION("GOOGLETRANSLATE(A19104, ""en"", ""mt"")"),"Huma ffokaw fuq studju tal-Bibbja, studju metodiku tal-Iskrittura u jgħixu ħajja qaddisa")</f>
        <v>Huma ffokaw fuq studju tal-Bibbja, studju metodiku tal-Iskrittura u jgħixu ħajja qaddisa</v>
      </c>
    </row>
    <row r="19105" ht="15.75" customHeight="1">
      <c r="A19105" s="2" t="s">
        <v>19105</v>
      </c>
      <c r="B19105" s="2" t="str">
        <f>IFERROR(__xludf.DUMMYFUNCTION("GOOGLETRANSLATE(A19105, ""en"", ""mt"")"),"Tnejn mill-ispedizzjonijiet kellhom suċċess, ma 'Fort Duquesne u Louisbourg")</f>
        <v>Tnejn mill-ispedizzjonijiet kellhom suċċess, ma 'Fort Duquesne u Louisbourg</v>
      </c>
    </row>
    <row r="19106" ht="15.75" customHeight="1">
      <c r="A19106" s="2" t="s">
        <v>19106</v>
      </c>
      <c r="B19106" s="2" t="str">
        <f>IFERROR(__xludf.DUMMYFUNCTION("GOOGLETRANSLATE(A19106, ""en"", ""mt"")"),"L-Artikolu 34 kien ifisser stati li jistgħu jkunu responsabbli għal xiex?")</f>
        <v>L-Artikolu 34 kien ifisser stati li jistgħu jkunu responsabbli għal xiex?</v>
      </c>
    </row>
    <row r="19107" ht="15.75" customHeight="1">
      <c r="A19107" s="2" t="s">
        <v>19107</v>
      </c>
      <c r="B19107" s="2" t="str">
        <f>IFERROR(__xludf.DUMMYFUNCTION("GOOGLETRANSLATE(A19107, ""en"", ""mt"")"),"Kif intużaw il-priġunieri tal-għadu tattikament minn armati Mongoljani?")</f>
        <v>Kif intużaw il-priġunieri tal-għadu tattikament minn armati Mongoljani?</v>
      </c>
    </row>
    <row r="19108" ht="15.75" customHeight="1">
      <c r="A19108" s="2" t="s">
        <v>19108</v>
      </c>
      <c r="B19108" s="2" t="str">
        <f>IFERROR(__xludf.DUMMYFUNCTION("GOOGLETRANSLATE(A19108, ""en"", ""mt"")"),"Taħlita ta 'ġestjoni fqira, diviżjonijiet interni, u scouts Kanadiżi effettivi, forzi regolari Franċiżi, u alleati tal-gwerriera Indjani")</f>
        <v>Taħlita ta 'ġestjoni fqira, diviżjonijiet interni, u scouts Kanadiżi effettivi, forzi regolari Franċiżi, u alleati tal-gwerriera Indjani</v>
      </c>
    </row>
    <row r="19109" ht="15.75" customHeight="1">
      <c r="A19109" s="2" t="s">
        <v>19109</v>
      </c>
      <c r="B19109" s="2" t="str">
        <f>IFERROR(__xludf.DUMMYFUNCTION("GOOGLETRANSLATE(A19109, ""en"", ""mt"")"),"Meta huma meħtieġa inqas ħaddiema, x'jiġri mis-suq tax-xogħol?")</f>
        <v>Meta huma meħtieġa inqas ħaddiema, x'jiġri mis-suq tax-xogħol?</v>
      </c>
    </row>
    <row r="19110" ht="15.75" customHeight="1">
      <c r="A19110" s="2" t="s">
        <v>19110</v>
      </c>
      <c r="B19110" s="2" t="str">
        <f>IFERROR(__xludf.DUMMYFUNCTION("GOOGLETRANSLATE(A19110, ""en"", ""mt"")"),"Liema funzjoni hija r-rwol ta 'għalliem simili għal?")</f>
        <v>Liema funzjoni hija r-rwol ta 'għalliem simili għal?</v>
      </c>
    </row>
    <row r="19111" ht="15.75" customHeight="1">
      <c r="A19111" s="2" t="s">
        <v>19111</v>
      </c>
      <c r="B19111" s="2" t="str">
        <f>IFERROR(__xludf.DUMMYFUNCTION("GOOGLETRANSLATE(A19111, ""en"", ""mt"")"),"aċidu gastriku u proteasi")</f>
        <v>aċidu gastriku u proteasi</v>
      </c>
    </row>
    <row r="19112" ht="15.75" customHeight="1">
      <c r="A19112" s="2" t="s">
        <v>19112</v>
      </c>
      <c r="B19112" s="2" t="str">
        <f>IFERROR(__xludf.DUMMYFUNCTION("GOOGLETRANSLATE(A19112, ""en"", ""mt"")"),"Fit-Tieni Gwerra Dinjija, ġie rikonoxxut li r-Renu jippreżenta ostaklu naturali formidabbli għall-invażjoni tal-Ġermanja, mill-alleati tal-Punent. Il-Pont tar-Rhine f'Arnhem, immortalizzat fil-ktieb, a Bridge Too Far and the Film, kien fokus ċentrali tal-"&amp;"battalja għal Arnhem, waqt il-Ġnien tas-Suq tal-Operazzjoni fallut ta 'Settembru 1944. Rhine, kienu wkoll għan tal-Operazzjoni tas-Suq tal-Ġnien. F’operazzjoni separata, il-Pont ta ’Ludendorff, li jaqsam ir-Renu f’Remagen, sar famuż, meta l-forzi ta’ l-Is"&amp;"tati Uniti setgħu jaqbduha intatta - ferm għas-sorpriża tagħhom stess - wara li l-Ġermaniżi naqsu milli jwaqqgħuh. Dan sar ukoll is-suġġett ta 'film, The Bridge at Remagen. Sebat ijiem lejn ix-Xmara Rhine kien pjan ta 'gwerra ta' Varsavja għal invażjoni t"&amp;"al-Ewropa tal-Punent matul il-Gwerra Bierda.")</f>
        <v>Fit-Tieni Gwerra Dinjija, ġie rikonoxxut li r-Renu jippreżenta ostaklu naturali formidabbli għall-invażjoni tal-Ġermanja, mill-alleati tal-Punent. Il-Pont tar-Rhine f'Arnhem, immortalizzat fil-ktieb, a Bridge Too Far and the Film, kien fokus ċentrali tal-battalja għal Arnhem, waqt il-Ġnien tas-Suq tal-Operazzjoni fallut ta 'Settembru 1944. Rhine, kienu wkoll għan tal-Operazzjoni tas-Suq tal-Ġnien. F’operazzjoni separata, il-Pont ta ’Ludendorff, li jaqsam ir-Renu f’Remagen, sar famuż, meta l-forzi ta’ l-Istati Uniti setgħu jaqbduha intatta - ferm għas-sorpriża tagħhom stess - wara li l-Ġermaniżi naqsu milli jwaqqgħuh. Dan sar ukoll is-suġġett ta 'film, The Bridge at Remagen. Sebat ijiem lejn ix-Xmara Rhine kien pjan ta 'gwerra ta' Varsavja għal invażjoni tal-Ewropa tal-Punent matul il-Gwerra Bierda.</v>
      </c>
    </row>
    <row r="19113" ht="15.75" customHeight="1">
      <c r="A19113" s="2" t="s">
        <v>19113</v>
      </c>
      <c r="B19113" s="2" t="str">
        <f>IFERROR(__xludf.DUMMYFUNCTION("GOOGLETRANSLATE(A19113, ""en"", ""mt"")"),"Id-disinn preliminari ta 'Apollo ta' Maxime Faget impjegat modulu ta 'kmand b'forma ta' kon, appoġġjat minn wieħed minn bosta moduli ta 'servizz li jipprovdu propulsjoni u enerġija elettrika, daqs xieraq għall-istazzjon spazjali, cislunar, u missjonijiet "&amp;"ta' inżul Lunar. Ladarba l-għan tal-inżul tal-qamar ta 'Kennedy sar uffiċjali, id-disinn dettaljat beda minn Modulu ta' Kmand / Servizz (CSM) li fih l-ekwipaġġ kien iqatta 'l-missjoni diretta kollha u jneħħi mill-wiċċ Lunar għall-vjaġġ tar-ritorn, wara mo"&amp;"dulu akbar ta 'propulsjoni tal-inżul. L-aħħar għażla ta 'rendezvous orbita lunari biddlet ir-rwol tas-CSM għall-lanċa tat-traduzzjoni użata biex tittrasporta l-ekwipaġġ, flimkien ma' vettura spazjali ġdida, il-modulu ta 'eskursjoni lunari (LEM, aktar tard"&amp;" imqassar għall-modulu Lunar, LM) li kien jieħu żewġt irġiel lejn il-Lunar wiċċ u rritornahom lejn is-CSM.")</f>
        <v>Id-disinn preliminari ta 'Apollo ta' Maxime Faget impjegat modulu ta 'kmand b'forma ta' kon, appoġġjat minn wieħed minn bosta moduli ta 'servizz li jipprovdu propulsjoni u enerġija elettrika, daqs xieraq għall-istazzjon spazjali, cislunar, u missjonijiet ta' inżul Lunar. Ladarba l-għan tal-inżul tal-qamar ta 'Kennedy sar uffiċjali, id-disinn dettaljat beda minn Modulu ta' Kmand / Servizz (CSM) li fih l-ekwipaġġ kien iqatta 'l-missjoni diretta kollha u jneħħi mill-wiċċ Lunar għall-vjaġġ tar-ritorn, wara modulu akbar ta 'propulsjoni tal-inżul. L-aħħar għażla ta 'rendezvous orbita lunari biddlet ir-rwol tas-CSM għall-lanċa tat-traduzzjoni użata biex tittrasporta l-ekwipaġġ, flimkien ma' vettura spazjali ġdida, il-modulu ta 'eskursjoni lunari (LEM, aktar tard imqassar għall-modulu Lunar, LM) li kien jieħu żewġt irġiel lejn il-Lunar wiċċ u rritornahom lejn is-CSM.</v>
      </c>
    </row>
    <row r="19114" ht="15.75" customHeight="1">
      <c r="A19114" s="2" t="s">
        <v>19114</v>
      </c>
      <c r="B19114" s="2" t="str">
        <f>IFERROR(__xludf.DUMMYFUNCTION("GOOGLETRANSLATE(A19114, ""en"", ""mt"")"),"Kemm membri jiffurmaw il-Kunsill Ġudizzjarju?")</f>
        <v>Kemm membri jiffurmaw il-Kunsill Ġudizzjarju?</v>
      </c>
    </row>
    <row r="19115" ht="15.75" customHeight="1">
      <c r="A19115" s="2" t="s">
        <v>19115</v>
      </c>
      <c r="B19115" s="2" t="str">
        <f>IFERROR(__xludf.DUMMYFUNCTION("GOOGLETRANSLATE(A19115, ""en"", ""mt"")"),"Għaliex il-politiċi Mongoljani kkunsidraw li jirregolaw l-użu tal-isem ta 'Genghis Khan?")</f>
        <v>Għaliex il-politiċi Mongoljani kkunsidraw li jirregolaw l-użu tal-isem ta 'Genghis Khan?</v>
      </c>
    </row>
    <row r="19116" ht="15.75" customHeight="1">
      <c r="A19116" s="2" t="s">
        <v>19116</v>
      </c>
      <c r="B19116" s="2" t="str">
        <f>IFERROR(__xludf.DUMMYFUNCTION("GOOGLETRANSLATE(A19116, ""en"", ""mt"")"),"mibjugħa")</f>
        <v>mibjugħa</v>
      </c>
    </row>
    <row r="19117" ht="15.75" customHeight="1">
      <c r="A19117" s="2" t="s">
        <v>19117</v>
      </c>
      <c r="B19117" s="2" t="str">
        <f>IFERROR(__xludf.DUMMYFUNCTION("GOOGLETRANSLATE(A19117, ""en"", ""mt"")"),"X'tip ta 'stħarriġ juri l-post ta' unitajiet stratigrafiċi fis-sub-wiċċ?")</f>
        <v>X'tip ta 'stħarriġ juri l-post ta' unitajiet stratigrafiċi fis-sub-wiċċ?</v>
      </c>
    </row>
    <row r="19118" ht="15.75" customHeight="1">
      <c r="A19118" s="2" t="s">
        <v>19118</v>
      </c>
      <c r="B19118" s="2" t="str">
        <f>IFERROR(__xludf.DUMMYFUNCTION("GOOGLETRANSLATE(A19118, ""en"", ""mt"")"),"Konservattiv")</f>
        <v>Konservattiv</v>
      </c>
    </row>
    <row r="19119" ht="15.75" customHeight="1">
      <c r="A19119" s="2" t="s">
        <v>19119</v>
      </c>
      <c r="B19119" s="2" t="str">
        <f>IFERROR(__xludf.DUMMYFUNCTION("GOOGLETRANSLATE(A19119, ""en"", ""mt"")"),"Estates tal-Imperu Ruman Qaddis")</f>
        <v>Estates tal-Imperu Ruman Qaddis</v>
      </c>
    </row>
    <row r="19120" ht="15.75" customHeight="1">
      <c r="A19120" s="2" t="s">
        <v>19120</v>
      </c>
      <c r="B19120" s="2" t="str">
        <f>IFERROR(__xludf.DUMMYFUNCTION("GOOGLETRANSLATE(A19120, ""en"", ""mt"")"),"inugwaljanza fid-dħul")</f>
        <v>inugwaljanza fid-dħul</v>
      </c>
    </row>
    <row r="19121" ht="15.75" customHeight="1">
      <c r="A19121" s="2" t="s">
        <v>19121</v>
      </c>
      <c r="B19121" s="2" t="str">
        <f>IFERROR(__xludf.DUMMYFUNCTION("GOOGLETRANSLATE(A19121, ""en"", ""mt"")"),"Kemm hemm appoġġ għall-approċċ tal-Istati Uniti għall-iżvilupp ekonomiku?")</f>
        <v>Kemm hemm appoġġ għall-approċċ tal-Istati Uniti għall-iżvilupp ekonomiku?</v>
      </c>
    </row>
    <row r="19122" ht="15.75" customHeight="1">
      <c r="A19122" s="2" t="s">
        <v>19122</v>
      </c>
      <c r="B19122" s="2" t="str">
        <f>IFERROR(__xludf.DUMMYFUNCTION("GOOGLETRANSLATE(A19122, ""en"", ""mt"")"),"Televiżjoni bis-satellita")</f>
        <v>Televiżjoni bis-satellita</v>
      </c>
    </row>
    <row r="19123" ht="15.75" customHeight="1">
      <c r="A19123" s="2" t="s">
        <v>19123</v>
      </c>
      <c r="B19123" s="2" t="str">
        <f>IFERROR(__xludf.DUMMYFUNCTION("GOOGLETRANSLATE(A19123, ""en"", ""mt"")"),"Kemm hemm volumi li jinsabu fil-librerija?")</f>
        <v>Kemm hemm volumi li jinsabu fil-librerija?</v>
      </c>
    </row>
    <row r="19124" ht="15.75" customHeight="1">
      <c r="A19124" s="2" t="s">
        <v>19124</v>
      </c>
      <c r="B19124" s="2" t="str">
        <f>IFERROR(__xludf.DUMMYFUNCTION("GOOGLETRANSLATE(A19124, ""en"", ""mt"")"),"Ħafna fuħħar famuż, bħal Josiah Wedgwood, William de Morgan u Bernard Leach kif ukoll Mintons &amp; Royal Doulton huma rappreżentati fil-kollezzjoni. Hemm kollezzjoni estensiva ta 'Delftware prodott kemm fil-Gran Brittanja kif ukoll fl-Olanda, li tinkludi pir"&amp;"amida tal-fjuri madwar 1695 fuq metru fl-għoli. Bernard Palissy għandu diversi eżempji tax-xogħol tiegħu fil-kollezzjoni inklużi platti, buqar u gandlieri. L-akbar oġġetti fil-kollezzjoni huma serje ta 'stufi taċ-ċeramika mżejna b'mod elaborat mis-sekli 1"&amp;"6 u 17, magħmula fil-Ġermanja u fl-Isvizzera. Hemm kollezzjoni bla paragun ta 'Maiolica Taljana u Lustreware minn Spanja. Il-kollezzjoni ta ’fuħħar iznik mit-Turkija hija l-akbar fid-dinja.")</f>
        <v>Ħafna fuħħar famuż, bħal Josiah Wedgwood, William de Morgan u Bernard Leach kif ukoll Mintons &amp; Royal Doulton huma rappreżentati fil-kollezzjoni. Hemm kollezzjoni estensiva ta 'Delftware prodott kemm fil-Gran Brittanja kif ukoll fl-Olanda, li tinkludi piramida tal-fjuri madwar 1695 fuq metru fl-għoli. Bernard Palissy għandu diversi eżempji tax-xogħol tiegħu fil-kollezzjoni inklużi platti, buqar u gandlieri. L-akbar oġġetti fil-kollezzjoni huma serje ta 'stufi taċ-ċeramika mżejna b'mod elaborat mis-sekli 16 u 17, magħmula fil-Ġermanja u fl-Isvizzera. Hemm kollezzjoni bla paragun ta 'Maiolica Taljana u Lustreware minn Spanja. Il-kollezzjoni ta ’fuħħar iznik mit-Turkija hija l-akbar fid-dinja.</v>
      </c>
    </row>
    <row r="19125" ht="15.75" customHeight="1">
      <c r="A19125" s="2" t="s">
        <v>19125</v>
      </c>
      <c r="B19125" s="2" t="str">
        <f>IFERROR(__xludf.DUMMYFUNCTION("GOOGLETRANSLATE(A19125, ""en"", ""mt"")"),"Singlet Oxygen huwa isem mogħti lil diversi speċi ta 'enerġija ogħla ta' o molekulari
2 li fih l-ispins kollha tal-elettroni huma mqabbla. Huwa ferm aktar reattiv lejn molekuli organiċi komuni milli huwa molekulari ossiġnu per se. Fin-natura, l-ossiġnu si"&amp;"nglet huwa komunement iffurmat mill-ilma waqt il-fotosintesi, bl-użu tal-enerġija tad-dawl tax-xemx. Huwa prodott ukoll fit-troposfera bil-fotolisi ta 'l-ożonu bid-dawl ta' tul ta 'mewġa qasira, u mis-sistema immunitarja bħala sors ta' ossiġnu attiv. Il-k"&amp;"arotenojdi f'organiżmi fotosintetiċi (u possibbilment ukoll f'annimali) għandhom rwol ewlieni fl-assorbiment tal-enerġija mill-ossiġnu singlet u jibdluha fl-istat tal-art mhux eżitat qabel ma jistgħu jikkawżaw ħsara lit-tessuti.")</f>
        <v>Singlet Oxygen huwa isem mogħti lil diversi speċi ta 'enerġija ogħla ta' o molekulari
2 li fih l-ispins kollha tal-elettroni huma mqabbla. Huwa ferm aktar reattiv lejn molekuli organiċi komuni milli huwa molekulari ossiġnu per se. Fin-natura, l-ossiġnu singlet huwa komunement iffurmat mill-ilma waqt il-fotosintesi, bl-użu tal-enerġija tad-dawl tax-xemx. Huwa prodott ukoll fit-troposfera bil-fotolisi ta 'l-ożonu bid-dawl ta' tul ta 'mewġa qasira, u mis-sistema immunitarja bħala sors ta' ossiġnu attiv. Il-karotenojdi f'organiżmi fotosintetiċi (u possibbilment ukoll f'annimali) għandhom rwol ewlieni fl-assorbiment tal-enerġija mill-ossiġnu singlet u jibdluha fl-istat tal-art mhux eżitat qabel ma jistgħu jikkawżaw ħsara lit-tessuti.</v>
      </c>
    </row>
    <row r="19126" ht="15.75" customHeight="1">
      <c r="A19126" s="2" t="s">
        <v>19126</v>
      </c>
      <c r="B19126" s="2" t="str">
        <f>IFERROR(__xludf.DUMMYFUNCTION("GOOGLETRANSLATE(A19126, ""en"", ""mt"")"),"Messiku")</f>
        <v>Messiku</v>
      </c>
    </row>
    <row r="19127" ht="15.75" customHeight="1">
      <c r="A19127" s="2" t="s">
        <v>19127</v>
      </c>
      <c r="B19127" s="2" t="str">
        <f>IFERROR(__xludf.DUMMYFUNCTION("GOOGLETRANSLATE(A19127, ""en"", ""mt"")"),"X'inhu beta carotene?")</f>
        <v>X'inhu beta carotene?</v>
      </c>
    </row>
    <row r="19128" ht="15.75" customHeight="1">
      <c r="A19128" s="2" t="s">
        <v>19128</v>
      </c>
      <c r="B19128" s="2" t="str">
        <f>IFERROR(__xludf.DUMMYFUNCTION("GOOGLETRANSLATE(A19128, ""en"", ""mt"")"),"sponoż")</f>
        <v>sponoż</v>
      </c>
    </row>
    <row r="19129" ht="15.75" customHeight="1">
      <c r="A19129" s="2" t="s">
        <v>19129</v>
      </c>
      <c r="B19129" s="2" t="str">
        <f>IFERROR(__xludf.DUMMYFUNCTION("GOOGLETRANSLATE(A19129, ""en"", ""mt"")"),"votazzjoni sigrieta")</f>
        <v>votazzjoni sigrieta</v>
      </c>
    </row>
    <row r="19130" ht="15.75" customHeight="1">
      <c r="A19130" s="2" t="s">
        <v>19130</v>
      </c>
      <c r="B19130" s="2" t="str">
        <f>IFERROR(__xludf.DUMMYFUNCTION("GOOGLETRANSLATE(A19130, ""en"", ""mt"")"),"Għaliex il-kompetizzjoni fost il-ħaddiema tnaqqas il-pagi?")</f>
        <v>Għaliex il-kompetizzjoni fost il-ħaddiema tnaqqas il-pagi?</v>
      </c>
    </row>
    <row r="19131" ht="15.75" customHeight="1">
      <c r="A19131" s="2" t="s">
        <v>19131</v>
      </c>
      <c r="B19131" s="2" t="str">
        <f>IFERROR(__xludf.DUMMYFUNCTION("GOOGLETRANSLATE(A19131, ""en"", ""mt"")"),"Il-Kungress Nazzjonali Nazzjonalist Indjan u Sekularist Mainstream")</f>
        <v>Il-Kungress Nazzjonali Nazzjonalist Indjan u Sekularist Mainstream</v>
      </c>
    </row>
    <row r="19132" ht="15.75" customHeight="1">
      <c r="A19132" s="2" t="s">
        <v>19132</v>
      </c>
      <c r="B19132" s="2" t="str">
        <f>IFERROR(__xludf.DUMMYFUNCTION("GOOGLETRANSLATE(A19132, ""en"", ""mt"")"),"ħames l-iktar popolati fl-istat")</f>
        <v>ħames l-iktar popolati fl-istat</v>
      </c>
    </row>
    <row r="19133" ht="15.75" customHeight="1">
      <c r="A19133" s="2" t="s">
        <v>19133</v>
      </c>
      <c r="B19133" s="2" t="str">
        <f>IFERROR(__xludf.DUMMYFUNCTION("GOOGLETRANSLATE(A19133, ""en"", ""mt"")"),"X'inhu l-Istadju 1 fil-ħajja ta 'kont?")</f>
        <v>X'inhu l-Istadju 1 fil-ħajja ta 'kont?</v>
      </c>
    </row>
    <row r="19134" ht="15.75" customHeight="1">
      <c r="A19134" s="2" t="s">
        <v>19134</v>
      </c>
      <c r="B19134" s="2" t="str">
        <f>IFERROR(__xludf.DUMMYFUNCTION("GOOGLETRANSLATE(A19134, ""en"", ""mt"")"),"Il-belt għandha żewġ universitajiet - Newcastle University u Northumbria University. L-Università ta ’Newcastle għandha l-oriġini tagħha fl-Iskola tal-Mediċina u l-Kirurġija, stabbilita fl-1834 u saret indipendenti mill-Università ta’ Durham fl-1 ta ’Awwi"&amp;"ssu 1963 biex tifforma l-Università ta’ Newcastle fuq Tyne. Newcastle University issa hija waħda mill-universitajiet internazzjonali ewlenin tar-Renju Unit. Huwa rebaħ il-premju tas-Sunday Times tal-Università tas-Sena fl-2000. L-Università ta 'Northumbri"&amp;"a għandha l-oriġini tagħha fi Newcastle Polytechnic, stabbilita fl-1969 u saret l-Università ta' Northumbria fi Newcastle fl-1992 bħala parti mill-proċess tar-Renju Unit universitajiet. L-Università ta 'Northumbria ġiet ivvutata ""L-Aħjar Università Ġdida"&amp;""" mill-Times Good University Guide 2005 u rebħet ukoll il-Premju tal-Kumpanija ferm coveted tal-Organizzazzjoni ""L-iktar IT Enabled"" (fir-Renju Unit), mir-rivista tal-IT tal-IT.")</f>
        <v>Il-belt għandha żewġ universitajiet - Newcastle University u Northumbria University. L-Università ta ’Newcastle għandha l-oriġini tagħha fl-Iskola tal-Mediċina u l-Kirurġija, stabbilita fl-1834 u saret indipendenti mill-Università ta’ Durham fl-1 ta ’Awwissu 1963 biex tifforma l-Università ta’ Newcastle fuq Tyne. Newcastle University issa hija waħda mill-universitajiet internazzjonali ewlenin tar-Renju Unit. Huwa rebaħ il-premju tas-Sunday Times tal-Università tas-Sena fl-2000. L-Università ta 'Northumbria għandha l-oriġini tagħha fi Newcastle Polytechnic, stabbilita fl-1969 u saret l-Università ta' Northumbria fi Newcastle fl-1992 bħala parti mill-proċess tar-Renju Unit universitajiet. L-Università ta 'Northumbria ġiet ivvutata "L-Aħjar Università Ġdida" mill-Times Good University Guide 2005 u rebħet ukoll il-Premju tal-Kumpanija ferm coveted tal-Organizzazzjoni "L-iktar IT Enabled" (fir-Renju Unit), mir-rivista tal-IT tal-IT.</v>
      </c>
    </row>
    <row r="19135" ht="15.75" customHeight="1">
      <c r="A19135" s="2" t="s">
        <v>19135</v>
      </c>
      <c r="B19135" s="2" t="str">
        <f>IFERROR(__xludf.DUMMYFUNCTION("GOOGLETRANSLATE(A19135, ""en"", ""mt"")"),"Xi tfisser is-sostituzzjoni tat-tagħmir għal xogħol għall-ħaddiema?")</f>
        <v>Xi tfisser is-sostituzzjoni tat-tagħmir għal xogħol għall-ħaddiema?</v>
      </c>
    </row>
    <row r="19136" ht="15.75" customHeight="1">
      <c r="A19136" s="2" t="s">
        <v>19136</v>
      </c>
      <c r="B19136" s="2" t="str">
        <f>IFERROR(__xludf.DUMMYFUNCTION("GOOGLETRANSLATE(A19136, ""en"", ""mt"")"),"Lag George")</f>
        <v>Lag George</v>
      </c>
    </row>
    <row r="19137" ht="15.75" customHeight="1">
      <c r="A19137" s="2" t="s">
        <v>19137</v>
      </c>
      <c r="B19137" s="2" t="str">
        <f>IFERROR(__xludf.DUMMYFUNCTION("GOOGLETRANSLATE(A19137, ""en"", ""mt"")"),"djar tal-bidu tas-seklu għoxrin")</f>
        <v>djar tal-bidu tas-seklu għoxrin</v>
      </c>
    </row>
    <row r="19138" ht="15.75" customHeight="1">
      <c r="A19138" s="2" t="s">
        <v>19138</v>
      </c>
      <c r="B19138" s="2" t="str">
        <f>IFERROR(__xludf.DUMMYFUNCTION("GOOGLETRANSLATE(A19138, ""en"", ""mt"")"),"Liema żerriegħa kienet il-Panthers Carolina?")</f>
        <v>Liema żerriegħa kienet il-Panthers Carolina?</v>
      </c>
    </row>
    <row r="19139" ht="15.75" customHeight="1">
      <c r="A19139" s="2" t="s">
        <v>19139</v>
      </c>
      <c r="B19139" s="2" t="str">
        <f>IFERROR(__xludf.DUMMYFUNCTION("GOOGLETRANSLATE(A19139, ""en"", ""mt"")"),"Xi jfisser il-portafoll sportiv ta 'BSKYB?")</f>
        <v>Xi jfisser il-portafoll sportiv ta 'BSKYB?</v>
      </c>
    </row>
    <row r="19140" ht="15.75" customHeight="1">
      <c r="A19140" s="2" t="s">
        <v>19140</v>
      </c>
      <c r="B19140" s="2" t="str">
        <f>IFERROR(__xludf.DUMMYFUNCTION("GOOGLETRANSLATE(A19140, ""en"", ""mt"")"),"Fir-renju tar-Re Ġorġ")</f>
        <v>Fir-renju tar-Re Ġorġ</v>
      </c>
    </row>
    <row r="19141" ht="15.75" customHeight="1">
      <c r="A19141" s="2" t="s">
        <v>19141</v>
      </c>
      <c r="B19141" s="2" t="str">
        <f>IFERROR(__xludf.DUMMYFUNCTION("GOOGLETRANSLATE(A19141, ""en"", ""mt"")"),"Sħubija Assoċjata")</f>
        <v>Sħubija Assoċjata</v>
      </c>
    </row>
    <row r="19142" ht="15.75" customHeight="1">
      <c r="A19142" s="2" t="s">
        <v>19142</v>
      </c>
      <c r="B19142" s="2" t="str">
        <f>IFERROR(__xludf.DUMMYFUNCTION("GOOGLETRANSLATE(A19142, ""en"", ""mt"")"),"Drittijiet tal-liċenzja tal-minjieri")</f>
        <v>Drittijiet tal-liċenzja tal-minjieri</v>
      </c>
    </row>
    <row r="19143" ht="15.75" customHeight="1">
      <c r="A19143" s="2" t="s">
        <v>19143</v>
      </c>
      <c r="B19143" s="2" t="str">
        <f>IFERROR(__xludf.DUMMYFUNCTION("GOOGLETRANSLATE(A19143, ""en"", ""mt"")"),"Torri tal-Ilma")</f>
        <v>Torri tal-Ilma</v>
      </c>
    </row>
    <row r="19144" ht="15.75" customHeight="1">
      <c r="A19144" s="2" t="s">
        <v>19144</v>
      </c>
      <c r="B19144" s="2" t="str">
        <f>IFERROR(__xludf.DUMMYFUNCTION("GOOGLETRANSLATE(A19144, ""en"", ""mt"")"),"bram")</f>
        <v>bram</v>
      </c>
    </row>
    <row r="19145" ht="15.75" customHeight="1">
      <c r="A19145" s="2" t="s">
        <v>19145</v>
      </c>
      <c r="B19145" s="2" t="str">
        <f>IFERROR(__xludf.DUMMYFUNCTION("GOOGLETRANSLATE(A19145, ""en"", ""mt"")"),"X'jagħmlu jirrifjutaw l-organizzazzjonijiet Iżlamiċi radikali?")</f>
        <v>X'jagħmlu jirrifjutaw l-organizzazzjonijiet Iżlamiċi radikali?</v>
      </c>
    </row>
    <row r="19146" ht="15.75" customHeight="1">
      <c r="A19146" s="2" t="s">
        <v>19146</v>
      </c>
      <c r="B19146" s="2" t="str">
        <f>IFERROR(__xludf.DUMMYFUNCTION("GOOGLETRANSLATE(A19146, ""en"", ""mt"")"),"Fejn iseħħu l-mewġ tal-plażma?")</f>
        <v>Fejn iseħħu l-mewġ tal-plażma?</v>
      </c>
    </row>
    <row r="19147" ht="15.75" customHeight="1">
      <c r="A19147" s="2" t="s">
        <v>19147</v>
      </c>
      <c r="B19147" s="2" t="str">
        <f>IFERROR(__xludf.DUMMYFUNCTION("GOOGLETRANSLATE(A19147, ""en"", ""mt"")"),"Iċ-ċelloli tal-pjanti jirrispondu għall-molekuli assoċjati ma 'patoġeni magħrufa bħala?")</f>
        <v>Iċ-ċelloli tal-pjanti jirrispondu għall-molekuli assoċjati ma 'patoġeni magħrufa bħala?</v>
      </c>
    </row>
    <row r="19148" ht="15.75" customHeight="1">
      <c r="A19148" s="2" t="s">
        <v>19148</v>
      </c>
      <c r="B19148" s="2" t="str">
        <f>IFERROR(__xludf.DUMMYFUNCTION("GOOGLETRANSLATE(A19148, ""en"", ""mt"")"),"splussivi fatali")</f>
        <v>splussivi fatali</v>
      </c>
    </row>
    <row r="19149" ht="15.75" customHeight="1">
      <c r="A19149" s="2" t="s">
        <v>19149</v>
      </c>
      <c r="B19149" s="2" t="str">
        <f>IFERROR(__xludf.DUMMYFUNCTION("GOOGLETRANSLATE(A19149, ""en"", ""mt"")"),"Bitħa li tmiss mal-Assemblea tas-Sala")</f>
        <v>Bitħa li tmiss mal-Assemblea tas-Sala</v>
      </c>
    </row>
    <row r="19150" ht="15.75" customHeight="1">
      <c r="A19150" s="2" t="s">
        <v>19150</v>
      </c>
      <c r="B19150" s="2" t="str">
        <f>IFERROR(__xludf.DUMMYFUNCTION("GOOGLETRANSLATE(A19150, ""en"", ""mt"")"),"Mitokondrija")</f>
        <v>Mitokondrija</v>
      </c>
    </row>
    <row r="19151" ht="15.75" customHeight="1">
      <c r="A19151" s="2" t="s">
        <v>19151</v>
      </c>
      <c r="B19151" s="2" t="str">
        <f>IFERROR(__xludf.DUMMYFUNCTION("GOOGLETRANSLATE(A19151, ""en"", ""mt"")"),"fil-kisba ta 'medikazzjoni kosteffikaċi u tevita l-użu bla bżonn ta' medikazzjoni li jista 'jkollha effetti sekondarji")</f>
        <v>fil-kisba ta 'medikazzjoni kosteffikaċi u tevita l-użu bla bżonn ta' medikazzjoni li jista 'jkollha effetti sekondarji</v>
      </c>
    </row>
    <row r="19152" ht="15.75" customHeight="1">
      <c r="A19152" s="2" t="s">
        <v>19152</v>
      </c>
      <c r="B19152" s="2" t="str">
        <f>IFERROR(__xludf.DUMMYFUNCTION("GOOGLETRANSLATE(A19152, ""en"", ""mt"")"),"X'jista 'xi kultant jieħu sa 14-il sena biex jiksbu permess biex jibnu?")</f>
        <v>X'jista 'xi kultant jieħu sa 14-il sena biex jiksbu permess biex jibnu?</v>
      </c>
    </row>
    <row r="19153" ht="15.75" customHeight="1">
      <c r="A19153" s="2" t="s">
        <v>19153</v>
      </c>
      <c r="B19153" s="2" t="str">
        <f>IFERROR(__xludf.DUMMYFUNCTION("GOOGLETRANSLATE(A19153, ""en"", ""mt"")"),"Kif kienu l-familji tal-garnizon tal-Mongolja li jaqilgħu l-flus?")</f>
        <v>Kif kienu l-familji tal-garnizon tal-Mongolja li jaqilgħu l-flus?</v>
      </c>
    </row>
    <row r="19154" ht="15.75" customHeight="1">
      <c r="A19154" s="2" t="s">
        <v>19154</v>
      </c>
      <c r="B19154" s="2" t="str">
        <f>IFERROR(__xludf.DUMMYFUNCTION("GOOGLETRANSLATE(A19154, ""en"", ""mt"")"),"X'kien l-iskor finali tal-logħba tal-kampjonat AFC?")</f>
        <v>X'kien l-iskor finali tal-logħba tal-kampjonat AFC?</v>
      </c>
    </row>
    <row r="19155" ht="15.75" customHeight="1">
      <c r="A19155" s="2" t="s">
        <v>19155</v>
      </c>
      <c r="B19155" s="2" t="str">
        <f>IFERROR(__xludf.DUMMYFUNCTION("GOOGLETRANSLATE(A19155, ""en"", ""mt"")"),"X'qed jitqies dan l-aħħar bħala status fundamentali ta 'ċittadini tal-istat membru mill-Qorti tal-Ġustizzja?")</f>
        <v>X'qed jitqies dan l-aħħar bħala status fundamentali ta 'ċittadini tal-istat membru mill-Qorti tal-Ġustizzja?</v>
      </c>
    </row>
    <row r="19156" ht="15.75" customHeight="1">
      <c r="A19156" s="2" t="s">
        <v>19156</v>
      </c>
      <c r="B19156" s="2" t="str">
        <f>IFERROR(__xludf.DUMMYFUNCTION("GOOGLETRANSLATE(A19156, ""en"", ""mt"")"),"Dispożizzjonijiet tat-Trattat")</f>
        <v>Dispożizzjonijiet tat-Trattat</v>
      </c>
    </row>
    <row r="19157" ht="15.75" customHeight="1">
      <c r="A19157" s="2" t="s">
        <v>19157</v>
      </c>
      <c r="B19157" s="2" t="str">
        <f>IFERROR(__xludf.DUMMYFUNCTION("GOOGLETRANSLATE(A19157, ""en"", ""mt"")"),"Xi jħossu li xi storiċi mhux Mongoljani jesaġeraw dwar Genghis Khan?")</f>
        <v>Xi jħossu li xi storiċi mhux Mongoljani jesaġeraw dwar Genghis Khan?</v>
      </c>
    </row>
    <row r="19158" ht="15.75" customHeight="1">
      <c r="A19158" s="2" t="s">
        <v>19158</v>
      </c>
      <c r="B19158" s="2" t="str">
        <f>IFERROR(__xludf.DUMMYFUNCTION("GOOGLETRANSLATE(A19158, ""en"", ""mt"")"),"Notazzjoni Big O.")</f>
        <v>Notazzjoni Big O.</v>
      </c>
    </row>
    <row r="19159" ht="15.75" customHeight="1">
      <c r="A19159" s="2" t="s">
        <v>19159</v>
      </c>
      <c r="B19159" s="2" t="str">
        <f>IFERROR(__xludf.DUMMYFUNCTION("GOOGLETRANSLATE(A19159, ""en"", ""mt"")"),"Kemm hemm kloroplasti fiċ-ċelloli tal-gwardja stomatali?")</f>
        <v>Kemm hemm kloroplasti fiċ-ċelloli tal-gwardja stomatali?</v>
      </c>
    </row>
    <row r="19160" ht="15.75" customHeight="1">
      <c r="A19160" s="2" t="s">
        <v>19160</v>
      </c>
      <c r="B19160" s="2" t="str">
        <f>IFERROR(__xludf.DUMMYFUNCTION("GOOGLETRANSLATE(A19160, ""en"", ""mt"")"),"Meta l-konċentrazzjoni tal-ossiġnu tkun għolja wisq")</f>
        <v>Meta l-konċentrazzjoni tal-ossiġnu tkun għolja wisq</v>
      </c>
    </row>
    <row r="19161" ht="15.75" customHeight="1">
      <c r="A19161" s="2" t="s">
        <v>19161</v>
      </c>
      <c r="B19161" s="2" t="str">
        <f>IFERROR(__xludf.DUMMYFUNCTION("GOOGLETRANSLATE(A19161, ""en"", ""mt"")"),"Fatturi ekonomiċi jew finanzjarji")</f>
        <v>Fatturi ekonomiċi jew finanzjarji</v>
      </c>
    </row>
    <row r="19162" ht="15.75" customHeight="1">
      <c r="A19162" s="2" t="s">
        <v>19162</v>
      </c>
      <c r="B19162" s="2" t="str">
        <f>IFERROR(__xludf.DUMMYFUNCTION("GOOGLETRANSLATE(A19162, ""en"", ""mt"")"),"F'ekonomija tas-suq, x'inhi l-inugwaljanza ta 'riflessjoni?")</f>
        <v>F'ekonomija tas-suq, x'inhi l-inugwaljanza ta 'riflessjoni?</v>
      </c>
    </row>
    <row r="19163" ht="15.75" customHeight="1">
      <c r="A19163" s="2" t="s">
        <v>19163</v>
      </c>
      <c r="B19163" s="2" t="str">
        <f>IFERROR(__xludf.DUMMYFUNCTION("GOOGLETRANSLATE(A19163, ""en"", ""mt"")"),"Goldenson ippropona għaqda bejn UPT u liema netwerk f'Ottubru 1954?")</f>
        <v>Goldenson ippropona għaqda bejn UPT u liema netwerk f'Ottubru 1954?</v>
      </c>
    </row>
    <row r="19164" ht="15.75" customHeight="1">
      <c r="A19164" s="2" t="s">
        <v>19164</v>
      </c>
      <c r="B19164" s="2" t="str">
        <f>IFERROR(__xludf.DUMMYFUNCTION("GOOGLETRANSLATE(A19164, ""en"", ""mt"")"),"Meta kien Geegen l-Imperatur?")</f>
        <v>Meta kien Geegen l-Imperatur?</v>
      </c>
    </row>
    <row r="19165" ht="15.75" customHeight="1">
      <c r="A19165" s="2" t="s">
        <v>19165</v>
      </c>
      <c r="B19165" s="2" t="str">
        <f>IFERROR(__xludf.DUMMYFUNCTION("GOOGLETRANSLATE(A19165, ""en"", ""mt"")"),"X'inhu l-metodu konvenzjonali biex titkejjel ir-Rhine?")</f>
        <v>X'inhu l-metodu konvenzjonali biex titkejjel ir-Rhine?</v>
      </c>
    </row>
    <row r="19166" ht="15.75" customHeight="1">
      <c r="A19166" s="2" t="s">
        <v>19166</v>
      </c>
      <c r="B19166" s="2" t="str">
        <f>IFERROR(__xludf.DUMMYFUNCTION("GOOGLETRANSLATE(A19166, ""en"", ""mt"")"),"Reżistenza akkwistata sistemika")</f>
        <v>Reżistenza akkwistata sistemika</v>
      </c>
    </row>
    <row r="19167" ht="15.75" customHeight="1">
      <c r="A19167" s="2" t="s">
        <v>19167</v>
      </c>
      <c r="B19167" s="2" t="str">
        <f>IFERROR(__xludf.DUMMYFUNCTION("GOOGLETRANSLATE(A19167, ""en"", ""mt"")"),"Bejn Han u Jurchen")</f>
        <v>Bejn Han u Jurchen</v>
      </c>
    </row>
    <row r="19168" ht="15.75" customHeight="1">
      <c r="A19168" s="2" t="s">
        <v>19168</v>
      </c>
      <c r="B19168" s="2" t="str">
        <f>IFERROR(__xludf.DUMMYFUNCTION("GOOGLETRANSLATE(A19168, ""en"", ""mt"")"),"sistema umoristika")</f>
        <v>sistema umoristika</v>
      </c>
    </row>
    <row r="19169" ht="15.75" customHeight="1">
      <c r="A19169" s="2" t="s">
        <v>19169</v>
      </c>
      <c r="B19169" s="2" t="str">
        <f>IFERROR(__xludf.DUMMYFUNCTION("GOOGLETRANSLATE(A19169, ""en"", ""mt"")"),"tagħti lil ħuha Polynices difna xierqa")</f>
        <v>tagħti lil ħuha Polynices difna xierqa</v>
      </c>
    </row>
    <row r="19170" ht="15.75" customHeight="1">
      <c r="A19170" s="2" t="s">
        <v>19170</v>
      </c>
      <c r="B19170" s="2" t="str">
        <f>IFERROR(__xludf.DUMMYFUNCTION("GOOGLETRANSLATE(A19170, ""en"", ""mt"")"),"X'kien maħsub li kien il-kawża ta 'devastazzjoni għaċ-ċiviltà?")</f>
        <v>X'kien maħsub li kien il-kawża ta 'devastazzjoni għaċ-ċiviltà?</v>
      </c>
    </row>
    <row r="19171" ht="15.75" customHeight="1">
      <c r="A19171" s="2" t="s">
        <v>19171</v>
      </c>
      <c r="B19171" s="2" t="str">
        <f>IFERROR(__xludf.DUMMYFUNCTION("GOOGLETRANSLATE(A19171, ""en"", ""mt"")"),"validità tal-kuntratt soċjali")</f>
        <v>validità tal-kuntratt soċjali</v>
      </c>
    </row>
    <row r="19172" ht="15.75" customHeight="1">
      <c r="A19172" s="2" t="s">
        <v>19172</v>
      </c>
      <c r="B19172" s="2" t="str">
        <f>IFERROR(__xludf.DUMMYFUNCTION("GOOGLETRANSLATE(A19172, ""en"", ""mt"")"),"Min jistgħu l-għalliema jinjoraw, sabiex jagħtu prijorità lill-attenzjoni?")</f>
        <v>Min jistgħu l-għalliema jinjoraw, sabiex jagħtu prijorità lill-attenzjoni?</v>
      </c>
    </row>
    <row r="19173" ht="15.75" customHeight="1">
      <c r="A19173" s="2" t="s">
        <v>19173</v>
      </c>
      <c r="B19173" s="2" t="str">
        <f>IFERROR(__xludf.DUMMYFUNCTION("GOOGLETRANSLATE(A19173, ""en"", ""mt"")"),"In-Normanni (Norman: Nourmands; Franċiżi: Normands; Latin: Normanni) kienu n-nies li fis-sekli 10 u 11 taw isimhom għan-Normandija, reġjun fi Franza. Kienu dixxendenti minn Norveġja (""Norman"" ġej minn ""Norseman"") Raiders u Pirati mid-Danimarka, l-Isla"&amp;"nda u n-Norveġja li, taħt il-mexxej tagħhom Rollo, qablu li jaħlef il-fealty lir-Re Charles III ta 'West Francia. Permezz ta 'ġenerazzjonijiet ta' assimilazzjoni u taħlit mal-popolazzjonijiet indiġeni ta 'Frankish u Rumani-gaulish, id-dixxendenti tagħhom "&amp;"jingħaqdu gradwalment mal-kulturi bbażati fil-Karolingja tal-Punent ta' Francia. L-identità kulturali u etnika distinta tan-Normanni ħarġet inizjalment fl-ewwel nofs tas-seklu 10, u kompliet tevolvi matul is-sekli suċċessivi.")</f>
        <v>In-Normanni (Norman: Nourmands; Franċiżi: Normands; Latin: Normanni) kienu n-nies li fis-sekli 10 u 11 taw isimhom għan-Normandija, reġjun fi Franza. Kienu dixxendenti minn Norveġja ("Norman" ġej minn "Norseman") Raiders u Pirati mid-Danimarka, l-Islanda u n-Norveġja li, taħt il-mexxej tagħhom Rollo, qablu li jaħlef il-fealty lir-Re Charles III ta 'West Francia. Permezz ta 'ġenerazzjonijiet ta' assimilazzjoni u taħlit mal-popolazzjonijiet indiġeni ta 'Frankish u Rumani-gaulish, id-dixxendenti tagħhom jingħaqdu gradwalment mal-kulturi bbażati fil-Karolingja tal-Punent ta' Francia. L-identità kulturali u etnika distinta tan-Normanni ħarġet inizjalment fl-ewwel nofs tas-seklu 10, u kompliet tevolvi matul is-sekli suċċessivi.</v>
      </c>
    </row>
    <row r="19174" ht="15.75" customHeight="1">
      <c r="A19174" s="2" t="s">
        <v>19174</v>
      </c>
      <c r="B19174" s="2" t="str">
        <f>IFERROR(__xludf.DUMMYFUNCTION("GOOGLETRANSLATE(A19174, ""en"", ""mt"")"),"16 ta ’Ottubru, 2012,")</f>
        <v>16 ta ’Ottubru, 2012,</v>
      </c>
    </row>
    <row r="19175" ht="15.75" customHeight="1">
      <c r="A19175" s="2" t="s">
        <v>19175</v>
      </c>
      <c r="B19175" s="2" t="str">
        <f>IFERROR(__xludf.DUMMYFUNCTION("GOOGLETRANSLATE(A19175, ""en"", ""mt"")"),"Meta mqabbel ma 'bliet oħra Awstraljani, x'inhu d-daqs ta' Melbourne?")</f>
        <v>Meta mqabbel ma 'bliet oħra Awstraljani, x'inhu d-daqs ta' Melbourne?</v>
      </c>
    </row>
    <row r="19176" ht="15.75" customHeight="1">
      <c r="A19176" s="2" t="s">
        <v>19176</v>
      </c>
      <c r="B19176" s="2" t="str">
        <f>IFERROR(__xludf.DUMMYFUNCTION("GOOGLETRANSLATE(A19176, ""en"", ""mt"")"),"Disinn tipiku tal-pajjiżi tal-blokk tal-Lvant")</f>
        <v>Disinn tipiku tal-pajjiżi tal-blokk tal-Lvant</v>
      </c>
    </row>
    <row r="19177" ht="15.75" customHeight="1">
      <c r="A19177" s="2" t="s">
        <v>19177</v>
      </c>
      <c r="B19177" s="2" t="str">
        <f>IFERROR(__xludf.DUMMYFUNCTION("GOOGLETRANSLATE(A19177, ""en"", ""mt"")"),"fi żmien ħames snin")</f>
        <v>fi żmien ħames snin</v>
      </c>
    </row>
    <row r="19178" ht="15.75" customHeight="1">
      <c r="A19178" s="2" t="s">
        <v>19178</v>
      </c>
      <c r="B19178" s="2" t="str">
        <f>IFERROR(__xludf.DUMMYFUNCTION("GOOGLETRANSLATE(A19178, ""en"", ""mt"")"),"3,000 mil")</f>
        <v>3,000 mil</v>
      </c>
    </row>
    <row r="19179" ht="15.75" customHeight="1">
      <c r="A19179" s="2" t="s">
        <v>19179</v>
      </c>
      <c r="B19179" s="2" t="str">
        <f>IFERROR(__xludf.DUMMYFUNCTION("GOOGLETRANSLATE(A19179, ""en"", ""mt"")"),"Hermaphrodites sekwenzjali")</f>
        <v>Hermaphrodites sekwenzjali</v>
      </c>
    </row>
    <row r="19180" ht="15.75" customHeight="1">
      <c r="A19180" s="2" t="s">
        <v>19180</v>
      </c>
      <c r="B19180" s="2" t="str">
        <f>IFERROR(__xludf.DUMMYFUNCTION("GOOGLETRANSLATE(A19180, ""en"", ""mt"")"),"Min fetaħ uffiċjalment il-V &amp; A?")</f>
        <v>Min fetaħ uffiċjalment il-V &amp; A?</v>
      </c>
    </row>
    <row r="19181" ht="15.75" customHeight="1">
      <c r="A19181" s="2" t="s">
        <v>19181</v>
      </c>
      <c r="B19181" s="2" t="str">
        <f>IFERROR(__xludf.DUMMYFUNCTION("GOOGLETRANSLATE(A19181, ""en"", ""mt"")"),"Meta l-Mongoli poġġew l-Uighurs tar-Renju ta 'Qocho fuq il-Koreani fil-Qorti, ir-re Korean oġġezzjona, allura l-Imperatur Mongoljan Kublai Khan ċaħa , li min-naħa tiegħu kien ikklassifikat ogħla mir-re Korean, li kien ikklassifikat l-aħħar, minħabba li l-"&amp;"Uighurs ċedew lill-Mongoli l-ewwel, il-Karluks ċedew wara l-Uighurs, u l-Koreani ċedew l-aħħar, u li l-Uighurs ċedew b'mod paċifiku mingħajr ma jirreżistu b'mod vjolenti.")</f>
        <v>Meta l-Mongoli poġġew l-Uighurs tar-Renju ta 'Qocho fuq il-Koreani fil-Qorti, ir-re Korean oġġezzjona, allura l-Imperatur Mongoljan Kublai Khan ċaħa , li min-naħa tiegħu kien ikklassifikat ogħla mir-re Korean, li kien ikklassifikat l-aħħar, minħabba li l-Uighurs ċedew lill-Mongoli l-ewwel, il-Karluks ċedew wara l-Uighurs, u l-Koreani ċedew l-aħħar, u li l-Uighurs ċedew b'mod paċifiku mingħajr ma jirreżistu b'mod vjolenti.</v>
      </c>
    </row>
    <row r="19182" ht="15.75" customHeight="1">
      <c r="A19182" s="2" t="s">
        <v>19182</v>
      </c>
      <c r="B19182" s="2" t="str">
        <f>IFERROR(__xludf.DUMMYFUNCTION("GOOGLETRANSLATE(A19182, ""en"", ""mt"")"),"qawwa ratba")</f>
        <v>qawwa ratba</v>
      </c>
    </row>
    <row r="19183" ht="15.75" customHeight="1">
      <c r="A19183" s="2" t="s">
        <v>19183</v>
      </c>
      <c r="B19183" s="2" t="str">
        <f>IFERROR(__xludf.DUMMYFUNCTION("GOOGLETRANSLATE(A19183, ""en"", ""mt"")"),"Mill-1510 sal-1520, Luther għamel konferenza fuq is-Salmi, il-kotba tal-Lhud, Rumani, u Galatin. Hekk kif studja dawn il-porzjonijiet tal-Bibbja, huwa ġie biex jara l-użu ta 'termini bħal penitenza u tjieba mill-Knisja Kattolika b'modi ġodda. Huwa sar kon"&amp;"vint li l-knisja kienet korrotta fil-modi tagħha u kienet tilfet il-vista ta 'dak li ra bħala bosta mill-veritajiet ċentrali tal-Kristjaneżmu. L-iktar importanti għal Luther kienet id-duttrina tal-ġustifikazzjoni - l-att ta ’Alla li jiddikjara midneb ġust"&amp;" - bil-fidi biss permezz tal-grazzja ta’ Alla. Huwa beda jgħallem li s-salvazzjoni jew il-fidwa hija rigal tal-grazzja ta ’Alla, li tista’ tinkiseb biss permezz tal-fidi f’Ġesù bħala l-Messija. ""Dan il-blat wieħed u sod, li nsejħu d-duttrina tal-ġustifik"&amp;"azzjoni,"" kiteb, ""huwa l-artikolu ewlieni tad-duttrina Nisranija kollha, li tifhem il-fehim tal-alla kollha.""")</f>
        <v>Mill-1510 sal-1520, Luther għamel konferenza fuq is-Salmi, il-kotba tal-Lhud, Rumani, u Galatin. Hekk kif studja dawn il-porzjonijiet tal-Bibbja, huwa ġie biex jara l-użu ta 'termini bħal penitenza u tjieba mill-Knisja Kattolika b'modi ġodda. Huwa sar konvint li l-knisja kienet korrotta fil-modi tagħha u kienet tilfet il-vista ta 'dak li ra bħala bosta mill-veritajiet ċentrali tal-Kristjaneżmu. L-iktar importanti għal Luther kienet id-duttrina tal-ġustifikazzjoni - l-att ta ’Alla li jiddikjara midneb ġust - bil-fidi biss permezz tal-grazzja ta’ Alla. Huwa beda jgħallem li s-salvazzjoni jew il-fidwa hija rigal tal-grazzja ta ’Alla, li tista’ tinkiseb biss permezz tal-fidi f’Ġesù bħala l-Messija. "Dan il-blat wieħed u sod, li nsejħu d-duttrina tal-ġustifikazzjoni," kiteb, "huwa l-artikolu ewlieni tad-duttrina Nisranija kollha, li tifhem il-fehim tal-alla kollha."</v>
      </c>
    </row>
    <row r="19184" ht="15.75" customHeight="1">
      <c r="A19184" s="2" t="s">
        <v>19184</v>
      </c>
      <c r="B19184" s="2" t="str">
        <f>IFERROR(__xludf.DUMMYFUNCTION("GOOGLETRANSLATE(A19184, ""en"", ""mt"")"),"F'disturbi awtoimmuni, is-sistema immunitarja ma tiddistingwix bejn liema tipi ta 'ċelloli?")</f>
        <v>F'disturbi awtoimmuni, is-sistema immunitarja ma tiddistingwix bejn liema tipi ta 'ċelloli?</v>
      </c>
    </row>
    <row r="19185" ht="15.75" customHeight="1">
      <c r="A19185" s="2" t="s">
        <v>19185</v>
      </c>
      <c r="B19185" s="2" t="str">
        <f>IFERROR(__xludf.DUMMYFUNCTION("GOOGLETRANSLATE(A19185, ""en"", ""mt"")"),"Liema belt Żvizzera kienet iċ-ċentru tal-moviment kalvinista?")</f>
        <v>Liema belt Żvizzera kienet iċ-ċentru tal-moviment kalvinista?</v>
      </c>
    </row>
    <row r="19186" ht="15.75" customHeight="1">
      <c r="A19186" s="2" t="s">
        <v>19186</v>
      </c>
      <c r="B19186" s="2" t="str">
        <f>IFERROR(__xludf.DUMMYFUNCTION("GOOGLETRANSLATE(A19186, ""en"", ""mt"")"),"Knisja stabbilita")</f>
        <v>Knisja stabbilita</v>
      </c>
    </row>
    <row r="19187" ht="15.75" customHeight="1">
      <c r="A19187" s="2" t="s">
        <v>19187</v>
      </c>
      <c r="B19187" s="2" t="str">
        <f>IFERROR(__xludf.DUMMYFUNCTION("GOOGLETRANSLATE(A19187, ""en"", ""mt"")"),"Kif ħass Celeron dwar ir-relazzjonijiet indiġeni?")</f>
        <v>Kif ħass Celeron dwar ir-relazzjonijiet indiġeni?</v>
      </c>
    </row>
    <row r="19188" ht="15.75" customHeight="1">
      <c r="A19188" s="2" t="s">
        <v>19188</v>
      </c>
      <c r="B19188" s="2" t="str">
        <f>IFERROR(__xludf.DUMMYFUNCTION("GOOGLETRANSLATE(A19188, ""en"", ""mt"")"),"Dtime (f (n)).")</f>
        <v>Dtime (f (n)).</v>
      </c>
    </row>
    <row r="19189" ht="15.75" customHeight="1">
      <c r="A19189" s="2" t="s">
        <v>19189</v>
      </c>
      <c r="B19189" s="2" t="str">
        <f>IFERROR(__xludf.DUMMYFUNCTION("GOOGLETRANSLATE(A19189, ""en"", ""mt"")"),"ma tistax tinkiteb bħala s-somma tal-għoqda ta 'żewġ għoqod mhux privati")</f>
        <v>ma tistax tinkiteb bħala s-somma tal-għoqda ta 'żewġ għoqod mhux privati</v>
      </c>
    </row>
    <row r="19190" ht="15.75" customHeight="1">
      <c r="A19190" s="2" t="s">
        <v>19190</v>
      </c>
      <c r="B19190" s="2" t="str">
        <f>IFERROR(__xludf.DUMMYFUNCTION("GOOGLETRANSLATE(A19190, ""en"", ""mt"")"),"Dak li ta lil Priestley it-talba li kienet l-ewwel skoperta ta 'ossiġnu?")</f>
        <v>Dak li ta lil Priestley it-talba li kienet l-ewwel skoperta ta 'ossiġnu?</v>
      </c>
    </row>
    <row r="19191" ht="15.75" customHeight="1">
      <c r="A19191" s="2" t="s">
        <v>19191</v>
      </c>
      <c r="B19191" s="2" t="str">
        <f>IFERROR(__xludf.DUMMYFUNCTION("GOOGLETRANSLATE(A19191, ""en"", ""mt"")"),"Typhoon inauspicious")</f>
        <v>Typhoon inauspicious</v>
      </c>
    </row>
    <row r="19192" ht="15.75" customHeight="1">
      <c r="A19192" s="2" t="s">
        <v>19192</v>
      </c>
      <c r="B19192" s="2" t="str">
        <f>IFERROR(__xludf.DUMMYFUNCTION("GOOGLETRANSLATE(A19192, ""en"", ""mt"")"),"In-nies meta reġgħu bdew juru interess f'Tesla?")</f>
        <v>In-nies meta reġgħu bdew juru interess f'Tesla?</v>
      </c>
    </row>
    <row r="19193" ht="15.75" customHeight="1">
      <c r="A19193" s="2" t="s">
        <v>19193</v>
      </c>
      <c r="B19193" s="2" t="str">
        <f>IFERROR(__xludf.DUMMYFUNCTION("GOOGLETRANSLATE(A19193, ""en"", ""mt"")"),"militari")</f>
        <v>militari</v>
      </c>
    </row>
    <row r="19194" ht="15.75" customHeight="1">
      <c r="A19194" s="2" t="s">
        <v>19194</v>
      </c>
      <c r="B19194" s="2" t="str">
        <f>IFERROR(__xludf.DUMMYFUNCTION("GOOGLETRANSLATE(A19194, ""en"", ""mt"")"),"Iġġustifikat biss kontra entitajiet governattivi")</f>
        <v>Iġġustifikat biss kontra entitajiet governattivi</v>
      </c>
    </row>
    <row r="19195" ht="15.75" customHeight="1">
      <c r="A19195" s="2" t="s">
        <v>19195</v>
      </c>
      <c r="B19195" s="2" t="str">
        <f>IFERROR(__xludf.DUMMYFUNCTION("GOOGLETRANSLATE(A19195, ""en"", ""mt"")"),"X'kienet proposta waħda biex tħalli l-IPCC jirrispondi għal evidenza ġdida aktar malajr?")</f>
        <v>X'kienet proposta waħda biex tħalli l-IPCC jirrispondi għal evidenza ġdida aktar malajr?</v>
      </c>
    </row>
    <row r="19196" ht="15.75" customHeight="1">
      <c r="A19196" s="2" t="s">
        <v>19196</v>
      </c>
      <c r="B19196" s="2" t="str">
        <f>IFERROR(__xludf.DUMMYFUNCTION("GOOGLETRANSLATE(A19196, ""en"", ""mt"")"),"Ir-rwol fit-tixrid tal-għarfien dwar, u l-aċċess għan-netwerking nazzjonali u kien pass importanti fit-triq għall-iżvilupp tal-internet globali")</f>
        <v>Ir-rwol fit-tixrid tal-għarfien dwar, u l-aċċess għan-netwerking nazzjonali u kien pass importanti fit-triq għall-iżvilupp tal-internet globali</v>
      </c>
    </row>
    <row r="19197" ht="15.75" customHeight="1">
      <c r="A19197" s="2" t="s">
        <v>19197</v>
      </c>
      <c r="B19197" s="2" t="str">
        <f>IFERROR(__xludf.DUMMYFUNCTION("GOOGLETRANSLATE(A19197, ""en"", ""mt"")"),"ABC kompla t-tradizzjoni ta 'NBC Blue ta' xiex?")</f>
        <v>ABC kompla t-tradizzjoni ta 'NBC Blue ta' xiex?</v>
      </c>
    </row>
    <row r="19198" ht="15.75" customHeight="1">
      <c r="A19198" s="2" t="s">
        <v>19198</v>
      </c>
      <c r="B19198" s="2" t="str">
        <f>IFERROR(__xludf.DUMMYFUNCTION("GOOGLETRANSLATE(A19198, ""en"", ""mt"")"),"Mill-1892 sal-1894")</f>
        <v>Mill-1892 sal-1894</v>
      </c>
    </row>
    <row r="19199" ht="15.75" customHeight="1">
      <c r="A19199" s="2" t="s">
        <v>19199</v>
      </c>
      <c r="B19199" s="2" t="str">
        <f>IFERROR(__xludf.DUMMYFUNCTION("GOOGLETRANSLATE(A19199, ""en"", ""mt"")"),"Liema nazzjonalità huwa l-perit enric miralles?")</f>
        <v>Liema nazzjonalità huwa l-perit enric miralles?</v>
      </c>
    </row>
    <row r="19200" ht="15.75" customHeight="1">
      <c r="A19200" s="2" t="s">
        <v>19200</v>
      </c>
      <c r="B19200" s="2" t="str">
        <f>IFERROR(__xludf.DUMMYFUNCTION("GOOGLETRANSLATE(A19200, ""en"", ""mt"")"),"Sacramento akbar")</f>
        <v>Sacramento akbar</v>
      </c>
    </row>
    <row r="19201" ht="15.75" customHeight="1">
      <c r="A19201" s="2" t="s">
        <v>19201</v>
      </c>
      <c r="B19201" s="2" t="str">
        <f>IFERROR(__xludf.DUMMYFUNCTION("GOOGLETRANSLATE(A19201, ""en"", ""mt"")"),"Għall-eżerċizzju")</f>
        <v>Għall-eżerċizzju</v>
      </c>
    </row>
    <row r="19202" ht="15.75" customHeight="1">
      <c r="A19202" s="2" t="s">
        <v>19202</v>
      </c>
      <c r="B19202" s="2" t="str">
        <f>IFERROR(__xludf.DUMMYFUNCTION("GOOGLETRANSLATE(A19202, ""en"", ""mt"")"),"Meta l-blat jingħalaq fil-fond fl-art jista 'jintewa wieħed minn żewġ modi, meta jegħleb' il fuq joħloq x'inhu?")</f>
        <v>Meta l-blat jingħalaq fil-fond fl-art jista 'jintewa wieħed minn żewġ modi, meta jegħleb' il fuq joħloq x'inhu?</v>
      </c>
    </row>
    <row r="19203" ht="15.75" customHeight="1">
      <c r="A19203" s="2" t="s">
        <v>19203</v>
      </c>
      <c r="B19203" s="2" t="str">
        <f>IFERROR(__xludf.DUMMYFUNCTION("GOOGLETRANSLATE(A19203, ""en"", ""mt"")"),"Il-klima hija iktar friska")</f>
        <v>Il-klima hija iktar friska</v>
      </c>
    </row>
    <row r="19204" ht="15.75" customHeight="1">
      <c r="A19204" s="2" t="s">
        <v>19204</v>
      </c>
      <c r="B19204" s="2" t="str">
        <f>IFERROR(__xludf.DUMMYFUNCTION("GOOGLETRANSLATE(A19204, ""en"", ""mt"")"),"sodisfazzjon u kuntentizza")</f>
        <v>sodisfazzjon u kuntentizza</v>
      </c>
    </row>
    <row r="19205" ht="15.75" customHeight="1">
      <c r="A19205" s="2" t="s">
        <v>19205</v>
      </c>
      <c r="B19205" s="2" t="str">
        <f>IFERROR(__xludf.DUMMYFUNCTION("GOOGLETRANSLATE(A19205, ""en"", ""mt"")"),"Knisja superviżorja")</f>
        <v>Knisja superviżorja</v>
      </c>
    </row>
    <row r="19206" ht="15.75" customHeight="1">
      <c r="A19206" s="2" t="s">
        <v>19206</v>
      </c>
      <c r="B19206" s="2" t="str">
        <f>IFERROR(__xludf.DUMMYFUNCTION("GOOGLETRANSLATE(A19206, ""en"", ""mt"")"),"Mitt kulleġġ u universitajiet")</f>
        <v>Mitt kulleġġ u universitajiet</v>
      </c>
    </row>
    <row r="19207" ht="15.75" customHeight="1">
      <c r="A19207" s="2" t="s">
        <v>19207</v>
      </c>
      <c r="B19207" s="2" t="str">
        <f>IFERROR(__xludf.DUMMYFUNCTION("GOOGLETRANSLATE(A19207, ""en"", ""mt"")"),"Spiżjara biss")</f>
        <v>Spiżjara biss</v>
      </c>
    </row>
    <row r="19208" ht="15.75" customHeight="1">
      <c r="A19208" s="2" t="s">
        <v>19208</v>
      </c>
      <c r="B19208" s="2" t="str">
        <f>IFERROR(__xludf.DUMMYFUNCTION("GOOGLETRANSLATE(A19208, ""en"", ""mt"")"),"103 mil")</f>
        <v>103 mil</v>
      </c>
    </row>
    <row r="19209" ht="15.75" customHeight="1">
      <c r="A19209" s="2" t="s">
        <v>19209</v>
      </c>
      <c r="B19209" s="2" t="str">
        <f>IFERROR(__xludf.DUMMYFUNCTION("GOOGLETRANSLATE(A19209, ""en"", ""mt"")"),"Kristjaneżmu")</f>
        <v>Kristjaneżmu</v>
      </c>
    </row>
    <row r="19210" ht="15.75" customHeight="1">
      <c r="A19210" s="2" t="s">
        <v>19210</v>
      </c>
      <c r="B19210" s="2" t="str">
        <f>IFERROR(__xludf.DUMMYFUNCTION("GOOGLETRANSLATE(A19210, ""en"", ""mt"")"),"Bejn wieħed u ieħor kemm oġġetti mid-dinja Iżlamika huma miżmuma fil-kollezzjoni V&amp;A?")</f>
        <v>Bejn wieħed u ieħor kemm oġġetti mid-dinja Iżlamika huma miżmuma fil-kollezzjoni V&amp;A?</v>
      </c>
    </row>
    <row r="19211" ht="15.75" customHeight="1">
      <c r="A19211" s="2" t="s">
        <v>19211</v>
      </c>
      <c r="B19211" s="2" t="str">
        <f>IFERROR(__xludf.DUMMYFUNCTION("GOOGLETRANSLATE(A19211, ""en"", ""mt"")"),"Il-liġi konswetudinarja tan-Normandija ġiet żviluppata bejn is-sekli 10 u 13 u tibqa 'ħajja llum permezz tas-sistemi legali ta' Jersey u Guernsey fil-Channel Islands. Il-liġi konswetudinarja Norman ġiet traskritta f'żewġ drawwa bil-Latin minn żewġ imħallf"&amp;"in għall-użu minnhom u l-kollegi tagħhom: dawn huma t-Très Ancien Coumier (konswetudinarja antika ħafna), miktuba bejn l-1200 u l-1245; u l-Grand Coumier de Normandie (konswetudinarju kbir tan-Normandija, oriġinarjament Summa de Legibus Normanniae fil-Cur"&amp;"ia Laïcali), awturi bejn l-1235 u l-1245.")</f>
        <v>Il-liġi konswetudinarja tan-Normandija ġiet żviluppata bejn is-sekli 10 u 13 u tibqa 'ħajja llum permezz tas-sistemi legali ta' Jersey u Guernsey fil-Channel Islands. Il-liġi konswetudinarja Norman ġiet traskritta f'żewġ drawwa bil-Latin minn żewġ imħallfin għall-użu minnhom u l-kollegi tagħhom: dawn huma t-Très Ancien Coumier (konswetudinarja antika ħafna), miktuba bejn l-1200 u l-1245; u l-Grand Coumier de Normandie (konswetudinarju kbir tan-Normandija, oriġinarjament Summa de Legibus Normanniae fil-Curia Laïcali), awturi bejn l-1235 u l-1245.</v>
      </c>
    </row>
    <row r="19212" ht="15.75" customHeight="1">
      <c r="A19212" s="2" t="s">
        <v>19212</v>
      </c>
      <c r="B19212" s="2" t="str">
        <f>IFERROR(__xludf.DUMMYFUNCTION("GOOGLETRANSLATE(A19212, ""en"", ""mt"")"),"Id-Danimarka, l-Islanda u n-Norveġja")</f>
        <v>Id-Danimarka, l-Islanda u n-Norveġja</v>
      </c>
    </row>
    <row r="19213" ht="15.75" customHeight="1">
      <c r="A19213" s="2" t="s">
        <v>19213</v>
      </c>
      <c r="B19213" s="2" t="str">
        <f>IFERROR(__xludf.DUMMYFUNCTION("GOOGLETRANSLATE(A19213, ""en"", ""mt"")"),"Il-piżelli tal-ħamiem huma reżistenti għan-nixfa ħafna,")</f>
        <v>Il-piżelli tal-ħamiem huma reżistenti għan-nixfa ħafna,</v>
      </c>
    </row>
    <row r="19214" ht="15.75" customHeight="1">
      <c r="A19214" s="2" t="s">
        <v>19214</v>
      </c>
      <c r="B19214" s="2" t="str">
        <f>IFERROR(__xludf.DUMMYFUNCTION("GOOGLETRANSLATE(A19214, ""en"", ""mt"")"),"bejn 1.4 u 5.8 ° C")</f>
        <v>bejn 1.4 u 5.8 ° C</v>
      </c>
    </row>
    <row r="19215" ht="15.75" customHeight="1">
      <c r="A19215" s="2" t="s">
        <v>19215</v>
      </c>
      <c r="B19215" s="2" t="str">
        <f>IFERROR(__xludf.DUMMYFUNCTION("GOOGLETRANSLATE(A19215, ""en"", ""mt"")"),"Sitta mis-seba 'linji tas-sistema ferrovjarja tal-vjaġġatur, Metrolink, jispiċċaw mill-belt ta' Los Angeles, li jgħaqqdu Los Angeles, Ventura, San Bernardino, Riverside, Orange, u San Diego Counties bil-linja l-oħra li tgħaqqad San Bernardino, Riverside, "&amp;"u Orange Counties direttament.")</f>
        <v>Sitta mis-seba 'linji tas-sistema ferrovjarja tal-vjaġġatur, Metrolink, jispiċċaw mill-belt ta' Los Angeles, li jgħaqqdu Los Angeles, Ventura, San Bernardino, Riverside, Orange, u San Diego Counties bil-linja l-oħra li tgħaqqad San Bernardino, Riverside, u Orange Counties direttament.</v>
      </c>
    </row>
    <row r="19216" ht="15.75" customHeight="1">
      <c r="A19216" s="2" t="s">
        <v>19216</v>
      </c>
      <c r="B19216" s="2" t="str">
        <f>IFERROR(__xludf.DUMMYFUNCTION("GOOGLETRANSLATE(A19216, ""en"", ""mt"")"),"Fl-1952, wara pressjoni min-neputi ta 'Tesla, Sava Kosanović, il-propjetà kollha ta' Tesla ġiet mibgħuta lejn Belgrad fi 80 bagolli mmarkati N.T. Fl-1957, is-segretarja ta 'Kosanović Charlotte Muzar ittrasportat l-irmied ta' Tesla mill-Istati Uniti għal B"&amp;"elgrad. L-irmied huma murija fi sfera miksija bid-deheb fuq pedestall tal-irħam fil-Mużew Nikola Tesla.")</f>
        <v>Fl-1952, wara pressjoni min-neputi ta 'Tesla, Sava Kosanović, il-propjetà kollha ta' Tesla ġiet mibgħuta lejn Belgrad fi 80 bagolli mmarkati N.T. Fl-1957, is-segretarja ta 'Kosanović Charlotte Muzar ittrasportat l-irmied ta' Tesla mill-Istati Uniti għal Belgrad. L-irmied huma murija fi sfera miksija bid-deheb fuq pedestall tal-irħam fil-Mużew Nikola Tesla.</v>
      </c>
    </row>
    <row r="19217" ht="15.75" customHeight="1">
      <c r="A19217" s="2" t="s">
        <v>19217</v>
      </c>
      <c r="B19217" s="2" t="str">
        <f>IFERROR(__xludf.DUMMYFUNCTION("GOOGLETRANSLATE(A19217, ""en"", ""mt"")"),"$ 759,900")</f>
        <v>$ 759,900</v>
      </c>
    </row>
    <row r="19218" ht="15.75" customHeight="1">
      <c r="A19218" s="2" t="s">
        <v>19218</v>
      </c>
      <c r="B19218" s="2" t="str">
        <f>IFERROR(__xludf.DUMMYFUNCTION("GOOGLETRANSLATE(A19218, ""en"", ""mt"")"),"Fuq xiex kien jiddependi l-mekkaniżmu tal-pesta bubonika?")</f>
        <v>Fuq xiex kien jiddependi l-mekkaniżmu tal-pesta bubonika?</v>
      </c>
    </row>
    <row r="19219" ht="15.75" customHeight="1">
      <c r="A19219" s="2" t="s">
        <v>19219</v>
      </c>
      <c r="B19219" s="2" t="str">
        <f>IFERROR(__xludf.DUMMYFUNCTION("GOOGLETRANSLATE(A19219, ""en"", ""mt"")"),"X'inhi l-ispiża annwali ta 'xi skejjel ta' preparazzjoni notevoli fi New England?")</f>
        <v>X'inhi l-ispiża annwali ta 'xi skejjel ta' preparazzjoni notevoli fi New England?</v>
      </c>
    </row>
    <row r="19220" ht="15.75" customHeight="1">
      <c r="A19220" s="2" t="s">
        <v>19220</v>
      </c>
      <c r="B19220" s="2" t="str">
        <f>IFERROR(__xludf.DUMMYFUNCTION("GOOGLETRANSLATE(A19220, ""en"", ""mt"")"),"Kumpanija tal-Ħażna u l-Imħażen Manhattan")</f>
        <v>Kumpanija tal-Ħażna u l-Imħażen Manhattan</v>
      </c>
    </row>
    <row r="19221" ht="15.75" customHeight="1">
      <c r="A19221" s="2" t="s">
        <v>19221</v>
      </c>
      <c r="B19221" s="2" t="str">
        <f>IFERROR(__xludf.DUMMYFUNCTION("GOOGLETRANSLATE(A19221, ""en"", ""mt"")"),"Ma 'xiex il-Mongoli għamlu lilhom infushom waqt li jattakkaw lil Samarkand?")</f>
        <v>Ma 'xiex il-Mongoli għamlu lilhom infushom waqt li jattakkaw lil Samarkand?</v>
      </c>
    </row>
    <row r="19222" ht="15.75" customHeight="1">
      <c r="A19222" s="2" t="s">
        <v>19222</v>
      </c>
      <c r="B19222" s="2" t="str">
        <f>IFERROR(__xludf.DUMMYFUNCTION("GOOGLETRANSLATE(A19222, ""en"", ""mt"")"),"Matul is-sekli 14 sa 17")</f>
        <v>Matul is-sekli 14 sa 17</v>
      </c>
    </row>
    <row r="19223" ht="15.75" customHeight="1">
      <c r="A19223" s="2" t="s">
        <v>19223</v>
      </c>
      <c r="B19223" s="2" t="str">
        <f>IFERROR(__xludf.DUMMYFUNCTION("GOOGLETRANSLATE(A19223, ""en"", ""mt"")"),"Kemm-il linji tal-ferrovija tal-gauge dojoq kienu proprjetà tal-gvern qabel?")</f>
        <v>Kemm-il linji tal-ferrovija tal-gauge dojoq kienu proprjetà tal-gvern qabel?</v>
      </c>
    </row>
    <row r="19224" ht="15.75" customHeight="1">
      <c r="A19224" s="2" t="s">
        <v>19224</v>
      </c>
      <c r="B19224" s="2" t="str">
        <f>IFERROR(__xludf.DUMMYFUNCTION("GOOGLETRANSLATE(A19224, ""en"", ""mt"")"),"l-abbuż tal-pożizzjoni dominanti")</f>
        <v>l-abbuż tal-pożizzjoni dominanti</v>
      </c>
    </row>
    <row r="19225" ht="15.75" customHeight="1">
      <c r="A19225" s="2" t="s">
        <v>19225</v>
      </c>
      <c r="B19225" s="2" t="str">
        <f>IFERROR(__xludf.DUMMYFUNCTION("GOOGLETRANSLATE(A19225, ""en"", ""mt"")"),"X'jagħmel Luther jikteb li din il-ħajja m'għandhiex?")</f>
        <v>X'jagħmel Luther jikteb li din il-ħajja m'għandhiex?</v>
      </c>
    </row>
    <row r="19226" ht="15.75" customHeight="1">
      <c r="A19226" s="2" t="s">
        <v>19226</v>
      </c>
      <c r="B19226" s="2" t="str">
        <f>IFERROR(__xludf.DUMMYFUNCTION("GOOGLETRANSLATE(A19226, ""en"", ""mt"")"),"Kif qabbad Utent of Tymnet")</f>
        <v>Kif qabbad Utent of Tymnet</v>
      </c>
    </row>
    <row r="19227" ht="15.75" customHeight="1">
      <c r="A19227" s="2" t="s">
        <v>19227</v>
      </c>
      <c r="B19227" s="2" t="str">
        <f>IFERROR(__xludf.DUMMYFUNCTION("GOOGLETRANSLATE(A19227, ""en"", ""mt"")"),"Minn xiex dehret l-inugwaljanza fl-inugwaljanza fid-distribuzzjoni tad-dħul?")</f>
        <v>Minn xiex dehret l-inugwaljanza fl-inugwaljanza fid-distribuzzjoni tad-dħul?</v>
      </c>
    </row>
    <row r="19228" ht="15.75" customHeight="1">
      <c r="A19228" s="2" t="s">
        <v>19228</v>
      </c>
      <c r="B19228" s="2" t="str">
        <f>IFERROR(__xludf.DUMMYFUNCTION("GOOGLETRANSLATE(A19228, ""en"", ""mt"")"),"Jekk xi ħadd qed jiġi mgħallem fil-post tar-residenza tiegħu, kif jissejjaħ?")</f>
        <v>Jekk xi ħadd qed jiġi mgħallem fil-post tar-residenza tiegħu, kif jissejjaħ?</v>
      </c>
    </row>
    <row r="19229" ht="15.75" customHeight="1">
      <c r="A19229" s="2" t="s">
        <v>19229</v>
      </c>
      <c r="B19229" s="2" t="str">
        <f>IFERROR(__xludf.DUMMYFUNCTION("GOOGLETRANSLATE(A19229, ""en"", ""mt"")"),"It-Trofew Vince Lombardi")</f>
        <v>It-Trofew Vince Lombardi</v>
      </c>
    </row>
    <row r="19230" ht="15.75" customHeight="1">
      <c r="A19230" s="2" t="s">
        <v>19230</v>
      </c>
      <c r="B19230" s="2" t="str">
        <f>IFERROR(__xludf.DUMMYFUNCTION("GOOGLETRANSLATE(A19230, ""en"", ""mt"")"),"X'kienet potenzjalment Westinghouse li kienet qed tipprova tevita billi tħallas lil Tesla?")</f>
        <v>X'kienet potenzjalment Westinghouse li kienet qed tipprova tevita billi tħallas lil Tesla?</v>
      </c>
    </row>
    <row r="19231" ht="15.75" customHeight="1">
      <c r="A19231" s="2" t="s">
        <v>19231</v>
      </c>
      <c r="B19231" s="2" t="str">
        <f>IFERROR(__xludf.DUMMYFUNCTION("GOOGLETRANSLATE(A19231, ""en"", ""mt"")"),"Meta l-FCC approva x-xiri ta 'ABC ta' UPT?")</f>
        <v>Meta l-FCC approva x-xiri ta 'ABC ta' UPT?</v>
      </c>
    </row>
    <row r="19232" ht="15.75" customHeight="1">
      <c r="A19232" s="2" t="s">
        <v>19232</v>
      </c>
      <c r="B19232" s="2" t="str">
        <f>IFERROR(__xludf.DUMMYFUNCTION("GOOGLETRANSLATE(A19232, ""en"", ""mt"")"),"privatament fl-uffiċċju tal-prinċipal")</f>
        <v>privatament fl-uffiċċju tal-prinċipal</v>
      </c>
    </row>
    <row r="19233" ht="15.75" customHeight="1">
      <c r="A19233" s="2" t="s">
        <v>19233</v>
      </c>
      <c r="B19233" s="2" t="str">
        <f>IFERROR(__xludf.DUMMYFUNCTION("GOOGLETRANSLATE(A19233, ""en"", ""mt"")"),"Artikolu 49")</f>
        <v>Artikolu 49</v>
      </c>
    </row>
    <row r="19234" ht="15.75" customHeight="1">
      <c r="A19234" s="2" t="s">
        <v>19234</v>
      </c>
      <c r="B19234" s="2" t="str">
        <f>IFERROR(__xludf.DUMMYFUNCTION("GOOGLETRANSLATE(A19234, ""en"", ""mt"")"),"X'inhi l-pożizzjoni li tilgħab Derek Wolfe bħalissa?")</f>
        <v>X'inhi l-pożizzjoni li tilgħab Derek Wolfe bħalissa?</v>
      </c>
    </row>
    <row r="19235" ht="15.75" customHeight="1">
      <c r="A19235" s="2" t="s">
        <v>19235</v>
      </c>
      <c r="B19235" s="2" t="str">
        <f>IFERROR(__xludf.DUMMYFUNCTION("GOOGLETRANSLATE(A19235, ""en"", ""mt"")"),"X'għandhom dak il-Beroids kostali li m'għandhomx dak l-ieħor Ctenophora?")</f>
        <v>X'għandhom dak il-Beroids kostali li m'għandhomx dak l-ieħor Ctenophora?</v>
      </c>
    </row>
    <row r="19236" ht="15.75" customHeight="1">
      <c r="A19236" s="2" t="s">
        <v>19236</v>
      </c>
      <c r="B19236" s="2" t="str">
        <f>IFERROR(__xludf.DUMMYFUNCTION("GOOGLETRANSLATE(A19236, ""en"", ""mt"")"),"Politiki dgħajfa, korruzzjoni, ħaddiema tas-saħħa inadegwati, ġestjoni dgħajfa u tmexxija ħażina fis-settur tas-saħħa pubblika")</f>
        <v>Politiki dgħajfa, korruzzjoni, ħaddiema tas-saħħa inadegwati, ġestjoni dgħajfa u tmexxija ħażina fis-settur tas-saħħa pubblika</v>
      </c>
    </row>
    <row r="19237" ht="15.75" customHeight="1">
      <c r="A19237" s="2" t="s">
        <v>19237</v>
      </c>
      <c r="B19237" s="2" t="str">
        <f>IFERROR(__xludf.DUMMYFUNCTION("GOOGLETRANSLATE(A19237, ""en"", ""mt"")"),"""Annimali taċ-Ċinturin""")</f>
        <v>"Annimali taċ-Ċinturin"</v>
      </c>
    </row>
    <row r="19238" ht="15.75" customHeight="1">
      <c r="A19238" s="2" t="s">
        <v>19238</v>
      </c>
      <c r="B19238" s="2" t="str">
        <f>IFERROR(__xludf.DUMMYFUNCTION("GOOGLETRANSLATE(A19238, ""en"", ""mt"")"),"Għal xiex jintużaw cilia?")</f>
        <v>Għal xiex jintużaw cilia?</v>
      </c>
    </row>
    <row r="19239" ht="15.75" customHeight="1">
      <c r="A19239" s="2" t="s">
        <v>19239</v>
      </c>
      <c r="B19239" s="2" t="str">
        <f>IFERROR(__xludf.DUMMYFUNCTION("GOOGLETRANSLATE(A19239, ""en"", ""mt"")"),"skomdi u mhux sanitarju")</f>
        <v>skomdi u mhux sanitarju</v>
      </c>
    </row>
    <row r="19240" ht="15.75" customHeight="1">
      <c r="A19240" s="2" t="s">
        <v>19240</v>
      </c>
      <c r="B19240" s="2" t="str">
        <f>IFERROR(__xludf.DUMMYFUNCTION("GOOGLETRANSLATE(A19240, ""en"", ""mt"")"),"Iċ-Ċentru tal-Quddiesa")</f>
        <v>Iċ-Ċentru tal-Quddiesa</v>
      </c>
    </row>
    <row r="19241" ht="15.75" customHeight="1">
      <c r="A19241" s="2" t="s">
        <v>19241</v>
      </c>
      <c r="B19241" s="2" t="str">
        <f>IFERROR(__xludf.DUMMYFUNCTION("GOOGLETRANSLATE(A19241, ""en"", ""mt"")"),"Liema kanal nediet ABC fl-1981 li ffoka fuq l-ipprogrammar kulturali u tal-arti?")</f>
        <v>Liema kanal nediet ABC fl-1981 li ffoka fuq l-ipprogrammar kulturali u tal-arti?</v>
      </c>
    </row>
    <row r="19242" ht="15.75" customHeight="1">
      <c r="A19242" s="2" t="s">
        <v>19242</v>
      </c>
      <c r="B19242" s="2" t="str">
        <f>IFERROR(__xludf.DUMMYFUNCTION("GOOGLETRANSLATE(A19242, ""en"", ""mt"")"),"Liema kumitat għamel sforz biex jistieden kumpaniji li huma proprjetà ta 'nies, li huma transġeneru jew omosesswali, biex jieħdu sehem f'negozju kuntrattwali assoċjat mas-Super Bowl 50.")</f>
        <v>Liema kumitat għamel sforz biex jistieden kumpaniji li huma proprjetà ta 'nies, li huma transġeneru jew omosesswali, biex jieħdu sehem f'negozju kuntrattwali assoċjat mas-Super Bowl 50.</v>
      </c>
    </row>
    <row r="19243" ht="15.75" customHeight="1">
      <c r="A19243" s="2" t="s">
        <v>19243</v>
      </c>
      <c r="B19243" s="2" t="str">
        <f>IFERROR(__xludf.DUMMYFUNCTION("GOOGLETRANSLATE(A19243, ""en"", ""mt"")"),"In-Nofsinhar tal-Italja")</f>
        <v>In-Nofsinhar tal-Italja</v>
      </c>
    </row>
    <row r="19244" ht="15.75" customHeight="1">
      <c r="A19244" s="2" t="s">
        <v>19244</v>
      </c>
      <c r="B19244" s="2" t="str">
        <f>IFERROR(__xludf.DUMMYFUNCTION("GOOGLETRANSLATE(A19244, ""en"", ""mt"")"),"Mużew")</f>
        <v>Mużew</v>
      </c>
    </row>
    <row r="19245" ht="15.75" customHeight="1">
      <c r="A19245" s="2" t="s">
        <v>19245</v>
      </c>
      <c r="B19245" s="2" t="str">
        <f>IFERROR(__xludf.DUMMYFUNCTION("GOOGLETRANSLATE(A19245, ""en"", ""mt"")"),"Fis-sens li dawk kollha li huma verament jemmnu f'kull età jappartjenu lill-Knisja Mqaddsa inviżibbli, filwaqt li l-Knisja Metodista Magħquda hija fergħa tal-knisja viżibbli,")</f>
        <v>Fis-sens li dawk kollha li huma verament jemmnu f'kull età jappartjenu lill-Knisja Mqaddsa inviżibbli, filwaqt li l-Knisja Metodista Magħquda hija fergħa tal-knisja viżibbli,</v>
      </c>
    </row>
    <row r="19246" ht="15.75" customHeight="1">
      <c r="A19246" s="2" t="s">
        <v>19246</v>
      </c>
      <c r="B19246" s="2" t="str">
        <f>IFERROR(__xludf.DUMMYFUNCTION("GOOGLETRANSLATE(A19246, ""en"", ""mt"")"),"Żomm veloċità stabbilita")</f>
        <v>Żomm veloċità stabbilita</v>
      </c>
    </row>
    <row r="19247" ht="15.75" customHeight="1">
      <c r="A19247" s="2" t="s">
        <v>19247</v>
      </c>
      <c r="B19247" s="2" t="str">
        <f>IFERROR(__xludf.DUMMYFUNCTION("GOOGLETRANSLATE(A19247, ""en"", ""mt"")"),"Fejn il-kontroll tal-konfederazzjoni Iroquois?")</f>
        <v>Fejn il-kontroll tal-konfederazzjoni Iroquois?</v>
      </c>
    </row>
    <row r="19248" ht="15.75" customHeight="1">
      <c r="A19248" s="2" t="s">
        <v>19248</v>
      </c>
      <c r="B19248" s="2" t="str">
        <f>IFERROR(__xludf.DUMMYFUNCTION("GOOGLETRANSLATE(A19248, ""en"", ""mt"")"),"Saħħa Mentali (Kura u Trattament) (l-Iskozja) Att 2003")</f>
        <v>Saħħa Mentali (Kura u Trattament) (l-Iskozja) Att 2003</v>
      </c>
    </row>
    <row r="19249" ht="15.75" customHeight="1">
      <c r="A19249" s="2" t="s">
        <v>19249</v>
      </c>
      <c r="B19249" s="2" t="str">
        <f>IFERROR(__xludf.DUMMYFUNCTION("GOOGLETRANSLATE(A19249, ""en"", ""mt"")"),"Fejn kienet il-popolazzjoni Huguenot ta 'Franza fil-biċċa l-kbira ċċentrata?")</f>
        <v>Fejn kienet il-popolazzjoni Huguenot ta 'Franza fil-biċċa l-kbira ċċentrata?</v>
      </c>
    </row>
    <row r="19250" ht="15.75" customHeight="1">
      <c r="A19250" s="2" t="s">
        <v>19250</v>
      </c>
      <c r="B19250" s="2" t="str">
        <f>IFERROR(__xludf.DUMMYFUNCTION("GOOGLETRANSLATE(A19250, ""en"", ""mt"")"),"Matul is-snin sebgħin u xi kultant wara, il-gvernijiet tal-Punent u favur il-Punent spiss appoġġjaw Iżlamisti u gruppi Iżlamisti li aktar tard ġew meqjusa bħala għedewwa perikolużi. L-Iżlamisti kienu meqjusa mill-gvernijiet tal-Punent li jbatu kontra - da"&amp;"k li kien maħsub li kien dak iż-żmien - aktar perikolużi xellugin / Komunisti / Nazzjonalisti Insurgenti / oppożizzjoni, li l-Iżlamisti kienu meqjusa b'mod korrett bħala opposti. L-Istati Uniti nefqu biljuni ta 'dollari biex jgħinu lill-għedewwa tal-Mujah"&amp;"ideen Musulmani Afganistan tal-Unjoni Sovjetika, u veterani mhux Afgani tal-gwerra rritornaw id-dar bil-prestiġju tagħhom, ""esperjenza, ideoloġija, u armi"", u kellhom impatt konsiderevoli.")</f>
        <v>Matul is-snin sebgħin u xi kultant wara, il-gvernijiet tal-Punent u favur il-Punent spiss appoġġjaw Iżlamisti u gruppi Iżlamisti li aktar tard ġew meqjusa bħala għedewwa perikolużi. L-Iżlamisti kienu meqjusa mill-gvernijiet tal-Punent li jbatu kontra - dak li kien maħsub li kien dak iż-żmien - aktar perikolużi xellugin / Komunisti / Nazzjonalisti Insurgenti / oppożizzjoni, li l-Iżlamisti kienu meqjusa b'mod korrett bħala opposti. L-Istati Uniti nefqu biljuni ta 'dollari biex jgħinu lill-għedewwa tal-Mujahideen Musulmani Afganistan tal-Unjoni Sovjetika, u veterani mhux Afgani tal-gwerra rritornaw id-dar bil-prestiġju tagħhom, "esperjenza, ideoloġija, u armi", u kellhom impatt konsiderevoli.</v>
      </c>
    </row>
    <row r="19251" ht="15.75" customHeight="1">
      <c r="A19251" s="2" t="s">
        <v>19251</v>
      </c>
      <c r="B19251" s="2" t="str">
        <f>IFERROR(__xludf.DUMMYFUNCTION("GOOGLETRANSLATE(A19251, ""en"", ""mt"")"),"X'inhu l-IEEE?")</f>
        <v>X'inhu l-IEEE?</v>
      </c>
    </row>
    <row r="19252" ht="15.75" customHeight="1">
      <c r="A19252" s="2" t="s">
        <v>19252</v>
      </c>
      <c r="B19252" s="2" t="str">
        <f>IFERROR(__xludf.DUMMYFUNCTION("GOOGLETRANSLATE(A19252, ""en"", ""mt"")"),"bħala persuni")</f>
        <v>bħala persuni</v>
      </c>
    </row>
    <row r="19253" ht="15.75" customHeight="1">
      <c r="A19253" s="2" t="s">
        <v>19253</v>
      </c>
      <c r="B19253" s="2" t="str">
        <f>IFERROR(__xludf.DUMMYFUNCTION("GOOGLETRANSLATE(A19253, ""en"", ""mt"")"),"X'kien id-dmir ideali ta 'magna ġdida?")</f>
        <v>X'kien id-dmir ideali ta 'magna ġdida?</v>
      </c>
    </row>
    <row r="19254" ht="15.75" customHeight="1">
      <c r="A19254" s="2" t="s">
        <v>19254</v>
      </c>
      <c r="B19254" s="2" t="str">
        <f>IFERROR(__xludf.DUMMYFUNCTION("GOOGLETRANSLATE(A19254, ""en"", ""mt"")"),"Fi ħdan in-Nofsinhar ta ’California hemm żewġ bliet ewlenin, Los Angeles u San Diego, kif ukoll tlieta mill-akbar żoni metropolitani tal-pajjiż. B'popolazzjoni ta '3,792,621, Los Angeles hija l-iktar belt popolata f'Kalifornja u t-tieni l-iktar popolata f"&amp;"l-Istati Uniti. Fin-nofsinhar u b'popolazzjoni ta '1,307,402 hija San Diego, it-tieni l-iktar belt popolata fl-istat u t-tmien l-iktar popolata fin-nazzjon.")</f>
        <v>Fi ħdan in-Nofsinhar ta ’California hemm żewġ bliet ewlenin, Los Angeles u San Diego, kif ukoll tlieta mill-akbar żoni metropolitani tal-pajjiż. B'popolazzjoni ta '3,792,621, Los Angeles hija l-iktar belt popolata f'Kalifornja u t-tieni l-iktar popolata fl-Istati Uniti. Fin-nofsinhar u b'popolazzjoni ta '1,307,402 hija San Diego, it-tieni l-iktar belt popolata fl-istat u t-tmien l-iktar popolata fin-nazzjon.</v>
      </c>
    </row>
    <row r="19255" ht="15.75" customHeight="1">
      <c r="A19255" s="2" t="s">
        <v>19255</v>
      </c>
      <c r="B19255" s="2" t="str">
        <f>IFERROR(__xludf.DUMMYFUNCTION("GOOGLETRANSLATE(A19255, ""en"", ""mt"")"),"Kemm il-ħatt tar-Rhine fil-fruntiera Olandiża?")</f>
        <v>Kemm il-ħatt tar-Rhine fil-fruntiera Olandiża?</v>
      </c>
    </row>
    <row r="19256" ht="15.75" customHeight="1">
      <c r="A19256" s="2" t="s">
        <v>19256</v>
      </c>
      <c r="B19256" s="2" t="str">
        <f>IFERROR(__xludf.DUMMYFUNCTION("GOOGLETRANSLATE(A19256, ""en"", ""mt"")"),"il-mudell tat-tilakoid spirali")</f>
        <v>il-mudell tat-tilakoid spirali</v>
      </c>
    </row>
    <row r="19257" ht="15.75" customHeight="1">
      <c r="A19257" s="2" t="s">
        <v>19257</v>
      </c>
      <c r="B19257" s="2" t="str">
        <f>IFERROR(__xludf.DUMMYFUNCTION("GOOGLETRANSLATE(A19257, ""en"", ""mt"")"),"Gateways ippermettew lill-kumpaniji privati ​​jagħmlu dak")</f>
        <v>Gateways ippermettew lill-kumpaniji privati ​​jagħmlu dak</v>
      </c>
    </row>
    <row r="19258" ht="15.75" customHeight="1">
      <c r="A19258" s="2" t="s">
        <v>19258</v>
      </c>
      <c r="B19258" s="2" t="str">
        <f>IFERROR(__xludf.DUMMYFUNCTION("GOOGLETRANSLATE(A19258, ""en"", ""mt"")"),"Kittieba li l-karti tagħhom huma fil-librerija huma diversi daqs Charles Dickens u Beatrix Potter. Manuskritti mdawlin fil-librerija li jmorru mis-sekli 12 sa 16 jinkludu: is-Salter Eadwine [ċitazzjoni meħtieġa], Canterbury; Ktieb tal-but ta 'sigħat, Reim"&amp;"s; Missal mill-Abbey Irjali ta ’San Denis, Pariġi; Il-Ktieb tas-Sigħat Simon Marmion, Bruges; 1524 charter imdawwal minn Lucas Horenbout, Londra; Il-manuskritt Armagnac tal-prova u r-riabilitazzjoni ta 'Joan of Arc, Rouen. Ukoll il-perjodu Vittorjan huwa "&amp;"rrappreżentat minn William Morris.")</f>
        <v>Kittieba li l-karti tagħhom huma fil-librerija huma diversi daqs Charles Dickens u Beatrix Potter. Manuskritti mdawlin fil-librerija li jmorru mis-sekli 12 sa 16 jinkludu: is-Salter Eadwine [ċitazzjoni meħtieġa], Canterbury; Ktieb tal-but ta 'sigħat, Reims; Missal mill-Abbey Irjali ta ’San Denis, Pariġi; Il-Ktieb tas-Sigħat Simon Marmion, Bruges; 1524 charter imdawwal minn Lucas Horenbout, Londra; Il-manuskritt Armagnac tal-prova u r-riabilitazzjoni ta 'Joan of Arc, Rouen. Ukoll il-perjodu Vittorjan huwa rrappreżentat minn William Morris.</v>
      </c>
    </row>
    <row r="19259" ht="15.75" customHeight="1">
      <c r="A19259" s="2" t="s">
        <v>19259</v>
      </c>
      <c r="B19259" s="2" t="str">
        <f>IFERROR(__xludf.DUMMYFUNCTION("GOOGLETRANSLATE(A19259, ""en"", ""mt"")"),"foresta miftuħa u ħaxix")</f>
        <v>foresta miftuħa u ħaxix</v>
      </c>
    </row>
    <row r="19260" ht="15.75" customHeight="1">
      <c r="A19260" s="2" t="s">
        <v>19260</v>
      </c>
      <c r="B19260" s="2" t="str">
        <f>IFERROR(__xludf.DUMMYFUNCTION("GOOGLETRANSLATE(A19260, ""en"", ""mt"")"),"Sinodu")</f>
        <v>Sinodu</v>
      </c>
    </row>
    <row r="19261" ht="15.75" customHeight="1">
      <c r="A19261" s="2" t="s">
        <v>19261</v>
      </c>
      <c r="B19261" s="2" t="str">
        <f>IFERROR(__xludf.DUMMYFUNCTION("GOOGLETRANSLATE(A19261, ""en"", ""mt"")"),"Partijiet ħodor")</f>
        <v>Partijiet ħodor</v>
      </c>
    </row>
    <row r="19262" ht="15.75" customHeight="1">
      <c r="A19262" s="2" t="s">
        <v>19262</v>
      </c>
      <c r="B19262" s="2" t="str">
        <f>IFERROR(__xludf.DUMMYFUNCTION("GOOGLETRANSLATE(A19262, ""en"", ""mt"")"),"testendi riċettur ta 'vitamina D")</f>
        <v>testendi riċettur ta 'vitamina D</v>
      </c>
    </row>
    <row r="19263" ht="15.75" customHeight="1">
      <c r="A19263" s="2" t="s">
        <v>19263</v>
      </c>
      <c r="B19263" s="2" t="str">
        <f>IFERROR(__xludf.DUMMYFUNCTION("GOOGLETRANSLATE(A19263, ""en"", ""mt"")"),"X'inhi l-ispiża totali ta 'attendenza fl-2012-13?")</f>
        <v>X'inhi l-ispiża totali ta 'attendenza fl-2012-13?</v>
      </c>
    </row>
    <row r="19264" ht="15.75" customHeight="1">
      <c r="A19264" s="2" t="s">
        <v>19264</v>
      </c>
      <c r="B19264" s="2" t="str">
        <f>IFERROR(__xludf.DUMMYFUNCTION("GOOGLETRANSLATE(A19264, ""en"", ""mt"")"),"Demografikament, kienet l-iktar belt diversa fil-Polonja, b'numru sinifikanti ta 'abitanti ta' twelid barrani. Minbarra l-maġġoranza Pollakka, kien hemm minoranza Lhudija sinifikanti f'Varsavja. Skond iċ-ċensiment Russu tal-1897, mill-popolazzjoni totali "&amp;"ta '638,000, il-Lhud kienu jikkostitwixxu 219,000 (madwar 34% fil-mija). Il-popolazzjoni Lhudija ta 'Varsavja qabel aktar minn 350,000 kienet tikkostitwixxi madwar 30 fil-mija tal-popolazzjoni totali tal-belt. Fl-1933, minn 1,178,914 abitant 833,500 kienu"&amp;" ta 'lingwa materna Pollakka. It-Tieni Gwerra Dinjija biddlet id-demografija tal-belt, u sal-lum hemm ħafna inqas diversità etnika milli fit-300 sena preċedenti ta 'l-istorja ta' Varsavja. Il-biċċa l-kbira tat-tkabbir tal-popolazzjoni moderna tal-ġurnata "&amp;"huwa bbażat fuq il-migrazzjoni interna u l-urbanizzazzjoni.")</f>
        <v>Demografikament, kienet l-iktar belt diversa fil-Polonja, b'numru sinifikanti ta 'abitanti ta' twelid barrani. Minbarra l-maġġoranza Pollakka, kien hemm minoranza Lhudija sinifikanti f'Varsavja. Skond iċ-ċensiment Russu tal-1897, mill-popolazzjoni totali ta '638,000, il-Lhud kienu jikkostitwixxu 219,000 (madwar 34% fil-mija). Il-popolazzjoni Lhudija ta 'Varsavja qabel aktar minn 350,000 kienet tikkostitwixxi madwar 30 fil-mija tal-popolazzjoni totali tal-belt. Fl-1933, minn 1,178,914 abitant 833,500 kienu ta 'lingwa materna Pollakka. It-Tieni Gwerra Dinjija biddlet id-demografija tal-belt, u sal-lum hemm ħafna inqas diversità etnika milli fit-300 sena preċedenti ta 'l-istorja ta' Varsavja. Il-biċċa l-kbira tat-tkabbir tal-popolazzjoni moderna tal-ġurnata huwa bbażat fuq il-migrazzjoni interna u l-urbanizzazzjoni.</v>
      </c>
    </row>
    <row r="19265" ht="15.75" customHeight="1">
      <c r="A19265" s="2" t="s">
        <v>19265</v>
      </c>
      <c r="B19265" s="2" t="str">
        <f>IFERROR(__xludf.DUMMYFUNCTION("GOOGLETRANSLATE(A19265, ""en"", ""mt"")"),"uffiċċji ċivili, militari u ċensuri")</f>
        <v>uffiċċji ċivili, militari u ċensuri</v>
      </c>
    </row>
    <row r="19266" ht="15.75" customHeight="1">
      <c r="A19266" s="2" t="s">
        <v>19266</v>
      </c>
      <c r="B19266" s="2" t="str">
        <f>IFERROR(__xludf.DUMMYFUNCTION("GOOGLETRANSLATE(A19266, ""en"", ""mt"")"),"Jekk l-għalliem jiffoka fuq iż-żamma tal-ordni, minn xiex jieħu ż-żmien?")</f>
        <v>Jekk l-għalliem jiffoka fuq iż-żamma tal-ordni, minn xiex jieħu ż-żmien?</v>
      </c>
    </row>
    <row r="19267" ht="15.75" customHeight="1">
      <c r="A19267" s="2" t="s">
        <v>19267</v>
      </c>
      <c r="B19267" s="2" t="str">
        <f>IFERROR(__xludf.DUMMYFUNCTION("GOOGLETRANSLATE(A19267, ""en"", ""mt"")"),"Densità għolja")</f>
        <v>Densità għolja</v>
      </c>
    </row>
    <row r="19268" ht="15.75" customHeight="1">
      <c r="A19268" s="2" t="s">
        <v>19268</v>
      </c>
      <c r="B19268" s="2" t="str">
        <f>IFERROR(__xludf.DUMMYFUNCTION("GOOGLETRANSLATE(A19268, ""en"", ""mt"")"),"Meta kienet ir-rewwixta Olandiża?")</f>
        <v>Meta kienet ir-rewwixta Olandiża?</v>
      </c>
    </row>
    <row r="19269" ht="15.75" customHeight="1">
      <c r="A19269" s="2" t="s">
        <v>19269</v>
      </c>
      <c r="B19269" s="2" t="str">
        <f>IFERROR(__xludf.DUMMYFUNCTION("GOOGLETRANSLATE(A19269, ""en"", ""mt"")"),"Fl-1564 grupp ta 'Norman Huguenots taħt it-tmexxija ta' Jean Ribault stabbilixxa l-kolonja żgħira ta 'Fort Caroline fuq il-banek tax-Xmara San Ġwann f'dak li llum huwa Jacksonville, Florida. L-isforz kien l-ewwel wieħed fi kwalunkwe soluzzjoni Ewropea per"&amp;"manenti fl-Istati Uniti kontinentali preżenti, iżda baqa 'ħaj biss ftit żmien. Attakk navali Franċiż ta 'Settembru 1565 kontra l-kolonja Spanjola l-ġdida f'San Wistin falla meta l-vapuri tagħha ntlaqtu minn uragan fi triqthom lejn l-akkampjar Spanjol fil-"&amp;"Fort Matanzas. Mijiet ta 'suldati Franċiżi kienu mitluqin u ċeduti lill-forzi Spanjoli numerikament inferjuri mmexxija minn Pedro Menendez. Menendez ipproċeda għall-massakru l-Huguenots bla difiża, u wara ħassar il-Garrison ta 'Fort Caroline.")</f>
        <v>Fl-1564 grupp ta 'Norman Huguenots taħt it-tmexxija ta' Jean Ribault stabbilixxa l-kolonja żgħira ta 'Fort Caroline fuq il-banek tax-Xmara San Ġwann f'dak li llum huwa Jacksonville, Florida. L-isforz kien l-ewwel wieħed fi kwalunkwe soluzzjoni Ewropea permanenti fl-Istati Uniti kontinentali preżenti, iżda baqa 'ħaj biss ftit żmien. Attakk navali Franċiż ta 'Settembru 1565 kontra l-kolonja Spanjola l-ġdida f'San Wistin falla meta l-vapuri tagħha ntlaqtu minn uragan fi triqthom lejn l-akkampjar Spanjol fil-Fort Matanzas. Mijiet ta 'suldati Franċiżi kienu mitluqin u ċeduti lill-forzi Spanjoli numerikament inferjuri mmexxija minn Pedro Menendez. Menendez ipproċeda għall-massakru l-Huguenots bla difiża, u wara ħassar il-Garrison ta 'Fort Caroline.</v>
      </c>
    </row>
    <row r="19270" ht="15.75" customHeight="1">
      <c r="A19270" s="2" t="s">
        <v>19270</v>
      </c>
      <c r="B19270" s="2" t="str">
        <f>IFERROR(__xludf.DUMMYFUNCTION("GOOGLETRANSLATE(A19270, ""en"", ""mt"")"),"60 jum")</f>
        <v>60 jum</v>
      </c>
    </row>
    <row r="19271" ht="15.75" customHeight="1">
      <c r="A19271" s="2" t="s">
        <v>19271</v>
      </c>
      <c r="B19271" s="2" t="str">
        <f>IFERROR(__xludf.DUMMYFUNCTION("GOOGLETRANSLATE(A19271, ""en"", ""mt"")"),"ir-relazzjoni bejn l-għalliema u t-tfal")</f>
        <v>ir-relazzjoni bejn l-għalliema u t-tfal</v>
      </c>
    </row>
    <row r="19272" ht="15.75" customHeight="1">
      <c r="A19272" s="2" t="s">
        <v>19272</v>
      </c>
      <c r="B19272" s="2" t="str">
        <f>IFERROR(__xludf.DUMMYFUNCTION("GOOGLETRANSLATE(A19272, ""en"", ""mt"")"),"Il-bużba tal-metrika")</f>
        <v>Il-bużba tal-metrika</v>
      </c>
    </row>
    <row r="19273" ht="15.75" customHeight="1">
      <c r="A19273" s="2" t="s">
        <v>19273</v>
      </c>
      <c r="B19273" s="2" t="str">
        <f>IFERROR(__xludf.DUMMYFUNCTION("GOOGLETRANSLATE(A19273, ""en"", ""mt"")"),"funzjonijiet tal-iskola")</f>
        <v>funzjonijiet tal-iskola</v>
      </c>
    </row>
    <row r="19274" ht="15.75" customHeight="1">
      <c r="A19274" s="2" t="s">
        <v>19274</v>
      </c>
      <c r="B19274" s="2" t="str">
        <f>IFERROR(__xludf.DUMMYFUNCTION("GOOGLETRANSLATE(A19274, ""en"", ""mt"")"),"Mercedes-Benz Superdome ta 'New Orleans, Miami's Sun Life Stadium, u l-istadium Levi's Levi tal-Bajja ta' San Francisco.")</f>
        <v>Mercedes-Benz Superdome ta 'New Orleans, Miami's Sun Life Stadium, u l-istadium Levi's Levi tal-Bajja ta' San Francisco.</v>
      </c>
    </row>
    <row r="19275" ht="15.75" customHeight="1">
      <c r="A19275" s="2" t="s">
        <v>19275</v>
      </c>
      <c r="B19275" s="2" t="str">
        <f>IFERROR(__xludf.DUMMYFUNCTION("GOOGLETRANSLATE(A19275, ""en"", ""mt"")"),"Qilla ta ’Alla lill-Insara.")</f>
        <v>Qilla ta ’Alla lill-Insara.</v>
      </c>
    </row>
    <row r="19276" ht="15.75" customHeight="1">
      <c r="A19276" s="2" t="s">
        <v>19276</v>
      </c>
      <c r="B19276" s="2" t="str">
        <f>IFERROR(__xludf.DUMMYFUNCTION("GOOGLETRANSLATE(A19276, ""en"", ""mt"")"),"$ 125 kull xahar")</f>
        <v>$ 125 kull xahar</v>
      </c>
    </row>
    <row r="19277" ht="15.75" customHeight="1">
      <c r="A19277" s="2" t="s">
        <v>19277</v>
      </c>
      <c r="B19277" s="2" t="str">
        <f>IFERROR(__xludf.DUMMYFUNCTION("GOOGLETRANSLATE(A19277, ""en"", ""mt"")"),"5 miljun")</f>
        <v>5 miljun</v>
      </c>
    </row>
    <row r="19278" ht="15.75" customHeight="1">
      <c r="A19278" s="2" t="s">
        <v>19278</v>
      </c>
      <c r="B19278" s="2" t="str">
        <f>IFERROR(__xludf.DUMMYFUNCTION("GOOGLETRANSLATE(A19278, ""en"", ""mt"")"),"Xi studjużi, bħal Mark U. Edwards fil-ktieb tiegħu Luther's Last Battles: Politics and Polemics 1531–46 (1983), jissuġġerixxu li peress li l-opinjonijiet dejjem aktar antisemitiċi ta 'Luther żviluppaw matul is-snin li saħħtu marret għall-agħar, huwa possi"&amp;"bbli li kienu tal-inqas parzjalment il- prodott ta 'stat tal-moħħ li qed jonqos. Edwards jikkummenta wkoll li Luther spiss uża deliberatament ""vulgarità u vjolenza"" għall-effett, kemm fil-kitbiet tiegħu li jikkundannaw il-Lhud kif ukoll fid-diatribi kon"&amp;"tra ""Torok"" (Musulmani) u Kattoliċi.")</f>
        <v>Xi studjużi, bħal Mark U. Edwards fil-ktieb tiegħu Luther's Last Battles: Politics and Polemics 1531–46 (1983), jissuġġerixxu li peress li l-opinjonijiet dejjem aktar antisemitiċi ta 'Luther żviluppaw matul is-snin li saħħtu marret għall-agħar, huwa possibbli li kienu tal-inqas parzjalment il- prodott ta 'stat tal-moħħ li qed jonqos. Edwards jikkummenta wkoll li Luther spiss uża deliberatament "vulgarità u vjolenza" għall-effett, kemm fil-kitbiet tiegħu li jikkundannaw il-Lhud kif ukoll fid-diatribi kontra "Torok" (Musulmani) u Kattoliċi.</v>
      </c>
    </row>
    <row r="19279" ht="15.75" customHeight="1">
      <c r="A19279" s="2" t="s">
        <v>19279</v>
      </c>
      <c r="B19279" s="2" t="str">
        <f>IFERROR(__xludf.DUMMYFUNCTION("GOOGLETRANSLATE(A19279, ""en"", ""mt"")"),"Unitajiet ta 'kiri ta' kwalità")</f>
        <v>Unitajiet ta 'kiri ta' kwalità</v>
      </c>
    </row>
    <row r="19280" ht="15.75" customHeight="1">
      <c r="A19280" s="2" t="s">
        <v>19280</v>
      </c>
      <c r="B19280" s="2" t="str">
        <f>IFERROR(__xludf.DUMMYFUNCTION("GOOGLETRANSLATE(A19280, ""en"", ""mt"")"),"B'għarfien modern dwar il-mekkanika kwantistika u t-teknoloġija li jistgħu jaċċeleraw il-partiċelli viċin il-veloċità tad-dawl, il-fiżika tal-partikuli fasslet mudell standard biex tiddeskrivi forzi bejn partiċelli iżgħar mill-atomi. Il-mudell standard ib"&amp;"assar li partiċelli skambjati msejħa bosons tal-gauge huma l-mezzi fundamentali li bihom il-forzi jiġu emessi u assorbiti. Erba 'interazzjonijiet ewlenin huma magħrufa biss: f'ordni ta' saħħa li tonqos, huma: b'saħħithom, elettromanjetiċi, dgħajfa, u grav"&amp;"itazzjonali. huma espressjonijiet ta 'interazzjoni elettroweak aktar fundamentali.")</f>
        <v>B'għarfien modern dwar il-mekkanika kwantistika u t-teknoloġija li jistgħu jaċċeleraw il-partiċelli viċin il-veloċità tad-dawl, il-fiżika tal-partikuli fasslet mudell standard biex tiddeskrivi forzi bejn partiċelli iżgħar mill-atomi. Il-mudell standard ibassar li partiċelli skambjati msejħa bosons tal-gauge huma l-mezzi fundamentali li bihom il-forzi jiġu emessi u assorbiti. Erba 'interazzjonijiet ewlenin huma magħrufa biss: f'ordni ta' saħħa li tonqos, huma: b'saħħithom, elettromanjetiċi, dgħajfa, u gravitazzjonali. huma espressjonijiet ta 'interazzjoni elettroweak aktar fundamentali.</v>
      </c>
    </row>
    <row r="19281" ht="15.75" customHeight="1">
      <c r="A19281" s="2" t="s">
        <v>19281</v>
      </c>
      <c r="B19281" s="2" t="str">
        <f>IFERROR(__xludf.DUMMYFUNCTION("GOOGLETRANSLATE(A19281, ""en"", ""mt"")"),"Kemm-il sena jeżistu prattiki imperjalisti?")</f>
        <v>Kemm-il sena jeżistu prattiki imperjalisti?</v>
      </c>
    </row>
    <row r="19282" ht="15.75" customHeight="1">
      <c r="A19282" s="2" t="s">
        <v>19282</v>
      </c>
      <c r="B19282" s="2" t="str">
        <f>IFERROR(__xludf.DUMMYFUNCTION("GOOGLETRANSLATE(A19282, ""en"", ""mt"")"),"Bil-qawmien mill-ġdid tal-2005 tal-ispettaklu, il-produttur eżekuttiv Russell T Davies iddikjara l-intenzjoni tiegħu li jerġa 'jintroduċi ikoni klassiċi ta' Doctor Who One Sons Serje 3, is-Sontarans u Davros fis-Serje 4, u t-Time Lords (Rassilon) fl-ispeċ"&amp;"jalitajiet 2009-10. Is-suċċessur ta 'Davies, Steven Moffat, kompla t-tendenza billi reġa' qajjem is-Silurjani fis-Serje 5, Cybermats fis-Serje 6, l-Intelliġenza l-Kbira u l-Ġellieda tas-Silġ fis-Serje 7, u ż-żygons fil-50 anniversarju speċjali. Mir-ritorn"&amp;" tal-2005 tagħha, is-serje introduċiet ukoll aljeni ġodda rikurrenti: Slitheen (raxacoricofallapatorian), ood, judoon, anġli li jibku u s-silenzju.")</f>
        <v>Bil-qawmien mill-ġdid tal-2005 tal-ispettaklu, il-produttur eżekuttiv Russell T Davies iddikjara l-intenzjoni tiegħu li jerġa 'jintroduċi ikoni klassiċi ta' Doctor Who One Sons Serje 3, is-Sontarans u Davros fis-Serje 4, u t-Time Lords (Rassilon) fl-ispeċjalitajiet 2009-10. Is-suċċessur ta 'Davies, Steven Moffat, kompla t-tendenza billi reġa' qajjem is-Silurjani fis-Serje 5, Cybermats fis-Serje 6, l-Intelliġenza l-Kbira u l-Ġellieda tas-Silġ fis-Serje 7, u ż-żygons fil-50 anniversarju speċjali. Mir-ritorn tal-2005 tagħha, is-serje introduċiet ukoll aljeni ġodda rikurrenti: Slitheen (raxacoricofallapatorian), ood, judoon, anġli li jibku u s-silenzju.</v>
      </c>
    </row>
    <row r="19283" ht="15.75" customHeight="1">
      <c r="A19283" s="2" t="s">
        <v>19283</v>
      </c>
      <c r="B19283" s="2" t="str">
        <f>IFERROR(__xludf.DUMMYFUNCTION("GOOGLETRANSLATE(A19283, ""en"", ""mt"")"),"Vjolazzjoni tal-liġi kriminali li ma tikserx id-drittijiet ta 'ħaddieħor")</f>
        <v>Vjolazzjoni tal-liġi kriminali li ma tikserx id-drittijiet ta 'ħaddieħor</v>
      </c>
    </row>
    <row r="19284" ht="15.75" customHeight="1">
      <c r="A19284" s="2" t="s">
        <v>19284</v>
      </c>
      <c r="B19284" s="2" t="str">
        <f>IFERROR(__xludf.DUMMYFUNCTION("GOOGLETRANSLATE(A19284, ""en"", ""mt"")"),"X'inhu l-isem tal-faċilità tal-baskitbol ta 'Harvard?")</f>
        <v>X'inhu l-isem tal-faċilità tal-baskitbol ta 'Harvard?</v>
      </c>
    </row>
    <row r="19285" ht="15.75" customHeight="1">
      <c r="A19285" s="2" t="s">
        <v>19285</v>
      </c>
      <c r="B19285" s="2" t="str">
        <f>IFERROR(__xludf.DUMMYFUNCTION("GOOGLETRANSLATE(A19285, ""en"", ""mt"")"),"O (n2)")</f>
        <v>O (n2)</v>
      </c>
    </row>
    <row r="19286" ht="15.75" customHeight="1">
      <c r="A19286" s="2" t="s">
        <v>19286</v>
      </c>
      <c r="B19286" s="2" t="str">
        <f>IFERROR(__xludf.DUMMYFUNCTION("GOOGLETRANSLATE(A19286, ""en"", ""mt"")"),"Terminal dial-up ma 'kuxxinett, jew, billi jgħaqqad nodu permanenti X.25")</f>
        <v>Terminal dial-up ma 'kuxxinett, jew, billi jgħaqqad nodu permanenti X.25</v>
      </c>
    </row>
    <row r="19287" ht="15.75" customHeight="1">
      <c r="A19287" s="2" t="s">
        <v>19287</v>
      </c>
      <c r="B19287" s="2" t="str">
        <f>IFERROR(__xludf.DUMMYFUNCTION("GOOGLETRANSLATE(A19287, ""en"", ""mt"")"),"Li tiġġustifika l-grazzja jew l-aċċettazzjoni tal-grazzja hija dik il-grazzja, offruta minn Alla lill-poplu kollu, li nirċievu bil-fidi u l-fiduċja fi Kristu, li permezz tiegħu Alla jaħfer lil min jemmen fid-dnub. Huwa fil-grazzja li niġġustifikaw li rċev"&amp;"ejna minn Alla, minkejja d-dnub tagħna. F’din ir-riċeviment, aħna skużati permezz tax-xogħol ta ’telf ta’ Ġesù Kristu fuq is-salib. Il-grazzja li tiġġustifika tikkanċella l-ħtija tagħna u tagħti s-setgħa li nirreżistu l-qawwa tad-dnub u nħobbu bis-sħiħ li"&amp;"l Alla u l-proxxmu. Illum, li tiġġustifika l-grazzja hija magħrufa wkoll bħala konverżjoni, ""taċċetta lil Ġesù bħala l-Mulej u s-Salvatur personali tiegħek,"" jew li tkun ""imwieled mill-ġdid"". John Wesley oriġinarjament sejjaħ din l-esperjenza tat-twel"&amp;"id il-ġdid. Din l-esperjenza tista 'sseħħ b'modi differenti; Jista 'jkun mument wieħed li jittrasforma, bħal esperjenza ta' sejħa għall-artal, jew jista 'jinvolvi serje ta' deċiżjonijiet matul perjodu ta 'żmien.")</f>
        <v>Li tiġġustifika l-grazzja jew l-aċċettazzjoni tal-grazzja hija dik il-grazzja, offruta minn Alla lill-poplu kollu, li nirċievu bil-fidi u l-fiduċja fi Kristu, li permezz tiegħu Alla jaħfer lil min jemmen fid-dnub. Huwa fil-grazzja li niġġustifikaw li rċevejna minn Alla, minkejja d-dnub tagħna. F’din ir-riċeviment, aħna skużati permezz tax-xogħol ta ’telf ta’ Ġesù Kristu fuq is-salib. Il-grazzja li tiġġustifika tikkanċella l-ħtija tagħna u tagħti s-setgħa li nirreżistu l-qawwa tad-dnub u nħobbu bis-sħiħ lil Alla u l-proxxmu. Illum, li tiġġustifika l-grazzja hija magħrufa wkoll bħala konverżjoni, "taċċetta lil Ġesù bħala l-Mulej u s-Salvatur personali tiegħek," jew li tkun "imwieled mill-ġdid". John Wesley oriġinarjament sejjaħ din l-esperjenza tat-twelid il-ġdid. Din l-esperjenza tista 'sseħħ b'modi differenti; Jista 'jkun mument wieħed li jittrasforma, bħal esperjenza ta' sejħa għall-artal, jew jista 'jinvolvi serje ta' deċiżjonijiet matul perjodu ta 'żmien.</v>
      </c>
    </row>
    <row r="19288" ht="15.75" customHeight="1">
      <c r="A19288" s="2" t="s">
        <v>19288</v>
      </c>
      <c r="B19288" s="2" t="str">
        <f>IFERROR(__xludf.DUMMYFUNCTION("GOOGLETRANSLATE(A19288, ""en"", ""mt"")"),"xandir")</f>
        <v>xandir</v>
      </c>
    </row>
    <row r="19289" ht="15.75" customHeight="1">
      <c r="A19289" s="2" t="s">
        <v>19289</v>
      </c>
      <c r="B19289" s="2" t="str">
        <f>IFERROR(__xludf.DUMMYFUNCTION("GOOGLETRANSLATE(A19289, ""en"", ""mt"")"),"Vidjows tad-Dar l-iktar Funniest ta 'l-Amerika")</f>
        <v>Vidjows tad-Dar l-iktar Funniest ta 'l-Amerika</v>
      </c>
    </row>
    <row r="19290" ht="15.75" customHeight="1">
      <c r="A19290" s="2" t="s">
        <v>19290</v>
      </c>
      <c r="B19290" s="2" t="str">
        <f>IFERROR(__xludf.DUMMYFUNCTION("GOOGLETRANSLATE(A19290, ""en"", ""mt"")"),"Baran żviluppa l-kunċett ta 'blokka ta' messaġġi adattivi distribwiti waqt ir-riċerka tiegħu fil-Korporazzjoni RAND għall-Forza tal-Ajru tal-Istati Uniti f'netwerks ta 'komunikazzjonijiet sopraviventi, ippreżentat għall-ewwel darba lill-Forza tal-Ajru fis"&amp;"-sajf tal-1961 bħala Briefing B-265, aktar tard ippubblikat bħala RAND RAPPORT -2626 fl-1962, u finalment fir-Rapport RM 3420 fl-1964. Ir-rapport P-2626 iddeskriva arkitettura ġenerali għal netwerk ta 'komunikazzjoni fuq skala kbira, imqassma u li jista' "&amp;"jibqa '. Ix-xogħol jiffoka fuq tliet ideat ewlenin: l-użu ta 'netwerk deċentralizzat b'ħafna mogħdijiet bejn kwalunkwe żewġ punti, li jaqsmu messaġġi ta' l-utent fi blokki ta 'messaġġi, aktar tard imsejħa pakketti, u konsenja ta' dawn il-messaġġi bil-maħż"&amp;"en u l-iswiċċjar 'il quddiem.")</f>
        <v>Baran żviluppa l-kunċett ta 'blokka ta' messaġġi adattivi distribwiti waqt ir-riċerka tiegħu fil-Korporazzjoni RAND għall-Forza tal-Ajru tal-Istati Uniti f'netwerks ta 'komunikazzjonijiet sopraviventi, ippreżentat għall-ewwel darba lill-Forza tal-Ajru fis-sajf tal-1961 bħala Briefing B-265, aktar tard ippubblikat bħala RAND RAPPORT -2626 fl-1962, u finalment fir-Rapport RM 3420 fl-1964. Ir-rapport P-2626 iddeskriva arkitettura ġenerali għal netwerk ta 'komunikazzjoni fuq skala kbira, imqassma u li jista' jibqa '. Ix-xogħol jiffoka fuq tliet ideat ewlenin: l-użu ta 'netwerk deċentralizzat b'ħafna mogħdijiet bejn kwalunkwe żewġ punti, li jaqsmu messaġġi ta' l-utent fi blokki ta 'messaġġi, aktar tard imsejħa pakketti, u konsenja ta' dawn il-messaġġi bil-maħżen u l-iswiċċjar 'il quddiem.</v>
      </c>
    </row>
    <row r="19291" ht="15.75" customHeight="1">
      <c r="A19291" s="2" t="s">
        <v>19291</v>
      </c>
      <c r="B19291" s="2" t="str">
        <f>IFERROR(__xludf.DUMMYFUNCTION("GOOGLETRANSLATE(A19291, ""en"", ""mt"")"),"Meta ħafna nies jiġu arrestati, x'inhi tinnegozja tattika komuni?")</f>
        <v>Meta ħafna nies jiġu arrestati, x'inhi tinnegozja tattika komuni?</v>
      </c>
    </row>
    <row r="19292" ht="15.75" customHeight="1">
      <c r="A19292" s="2" t="s">
        <v>19292</v>
      </c>
      <c r="B19292" s="2" t="str">
        <f>IFERROR(__xludf.DUMMYFUNCTION("GOOGLETRANSLATE(A19292, ""en"", ""mt"")"),"Kumitat għall-Kummerċ, ix-Xjenza u t-Trasport")</f>
        <v>Kumitat għall-Kummerċ, ix-Xjenza u t-Trasport</v>
      </c>
    </row>
    <row r="19293" ht="15.75" customHeight="1">
      <c r="A19293" s="2" t="s">
        <v>19293</v>
      </c>
      <c r="B19293" s="2" t="str">
        <f>IFERROR(__xludf.DUMMYFUNCTION("GOOGLETRANSLATE(A19293, ""en"", ""mt"")"),"Goldbach's")</f>
        <v>Goldbach's</v>
      </c>
    </row>
    <row r="19294" ht="15.75" customHeight="1">
      <c r="A19294" s="2" t="s">
        <v>19294</v>
      </c>
      <c r="B19294" s="2" t="str">
        <f>IFERROR(__xludf.DUMMYFUNCTION("GOOGLETRANSLATE(A19294, ""en"", ""mt"")"),"pettnijiet")</f>
        <v>pettnijiet</v>
      </c>
    </row>
    <row r="19295" ht="15.75" customHeight="1">
      <c r="A19295" s="2" t="s">
        <v>19295</v>
      </c>
      <c r="B19295" s="2" t="str">
        <f>IFERROR(__xludf.DUMMYFUNCTION("GOOGLETRANSLATE(A19295, ""en"", ""mt"")"),"Wara li polipeptide tal-kloroplast huwa sintetizzat fuq ribosoma fiċ-ċitosol, enzima speċifika għall-proteini tal-kloroplast fosforilati, jew iżżid grupp ta 'fosfat ma' ħafna (iżda mhux kollha) minnhom fis-sekwenzi ta 'transitu tagħhom. Il-fosforilazzjoni"&amp;" tgħin ħafna proteini jorbtu l-polipeptide, u jżommuha milli tiwi qabel iż-żmien. Dan huwa importanti għaliex jipprevjeni l-proteini tal-kloroplast milli jassumu l-forma attiva tagħhom u jwettqu l-funzjonijiet tal-kloroplast tagħhom fil-post ħażin - iċ-ċi"&amp;"tosol. Fl-istess ħin, huma għandhom iżommu forma biżżejjed sabiex ikunu jistgħu jiġu rikonoxxuti mill-kloroplast. Dawn il-proteini jgħinu wkoll lill-polypeptide jiġi importat fil-kloroplast.")</f>
        <v>Wara li polipeptide tal-kloroplast huwa sintetizzat fuq ribosoma fiċ-ċitosol, enzima speċifika għall-proteini tal-kloroplast fosforilati, jew iżżid grupp ta 'fosfat ma' ħafna (iżda mhux kollha) minnhom fis-sekwenzi ta 'transitu tagħhom. Il-fosforilazzjoni tgħin ħafna proteini jorbtu l-polipeptide, u jżommuha milli tiwi qabel iż-żmien. Dan huwa importanti għaliex jipprevjeni l-proteini tal-kloroplast milli jassumu l-forma attiva tagħhom u jwettqu l-funzjonijiet tal-kloroplast tagħhom fil-post ħażin - iċ-ċitosol. Fl-istess ħin, huma għandhom iżommu forma biżżejjed sabiex ikunu jistgħu jiġu rikonoxxuti mill-kloroplast. Dawn il-proteini jgħinu wkoll lill-polypeptide jiġi importat fil-kloroplast.</v>
      </c>
    </row>
    <row r="19296" ht="15.75" customHeight="1">
      <c r="A19296" s="2" t="s">
        <v>19296</v>
      </c>
      <c r="B19296" s="2" t="str">
        <f>IFERROR(__xludf.DUMMYFUNCTION("GOOGLETRANSLATE(A19296, ""en"", ""mt"")"),"Minn xiex jirriżulta l-bond doppju kovalenti?")</f>
        <v>Minn xiex jirriżulta l-bond doppju kovalenti?</v>
      </c>
    </row>
    <row r="19297" ht="15.75" customHeight="1">
      <c r="A19297" s="2" t="s">
        <v>19297</v>
      </c>
      <c r="B19297" s="2" t="str">
        <f>IFERROR(__xludf.DUMMYFUNCTION("GOOGLETRANSLATE(A19297, ""en"", ""mt"")"),"X'jistgħu juru maġġoranza kbira ta 'blat li ttieħdu kampjuni mill-qamar?")</f>
        <v>X'jistgħu juru maġġoranza kbira ta 'blat li ttieħdu kampjuni mill-qamar?</v>
      </c>
    </row>
    <row r="19298" ht="15.75" customHeight="1">
      <c r="A19298" s="2" t="s">
        <v>19298</v>
      </c>
      <c r="B19298" s="2" t="str">
        <f>IFERROR(__xludf.DUMMYFUNCTION("GOOGLETRANSLATE(A19298, ""en"", ""mt"")"),"X'tlef il-lepidodinium viride?")</f>
        <v>X'tlef il-lepidodinium viride?</v>
      </c>
    </row>
    <row r="19299" ht="15.75" customHeight="1">
      <c r="A19299" s="2" t="s">
        <v>19299</v>
      </c>
      <c r="B19299" s="2" t="str">
        <f>IFERROR(__xludf.DUMMYFUNCTION("GOOGLETRANSLATE(A19299, ""en"", ""mt"")"),"Min x'aktarx ikun qed jagħmel tagħlim formali?")</f>
        <v>Min x'aktarx ikun qed jagħmel tagħlim formali?</v>
      </c>
    </row>
    <row r="19300" ht="15.75" customHeight="1">
      <c r="A19300" s="2" t="s">
        <v>19300</v>
      </c>
      <c r="B19300" s="2" t="str">
        <f>IFERROR(__xludf.DUMMYFUNCTION("GOOGLETRANSLATE(A19300, ""en"", ""mt"")"),"Kif jissejjaħ ukoll l-Oncorhynchus?")</f>
        <v>Kif jissejjaħ ukoll l-Oncorhynchus?</v>
      </c>
    </row>
    <row r="19301" ht="15.75" customHeight="1">
      <c r="A19301" s="2" t="s">
        <v>19301</v>
      </c>
      <c r="B19301" s="2" t="str">
        <f>IFERROR(__xludf.DUMMYFUNCTION("GOOGLETRANSLATE(A19301, ""en"", ""mt"")"),"L-Imperu Ottoman kien stat imperjali li dam mill-1299 sal-1923. Matul is-sekli 16 u 17, b'mod partikolari fl-eqqel tal-poter tiegħu taħt ir-renju ta 'Suleiman l-magnífico, l-imperu Ottoman kien multinazzjonali qawwi, imperu multilingwi li jikkontrolla ħaf"&amp;"na L-Ewropa tax-Xlokk, l-Asja tal-Punent, il-Kawkasu, l-Afrika ta ’Fuq, u l-Qarn tal-Afrika. Fil-bidu tas-seklu 17 l-imperu kien fih 32 provinċja u bosta stati vassali. Xi wħud minn dawn aktar tard ġew assorbiti fl-imperu, filwaqt li oħrajn ingħataw diver"&amp;"si tipi ta ’awtonomija matul il-kors tas-sekli.")</f>
        <v>L-Imperu Ottoman kien stat imperjali li dam mill-1299 sal-1923. Matul is-sekli 16 u 17, b'mod partikolari fl-eqqel tal-poter tiegħu taħt ir-renju ta 'Suleiman l-magnífico, l-imperu Ottoman kien multinazzjonali qawwi, imperu multilingwi li jikkontrolla ħafna L-Ewropa tax-Xlokk, l-Asja tal-Punent, il-Kawkasu, l-Afrika ta ’Fuq, u l-Qarn tal-Afrika. Fil-bidu tas-seklu 17 l-imperu kien fih 32 provinċja u bosta stati vassali. Xi wħud minn dawn aktar tard ġew assorbiti fl-imperu, filwaqt li oħrajn ingħataw diversi tipi ta ’awtonomija matul il-kors tas-sekli.</v>
      </c>
    </row>
    <row r="19302" ht="15.75" customHeight="1">
      <c r="A19302" s="2" t="s">
        <v>19302</v>
      </c>
      <c r="B19302" s="2" t="str">
        <f>IFERROR(__xludf.DUMMYFUNCTION("GOOGLETRANSLATE(A19302, ""en"", ""mt"")"),"Kanali 2 sa 6")</f>
        <v>Kanali 2 sa 6</v>
      </c>
    </row>
    <row r="19303" ht="15.75" customHeight="1">
      <c r="A19303" s="2" t="s">
        <v>19303</v>
      </c>
      <c r="B19303" s="2" t="str">
        <f>IFERROR(__xludf.DUMMYFUNCTION("GOOGLETRANSLATE(A19303, ""en"", ""mt"")"),"Min imur blat, preċiżament, fit-taqsima stratigrafika?")</f>
        <v>Min imur blat, preċiżament, fit-taqsima stratigrafika?</v>
      </c>
    </row>
    <row r="19304" ht="15.75" customHeight="1">
      <c r="A19304" s="2" t="s">
        <v>19304</v>
      </c>
      <c r="B19304" s="2" t="str">
        <f>IFERROR(__xludf.DUMMYFUNCTION("GOOGLETRANSLATE(A19304, ""en"", ""mt"")"),"It-Tyneside Flat kienet il-forma ta 'akkomodazzjoni dominanti mibnija fiż-żmien meta ċ-ċentri industrijali fuq Tyneside kienu qed jikbru l-iktar malajr. Jistgħu jinstabu f'żoni bħal South Heaton fi Newcastle iżda ladarba ddominaw il-pajsaġġ tat-toroq fuq "&amp;"iż-żewġ naħat tat-Tyne. Flats Tyneside nbnew bħala terrazzi, wieħed minn kull par ta 'bibien wassal għal ċatt ta' fuq waqt li l-ieħor wassal fil-pjan ċatt fl-art, kull wieħed minn żewġ jew tliet kmamar. Żvilupp ġdid fil-Wied ta 'Ouseburn irrikreahom; L-Ar"&amp;"kitetti Cany Ash u Robert Sakula kienu attirati mill-possibbiltajiet ta ’densità għolja mingħajr ma jibnu għoljin u jeħilsu minn żoni komuni.")</f>
        <v>It-Tyneside Flat kienet il-forma ta 'akkomodazzjoni dominanti mibnija fiż-żmien meta ċ-ċentri industrijali fuq Tyneside kienu qed jikbru l-iktar malajr. Jistgħu jinstabu f'żoni bħal South Heaton fi Newcastle iżda ladarba ddominaw il-pajsaġġ tat-toroq fuq iż-żewġ naħat tat-Tyne. Flats Tyneside nbnew bħala terrazzi, wieħed minn kull par ta 'bibien wassal għal ċatt ta' fuq waqt li l-ieħor wassal fil-pjan ċatt fl-art, kull wieħed minn żewġ jew tliet kmamar. Żvilupp ġdid fil-Wied ta 'Ouseburn irrikreahom; L-Arkitetti Cany Ash u Robert Sakula kienu attirati mill-possibbiltajiet ta ’densità għolja mingħajr ma jibnu għoljin u jeħilsu minn żoni komuni.</v>
      </c>
    </row>
    <row r="19305" ht="15.75" customHeight="1">
      <c r="A19305" s="2" t="s">
        <v>19305</v>
      </c>
      <c r="B19305" s="2" t="str">
        <f>IFERROR(__xludf.DUMMYFUNCTION("GOOGLETRANSLATE(A19305, ""en"", ""mt"")"),"Iċ-ċelloli dendritiċi (DC) huma fagoċiti fit-tessuti li huma f'kuntatt mal-ambjent estern; Għalhekk, huma jinsabu prinċipalment fil-ġilda, l-imnieħer, il-pulmuni, l-istonku, u l-imsaren. Huma msejħa għax-xebh tagħhom ma 'dendriti newronali, peress li t-tn"&amp;"ejn għandhom ħafna projezzjonijiet simili għas-sinsla, iżda ċ-ċelloli dendritiċi bl-ebda mod ma huma konnessi mas-sistema nervuża. Iċ-ċelloli dendritiċi jservu ta ’rabta bejn it-tessuti tal-ġisem u s-sistemi immuni innati u adattivi, peress li jippreżenta"&amp;"w antiġeni għaċ-ċelloli T, wieħed mit-tipi ewlenin taċ-ċelloli tas-sistema immunitarja adattiva.")</f>
        <v>Iċ-ċelloli dendritiċi (DC) huma fagoċiti fit-tessuti li huma f'kuntatt mal-ambjent estern; Għalhekk, huma jinsabu prinċipalment fil-ġilda, l-imnieħer, il-pulmuni, l-istonku, u l-imsaren. Huma msejħa għax-xebh tagħhom ma 'dendriti newronali, peress li t-tnejn għandhom ħafna projezzjonijiet simili għas-sinsla, iżda ċ-ċelloli dendritiċi bl-ebda mod ma huma konnessi mas-sistema nervuża. Iċ-ċelloli dendritiċi jservu ta ’rabta bejn it-tessuti tal-ġisem u s-sistemi immuni innati u adattivi, peress li jippreżentaw antiġeni għaċ-ċelloli T, wieħed mit-tipi ewlenin taċ-ċelloli tas-sistema immunitarja adattiva.</v>
      </c>
    </row>
    <row r="19306" ht="15.75" customHeight="1">
      <c r="A19306" s="2" t="s">
        <v>19306</v>
      </c>
      <c r="B19306" s="2" t="str">
        <f>IFERROR(__xludf.DUMMYFUNCTION("GOOGLETRANSLATE(A19306, ""en"", ""mt"")"),"il-prodott tal-membrana taċ-ċellula tal-ospitanti li tinftiehem biex tifforma vesicle biex tdawwar iċ-cyanobacterium antenat")</f>
        <v>il-prodott tal-membrana taċ-ċellula tal-ospitanti li tinftiehem biex tifforma vesicle biex tdawwar iċ-cyanobacterium antenat</v>
      </c>
    </row>
    <row r="19307" ht="15.75" customHeight="1">
      <c r="A19307" s="2" t="s">
        <v>19307</v>
      </c>
      <c r="B19307" s="2" t="str">
        <f>IFERROR(__xludf.DUMMYFUNCTION("GOOGLETRANSLATE(A19307, ""en"", ""mt"")"),"Fluke storiku")</f>
        <v>Fluke storiku</v>
      </c>
    </row>
    <row r="19308" ht="15.75" customHeight="1">
      <c r="A19308" s="2" t="s">
        <v>19308</v>
      </c>
      <c r="B19308" s="2" t="str">
        <f>IFERROR(__xludf.DUMMYFUNCTION("GOOGLETRANSLATE(A19308, ""en"", ""mt"")"),"Fl-2004, dokumenti deklassifikati żvelaw li l-Istati Uniti kienet tant distraught miż-żieda fil-prezzijiet taż-żejt u li ġiet ikkontestata minn pajjiżi mhux żviluppati li huma kkunsidraw fil-qosor azzjoni militari biex jaħtfu bil-forza l-kampijiet taż-żej"&amp;"t tal-Lvant Nofsani fl-aħħar tal-1973. Għalkemm ma ġie msemmi l-ebda pjan espliċitu, a Il-konversazzjoni bejn is-Segretarju tad-Difiża tal-Istati Uniti James Schlesinger u l-Ambaxxatur Brittaniku għall-Istati Uniti Lord Cromer żvelat li Schlesinger kien q"&amp;"allu li ""ma kienx għadu ovvju għalih li l-Istati Uniti ma setgħux jużaw il-forza."" Il-Prim Ministru Ingliż Edward Heath kien tant inkwetat minn din il-prospett li ordna stima tal-intelliġenza Ingliża tal-intenzjonijiet tal-Istati Uniti, li kkonkluda li "&amp;"l-Amerika ""tista 'tikkunsidra li ma setgħetx tittollera sitwazzjoni li fiha l-Istati Uniti u l-alleati tagħha kienu fil-ħniena ta' grupp żgħir ta ' Pajjiżi mhux raġonevoli, ""u li jippreferu operazzjoni rapida biex jaħtfu l-kampijiet taż-żejt fl-Arabja S"&amp;"awdija u l-Kuwajt, u possibbilment ġie deċiż Abu Dhabi fl-azzjoni militari. Għalkemm ir-rispons Sovjetiku għal att bħal dan x'aktarx ma jinvolvix forza, l-intelliġenza wissiet ""l-okkupazzjoni Amerikana teħtieġ li ddum 10 snin hekk kif il-Punent żviluppa "&amp;"sorsi ta 'enerġija alternattivi, u jirriżulta fl-"" aljenazzjoni totali ""tal-Għarab u ħafna mill- Bqija tat-Tielet Dinja. """)</f>
        <v>Fl-2004, dokumenti deklassifikati żvelaw li l-Istati Uniti kienet tant distraught miż-żieda fil-prezzijiet taż-żejt u li ġiet ikkontestata minn pajjiżi mhux żviluppati li huma kkunsidraw fil-qosor azzjoni militari biex jaħtfu bil-forza l-kampijiet taż-żejt tal-Lvant Nofsani fl-aħħar tal-1973. Għalkemm ma ġie msemmi l-ebda pjan espliċitu, a Il-konversazzjoni bejn is-Segretarju tad-Difiża tal-Istati Uniti James Schlesinger u l-Ambaxxatur Brittaniku għall-Istati Uniti Lord Cromer żvelat li Schlesinger kien qallu li "ma kienx għadu ovvju għalih li l-Istati Uniti ma setgħux jużaw il-forza." Il-Prim Ministru Ingliż Edward Heath kien tant inkwetat minn din il-prospett li ordna stima tal-intelliġenza Ingliża tal-intenzjonijiet tal-Istati Uniti, li kkonkluda li l-Amerika "tista 'tikkunsidra li ma setgħetx tittollera sitwazzjoni li fiha l-Istati Uniti u l-alleati tagħha kienu fil-ħniena ta' grupp żgħir ta ' Pajjiżi mhux raġonevoli, "u li jippreferu operazzjoni rapida biex jaħtfu l-kampijiet taż-żejt fl-Arabja Sawdija u l-Kuwajt, u possibbilment ġie deċiż Abu Dhabi fl-azzjoni militari. Għalkemm ir-rispons Sovjetiku għal att bħal dan x'aktarx ma jinvolvix forza, l-intelliġenza wissiet "l-okkupazzjoni Amerikana teħtieġ li ddum 10 snin hekk kif il-Punent żviluppa sorsi ta 'enerġija alternattivi, u jirriżulta fl-" aljenazzjoni totali "tal-Għarab u ħafna mill- Bqija tat-Tielet Dinja. "</v>
      </c>
    </row>
    <row r="19309" ht="15.75" customHeight="1">
      <c r="A19309" s="2" t="s">
        <v>19309</v>
      </c>
      <c r="B19309" s="2" t="str">
        <f>IFERROR(__xludf.DUMMYFUNCTION("GOOGLETRANSLATE(A19309, ""en"", ""mt"")"),"Unitajiet tal-blat")</f>
        <v>Unitajiet tal-blat</v>
      </c>
    </row>
    <row r="19310" ht="15.75" customHeight="1">
      <c r="A19310" s="2" t="s">
        <v>19310</v>
      </c>
      <c r="B19310" s="2" t="str">
        <f>IFERROR(__xludf.DUMMYFUNCTION("GOOGLETRANSLATE(A19310, ""en"", ""mt"")"),"Paga żejda")</f>
        <v>Paga żejda</v>
      </c>
    </row>
    <row r="19311" ht="15.75" customHeight="1">
      <c r="A19311" s="2" t="s">
        <v>19311</v>
      </c>
      <c r="B19311" s="2" t="str">
        <f>IFERROR(__xludf.DUMMYFUNCTION("GOOGLETRANSLATE(A19311, ""en"", ""mt"")"),"L-MSPs eletti")</f>
        <v>L-MSPs eletti</v>
      </c>
    </row>
    <row r="19312" ht="15.75" customHeight="1">
      <c r="A19312" s="2" t="s">
        <v>19312</v>
      </c>
      <c r="B19312" s="2" t="str">
        <f>IFERROR(__xludf.DUMMYFUNCTION("GOOGLETRANSLATE(A19312, ""en"", ""mt"")"),"Luther u l-kollegi tiegħu introduċew l-Ordni l-Ġdida tal-Qima waqt il-viżita tagħhom tal-elettorat tas-Sassonja, li bdiet fl-1527. Huma vvalutaw ukoll l-istandard tal-kura pastorali u l-edukazzjoni Nisranija fit-territorju. ""Alla ħanin, liema miżerja raj"&amp;"t,"" kiteb Luther, ""in-nies komuni ma jafu xejn fid-duttrina Nisranija kollha ... u sfortunatament ħafna ragħajja huma mdejqa sew u inkapaċi li jgħallmu.""")</f>
        <v>Luther u l-kollegi tiegħu introduċew l-Ordni l-Ġdida tal-Qima waqt il-viżita tagħhom tal-elettorat tas-Sassonja, li bdiet fl-1527. Huma vvalutaw ukoll l-istandard tal-kura pastorali u l-edukazzjoni Nisranija fit-territorju. "Alla ħanin, liema miżerja rajt," kiteb Luther, "in-nies komuni ma jafu xejn fid-duttrina Nisranija kollha ... u sfortunatament ħafna ragħajja huma mdejqa sew u inkapaċi li jgħallmu."</v>
      </c>
    </row>
    <row r="19313" ht="15.75" customHeight="1">
      <c r="A19313" s="2" t="s">
        <v>19313</v>
      </c>
      <c r="B19313" s="2" t="str">
        <f>IFERROR(__xludf.DUMMYFUNCTION("GOOGLETRANSLATE(A19313, ""en"", ""mt"")"),"kwantitattiv")</f>
        <v>kwantitattiv</v>
      </c>
    </row>
    <row r="19314" ht="15.75" customHeight="1">
      <c r="A19314" s="2" t="s">
        <v>19314</v>
      </c>
      <c r="B19314" s="2" t="str">
        <f>IFERROR(__xludf.DUMMYFUNCTION("GOOGLETRANSLATE(A19314, ""en"", ""mt"")"),"elementi irreducibbli")</f>
        <v>elementi irreducibbli</v>
      </c>
    </row>
    <row r="19315" ht="15.75" customHeight="1">
      <c r="A19315" s="2" t="s">
        <v>19315</v>
      </c>
      <c r="B19315" s="2" t="str">
        <f>IFERROR(__xludf.DUMMYFUNCTION("GOOGLETRANSLATE(A19315, ""en"", ""mt"")"),"Dak li mexxa żieda fil-prezzijiet tal-kiri fil-Lvant ta ’New York?")</f>
        <v>Dak li mexxa żieda fil-prezzijiet tal-kiri fil-Lvant ta ’New York?</v>
      </c>
    </row>
    <row r="19316" ht="15.75" customHeight="1">
      <c r="A19316" s="2" t="s">
        <v>19316</v>
      </c>
      <c r="B19316" s="2" t="str">
        <f>IFERROR(__xludf.DUMMYFUNCTION("GOOGLETRANSLATE(A19316, ""en"", ""mt"")"),"L-Akkademja Premjijiet")</f>
        <v>L-Akkademja Premjijiet</v>
      </c>
    </row>
    <row r="19317" ht="15.75" customHeight="1">
      <c r="A19317" s="2" t="s">
        <v>19317</v>
      </c>
      <c r="B19317" s="2" t="str">
        <f>IFERROR(__xludf.DUMMYFUNCTION("GOOGLETRANSLATE(A19317, ""en"", ""mt"")"),"Il-Librerija Nazzjonali tal-Art fil-V &amp; A hija magħrufa minn liema isem ieħor?")</f>
        <v>Il-Librerija Nazzjonali tal-Art fil-V &amp; A hija magħrufa minn liema isem ieħor?</v>
      </c>
    </row>
    <row r="19318" ht="15.75" customHeight="1">
      <c r="A19318" s="2" t="s">
        <v>19318</v>
      </c>
      <c r="B19318" s="2" t="str">
        <f>IFERROR(__xludf.DUMMYFUNCTION("GOOGLETRANSLATE(A19318, ""en"", ""mt"")"),"Riċentement, il-kloroplasti ġibdu l-attenzjoni mill-iżviluppaturi ta 'għelejjel ġenetikament modifikati. Peress li, fil-biċċa l-kbira tal-pjanti tal-fjuri, il-kloroplasti ma jintirtux mill-ġenitur maskili, it-transġeni f'dawn il-plastidi ma jistgħux jiġu "&amp;"mxerrda mill-polline. Dan jagħmel it-trasformazzjoni tal-plastid għodda siewja għall-ħolqien u l-kultivazzjoni ta 'pjanti ġenetikament modifikati li huma bijoloġikament, u b'hekk jippreżentaw riskji ambjentali sinifikament aktar baxxi. Din l-istrateġija t"&amp;"a 'trażżin bijoloġiku hija għalhekk adattata biex tistabbilixxi l-koeżistenza ta' agrikoltura konvenzjonali u organika. Filwaqt li l-affidabbiltà ta 'dan il-mekkaniżmu għadha ma ġietx studjata għall-ispeċi kollha tal-għelejjel rilevanti, ir-riżultati reċe"&amp;"nti f'impjanti tat-tabakk huma promettenti, li juru rata ta' trażżin falluta ta 'pjanti transplastomiċi fi 3 f'1,000,000.")</f>
        <v>Riċentement, il-kloroplasti ġibdu l-attenzjoni mill-iżviluppaturi ta 'għelejjel ġenetikament modifikati. Peress li, fil-biċċa l-kbira tal-pjanti tal-fjuri, il-kloroplasti ma jintirtux mill-ġenitur maskili, it-transġeni f'dawn il-plastidi ma jistgħux jiġu mxerrda mill-polline. Dan jagħmel it-trasformazzjoni tal-plastid għodda siewja għall-ħolqien u l-kultivazzjoni ta 'pjanti ġenetikament modifikati li huma bijoloġikament, u b'hekk jippreżentaw riskji ambjentali sinifikament aktar baxxi. Din l-istrateġija ta 'trażżin bijoloġiku hija għalhekk adattata biex tistabbilixxi l-koeżistenza ta' agrikoltura konvenzjonali u organika. Filwaqt li l-affidabbiltà ta 'dan il-mekkaniżmu għadha ma ġietx studjata għall-ispeċi kollha tal-għelejjel rilevanti, ir-riżultati reċenti f'impjanti tat-tabakk huma promettenti, li juru rata ta' trażżin falluta ta 'pjanti transplastomiċi fi 3 f'1,000,000.</v>
      </c>
    </row>
    <row r="19319" ht="15.75" customHeight="1">
      <c r="A19319" s="2" t="s">
        <v>19319</v>
      </c>
      <c r="B19319" s="2" t="str">
        <f>IFERROR(__xludf.DUMMYFUNCTION("GOOGLETRANSLATE(A19319, ""en"", ""mt"")"),"Il-funzjoni ta 'ċelloli tal-memorja b'ħajja twila hija eżempju ta' x'tip ta 'rispons immuni?")</f>
        <v>Il-funzjoni ta 'ċelloli tal-memorja b'ħajja twila hija eżempju ta' x'tip ta 'rispons immuni?</v>
      </c>
    </row>
    <row r="19320" ht="15.75" customHeight="1">
      <c r="A19320" s="2" t="s">
        <v>19320</v>
      </c>
      <c r="B19320" s="2" t="str">
        <f>IFERROR(__xludf.DUMMYFUNCTION("GOOGLETRANSLATE(A19320, ""en"", ""mt"")"),"Fl-2012 l-Unità tal-Intelliġenza Ekonomista kklassifikat lil Varsavja bħala t-32 belt l-iktar li tista 'tgħix fid-dinja. Kien ikklassifikat ukoll bħala waħda mill-iktar bliet ħajjin fl-Ewropa Ċentrali. Illum Varsavja hija meqjusa bħala belt globali ""alfa"&amp;" -"", destinazzjoni turistika internazzjonali ewlenija u hub kulturali, politiku u ekonomiku sinifikanti. L-ekonomija ta 'Varsavja, minn varjetà wiesgħa ta' industriji, hija kkaratterizzata minn manifattura FMCG, proċessar tal-metall, azzar u manifattura "&amp;"elettronika u proċessar tal-ikel. Il-belt hija ċentru sinifikanti ta 'riċerka u żvilupp, BPO, ITO, kif ukoll ta' l-industrija tal-midja Pollakka. Il-Borża ta 'Varsavja hija waħda mill-ikbar u l-iktar importanti fl-Ewropa Ċentrali u tal-Lvant. Frontex, l-A"&amp;"ġenzija tal-Unjoni Ewropea għas-Sigurtà Esterna tal-Fruntiera, għandha l-kwartieri ġenerali tagħha f'Varsavja. Intqal li Varsavja, flimkien ma 'Frankfurt, Londra, Pariġi u Barċellona hija waħda mill-ibliet bl-ogħla numru ta' bini għoli fl-Unjoni Ewropea. "&amp;"Varsavja ġiet imsejħa wkoll ""il-kapitali kulturali chic tal-Ewropa tal-Lvant b'xeni tal-arti u klabbs b'saħħithom u ristoranti serji"".")</f>
        <v>Fl-2012 l-Unità tal-Intelliġenza Ekonomista kklassifikat lil Varsavja bħala t-32 belt l-iktar li tista 'tgħix fid-dinja. Kien ikklassifikat ukoll bħala waħda mill-iktar bliet ħajjin fl-Ewropa Ċentrali. Illum Varsavja hija meqjusa bħala belt globali "alfa -", destinazzjoni turistika internazzjonali ewlenija u hub kulturali, politiku u ekonomiku sinifikanti. L-ekonomija ta 'Varsavja, minn varjetà wiesgħa ta' industriji, hija kkaratterizzata minn manifattura FMCG, proċessar tal-metall, azzar u manifattura elettronika u proċessar tal-ikel. Il-belt hija ċentru sinifikanti ta 'riċerka u żvilupp, BPO, ITO, kif ukoll ta' l-industrija tal-midja Pollakka. Il-Borża ta 'Varsavja hija waħda mill-ikbar u l-iktar importanti fl-Ewropa Ċentrali u tal-Lvant. Frontex, l-Aġenzija tal-Unjoni Ewropea għas-Sigurtà Esterna tal-Fruntiera, għandha l-kwartieri ġenerali tagħha f'Varsavja. Intqal li Varsavja, flimkien ma 'Frankfurt, Londra, Pariġi u Barċellona hija waħda mill-ibliet bl-ogħla numru ta' bini għoli fl-Unjoni Ewropea. Varsavja ġiet imsejħa wkoll "il-kapitali kulturali chic tal-Ewropa tal-Lvant b'xeni tal-arti u klabbs b'saħħithom u ristoranti serji".</v>
      </c>
    </row>
    <row r="19321" ht="15.75" customHeight="1">
      <c r="A19321" s="2" t="s">
        <v>19321</v>
      </c>
      <c r="B19321" s="2" t="str">
        <f>IFERROR(__xludf.DUMMYFUNCTION("GOOGLETRANSLATE(A19321, ""en"", ""mt"")"),"Moviment tat-Temperanza.")</f>
        <v>Moviment tat-Temperanza.</v>
      </c>
    </row>
    <row r="19322" ht="15.75" customHeight="1">
      <c r="A19322" s="2" t="s">
        <v>19322</v>
      </c>
      <c r="B19322" s="2" t="str">
        <f>IFERROR(__xludf.DUMMYFUNCTION("GOOGLETRANSLATE(A19322, ""en"", ""mt"")"),"bijomolekuli")</f>
        <v>bijomolekuli</v>
      </c>
    </row>
    <row r="19323" ht="15.75" customHeight="1">
      <c r="A19323" s="2" t="s">
        <v>19323</v>
      </c>
      <c r="B19323" s="2" t="str">
        <f>IFERROR(__xludf.DUMMYFUNCTION("GOOGLETRANSLATE(A19323, ""en"", ""mt"")"),"Meta l-forzi qed jaġixxu fuq korp estiż, x'għandek bżonn tagħti kont għall-effetti tal-moviment?")</f>
        <v>Meta l-forzi qed jaġixxu fuq korp estiż, x'għandek bżonn tagħti kont għall-effetti tal-moviment?</v>
      </c>
    </row>
    <row r="19324" ht="15.75" customHeight="1">
      <c r="A19324" s="2" t="s">
        <v>19324</v>
      </c>
      <c r="B19324" s="2" t="str">
        <f>IFERROR(__xludf.DUMMYFUNCTION("GOOGLETRANSLATE(A19324, ""en"", ""mt"")"),"Garb tal-Kaċċatur")</f>
        <v>Garb tal-Kaċċatur</v>
      </c>
    </row>
    <row r="19325" ht="15.75" customHeight="1">
      <c r="A19325" s="2" t="s">
        <v>19325</v>
      </c>
      <c r="B19325" s="2" t="str">
        <f>IFERROR(__xludf.DUMMYFUNCTION("GOOGLETRANSLATE(A19325, ""en"", ""mt"")"),"permezz ta ’mekkaniżmu tal-linja d")</f>
        <v>permezz ta ’mekkaniżmu tal-linja d</v>
      </c>
    </row>
    <row r="19326" ht="15.75" customHeight="1">
      <c r="A19326" s="2" t="s">
        <v>19326</v>
      </c>
      <c r="B19326" s="2" t="str">
        <f>IFERROR(__xludf.DUMMYFUNCTION("GOOGLETRANSLATE(A19326, ""en"", ""mt"")"),"Qorti tal-Ġustizzja")</f>
        <v>Qorti tal-Ġustizzja</v>
      </c>
    </row>
    <row r="19327" ht="15.75" customHeight="1">
      <c r="A19327" s="2" t="s">
        <v>19327</v>
      </c>
      <c r="B19327" s="2" t="str">
        <f>IFERROR(__xludf.DUMMYFUNCTION("GOOGLETRANSLATE(A19327, ""en"", ""mt"")"),"Antiforms")</f>
        <v>Antiforms</v>
      </c>
    </row>
    <row r="19328" ht="15.75" customHeight="1">
      <c r="A19328" s="2" t="s">
        <v>19328</v>
      </c>
      <c r="B19328" s="2" t="str">
        <f>IFERROR(__xludf.DUMMYFUNCTION("GOOGLETRANSLATE(A19328, ""en"", ""mt"")"),"Il-berner tal-inċens ta 'Suzuki Chokichi datat 1875 huwa magħmul minn dak mill-materjal?")</f>
        <v>Il-berner tal-inċens ta 'Suzuki Chokichi datat 1875 huwa magħmul minn dak mill-materjal?</v>
      </c>
    </row>
    <row r="19329" ht="15.75" customHeight="1">
      <c r="A19329" s="2" t="s">
        <v>19329</v>
      </c>
      <c r="B19329" s="2" t="str">
        <f>IFERROR(__xludf.DUMMYFUNCTION("GOOGLETRANSLATE(A19329, ""en"", ""mt"")"),"X'kienet ir-relazzjoni ta 'Julian Hawthorne ma' Tesla?")</f>
        <v>X'kienet ir-relazzjoni ta 'Julian Hawthorne ma' Tesla?</v>
      </c>
    </row>
    <row r="19330" ht="15.75" customHeight="1">
      <c r="A19330" s="2" t="s">
        <v>19330</v>
      </c>
      <c r="B19330" s="2" t="str">
        <f>IFERROR(__xludf.DUMMYFUNCTION("GOOGLETRANSLATE(A19330, ""en"", ""mt"")"),"X'jiġri mal-pakkett fid-destinazzjoni")</f>
        <v>X'jiġri mal-pakkett fid-destinazzjoni</v>
      </c>
    </row>
    <row r="19331" ht="15.75" customHeight="1">
      <c r="A19331" s="2" t="s">
        <v>19331</v>
      </c>
      <c r="B19331" s="2" t="str">
        <f>IFERROR(__xludf.DUMMYFUNCTION("GOOGLETRANSLATE(A19331, ""en"", ""mt"")"),"Fejn il-fluss tan-nofs tar-Rhine bejn Bingen u Bonn?")</f>
        <v>Fejn il-fluss tan-nofs tar-Rhine bejn Bingen u Bonn?</v>
      </c>
    </row>
    <row r="19332" ht="15.75" customHeight="1">
      <c r="A19332" s="2" t="s">
        <v>19332</v>
      </c>
      <c r="B19332" s="2" t="str">
        <f>IFERROR(__xludf.DUMMYFUNCTION("GOOGLETRANSLATE(A19332, ""en"", ""mt"")"),"Għal liema perjodu huwa l-akbar oġġett mill-Italja li huwa inkluż fil-kollezzjoni tal-iskultura datata?")</f>
        <v>Għal liema perjodu huwa l-akbar oġġett mill-Italja li huwa inkluż fil-kollezzjoni tal-iskultura datata?</v>
      </c>
    </row>
    <row r="19333" ht="15.75" customHeight="1">
      <c r="A19333" s="2" t="s">
        <v>19333</v>
      </c>
      <c r="B19333" s="2" t="str">
        <f>IFERROR(__xludf.DUMMYFUNCTION("GOOGLETRANSLATE(A19333, ""en"", ""mt"")"),"Il-gvern ta 'Kublai wara l-1262 kien kompromess bejn il-preservazzjoni tal-interessi Mongoljani fiċ-Ċina u li jissodisfa t-talbiet tas-suġġetti Ċiniżi tiegħu. Huwa stabbilixxa r-riformi proposti mill-konsulenti Ċiniżi tiegħu billi jiċċentralizza l-burokra"&amp;"zija, jespandi ċ-ċirkolazzjoni tal-flus tal-karta, u żamm il-monopolji tradizzjonali fuq il-melħ u l-ħadid. Huwa rrestawra s-Segretarjat Imperjali u ħalla l-istruttura amministrattiva lokali tad-dinastiji Ċiniżi tal-passat mhux mibdula. Madankollu, Kublai"&amp;" ċaħad il-pjanijiet biex terġa 'titqajjem l-eżamijiet Imperjali Confucian u s-soċjetà tal-wan maqsuma fi tlieta, aktar tard erbgħa, klassijiet maċ-Ċiniżi Han li jokkupaw l-inqas grad. Il-konsulenti Ċiniżi ta 'Kublai għadhom għamlu poter sinifikanti fil-gv"&amp;"ern, iżda l-grad uffiċjali tagħhom kien nebulous.")</f>
        <v>Il-gvern ta 'Kublai wara l-1262 kien kompromess bejn il-preservazzjoni tal-interessi Mongoljani fiċ-Ċina u li jissodisfa t-talbiet tas-suġġetti Ċiniżi tiegħu. Huwa stabbilixxa r-riformi proposti mill-konsulenti Ċiniżi tiegħu billi jiċċentralizza l-burokrazija, jespandi ċ-ċirkolazzjoni tal-flus tal-karta, u żamm il-monopolji tradizzjonali fuq il-melħ u l-ħadid. Huwa rrestawra s-Segretarjat Imperjali u ħalla l-istruttura amministrattiva lokali tad-dinastiji Ċiniżi tal-passat mhux mibdula. Madankollu, Kublai ċaħad il-pjanijiet biex terġa 'titqajjem l-eżamijiet Imperjali Confucian u s-soċjetà tal-wan maqsuma fi tlieta, aktar tard erbgħa, klassijiet maċ-Ċiniżi Han li jokkupaw l-inqas grad. Il-konsulenti Ċiniżi ta 'Kublai għadhom għamlu poter sinifikanti fil-gvern, iżda l-grad uffiċjali tagħhom kien nebulous.</v>
      </c>
    </row>
    <row r="19334" ht="15.75" customHeight="1">
      <c r="A19334" s="2" t="s">
        <v>19334</v>
      </c>
      <c r="B19334" s="2" t="str">
        <f>IFERROR(__xludf.DUMMYFUNCTION("GOOGLETRANSLATE(A19334, ""en"", ""mt"")"),"Fil-kunsilli u l-knisja")</f>
        <v>Fil-kunsilli u l-knisja</v>
      </c>
    </row>
    <row r="19335" ht="15.75" customHeight="1">
      <c r="A19335" s="2" t="s">
        <v>19335</v>
      </c>
      <c r="B19335" s="2" t="str">
        <f>IFERROR(__xludf.DUMMYFUNCTION("GOOGLETRANSLATE(A19335, ""en"", ""mt"")"),"Liema isem ġdid ingħata lill-Media Day?")</f>
        <v>Liema isem ġdid ingħata lill-Media Day?</v>
      </c>
    </row>
    <row r="19336" ht="15.75" customHeight="1">
      <c r="A19336" s="2" t="s">
        <v>19336</v>
      </c>
      <c r="B19336" s="2" t="str">
        <f>IFERROR(__xludf.DUMMYFUNCTION("GOOGLETRANSLATE(A19336, ""en"", ""mt"")"),"Istituzzjonijiet Metodisti jistgħu jiġu msemmijin wara figura bibliċi (e.g., ""San Ġakbu UMC""). Metodisti jonoraw ukoll eroj u eroini notevoli tal-fidi Nisranija u jħarsu lil dawn il-qaddisin prominenti bħala li jipprovdu eżempji ta ’għajxien qaddis u im"&amp;"penn lejn Kristu li jistħoqqilhom imitazzjoni (ara 1 Korintin 11: 1). Qaddisin eżemplari jinkludu martri, konfessuri tal-fidi, evanġelisti, jew figuri bibliċi importanti bħal San Mattew, teologu Luteran u martri lejn in-Nazis Dietrich Bonhoeffer, il-funda"&amp;"tur tal-Armata tas-Salvazzjoni William Booth, il-missjunarju Afrikan David Livingstone u l-fundatur revered tal-Metodism huma fost Ħafna kkwotaw bħala Qaddisin Protestanti.")</f>
        <v>Istituzzjonijiet Metodisti jistgħu jiġu msemmijin wara figura bibliċi (e.g., "San Ġakbu UMC"). Metodisti jonoraw ukoll eroj u eroini notevoli tal-fidi Nisranija u jħarsu lil dawn il-qaddisin prominenti bħala li jipprovdu eżempji ta ’għajxien qaddis u impenn lejn Kristu li jistħoqqilhom imitazzjoni (ara 1 Korintin 11: 1). Qaddisin eżemplari jinkludu martri, konfessuri tal-fidi, evanġelisti, jew figuri bibliċi importanti bħal San Mattew, teologu Luteran u martri lejn in-Nazis Dietrich Bonhoeffer, il-fundatur tal-Armata tas-Salvazzjoni William Booth, il-missjunarju Afrikan David Livingstone u l-fundatur revered tal-Metodism huma fost Ħafna kkwotaw bħala Qaddisin Protestanti.</v>
      </c>
    </row>
    <row r="19337" ht="15.75" customHeight="1">
      <c r="A19337" s="2" t="s">
        <v>19337</v>
      </c>
      <c r="B19337" s="2" t="str">
        <f>IFERROR(__xludf.DUMMYFUNCTION("GOOGLETRANSLATE(A19337, ""en"", ""mt"")"),"King Malcolm III tal-Iskozja")</f>
        <v>King Malcolm III tal-Iskozja</v>
      </c>
    </row>
    <row r="19338" ht="15.75" customHeight="1">
      <c r="A19338" s="2" t="s">
        <v>19338</v>
      </c>
      <c r="B19338" s="2" t="str">
        <f>IFERROR(__xludf.DUMMYFUNCTION("GOOGLETRANSLATE(A19338, ""en"", ""mt"")"),"Vjetnam")</f>
        <v>Vjetnam</v>
      </c>
    </row>
    <row r="19339" ht="15.75" customHeight="1">
      <c r="A19339" s="2" t="s">
        <v>19339</v>
      </c>
      <c r="B19339" s="2" t="str">
        <f>IFERROR(__xludf.DUMMYFUNCTION("GOOGLETRANSLATE(A19339, ""en"", ""mt"")"),"libertà reliġjuża")</f>
        <v>libertà reliġjuża</v>
      </c>
    </row>
    <row r="19340" ht="15.75" customHeight="1">
      <c r="A19340" s="2" t="s">
        <v>19340</v>
      </c>
      <c r="B19340" s="2" t="str">
        <f>IFERROR(__xludf.DUMMYFUNCTION("GOOGLETRANSLATE(A19340, ""en"", ""mt"")"),"Tmiem il-Parlament attwali")</f>
        <v>Tmiem il-Parlament attwali</v>
      </c>
    </row>
    <row r="19341" ht="15.75" customHeight="1">
      <c r="A19341" s="2" t="s">
        <v>19341</v>
      </c>
      <c r="B19341" s="2" t="str">
        <f>IFERROR(__xludf.DUMMYFUNCTION("GOOGLETRANSLATE(A19341, ""en"", ""mt"")"),"Tesla spjega wkoll il-prinċipji tal-kamp manjetiku li jdur f'mutur ta 'induzzjoni billi wera kif tagħmel il-bajd tar-ram fit-tarf bl-użu ta' apparat li huwa mibni bħala l-bajda ta 'Columbus.")</f>
        <v>Tesla spjega wkoll il-prinċipji tal-kamp manjetiku li jdur f'mutur ta 'induzzjoni billi wera kif tagħmel il-bajd tar-ram fit-tarf bl-użu ta' apparat li huwa mibni bħala l-bajda ta 'Columbus.</v>
      </c>
    </row>
    <row r="19342" ht="15.75" customHeight="1">
      <c r="A19342" s="2" t="s">
        <v>19342</v>
      </c>
      <c r="B19342" s="2" t="str">
        <f>IFERROR(__xludf.DUMMYFUNCTION("GOOGLETRANSLATE(A19342, ""en"", ""mt"")"),"Inkwiet li jiddistingwi bejn id-dijossidu tal-karbonju u l-ossiġnu")</f>
        <v>Inkwiet li jiddistingwi bejn id-dijossidu tal-karbonju u l-ossiġnu</v>
      </c>
    </row>
    <row r="19343" ht="15.75" customHeight="1">
      <c r="A19343" s="2" t="s">
        <v>19343</v>
      </c>
      <c r="B19343" s="2" t="str">
        <f>IFERROR(__xludf.DUMMYFUNCTION("GOOGLETRANSLATE(A19343, ""en"", ""mt"")"),"Is-settur tat-turiżmu kellu tkabbir jew tnaqqis?")</f>
        <v>Is-settur tat-turiżmu kellu tkabbir jew tnaqqis?</v>
      </c>
    </row>
    <row r="19344" ht="15.75" customHeight="1">
      <c r="A19344" s="2" t="s">
        <v>19344</v>
      </c>
      <c r="B19344" s="2" t="str">
        <f>IFERROR(__xludf.DUMMYFUNCTION("GOOGLETRANSLATE(A19344, ""en"", ""mt"")"),"X'inhuma xi nieqsa xi klorofita u kloroplasti euglenid?")</f>
        <v>X'inhuma xi nieqsa xi klorofita u kloroplasti euglenid?</v>
      </c>
    </row>
    <row r="19345" ht="15.75" customHeight="1">
      <c r="A19345" s="2" t="s">
        <v>19345</v>
      </c>
      <c r="B19345" s="2" t="str">
        <f>IFERROR(__xludf.DUMMYFUNCTION("GOOGLETRANSLATE(A19345, ""en"", ""mt"")"),"Parallel mar-Renu Kanalizzat")</f>
        <v>Parallel mar-Renu Kanalizzat</v>
      </c>
    </row>
    <row r="19346" ht="15.75" customHeight="1">
      <c r="A19346" s="2" t="s">
        <v>19346</v>
      </c>
      <c r="B19346" s="2" t="str">
        <f>IFERROR(__xludf.DUMMYFUNCTION("GOOGLETRANSLATE(A19346, ""en"", ""mt"")"),"Il-membri tal-Fratellanza huma kontra li jikkunsmaw liema xorb?")</f>
        <v>Il-membri tal-Fratellanza huma kontra li jikkunsmaw liema xorb?</v>
      </c>
    </row>
    <row r="19347" ht="15.75" customHeight="1">
      <c r="A19347" s="2" t="s">
        <v>19347</v>
      </c>
      <c r="B19347" s="2" t="str">
        <f>IFERROR(__xludf.DUMMYFUNCTION("GOOGLETRANSLATE(A19347, ""en"", ""mt"")"),"Fl-esperimenti, pont ta 'liema element jista' jinbena bejn arbli ta 'kalamita?")</f>
        <v>Fl-esperimenti, pont ta 'liema element jista' jinbena bejn arbli ta 'kalamita?</v>
      </c>
    </row>
    <row r="19348" ht="15.75" customHeight="1">
      <c r="A19348" s="2" t="s">
        <v>19348</v>
      </c>
      <c r="B19348" s="2" t="str">
        <f>IFERROR(__xludf.DUMMYFUNCTION("GOOGLETRANSLATE(A19348, ""en"", ""mt"")"),"Liema suġġetti oħra tista 'tappartjeni d-diżubbidjenza ċivili?")</f>
        <v>Liema suġġetti oħra tista 'tappartjeni d-diżubbidjenza ċivili?</v>
      </c>
    </row>
    <row r="19349" ht="15.75" customHeight="1">
      <c r="A19349" s="2" t="s">
        <v>19349</v>
      </c>
      <c r="B19349" s="2" t="str">
        <f>IFERROR(__xludf.DUMMYFUNCTION("GOOGLETRANSLATE(A19349, ""en"", ""mt"")"),"kompletament uman")</f>
        <v>kompletament uman</v>
      </c>
    </row>
    <row r="19350" ht="15.75" customHeight="1">
      <c r="A19350" s="2" t="s">
        <v>19350</v>
      </c>
      <c r="B19350" s="2" t="str">
        <f>IFERROR(__xludf.DUMMYFUNCTION("GOOGLETRANSLATE(A19350, ""en"", ""mt"")"),"Kif reċentement ġew restawrati d-djar fi Fresno?")</f>
        <v>Kif reċentement ġew restawrati d-djar fi Fresno?</v>
      </c>
    </row>
    <row r="19351" ht="15.75" customHeight="1">
      <c r="A19351" s="2" t="s">
        <v>19351</v>
      </c>
      <c r="B19351" s="2" t="str">
        <f>IFERROR(__xludf.DUMMYFUNCTION("GOOGLETRANSLATE(A19351, ""en"", ""mt"")"),"Biex tissorvelja liema avveniment il-kejl tar-radjazzjoni mill-veġetazzjoni jipprovdi informazzjoni?")</f>
        <v>Biex tissorvelja liema avveniment il-kejl tar-radjazzjoni mill-veġetazzjoni jipprovdi informazzjoni?</v>
      </c>
    </row>
    <row r="19352" ht="15.75" customHeight="1">
      <c r="A19352" s="2" t="s">
        <v>19352</v>
      </c>
      <c r="B19352" s="2" t="str">
        <f>IFERROR(__xludf.DUMMYFUNCTION("GOOGLETRANSLATE(A19352, ""en"", ""mt"")"),"Wara l-1940s")</f>
        <v>Wara l-1940s</v>
      </c>
    </row>
    <row r="19353" ht="15.75" customHeight="1">
      <c r="A19353" s="2" t="s">
        <v>19353</v>
      </c>
      <c r="B19353" s="2" t="str">
        <f>IFERROR(__xludf.DUMMYFUNCTION("GOOGLETRANSLATE(A19353, ""en"", ""mt"")"),"Kif jaħdmu l-ko-għalliema ma 'xulxin biex jissodisfaw il-bżonnijiet tal-istudenti?")</f>
        <v>Kif jaħdmu l-ko-għalliema ma 'xulxin biex jissodisfaw il-bżonnijiet tal-istudenti?</v>
      </c>
    </row>
    <row r="19354" ht="15.75" customHeight="1">
      <c r="A19354" s="2" t="s">
        <v>19354</v>
      </c>
      <c r="B19354" s="2" t="str">
        <f>IFERROR(__xludf.DUMMYFUNCTION("GOOGLETRANSLATE(A19354, ""en"", ""mt"")"),"kreditu aktar faċli")</f>
        <v>kreditu aktar faċli</v>
      </c>
    </row>
    <row r="19355" ht="15.75" customHeight="1">
      <c r="A19355" s="2" t="s">
        <v>19355</v>
      </c>
      <c r="B19355" s="2" t="str">
        <f>IFERROR(__xludf.DUMMYFUNCTION("GOOGLETRANSLATE(A19355, ""en"", ""mt"")"),"X'kienet id-differenza fl-età bejn Newton u Manning fis-Super Bowl 50?")</f>
        <v>X'kienet id-differenza fl-età bejn Newton u Manning fis-Super Bowl 50?</v>
      </c>
    </row>
    <row r="19356" ht="15.75" customHeight="1">
      <c r="A19356" s="2" t="s">
        <v>19356</v>
      </c>
      <c r="B19356" s="2" t="str">
        <f>IFERROR(__xludf.DUMMYFUNCTION("GOOGLETRANSLATE(A19356, ""en"", ""mt"")"),"Madwar seba 'u tmienja")</f>
        <v>Madwar seba 'u tmienja</v>
      </c>
    </row>
    <row r="19357" ht="15.75" customHeight="1">
      <c r="A19357" s="2" t="s">
        <v>19357</v>
      </c>
      <c r="B19357" s="2" t="str">
        <f>IFERROR(__xludf.DUMMYFUNCTION("GOOGLETRANSLATE(A19357, ""en"", ""mt"")"),"Tekniki termokimiċi")</f>
        <v>Tekniki termokimiċi</v>
      </c>
    </row>
    <row r="19358" ht="15.75" customHeight="1">
      <c r="A19358" s="2" t="s">
        <v>19358</v>
      </c>
      <c r="B19358" s="2" t="str">
        <f>IFERROR(__xludf.DUMMYFUNCTION("GOOGLETRANSLATE(A19358, ""en"", ""mt"")"),"Lulju 2015")</f>
        <v>Lulju 2015</v>
      </c>
    </row>
    <row r="19359" ht="15.75" customHeight="1">
      <c r="A19359" s="2" t="s">
        <v>19359</v>
      </c>
      <c r="B19359" s="2" t="str">
        <f>IFERROR(__xludf.DUMMYFUNCTION("GOOGLETRANSLATE(A19359, ""en"", ""mt"")"),"Fl-iktar sens bażiku x’tagħmel magna tat-Turing?")</f>
        <v>Fl-iktar sens bażiku x’tagħmel magna tat-Turing?</v>
      </c>
    </row>
    <row r="19360" ht="15.75" customHeight="1">
      <c r="A19360" s="2" t="s">
        <v>19360</v>
      </c>
      <c r="B19360" s="2" t="str">
        <f>IFERROR(__xludf.DUMMYFUNCTION("GOOGLETRANSLATE(A19360, ""en"", ""mt"")"),"ramel")</f>
        <v>ramel</v>
      </c>
    </row>
    <row r="19361" ht="15.75" customHeight="1">
      <c r="A19361" s="2" t="s">
        <v>19361</v>
      </c>
      <c r="B19361" s="2" t="str">
        <f>IFERROR(__xludf.DUMMYFUNCTION("GOOGLETRANSLATE(A19361, ""en"", ""mt"")"),"Iċ-Ċentru tax-Xiri tal-Pjazza Eldon")</f>
        <v>Iċ-Ċentru tax-Xiri tal-Pjazza Eldon</v>
      </c>
    </row>
    <row r="19362" ht="15.75" customHeight="1">
      <c r="A19362" s="2" t="s">
        <v>19362</v>
      </c>
      <c r="B19362" s="2" t="str">
        <f>IFERROR(__xludf.DUMMYFUNCTION("GOOGLETRANSLATE(A19362, ""en"", ""mt"")"),"X'kienu l-miżati annwali tal-ġarr għall-kanali?")</f>
        <v>X'kienu l-miżati annwali tal-ġarr għall-kanali?</v>
      </c>
    </row>
    <row r="19363" ht="15.75" customHeight="1">
      <c r="A19363" s="2" t="s">
        <v>19363</v>
      </c>
      <c r="B19363" s="2" t="str">
        <f>IFERROR(__xludf.DUMMYFUNCTION("GOOGLETRANSLATE(A19363, ""en"", ""mt"")"),"Luther segretament irritorna lejn Wittenberg fis-6 ta 'Marzu 1522. Huwa kiteb lill-Elettur: ""Matul l-assenza tiegħi, Satana daħal fil-ġnub tiegħi, u impenjat ravages li ma nistax isewwi bil-kitba, iżda biss bil-preżenza personali tiegħi u l-kelma ħajja."&amp;""" Għal tmint ijiem fir-Randan, li beda fil-Ħadd Invocavit, 9 ta 'Marzu, Luther ippriedka tmien priedki, li saru magħrufa bħala l- ""priedki Invocavit"". F’dawn il-priedki, huwa msaffar id-dar il-preminenza tal-valuri Kristjani ewlenin bħall-imħabba, il-p"&amp;"aċenzja, il-karità, u l-libertà, u fakkar liċ-ċittadini biex jafdaw il-Kelma ta ’Alla minflok il-vjolenza biex iġġib il-bidla meħtieġa.")</f>
        <v>Luther segretament irritorna lejn Wittenberg fis-6 ta 'Marzu 1522. Huwa kiteb lill-Elettur: "Matul l-assenza tiegħi, Satana daħal fil-ġnub tiegħi, u impenjat ravages li ma nistax isewwi bil-kitba, iżda biss bil-preżenza personali tiegħi u l-kelma ħajja." Għal tmint ijiem fir-Randan, li beda fil-Ħadd Invocavit, 9 ta 'Marzu, Luther ippriedka tmien priedki, li saru magħrufa bħala l- "priedki Invocavit". F’dawn il-priedki, huwa msaffar id-dar il-preminenza tal-valuri Kristjani ewlenin bħall-imħabba, il-paċenzja, il-karità, u l-libertà, u fakkar liċ-ċittadini biex jafdaw il-Kelma ta ’Alla minflok il-vjolenza biex iġġib il-bidla meħtieġa.</v>
      </c>
    </row>
    <row r="19364" ht="15.75" customHeight="1">
      <c r="A19364" s="2" t="s">
        <v>19364</v>
      </c>
      <c r="B19364" s="2" t="str">
        <f>IFERROR(__xludf.DUMMYFUNCTION("GOOGLETRANSLATE(A19364, ""en"", ""mt"")"),"Ismailiyah, l-Eġittu")</f>
        <v>Ismailiyah, l-Eġittu</v>
      </c>
    </row>
    <row r="19365" ht="15.75" customHeight="1">
      <c r="A19365" s="2" t="s">
        <v>19365</v>
      </c>
      <c r="B19365" s="2" t="str">
        <f>IFERROR(__xludf.DUMMYFUNCTION("GOOGLETRANSLATE(A19365, ""en"", ""mt"")"),"Liema skeda ta 'żmien titwessa' aktar fir-raba 'skala?")</f>
        <v>Liema skeda ta 'żmien titwessa' aktar fir-raba 'skala?</v>
      </c>
    </row>
    <row r="19366" ht="15.75" customHeight="1">
      <c r="A19366" s="2" t="s">
        <v>19366</v>
      </c>
      <c r="B19366" s="2" t="str">
        <f>IFERROR(__xludf.DUMMYFUNCTION("GOOGLETRANSLATE(A19366, ""en"", ""mt"")"),"stati u gvernijiet")</f>
        <v>stati u gvernijiet</v>
      </c>
    </row>
    <row r="19367" ht="15.75" customHeight="1">
      <c r="A19367" s="2" t="s">
        <v>19367</v>
      </c>
      <c r="B19367" s="2" t="str">
        <f>IFERROR(__xludf.DUMMYFUNCTION("GOOGLETRANSLATE(A19367, ""en"", ""mt"")"),"Liema espressjoni hija ġeneralment użata biex twassal limiti ta 'fuq jew t'isfel?")</f>
        <v>Liema espressjoni hija ġeneralment użata biex twassal limiti ta 'fuq jew t'isfel?</v>
      </c>
    </row>
    <row r="19368" ht="15.75" customHeight="1">
      <c r="A19368" s="2" t="s">
        <v>19368</v>
      </c>
      <c r="B19368" s="2" t="str">
        <f>IFERROR(__xludf.DUMMYFUNCTION("GOOGLETRANSLATE(A19368, ""en"", ""mt"")"),"Tqassim nervuż")</f>
        <v>Tqassim nervuż</v>
      </c>
    </row>
    <row r="19369" ht="15.75" customHeight="1">
      <c r="A19369" s="2" t="s">
        <v>19369</v>
      </c>
      <c r="B19369" s="2" t="str">
        <f>IFERROR(__xludf.DUMMYFUNCTION("GOOGLETRANSLATE(A19369, ""en"", ""mt"")"),"""L-Istat Iżlamiku"", li qabel kien magħruf bħala ""l-Istat Iżlamiku ta 'l-Iraq u l-Levant"" u qabel dak bħala ""l-Istat Iżlamiku ta' l-Iraq"", (u sejjaħ l-akronimu Daesh mill-ħafna detractors tiegħu), huwa estremista jihadist Wahhabi / Salafi Grupp milit"&amp;"anti li huwa mmexxi minn u prinċipalment magħmul minn Għarab Sunni mill-Iraq u s-Sirja. Fl-2014, il-grupp ipproklama lilu nnifsu kalifat, b'awtorità reliġjuża, politika u militari matul il-Musulmani kollha mad-dinja kollha. Minn Marzu 2015 [aġġornament], "&amp;"kellu kontroll fuq territorju okkupat minn għaxar miljun persuna fl-Iraq u s-Sirja, u għandu kontroll nominali fuq żoni żgħar tal-Libja, in-Niġerja u l-Afganistan. (Filwaqt li stat deskritt minnu nnifsu, huwa nieqes mir-rikonoxximent internazzjonali.) Il-"&amp;"grupp jopera wkoll jew għandu affiljati f'partijiet oħra tad-dinja, inklużi l-Afrika ta 'Fuq u l-Asja t'Isfel.")</f>
        <v>"L-Istat Iżlamiku", li qabel kien magħruf bħala "l-Istat Iżlamiku ta 'l-Iraq u l-Levant" u qabel dak bħala "l-Istat Iżlamiku ta' l-Iraq", (u sejjaħ l-akronimu Daesh mill-ħafna detractors tiegħu), huwa estremista jihadist Wahhabi / Salafi Grupp militanti li huwa mmexxi minn u prinċipalment magħmul minn Għarab Sunni mill-Iraq u s-Sirja. Fl-2014, il-grupp ipproklama lilu nnifsu kalifat, b'awtorità reliġjuża, politika u militari matul il-Musulmani kollha mad-dinja kollha. Minn Marzu 2015 [aġġornament], kellu kontroll fuq territorju okkupat minn għaxar miljun persuna fl-Iraq u s-Sirja, u għandu kontroll nominali fuq żoni żgħar tal-Libja, in-Niġerja u l-Afganistan. (Filwaqt li stat deskritt minnu nnifsu, huwa nieqes mir-rikonoxximent internazzjonali.) Il-grupp jopera wkoll jew għandu affiljati f'partijiet oħra tad-dinja, inklużi l-Afrika ta 'Fuq u l-Asja t'Isfel.</v>
      </c>
    </row>
    <row r="19370" ht="15.75" customHeight="1">
      <c r="A19370" s="2" t="s">
        <v>19370</v>
      </c>
      <c r="B19370" s="2" t="str">
        <f>IFERROR(__xludf.DUMMYFUNCTION("GOOGLETRANSLATE(A19370, ""en"", ""mt"")"),"xellug")</f>
        <v>xellug</v>
      </c>
    </row>
    <row r="19371" ht="15.75" customHeight="1">
      <c r="A19371" s="2" t="s">
        <v>19371</v>
      </c>
      <c r="B19371" s="2" t="str">
        <f>IFERROR(__xludf.DUMMYFUNCTION("GOOGLETRANSLATE(A19371, ""en"", ""mt"")"),"Pistun reċiproku")</f>
        <v>Pistun reċiproku</v>
      </c>
    </row>
    <row r="19372" ht="15.75" customHeight="1">
      <c r="A19372" s="2" t="s">
        <v>19372</v>
      </c>
      <c r="B19372" s="2" t="str">
        <f>IFERROR(__xludf.DUMMYFUNCTION("GOOGLETRANSLATE(A19372, ""en"", ""mt"")"),"Min skopra dan u minn fejn ġew?")</f>
        <v>Min skopra dan u minn fejn ġew?</v>
      </c>
    </row>
    <row r="19373" ht="15.75" customHeight="1">
      <c r="A19373" s="2" t="s">
        <v>19373</v>
      </c>
      <c r="B19373" s="2" t="str">
        <f>IFERROR(__xludf.DUMMYFUNCTION("GOOGLETRANSLATE(A19373, ""en"", ""mt"")"),"Battalja Navali tar-Restigouche")</f>
        <v>Battalja Navali tar-Restigouche</v>
      </c>
    </row>
    <row r="19374" ht="15.75" customHeight="1">
      <c r="A19374" s="2" t="s">
        <v>19374</v>
      </c>
      <c r="B19374" s="2" t="str">
        <f>IFERROR(__xludf.DUMMYFUNCTION("GOOGLETRANSLATE(A19374, ""en"", ""mt"")"),"Numeriku")</f>
        <v>Numeriku</v>
      </c>
    </row>
    <row r="19375" ht="15.75" customHeight="1">
      <c r="A19375" s="2" t="s">
        <v>19375</v>
      </c>
      <c r="B19375" s="2" t="str">
        <f>IFERROR(__xludf.DUMMYFUNCTION("GOOGLETRANSLATE(A19375, ""en"", ""mt"")"),"mozzjoni naturali")</f>
        <v>mozzjoni naturali</v>
      </c>
    </row>
    <row r="19376" ht="15.75" customHeight="1">
      <c r="A19376" s="2" t="s">
        <v>19376</v>
      </c>
      <c r="B19376" s="2" t="str">
        <f>IFERROR(__xludf.DUMMYFUNCTION("GOOGLETRANSLATE(A19376, ""en"", ""mt"")"),"Għal xiex jużaw il-kloroplasti tagħhom?")</f>
        <v>Għal xiex jużaw il-kloroplasti tagħhom?</v>
      </c>
    </row>
    <row r="19377" ht="15.75" customHeight="1">
      <c r="A19377" s="2" t="s">
        <v>19377</v>
      </c>
      <c r="B19377" s="2" t="str">
        <f>IFERROR(__xludf.DUMMYFUNCTION("GOOGLETRANSLATE(A19377, ""en"", ""mt"")"),"142 libbra (64 kg)")</f>
        <v>142 libbra (64 kg)</v>
      </c>
    </row>
    <row r="19378" ht="15.75" customHeight="1">
      <c r="A19378" s="2" t="s">
        <v>19378</v>
      </c>
      <c r="B19378" s="2" t="str">
        <f>IFERROR(__xludf.DUMMYFUNCTION("GOOGLETRANSLATE(A19378, ""en"", ""mt"")"),"L-Imperatur tal-Kanzunetta")</f>
        <v>L-Imperatur tal-Kanzunetta</v>
      </c>
    </row>
    <row r="19379" ht="15.75" customHeight="1">
      <c r="A19379" s="2" t="s">
        <v>19379</v>
      </c>
      <c r="B19379" s="2" t="str">
        <f>IFERROR(__xludf.DUMMYFUNCTION("GOOGLETRANSLATE(A19379, ""en"", ""mt"")"),"X'kien il-prinċipju muri fil-marka ta 'l-anarkija?")</f>
        <v>X'kien il-prinċipju muri fil-marka ta 'l-anarkija?</v>
      </c>
    </row>
    <row r="19380" ht="15.75" customHeight="1">
      <c r="A19380" s="2" t="s">
        <v>19380</v>
      </c>
      <c r="B19380" s="2" t="str">
        <f>IFERROR(__xludf.DUMMYFUNCTION("GOOGLETRANSLATE(A19380, ""en"", ""mt"")"),"Fruntiera Ġermaniża-Żvizzera")</f>
        <v>Fruntiera Ġermaniża-Żvizzera</v>
      </c>
    </row>
    <row r="19381" ht="15.75" customHeight="1">
      <c r="A19381" s="2" t="s">
        <v>19381</v>
      </c>
      <c r="B19381" s="2" t="str">
        <f>IFERROR(__xludf.DUMMYFUNCTION("GOOGLETRANSLATE(A19381, ""en"", ""mt"")"),"X'inhu normalment jittiekel għall-ikel u l-pranzu?")</f>
        <v>X'inhu normalment jittiekel għall-ikel u l-pranzu?</v>
      </c>
    </row>
    <row r="19382" ht="15.75" customHeight="1">
      <c r="A19382" s="2" t="s">
        <v>19382</v>
      </c>
      <c r="B19382" s="2" t="str">
        <f>IFERROR(__xludf.DUMMYFUNCTION("GOOGLETRANSLATE(A19382, ""en"", ""mt"")"),"1938")</f>
        <v>1938</v>
      </c>
    </row>
    <row r="19383" ht="15.75" customHeight="1">
      <c r="A19383" s="2" t="s">
        <v>19383</v>
      </c>
      <c r="B19383" s="2" t="str">
        <f>IFERROR(__xludf.DUMMYFUNCTION("GOOGLETRANSLATE(A19383, ""en"", ""mt"")"),"Edukazzjoni Privata għall-Assistenza Finanzjarja tal-Istudenti")</f>
        <v>Edukazzjoni Privata għall-Assistenza Finanzjarja tal-Istudenti</v>
      </c>
    </row>
    <row r="19384" ht="15.75" customHeight="1">
      <c r="A19384" s="2" t="s">
        <v>19384</v>
      </c>
      <c r="B19384" s="2" t="str">
        <f>IFERROR(__xludf.DUMMYFUNCTION("GOOGLETRANSLATE(A19384, ""en"", ""mt"")"),"Ir-Rotta tal-Istat 180 ġejja minn liema direzzjoni permezz ta 'Mendota?")</f>
        <v>Ir-Rotta tal-Istat 180 ġejja minn liema direzzjoni permezz ta 'Mendota?</v>
      </c>
    </row>
    <row r="19385" ht="15.75" customHeight="1">
      <c r="A19385" s="2" t="s">
        <v>19385</v>
      </c>
      <c r="B19385" s="2" t="str">
        <f>IFERROR(__xludf.DUMMYFUNCTION("GOOGLETRANSLATE(A19385, ""en"", ""mt"")"),"Ferrovija tal-Wied ta 'San Joaquin")</f>
        <v>Ferrovija tal-Wied ta 'San Joaquin</v>
      </c>
    </row>
    <row r="19386" ht="15.75" customHeight="1">
      <c r="A19386" s="2" t="s">
        <v>19386</v>
      </c>
      <c r="B19386" s="2" t="str">
        <f>IFERROR(__xludf.DUMMYFUNCTION("GOOGLETRANSLATE(A19386, ""en"", ""mt"")"),"Magna tat-Turing deterministika hija l-iktar magna bażika tat-Turing, li tuża sett fiss ta 'regoli biex tiddetermina l-azzjonijiet futuri tagħha. Magna tat-Turing probabilistika hija magna tat-Turing deterministika bi provvista żejda ta 'bits bl-addoċċ. I"&amp;"l-ħila li tieħu deċiżjonijiet probabilistiċi ħafna drabi tgħin lill-algoritmi jsolvu problemi b'mod aktar effiċjenti. Algoritmi li jużaw bits bl-addoċċ jissejħu algoritmi randomised. Magna tat-Turing mhux deterministika hija magna tat-Turing deterministik"&amp;"a b'karatteristika miżjuda ta 'non-determiniżmu, li tippermetti li magna tat-Turing ikollha azzjonijiet futuri possibbli multipli minn stat partikolari. Mod wieħed kif tara n-non-determiniżmu huwa li l-magna tat-Turing fergħat f'ħafna mogħdijiet tal-kompu"&amp;"tazzjoni possibbli f'kull pass, u jekk issolvi l-problema fi kwalunkwe waħda minn dawn il-fergħat, jingħad li solviet il-problema. B'mod ċar, dan il-mudell mhuwiex maħsub biex ikun mudell fiżikament realizzabbli, huwa biss magna astratta teoretikament int"&amp;"eressanti li tagħti lok għal klassijiet ta 'kumplessità partikolarment interessanti. Għal eżempji, ara l-algoritmu mhux deterministiku.")</f>
        <v>Magna tat-Turing deterministika hija l-iktar magna bażika tat-Turing, li tuża sett fiss ta 'regoli biex tiddetermina l-azzjonijiet futuri tagħha. Magna tat-Turing probabilistika hija magna tat-Turing deterministika bi provvista żejda ta 'bits bl-addoċċ. Il-ħila li tieħu deċiżjonijiet probabilistiċi ħafna drabi tgħin lill-algoritmi jsolvu problemi b'mod aktar effiċjenti. Algoritmi li jużaw bits bl-addoċċ jissejħu algoritmi randomised. Magna tat-Turing mhux deterministika hija magna tat-Turing deterministika b'karatteristika miżjuda ta 'non-determiniżmu, li tippermetti li magna tat-Turing ikollha azzjonijiet futuri possibbli multipli minn stat partikolari. Mod wieħed kif tara n-non-determiniżmu huwa li l-magna tat-Turing fergħat f'ħafna mogħdijiet tal-komputazzjoni possibbli f'kull pass, u jekk issolvi l-problema fi kwalunkwe waħda minn dawn il-fergħat, jingħad li solviet il-problema. B'mod ċar, dan il-mudell mhuwiex maħsub biex ikun mudell fiżikament realizzabbli, huwa biss magna astratta teoretikament interessanti li tagħti lok għal klassijiet ta 'kumplessità partikolarment interessanti. Għal eżempji, ara l-algoritmu mhux deterministiku.</v>
      </c>
    </row>
    <row r="19387" ht="15.75" customHeight="1">
      <c r="A19387" s="2" t="s">
        <v>19387</v>
      </c>
      <c r="B19387" s="2" t="str">
        <f>IFERROR(__xludf.DUMMYFUNCTION("GOOGLETRANSLATE(A19387, ""en"", ""mt"")"),"X'kien l-isem tal-liġijiet ta 'Temüjin?")</f>
        <v>X'kien l-isem tal-liġijiet ta 'Temüjin?</v>
      </c>
    </row>
    <row r="19388" ht="15.75" customHeight="1">
      <c r="A19388" s="2" t="s">
        <v>19388</v>
      </c>
      <c r="B19388" s="2" t="str">
        <f>IFERROR(__xludf.DUMMYFUNCTION("GOOGLETRANSLATE(A19388, ""en"", ""mt"")"),"Meta Sky Digital tnediet fl-1998 is-servizz il-ġdid uża s-satellita Astra 2A li kienet tinsab fil-pożizzjoni orbitali ta '28 .5 ° E, b'differenza mis-servizz analogu li ġie mxandar minn 19.2 ° E. Sussegwentement ġie segwit minn aktar satelliti Astra kif u"&amp;"koll minn Euutelsat's Eurobind 1 (issa Eutelsat 33C) fi 28.5 ° E), ippermetta lill-kumpanija tniedi servizz ġdid diġitali kollu, Sky, bil-potenzjal li ġġorr mijiet ta 'kanali tat-televiżjoni u tar-radju - Il-pożizzjoni l-qadima kienet maqsuma ma 'xandara "&amp;"minn diversi pajjiżi Ewropej, filwaqt li l-pożizzjoni l-ġdida ta '28 .5 ° E waslet kważi esklussivament għal kanali li xxandru lir-Renju Unit.")</f>
        <v>Meta Sky Digital tnediet fl-1998 is-servizz il-ġdid uża s-satellita Astra 2A li kienet tinsab fil-pożizzjoni orbitali ta '28 .5 ° E, b'differenza mis-servizz analogu li ġie mxandar minn 19.2 ° E. Sussegwentement ġie segwit minn aktar satelliti Astra kif ukoll minn Euutelsat's Eurobind 1 (issa Eutelsat 33C) fi 28.5 ° E), ippermetta lill-kumpanija tniedi servizz ġdid diġitali kollu, Sky, bil-potenzjal li ġġorr mijiet ta 'kanali tat-televiżjoni u tar-radju - Il-pożizzjoni l-qadima kienet maqsuma ma 'xandara minn diversi pajjiżi Ewropej, filwaqt li l-pożizzjoni l-ġdida ta '28 .5 ° E waslet kważi esklussivament għal kanali li xxandru lir-Renju Unit.</v>
      </c>
    </row>
    <row r="19389" ht="15.75" customHeight="1">
      <c r="A19389" s="2" t="s">
        <v>19389</v>
      </c>
      <c r="B19389" s="2" t="str">
        <f>IFERROR(__xludf.DUMMYFUNCTION("GOOGLETRANSLATE(A19389, ""en"", ""mt"")"),"Jekk is-soluzzjoni tagħha teħtieġ riżorsi sinifikanti")</f>
        <v>Jekk is-soluzzjoni tagħha teħtieġ riżorsi sinifikanti</v>
      </c>
    </row>
    <row r="19390" ht="15.75" customHeight="1">
      <c r="A19390" s="2" t="s">
        <v>19390</v>
      </c>
      <c r="B19390" s="2" t="str">
        <f>IFERROR(__xludf.DUMMYFUNCTION("GOOGLETRANSLATE(A19390, ""en"", ""mt"")"),"Liema pajjiż tal-Punent għadu permess il-kastig korporali?")</f>
        <v>Liema pajjiż tal-Punent għadu permess il-kastig korporali?</v>
      </c>
    </row>
    <row r="19391" ht="15.75" customHeight="1">
      <c r="A19391" s="2" t="s">
        <v>19391</v>
      </c>
      <c r="B19391" s="2" t="str">
        <f>IFERROR(__xludf.DUMMYFUNCTION("GOOGLETRANSLATE(A19391, ""en"", ""mt"")"),"Tmexxi ħajja mimlija spirtu u bħal Kristu mmirata lejn l-imħabba")</f>
        <v>Tmexxi ħajja mimlija spirtu u bħal Kristu mmirata lejn l-imħabba</v>
      </c>
    </row>
    <row r="19392" ht="15.75" customHeight="1">
      <c r="A19392" s="2" t="s">
        <v>19392</v>
      </c>
      <c r="B19392" s="2" t="str">
        <f>IFERROR(__xludf.DUMMYFUNCTION("GOOGLETRANSLATE(A19392, ""en"", ""mt"")"),"Kjaru Agostinjan magħluq")</f>
        <v>Kjaru Agostinjan magħluq</v>
      </c>
    </row>
    <row r="19393" ht="15.75" customHeight="1">
      <c r="A19393" s="2" t="s">
        <v>19393</v>
      </c>
      <c r="B19393" s="2" t="str">
        <f>IFERROR(__xludf.DUMMYFUNCTION("GOOGLETRANSLATE(A19393, ""en"", ""mt"")"),"X'inhu t-terminu ġenerali użat biex jiddeskrivi l-output għal kwalunkwe input mogħti f'istanza ta 'problema?")</f>
        <v>X'inhu t-terminu ġenerali użat biex jiddeskrivi l-output għal kwalunkwe input mogħti f'istanza ta 'problema?</v>
      </c>
    </row>
    <row r="19394" ht="15.75" customHeight="1">
      <c r="A19394" s="2" t="s">
        <v>19394</v>
      </c>
      <c r="B19394" s="2" t="str">
        <f>IFERROR(__xludf.DUMMYFUNCTION("GOOGLETRANSLATE(A19394, ""en"", ""mt"")"),"Liema apparat huwa simili għal torri ta 'tkessiħ niexef?")</f>
        <v>Liema apparat huwa simili għal torri ta 'tkessiħ niexef?</v>
      </c>
    </row>
    <row r="19395" ht="15.75" customHeight="1">
      <c r="A19395" s="2" t="s">
        <v>19395</v>
      </c>
      <c r="B19395" s="2" t="str">
        <f>IFERROR(__xludf.DUMMYFUNCTION("GOOGLETRANSLATE(A19395, ""en"", ""mt"")"),"Liema pożizzjoni fil-gvern għandu Robert Gates?")</f>
        <v>Liema pożizzjoni fil-gvern għandu Robert Gates?</v>
      </c>
    </row>
    <row r="19396" ht="15.75" customHeight="1">
      <c r="A19396" s="2" t="s">
        <v>19396</v>
      </c>
      <c r="B19396" s="2" t="str">
        <f>IFERROR(__xludf.DUMMYFUNCTION("GOOGLETRANSLATE(A19396, ""en"", ""mt"")"),"X'kienet it-tweġiba ta 'Edison dwar dak li Tesla ma fehmitx meta Tesla talbet il-ħlas?")</f>
        <v>X'kienet it-tweġiba ta 'Edison dwar dak li Tesla ma fehmitx meta Tesla talbet il-ħlas?</v>
      </c>
    </row>
    <row r="19397" ht="15.75" customHeight="1">
      <c r="A19397" s="2" t="s">
        <v>19397</v>
      </c>
      <c r="B19397" s="2" t="str">
        <f>IFERROR(__xludf.DUMMYFUNCTION("GOOGLETRANSLATE(A19397, ""en"", ""mt"")"),"Liema parti jilagħbu l-avvenimenti fl-ekonomija tar-Rabat?")</f>
        <v>Liema parti jilagħbu l-avvenimenti fl-ekonomija tar-Rabat?</v>
      </c>
    </row>
    <row r="19398" ht="15.75" customHeight="1">
      <c r="A19398" s="2" t="s">
        <v>19398</v>
      </c>
      <c r="B19398" s="2" t="str">
        <f>IFERROR(__xludf.DUMMYFUNCTION("GOOGLETRANSLATE(A19398, ""en"", ""mt"")"),"X'kienet l-attitudni ta 'Tesla lejn l-idea li l-kwistjoni tista' tinbidel f'enerġija?")</f>
        <v>X'kienet l-attitudni ta 'Tesla lejn l-idea li l-kwistjoni tista' tinbidel f'enerġija?</v>
      </c>
    </row>
    <row r="19399" ht="15.75" customHeight="1">
      <c r="A19399" s="2" t="s">
        <v>19399</v>
      </c>
      <c r="B19399" s="2" t="str">
        <f>IFERROR(__xludf.DUMMYFUNCTION("GOOGLETRANSLATE(A19399, ""en"", ""mt"")"),"3 ta 'Mejju, 2013")</f>
        <v>3 ta 'Mejju, 2013</v>
      </c>
    </row>
    <row r="19400" ht="15.75" customHeight="1">
      <c r="A19400" s="2" t="s">
        <v>19400</v>
      </c>
      <c r="B19400" s="2" t="str">
        <f>IFERROR(__xludf.DUMMYFUNCTION("GOOGLETRANSLATE(A19400, ""en"", ""mt"")"),"L-azzjoni tat-tlaħliħ ta 'dak li jkeċċi l-patoġeni mill-għajnejn?")</f>
        <v>L-azzjoni tat-tlaħliħ ta 'dak li jkeċċi l-patoġeni mill-għajnejn?</v>
      </c>
    </row>
    <row r="19401" ht="15.75" customHeight="1">
      <c r="A19401" s="2" t="s">
        <v>19401</v>
      </c>
      <c r="B19401" s="2" t="str">
        <f>IFERROR(__xludf.DUMMYFUNCTION("GOOGLETRANSLATE(A19401, ""en"", ""mt"")"),"Nisel tal-kloroplast tal-alka ħamra")</f>
        <v>Nisel tal-kloroplast tal-alka ħamra</v>
      </c>
    </row>
    <row r="19402" ht="15.75" customHeight="1">
      <c r="A19402" s="2" t="s">
        <v>19402</v>
      </c>
      <c r="B19402" s="2" t="str">
        <f>IFERROR(__xludf.DUMMYFUNCTION("GOOGLETRANSLATE(A19402, ""en"", ""mt"")"),"cuticle tax-xama '")</f>
        <v>cuticle tax-xama '</v>
      </c>
    </row>
    <row r="19403" ht="15.75" customHeight="1">
      <c r="A19403" s="2" t="s">
        <v>19403</v>
      </c>
      <c r="B19403" s="2" t="str">
        <f>IFERROR(__xludf.DUMMYFUNCTION("GOOGLETRANSLATE(A19403, ""en"", ""mt"")"),"KOA (850 AM) u KRFX (103.5 FM)")</f>
        <v>KOA (850 AM) u KRFX (103.5 FM)</v>
      </c>
    </row>
    <row r="19404" ht="15.75" customHeight="1">
      <c r="A19404" s="2" t="s">
        <v>19404</v>
      </c>
      <c r="B19404" s="2" t="str">
        <f>IFERROR(__xludf.DUMMYFUNCTION("GOOGLETRANSLATE(A19404, ""en"", ""mt"")"),"rigal")</f>
        <v>rigal</v>
      </c>
    </row>
    <row r="19405" ht="15.75" customHeight="1">
      <c r="A19405" s="2" t="s">
        <v>19405</v>
      </c>
      <c r="B19405" s="2" t="str">
        <f>IFERROR(__xludf.DUMMYFUNCTION("GOOGLETRANSLATE(A19405, ""en"", ""mt"")"),"Atleti Kenjani (partikolarment Kalenjin)")</f>
        <v>Atleti Kenjani (partikolarment Kalenjin)</v>
      </c>
    </row>
    <row r="19406" ht="15.75" customHeight="1">
      <c r="A19406" s="2" t="s">
        <v>19406</v>
      </c>
      <c r="B19406" s="2" t="str">
        <f>IFERROR(__xludf.DUMMYFUNCTION("GOOGLETRANSLATE(A19406, ""en"", ""mt"")"),"Meta l-Metodisti fl-Amerika ġew separati mill-Knisja tal-Ingilterra")</f>
        <v>Meta l-Metodisti fl-Amerika ġew separati mill-Knisja tal-Ingilterra</v>
      </c>
    </row>
    <row r="19407" ht="15.75" customHeight="1">
      <c r="A19407" s="2" t="s">
        <v>19407</v>
      </c>
      <c r="B19407" s="2" t="str">
        <f>IFERROR(__xludf.DUMMYFUNCTION("GOOGLETRANSLATE(A19407, ""en"", ""mt"")"),"riċetturi")</f>
        <v>riċetturi</v>
      </c>
    </row>
    <row r="19408" ht="15.75" customHeight="1">
      <c r="A19408" s="2" t="s">
        <v>19408</v>
      </c>
      <c r="B19408" s="2" t="str">
        <f>IFERROR(__xludf.DUMMYFUNCTION("GOOGLETRANSLATE(A19408, ""en"", ""mt"")"),"kull sitt xhur")</f>
        <v>kull sitt xhur</v>
      </c>
    </row>
    <row r="19409" ht="15.75" customHeight="1">
      <c r="A19409" s="2" t="s">
        <v>19409</v>
      </c>
      <c r="B19409" s="2" t="str">
        <f>IFERROR(__xludf.DUMMYFUNCTION("GOOGLETRANSLATE(A19409, ""en"", ""mt"")"),"IVA")</f>
        <v>IVA</v>
      </c>
    </row>
    <row r="19410" ht="15.75" customHeight="1">
      <c r="A19410" s="2" t="s">
        <v>19410</v>
      </c>
      <c r="B19410" s="2" t="str">
        <f>IFERROR(__xludf.DUMMYFUNCTION("GOOGLETRANSLATE(A19410, ""en"", ""mt"")"),"wasal tard wisq")</f>
        <v>wasal tard wisq</v>
      </c>
    </row>
    <row r="19411" ht="15.75" customHeight="1">
      <c r="A19411" s="2" t="s">
        <v>19411</v>
      </c>
      <c r="B19411" s="2" t="str">
        <f>IFERROR(__xludf.DUMMYFUNCTION("GOOGLETRANSLATE(A19411, ""en"", ""mt"")"),"għerqu fix-xmara Mur")</f>
        <v>għerqu fix-xmara Mur</v>
      </c>
    </row>
    <row r="19412" ht="15.75" customHeight="1">
      <c r="A19412" s="2" t="s">
        <v>19412</v>
      </c>
      <c r="B19412" s="2" t="str">
        <f>IFERROR(__xludf.DUMMYFUNCTION("GOOGLETRANSLATE(A19412, ""en"", ""mt"")"),"Kabina li tiffjamma")</f>
        <v>Kabina li tiffjamma</v>
      </c>
    </row>
    <row r="19413" ht="15.75" customHeight="1">
      <c r="A19413" s="2" t="s">
        <v>19413</v>
      </c>
      <c r="B19413" s="2" t="str">
        <f>IFERROR(__xludf.DUMMYFUNCTION("GOOGLETRANSLATE(A19413, ""en"", ""mt"")"),"Dec oriġinarjament kellu 3 saffi iżda evolva f'kemm saffi")</f>
        <v>Dec oriġinarjament kellu 3 saffi iżda evolva f'kemm saffi</v>
      </c>
    </row>
    <row r="19414" ht="15.75" customHeight="1">
      <c r="A19414" s="2" t="s">
        <v>19414</v>
      </c>
      <c r="B19414" s="2" t="str">
        <f>IFERROR(__xludf.DUMMYFUNCTION("GOOGLETRANSLATE(A19414, ""en"", ""mt"")"),"Fl-1854 fi Ballarat kien hemm ribelljoni armata kontra l-Gvern tar-Rabat minn minaturi li qed jipprotestaw kontra t-taxxi tal-minjieri (l- ""Eureka Stockade""). Dan kien mgħaffeġ minn truppi Ingliżi, iżda l-iskuntentizza wasslet lill-awtoritajiet kolonjal"&amp;"i biex jirriformaw l-amministrazzjoni (partikolarment it-tnaqqis tal-miżati tal-liċenzja tal-minjieri mibegħda) u jestendu l-franchise. Fi żmien qasir, il-Parlament Imperjali ta lill-gvern responsabbli tar-Rabat bil-passaġġ tal-Att tal-Kolonja tal-Victori"&amp;"a 1855. Uħud mill-mexxejja tar-ribelljoni tal-Eureka komplew isiru membri tal-Parlament Vittorjan.")</f>
        <v>Fl-1854 fi Ballarat kien hemm ribelljoni armata kontra l-Gvern tar-Rabat minn minaturi li qed jipprotestaw kontra t-taxxi tal-minjieri (l- "Eureka Stockade"). Dan kien mgħaffeġ minn truppi Ingliżi, iżda l-iskuntentizza wasslet lill-awtoritajiet kolonjali biex jirriformaw l-amministrazzjoni (partikolarment it-tnaqqis tal-miżati tal-liċenzja tal-minjieri mibegħda) u jestendu l-franchise. Fi żmien qasir, il-Parlament Imperjali ta lill-gvern responsabbli tar-Rabat bil-passaġġ tal-Att tal-Kolonja tal-Victoria 1855. Uħud mill-mexxejja tar-ribelljoni tal-Eureka komplew isiru membri tal-Parlament Vittorjan.</v>
      </c>
    </row>
    <row r="19415" ht="15.75" customHeight="1">
      <c r="A19415" s="2" t="s">
        <v>19415</v>
      </c>
      <c r="B19415" s="2" t="str">
        <f>IFERROR(__xludf.DUMMYFUNCTION("GOOGLETRANSLATE(A19415, ""en"", ""mt"")"),"Kemm skejjel u istituzzjonijiet il-knisja topera barra?")</f>
        <v>Kemm skejjel u istituzzjonijiet il-knisja topera barra?</v>
      </c>
    </row>
    <row r="19416" ht="15.75" customHeight="1">
      <c r="A19416" s="2" t="s">
        <v>19416</v>
      </c>
      <c r="B19416" s="2" t="str">
        <f>IFERROR(__xludf.DUMMYFUNCTION("GOOGLETRANSLATE(A19416, ""en"", ""mt"")"),"Festival tal-Arti")</f>
        <v>Festival tal-Arti</v>
      </c>
    </row>
    <row r="19417" ht="15.75" customHeight="1">
      <c r="A19417" s="2" t="s">
        <v>19417</v>
      </c>
      <c r="B19417" s="2" t="str">
        <f>IFERROR(__xludf.DUMMYFUNCTION("GOOGLETRANSLATE(A19417, ""en"", ""mt"")"),"Għaliex il-vjolenza rampanti tipprevjeni li n-nies imorru jaħdmu?")</f>
        <v>Għaliex il-vjolenza rampanti tipprevjeni li n-nies imorru jaħdmu?</v>
      </c>
    </row>
    <row r="19418" ht="15.75" customHeight="1">
      <c r="A19418" s="2" t="s">
        <v>19418</v>
      </c>
      <c r="B19418" s="2" t="str">
        <f>IFERROR(__xludf.DUMMYFUNCTION("GOOGLETRANSLATE(A19418, ""en"", ""mt"")"),"statwa tal-fama")</f>
        <v>statwa tal-fama</v>
      </c>
    </row>
    <row r="19419" ht="15.75" customHeight="1">
      <c r="A19419" s="2" t="s">
        <v>19419</v>
      </c>
      <c r="B19419" s="2" t="str">
        <f>IFERROR(__xludf.DUMMYFUNCTION("GOOGLETRANSLATE(A19419, ""en"", ""mt"")"),"Liema grupp ibbenefika mill-fondi mqassma mill-karità reliġjuża, Fondazzjoni Al-Haramain?")</f>
        <v>Liema grupp ibbenefika mill-fondi mqassma mill-karità reliġjuża, Fondazzjoni Al-Haramain?</v>
      </c>
    </row>
    <row r="19420" ht="15.75" customHeight="1">
      <c r="A19420" s="2" t="s">
        <v>19420</v>
      </c>
      <c r="B19420" s="2" t="str">
        <f>IFERROR(__xludf.DUMMYFUNCTION("GOOGLETRANSLATE(A19420, ""en"", ""mt"")"),"mibegħda lejn il-Lhud")</f>
        <v>mibegħda lejn il-Lhud</v>
      </c>
    </row>
    <row r="19421" ht="15.75" customHeight="1">
      <c r="A19421" s="2" t="s">
        <v>19421</v>
      </c>
      <c r="B19421" s="2" t="str">
        <f>IFERROR(__xludf.DUMMYFUNCTION("GOOGLETRANSLATE(A19421, ""en"", ""mt"")"),"il-kolonji tal-Amerika Ingliża u Franza l-ġdida")</f>
        <v>il-kolonji tal-Amerika Ingliża u Franza l-ġdida</v>
      </c>
    </row>
    <row r="19422" ht="15.75" customHeight="1">
      <c r="A19422" s="2" t="s">
        <v>19422</v>
      </c>
      <c r="B19422" s="2" t="str">
        <f>IFERROR(__xludf.DUMMYFUNCTION("GOOGLETRANSLATE(A19422, ""en"", ""mt"")"),"Min normalment jissorvelja xogħol ta 'kostruzzjoni?")</f>
        <v>Min normalment jissorvelja xogħol ta 'kostruzzjoni?</v>
      </c>
    </row>
    <row r="19423" ht="15.75" customHeight="1">
      <c r="A19423" s="2" t="s">
        <v>19423</v>
      </c>
      <c r="B19423" s="2" t="str">
        <f>IFERROR(__xludf.DUMMYFUNCTION("GOOGLETRANSLATE(A19423, ""en"", ""mt"")"),"Kap tal-Gvern")</f>
        <v>Kap tal-Gvern</v>
      </c>
    </row>
    <row r="19424" ht="15.75" customHeight="1">
      <c r="A19424" s="2" t="s">
        <v>19424</v>
      </c>
      <c r="B19424" s="2" t="str">
        <f>IFERROR(__xludf.DUMMYFUNCTION("GOOGLETRANSLATE(A19424, ""en"", ""mt"")"),"Minoranzi mdaqqsa ta 'twemmin ieħor jeżistu (11.2% Musulman, twemmin indiġenu 1.7%), u 2.4% mhux reliġjużi. Sittin fil-mija tal-popolazzjoni Musulmana tgħix fir-reġjun kostali tal-Kenja, li tinkludi 50% tal-popolazzjoni totali hemmhekk. Bejn wieħed u ieħo"&amp;"r 4% tal-Musulmani huma Ahmadiyya, 8% Shia u 8% oħra huma Musulmani mhux denominazzjonali, filwaqt li 73% huma Sunni. Iż-żoni tal-Punent tar-reġjun tal-kosta huma l-aktar Kristjani. Il-parti ta 'fuq tar-reġjun tal-Lvant tal-Kenja hija dar għal 10% tal-Mus"&amp;"ulmani tal-pajjiż, fejn jikkostitwixxu l-grupp reliġjuż tal-maġġoranza. Barra minn hekk, hemm popolazzjoni hindu kbira fil-Kenja (madwar 300,000), li kellhom rwol ewlieni fl-ekonomija lokali; Huma l-aktar ta 'oriġini Indjana.")</f>
        <v>Minoranzi mdaqqsa ta 'twemmin ieħor jeżistu (11.2% Musulman, twemmin indiġenu 1.7%), u 2.4% mhux reliġjużi. Sittin fil-mija tal-popolazzjoni Musulmana tgħix fir-reġjun kostali tal-Kenja, li tinkludi 50% tal-popolazzjoni totali hemmhekk. Bejn wieħed u ieħor 4% tal-Musulmani huma Ahmadiyya, 8% Shia u 8% oħra huma Musulmani mhux denominazzjonali, filwaqt li 73% huma Sunni. Iż-żoni tal-Punent tar-reġjun tal-kosta huma l-aktar Kristjani. Il-parti ta 'fuq tar-reġjun tal-Lvant tal-Kenja hija dar għal 10% tal-Musulmani tal-pajjiż, fejn jikkostitwixxu l-grupp reliġjuż tal-maġġoranza. Barra minn hekk, hemm popolazzjoni hindu kbira fil-Kenja (madwar 300,000), li kellhom rwol ewlieni fl-ekonomija lokali; Huma l-aktar ta 'oriġini Indjana.</v>
      </c>
    </row>
    <row r="19425" ht="15.75" customHeight="1">
      <c r="A19425" s="2" t="s">
        <v>19425</v>
      </c>
      <c r="B19425" s="2" t="str">
        <f>IFERROR(__xludf.DUMMYFUNCTION("GOOGLETRANSLATE(A19425, ""en"", ""mt"")"),"Sforzi speċjali")</f>
        <v>Sforzi speċjali</v>
      </c>
    </row>
    <row r="19426" ht="15.75" customHeight="1">
      <c r="A19426" s="2" t="s">
        <v>19426</v>
      </c>
      <c r="B19426" s="2" t="str">
        <f>IFERROR(__xludf.DUMMYFUNCTION("GOOGLETRANSLATE(A19426, ""en"", ""mt"")"),"2.666 miljun resident")</f>
        <v>2.666 miljun resident</v>
      </c>
    </row>
    <row r="19427" ht="15.75" customHeight="1">
      <c r="A19427" s="2" t="s">
        <v>19427</v>
      </c>
      <c r="B19427" s="2" t="str">
        <f>IFERROR(__xludf.DUMMYFUNCTION("GOOGLETRANSLATE(A19427, ""en"", ""mt"")"),"X'tip ta 'status ivvota l-UMC biex tfittex fl-Assoċjazzjoni Nazzjonali tal-Evanġeliċi?")</f>
        <v>X'tip ta 'status ivvota l-UMC biex tfittex fl-Assoċjazzjoni Nazzjonali tal-Evanġeliċi?</v>
      </c>
    </row>
    <row r="19428" ht="15.75" customHeight="1">
      <c r="A19428" s="2" t="s">
        <v>19428</v>
      </c>
      <c r="B19428" s="2" t="str">
        <f>IFERROR(__xludf.DUMMYFUNCTION("GOOGLETRANSLATE(A19428, ""en"", ""mt"")"),"Fejn jistgħu jinstabu ħafna kitbiet ta 'Tesla?")</f>
        <v>Fejn jistgħu jinstabu ħafna kitbiet ta 'Tesla?</v>
      </c>
    </row>
    <row r="19429" ht="15.75" customHeight="1">
      <c r="A19429" s="2" t="s">
        <v>19429</v>
      </c>
      <c r="B19429" s="2" t="str">
        <f>IFERROR(__xludf.DUMMYFUNCTION("GOOGLETRANSLATE(A19429, ""en"", ""mt"")"),"Iċ-ċelloli dendritiċi huma msemmijin għax jixbħu xiex?")</f>
        <v>Iċ-ċelloli dendritiċi huma msemmijin għax jixbħu xiex?</v>
      </c>
    </row>
    <row r="19430" ht="15.75" customHeight="1">
      <c r="A19430" s="2" t="s">
        <v>19430</v>
      </c>
      <c r="B19430" s="2" t="str">
        <f>IFERROR(__xludf.DUMMYFUNCTION("GOOGLETRANSLATE(A19430, ""en"", ""mt"")"),"Wara li ġarrab korriment li jkun fatali għal ħafna speċi oħra")</f>
        <v>Wara li ġarrab korriment li jkun fatali għal ħafna speċi oħra</v>
      </c>
    </row>
    <row r="19431" ht="15.75" customHeight="1">
      <c r="A19431" s="2" t="s">
        <v>19431</v>
      </c>
      <c r="B19431" s="2" t="str">
        <f>IFERROR(__xludf.DUMMYFUNCTION("GOOGLETRANSLATE(A19431, ""en"", ""mt"")"),"Għal xiex huma speċjalizzati l-kloroplasti fiċ-ċelloli tal-mesofilla?")</f>
        <v>Għal xiex huma speċjalizzati l-kloroplasti fiċ-ċelloli tal-mesofilla?</v>
      </c>
    </row>
    <row r="19432" ht="15.75" customHeight="1">
      <c r="A19432" s="2" t="s">
        <v>19432</v>
      </c>
      <c r="B19432" s="2" t="str">
        <f>IFERROR(__xludf.DUMMYFUNCTION("GOOGLETRANSLATE(A19432, ""en"", ""mt"")"),"Kurjuż, madwar nofs il-prodotti tal-proteina tal-ġeni trasferiti lanqas biss huma mmirati lura lejn il-kloroplast. Ħafna saru exaptions, billi jieħdu funzjonijiet ġodda bħall-parteċipazzjoni fid-diviżjoni taċ-ċelluli, ir-rotta tal-proteini, u anke r-reżis"&amp;"tenza għall-mard. Ftit ġeni tal-kloroplast sabu djar ġodda fil-ġenoma mitokondrijali - il-biċċa l-kbira saru psewdoġeni mhux funzjonali, għalkemm ftit ġeni tRNA għadhom jaħdmu fil-mitokondrion. Xi prodotti tal-proteina tad-DNA tal-kloroplast trasferiti ji"&amp;"ġu diretti lejn il-passaġġ sekretarju (għalkemm għandu jkun innutat li ħafna plastidi sekondarji huma mdawra minn membrana l-iktar imbiegħda derivata mill-membrana taċ-ċellula ospitanti, u għalhekk topoloġikament barra miċ-ċellula, minħabba li tilħaq il-k"&amp;"loroplast mill- Cytosol, trid taqsam il-membrana taċ-ċellula, eżatt bħallikieku kont immexxi għall-ispazju extraċellulari. F'dawk il-każijiet, il-proteini mmirati għall-kloroplast jivvjaġġaw inizjalment tul il-passaġġ sekretarju).")</f>
        <v>Kurjuż, madwar nofs il-prodotti tal-proteina tal-ġeni trasferiti lanqas biss huma mmirati lura lejn il-kloroplast. Ħafna saru exaptions, billi jieħdu funzjonijiet ġodda bħall-parteċipazzjoni fid-diviżjoni taċ-ċelluli, ir-rotta tal-proteini, u anke r-reżistenza għall-mard. Ftit ġeni tal-kloroplast sabu djar ġodda fil-ġenoma mitokondrijali - il-biċċa l-kbira saru psewdoġeni mhux funzjonali, għalkemm ftit ġeni tRNA għadhom jaħdmu fil-mitokondrion. Xi prodotti tal-proteina tad-DNA tal-kloroplast trasferiti jiġu diretti lejn il-passaġġ sekretarju (għalkemm għandu jkun innutat li ħafna plastidi sekondarji huma mdawra minn membrana l-iktar imbiegħda derivata mill-membrana taċ-ċellula ospitanti, u għalhekk topoloġikament barra miċ-ċellula, minħabba li tilħaq il-kloroplast mill- Cytosol, trid taqsam il-membrana taċ-ċellula, eżatt bħallikieku kont immexxi għall-ispazju extraċellulari. F'dawk il-każijiet, il-proteini mmirati għall-kloroplast jivvjaġġaw inizjalment tul il-passaġġ sekretarju).</v>
      </c>
    </row>
    <row r="19433" ht="15.75" customHeight="1">
      <c r="A19433" s="2" t="s">
        <v>19433</v>
      </c>
      <c r="B19433" s="2" t="str">
        <f>IFERROR(__xludf.DUMMYFUNCTION("GOOGLETRANSLATE(A19433, ""en"", ""mt"")"),"Distribuzzjonijiet relattivament ugwali tal-ġid")</f>
        <v>Distribuzzjonijiet relattivament ugwali tal-ġid</v>
      </c>
    </row>
    <row r="19434" ht="15.75" customHeight="1">
      <c r="A19434" s="2" t="s">
        <v>19434</v>
      </c>
      <c r="B19434" s="2" t="str">
        <f>IFERROR(__xludf.DUMMYFUNCTION("GOOGLETRANSLATE(A19434, ""en"", ""mt"")"),"X'inhu l-isem tat-tip mistiku ta 'l-Islam?")</f>
        <v>X'inhu l-isem tat-tip mistiku ta 'l-Islam?</v>
      </c>
    </row>
    <row r="19435" ht="15.75" customHeight="1">
      <c r="A19435" s="2" t="s">
        <v>19435</v>
      </c>
      <c r="B19435" s="2" t="str">
        <f>IFERROR(__xludf.DUMMYFUNCTION("GOOGLETRANSLATE(A19435, ""en"", ""mt"")"),"Aġenti ta ’S.H.I.E.L.D.")</f>
        <v>Aġenti ta ’S.H.I.E.L.D.</v>
      </c>
    </row>
    <row r="19436" ht="15.75" customHeight="1">
      <c r="A19436" s="2" t="s">
        <v>19436</v>
      </c>
      <c r="B19436" s="2" t="str">
        <f>IFERROR(__xludf.DUMMYFUNCTION("GOOGLETRANSLATE(A19436, ""en"", ""mt"")"),"pressjoni kostanti")</f>
        <v>pressjoni kostanti</v>
      </c>
    </row>
    <row r="19437" ht="15.75" customHeight="1">
      <c r="A19437" s="2" t="s">
        <v>19437</v>
      </c>
      <c r="B19437" s="2" t="str">
        <f>IFERROR(__xludf.DUMMYFUNCTION("GOOGLETRANSLATE(A19437, ""en"", ""mt"")"),"Ferra anti-komunista")</f>
        <v>Ferra anti-komunista</v>
      </c>
    </row>
    <row r="19438" ht="15.75" customHeight="1">
      <c r="A19438" s="2" t="s">
        <v>19438</v>
      </c>
      <c r="B19438" s="2" t="str">
        <f>IFERROR(__xludf.DUMMYFUNCTION("GOOGLETRANSLATE(A19438, ""en"", ""mt"")"),"Mill-perjodu Paleolitiku aktar baxx")</f>
        <v>Mill-perjodu Paleolitiku aktar baxx</v>
      </c>
    </row>
    <row r="19439" ht="15.75" customHeight="1">
      <c r="A19439" s="2" t="s">
        <v>19439</v>
      </c>
      <c r="B19439" s="2" t="str">
        <f>IFERROR(__xludf.DUMMYFUNCTION("GOOGLETRANSLATE(A19439, ""en"", ""mt"")"),"bott")</f>
        <v>bott</v>
      </c>
    </row>
    <row r="19440" ht="15.75" customHeight="1">
      <c r="A19440" s="2" t="s">
        <v>19440</v>
      </c>
      <c r="B19440" s="2" t="str">
        <f>IFERROR(__xludf.DUMMYFUNCTION("GOOGLETRANSLATE(A19440, ""en"", ""mt"")"),"Kemm idum Tesla tonfoq iddisinjat mill-ġdid il-mutur u l-ġeneraturi?")</f>
        <v>Kemm idum Tesla tonfoq iddisinjat mill-ġdid il-mutur u l-ġeneraturi?</v>
      </c>
    </row>
    <row r="19441" ht="15.75" customHeight="1">
      <c r="A19441" s="2" t="s">
        <v>19441</v>
      </c>
      <c r="B19441" s="2" t="str">
        <f>IFERROR(__xludf.DUMMYFUNCTION("GOOGLETRANSLATE(A19441, ""en"", ""mt"")"),"sinjali mill-kloroplast li jirregolaw l-espressjoni tal-ġene fin-nukleu")</f>
        <v>sinjali mill-kloroplast li jirregolaw l-espressjoni tal-ġene fin-nukleu</v>
      </c>
    </row>
    <row r="19442" ht="15.75" customHeight="1">
      <c r="A19442" s="2" t="s">
        <v>19442</v>
      </c>
      <c r="B19442" s="2" t="str">
        <f>IFERROR(__xludf.DUMMYFUNCTION("GOOGLETRANSLATE(A19442, ""en"", ""mt"")"),"Qorti Suprema")</f>
        <v>Qorti Suprema</v>
      </c>
    </row>
    <row r="19443" ht="15.75" customHeight="1">
      <c r="A19443" s="2" t="s">
        <v>19443</v>
      </c>
      <c r="B19443" s="2" t="str">
        <f>IFERROR(__xludf.DUMMYFUNCTION("GOOGLETRANSLATE(A19443, ""en"", ""mt"")"),"X'inhu jikkonsisti minn minerali waħda aktar konferenzi annwali?")</f>
        <v>X'inhu jikkonsisti minn minerali waħda aktar konferenzi annwali?</v>
      </c>
    </row>
    <row r="19444" ht="15.75" customHeight="1">
      <c r="A19444" s="2" t="s">
        <v>19444</v>
      </c>
      <c r="B19444" s="2" t="str">
        <f>IFERROR(__xludf.DUMMYFUNCTION("GOOGLETRANSLATE(A19444, ""en"", ""mt"")"),"Liema gass jifforma 20.8% tal-atmosfera tad-Dinja?")</f>
        <v>Liema gass jifforma 20.8% tal-atmosfera tad-Dinja?</v>
      </c>
    </row>
    <row r="19445" ht="15.75" customHeight="1">
      <c r="A19445" s="2" t="s">
        <v>19445</v>
      </c>
      <c r="B19445" s="2" t="str">
        <f>IFERROR(__xludf.DUMMYFUNCTION("GOOGLETRANSLATE(A19445, ""en"", ""mt"")"),"Pajjiżi - fl-Asja tal-Lvant")</f>
        <v>Pajjiżi - fl-Asja tal-Lvant</v>
      </c>
    </row>
    <row r="19446" ht="15.75" customHeight="1">
      <c r="A19446" s="2" t="s">
        <v>19446</v>
      </c>
      <c r="B19446" s="2" t="str">
        <f>IFERROR(__xludf.DUMMYFUNCTION("GOOGLETRANSLATE(A19446, ""en"", ""mt"")"),"Kif miet l-aħħar kanzunetta tal-kanzunetta?")</f>
        <v>Kif miet l-aħħar kanzunetta tal-kanzunetta?</v>
      </c>
    </row>
    <row r="19447" ht="15.75" customHeight="1">
      <c r="A19447" s="2" t="s">
        <v>19447</v>
      </c>
      <c r="B19447" s="2" t="str">
        <f>IFERROR(__xludf.DUMMYFUNCTION("GOOGLETRANSLATE(A19447, ""en"", ""mt"")"),"Liema suġġett għandhom tipikament il-kontijiet privati?")</f>
        <v>Liema suġġett għandhom tipikament il-kontijiet privati?</v>
      </c>
    </row>
    <row r="19448" ht="15.75" customHeight="1">
      <c r="A19448" s="2" t="s">
        <v>19448</v>
      </c>
      <c r="B19448" s="2" t="str">
        <f>IFERROR(__xludf.DUMMYFUNCTION("GOOGLETRANSLATE(A19448, ""en"", ""mt"")"),"Faċilità tat-Telekomunikazzjoni bla fili Trans-Atlantiku")</f>
        <v>Faċilità tat-Telekomunikazzjoni bla fili Trans-Atlantiku</v>
      </c>
    </row>
    <row r="19449" ht="15.75" customHeight="1">
      <c r="A19449" s="2" t="s">
        <v>19449</v>
      </c>
      <c r="B19449" s="2" t="str">
        <f>IFERROR(__xludf.DUMMYFUNCTION("GOOGLETRANSLATE(A19449, ""en"", ""mt"")"),"Fl-istaġun 1965-66, liema post ABC sab lilu nnifsu fost in-netwerks l-oħra fil-klassifikazzjonijiet?")</f>
        <v>Fl-istaġun 1965-66, liema post ABC sab lilu nnifsu fost in-netwerks l-oħra fil-klassifikazzjonijiet?</v>
      </c>
    </row>
    <row r="19450" ht="15.75" customHeight="1">
      <c r="A19450" s="2" t="s">
        <v>19450</v>
      </c>
      <c r="B19450" s="2" t="str">
        <f>IFERROR(__xludf.DUMMYFUNCTION("GOOGLETRANSLATE(A19450, ""en"", ""mt"")"),"Il-programm ma tħalla l-ebda ""monsters b'għajn bug""")</f>
        <v>Il-programm ma tħalla l-ebda "monsters b'għajn bug"</v>
      </c>
    </row>
    <row r="19451" ht="15.75" customHeight="1">
      <c r="A19451" s="2" t="s">
        <v>19451</v>
      </c>
      <c r="B19451" s="2" t="str">
        <f>IFERROR(__xludf.DUMMYFUNCTION("GOOGLETRANSLATE(A19451, ""en"", ""mt"")"),"ħajt peptidoglycan bejn il-membrana doppja tagħhom")</f>
        <v>ħajt peptidoglycan bejn il-membrana doppja tagħhom</v>
      </c>
    </row>
    <row r="19452" ht="15.75" customHeight="1">
      <c r="A19452" s="2" t="s">
        <v>19452</v>
      </c>
      <c r="B19452" s="2" t="str">
        <f>IFERROR(__xludf.DUMMYFUNCTION("GOOGLETRANSLATE(A19452, ""en"", ""mt"")"),"eqdem mit-tort")</f>
        <v>eqdem mit-tort</v>
      </c>
    </row>
    <row r="19453" ht="15.75" customHeight="1">
      <c r="A19453" s="2" t="s">
        <v>19453</v>
      </c>
      <c r="B19453" s="2" t="str">
        <f>IFERROR(__xludf.DUMMYFUNCTION("GOOGLETRANSLATE(A19453, ""en"", ""mt"")"),"Film taċ-ċinema ta '8 mm u klipps li ntwerew fuq programmi oħra")</f>
        <v>Film taċ-ċinema ta '8 mm u klipps li ntwerew fuq programmi oħra</v>
      </c>
    </row>
    <row r="19454" ht="15.75" customHeight="1">
      <c r="A19454" s="2" t="s">
        <v>19454</v>
      </c>
      <c r="B19454" s="2" t="str">
        <f>IFERROR(__xludf.DUMMYFUNCTION("GOOGLETRANSLATE(A19454, ""en"", ""mt"")"),"Xi attivisti li jikkommettu diżubbidjenza ċivili bħala grupp jirrifjutaw b’mod kollettiv li jiffirmaw il-ħelsien mill-arrest sakemm jintlaħqu ċerti talbiet")</f>
        <v>Xi attivisti li jikkommettu diżubbidjenza ċivili bħala grupp jirrifjutaw b’mod kollettiv li jiffirmaw il-ħelsien mill-arrest sakemm jintlaħqu ċerti talbiet</v>
      </c>
    </row>
    <row r="19455" ht="15.75" customHeight="1">
      <c r="A19455" s="2" t="s">
        <v>19455</v>
      </c>
      <c r="B19455" s="2" t="str">
        <f>IFERROR(__xludf.DUMMYFUNCTION("GOOGLETRANSLATE(A19455, ""en"", ""mt"")"),"Ir-rwol tal-għalliem huwa spiss formali u kontinwu, imwettaq fi skola jew post ieħor ta 'edukazzjoni formali. F’ħafna pajjiżi, persuna li tixtieq issir għalliem għandha l-ewwel tikseb kwalifiki professjonali speċifikati jew kredenzjali minn università jew"&amp;" kulleġġ. Dawn il-kwalifiki professjonali jistgħu jinkludu l-istudju tal-pedagoġija, ix-xjenza tat-tagħlim. L-għalliema, bħal professjonisti oħra, jista 'jkollhom ikomplu l-edukazzjoni tagħhom wara li jikkwalifikaw, proċess magħruf bħala żvilupp professjo"&amp;"nali kontinwu. L-għalliema jistgħu jużaw pjan ta 'lezzjoni biex jiffaċilitaw it-tagħlim tal-istudenti, u jipprovdu kors ta' studju li jissejjaħ il-kurrikulu.")</f>
        <v>Ir-rwol tal-għalliem huwa spiss formali u kontinwu, imwettaq fi skola jew post ieħor ta 'edukazzjoni formali. F’ħafna pajjiżi, persuna li tixtieq issir għalliem għandha l-ewwel tikseb kwalifiki professjonali speċifikati jew kredenzjali minn università jew kulleġġ. Dawn il-kwalifiki professjonali jistgħu jinkludu l-istudju tal-pedagoġija, ix-xjenza tat-tagħlim. L-għalliema, bħal professjonisti oħra, jista 'jkollhom ikomplu l-edukazzjoni tagħhom wara li jikkwalifikaw, proċess magħruf bħala żvilupp professjonali kontinwu. L-għalliema jistgħu jużaw pjan ta 'lezzjoni biex jiffaċilitaw it-tagħlim tal-istudenti, u jipprovdu kors ta' studju li jissejjaħ il-kurrikulu.</v>
      </c>
    </row>
    <row r="19456" ht="15.75" customHeight="1">
      <c r="A19456" s="2" t="s">
        <v>19456</v>
      </c>
      <c r="B19456" s="2" t="str">
        <f>IFERROR(__xludf.DUMMYFUNCTION("GOOGLETRANSLATE(A19456, ""en"", ""mt"")"),"Fis-sekli 10 u 11")</f>
        <v>Fis-sekli 10 u 11</v>
      </c>
    </row>
    <row r="19457" ht="15.75" customHeight="1">
      <c r="A19457" s="2" t="s">
        <v>19457</v>
      </c>
      <c r="B19457" s="2" t="str">
        <f>IFERROR(__xludf.DUMMYFUNCTION("GOOGLETRANSLATE(A19457, ""en"", ""mt"")"),"makroskopikament bħala forza strutturali")</f>
        <v>makroskopikament bħala forza strutturali</v>
      </c>
    </row>
    <row r="19458" ht="15.75" customHeight="1">
      <c r="A19458" s="2" t="s">
        <v>19458</v>
      </c>
      <c r="B19458" s="2" t="str">
        <f>IFERROR(__xludf.DUMMYFUNCTION("GOOGLETRANSLATE(A19458, ""en"", ""mt"")"),"Fil-klassijiet ta 'konferma u preparazzjoni tas-sħubija,")</f>
        <v>Fil-klassijiet ta 'konferma u preparazzjoni tas-sħubija,</v>
      </c>
    </row>
    <row r="19459" ht="15.75" customHeight="1">
      <c r="A19459" s="2" t="s">
        <v>19459</v>
      </c>
      <c r="B19459" s="2" t="str">
        <f>IFERROR(__xludf.DUMMYFUNCTION("GOOGLETRANSLATE(A19459, ""en"", ""mt"")"),"Kif huwa kkaratterizzat il-bidla tal-pakketti")</f>
        <v>Kif huwa kkaratterizzat il-bidla tal-pakketti</v>
      </c>
    </row>
    <row r="19460" ht="15.75" customHeight="1">
      <c r="A19460" s="2" t="s">
        <v>19460</v>
      </c>
      <c r="B19460" s="2" t="str">
        <f>IFERROR(__xludf.DUMMYFUNCTION("GOOGLETRANSLATE(A19460, ""en"", ""mt"")"),"id-dinja")</f>
        <v>id-dinja</v>
      </c>
    </row>
    <row r="19461" ht="15.75" customHeight="1">
      <c r="A19461" s="2" t="s">
        <v>19461</v>
      </c>
      <c r="B19461" s="2" t="str">
        <f>IFERROR(__xludf.DUMMYFUNCTION("GOOGLETRANSLATE(A19461, ""en"", ""mt"")"),"Bosta strutturi tal-proġett jistgħu jgħinu lis-sid f'din l-integrazzjoni, inklużi l-bini tad-disinn, is-sħubija u l-ġestjoni tal-kostruzzjoni. B'mod ġenerali, kull waħda minn dawn l-istrutturi tal-proġett tippermetti lis-sid jintegra s-servizzi ta 'periti"&amp;", disinjaturi interni, inġiniera u kostrutturi matul id-disinn u l-kostruzzjoni. Bi tweġiba, ħafna kumpaniji qed jikbru lil hinn mill-offerti tradizzjonali tad-disinn jew servizzi ta 'kostruzzjoni waħedhom u qed ipoġġu aktar enfasi fuq l-istabbiliment ta'"&amp;" relazzjonijiet ma 'parteċipanti oħra meħtieġa permezz tal-proċess tal-bini tad-disinn.")</f>
        <v>Bosta strutturi tal-proġett jistgħu jgħinu lis-sid f'din l-integrazzjoni, inklużi l-bini tad-disinn, is-sħubija u l-ġestjoni tal-kostruzzjoni. B'mod ġenerali, kull waħda minn dawn l-istrutturi tal-proġett tippermetti lis-sid jintegra s-servizzi ta 'periti, disinjaturi interni, inġiniera u kostrutturi matul id-disinn u l-kostruzzjoni. Bi tweġiba, ħafna kumpaniji qed jikbru lil hinn mill-offerti tradizzjonali tad-disinn jew servizzi ta 'kostruzzjoni waħedhom u qed ipoġġu aktar enfasi fuq l-istabbiliment ta' relazzjonijiet ma 'parteċipanti oħra meħtieġa permezz tal-proċess tal-bini tad-disinn.</v>
      </c>
    </row>
    <row r="19462" ht="15.75" customHeight="1">
      <c r="A19462" s="2" t="s">
        <v>19462</v>
      </c>
      <c r="B19462" s="2" t="str">
        <f>IFERROR(__xludf.DUMMYFUNCTION("GOOGLETRANSLATE(A19462, ""en"", ""mt"")"),"Ikkalkula l-primes")</f>
        <v>Ikkalkula l-primes</v>
      </c>
    </row>
    <row r="19463" ht="15.75" customHeight="1">
      <c r="A19463" s="2" t="s">
        <v>19463</v>
      </c>
      <c r="B19463" s="2" t="str">
        <f>IFERROR(__xludf.DUMMYFUNCTION("GOOGLETRANSLATE(A19463, ""en"", ""mt"")"),"L-antikorpi jiġu trasferiti fl-imsaren tat-tarbija permezz ta 'xi tfisser?")</f>
        <v>L-antikorpi jiġu trasferiti fl-imsaren tat-tarbija permezz ta 'xi tfisser?</v>
      </c>
    </row>
    <row r="19464" ht="15.75" customHeight="1">
      <c r="A19464" s="2" t="s">
        <v>19464</v>
      </c>
      <c r="B19464" s="2" t="str">
        <f>IFERROR(__xludf.DUMMYFUNCTION("GOOGLETRANSLATE(A19464, ""en"", ""mt"")"),"Liema bidla kostituzzjonali ġiet ikkunsidrata?")</f>
        <v>Liema bidla kostituzzjonali ġiet ikkunsidrata?</v>
      </c>
    </row>
    <row r="19465" ht="15.75" customHeight="1">
      <c r="A19465" s="2" t="s">
        <v>19465</v>
      </c>
      <c r="B19465" s="2" t="str">
        <f>IFERROR(__xludf.DUMMYFUNCTION("GOOGLETRANSLATE(A19465, ""en"", ""mt"")"),"L-Università ta ’Varsavja ġiet stabbilita fl-1816, meta l-qasmiet tal-Polonja separaw lil Varsavja miċ-Ċentru Akkademiku Pollakk l-aktar eqdem u l-iktar influwenti, fi Kraków. L-Università tat-Teknoloġija ta 'Varsavja hija t-tieni skola akkademika tat-tek"&amp;"noloġija fil-pajjiż, u waħda mill-ikbar fl-Ewropa ċentrali tal-lvant, li timpjega 2,000 professuri. Istituzzjonijiet oħra għall-edukazzjoni għolja jinkludu l-Università Medika ta 'Varsav Il-Polonja, u waħda mill-ikbar fl-Ewropa, l-Iskola ta 'l-Ekonomija t"&amp;"a' Varsavja, l-eqdem u l-iktar università ekonomika magħrufa fil-pajjiż, u l-Università tax-Xjenzi tal-Ħajja ta 'Varsavja l-akbar università agrikola mwaqqfa fl-1818.")</f>
        <v>L-Università ta ’Varsavja ġiet stabbilita fl-1816, meta l-qasmiet tal-Polonja separaw lil Varsavja miċ-Ċentru Akkademiku Pollakk l-aktar eqdem u l-iktar influwenti, fi Kraków. L-Università tat-Teknoloġija ta 'Varsavja hija t-tieni skola akkademika tat-teknoloġija fil-pajjiż, u waħda mill-ikbar fl-Ewropa ċentrali tal-lvant, li timpjega 2,000 professuri. Istituzzjonijiet oħra għall-edukazzjoni għolja jinkludu l-Università Medika ta 'Varsav Il-Polonja, u waħda mill-ikbar fl-Ewropa, l-Iskola ta 'l-Ekonomija ta' Varsavja, l-eqdem u l-iktar università ekonomika magħrufa fil-pajjiż, u l-Università tax-Xjenzi tal-Ħajja ta 'Varsavja l-akbar università agrikola mwaqqfa fl-1818.</v>
      </c>
    </row>
    <row r="19466" ht="15.75" customHeight="1">
      <c r="A19466" s="2" t="s">
        <v>19466</v>
      </c>
      <c r="B19466" s="2" t="str">
        <f>IFERROR(__xludf.DUMMYFUNCTION("GOOGLETRANSLATE(A19466, ""en"", ""mt"")"),"Inkurunazzjoni tar-Reġina Eliżabetta II")</f>
        <v>Inkurunazzjoni tar-Reġina Eliżabetta II</v>
      </c>
    </row>
    <row r="19467" ht="15.75" customHeight="1">
      <c r="A19467" s="2" t="s">
        <v>19467</v>
      </c>
      <c r="B19467" s="2" t="str">
        <f>IFERROR(__xludf.DUMMYFUNCTION("GOOGLETRANSLATE(A19467, ""en"", ""mt"")"),"Liema fortifikazzjoni nbniet fis-seklu 19 wara t-telfa tar-rewwixta ta 'Novembru?")</f>
        <v>Liema fortifikazzjoni nbniet fis-seklu 19 wara t-telfa tar-rewwixta ta 'Novembru?</v>
      </c>
    </row>
    <row r="19468" ht="15.75" customHeight="1">
      <c r="A19468" s="2" t="s">
        <v>19468</v>
      </c>
      <c r="B19468" s="2" t="str">
        <f>IFERROR(__xludf.DUMMYFUNCTION("GOOGLETRANSLATE(A19468, ""en"", ""mt"")"),"vjolenza li sussegwentement ħakmet il-pajjiż")</f>
        <v>vjolenza li sussegwentement ħakmet il-pajjiż</v>
      </c>
    </row>
    <row r="19469" ht="15.75" customHeight="1">
      <c r="A19469" s="2" t="s">
        <v>19469</v>
      </c>
      <c r="B19469" s="2" t="str">
        <f>IFERROR(__xludf.DUMMYFUNCTION("GOOGLETRANSLATE(A19469, ""en"", ""mt"")"),"skejjel charter")</f>
        <v>skejjel charter</v>
      </c>
    </row>
    <row r="19470" ht="15.75" customHeight="1">
      <c r="A19470" s="2" t="s">
        <v>19470</v>
      </c>
      <c r="B19470" s="2" t="str">
        <f>IFERROR(__xludf.DUMMYFUNCTION("GOOGLETRANSLATE(A19470, ""en"", ""mt"")"),"inqas ċivilizzat")</f>
        <v>inqas ċivilizzat</v>
      </c>
    </row>
    <row r="19471" ht="15.75" customHeight="1">
      <c r="A19471" s="2" t="s">
        <v>19471</v>
      </c>
      <c r="B19471" s="2" t="str">
        <f>IFERROR(__xludf.DUMMYFUNCTION("GOOGLETRANSLATE(A19471, ""en"", ""mt"")"),"Il-kriżi naqqset id-domanda għal karozzi kbar. Importazzjonijiet Ġappuniżi, primarjament it-Toyota Corona, it-Toyota Corolla, id-Datsun B210, id-Datsun 510, il-Honda Civic, il-Galant Mitsubishi (importazzjoni maqbuda minn Chrysler mibjugħa bħala d-Dodge C"&amp;"olt) Kellhom erba 'magni taċ-ċilindru li kienu aktar effiċjenti fil-fjuwil mill-magni tipiċi Amerikani V8 u sitt ċilindri. L-importazzjonijiet Ġappuniżi saru mexxejja tas-suq bil-kostruzzjoni unibody u drive tar-roti ta 'quddiem, li saru standards de fact"&amp;"o.")</f>
        <v>Il-kriżi naqqset id-domanda għal karozzi kbar. Importazzjonijiet Ġappuniżi, primarjament it-Toyota Corona, it-Toyota Corolla, id-Datsun B210, id-Datsun 510, il-Honda Civic, il-Galant Mitsubishi (importazzjoni maqbuda minn Chrysler mibjugħa bħala d-Dodge Colt) Kellhom erba 'magni taċ-ċilindru li kienu aktar effiċjenti fil-fjuwil mill-magni tipiċi Amerikani V8 u sitt ċilindri. L-importazzjonijiet Ġappuniżi saru mexxejja tas-suq bil-kostruzzjoni unibody u drive tar-roti ta 'quddiem, li saru standards de facto.</v>
      </c>
    </row>
    <row r="19472" ht="15.75" customHeight="1">
      <c r="A19472" s="2" t="s">
        <v>19472</v>
      </c>
      <c r="B19472" s="2" t="str">
        <f>IFERROR(__xludf.DUMMYFUNCTION("GOOGLETRANSLATE(A19472, ""en"", ""mt"")"),"jeqred iċ-ċiviltà")</f>
        <v>jeqred iċ-ċiviltà</v>
      </c>
    </row>
    <row r="19473" ht="15.75" customHeight="1">
      <c r="A19473" s="2" t="s">
        <v>19473</v>
      </c>
      <c r="B19473" s="2" t="str">
        <f>IFERROR(__xludf.DUMMYFUNCTION("GOOGLETRANSLATE(A19473, ""en"", ""mt"")"),"Karotenojdi")</f>
        <v>Karotenojdi</v>
      </c>
    </row>
    <row r="19474" ht="15.75" customHeight="1">
      <c r="A19474" s="2" t="s">
        <v>19474</v>
      </c>
      <c r="B19474" s="2" t="str">
        <f>IFERROR(__xludf.DUMMYFUNCTION("GOOGLETRANSLATE(A19474, ""en"", ""mt"")"),"Minn xiex kienet imsaħħa mill-ekonomija tal-Lvant u l-Afrika Ċentrali?")</f>
        <v>Minn xiex kienet imsaħħa mill-ekonomija tal-Lvant u l-Afrika Ċentrali?</v>
      </c>
    </row>
    <row r="19475" ht="15.75" customHeight="1">
      <c r="A19475" s="2" t="s">
        <v>19475</v>
      </c>
      <c r="B19475" s="2" t="str">
        <f>IFERROR(__xludf.DUMMYFUNCTION("GOOGLETRANSLATE(A19475, ""en"", ""mt"")"),"X'tip ta 'ċirku kommutattiv it-teorema ta' Lasker-Noether jesprimi kull ideali bħala intersezzjoni ta 'ideali primarji?")</f>
        <v>X'tip ta 'ċirku kommutattiv it-teorema ta' Lasker-Noether jesprimi kull ideali bħala intersezzjoni ta 'ideali primarji?</v>
      </c>
    </row>
    <row r="19476" ht="15.75" customHeight="1">
      <c r="A19476" s="2" t="s">
        <v>19476</v>
      </c>
      <c r="B19476" s="2" t="str">
        <f>IFERROR(__xludf.DUMMYFUNCTION("GOOGLETRANSLATE(A19476, ""en"", ""mt"")"),"""Le, dak mhux tajjeb""")</f>
        <v>"Le, dak mhux tajjeb"</v>
      </c>
    </row>
    <row r="19477" ht="15.75" customHeight="1">
      <c r="A19477" s="2" t="s">
        <v>19477</v>
      </c>
      <c r="B19477" s="2" t="str">
        <f>IFERROR(__xludf.DUMMYFUNCTION("GOOGLETRANSLATE(A19477, ""en"", ""mt"")"),"Programmazzjoni orjentata għaż-żgħażagħ")</f>
        <v>Programmazzjoni orjentata għaż-żgħażagħ</v>
      </c>
    </row>
    <row r="19478" ht="15.75" customHeight="1">
      <c r="A19478" s="2" t="s">
        <v>19478</v>
      </c>
      <c r="B19478" s="2" t="str">
        <f>IFERROR(__xludf.DUMMYFUNCTION("GOOGLETRANSLATE(A19478, ""en"", ""mt"")"),"Kemm huma kbar il-plastoglobuli?")</f>
        <v>Kemm huma kbar il-plastoglobuli?</v>
      </c>
    </row>
    <row r="19479" ht="15.75" customHeight="1">
      <c r="A19479" s="2" t="s">
        <v>19479</v>
      </c>
      <c r="B19479" s="2" t="str">
        <f>IFERROR(__xludf.DUMMYFUNCTION("GOOGLETRANSLATE(A19479, ""en"", ""mt"")"),"It-tielet liġi ta 'Newton hija r-riżultat tal-applikazzjoni ta' simetrija għal sitwazzjonijiet fejn il-forzi jistgħu jiġu attribwiti għall-preżenza ta 'oġġetti differenti. It-tielet liġi tfisser li l-forzi kollha huma interazzjonijiet bejn korpi different"&amp;"i, [nota 3] u għalhekk li m'hemm l-ebda ħaġa bħal forza unidirezzjonali jew forza li taġixxi fuq korp wieħed biss. Kull meta l-ewwel korp jeżerċita forza F fuq it-tieni korp, it-tieni korp jeżerċita forza −f fuq l-ewwel korp. F u −f huma ugwali fil-kobor "&amp;"u opposti fid-direzzjoni. Din il-liġi xi kultant tissejjaħ il-liġi ta 'reazzjoni ta' azzjoni, b'F imsejħa ""azzjoni"" u −f ir- ""reazzjoni"". L-azzjoni u r-reazzjoni huma simultanji:")</f>
        <v>It-tielet liġi ta 'Newton hija r-riżultat tal-applikazzjoni ta' simetrija għal sitwazzjonijiet fejn il-forzi jistgħu jiġu attribwiti għall-preżenza ta 'oġġetti differenti. It-tielet liġi tfisser li l-forzi kollha huma interazzjonijiet bejn korpi differenti, [nota 3] u għalhekk li m'hemm l-ebda ħaġa bħal forza unidirezzjonali jew forza li taġixxi fuq korp wieħed biss. Kull meta l-ewwel korp jeżerċita forza F fuq it-tieni korp, it-tieni korp jeżerċita forza −f fuq l-ewwel korp. F u −f huma ugwali fil-kobor u opposti fid-direzzjoni. Din il-liġi xi kultant tissejjaħ il-liġi ta 'reazzjoni ta' azzjoni, b'F imsejħa "azzjoni" u −f ir- "reazzjoni". L-azzjoni u r-reazzjoni huma simultanji:</v>
      </c>
    </row>
    <row r="19480" ht="15.75" customHeight="1">
      <c r="A19480" s="2" t="s">
        <v>19480</v>
      </c>
      <c r="B19480" s="2" t="str">
        <f>IFERROR(__xludf.DUMMYFUNCTION("GOOGLETRANSLATE(A19480, ""en"", ""mt"")"),"stroma")</f>
        <v>stroma</v>
      </c>
    </row>
    <row r="19481" ht="15.75" customHeight="1">
      <c r="A19481" s="2" t="s">
        <v>19481</v>
      </c>
      <c r="B19481" s="2" t="str">
        <f>IFERROR(__xludf.DUMMYFUNCTION("GOOGLETRANSLATE(A19481, ""en"", ""mt"")"),"Kontroll tal-isfond u evalwazzjoni psikjatrika")</f>
        <v>Kontroll tal-isfond u evalwazzjoni psikjatrika</v>
      </c>
    </row>
    <row r="19482" ht="15.75" customHeight="1">
      <c r="A19482" s="2" t="s">
        <v>19482</v>
      </c>
      <c r="B19482" s="2" t="str">
        <f>IFERROR(__xludf.DUMMYFUNCTION("GOOGLETRANSLATE(A19482, ""en"", ""mt"")"),"klassijiet ta 'fuq")</f>
        <v>klassijiet ta 'fuq</v>
      </c>
    </row>
    <row r="19483" ht="15.75" customHeight="1">
      <c r="A19483" s="2" t="s">
        <v>19483</v>
      </c>
      <c r="B19483" s="2" t="str">
        <f>IFERROR(__xludf.DUMMYFUNCTION("GOOGLETRANSLATE(A19483, ""en"", ""mt"")"),"L-UMC kien membru fundatur ta 'liema koalizzjoni?")</f>
        <v>L-UMC kien membru fundatur ta 'liema koalizzjoni?</v>
      </c>
    </row>
    <row r="19484" ht="15.75" customHeight="1">
      <c r="A19484" s="2" t="s">
        <v>19484</v>
      </c>
      <c r="B19484" s="2" t="str">
        <f>IFERROR(__xludf.DUMMYFUNCTION("GOOGLETRANSLATE(A19484, ""en"", ""mt"")"),"Il-Kardinali tal-Arizona")</f>
        <v>Il-Kardinali tal-Arizona</v>
      </c>
    </row>
    <row r="19485" ht="15.75" customHeight="1">
      <c r="A19485" s="2" t="s">
        <v>19485</v>
      </c>
      <c r="B19485" s="2" t="str">
        <f>IFERROR(__xludf.DUMMYFUNCTION("GOOGLETRANSLATE(A19485, ""en"", ""mt"")"),"Liema teknoloġija ġdida ppermettiet lil ABC tirrekordja minn qabel l-ispettakli tagħha?")</f>
        <v>Liema teknoloġija ġdida ppermettiet lil ABC tirrekordja minn qabel l-ispettakli tagħha?</v>
      </c>
    </row>
    <row r="19486" ht="15.75" customHeight="1">
      <c r="A19486" s="2" t="s">
        <v>19486</v>
      </c>
      <c r="B19486" s="2" t="str">
        <f>IFERROR(__xludf.DUMMYFUNCTION("GOOGLETRANSLATE(A19486, ""en"", ""mt"")"),"lura lejn New York fost aħbarijiet li seħħ massakru fil-Fort William Henry.")</f>
        <v>lura lejn New York fost aħbarijiet li seħħ massakru fil-Fort William Henry.</v>
      </c>
    </row>
    <row r="19487" ht="15.75" customHeight="1">
      <c r="A19487" s="2" t="s">
        <v>19487</v>
      </c>
      <c r="B19487" s="2" t="str">
        <f>IFERROR(__xludf.DUMMYFUNCTION("GOOGLETRANSLATE(A19487, ""en"", ""mt"")"),"Valley Buckland")</f>
        <v>Valley Buckland</v>
      </c>
    </row>
    <row r="19488" ht="15.75" customHeight="1">
      <c r="A19488" s="2" t="s">
        <v>19488</v>
      </c>
      <c r="B19488" s="2" t="str">
        <f>IFERROR(__xludf.DUMMYFUNCTION("GOOGLETRANSLATE(A19488, ""en"", ""mt"")"),"Xi tfisser l-inkapaċità li tissepara l-Islam mill-Iżlamiżmu li jwassal ħafna fil-Punent biex jappoġġjaw?")</f>
        <v>Xi tfisser l-inkapaċità li tissepara l-Islam mill-Iżlamiżmu li jwassal ħafna fil-Punent biex jappoġġjaw?</v>
      </c>
    </row>
    <row r="19489" ht="15.75" customHeight="1">
      <c r="A19489" s="2" t="s">
        <v>19489</v>
      </c>
      <c r="B19489" s="2" t="str">
        <f>IFERROR(__xludf.DUMMYFUNCTION("GOOGLETRANSLATE(A19489, ""en"", ""mt"")"),"X'inhu miżmum barra s-sistema formali ta 'reġistrazzjoni ta' sjieda legali f'ħafna pajjiżi li qed jiżviluppaw?")</f>
        <v>X'inhu miżmum barra s-sistema formali ta 'reġistrazzjoni ta' sjieda legali f'ħafna pajjiżi li qed jiżviluppaw?</v>
      </c>
    </row>
    <row r="19490" ht="15.75" customHeight="1">
      <c r="A19490" s="2" t="s">
        <v>19490</v>
      </c>
      <c r="B19490" s="2" t="str">
        <f>IFERROR(__xludf.DUMMYFUNCTION("GOOGLETRANSLATE(A19490, ""en"", ""mt"")"),"Kif tissejjaħ il-pleurobrachia kostali komuni?")</f>
        <v>Kif tissejjaħ il-pleurobrachia kostali komuni?</v>
      </c>
    </row>
    <row r="19491" ht="15.75" customHeight="1">
      <c r="A19491" s="2" t="s">
        <v>19491</v>
      </c>
      <c r="B19491" s="2" t="str">
        <f>IFERROR(__xludf.DUMMYFUNCTION("GOOGLETRANSLATE(A19491, ""en"", ""mt"")"),"Jista 'jkollhom infinitament ħafna primes biss meta A u Q huma koprime, i.e., l-akbar divisor komuni tagħhom huwa wieħed. Jekk din il-kundizzjoni meħtieġa tkun sodisfatta, it-teorema ta 'Dirichlet fuq il-progressjonijiet aritmetiċi tafferma li l-progressj"&amp;"oni fiha ħafna primes infinitament. L-istampa hawn taħt turi dan bi q = 9: in-numri huma ""mgeżwra"" malli jiġi mgħoddi multiplu ta '9. Il-primes huma enfasizzati bl-aħmar. Ir-ringieli (= progressjonijiet) li jibdew b '= 3, 6, jew 9 fihom l-aktar numru ew"&amp;"lieni. Fir-ringieli l-oħra kollha (a = 1, 2, 4, 5, 7, u 8) hemm ħafna numri ewlenin. Barra minn hekk, il-primes huma mqassma bl-istess mod bejn dawk ir-ringieli fit-tul - id-densità tal-primes kollha kongruwenti Modulo 9 hija 1/6.")</f>
        <v>Jista 'jkollhom infinitament ħafna primes biss meta A u Q huma koprime, i.e., l-akbar divisor komuni tagħhom huwa wieħed. Jekk din il-kundizzjoni meħtieġa tkun sodisfatta, it-teorema ta 'Dirichlet fuq il-progressjonijiet aritmetiċi tafferma li l-progressjoni fiha ħafna primes infinitament. L-istampa hawn taħt turi dan bi q = 9: in-numri huma "mgeżwra" malli jiġi mgħoddi multiplu ta '9. Il-primes huma enfasizzati bl-aħmar. Ir-ringieli (= progressjonijiet) li jibdew b '= 3, 6, jew 9 fihom l-aktar numru ewlieni. Fir-ringieli l-oħra kollha (a = 1, 2, 4, 5, 7, u 8) hemm ħafna numri ewlenin. Barra minn hekk, il-primes huma mqassma bl-istess mod bejn dawk ir-ringieli fit-tul - id-densità tal-primes kollha kongruwenti Modulo 9 hija 1/6.</v>
      </c>
    </row>
    <row r="19492" ht="15.75" customHeight="1">
      <c r="A19492" s="2" t="s">
        <v>19492</v>
      </c>
      <c r="B19492" s="2" t="str">
        <f>IFERROR(__xludf.DUMMYFUNCTION("GOOGLETRANSLATE(A19492, ""en"", ""mt"")"),"Risposta politika importanti bikrija għall-ftuħ ta 'ostilitajiet kienet it-tlaqqigħ tal-Kungress ta' Albany f'Ġunju u Lulju, 1754. L-għan tal-Kungress kien li jifformalizza front unifikat fil-kummerċ u n-negozjati ma 'diversi Indjani, peress li lealtà tad"&amp;"-diversi tribujiet u In-nazzjonijiet kienu meqjusa li huma fundamentali fis-suċċess fil-gwerra li kienet qed tiżvolġi. Il-pjan li d-delegati qablu li qatt ma ġie rratifikat mil-leġiżlaturi kolonjali u lanqas approvat mill-kuruna. Madankollu, il-format tal"&amp;"-Kungress u ħafna speċifiċitajiet tal-pjan saru l-prototip għall-Konfederazzjoni matul il-Gwerra tal-Indipendenza.")</f>
        <v>Risposta politika importanti bikrija għall-ftuħ ta 'ostilitajiet kienet it-tlaqqigħ tal-Kungress ta' Albany f'Ġunju u Lulju, 1754. L-għan tal-Kungress kien li jifformalizza front unifikat fil-kummerċ u n-negozjati ma 'diversi Indjani, peress li lealtà tad-diversi tribujiet u In-nazzjonijiet kienu meqjusa li huma fundamentali fis-suċċess fil-gwerra li kienet qed tiżvolġi. Il-pjan li d-delegati qablu li qatt ma ġie rratifikat mil-leġiżlaturi kolonjali u lanqas approvat mill-kuruna. Madankollu, il-format tal-Kungress u ħafna speċifiċitajiet tal-pjan saru l-prototip għall-Konfederazzjoni matul il-Gwerra tal-Indipendenza.</v>
      </c>
    </row>
    <row r="19493" ht="15.75" customHeight="1">
      <c r="A19493" s="2" t="s">
        <v>19493</v>
      </c>
      <c r="B19493" s="2" t="str">
        <f>IFERROR(__xludf.DUMMYFUNCTION("GOOGLETRANSLATE(A19493, ""en"", ""mt"")"),"Għaliex hemm iktar nies foqra fl-Istati Uniti u fl-Ewropa miċ-Ċina?")</f>
        <v>Għaliex hemm iktar nies foqra fl-Istati Uniti u fl-Ewropa miċ-Ċina?</v>
      </c>
    </row>
    <row r="19494" ht="15.75" customHeight="1">
      <c r="A19494" s="2" t="s">
        <v>19494</v>
      </c>
      <c r="B19494" s="2" t="str">
        <f>IFERROR(__xludf.DUMMYFUNCTION("GOOGLETRANSLATE(A19494, ""en"", ""mt"")"),"Liema terminu jintuża biex jispjega bidla fid-dehra tat-tabib min?")</f>
        <v>Liema terminu jintuża biex jispjega bidla fid-dehra tat-tabib min?</v>
      </c>
    </row>
    <row r="19495" ht="15.75" customHeight="1">
      <c r="A19495" s="2" t="s">
        <v>19495</v>
      </c>
      <c r="B19495" s="2" t="str">
        <f>IFERROR(__xludf.DUMMYFUNCTION("GOOGLETRANSLATE(A19495, ""en"", ""mt"")"),"Mis-sekli 16 u 17")</f>
        <v>Mis-sekli 16 u 17</v>
      </c>
    </row>
    <row r="19496" ht="15.75" customHeight="1">
      <c r="A19496" s="2" t="s">
        <v>19496</v>
      </c>
      <c r="B19496" s="2" t="str">
        <f>IFERROR(__xludf.DUMMYFUNCTION("GOOGLETRANSLATE(A19496, ""en"", ""mt"")"),"immedjatament")</f>
        <v>immedjatament</v>
      </c>
    </row>
    <row r="19497" ht="15.75" customHeight="1">
      <c r="A19497" s="2" t="s">
        <v>19497</v>
      </c>
      <c r="B19497" s="2" t="str">
        <f>IFERROR(__xludf.DUMMYFUNCTION("GOOGLETRANSLATE(A19497, ""en"", ""mt"")"),"3 miljun segwaċi")</f>
        <v>3 miljun segwaċi</v>
      </c>
    </row>
    <row r="19498" ht="15.75" customHeight="1">
      <c r="A19498" s="2" t="s">
        <v>19498</v>
      </c>
      <c r="B19498" s="2" t="str">
        <f>IFERROR(__xludf.DUMMYFUNCTION("GOOGLETRANSLATE(A19498, ""en"", ""mt"")"),"Il-Qorti Imperjali Pre-Heian")</f>
        <v>Il-Qorti Imperjali Pre-Heian</v>
      </c>
    </row>
    <row r="19499" ht="15.75" customHeight="1">
      <c r="A19499" s="2" t="s">
        <v>19499</v>
      </c>
      <c r="B19499" s="2" t="str">
        <f>IFERROR(__xludf.DUMMYFUNCTION("GOOGLETRANSLATE(A19499, ""en"", ""mt"")"),"jgħix")</f>
        <v>jgħix</v>
      </c>
    </row>
    <row r="19500" ht="15.75" customHeight="1">
      <c r="A19500" s="2" t="s">
        <v>19500</v>
      </c>
      <c r="B19500" s="2" t="str">
        <f>IFERROR(__xludf.DUMMYFUNCTION("GOOGLETRANSLATE(A19500, ""en"", ""mt"")"),"L-Ajruport Internazzjonali ta 'Chinggis Khaan")</f>
        <v>L-Ajruport Internazzjonali ta 'Chinggis Khaan</v>
      </c>
    </row>
    <row r="19501" ht="15.75" customHeight="1">
      <c r="A19501" s="2" t="s">
        <v>19501</v>
      </c>
      <c r="B19501" s="2" t="str">
        <f>IFERROR(__xludf.DUMMYFUNCTION("GOOGLETRANSLATE(A19501, ""en"", ""mt"")"),"L-1940s")</f>
        <v>L-1940s</v>
      </c>
    </row>
    <row r="19502" ht="15.75" customHeight="1">
      <c r="A19502" s="2" t="s">
        <v>19502</v>
      </c>
      <c r="B19502" s="2" t="str">
        <f>IFERROR(__xludf.DUMMYFUNCTION("GOOGLETRANSLATE(A19502, ""en"", ""mt"")"),"allinja l-għanijiet personali tiegħu mal-għanijiet akkademiċi tiegħu")</f>
        <v>allinja l-għanijiet personali tiegħu mal-għanijiet akkademiċi tiegħu</v>
      </c>
    </row>
    <row r="19503" ht="15.75" customHeight="1">
      <c r="A19503" s="2" t="s">
        <v>19503</v>
      </c>
      <c r="B19503" s="2" t="str">
        <f>IFERROR(__xludf.DUMMYFUNCTION("GOOGLETRANSLATE(A19503, ""en"", ""mt"")"),"Tesla għamlet tbassir dwar il-kwistjonijiet rilevanti ta 'ambjent ta' wara l-Gwerra Dinjija f'artiklu stampat, ""ix-xjenza u l-iskoperta huma l-forzi kbar li jwasslu għall-konsum tal-gwerra"" (20 ta 'Diċembru 1914). Tesla emmnet li l-Lega tan-Nazzjonijiet"&amp;" ma kinitx rimedju għaż-żminijiet u l-kwistjonijiet. [Ċitazzjoni meħtieġa]")</f>
        <v>Tesla għamlet tbassir dwar il-kwistjonijiet rilevanti ta 'ambjent ta' wara l-Gwerra Dinjija f'artiklu stampat, "ix-xjenza u l-iskoperta huma l-forzi kbar li jwasslu għall-konsum tal-gwerra" (20 ta 'Diċembru 1914). Tesla emmnet li l-Lega tan-Nazzjonijiet ma kinitx rimedju għaż-żminijiet u l-kwistjonijiet. [Ċitazzjoni meħtieġa]</v>
      </c>
    </row>
    <row r="19504" ht="15.75" customHeight="1">
      <c r="A19504" s="2" t="s">
        <v>19504</v>
      </c>
      <c r="B19504" s="2" t="str">
        <f>IFERROR(__xludf.DUMMYFUNCTION("GOOGLETRANSLATE(A19504, ""en"", ""mt"")"),"3 ijiem")</f>
        <v>3 ijiem</v>
      </c>
    </row>
    <row r="19505" ht="15.75" customHeight="1">
      <c r="A19505" s="2" t="s">
        <v>19505</v>
      </c>
      <c r="B19505" s="2" t="str">
        <f>IFERROR(__xludf.DUMMYFUNCTION("GOOGLETRANSLATE(A19505, ""en"", ""mt"")"),"Jailer u hangman tar-ruħ fqira tiegħi.")</f>
        <v>Jailer u hangman tar-ruħ fqira tiegħi.</v>
      </c>
    </row>
    <row r="19506" ht="15.75" customHeight="1">
      <c r="A19506" s="2" t="s">
        <v>19506</v>
      </c>
      <c r="B19506" s="2" t="str">
        <f>IFERROR(__xludf.DUMMYFUNCTION("GOOGLETRANSLATE(A19506, ""en"", ""mt"")"),"Liema avveniment kien l-agħar eżempju ta 'persekuzzjoni Huguenot?")</f>
        <v>Liema avveniment kien l-agħar eżempju ta 'persekuzzjoni Huguenot?</v>
      </c>
    </row>
    <row r="19507" ht="15.75" customHeight="1">
      <c r="A19507" s="2" t="s">
        <v>19507</v>
      </c>
      <c r="B19507" s="2" t="str">
        <f>IFERROR(__xludf.DUMMYFUNCTION("GOOGLETRANSLATE(A19507, ""en"", ""mt"")"),"Storja tal-istazzjonar fuq il-bieb")</f>
        <v>Storja tal-istazzjonar fuq il-bieb</v>
      </c>
    </row>
    <row r="19508" ht="15.75" customHeight="1">
      <c r="A19508" s="2" t="s">
        <v>19508</v>
      </c>
      <c r="B19508" s="2" t="str">
        <f>IFERROR(__xludf.DUMMYFUNCTION("GOOGLETRANSLATE(A19508, ""en"", ""mt"")"),"ir-raġel u l-missier")</f>
        <v>ir-raġel u l-missier</v>
      </c>
    </row>
    <row r="19509" ht="15.75" customHeight="1">
      <c r="A19509" s="2" t="s">
        <v>19509</v>
      </c>
      <c r="B19509" s="2" t="str">
        <f>IFERROR(__xludf.DUMMYFUNCTION("GOOGLETRANSLATE(A19509, ""en"", ""mt"")"),"X’sar fil-laboratorju tiegħu fl-1895, u ġiegħlu jitlef eluf ta ’dollari ta’ dejta u għodda?")</f>
        <v>X’sar fil-laboratorju tiegħu fl-1895, u ġiegħlu jitlef eluf ta ’dollari ta’ dejta u għodda?</v>
      </c>
    </row>
    <row r="19510" ht="15.75" customHeight="1">
      <c r="A19510" s="2" t="s">
        <v>19510</v>
      </c>
      <c r="B19510" s="2" t="str">
        <f>IFERROR(__xludf.DUMMYFUNCTION("GOOGLETRANSLATE(A19510, ""en"", ""mt"")"),"Degradazzjoni Ambjentali")</f>
        <v>Degradazzjoni Ambjentali</v>
      </c>
    </row>
    <row r="19511" ht="15.75" customHeight="1">
      <c r="A19511" s="2" t="s">
        <v>19511</v>
      </c>
      <c r="B19511" s="2" t="str">
        <f>IFERROR(__xludf.DUMMYFUNCTION("GOOGLETRANSLATE(A19511, ""en"", ""mt"")"),"Wieħed mill-pretendenti tat-tron Ingliż li jopponi lil William the Conqueror, Edgar Atheling, eventwalment ħarab lejn l-Iskozja. Ir-Re Malcolm III tal-Iskozja żżewweġ lil oħt Edgar Margaret, u daħal fl-oppożizzjoni ma 'William li kien diġà kkontesta l-fru"&amp;"ntieri tan-Nofsinhar tal-Iskozja. William invada l-Iskozja fl-1072, riekeb sa Abernethy fejn iltaqa 'mal-flotta tiegħu ta' vapuri. Malcolm ippreżenta, sellem lil William u ċeda lil ibnu Duncan bħala ostaġġ, li beda serje ta 'argumenti dwar jekk il-Kuruna "&amp;"Skoċċiża kienet dovuta lealtà lir-Re tal-Ingilterra.")</f>
        <v>Wieħed mill-pretendenti tat-tron Ingliż li jopponi lil William the Conqueror, Edgar Atheling, eventwalment ħarab lejn l-Iskozja. Ir-Re Malcolm III tal-Iskozja żżewweġ lil oħt Edgar Margaret, u daħal fl-oppożizzjoni ma 'William li kien diġà kkontesta l-fruntieri tan-Nofsinhar tal-Iskozja. William invada l-Iskozja fl-1072, riekeb sa Abernethy fejn iltaqa 'mal-flotta tiegħu ta' vapuri. Malcolm ippreżenta, sellem lil William u ċeda lil ibnu Duncan bħala ostaġġ, li beda serje ta 'argumenti dwar jekk il-Kuruna Skoċċiża kienet dovuta lealtà lir-Re tal-Ingilterra.</v>
      </c>
    </row>
    <row r="19512" ht="15.75" customHeight="1">
      <c r="A19512" s="2" t="s">
        <v>19512</v>
      </c>
      <c r="B19512" s="2" t="str">
        <f>IFERROR(__xludf.DUMMYFUNCTION("GOOGLETRANSLATE(A19512, ""en"", ""mt"")"),"Dwar kemm mill-popolazzjoni Asjatika kienet Hmong?")</f>
        <v>Dwar kemm mill-popolazzjoni Asjatika kienet Hmong?</v>
      </c>
    </row>
    <row r="19513" ht="15.75" customHeight="1">
      <c r="A19513" s="2" t="s">
        <v>19513</v>
      </c>
      <c r="B19513" s="2" t="str">
        <f>IFERROR(__xludf.DUMMYFUNCTION("GOOGLETRANSLATE(A19513, ""en"", ""mt"")"),"l-ogħla")</f>
        <v>l-ogħla</v>
      </c>
    </row>
    <row r="19514" ht="15.75" customHeight="1">
      <c r="A19514" s="2" t="s">
        <v>19514</v>
      </c>
      <c r="B19514" s="2" t="str">
        <f>IFERROR(__xludf.DUMMYFUNCTION("GOOGLETRANSLATE(A19514, ""en"", ""mt"")"),"Kemm Afrikani nġiebu fl-Istati Uniti waqt il-kummerċ tal-iskjavi?")</f>
        <v>Kemm Afrikani nġiebu fl-Istati Uniti waqt il-kummerċ tal-iskjavi?</v>
      </c>
    </row>
    <row r="19515" ht="15.75" customHeight="1">
      <c r="A19515" s="2" t="s">
        <v>19515</v>
      </c>
      <c r="B19515" s="2" t="str">
        <f>IFERROR(__xludf.DUMMYFUNCTION("GOOGLETRANSLATE(A19515, ""en"", ""mt"")"),"triplu")</f>
        <v>triplu</v>
      </c>
    </row>
    <row r="19516" ht="15.75" customHeight="1">
      <c r="A19516" s="2" t="s">
        <v>19516</v>
      </c>
      <c r="B19516" s="2" t="str">
        <f>IFERROR(__xludf.DUMMYFUNCTION("GOOGLETRANSLATE(A19516, ""en"", ""mt"")"),"X'inhi l-opinjoni ta 'Luther dwar dak li tkopri l-liġi ??")</f>
        <v>X'inhi l-opinjoni ta 'Luther dwar dak li tkopri l-liġi ??</v>
      </c>
    </row>
    <row r="19517" ht="15.75" customHeight="1">
      <c r="A19517" s="2" t="s">
        <v>19517</v>
      </c>
      <c r="B19517" s="2" t="str">
        <f>IFERROR(__xludf.DUMMYFUNCTION("GOOGLETRANSLATE(A19517, ""en"", ""mt"")"),"Liema karatteristika tal-armata ta 'Shah tippermetti l-forzi tal-Mongolja weary rebħiet bikrija faċli?")</f>
        <v>Liema karatteristika tal-armata ta 'Shah tippermetti l-forzi tal-Mongolja weary rebħiet bikrija faċli?</v>
      </c>
    </row>
    <row r="19518" ht="15.75" customHeight="1">
      <c r="A19518" s="2" t="s">
        <v>19518</v>
      </c>
      <c r="B19518" s="2" t="str">
        <f>IFERROR(__xludf.DUMMYFUNCTION("GOOGLETRANSLATE(A19518, ""en"", ""mt"")"),"Matul is-Sajf, għal liema tournaments il-programmi tal-ABC Air jenfasizzaw?")</f>
        <v>Matul is-Sajf, għal liema tournaments il-programmi tal-ABC Air jenfasizzaw?</v>
      </c>
    </row>
    <row r="19519" ht="15.75" customHeight="1">
      <c r="A19519" s="2" t="s">
        <v>19519</v>
      </c>
      <c r="B19519" s="2" t="str">
        <f>IFERROR(__xludf.DUMMYFUNCTION("GOOGLETRANSLATE(A19519, ""en"", ""mt"")"),"Monomeri tal-glukożju fil-kloroplast jistgħu jkunu marbuta flimkien")</f>
        <v>Monomeri tal-glukożju fil-kloroplast jistgħu jkunu marbuta flimkien</v>
      </c>
    </row>
    <row r="19520" ht="15.75" customHeight="1">
      <c r="A19520" s="2" t="s">
        <v>19520</v>
      </c>
      <c r="B19520" s="2" t="str">
        <f>IFERROR(__xludf.DUMMYFUNCTION("GOOGLETRANSLATE(A19520, ""en"", ""mt"")"),"Xi jfisser li tkun MSP mal-House of Commons?")</f>
        <v>Xi jfisser li tkun MSP mal-House of Commons?</v>
      </c>
    </row>
    <row r="19521" ht="15.75" customHeight="1">
      <c r="A19521" s="2" t="s">
        <v>19521</v>
      </c>
      <c r="B19521" s="2" t="str">
        <f>IFERROR(__xludf.DUMMYFUNCTION("GOOGLETRANSLATE(A19521, ""en"", ""mt"")"),"il-bajd u l-isperma jimmaturaw fi żminijiet differenti")</f>
        <v>il-bajd u l-isperma jimmaturaw fi żminijiet differenti</v>
      </c>
    </row>
    <row r="19522" ht="15.75" customHeight="1">
      <c r="A19522" s="2" t="s">
        <v>19522</v>
      </c>
      <c r="B19522" s="2" t="str">
        <f>IFERROR(__xludf.DUMMYFUNCTION("GOOGLETRANSLATE(A19522, ""en"", ""mt"")"),"1973_oil_crisis")</f>
        <v>1973_oil_crisis</v>
      </c>
    </row>
    <row r="19523" ht="15.75" customHeight="1">
      <c r="A19523" s="2" t="s">
        <v>19523</v>
      </c>
      <c r="B19523" s="2" t="str">
        <f>IFERROR(__xludf.DUMMYFUNCTION("GOOGLETRANSLATE(A19523, ""en"", ""mt"")"),"Liema żona hija x-xtiewi u s-sjuf aktar friski ta 'Newcastle l-iktar simili għal?")</f>
        <v>Liema żona hija x-xtiewi u s-sjuf aktar friski ta 'Newcastle l-iktar simili għal?</v>
      </c>
    </row>
    <row r="19524" ht="15.75" customHeight="1">
      <c r="A19524" s="2" t="s">
        <v>19524</v>
      </c>
      <c r="B19524" s="2" t="str">
        <f>IFERROR(__xludf.DUMMYFUNCTION("GOOGLETRANSLATE(A19524, ""en"", ""mt"")"),"Teoriji ġeografiċi bħad-determiniżmu ambjentali ssuġġerew ukoll li l-ambjenti tropikali ħolqu persuni mhux varjati li għandhom bżonn gwida Ewropea. Pereżempju, il-ġeografa Amerikana Ellen Churchill Semple argumentat li minkejja li l-bnedmin oriġinaw fit-t"&amp;"ropiċi huma setgħu jsiru biss umani fiż-żona moderata. It-tropiċità tista 'tkun parallela mal-Orjentaliżmu ta' Edward Said bħala l-kostruzzjoni tal-Punent tal-Lvant bħala l- ""Oħrajn"". Skond SIAD, l-Orjentaliżmu ppermetta lill-Ewropa tistabbilixxi ruħha "&amp;"bħala s-superjur u n-norma, li ġġustifikaw id-dominanza tagħha fuq l-Orjent Essenzjalizzat.")</f>
        <v>Teoriji ġeografiċi bħad-determiniżmu ambjentali ssuġġerew ukoll li l-ambjenti tropikali ħolqu persuni mhux varjati li għandhom bżonn gwida Ewropea. Pereżempju, il-ġeografa Amerikana Ellen Churchill Semple argumentat li minkejja li l-bnedmin oriġinaw fit-tropiċi huma setgħu jsiru biss umani fiż-żona moderata. It-tropiċità tista 'tkun parallela mal-Orjentaliżmu ta' Edward Said bħala l-kostruzzjoni tal-Punent tal-Lvant bħala l- "Oħrajn". Skond SIAD, l-Orjentaliżmu ppermetta lill-Ewropa tistabbilixxi ruħha bħala s-superjur u n-norma, li ġġustifikaw id-dominanza tagħha fuq l-Orjent Essenzjalizzat.</v>
      </c>
    </row>
    <row r="19525" ht="15.75" customHeight="1">
      <c r="A19525" s="2" t="s">
        <v>19525</v>
      </c>
      <c r="B19525" s="2" t="str">
        <f>IFERROR(__xludf.DUMMYFUNCTION("GOOGLETRANSLATE(A19525, ""en"", ""mt"")"),"Dawk involuti fid-disinn u l-eżekuzzjoni tal-infrastruttura")</f>
        <v>Dawk involuti fid-disinn u l-eżekuzzjoni tal-infrastruttura</v>
      </c>
    </row>
    <row r="19526" ht="15.75" customHeight="1">
      <c r="A19526" s="2" t="s">
        <v>19526</v>
      </c>
      <c r="B19526" s="2" t="str">
        <f>IFERROR(__xludf.DUMMYFUNCTION("GOOGLETRANSLATE(A19526, ""en"", ""mt"")"),"Tank tal-ossiġnu likwidu sploda,")</f>
        <v>Tank tal-ossiġnu likwidu sploda,</v>
      </c>
    </row>
    <row r="19527" ht="15.75" customHeight="1">
      <c r="A19527" s="2" t="s">
        <v>19527</v>
      </c>
      <c r="B19527" s="2" t="str">
        <f>IFERROR(__xludf.DUMMYFUNCTION("GOOGLETRANSLATE(A19527, ""en"", ""mt"")"),"Dynasties Ċiniżi")</f>
        <v>Dynasties Ċiniżi</v>
      </c>
    </row>
    <row r="19528" ht="15.75" customHeight="1">
      <c r="A19528" s="2" t="s">
        <v>19528</v>
      </c>
      <c r="B19528" s="2" t="str">
        <f>IFERROR(__xludf.DUMMYFUNCTION("GOOGLETRANSLATE(A19528, ""en"", ""mt"")"),"Tipprevjeni l-installazzjoni ta 'immaġini pagani fit-tempju f'Ġerusalemm")</f>
        <v>Tipprevjeni l-installazzjoni ta 'immaġini pagani fit-tempju f'Ġerusalemm</v>
      </c>
    </row>
    <row r="19529" ht="15.75" customHeight="1">
      <c r="A19529" s="2" t="s">
        <v>19529</v>
      </c>
      <c r="B19529" s="2" t="str">
        <f>IFERROR(__xludf.DUMMYFUNCTION("GOOGLETRANSLATE(A19529, ""en"", ""mt"")"),"Għalkemm huwa ġeneralment aċċettat li l-liġi tal-UE għandha l-preminenza, mhux il-liġijiet kollha tal-UE jagħtu liċ-ċittadini biex iġibu talbiet: jiġifieri, mhux il-liġijiet kollha tal-UE għandhom ""effett dirett"". Fil-Van Gend en Loos vs Nederlandse Amm"&amp;"inistratie der Belastingen Ġie kkonstatat li d-dispożizzjonijiet tat-trattati (u r-regolamenti tal-UE) huma direttament effettivi, jekk huma (1) ċari u mhux ambigwi (2) inkondizzjonati, u (3) ma kellhomx bżonn l-UE jew awtoritajiet nazzjonali biex jieħdu "&amp;"aktar azzjoni biex jimplimentawhom. Van Gend En Loos, kumpanija postali, sostniet li dak li issa huwa l-Artikolu 30 TFEU evitat lill-awtoritajiet tad-dwana Olandiżi jiċċarġjaw tariffi, meta importaw il-plastik tal-urea-formaldehyde mill-Ġermanja għall-Ola"&amp;"nda. Wara li qorti Olandiża għamlet referenza, il-Qorti tal-Ġustizzja ddeċidiet li minkejja li t-trattati ma ""espressament"" jagħtu dritt liċ-ċittadini jew kumpaniji biex iġibu talbiet, huma jistgħu jagħmlu dan. Storikament, it-trattati internazzjonali k"&amp;"ienu ppermettew biss lill-istati biex ikollhom talbiet legali għall-infurzar tagħhom, iżda l-Qorti tal-Ġustizzja pproklamat ""il-komunità tikkostitwixxi ordni legali ġdida tal-liġi internazzjonali"". Minħabba li l-Artikolu 30 b'mod ċar, mingħajr kundizzjo"&amp;"ni u immedjatament iddikjara li l-ebda restrizzjoni kwantitattiva ma tista 'titpoġġa fuq il-kummerċ, mingħajr ġustifikazzjoni tajba, van gend en loos jista' jirkupra l-flus li ħallas għat-tariffa. Ir-regolamenti tal-UE huma l-istess bħad-dispożizzjonijiet"&amp;" tat-trattati f'dan is-sens, għaliex kif l-Artikolu 288 TFEU jiddikjara, huma ""applikabbli direttament fl-Istati Membri kollha"". Barra minn hekk, l-Istati Membri jaqgħu taħt id-dmir li ma jirreplikawx ir-regolamenti fil-liġi tagħhom stess, sabiex jevita"&amp;"w konfużjoni. Pereżempju, fil-Kummissjoni v l-Italja l-Qorti tal-Ġustizzja ddeċidiet li l-Italja kisret dmir taħt it-trattati, kemm billi naqset milli topera skema biex tħallas il-bdiewa primjum biex toqtol il-baqar (biex tnaqqas il-produzzjoni żejda tal-"&amp;"ħalib), u billi tirriproduċi r-regoli fi Digriet b'diversi żidiet. ""Regolamenti,"" żammew il-Qorti tal-Ġustizzja, ""jidħlu fis-seħħ biss bis-saħħa tal-pubblikazzjoni tagħhom"" u l-implimentazzjoni jista 'jkollha l-effett li ""tipperikola l-applikazzjoni "&amp;"simultanja u uniformi tagħhom fl-Unjoni kollha."" Min-naħa l-oħra, xi regolamenti jistgħu huma stess jeħtieġu espressament miżuri ta 'implimentazzjoni, f'liema każ għandhom jiġu segwiti dawk ir-regoli speċifiċi.")</f>
        <v>Għalkemm huwa ġeneralment aċċettat li l-liġi tal-UE għandha l-preminenza, mhux il-liġijiet kollha tal-UE jagħtu liċ-ċittadini biex iġibu talbiet: jiġifieri, mhux il-liġijiet kollha tal-UE għandhom "effett dirett". Fil-Van Gend en Loos vs Nederlandse Amministratie der Belastingen Ġie kkonstatat li d-dispożizzjonijiet tat-trattati (u r-regolamenti tal-UE) huma direttament effettivi, jekk huma (1) ċari u mhux ambigwi (2) inkondizzjonati, u (3) ma kellhomx bżonn l-UE jew awtoritajiet nazzjonali biex jieħdu aktar azzjoni biex jimplimentawhom. Van Gend En Loos, kumpanija postali, sostniet li dak li issa huwa l-Artikolu 30 TFEU evitat lill-awtoritajiet tad-dwana Olandiżi jiċċarġjaw tariffi, meta importaw il-plastik tal-urea-formaldehyde mill-Ġermanja għall-Olanda. Wara li qorti Olandiża għamlet referenza, il-Qorti tal-Ġustizzja ddeċidiet li minkejja li t-trattati ma "espressament" jagħtu dritt liċ-ċittadini jew kumpaniji biex iġibu talbiet, huma jistgħu jagħmlu dan. Storikament, it-trattati internazzjonali kienu ppermettew biss lill-istati biex ikollhom talbiet legali għall-infurzar tagħhom, iżda l-Qorti tal-Ġustizzja pproklamat "il-komunità tikkostitwixxi ordni legali ġdida tal-liġi internazzjonali". Minħabba li l-Artikolu 30 b'mod ċar, mingħajr kundizzjoni u immedjatament iddikjara li l-ebda restrizzjoni kwantitattiva ma tista 'titpoġġa fuq il-kummerċ, mingħajr ġustifikazzjoni tajba, van gend en loos jista' jirkupra l-flus li ħallas għat-tariffa. Ir-regolamenti tal-UE huma l-istess bħad-dispożizzjonijiet tat-trattati f'dan is-sens, għaliex kif l-Artikolu 288 TFEU jiddikjara, huma "applikabbli direttament fl-Istati Membri kollha". Barra minn hekk, l-Istati Membri jaqgħu taħt id-dmir li ma jirreplikawx ir-regolamenti fil-liġi tagħhom stess, sabiex jevitaw konfużjoni. Pereżempju, fil-Kummissjoni v l-Italja l-Qorti tal-Ġustizzja ddeċidiet li l-Italja kisret dmir taħt it-trattati, kemm billi naqset milli topera skema biex tħallas il-bdiewa primjum biex toqtol il-baqar (biex tnaqqas il-produzzjoni żejda tal-ħalib), u billi tirriproduċi r-regoli fi Digriet b'diversi żidiet. "Regolamenti," żammew il-Qorti tal-Ġustizzja, "jidħlu fis-seħħ biss bis-saħħa tal-pubblikazzjoni tagħhom" u l-implimentazzjoni jista 'jkollha l-effett li "tipperikola l-applikazzjoni simultanja u uniformi tagħhom fl-Unjoni kollha." Min-naħa l-oħra, xi regolamenti jistgħu huma stess jeħtieġu espressament miżuri ta 'implimentazzjoni, f'liema każ għandhom jiġu segwiti dawk ir-regoli speċifiċi.</v>
      </c>
    </row>
    <row r="19530" ht="15.75" customHeight="1">
      <c r="A19530" s="2" t="s">
        <v>19530</v>
      </c>
      <c r="B19530" s="2" t="str">
        <f>IFERROR(__xludf.DUMMYFUNCTION("GOOGLETRANSLATE(A19530, ""en"", ""mt"")"),"X'inhu magħruf ir-rally Safair?")</f>
        <v>X'inhu magħruf ir-rally Safair?</v>
      </c>
    </row>
    <row r="19531" ht="15.75" customHeight="1">
      <c r="A19531" s="2" t="s">
        <v>19531</v>
      </c>
      <c r="B19531" s="2" t="str">
        <f>IFERROR(__xludf.DUMMYFUNCTION("GOOGLETRANSLATE(A19531, ""en"", ""mt"")"),"B'liema mezzi kienu x-xjenzati kapaċi li likwidi l-arja?")</f>
        <v>B'liema mezzi kienu x-xjenzati kapaċi li likwidi l-arja?</v>
      </c>
    </row>
    <row r="19532" ht="15.75" customHeight="1">
      <c r="A19532" s="2" t="s">
        <v>19532</v>
      </c>
      <c r="B19532" s="2" t="str">
        <f>IFERROR(__xludf.DUMMYFUNCTION("GOOGLETRANSLATE(A19532, ""en"", ""mt"")"),"Għaliex is-suċċessuri ta 'Kublai tilfu l-kontroll tal-kumplament tal-imperu Mongol?")</f>
        <v>Għaliex is-suċċessuri ta 'Kublai tilfu l-kontroll tal-kumplament tal-imperu Mongol?</v>
      </c>
    </row>
    <row r="19533" ht="15.75" customHeight="1">
      <c r="A19533" s="2" t="s">
        <v>19533</v>
      </c>
      <c r="B19533" s="2" t="str">
        <f>IFERROR(__xludf.DUMMYFUNCTION("GOOGLETRANSLATE(A19533, ""en"", ""mt"")"),"Kif imsejħa l-ibliet lill-Huguenots fl-1598 imsejħa kollettivament?")</f>
        <v>Kif imsejħa l-ibliet lill-Huguenots fl-1598 imsejħa kollettivament?</v>
      </c>
    </row>
    <row r="19534" ht="15.75" customHeight="1">
      <c r="A19534" s="2" t="s">
        <v>19534</v>
      </c>
      <c r="B19534" s="2" t="str">
        <f>IFERROR(__xludf.DUMMYFUNCTION("GOOGLETRANSLATE(A19534, ""en"", ""mt"")"),"Seklu 20,")</f>
        <v>Seklu 20,</v>
      </c>
    </row>
    <row r="19535" ht="15.75" customHeight="1">
      <c r="A19535" s="2" t="s">
        <v>19535</v>
      </c>
      <c r="B19535" s="2" t="str">
        <f>IFERROR(__xludf.DUMMYFUNCTION("GOOGLETRANSLATE(A19535, ""en"", ""mt"")"),"fi bliet reġjonali")</f>
        <v>fi bliet reġjonali</v>
      </c>
    </row>
    <row r="19536" ht="15.75" customHeight="1">
      <c r="A19536" s="2" t="s">
        <v>19536</v>
      </c>
      <c r="B19536" s="2" t="str">
        <f>IFERROR(__xludf.DUMMYFUNCTION("GOOGLETRANSLATE(A19536, ""en"", ""mt"")"),"In-Nofsinhar ta ’California fiha klima Mediterranja, b’xi xita mhux frekwenti u ħafna ġranet xemxija. Is-Sjuf huma sħan u niexfa, filwaqt li x-xtiewi huma daqsxejn sħan jew ħfief u mxarrbin. Xita serja tista 'sseħħ mhux tas-soltu. Fis-sjuf, il-firxiet tat"&amp;"-temperatura huma 90-60's waqt li x-xtiewi huma 70-50's, ġeneralment in-Nofsinhar ta 'California għandhom klima Mediterranja. Iżda s-silġ huwa rari ħafna fil-Lbiċ ta 'l-Istat, dan iseħħ fix-Xlokk ta' l-Istat.")</f>
        <v>In-Nofsinhar ta ’California fiha klima Mediterranja, b’xi xita mhux frekwenti u ħafna ġranet xemxija. Is-Sjuf huma sħan u niexfa, filwaqt li x-xtiewi huma daqsxejn sħan jew ħfief u mxarrbin. Xita serja tista 'sseħħ mhux tas-soltu. Fis-sjuf, il-firxiet tat-temperatura huma 90-60's waqt li x-xtiewi huma 70-50's, ġeneralment in-Nofsinhar ta 'California għandhom klima Mediterranja. Iżda s-silġ huwa rari ħafna fil-Lbiċ ta 'l-Istat, dan iseħħ fix-Xlokk ta' l-Istat.</v>
      </c>
    </row>
    <row r="19537" ht="15.75" customHeight="1">
      <c r="A19537" s="2" t="s">
        <v>19537</v>
      </c>
      <c r="B19537" s="2" t="str">
        <f>IFERROR(__xludf.DUMMYFUNCTION("GOOGLETRANSLATE(A19537, ""en"", ""mt"")"),"F’xi żoni rurali fir-Renju Unit, hemm tobba li jqassmu li huma permessi kemm jippreskrivu u jwarrbu mediċini biss għall-preskrizzjoni lill-pazjenti tagħhom minn ġewwa l-prattiki tagħhom. Il-liġi tirrikjedi li l-prattika tal-GP tkun tinsab f'żona rurali no"&amp;"minata u li hemm ukoll distanza minima speċifikata (bħalissa 1.6 kilometri) bejn id-dar tal-pazjent u l-eqreb spiżerija bl-imnut. Din il-liġi teżisti wkoll fl-Awstrija għal tobba ġenerali jekk l-eqreb farmaċija tkun aktar minn 4 kilometri 'l bogħod, jew f"&amp;"ejn l-ebda waħda hija rreġistrata fil-belt.")</f>
        <v>F’xi żoni rurali fir-Renju Unit, hemm tobba li jqassmu li huma permessi kemm jippreskrivu u jwarrbu mediċini biss għall-preskrizzjoni lill-pazjenti tagħhom minn ġewwa l-prattiki tagħhom. Il-liġi tirrikjedi li l-prattika tal-GP tkun tinsab f'żona rurali nominata u li hemm ukoll distanza minima speċifikata (bħalissa 1.6 kilometri) bejn id-dar tal-pazjent u l-eqreb spiżerija bl-imnut. Din il-liġi teżisti wkoll fl-Awstrija għal tobba ġenerali jekk l-eqreb farmaċija tkun aktar minn 4 kilometri 'l bogħod, jew fejn l-ebda waħda hija rreġistrata fil-belt.</v>
      </c>
    </row>
    <row r="19538" ht="15.75" customHeight="1">
      <c r="A19538" s="2" t="s">
        <v>19538</v>
      </c>
      <c r="B19538" s="2" t="str">
        <f>IFERROR(__xludf.DUMMYFUNCTION("GOOGLETRANSLATE(A19538, ""en"", ""mt"")"),"Sky meta nediet kampanja ta 'reklamar tat-TV lejn il-mira lejn in-nisa?")</f>
        <v>Sky meta nediet kampanja ta 'reklamar tat-TV lejn il-mira lejn in-nisa?</v>
      </c>
    </row>
    <row r="19539" ht="15.75" customHeight="1">
      <c r="A19539" s="2" t="s">
        <v>19539</v>
      </c>
      <c r="B19539" s="2" t="str">
        <f>IFERROR(__xludf.DUMMYFUNCTION("GOOGLETRANSLATE(A19539, ""en"", ""mt"")"),"L-ebda ħin tal-ħabs")</f>
        <v>L-ebda ħin tal-ħabs</v>
      </c>
    </row>
    <row r="19540" ht="15.75" customHeight="1">
      <c r="A19540" s="2" t="s">
        <v>19540</v>
      </c>
      <c r="B19540" s="2" t="str">
        <f>IFERROR(__xludf.DUMMYFUNCTION("GOOGLETRANSLATE(A19540, ""en"", ""mt"")"),"Xi jfisser id-djalett ta 'Geordie tal-lingwa anzjana li waslet quddiemha?")</f>
        <v>Xi jfisser id-djalett ta 'Geordie tal-lingwa anzjana li waslet quddiemha?</v>
      </c>
    </row>
    <row r="19541" ht="15.75" customHeight="1">
      <c r="A19541" s="2" t="s">
        <v>19541</v>
      </c>
      <c r="B19541" s="2" t="str">
        <f>IFERROR(__xludf.DUMMYFUNCTION("GOOGLETRANSLATE(A19541, ""en"", ""mt"")"),", tagħmilha iktar diffiċli għal sistema biex tiffunzjona")</f>
        <v>, tagħmilha iktar diffiċli għal sistema biex tiffunzjona</v>
      </c>
    </row>
    <row r="19542" ht="15.75" customHeight="1">
      <c r="A19542" s="2" t="s">
        <v>19542</v>
      </c>
      <c r="B19542" s="2" t="str">
        <f>IFERROR(__xludf.DUMMYFUNCTION("GOOGLETRANSLATE(A19542, ""en"", ""mt"")"),"X'inhu l-korp ġudizzjarju ewlieni attwali tal-UE?")</f>
        <v>X'inhu l-korp ġudizzjarju ewlieni attwali tal-UE?</v>
      </c>
    </row>
    <row r="19543" ht="15.75" customHeight="1">
      <c r="A19543" s="2" t="s">
        <v>19543</v>
      </c>
      <c r="B19543" s="2" t="str">
        <f>IFERROR(__xludf.DUMMYFUNCTION("GOOGLETRANSLATE(A19543, ""en"", ""mt"")"),"L-ekonomija tan-Nofsinhar ta 'California tista' tiġi deskritta bħala waħda mill-ikbar fl-Istati Uniti u liema karatteristika oħra?")</f>
        <v>L-ekonomija tan-Nofsinhar ta 'California tista' tiġi deskritta bħala waħda mill-ikbar fl-Istati Uniti u liema karatteristika oħra?</v>
      </c>
    </row>
    <row r="19544" ht="15.75" customHeight="1">
      <c r="A19544" s="2" t="s">
        <v>19544</v>
      </c>
      <c r="B19544" s="2" t="str">
        <f>IFERROR(__xludf.DUMMYFUNCTION("GOOGLETRANSLATE(A19544, ""en"", ""mt"")"),"Liema dikjarazzjoni bbażat l-emigrazzjoni tar-refuġjati Huguenot?")</f>
        <v>Liema dikjarazzjoni bbażat l-emigrazzjoni tar-refuġjati Huguenot?</v>
      </c>
    </row>
    <row r="19545" ht="15.75" customHeight="1">
      <c r="A19545" s="2" t="s">
        <v>19545</v>
      </c>
      <c r="B19545" s="2" t="str">
        <f>IFERROR(__xludf.DUMMYFUNCTION("GOOGLETRANSLATE(A19545, ""en"", ""mt"")"),"Qoxra ta 'siġar taċ-ċawsli")</f>
        <v>Qoxra ta 'siġar taċ-ċawsli</v>
      </c>
    </row>
    <row r="19546" ht="15.75" customHeight="1">
      <c r="A19546" s="2" t="s">
        <v>19546</v>
      </c>
      <c r="B19546" s="2" t="str">
        <f>IFERROR(__xludf.DUMMYFUNCTION("GOOGLETRANSLATE(A19546, ""en"", ""mt"")"),"Kemm kien twil imdaħħal bil-kolera?")</f>
        <v>Kemm kien twil imdaħħal bil-kolera?</v>
      </c>
    </row>
    <row r="19547" ht="15.75" customHeight="1">
      <c r="A19547" s="2" t="s">
        <v>19547</v>
      </c>
      <c r="B19547" s="2" t="str">
        <f>IFERROR(__xludf.DUMMYFUNCTION("GOOGLETRANSLATE(A19547, ""en"", ""mt"")"),"aħdar")</f>
        <v>aħdar</v>
      </c>
    </row>
    <row r="19548" ht="15.75" customHeight="1">
      <c r="A19548" s="2" t="s">
        <v>19548</v>
      </c>
      <c r="B19548" s="2" t="str">
        <f>IFERROR(__xludf.DUMMYFUNCTION("GOOGLETRANSLATE(A19548, ""en"", ""mt"")"),"Wirja kbira tal-1851")</f>
        <v>Wirja kbira tal-1851</v>
      </c>
    </row>
    <row r="19549" ht="15.75" customHeight="1">
      <c r="A19549" s="2" t="s">
        <v>19549</v>
      </c>
      <c r="B19549" s="2" t="str">
        <f>IFERROR(__xludf.DUMMYFUNCTION("GOOGLETRANSLATE(A19549, ""en"", ""mt"")"),"L-ebda tifel ma ħalla warajh")</f>
        <v>L-ebda tifel ma ħalla warajh</v>
      </c>
    </row>
    <row r="19550" ht="15.75" customHeight="1">
      <c r="A19550" s="2" t="s">
        <v>19550</v>
      </c>
      <c r="B19550" s="2" t="str">
        <f>IFERROR(__xludf.DUMMYFUNCTION("GOOGLETRANSLATE(A19550, ""en"", ""mt"")"),"Għodda tax-Xitan")</f>
        <v>Għodda tax-Xitan</v>
      </c>
    </row>
    <row r="19551" ht="15.75" customHeight="1">
      <c r="A19551" s="2" t="s">
        <v>19551</v>
      </c>
      <c r="B19551" s="2" t="str">
        <f>IFERROR(__xludf.DUMMYFUNCTION("GOOGLETRANSLATE(A19551, ""en"", ""mt"")"),"12 ta ’Diċembru 1963")</f>
        <v>12 ta ’Diċembru 1963</v>
      </c>
    </row>
    <row r="19552" ht="15.75" customHeight="1">
      <c r="A19552" s="2" t="s">
        <v>19552</v>
      </c>
      <c r="B19552" s="2" t="str">
        <f>IFERROR(__xludf.DUMMYFUNCTION("GOOGLETRANSLATE(A19552, ""en"", ""mt"")"),"Iċ-Ċina tat-Tramuntana")</f>
        <v>Iċ-Ċina tat-Tramuntana</v>
      </c>
    </row>
    <row r="19553" ht="15.75" customHeight="1">
      <c r="A19553" s="2" t="s">
        <v>19553</v>
      </c>
      <c r="B19553" s="2" t="str">
        <f>IFERROR(__xludf.DUMMYFUNCTION("GOOGLETRANSLATE(A19553, ""en"", ""mt"")"),"forza u vjolenza u rifjut li tissottometti għall-arrest")</f>
        <v>forza u vjolenza u rifjut li tissottometti għall-arrest</v>
      </c>
    </row>
    <row r="19554" ht="15.75" customHeight="1">
      <c r="A19554" s="2" t="s">
        <v>19554</v>
      </c>
      <c r="B19554" s="2" t="str">
        <f>IFERROR(__xludf.DUMMYFUNCTION("GOOGLETRANSLATE(A19554, ""en"", ""mt"")"),"Fil-kloroplasti tal-pjanti C4,")</f>
        <v>Fil-kloroplasti tal-pjanti C4,</v>
      </c>
    </row>
    <row r="19555" ht="15.75" customHeight="1">
      <c r="A19555" s="2" t="s">
        <v>19555</v>
      </c>
      <c r="B19555" s="2" t="str">
        <f>IFERROR(__xludf.DUMMYFUNCTION("GOOGLETRANSLATE(A19555, ""en"", ""mt"")"),"sistema plug-n-play")</f>
        <v>sistema plug-n-play</v>
      </c>
    </row>
    <row r="19556" ht="15.75" customHeight="1">
      <c r="A19556" s="2" t="s">
        <v>19556</v>
      </c>
      <c r="B19556" s="2" t="str">
        <f>IFERROR(__xludf.DUMMYFUNCTION("GOOGLETRANSLATE(A19556, ""en"", ""mt"")"),"Sistema tradizzjonali Ċiniża Awtokratika-Bureacratic")</f>
        <v>Sistema tradizzjonali Ċiniża Awtokratika-Bureacratic</v>
      </c>
    </row>
    <row r="19557" ht="15.75" customHeight="1">
      <c r="A19557" s="2" t="s">
        <v>19557</v>
      </c>
      <c r="B19557" s="2" t="str">
        <f>IFERROR(__xludf.DUMMYFUNCTION("GOOGLETRANSLATE(A19557, ""en"", ""mt"")"),"anke")</f>
        <v>anke</v>
      </c>
    </row>
    <row r="19558" ht="15.75" customHeight="1">
      <c r="A19558" s="2" t="s">
        <v>19558</v>
      </c>
      <c r="B19558" s="2" t="str">
        <f>IFERROR(__xludf.DUMMYFUNCTION("GOOGLETRANSLATE(A19558, ""en"", ""mt"")"),"Xogħlijiet anti-Luteru ta 'Luther")</f>
        <v>Xogħlijiet anti-Luteru ta 'Luther</v>
      </c>
    </row>
    <row r="19559" ht="15.75" customHeight="1">
      <c r="A19559" s="2" t="s">
        <v>19559</v>
      </c>
      <c r="B19559" s="2" t="str">
        <f>IFERROR(__xludf.DUMMYFUNCTION("GOOGLETRANSLATE(A19559, ""en"", ""mt"")"),"Liema bargain għamel miegħu missieru jekk Tesla rkuprat?")</f>
        <v>Liema bargain għamel miegħu missieru jekk Tesla rkuprat?</v>
      </c>
    </row>
    <row r="19560" ht="15.75" customHeight="1">
      <c r="A19560" s="2" t="s">
        <v>19560</v>
      </c>
      <c r="B19560" s="2" t="str">
        <f>IFERROR(__xludf.DUMMYFUNCTION("GOOGLETRANSLATE(A19560, ""en"", ""mt"")"),"Ġermaniżi ta 'kuljum")</f>
        <v>Ġermaniżi ta 'kuljum</v>
      </c>
    </row>
    <row r="19561" ht="15.75" customHeight="1">
      <c r="A19561" s="2" t="s">
        <v>19561</v>
      </c>
      <c r="B19561" s="2" t="str">
        <f>IFERROR(__xludf.DUMMYFUNCTION("GOOGLETRANSLATE(A19561, ""en"", ""mt"")"),"Tibqa 'mal-istess grupp ta' sħabhom għall-klassijiet kollha")</f>
        <v>Tibqa 'mal-istess grupp ta' sħabhom għall-klassijiet kollha</v>
      </c>
    </row>
    <row r="19562" ht="15.75" customHeight="1">
      <c r="A19562" s="2" t="s">
        <v>19562</v>
      </c>
      <c r="B19562" s="2" t="str">
        <f>IFERROR(__xludf.DUMMYFUNCTION("GOOGLETRANSLATE(A19562, ""en"", ""mt"")"),"infurmaw lil Céloron li huma kellhom il-pajjiż ta 'Ohio u li kienu se jinnegozjaw mal-Ingliżi irrispettivament mill-Franċiżi")</f>
        <v>infurmaw lil Céloron li huma kellhom il-pajjiż ta 'Ohio u li kienu se jinnegozjaw mal-Ingliżi irrispettivament mill-Franċiżi</v>
      </c>
    </row>
    <row r="19563" ht="15.75" customHeight="1">
      <c r="A19563" s="2" t="s">
        <v>19563</v>
      </c>
      <c r="B19563" s="2" t="str">
        <f>IFERROR(__xludf.DUMMYFUNCTION("GOOGLETRANSLATE(A19563, ""en"", ""mt"")"),"Liema aġenda fit-tul kienet l-atti ta 'artijiet Musulmani li jisirqu mill-punent?")</f>
        <v>Liema aġenda fit-tul kienet l-atti ta 'artijiet Musulmani li jisirqu mill-punent?</v>
      </c>
    </row>
    <row r="19564" ht="15.75" customHeight="1">
      <c r="A19564" s="2" t="s">
        <v>19564</v>
      </c>
      <c r="B19564" s="2" t="str">
        <f>IFERROR(__xludf.DUMMYFUNCTION("GOOGLETRANSLATE(A19564, ""en"", ""mt"")"),"ċittadini")</f>
        <v>ċittadini</v>
      </c>
    </row>
    <row r="19565" ht="15.75" customHeight="1">
      <c r="A19565" s="2" t="s">
        <v>19565</v>
      </c>
      <c r="B19565" s="2" t="str">
        <f>IFERROR(__xludf.DUMMYFUNCTION("GOOGLETRANSLATE(A19565, ""en"", ""mt"")"),"Mattew 5: 38-39")</f>
        <v>Mattew 5: 38-39</v>
      </c>
    </row>
    <row r="19566" ht="15.75" customHeight="1">
      <c r="A19566" s="2" t="s">
        <v>19566</v>
      </c>
      <c r="B19566" s="2" t="str">
        <f>IFERROR(__xludf.DUMMYFUNCTION("GOOGLETRANSLATE(A19566, ""en"", ""mt"")"),"ugwaljanza fid-distribuzzjoni tad-dħul")</f>
        <v>ugwaljanza fid-distribuzzjoni tad-dħul</v>
      </c>
    </row>
    <row r="19567" ht="15.75" customHeight="1">
      <c r="A19567" s="2" t="s">
        <v>19567</v>
      </c>
      <c r="B19567" s="2" t="str">
        <f>IFERROR(__xludf.DUMMYFUNCTION("GOOGLETRANSLATE(A19567, ""en"", ""mt"")"),"Ir-reġjun ċentrali, li jikkonsisti f'Hebei preżenti, Shandong, Shanxi, il-parti tax-xlokk tal-Mongolja ta 'ġewwa preżenti u ż-żoni ta' Henan fit-tramuntana tax-Xmara Isfar, kienet ikkunsidrata bħala l-iktar reġjun importanti tad-dinastija u rregolat diret"&amp;"tament mis-Segretarjat Ċentrali (jew Zhongshu Sheng) f'Khanbaliq (Beijing modern); Bl-istess mod, dipartiment amministrattiv ieħor tal-ogħla livell sejjaħ il-Bureau tal-Affarijiet Buddisti u tat-Tibet (jew Xuanzheng Yuan) kellu regola amministrattiva fuq "&amp;"it-Tibet tal-ġurnata moderna u parti minn Sichuan, Qinghai u l-Kashmir.")</f>
        <v>Ir-reġjun ċentrali, li jikkonsisti f'Hebei preżenti, Shandong, Shanxi, il-parti tax-xlokk tal-Mongolja ta 'ġewwa preżenti u ż-żoni ta' Henan fit-tramuntana tax-Xmara Isfar, kienet ikkunsidrata bħala l-iktar reġjun importanti tad-dinastija u rregolat direttament mis-Segretarjat Ċentrali (jew Zhongshu Sheng) f'Khanbaliq (Beijing modern); Bl-istess mod, dipartiment amministrattiv ieħor tal-ogħla livell sejjaħ il-Bureau tal-Affarijiet Buddisti u tat-Tibet (jew Xuanzheng Yuan) kellu regola amministrattiva fuq it-Tibet tal-ġurnata moderna u parti minn Sichuan, Qinghai u l-Kashmir.</v>
      </c>
    </row>
    <row r="19568" ht="15.75" customHeight="1">
      <c r="A19568" s="2" t="s">
        <v>19568</v>
      </c>
      <c r="B19568" s="2" t="str">
        <f>IFERROR(__xludf.DUMMYFUNCTION("GOOGLETRANSLATE(A19568, ""en"", ""mt"")"),"bagħat dieskau fil-Fort St Frédéric")</f>
        <v>bagħat dieskau fil-Fort St Frédéric</v>
      </c>
    </row>
    <row r="19569" ht="15.75" customHeight="1">
      <c r="A19569" s="2" t="s">
        <v>19569</v>
      </c>
      <c r="B19569" s="2" t="str">
        <f>IFERROR(__xludf.DUMMYFUNCTION("GOOGLETRANSLATE(A19569, ""en"", ""mt"")"),"Naqbad il-Qawwa")</f>
        <v>Naqbad il-Qawwa</v>
      </c>
    </row>
    <row r="19570" ht="15.75" customHeight="1">
      <c r="A19570" s="2" t="s">
        <v>19570</v>
      </c>
      <c r="B19570" s="2" t="str">
        <f>IFERROR(__xludf.DUMMYFUNCTION("GOOGLETRANSLATE(A19570, ""en"", ""mt"")"),"granuli tal-lamtu tal-amilopectin")</f>
        <v>granuli tal-lamtu tal-amilopectin</v>
      </c>
    </row>
    <row r="19571" ht="15.75" customHeight="1">
      <c r="A19571" s="2" t="s">
        <v>19571</v>
      </c>
      <c r="B19571" s="2" t="str">
        <f>IFERROR(__xludf.DUMMYFUNCTION("GOOGLETRANSLATE(A19571, ""en"", ""mt"")"),"dgħjufija fid-dixxiplina tal-iskola")</f>
        <v>dgħjufija fid-dixxiplina tal-iskola</v>
      </c>
    </row>
    <row r="19572" ht="15.75" customHeight="1">
      <c r="A19572" s="2" t="s">
        <v>19572</v>
      </c>
      <c r="B19572" s="2" t="str">
        <f>IFERROR(__xludf.DUMMYFUNCTION("GOOGLETRANSLATE(A19572, ""en"", ""mt"")"),"Komunità Filippina")</f>
        <v>Komunità Filippina</v>
      </c>
    </row>
    <row r="19573" ht="15.75" customHeight="1">
      <c r="A19573" s="2" t="s">
        <v>19573</v>
      </c>
      <c r="B19573" s="2" t="str">
        <f>IFERROR(__xludf.DUMMYFUNCTION("GOOGLETRANSLATE(A19573, ""en"", ""mt"")"),"Matul is-sekli, il-kosta tal-Kenja lagħbet ospitanti għal ħafna negozjanti u esploraturi. Fost il-bliet li jillinjaw il-kosta tal-Kenja hemm il-belt ta 'Malindi. Huwa baqa 'soluzzjoni importanti tas-Swaħili mis-seklu 14 u darba kkontesta lil Mombasa għad-"&amp;"dominanza fir-reġjun tal-Lagi l-Kbar Afrikani. Malindi tradizzjonalment kien belt tal-port ta 'ħbiberija għal poteri barranin. Fl-1414, in-negozjant Ċiniż u l-esploratur Zheng li jirrappreżenta d-dinastija Ming żar il-kosta tal-Afrika tal-Lvant f'wieħed m"&amp;"ill-aħħar ""vjaġġi tat-teżor"" tiegħu. L-awtoritajiet ta 'Malindi laqgħu l-esploratur Portugiż Vasco da Gama fl-1498.")</f>
        <v>Matul is-sekli, il-kosta tal-Kenja lagħbet ospitanti għal ħafna negozjanti u esploraturi. Fost il-bliet li jillinjaw il-kosta tal-Kenja hemm il-belt ta 'Malindi. Huwa baqa 'soluzzjoni importanti tas-Swaħili mis-seklu 14 u darba kkontesta lil Mombasa għad-dominanza fir-reġjun tal-Lagi l-Kbar Afrikani. Malindi tradizzjonalment kien belt tal-port ta 'ħbiberija għal poteri barranin. Fl-1414, in-negozjant Ċiniż u l-esploratur Zheng li jirrappreżenta d-dinastija Ming żar il-kosta tal-Afrika tal-Lvant f'wieħed mill-aħħar "vjaġġi tat-teżor" tiegħu. L-awtoritajiet ta 'Malindi laqgħu l-esploratur Portugiż Vasco da Gama fl-1498.</v>
      </c>
    </row>
    <row r="19574" ht="15.75" customHeight="1">
      <c r="A19574" s="2" t="s">
        <v>19574</v>
      </c>
      <c r="B19574" s="2" t="str">
        <f>IFERROR(__xludf.DUMMYFUNCTION("GOOGLETRANSLATE(A19574, ""en"", ""mt"")"),"Liema qorti kapaċi tinterpreta l-liġi tal-Unjoni Ewropea?")</f>
        <v>Liema qorti kapaċi tinterpreta l-liġi tal-Unjoni Ewropea?</v>
      </c>
    </row>
    <row r="19575" ht="15.75" customHeight="1">
      <c r="A19575" s="2" t="s">
        <v>19575</v>
      </c>
      <c r="B19575" s="2" t="str">
        <f>IFERROR(__xludf.DUMMYFUNCTION("GOOGLETRANSLATE(A19575, ""en"", ""mt"")"),"Pesta ordinarja tal-Lvant jew Buboniku")</f>
        <v>Pesta ordinarja tal-Lvant jew Buboniku</v>
      </c>
    </row>
    <row r="19576" ht="15.75" customHeight="1">
      <c r="A19576" s="2" t="s">
        <v>19576</v>
      </c>
      <c r="B19576" s="2" t="str">
        <f>IFERROR(__xludf.DUMMYFUNCTION("GOOGLETRANSLATE(A19576, ""en"", ""mt"")"),"Il-Paniku tal-1901")</f>
        <v>Il-Paniku tal-1901</v>
      </c>
    </row>
    <row r="19577" ht="15.75" customHeight="1">
      <c r="A19577" s="2" t="s">
        <v>19577</v>
      </c>
      <c r="B19577" s="2" t="str">
        <f>IFERROR(__xludf.DUMMYFUNCTION("GOOGLETRANSLATE(A19577, ""en"", ""mt"")"),"billejl")</f>
        <v>billejl</v>
      </c>
    </row>
    <row r="19578" ht="15.75" customHeight="1">
      <c r="A19578" s="2" t="s">
        <v>19578</v>
      </c>
      <c r="B19578" s="2" t="str">
        <f>IFERROR(__xludf.DUMMYFUNCTION("GOOGLETRANSLATE(A19578, ""en"", ""mt"")"),"Kif tissejjaħ din id-duttrina ta ’Alla li ħatret l-awtoritajiet?")</f>
        <v>Kif tissejjaħ din id-duttrina ta ’Alla li ħatret l-awtoritajiet?</v>
      </c>
    </row>
    <row r="19579" ht="15.75" customHeight="1">
      <c r="A19579" s="2" t="s">
        <v>19579</v>
      </c>
      <c r="B19579" s="2" t="str">
        <f>IFERROR(__xludf.DUMMYFUNCTION("GOOGLETRANSLATE(A19579, ""en"", ""mt"")"),"Min id-differenza fil-pagi bejn is-sessi tipprovdi vantaġġ?")</f>
        <v>Min id-differenza fil-pagi bejn is-sessi tipprovdi vantaġġ?</v>
      </c>
    </row>
    <row r="19580" ht="15.75" customHeight="1">
      <c r="A19580" s="2" t="s">
        <v>19580</v>
      </c>
      <c r="B19580" s="2" t="str">
        <f>IFERROR(__xludf.DUMMYFUNCTION("GOOGLETRANSLATE(A19580, ""en"", ""mt"")"),"mgħallem")</f>
        <v>mgħallem</v>
      </c>
    </row>
    <row r="19581" ht="15.75" customHeight="1">
      <c r="A19581" s="2" t="s">
        <v>19581</v>
      </c>
      <c r="B19581" s="2" t="str">
        <f>IFERROR(__xludf.DUMMYFUNCTION("GOOGLETRANSLATE(A19581, ""en"", ""mt"")"),"L-ekonomija tan-Nofsinhar ta 'California hija diversa u waħda mill-ikbar fl-Istati Uniti. Huwa ddominat u jiddependi ħafna mill-abbundanza ta 'pitrolju, għall-kuntrarju ta' reġjuni oħra fejn il-karozzi mhumiex daqshekk dominanti, il-maġġoranza l-kbira tat"&amp;"-trasport jimxu fuq dan il-fjuwil. In-Nofsinhar ta ’California huwa famuż għat-Turiżmu u Hollywood (film, televiżjoni, u mużika). Industriji oħra jinkludu softwer, karozzi, portijiet, finanzi, turiżmu, bijomediku, u loġistika reġjonali. Ir-reġjun kien mex"&amp;"xej fil-bużżieqa tad-djar 2001-2007, u ġie milqut ħafna mill-ħabta tad-djar.")</f>
        <v>L-ekonomija tan-Nofsinhar ta 'California hija diversa u waħda mill-ikbar fl-Istati Uniti. Huwa ddominat u jiddependi ħafna mill-abbundanza ta 'pitrolju, għall-kuntrarju ta' reġjuni oħra fejn il-karozzi mhumiex daqshekk dominanti, il-maġġoranza l-kbira tat-trasport jimxu fuq dan il-fjuwil. In-Nofsinhar ta ’California huwa famuż għat-Turiżmu u Hollywood (film, televiżjoni, u mużika). Industriji oħra jinkludu softwer, karozzi, portijiet, finanzi, turiżmu, bijomediku, u loġistika reġjonali. Ir-reġjun kien mexxej fil-bużżieqa tad-djar 2001-2007, u ġie milqut ħafna mill-ħabta tad-djar.</v>
      </c>
    </row>
    <row r="19582" ht="15.75" customHeight="1">
      <c r="A19582" s="2" t="s">
        <v>19582</v>
      </c>
      <c r="B19582" s="2" t="str">
        <f>IFERROR(__xludf.DUMMYFUNCTION("GOOGLETRANSLATE(A19582, ""en"", ""mt"")"),"Time Magazine")</f>
        <v>Time Magazine</v>
      </c>
    </row>
    <row r="19583" ht="15.75" customHeight="1">
      <c r="A19583" s="2" t="s">
        <v>19583</v>
      </c>
      <c r="B19583" s="2" t="str">
        <f>IFERROR(__xludf.DUMMYFUNCTION("GOOGLETRANSLATE(A19583, ""en"", ""mt"")"),"X'ġara bir-rata tal-fluss fir-Renu waqt il-programm ta 'rilaxx tar-Renu?")</f>
        <v>X'ġara bir-rata tal-fluss fir-Renu waqt il-programm ta 'rilaxx tar-Renu?</v>
      </c>
    </row>
    <row r="19584" ht="15.75" customHeight="1">
      <c r="A19584" s="2" t="s">
        <v>19584</v>
      </c>
      <c r="B19584" s="2" t="str">
        <f>IFERROR(__xludf.DUMMYFUNCTION("GOOGLETRANSLATE(A19584, ""en"", ""mt"")"),"l-ewwel ministru")</f>
        <v>l-ewwel ministru</v>
      </c>
    </row>
    <row r="19585" ht="15.75" customHeight="1">
      <c r="A19585" s="2" t="s">
        <v>19585</v>
      </c>
      <c r="B19585" s="2" t="str">
        <f>IFERROR(__xludf.DUMMYFUNCTION("GOOGLETRANSLATE(A19585, ""en"", ""mt"")"),"vakuole fagoċitiku")</f>
        <v>vakuole fagoċitiku</v>
      </c>
    </row>
    <row r="19586" ht="15.75" customHeight="1">
      <c r="A19586" s="2" t="s">
        <v>19586</v>
      </c>
      <c r="B19586" s="2" t="str">
        <f>IFERROR(__xludf.DUMMYFUNCTION("GOOGLETRANSLATE(A19586, ""en"", ""mt"")"),"qerda tal-foresta")</f>
        <v>qerda tal-foresta</v>
      </c>
    </row>
    <row r="19587" ht="15.75" customHeight="1">
      <c r="A19587" s="2" t="s">
        <v>19587</v>
      </c>
      <c r="B19587" s="2" t="str">
        <f>IFERROR(__xludf.DUMMYFUNCTION("GOOGLETRANSLATE(A19587, ""en"", ""mt"")"),"status superjuri għall-oħrajn kollha f'oqsma relatati mas-saħħa bħal tobba u acupuncturists")</f>
        <v>status superjuri għall-oħrajn kollha f'oqsma relatati mas-saħħa bħal tobba u acupuncturists</v>
      </c>
    </row>
    <row r="19588" ht="15.75" customHeight="1">
      <c r="A19588" s="2" t="s">
        <v>19588</v>
      </c>
      <c r="B19588" s="2" t="str">
        <f>IFERROR(__xludf.DUMMYFUNCTION("GOOGLETRANSLATE(A19588, ""en"", ""mt"")"),"unanimità")</f>
        <v>unanimità</v>
      </c>
    </row>
    <row r="19589" ht="15.75" customHeight="1">
      <c r="A19589" s="2" t="s">
        <v>19589</v>
      </c>
      <c r="B19589" s="2" t="str">
        <f>IFERROR(__xludf.DUMMYFUNCTION("GOOGLETRANSLATE(A19589, ""en"", ""mt"")"),"depożiti tas-sedimenti")</f>
        <v>depożiti tas-sedimenti</v>
      </c>
    </row>
    <row r="19590" ht="15.75" customHeight="1">
      <c r="A19590" s="2" t="s">
        <v>19590</v>
      </c>
      <c r="B19590" s="2" t="str">
        <f>IFERROR(__xludf.DUMMYFUNCTION("GOOGLETRANSLATE(A19590, ""en"", ""mt"")"),"struttura estiża")</f>
        <v>struttura estiża</v>
      </c>
    </row>
    <row r="19591" ht="15.75" customHeight="1">
      <c r="A19591" s="2" t="s">
        <v>19591</v>
      </c>
      <c r="B19591" s="2" t="str">
        <f>IFERROR(__xludf.DUMMYFUNCTION("GOOGLETRANSLATE(A19591, ""en"", ""mt"")"),"forza normali")</f>
        <v>forza normali</v>
      </c>
    </row>
    <row r="19592" ht="15.75" customHeight="1">
      <c r="A19592" s="2" t="s">
        <v>19592</v>
      </c>
      <c r="B19592" s="2" t="str">
        <f>IFERROR(__xludf.DUMMYFUNCTION("GOOGLETRANSLATE(A19592, ""en"", ""mt"")"),"Għaliex Wesley kien imġiegħel jikser il-prattika standard u jordna tnejn mill-predikaturi lajċi tiegħu bħala presbyters?")</f>
        <v>Għaliex Wesley kien imġiegħel jikser il-prattika standard u jordna tnejn mill-predikaturi lajċi tiegħu bħala presbyters?</v>
      </c>
    </row>
    <row r="19593" ht="15.75" customHeight="1">
      <c r="A19593" s="2" t="s">
        <v>19593</v>
      </c>
      <c r="B19593" s="2" t="str">
        <f>IFERROR(__xludf.DUMMYFUNCTION("GOOGLETRANSLATE(A19593, ""en"", ""mt"")"),"Petitcodiac fl-1755 u fi Bloody Creek qrib Annapolis Royal fl-1757")</f>
        <v>Petitcodiac fl-1755 u fi Bloody Creek qrib Annapolis Royal fl-1757</v>
      </c>
    </row>
    <row r="19594" ht="15.75" customHeight="1">
      <c r="A19594" s="2" t="s">
        <v>19594</v>
      </c>
      <c r="B19594" s="2" t="str">
        <f>IFERROR(__xludf.DUMMYFUNCTION("GOOGLETRANSLATE(A19594, ""en"", ""mt"")"),"Fuq xiex tonfoq Tesla l-flus ta 'Astor?")</f>
        <v>Fuq xiex tonfoq Tesla l-flus ta 'Astor?</v>
      </c>
    </row>
    <row r="19595" ht="15.75" customHeight="1">
      <c r="A19595" s="2" t="s">
        <v>19595</v>
      </c>
      <c r="B19595" s="2" t="str">
        <f>IFERROR(__xludf.DUMMYFUNCTION("GOOGLETRANSLATE(A19595, ""en"", ""mt"")"),"Il-produzzjoni ta 'liema molekuli ta' sinjalazzjoni hija rregolata mis-sistema immunitarja?")</f>
        <v>Il-produzzjoni ta 'liema molekuli ta' sinjalazzjoni hija rregolata mis-sistema immunitarja?</v>
      </c>
    </row>
    <row r="19596" ht="15.75" customHeight="1">
      <c r="A19596" s="2" t="s">
        <v>19596</v>
      </c>
      <c r="B19596" s="2" t="str">
        <f>IFERROR(__xludf.DUMMYFUNCTION("GOOGLETRANSLATE(A19596, ""en"", ""mt"")"),"Min ippreżenta oġġezzjoni lill-BBC billi tuża l-Blue Police Box fil-merkanzija Doctor Who?")</f>
        <v>Min ippreżenta oġġezzjoni lill-BBC billi tuża l-Blue Police Box fil-merkanzija Doctor Who?</v>
      </c>
    </row>
    <row r="19597" ht="15.75" customHeight="1">
      <c r="A19597" s="2" t="s">
        <v>19597</v>
      </c>
      <c r="B19597" s="2" t="str">
        <f>IFERROR(__xludf.DUMMYFUNCTION("GOOGLETRANSLATE(A19597, ""en"", ""mt"")"),"mormi")</f>
        <v>mormi</v>
      </c>
    </row>
    <row r="19598" ht="15.75" customHeight="1">
      <c r="A19598" s="2" t="s">
        <v>19598</v>
      </c>
      <c r="B19598" s="2" t="str">
        <f>IFERROR(__xludf.DUMMYFUNCTION("GOOGLETRANSLATE(A19598, ""en"", ""mt"")"),"żdied b'żieda fl-inugwaljanza tad-dħul")</f>
        <v>żdied b'żieda fl-inugwaljanza tad-dħul</v>
      </c>
    </row>
    <row r="19599" ht="15.75" customHeight="1">
      <c r="A19599" s="2" t="s">
        <v>19599</v>
      </c>
      <c r="B19599" s="2" t="str">
        <f>IFERROR(__xludf.DUMMYFUNCTION("GOOGLETRANSLATE(A19599, ""en"", ""mt"")"),"is-16")</f>
        <v>is-16</v>
      </c>
    </row>
    <row r="19600" ht="15.75" customHeight="1">
      <c r="A19600" s="2" t="s">
        <v>19600</v>
      </c>
      <c r="B19600" s="2" t="str">
        <f>IFERROR(__xludf.DUMMYFUNCTION("GOOGLETRANSLATE(A19600, ""en"", ""mt"")"),"Erba 'skejjel charter pubbliċi")</f>
        <v>Erba 'skejjel charter pubbliċi</v>
      </c>
    </row>
    <row r="19601" ht="15.75" customHeight="1">
      <c r="A19601" s="2" t="s">
        <v>19601</v>
      </c>
      <c r="B19601" s="2" t="str">
        <f>IFERROR(__xludf.DUMMYFUNCTION("GOOGLETRANSLATE(A19601, ""en"", ""mt"")"),"proprjetà tal-gvern")</f>
        <v>proprjetà tal-gvern</v>
      </c>
    </row>
    <row r="19602" ht="15.75" customHeight="1">
      <c r="A19602" s="2" t="s">
        <v>19602</v>
      </c>
      <c r="B19602" s="2" t="str">
        <f>IFERROR(__xludf.DUMMYFUNCTION("GOOGLETRANSLATE(A19602, ""en"", ""mt"")"),"persuni li għandhom ikunu magħrufa.")</f>
        <v>persuni li għandhom ikunu magħrufa.</v>
      </c>
    </row>
    <row r="19603" ht="15.75" customHeight="1">
      <c r="A19603" s="2" t="s">
        <v>19603</v>
      </c>
      <c r="B19603" s="2" t="str">
        <f>IFERROR(__xludf.DUMMYFUNCTION("GOOGLETRANSLATE(A19603, ""en"", ""mt"")"),"Bid-dawl tax-xemx, liema kompost kien ikkonċentra Priestley biex jagħmel il-gass li hu sejjaħ ""arja deflogistizzata""?")</f>
        <v>Bid-dawl tax-xemx, liema kompost kien ikkonċentra Priestley biex jagħmel il-gass li hu sejjaħ "arja deflogistizzata"?</v>
      </c>
    </row>
    <row r="19604" ht="15.75" customHeight="1">
      <c r="A19604" s="2" t="s">
        <v>19604</v>
      </c>
      <c r="B19604" s="2" t="str">
        <f>IFERROR(__xludf.DUMMYFUNCTION("GOOGLETRANSLATE(A19604, ""en"", ""mt"")"),"Il-VA, is-Servizz tas-Saħħa Indjana, u NIH")</f>
        <v>Il-VA, is-Servizz tas-Saħħa Indjana, u NIH</v>
      </c>
    </row>
    <row r="19605" ht="15.75" customHeight="1">
      <c r="A19605" s="2" t="s">
        <v>19605</v>
      </c>
      <c r="B19605" s="2" t="str">
        <f>IFERROR(__xludf.DUMMYFUNCTION("GOOGLETRANSLATE(A19605, ""en"", ""mt"")"),"fiżikament jolqot lilu")</f>
        <v>fiżikament jolqot lilu</v>
      </c>
    </row>
    <row r="19606" ht="15.75" customHeight="1">
      <c r="A19606" s="2" t="s">
        <v>19606</v>
      </c>
      <c r="B19606" s="2" t="str">
        <f>IFERROR(__xludf.DUMMYFUNCTION("GOOGLETRANSLATE(A19606, ""en"", ""mt"")"),"Meta Tesla ġiet mibgħuta lura lil Gospic?")</f>
        <v>Meta Tesla ġiet mibgħuta lura lil Gospic?</v>
      </c>
    </row>
    <row r="19607" ht="15.75" customHeight="1">
      <c r="A19607" s="2" t="s">
        <v>19607</v>
      </c>
      <c r="B19607" s="2" t="str">
        <f>IFERROR(__xludf.DUMMYFUNCTION("GOOGLETRANSLATE(A19607, ""en"", ""mt"")"),"Atlantiku")</f>
        <v>Atlantiku</v>
      </c>
    </row>
    <row r="19608" ht="15.75" customHeight="1">
      <c r="A19608" s="2" t="s">
        <v>19608</v>
      </c>
      <c r="B19608" s="2" t="str">
        <f>IFERROR(__xludf.DUMMYFUNCTION("GOOGLETRANSLATE(A19608, ""en"", ""mt"")"),"Skond l-UMC, persuni li huma dipendenti fuq il-pornografija biddlu l-perċezzjonijiet ta 'min?")</f>
        <v>Skond l-UMC, persuni li huma dipendenti fuq il-pornografija biddlu l-perċezzjonijiet ta 'min?</v>
      </c>
    </row>
    <row r="19609" ht="15.75" customHeight="1">
      <c r="A19609" s="2" t="s">
        <v>19609</v>
      </c>
      <c r="B19609" s="2" t="str">
        <f>IFERROR(__xludf.DUMMYFUNCTION("GOOGLETRANSLATE(A19609, ""en"", ""mt"")"),"X'inhi attribwita għall-inugwaljanza tad-dħul fl-Istati Uniti?")</f>
        <v>X'inhi attribwita għall-inugwaljanza tad-dħul fl-Istati Uniti?</v>
      </c>
    </row>
    <row r="19610" ht="15.75" customHeight="1">
      <c r="A19610" s="2" t="s">
        <v>19610</v>
      </c>
      <c r="B19610" s="2" t="str">
        <f>IFERROR(__xludf.DUMMYFUNCTION("GOOGLETRANSLATE(A19610, ""en"", ""mt"")"),"Liema standards tal-gvern waqqfu l-iskejjel kollha biex jiltaqgħu?")</f>
        <v>Liema standards tal-gvern waqqfu l-iskejjel kollha biex jiltaqgħu?</v>
      </c>
    </row>
    <row r="19611" ht="15.75" customHeight="1">
      <c r="A19611" s="2" t="s">
        <v>19611</v>
      </c>
      <c r="B19611" s="2" t="str">
        <f>IFERROR(__xludf.DUMMYFUNCTION("GOOGLETRANSLATE(A19611, ""en"", ""mt"")"),"Fejn jinsab l-iktar punt baxx ta 'Varsavja?")</f>
        <v>Fejn jinsab l-iktar punt baxx ta 'Varsavja?</v>
      </c>
    </row>
    <row r="19612" ht="15.75" customHeight="1">
      <c r="A19612" s="2" t="s">
        <v>19612</v>
      </c>
      <c r="B19612" s="2" t="str">
        <f>IFERROR(__xludf.DUMMYFUNCTION("GOOGLETRANSLATE(A19612, ""en"", ""mt"")"),"X'kienet parti mill-konsegwenzi tal-elezzjonijiet fl-2007?")</f>
        <v>X'kienet parti mill-konsegwenzi tal-elezzjonijiet fl-2007?</v>
      </c>
    </row>
    <row r="19613" ht="15.75" customHeight="1">
      <c r="A19613" s="2" t="s">
        <v>19613</v>
      </c>
      <c r="B19613" s="2" t="str">
        <f>IFERROR(__xludf.DUMMYFUNCTION("GOOGLETRANSLATE(A19613, ""en"", ""mt"")"),"teoriji ""ċellulari"" u ""umoristiċi""")</f>
        <v>teoriji "ċellulari" u "umoristiċi"</v>
      </c>
    </row>
    <row r="19614" ht="15.75" customHeight="1">
      <c r="A19614" s="2" t="s">
        <v>19614</v>
      </c>
      <c r="B19614" s="2" t="str">
        <f>IFERROR(__xludf.DUMMYFUNCTION("GOOGLETRANSLATE(A19614, ""en"", ""mt"")"),"Battleships Dreadnought")</f>
        <v>Battleships Dreadnought</v>
      </c>
    </row>
    <row r="19615" ht="15.75" customHeight="1">
      <c r="A19615" s="2" t="s">
        <v>19615</v>
      </c>
      <c r="B19615" s="2" t="str">
        <f>IFERROR(__xludf.DUMMYFUNCTION("GOOGLETRANSLATE(A19615, ""en"", ""mt"")"),"nofs mil")</f>
        <v>nofs mil</v>
      </c>
    </row>
    <row r="19616" ht="15.75" customHeight="1">
      <c r="A19616" s="2" t="s">
        <v>19616</v>
      </c>
      <c r="B19616" s="2" t="str">
        <f>IFERROR(__xludf.DUMMYFUNCTION("GOOGLETRANSLATE(A19616, ""en"", ""mt"")"),"Liema Khanates kienu kkonvertew għall-Iżlam?")</f>
        <v>Liema Khanates kienu kkonvertew għall-Iżlam?</v>
      </c>
    </row>
    <row r="19617" ht="15.75" customHeight="1">
      <c r="A19617" s="2" t="s">
        <v>19617</v>
      </c>
      <c r="B19617" s="2" t="str">
        <f>IFERROR(__xludf.DUMMYFUNCTION("GOOGLETRANSLATE(A19617, ""en"", ""mt"")"),"In-naħa tan-Nofsinhar tal-Ġnien")</f>
        <v>In-naħa tan-Nofsinhar tal-Ġnien</v>
      </c>
    </row>
    <row r="19618" ht="15.75" customHeight="1">
      <c r="A19618" s="2" t="s">
        <v>19618</v>
      </c>
      <c r="B19618" s="2" t="str">
        <f>IFERROR(__xludf.DUMMYFUNCTION("GOOGLETRANSLATE(A19618, ""en"", ""mt"")"),"Min huma s-subordinati mhux eletti tal-gvernijiet tal-istat membri?")</f>
        <v>Min huma s-subordinati mhux eletti tal-gvernijiet tal-istat membri?</v>
      </c>
    </row>
    <row r="19619" ht="15.75" customHeight="1">
      <c r="A19619" s="2" t="s">
        <v>19619</v>
      </c>
      <c r="B19619" s="2" t="str">
        <f>IFERROR(__xludf.DUMMYFUNCTION("GOOGLETRANSLATE(A19619, ""en"", ""mt"")"),"CBSSPORTS")</f>
        <v>CBSSPORTS</v>
      </c>
    </row>
    <row r="19620" ht="15.75" customHeight="1">
      <c r="A19620" s="2" t="s">
        <v>19620</v>
      </c>
      <c r="B19620" s="2" t="str">
        <f>IFERROR(__xludf.DUMMYFUNCTION("GOOGLETRANSLATE(A19620, ""en"", ""mt"")"),"Matul liema perjodu reġgħet fetħet it-Teatru tat-Torri?")</f>
        <v>Matul liema perjodu reġgħet fetħet it-Teatru tat-Torri?</v>
      </c>
    </row>
    <row r="19621" ht="15.75" customHeight="1">
      <c r="A19621" s="2" t="s">
        <v>19621</v>
      </c>
      <c r="B19621" s="2" t="str">
        <f>IFERROR(__xludf.DUMMYFUNCTION("GOOGLETRANSLATE(A19621, ""en"", ""mt"")"),"il-Baħar l-Aħmar")</f>
        <v>il-Baħar l-Aħmar</v>
      </c>
    </row>
    <row r="19622" ht="15.75" customHeight="1">
      <c r="A19622" s="2" t="s">
        <v>19622</v>
      </c>
      <c r="B19622" s="2" t="str">
        <f>IFERROR(__xludf.DUMMYFUNCTION("GOOGLETRANSLATE(A19622, ""en"", ""mt"")"),"$ 57,000")</f>
        <v>$ 57,000</v>
      </c>
    </row>
    <row r="19623" ht="15.75" customHeight="1">
      <c r="A19623" s="2" t="s">
        <v>19623</v>
      </c>
      <c r="B19623" s="2" t="str">
        <f>IFERROR(__xludf.DUMMYFUNCTION("GOOGLETRANSLATE(A19623, ""en"", ""mt"")"),"Kumplessità tal-ħin tal-agħar każ")</f>
        <v>Kumplessità tal-ħin tal-agħar każ</v>
      </c>
    </row>
    <row r="19624" ht="15.75" customHeight="1">
      <c r="A19624" s="2" t="s">
        <v>19624</v>
      </c>
      <c r="B19624" s="2" t="str">
        <f>IFERROR(__xludf.DUMMYFUNCTION("GOOGLETRANSLATE(A19624, ""en"", ""mt"")"),"Meta Kibaki u Odinga kantaw ftehim dwar il-formazzjoni tal-gvern?")</f>
        <v>Meta Kibaki u Odinga kantaw ftehim dwar il-formazzjoni tal-gvern?</v>
      </c>
    </row>
    <row r="19625" ht="15.75" customHeight="1">
      <c r="A19625" s="2" t="s">
        <v>19625</v>
      </c>
      <c r="B19625" s="2" t="str">
        <f>IFERROR(__xludf.DUMMYFUNCTION("GOOGLETRANSLATE(A19625, ""en"", ""mt"")"),"San Lawrence u Mississippi Watersheds, għamlu negozju ma 'tribujiet lokali, u ħafna drabi żżewġu nisa Indjani")</f>
        <v>San Lawrence u Mississippi Watersheds, għamlu negozju ma 'tribujiet lokali, u ħafna drabi żżewġu nisa Indjani</v>
      </c>
    </row>
    <row r="19626" ht="15.75" customHeight="1">
      <c r="A19626" s="2" t="s">
        <v>19626</v>
      </c>
      <c r="B19626" s="2" t="str">
        <f>IFERROR(__xludf.DUMMYFUNCTION("GOOGLETRANSLATE(A19626, ""en"", ""mt"")"),"Strument xjentifiku orbitali")</f>
        <v>Strument xjentifiku orbitali</v>
      </c>
    </row>
    <row r="19627" ht="15.75" customHeight="1">
      <c r="A19627" s="2" t="s">
        <v>19627</v>
      </c>
      <c r="B19627" s="2" t="str">
        <f>IFERROR(__xludf.DUMMYFUNCTION("GOOGLETRANSLATE(A19627, ""en"", ""mt"")"),"lejn iċ-ċentru tal-passaġġ mgħawweġ")</f>
        <v>lejn iċ-ċentru tal-passaġġ mgħawweġ</v>
      </c>
    </row>
    <row r="19628" ht="15.75" customHeight="1">
      <c r="A19628" s="2" t="s">
        <v>19628</v>
      </c>
      <c r="B19628" s="2" t="str">
        <f>IFERROR(__xludf.DUMMYFUNCTION("GOOGLETRANSLATE(A19628, ""en"", ""mt"")"),"Waħda mill-applikazzjonijiet l-aktar notevoli tat-teknoloġija tal-istampar kienet il-Chao, il-flus tal-karta tal-wan. Chao kienu magħmula mill-qoxra tas-siġar taċ-ċawsli. Il-gvern tal-wan uża injam tal-injam biex jistampa l-flus tal-karti, iżda qalbu għal"&amp;" pjanċi tal-bronż fl-1275. Il-Mongoli esperimentaw bl-istabbiliment tas-sistema monetarja tal-karti fl-istil Ċiniż fit-territorji kkontrollati mill-Mongolja barra miċ-Ċina. Il-Ministru tal-Yuan Bolad intbagħat lill-Iran, fejn spjega l-flus tal-karti tal-Y"&amp;"uan lill-Qorti tal-IL-Khanate ta 'Gaykhatu. Il-gvern IL-Khanate ħareġ flus fuq il-karta fl-1294, iżda l-fiduċja pubblika tal-munita ġdida eżotika ddestinat l-esperiment.")</f>
        <v>Waħda mill-applikazzjonijiet l-aktar notevoli tat-teknoloġija tal-istampar kienet il-Chao, il-flus tal-karta tal-wan. Chao kienu magħmula mill-qoxra tas-siġar taċ-ċawsli. Il-gvern tal-wan uża injam tal-injam biex jistampa l-flus tal-karti, iżda qalbu għal pjanċi tal-bronż fl-1275. Il-Mongoli esperimentaw bl-istabbiliment tas-sistema monetarja tal-karti fl-istil Ċiniż fit-territorji kkontrollati mill-Mongolja barra miċ-Ċina. Il-Ministru tal-Yuan Bolad intbagħat lill-Iran, fejn spjega l-flus tal-karti tal-Yuan lill-Qorti tal-IL-Khanate ta 'Gaykhatu. Il-gvern IL-Khanate ħareġ flus fuq il-karta fl-1294, iżda l-fiduċja pubblika tal-munita ġdida eżotika ddestinat l-esperiment.</v>
      </c>
    </row>
    <row r="19629" ht="15.75" customHeight="1">
      <c r="A19629" s="2" t="s">
        <v>19629</v>
      </c>
      <c r="B19629" s="2" t="str">
        <f>IFERROR(__xludf.DUMMYFUNCTION("GOOGLETRANSLATE(A19629, ""en"", ""mt"")"),"Huwa ġie megħlub")</f>
        <v>Huwa ġie megħlub</v>
      </c>
    </row>
    <row r="19630" ht="15.75" customHeight="1">
      <c r="A19630" s="2" t="s">
        <v>19630</v>
      </c>
      <c r="B19630" s="2" t="str">
        <f>IFERROR(__xludf.DUMMYFUNCTION("GOOGLETRANSLATE(A19630, ""en"", ""mt"")"),"Fotosintesi")</f>
        <v>Fotosintesi</v>
      </c>
    </row>
    <row r="19631" ht="15.75" customHeight="1">
      <c r="A19631" s="2" t="s">
        <v>19631</v>
      </c>
      <c r="B19631" s="2" t="str">
        <f>IFERROR(__xludf.DUMMYFUNCTION("GOOGLETRANSLATE(A19631, ""en"", ""mt"")"),"Il-Ġermanja u l-Iskandinavja")</f>
        <v>Il-Ġermanja u l-Iskandinavja</v>
      </c>
    </row>
    <row r="19632" ht="15.75" customHeight="1">
      <c r="A19632" s="2" t="s">
        <v>19632</v>
      </c>
      <c r="B19632" s="2" t="str">
        <f>IFERROR(__xludf.DUMMYFUNCTION("GOOGLETRANSLATE(A19632, ""en"", ""mt"")"),"sinjur u tajjeb soċjalment")</f>
        <v>sinjur u tajjeb soċjalment</v>
      </c>
    </row>
    <row r="19633" ht="15.75" customHeight="1">
      <c r="A19633" s="2" t="s">
        <v>19633</v>
      </c>
      <c r="B19633" s="2" t="str">
        <f>IFERROR(__xludf.DUMMYFUNCTION("GOOGLETRANSLATE(A19633, ""en"", ""mt"")"),"Ajruplani VTOL")</f>
        <v>Ajruplani VTOL</v>
      </c>
    </row>
    <row r="19634" ht="15.75" customHeight="1">
      <c r="A19634" s="2" t="s">
        <v>19634</v>
      </c>
      <c r="B19634" s="2" t="str">
        <f>IFERROR(__xludf.DUMMYFUNCTION("GOOGLETRANSLATE(A19634, ""en"", ""mt"")"),"Minn fejn il-president ħatar membri tal-kabinett?")</f>
        <v>Minn fejn il-president ħatar membri tal-kabinett?</v>
      </c>
    </row>
    <row r="19635" ht="15.75" customHeight="1">
      <c r="A19635" s="2" t="s">
        <v>19635</v>
      </c>
      <c r="B19635" s="2" t="str">
        <f>IFERROR(__xludf.DUMMYFUNCTION("GOOGLETRANSLATE(A19635, ""en"", ""mt"")"),"Fil-Buddiżmu Tibetan l-għalliema ta ’Dharma fit-Tibet huma l-aktar imsejħa lama. Lama li għandha permezz ta ’Phowa u Siddhi konxjament determinati li jerġgħu jinbdew, ħafna drabi ħafna drabi, sabiex ikomplu l-vow bodhisattva tagħhom jissejjaħ Tulku.")</f>
        <v>Fil-Buddiżmu Tibetan l-għalliema ta ’Dharma fit-Tibet huma l-aktar imsejħa lama. Lama li għandha permezz ta ’Phowa u Siddhi konxjament determinati li jerġgħu jinbdew, ħafna drabi ħafna drabi, sabiex ikomplu l-vow bodhisattva tagħhom jissejjaħ Tulku.</v>
      </c>
    </row>
    <row r="19636" ht="15.75" customHeight="1">
      <c r="A19636" s="2" t="s">
        <v>19636</v>
      </c>
      <c r="B19636" s="2" t="str">
        <f>IFERROR(__xludf.DUMMYFUNCTION("GOOGLETRANSLATE(A19636, ""en"", ""mt"")"),"deni isfar")</f>
        <v>deni isfar</v>
      </c>
    </row>
    <row r="19637" ht="15.75" customHeight="1">
      <c r="A19637" s="2" t="s">
        <v>19637</v>
      </c>
      <c r="B19637" s="2" t="str">
        <f>IFERROR(__xludf.DUMMYFUNCTION("GOOGLETRANSLATE(A19637, ""en"", ""mt"")"),"Strument finanzjarju li jista 'jintuża f'numru kbir ta' negozjanti u wkoll ippermetta lid-detenturi tal-kard iduru bilanċ")</f>
        <v>Strument finanzjarju li jista 'jintuża f'numru kbir ta' negozjanti u wkoll ippermetta lid-detenturi tal-kard iduru bilanċ</v>
      </c>
    </row>
    <row r="19638" ht="15.75" customHeight="1">
      <c r="A19638" s="2" t="s">
        <v>19638</v>
      </c>
      <c r="B19638" s="2" t="str">
        <f>IFERROR(__xludf.DUMMYFUNCTION("GOOGLETRANSLATE(A19638, ""en"", ""mt"")"),"mhux dejjem")</f>
        <v>mhux dejjem</v>
      </c>
    </row>
    <row r="19639" ht="15.75" customHeight="1">
      <c r="A19639" s="2" t="s">
        <v>19639</v>
      </c>
      <c r="B19639" s="2" t="str">
        <f>IFERROR(__xludf.DUMMYFUNCTION("GOOGLETRANSLATE(A19639, ""en"", ""mt"")"),"Kieku (kif argumentajt il-WWF), il-livelli tal-popolazzjoni jibdew jinżlu għal livell sostenibbli")</f>
        <v>Kieku (kif argumentajt il-WWF), il-livelli tal-popolazzjoni jibdew jinżlu għal livell sostenibbli</v>
      </c>
    </row>
    <row r="19640" ht="15.75" customHeight="1">
      <c r="A19640" s="2" t="s">
        <v>19640</v>
      </c>
      <c r="B19640" s="2" t="str">
        <f>IFERROR(__xludf.DUMMYFUNCTION("GOOGLETRANSLATE(A19640, ""en"", ""mt"")"),"kbir")</f>
        <v>kbir</v>
      </c>
    </row>
    <row r="19641" ht="15.75" customHeight="1">
      <c r="A19641" s="2" t="s">
        <v>19641</v>
      </c>
      <c r="B19641" s="2" t="str">
        <f>IFERROR(__xludf.DUMMYFUNCTION("GOOGLETRANSLATE(A19641, ""en"", ""mt"")"),"Ġesù Kristu twieled Lhudi")</f>
        <v>Ġesù Kristu twieled Lhudi</v>
      </c>
    </row>
    <row r="19642" ht="15.75" customHeight="1">
      <c r="A19642" s="2" t="s">
        <v>19642</v>
      </c>
      <c r="B19642" s="2" t="str">
        <f>IFERROR(__xludf.DUMMYFUNCTION("GOOGLETRANSLATE(A19642, ""en"", ""mt"")"),"intern")</f>
        <v>intern</v>
      </c>
    </row>
    <row r="19643" ht="15.75" customHeight="1">
      <c r="A19643" s="2" t="s">
        <v>19643</v>
      </c>
      <c r="B19643" s="2" t="str">
        <f>IFERROR(__xludf.DUMMYFUNCTION("GOOGLETRANSLATE(A19643, ""en"", ""mt"")"),"Għawwiema iżgħar u aktar dgħajfa bħal rotifers u molluski u larva tal-krustaċji")</f>
        <v>Għawwiema iżgħar u aktar dgħajfa bħal rotifers u molluski u larva tal-krustaċji</v>
      </c>
    </row>
    <row r="19644" ht="15.75" customHeight="1">
      <c r="A19644" s="2" t="s">
        <v>19644</v>
      </c>
      <c r="B19644" s="2" t="str">
        <f>IFERROR(__xludf.DUMMYFUNCTION("GOOGLETRANSLATE(A19644, ""en"", ""mt"")"),"Il-ħakkiem Karluk Kara-Khanid")</f>
        <v>Il-ħakkiem Karluk Kara-Khanid</v>
      </c>
    </row>
    <row r="19645" ht="15.75" customHeight="1">
      <c r="A19645" s="2" t="s">
        <v>19645</v>
      </c>
      <c r="B19645" s="2" t="str">
        <f>IFERROR(__xludf.DUMMYFUNCTION("GOOGLETRANSLATE(A19645, ""en"", ""mt"")"),"X’għandhom l-aqwa 400 Amerikani l-aktar sinjuri minn nofs l-Amerikani kollha?")</f>
        <v>X’għandhom l-aqwa 400 Amerikani l-aktar sinjuri minn nofs l-Amerikani kollha?</v>
      </c>
    </row>
    <row r="19646" ht="15.75" customHeight="1">
      <c r="A19646" s="2" t="s">
        <v>19646</v>
      </c>
      <c r="B19646" s="2" t="str">
        <f>IFERROR(__xludf.DUMMYFUNCTION("GOOGLETRANSLATE(A19646, ""en"", ""mt"")"),"ċirku")</f>
        <v>ċirku</v>
      </c>
    </row>
    <row r="19647" ht="15.75" customHeight="1">
      <c r="A19647" s="2" t="s">
        <v>19647</v>
      </c>
      <c r="B19647" s="2" t="str">
        <f>IFERROR(__xludf.DUMMYFUNCTION("GOOGLETRANSLATE(A19647, ""en"", ""mt"")"),"Preżentazzjoni tal-antiġen")</f>
        <v>Preżentazzjoni tal-antiġen</v>
      </c>
    </row>
    <row r="19648" ht="15.75" customHeight="1">
      <c r="A19648" s="2" t="s">
        <v>19648</v>
      </c>
      <c r="B19648" s="2" t="str">
        <f>IFERROR(__xludf.DUMMYFUNCTION("GOOGLETRANSLATE(A19648, ""en"", ""mt"")"),"Fil-bidu tal-Olokene (~ 11,700 sena ilu), ir-Renu okkupa l-wied tal-glaċjali tard tiegħu. Bħala xmara meandering, hija maħduma mill-ġdid tagħha Braidplain tal-età tas-silġ. Hekk kif il-livell tal-baħar kompla jiżdied fl-Olanda, bdiet il-formazzjoni tad-de"&amp;"lta tal-Meuse Rhine-Meuse Holocene (~ 8,000 sena ilu). Żieda assoluta fil-livell tal-baħar assolut u sussidju tettoniku influwenzaw sew l-evoluzzjoni tad-delta. Fatturi oħra ta 'importanza għall-forma tad-delta huma l-attivitajiet tettoniċi lokali tat-tor"&amp;"t tal-konfini tal-qoxra, is-sottostrat u l-ġeomorfoloġija, kif jintirtu mill-aħħar dinamika glaċjali u kostali-marini, bħalma huma l-formazzjonijiet ta' barriera u tal-marea tad-dħul.")</f>
        <v>Fil-bidu tal-Olokene (~ 11,700 sena ilu), ir-Renu okkupa l-wied tal-glaċjali tard tiegħu. Bħala xmara meandering, hija maħduma mill-ġdid tagħha Braidplain tal-età tas-silġ. Hekk kif il-livell tal-baħar kompla jiżdied fl-Olanda, bdiet il-formazzjoni tad-delta tal-Meuse Rhine-Meuse Holocene (~ 8,000 sena ilu). Żieda assoluta fil-livell tal-baħar assolut u sussidju tettoniku influwenzaw sew l-evoluzzjoni tad-delta. Fatturi oħra ta 'importanza għall-forma tad-delta huma l-attivitajiet tettoniċi lokali tat-tort tal-konfini tal-qoxra, is-sottostrat u l-ġeomorfoloġija, kif jintirtu mill-aħħar dinamika glaċjali u kostali-marini, bħalma huma l-formazzjonijiet ta' barriera u tal-marea tad-dħul.</v>
      </c>
    </row>
    <row r="19649" ht="15.75" customHeight="1">
      <c r="A19649" s="2" t="s">
        <v>19649</v>
      </c>
      <c r="B19649" s="2" t="str">
        <f>IFERROR(__xludf.DUMMYFUNCTION("GOOGLETRANSLATE(A19649, ""en"", ""mt"")"),"Twelid ġdid")</f>
        <v>Twelid ġdid</v>
      </c>
    </row>
    <row r="19650" ht="15.75" customHeight="1">
      <c r="A19650" s="2" t="s">
        <v>19650</v>
      </c>
      <c r="B19650" s="2" t="str">
        <f>IFERROR(__xludf.DUMMYFUNCTION("GOOGLETRANSLATE(A19650, ""en"", ""mt"")"),"X'inhu tip ta 'diżubbidjenza kontra l-gvern federali?")</f>
        <v>X'inhu tip ta 'diżubbidjenza kontra l-gvern federali?</v>
      </c>
    </row>
    <row r="19651" ht="15.75" customHeight="1">
      <c r="A19651" s="2" t="s">
        <v>19651</v>
      </c>
      <c r="B19651" s="2" t="str">
        <f>IFERROR(__xludf.DUMMYFUNCTION("GOOGLETRANSLATE(A19651, ""en"", ""mt"")"),"X'tip ta 'valur ikollu l-funzjoni Zeta jekk ikun hemm primes finiti?")</f>
        <v>X'tip ta 'valur ikollu l-funzjoni Zeta jekk ikun hemm primes finiti?</v>
      </c>
    </row>
    <row r="19652" ht="15.75" customHeight="1">
      <c r="A19652" s="2" t="s">
        <v>19652</v>
      </c>
      <c r="B19652" s="2" t="str">
        <f>IFERROR(__xludf.DUMMYFUNCTION("GOOGLETRANSLATE(A19652, ""en"", ""mt"")"),"Fejn huma ddikjarati kwistjonijiet riservati fl-Att tal-Iskozja?")</f>
        <v>Fejn huma ddikjarati kwistjonijiet riservati fl-Att tal-Iskozja?</v>
      </c>
    </row>
    <row r="19653" ht="15.75" customHeight="1">
      <c r="A19653" s="2" t="s">
        <v>19653</v>
      </c>
      <c r="B19653" s="2" t="str">
        <f>IFERROR(__xludf.DUMMYFUNCTION("GOOGLETRANSLATE(A19653, ""en"", ""mt"")"),"Wied tar-Renu Nofsani")</f>
        <v>Wied tar-Renu Nofsani</v>
      </c>
    </row>
    <row r="19654" ht="15.75" customHeight="1">
      <c r="A19654" s="2" t="s">
        <v>19654</v>
      </c>
      <c r="B19654" s="2" t="str">
        <f>IFERROR(__xludf.DUMMYFUNCTION("GOOGLETRANSLATE(A19654, ""en"", ""mt"")"),"L-industrija taċ-ċinema, it-televiżjoni u l-mużika hija ċċentrata fuq il-Los Angeles fin-Nofsinhar ta ’California. Hollywood, distrett fi ħdan Los Angeles, huwa wkoll isem assoċjat mal-industrija tal-istampi taċ-ċinema. Bil-kwartjieri ġenerali fin-Nofsinh"&amp;"ar tal-Kalifornja huma l-Walt Disney Company (li hija wkoll il-proprjetarja ABC), Sony Pictures, Universal, MGM, Paramount Pictures, 20th Century Fox, u Warner Brothers. Universal, Warner Brothers, u Sony jmexxu wkoll kumpaniji tad-diski ewlenin ukoll.")</f>
        <v>L-industrija taċ-ċinema, it-televiżjoni u l-mużika hija ċċentrata fuq il-Los Angeles fin-Nofsinhar ta ’California. Hollywood, distrett fi ħdan Los Angeles, huwa wkoll isem assoċjat mal-industrija tal-istampi taċ-ċinema. Bil-kwartjieri ġenerali fin-Nofsinhar tal-Kalifornja huma l-Walt Disney Company (li hija wkoll il-proprjetarja ABC), Sony Pictures, Universal, MGM, Paramount Pictures, 20th Century Fox, u Warner Brothers. Universal, Warner Brothers, u Sony jmexxu wkoll kumpaniji tad-diski ewlenin ukoll.</v>
      </c>
    </row>
    <row r="19655" ht="15.75" customHeight="1">
      <c r="A19655" s="2" t="s">
        <v>19655</v>
      </c>
      <c r="B19655" s="2" t="str">
        <f>IFERROR(__xludf.DUMMYFUNCTION("GOOGLETRANSLATE(A19655, ""en"", ""mt"")"),"L-università tmexxi numru ta 'istituzzjonijiet u programmi akkademiċi apparti mill-iskejjel li għadhom ma ggradwawx u post-universitarji tagħha. Topera l-Iskejjel tal-Laboratorju tal-Università ta ’Chicago (skola ta’ ġurnata privata għall-istudenti tal-K-"&amp;"12 u l-kura ta ’kuljum), l-Iskola Ortogenika ta’ Sonia Shankman (programm ta ’trattament residenzjali għal dawk bi problemi ta’ mġieba u emozzjonali), u erba ’skejjel charter pubbliċi fin-Nofsinhar fin-nofsinhar In-naħa ta 'Chicago amministrata mill-Istit"&amp;"ut tal-Edukazzjoni Urbana tal-Università. Barra minn hekk, l-Iskola Hyde Park Day, skola għal studenti b'diżabilità fit-tagħlim, iżżomm post fil-kampus tal-Università ta 'Chicago. Mill-1983, l-Università ta ’Chicago żammet il-Proġett tal-Matematika tal-Is"&amp;"kola tal-Università ta’ Chicago, programm tal-matematika użat fl-iskejjel primarji u sekondarji urbani. L-università tmexxi programm imsejjaħ il-Kunsill dwar Studji Avvanzati fix-Xjenzi Soċjali u l-Umanistika, li jamministra workshops interdixxiplinarji b"&amp;"iex jipprovdi forum għal studenti gradwati, fakultà, u studjużi li jżuru biex jippreżentaw xogħol akkademiku li għaddej. L-università topera wkoll l-Università ta ’Chicago Press, l-akbar stampa tal-università fl-Istati Uniti.")</f>
        <v>L-università tmexxi numru ta 'istituzzjonijiet u programmi akkademiċi apparti mill-iskejjel li għadhom ma ggradwawx u post-universitarji tagħha. Topera l-Iskejjel tal-Laboratorju tal-Università ta ’Chicago (skola ta’ ġurnata privata għall-istudenti tal-K-12 u l-kura ta ’kuljum), l-Iskola Ortogenika ta’ Sonia Shankman (programm ta ’trattament residenzjali għal dawk bi problemi ta’ mġieba u emozzjonali), u erba ’skejjel charter pubbliċi fin-Nofsinhar fin-nofsinhar In-naħa ta 'Chicago amministrata mill-Istitut tal-Edukazzjoni Urbana tal-Università. Barra minn hekk, l-Iskola Hyde Park Day, skola għal studenti b'diżabilità fit-tagħlim, iżżomm post fil-kampus tal-Università ta 'Chicago. Mill-1983, l-Università ta ’Chicago żammet il-Proġett tal-Matematika tal-Iskola tal-Università ta’ Chicago, programm tal-matematika użat fl-iskejjel primarji u sekondarji urbani. L-università tmexxi programm imsejjaħ il-Kunsill dwar Studji Avvanzati fix-Xjenzi Soċjali u l-Umanistika, li jamministra workshops interdixxiplinarji biex jipprovdi forum għal studenti gradwati, fakultà, u studjużi li jżuru biex jippreżentaw xogħol akkademiku li għaddej. L-università topera wkoll l-Università ta ’Chicago Press, l-akbar stampa tal-università fl-Istati Uniti.</v>
      </c>
    </row>
    <row r="19656" ht="15.75" customHeight="1">
      <c r="A19656" s="2" t="s">
        <v>19656</v>
      </c>
      <c r="B19656" s="2" t="str">
        <f>IFERROR(__xludf.DUMMYFUNCTION("GOOGLETRANSLATE(A19656, ""en"", ""mt"")"),"l-Istati Uniti")</f>
        <v>l-Istati Uniti</v>
      </c>
    </row>
    <row r="19657" ht="15.75" customHeight="1">
      <c r="A19657" s="2" t="s">
        <v>19657</v>
      </c>
      <c r="B19657" s="2" t="str">
        <f>IFERROR(__xludf.DUMMYFUNCTION("GOOGLETRANSLATE(A19657, ""en"", ""mt"")"),"Ir-raġuni għall-ordni tal-klassijiet u r-raġuni għala n-nies tqiegħdu f'ċerta klassi kienet id-data li ċedew lill-Mongoli, u ma kellhom xejn x'jaqsmu mal-etniċità tagħhom. Iktar kmieni huma ċedew lill-Mongoli, iktar ma tqiegħdu, iktar ma jinżammu barra, i"&amp;"ktar ikunu baxxi. Iċ-Ċiniżi tat-Tramuntana kienu kklassifikati ogħla u ċ-Ċiniżi tan-Nofsinhar kienu kklassifikati aktar baxxi minħabba li ċ-Ċina tan-Nofsinhar nisslet u ġġieldet għall-aħħar qabel ma ttawwal. Il-kummerċ maġġuri matul din l-era wassal għal "&amp;"kundizzjonijiet favorevoli għall-manifatturi u n-negozjanti privati ​​tan-Nofsinhar Ċiniżi.")</f>
        <v>Ir-raġuni għall-ordni tal-klassijiet u r-raġuni għala n-nies tqiegħdu f'ċerta klassi kienet id-data li ċedew lill-Mongoli, u ma kellhom xejn x'jaqsmu mal-etniċità tagħhom. Iktar kmieni huma ċedew lill-Mongoli, iktar ma tqiegħdu, iktar ma jinżammu barra, iktar ikunu baxxi. Iċ-Ċiniżi tat-Tramuntana kienu kklassifikati ogħla u ċ-Ċiniżi tan-Nofsinhar kienu kklassifikati aktar baxxi minħabba li ċ-Ċina tan-Nofsinhar nisslet u ġġieldet għall-aħħar qabel ma ttawwal. Il-kummerċ maġġuri matul din l-era wassal għal kundizzjonijiet favorevoli għall-manifatturi u n-negozjanti privati ​​tan-Nofsinhar Ċiniżi.</v>
      </c>
    </row>
    <row r="19658" ht="15.75" customHeight="1">
      <c r="A19658" s="2" t="s">
        <v>19658</v>
      </c>
      <c r="B19658" s="2" t="str">
        <f>IFERROR(__xludf.DUMMYFUNCTION("GOOGLETRANSLATE(A19658, ""en"", ""mt"")"),"Negozjanti Ġenesi")</f>
        <v>Negozjanti Ġenesi</v>
      </c>
    </row>
    <row r="19659" ht="15.75" customHeight="1">
      <c r="A19659" s="2" t="s">
        <v>19659</v>
      </c>
      <c r="B19659" s="2" t="str">
        <f>IFERROR(__xludf.DUMMYFUNCTION("GOOGLETRANSLATE(A19659, ""en"", ""mt"")"),"21 ta 'Mejju, 2013,")</f>
        <v>21 ta 'Mejju, 2013,</v>
      </c>
    </row>
    <row r="19660" ht="15.75" customHeight="1">
      <c r="A19660" s="2" t="s">
        <v>19660</v>
      </c>
      <c r="B19660" s="2" t="str">
        <f>IFERROR(__xludf.DUMMYFUNCTION("GOOGLETRANSLATE(A19660, ""en"", ""mt"")"),"90% sa 93%")</f>
        <v>90% sa 93%</v>
      </c>
    </row>
    <row r="19661" ht="15.75" customHeight="1">
      <c r="A19661" s="2" t="s">
        <v>19661</v>
      </c>
      <c r="B19661" s="2" t="str">
        <f>IFERROR(__xludf.DUMMYFUNCTION("GOOGLETRANSLATE(A19661, ""en"", ""mt"")"),"Awwissu 1999")</f>
        <v>Awwissu 1999</v>
      </c>
    </row>
    <row r="19662" ht="15.75" customHeight="1">
      <c r="A19662" s="2" t="s">
        <v>19662</v>
      </c>
      <c r="B19662" s="2" t="str">
        <f>IFERROR(__xludf.DUMMYFUNCTION("GOOGLETRANSLATE(A19662, ""en"", ""mt"")"),"Assoċjazzjoni Medika Amerikana")</f>
        <v>Assoċjazzjoni Medika Amerikana</v>
      </c>
    </row>
    <row r="19663" ht="15.75" customHeight="1">
      <c r="A19663" s="2" t="s">
        <v>19663</v>
      </c>
      <c r="B19663" s="2" t="str">
        <f>IFERROR(__xludf.DUMMYFUNCTION("GOOGLETRANSLATE(A19663, ""en"", ""mt"")"),"Il-Palazz Kronenberg kien eżempju eċċezzjonali ta 'liema tip ta' arkitettura?")</f>
        <v>Il-Palazz Kronenberg kien eżempju eċċezzjonali ta 'liema tip ta' arkitettura?</v>
      </c>
    </row>
    <row r="19664" ht="15.75" customHeight="1">
      <c r="A19664" s="2" t="s">
        <v>19664</v>
      </c>
      <c r="B19664" s="2" t="str">
        <f>IFERROR(__xludf.DUMMYFUNCTION("GOOGLETRANSLATE(A19664, ""en"", ""mt"")"),"Kemm nazzjonijiet jikkontrollaw dan ir-reġjun b'kollox?")</f>
        <v>Kemm nazzjonijiet jikkontrollaw dan ir-reġjun b'kollox?</v>
      </c>
    </row>
    <row r="19665" ht="15.75" customHeight="1">
      <c r="A19665" s="2" t="s">
        <v>19665</v>
      </c>
      <c r="B19665" s="2" t="str">
        <f>IFERROR(__xludf.DUMMYFUNCTION("GOOGLETRANSLATE(A19665, ""en"", ""mt"")"),"Il-familja medja tal-garnizon tal-Mongolja tad-dinastija Yuan tidher li għexet ħajja ta 'divertiment rurali li qed titmermer, bi dħul mill-ħsad tal-kerrejja Ċiniżi tagħhom li jittieklu mill-ispejjeż tat-tagħmir u l-ispedizzjoni tal-irġiel għat-tours tad-d"&amp;"mir tagħhom. Il-Mongoli pprattikaw l-iskjavitù tad-dejn, u sal-1290 fil-partijiet kollha tal-Imperu Mongolja li kienu jbigħu lil uliedhom fl-iskjavitù. Meta jara dan bħala li jagħmel ħsara għan-nazzjon Mongol, Kublai fl-1291 ipprojbixxa l-bejgħ barra mill"&amp;"-pajjiż tal-Mongoli. Kublai xtaq jipperswadi liċ-Ċiniżi li kien qed isir dejjem aktar siniċizzat waqt li żamm il-kredenzjali Mongoljani tiegħu man-nies tiegħu stess. Huwa waqqaf amministrazzjoni ċivili biex tiddeċiedi, bena kapital fiċ-Ċina, appoġġa reliġ"&amp;"jonijiet u kultura Ċiniżi, u fassal istituzzjonijiet ekonomiċi u politiċi xierqa għall-qorti. Iżda fl-istess ħin huwa qatt ma abbanduna l-wirt Mongoljan tiegħu.")</f>
        <v>Il-familja medja tal-garnizon tal-Mongolja tad-dinastija Yuan tidher li għexet ħajja ta 'divertiment rurali li qed titmermer, bi dħul mill-ħsad tal-kerrejja Ċiniżi tagħhom li jittieklu mill-ispejjeż tat-tagħmir u l-ispedizzjoni tal-irġiel għat-tours tad-dmir tagħhom. Il-Mongoli pprattikaw l-iskjavitù tad-dejn, u sal-1290 fil-partijiet kollha tal-Imperu Mongolja li kienu jbigħu lil uliedhom fl-iskjavitù. Meta jara dan bħala li jagħmel ħsara għan-nazzjon Mongol, Kublai fl-1291 ipprojbixxa l-bejgħ barra mill-pajjiż tal-Mongoli. Kublai xtaq jipperswadi liċ-Ċiniżi li kien qed isir dejjem aktar siniċizzat waqt li żamm il-kredenzjali Mongoljani tiegħu man-nies tiegħu stess. Huwa waqqaf amministrazzjoni ċivili biex tiddeċiedi, bena kapital fiċ-Ċina, appoġġa reliġjonijiet u kultura Ċiniżi, u fassal istituzzjonijiet ekonomiċi u politiċi xierqa għall-qorti. Iżda fl-istess ħin huwa qatt ma abbanduna l-wirt Mongoljan tiegħu.</v>
      </c>
    </row>
    <row r="19666" ht="15.75" customHeight="1">
      <c r="A19666" s="2" t="s">
        <v>19666</v>
      </c>
      <c r="B19666" s="2" t="str">
        <f>IFERROR(__xludf.DUMMYFUNCTION("GOOGLETRANSLATE(A19666, ""en"", ""mt"")"),"Negozju Qabbad")</f>
        <v>Negozju Qabbad</v>
      </c>
    </row>
    <row r="19667" ht="15.75" customHeight="1">
      <c r="A19667" s="2" t="s">
        <v>19667</v>
      </c>
      <c r="B19667" s="2" t="str">
        <f>IFERROR(__xludf.DUMMYFUNCTION("GOOGLETRANSLATE(A19667, ""en"", ""mt"")"),"Kif irreaġixxa Vaudreuil meta Johnson kien meqjus bħala theddida akbar?")</f>
        <v>Kif irreaġixxa Vaudreuil meta Johnson kien meqjus bħala theddida akbar?</v>
      </c>
    </row>
    <row r="19668" ht="15.75" customHeight="1">
      <c r="A19668" s="2" t="s">
        <v>19668</v>
      </c>
      <c r="B19668" s="2" t="str">
        <f>IFERROR(__xludf.DUMMYFUNCTION("GOOGLETRANSLATE(A19668, ""en"", ""mt"")"),"Il-Programm tal-Ambjent tan-Nazzjonijiet Uniti (UNEP) u l-Organizzazzjoni Meteoroloġika Dinjija (WMO)")</f>
        <v>Il-Programm tal-Ambjent tan-Nazzjonijiet Uniti (UNEP) u l-Organizzazzjoni Meteoroloġika Dinjija (WMO)</v>
      </c>
    </row>
    <row r="19669" ht="15.75" customHeight="1">
      <c r="A19669" s="2" t="s">
        <v>19669</v>
      </c>
      <c r="B19669" s="2" t="str">
        <f>IFERROR(__xludf.DUMMYFUNCTION("GOOGLETRANSLATE(A19669, ""en"", ""mt"")"),"Pressjonijiet totali baxxi użati")</f>
        <v>Pressjonijiet totali baxxi użati</v>
      </c>
    </row>
    <row r="19670" ht="15.75" customHeight="1">
      <c r="A19670" s="2" t="s">
        <v>19670</v>
      </c>
      <c r="B19670" s="2" t="str">
        <f>IFERROR(__xludf.DUMMYFUNCTION("GOOGLETRANSLATE(A19670, ""en"", ""mt"")"),"Fis-snin 1910, il-produtturi tal-films ibbażati fi New York ġew attirati mill-klima sħuna ta 'Jacksonville, postijiet eżotiċi, aċċess ferrovjarju eċċellenti, u xogħol irħis. Matul id-deċennju, ġew stabbiliti aktar minn 30 studios tal-films siekta, li jaqi"&amp;"lgħu lil Jacksonville it-titlu ta '""Winter Film Capital of the World"". Madankollu, il-ħolqien ta 'Hollywood bħala ċentru ewlieni tal-produzzjoni tal-films temm l-industrija tal-films tal-belt. Sit ta 'studju tal-films konvertit, Norman Studios, jibqa' f"&amp;"'Arlington; Ġie kkonvertit għall-Mużew tal-Films Silent Jacksonville fi Norman Studios.")</f>
        <v>Fis-snin 1910, il-produtturi tal-films ibbażati fi New York ġew attirati mill-klima sħuna ta 'Jacksonville, postijiet eżotiċi, aċċess ferrovjarju eċċellenti, u xogħol irħis. Matul id-deċennju, ġew stabbiliti aktar minn 30 studios tal-films siekta, li jaqilgħu lil Jacksonville it-titlu ta '"Winter Film Capital of the World". Madankollu, il-ħolqien ta 'Hollywood bħala ċentru ewlieni tal-produzzjoni tal-films temm l-industrija tal-films tal-belt. Sit ta 'studju tal-films konvertit, Norman Studios, jibqa' f'Arlington; Ġie kkonvertit għall-Mużew tal-Films Silent Jacksonville fi Norman Studios.</v>
      </c>
    </row>
    <row r="19671" ht="15.75" customHeight="1">
      <c r="A19671" s="2" t="s">
        <v>19671</v>
      </c>
      <c r="B19671" s="2" t="str">
        <f>IFERROR(__xludf.DUMMYFUNCTION("GOOGLETRANSLATE(A19671, ""en"", ""mt"")"),"X'inhi t-twettiq ewlieni ta 'Genghis Khan li l-Mongoljani moderni jiċċelebraw?")</f>
        <v>X'inhi t-twettiq ewlieni ta 'Genghis Khan li l-Mongoljani moderni jiċċelebraw?</v>
      </c>
    </row>
    <row r="19672" ht="15.75" customHeight="1">
      <c r="A19672" s="2" t="s">
        <v>19672</v>
      </c>
      <c r="B19672" s="2" t="str">
        <f>IFERROR(__xludf.DUMMYFUNCTION("GOOGLETRANSLATE(A19672, ""en"", ""mt"")"),"Minn fejn ġie trasferit Von Braun biex imur in-NASA?")</f>
        <v>Minn fejn ġie trasferit Von Braun biex imur in-NASA?</v>
      </c>
    </row>
    <row r="19673" ht="15.75" customHeight="1">
      <c r="A19673" s="2" t="s">
        <v>19673</v>
      </c>
      <c r="B19673" s="2" t="str">
        <f>IFERROR(__xludf.DUMMYFUNCTION("GOOGLETRANSLATE(A19673, ""en"", ""mt"")"),"Hu li jagħmel affarijiet kbar.")</f>
        <v>Hu li jagħmel affarijiet kbar.</v>
      </c>
    </row>
    <row r="19674" ht="15.75" customHeight="1">
      <c r="A19674" s="2" t="s">
        <v>19674</v>
      </c>
      <c r="B19674" s="2" t="str">
        <f>IFERROR(__xludf.DUMMYFUNCTION("GOOGLETRANSLATE(A19674, ""en"", ""mt"")"),"ħafna poteri imperjali")</f>
        <v>ħafna poteri imperjali</v>
      </c>
    </row>
    <row r="19675" ht="15.75" customHeight="1">
      <c r="A19675" s="2" t="s">
        <v>19675</v>
      </c>
      <c r="B19675" s="2" t="str">
        <f>IFERROR(__xludf.DUMMYFUNCTION("GOOGLETRANSLATE(A19675, ""en"", ""mt"")"),"X'kien il-proporzjon ta 'Huguenots għall-Kattoliċi fil-quċċata tagħhom?")</f>
        <v>X'kien il-proporzjon ta 'Huguenots għall-Kattoliċi fil-quċċata tagħhom?</v>
      </c>
    </row>
    <row r="19676" ht="15.75" customHeight="1">
      <c r="A19676" s="2" t="s">
        <v>19676</v>
      </c>
      <c r="B19676" s="2" t="str">
        <f>IFERROR(__xludf.DUMMYFUNCTION("GOOGLETRANSLATE(A19676, ""en"", ""mt"")"),"sistema kurrenti alternattiva")</f>
        <v>sistema kurrenti alternattiva</v>
      </c>
    </row>
    <row r="19677" ht="15.75" customHeight="1">
      <c r="A19677" s="2" t="s">
        <v>19677</v>
      </c>
      <c r="B19677" s="2" t="str">
        <f>IFERROR(__xludf.DUMMYFUNCTION("GOOGLETRANSLATE(A19677, ""en"", ""mt"")"),"Il-forza tal-lira għandha kontroparti metrika, inqas użata minn Newton: il-kilogramma-forza (KGF) (xi kultant kilopond), hija l-forza eżerċitata mill-gravità standard fuq kilogramma waħda ta 'massa. Il-forza tal-kilogramma twassal għal unità alternattiva,"&amp;" iżda rarament użata ta 'massa: il-bużba tal-metrika (xi kultant mug jew hyl) hija dik il-massa li taċċellera f'1 m · s - 2 meta tkun soġġetta għal forza ta' 1 kgf. Il-forza tal-kilogramma mhix parti mis-sistema SI moderna, u ġeneralment tinqata '; Madank"&amp;"ollu għadu jara l-użu għal xi skopijiet bħala li jesprimi l-piż tal-inġenji tal-ajru, l-imbuttatura tal-ġett, it-tensjoni tat-tkellmet bir-roti, is-settings tal-wrench tat-torque u t-torque tal-ħruġ tal-magna. Unitajiet oħra ta 'forza arkani jinkludu l-st"&amp;"hène, li huwa ekwivalenti għal 1000 N, u l-kip, li huwa ekwivalenti għal 1000 lbf.")</f>
        <v>Il-forza tal-lira għandha kontroparti metrika, inqas użata minn Newton: il-kilogramma-forza (KGF) (xi kultant kilopond), hija l-forza eżerċitata mill-gravità standard fuq kilogramma waħda ta 'massa. Il-forza tal-kilogramma twassal għal unità alternattiva, iżda rarament użata ta 'massa: il-bużba tal-metrika (xi kultant mug jew hyl) hija dik il-massa li taċċellera f'1 m · s - 2 meta tkun soġġetta għal forza ta' 1 kgf. Il-forza tal-kilogramma mhix parti mis-sistema SI moderna, u ġeneralment tinqata '; Madankollu għadu jara l-użu għal xi skopijiet bħala li jesprimi l-piż tal-inġenji tal-ajru, l-imbuttatura tal-ġett, it-tensjoni tat-tkellmet bir-roti, is-settings tal-wrench tat-torque u t-torque tal-ħruġ tal-magna. Unitajiet oħra ta 'forza arkani jinkludu l-sthène, li huwa ekwivalenti għal 1000 N, u l-kip, li huwa ekwivalenti għal 1000 lbf.</v>
      </c>
    </row>
    <row r="19678" ht="15.75" customHeight="1">
      <c r="A19678" s="2" t="s">
        <v>19678</v>
      </c>
      <c r="B19678" s="2" t="str">
        <f>IFERROR(__xludf.DUMMYFUNCTION("GOOGLETRANSLATE(A19678, ""en"", ""mt"")"),"X'kien il-mudell dominanti tad-djar meta ċ-ċentri industrijali kienu qed jikbru l-iktar malajr?")</f>
        <v>X'kien il-mudell dominanti tad-djar meta ċ-ċentri industrijali kienu qed jikbru l-iktar malajr?</v>
      </c>
    </row>
    <row r="19679" ht="15.75" customHeight="1">
      <c r="A19679" s="2" t="s">
        <v>19679</v>
      </c>
      <c r="B19679" s="2" t="str">
        <f>IFERROR(__xludf.DUMMYFUNCTION("GOOGLETRANSLATE(A19679, ""en"", ""mt"")"),"X'jikkawża repulsjoni ta 'Pauli?")</f>
        <v>X'jikkawża repulsjoni ta 'Pauli?</v>
      </c>
    </row>
    <row r="19680" ht="15.75" customHeight="1">
      <c r="A19680" s="2" t="s">
        <v>19680</v>
      </c>
      <c r="B19680" s="2" t="str">
        <f>IFERROR(__xludf.DUMMYFUNCTION("GOOGLETRANSLATE(A19680, ""en"", ""mt"")"),"X'tip ta 'żoni forestali jistgħu jinstabu fuq l-ogħla terrazzin?")</f>
        <v>X'tip ta 'żoni forestali jistgħu jinstabu fuq l-ogħla terrazzin?</v>
      </c>
    </row>
    <row r="19681" ht="15.75" customHeight="1">
      <c r="A19681" s="2" t="s">
        <v>19681</v>
      </c>
      <c r="B19681" s="2" t="str">
        <f>IFERROR(__xludf.DUMMYFUNCTION("GOOGLETRANSLATE(A19681, ""en"", ""mt"")"),"Triq Griż")</f>
        <v>Triq Griż</v>
      </c>
    </row>
    <row r="19682" ht="15.75" customHeight="1">
      <c r="A19682" s="2" t="s">
        <v>19682</v>
      </c>
      <c r="B19682" s="2" t="str">
        <f>IFERROR(__xludf.DUMMYFUNCTION("GOOGLETRANSLATE(A19682, ""en"", ""mt"")"),"Fl-1735, fejn jgħallmu John u Charles Wesley fl-Amerika?")</f>
        <v>Fl-1735, fejn jgħallmu John u Charles Wesley fl-Amerika?</v>
      </c>
    </row>
    <row r="19683" ht="15.75" customHeight="1">
      <c r="A19683" s="2" t="s">
        <v>19683</v>
      </c>
      <c r="B19683" s="2" t="str">
        <f>IFERROR(__xludf.DUMMYFUNCTION("GOOGLETRANSLATE(A19683, ""en"", ""mt"")"),"Telespettaturi tad-dar li għamlu reġistrazzjonijiet tat-tejp")</f>
        <v>Telespettaturi tad-dar li għamlu reġistrazzjonijiet tat-tejp</v>
      </c>
    </row>
    <row r="19684" ht="15.75" customHeight="1">
      <c r="A19684" s="2" t="s">
        <v>19684</v>
      </c>
      <c r="B19684" s="2" t="str">
        <f>IFERROR(__xludf.DUMMYFUNCTION("GOOGLETRANSLATE(A19684, ""en"", ""mt"")"),"Il-Mewt ta ’Elisabeth Sladen")</f>
        <v>Il-Mewt ta ’Elisabeth Sladen</v>
      </c>
    </row>
    <row r="19685" ht="15.75" customHeight="1">
      <c r="A19685" s="2" t="s">
        <v>19685</v>
      </c>
      <c r="B19685" s="2" t="str">
        <f>IFERROR(__xludf.DUMMYFUNCTION("GOOGLETRANSLATE(A19685, ""en"", ""mt"")"),"Bejn liema żminijiet l-Amerika ta 'Good Morning Air fuq ABC?")</f>
        <v>Bejn liema żminijiet l-Amerika ta 'Good Morning Air fuq ABC?</v>
      </c>
    </row>
    <row r="19686" ht="15.75" customHeight="1">
      <c r="A19686" s="2" t="s">
        <v>19686</v>
      </c>
      <c r="B19686" s="2" t="str">
        <f>IFERROR(__xludf.DUMMYFUNCTION("GOOGLETRANSLATE(A19686, ""en"", ""mt"")"),"Min jipprovdi l-kont tal-kwantitajiet?")</f>
        <v>Min jipprovdi l-kont tal-kwantitajiet?</v>
      </c>
    </row>
    <row r="19687" ht="15.75" customHeight="1">
      <c r="A19687" s="2" t="s">
        <v>19687</v>
      </c>
      <c r="B19687" s="2" t="str">
        <f>IFERROR(__xludf.DUMMYFUNCTION("GOOGLETRANSLATE(A19687, ""en"", ""mt"")"),"Krater tal-impatt tal-mikrometeoroid")</f>
        <v>Krater tal-impatt tal-mikrometeoroid</v>
      </c>
    </row>
    <row r="19688" ht="15.75" customHeight="1">
      <c r="A19688" s="2" t="s">
        <v>19688</v>
      </c>
      <c r="B19688" s="2" t="str">
        <f>IFERROR(__xludf.DUMMYFUNCTION("GOOGLETRANSLATE(A19688, ""en"", ""mt"")"),"aktar minn 14,000")</f>
        <v>aktar minn 14,000</v>
      </c>
    </row>
    <row r="19689" ht="15.75" customHeight="1">
      <c r="A19689" s="2" t="s">
        <v>19689</v>
      </c>
      <c r="B19689" s="2" t="str">
        <f>IFERROR(__xludf.DUMMYFUNCTION("GOOGLETRANSLATE(A19689, ""en"", ""mt"")"),"X'inhu eżempju tal-Katidral ta 'San Ġwann, stilistikament?")</f>
        <v>X'inhu eżempju tal-Katidral ta 'San Ġwann, stilistikament?</v>
      </c>
    </row>
    <row r="19690" ht="15.75" customHeight="1">
      <c r="A19690" s="2" t="s">
        <v>19690</v>
      </c>
      <c r="B19690" s="2" t="str">
        <f>IFERROR(__xludf.DUMMYFUNCTION("GOOGLETRANSLATE(A19690, ""en"", ""mt"")"),"Xmara San Ġwann")</f>
        <v>Xmara San Ġwann</v>
      </c>
    </row>
    <row r="19691" ht="15.75" customHeight="1">
      <c r="A19691" s="2" t="s">
        <v>19691</v>
      </c>
      <c r="B19691" s="2" t="str">
        <f>IFERROR(__xludf.DUMMYFUNCTION("GOOGLETRANSLATE(A19691, ""en"", ""mt"")"),"Frederick William, Elettur ta 'Brandenburg, stieden lil Huguenots biex joqgħod fl-isfera tiegħu, u numru tad-dixxendenti tagħhom tela' għal pożizzjonijiet ta 'prominenza fil-Prussja. Bosta figuri militari, kulturali u politiċi prominenti Ġermaniżi kienu e"&amp;"tniċi Huguenot, inkluż il-poeta Theodor Fontane, il-Ġeneral Hermann von François, l-eroj tal-ewwel battalja tal-Gwerra Dinjija ta 'Tannenberg, Luftwaffe Ġenerali u l-ġlied Ace Adolf Galland, Luftwaffe Flying Ace Hans-Joachim Marsile , u famuż kaptan tad-d"&amp;"għajsa U-Lothar von Arnauld de la Perière. L-aħħar Prim Ministru tar-Repubblika Demokratika Ġermaniża (tal-Lvant), Lothar de Maizière, huwa wkoll dixxendent ta 'familja Huguenot, kif inhu l-Ministru Federali Ġermaniż ta' l-Intern, Thomas de Maizière.")</f>
        <v>Frederick William, Elettur ta 'Brandenburg, stieden lil Huguenots biex joqgħod fl-isfera tiegħu, u numru tad-dixxendenti tagħhom tela' għal pożizzjonijiet ta 'prominenza fil-Prussja. Bosta figuri militari, kulturali u politiċi prominenti Ġermaniżi kienu etniċi Huguenot, inkluż il-poeta Theodor Fontane, il-Ġeneral Hermann von François, l-eroj tal-ewwel battalja tal-Gwerra Dinjija ta 'Tannenberg, Luftwaffe Ġenerali u l-ġlied Ace Adolf Galland, Luftwaffe Flying Ace Hans-Joachim Marsile , u famuż kaptan tad-dgħajsa U-Lothar von Arnauld de la Perière. L-aħħar Prim Ministru tar-Repubblika Demokratika Ġermaniża (tal-Lvant), Lothar de Maizière, huwa wkoll dixxendent ta 'familja Huguenot, kif inhu l-Ministru Federali Ġermaniż ta' l-Intern, Thomas de Maizière.</v>
      </c>
    </row>
    <row r="19692" ht="15.75" customHeight="1">
      <c r="A19692" s="2" t="s">
        <v>19692</v>
      </c>
      <c r="B19692" s="2" t="str">
        <f>IFERROR(__xludf.DUMMYFUNCTION("GOOGLETRANSLATE(A19692, ""en"", ""mt"")"),"Kemm aktar ossiġnu jinħall f'0 gradi C milli f'20 grad C?")</f>
        <v>Kemm aktar ossiġnu jinħall f'0 gradi C milli f'20 grad C?</v>
      </c>
    </row>
    <row r="19693" ht="15.75" customHeight="1">
      <c r="A19693" s="2" t="s">
        <v>19693</v>
      </c>
      <c r="B19693" s="2" t="str">
        <f>IFERROR(__xludf.DUMMYFUNCTION("GOOGLETRANSLATE(A19693, ""en"", ""mt"")"),"Konċentrazzjoni tal-ġid")</f>
        <v>Konċentrazzjoni tal-ġid</v>
      </c>
    </row>
    <row r="19694" ht="15.75" customHeight="1">
      <c r="A19694" s="2" t="s">
        <v>19694</v>
      </c>
      <c r="B19694" s="2" t="str">
        <f>IFERROR(__xludf.DUMMYFUNCTION("GOOGLETRANSLATE(A19694, ""en"", ""mt"")"),"Servizz mobbli NFL.")</f>
        <v>Servizz mobbli NFL.</v>
      </c>
    </row>
    <row r="19695" ht="15.75" customHeight="1">
      <c r="A19695" s="2" t="s">
        <v>19695</v>
      </c>
      <c r="B19695" s="2" t="str">
        <f>IFERROR(__xludf.DUMMYFUNCTION("GOOGLETRANSLATE(A19695, ""en"", ""mt"")"),"X'inhi l-profezija f'Daniel li interessa lil Luther?")</f>
        <v>X'inhi l-profezija f'Daniel li interessa lil Luther?</v>
      </c>
    </row>
    <row r="19696" ht="15.75" customHeight="1">
      <c r="A19696" s="2" t="s">
        <v>19696</v>
      </c>
      <c r="B19696" s="2" t="str">
        <f>IFERROR(__xludf.DUMMYFUNCTION("GOOGLETRANSLATE(A19696, ""en"", ""mt"")"),"Ktibt dak?")</f>
        <v>Ktibt dak?</v>
      </c>
    </row>
    <row r="19697" ht="15.75" customHeight="1">
      <c r="A19697" s="2" t="s">
        <v>19697</v>
      </c>
      <c r="B19697" s="2" t="str">
        <f>IFERROR(__xludf.DUMMYFUNCTION("GOOGLETRANSLATE(A19697, ""en"", ""mt"")"),"Sistema tat-taxxa")</f>
        <v>Sistema tat-taxxa</v>
      </c>
    </row>
    <row r="19698" ht="15.75" customHeight="1">
      <c r="A19698" s="2" t="s">
        <v>19698</v>
      </c>
      <c r="B19698" s="2" t="str">
        <f>IFERROR(__xludf.DUMMYFUNCTION("GOOGLETRANSLATE(A19698, ""en"", ""mt"")"),"Cyanobacterium fotosintetiku li kien maħkum minn ċellula ewkarjotika bikrija")</f>
        <v>Cyanobacterium fotosintetiku li kien maħkum minn ċellula ewkarjotika bikrija</v>
      </c>
    </row>
    <row r="19699" ht="15.75" customHeight="1">
      <c r="A19699" s="2" t="s">
        <v>19699</v>
      </c>
      <c r="B19699" s="2" t="str">
        <f>IFERROR(__xludf.DUMMYFUNCTION("GOOGLETRANSLATE(A19699, ""en"", ""mt"")"),"Għaliex qed tuża O2 minflok CO2 inqas effiċjenti?")</f>
        <v>Għaliex qed tuża O2 minflok CO2 inqas effiċjenti?</v>
      </c>
    </row>
    <row r="19700" ht="15.75" customHeight="1">
      <c r="A19700" s="2" t="s">
        <v>19700</v>
      </c>
      <c r="B19700" s="2" t="str">
        <f>IFERROR(__xludf.DUMMYFUNCTION("GOOGLETRANSLATE(A19700, ""en"", ""mt"")"),"Is-salarji tal-għalliema jitħallsu mill-istat")</f>
        <v>Is-salarji tal-għalliema jitħallsu mill-istat</v>
      </c>
    </row>
    <row r="19701" ht="15.75" customHeight="1">
      <c r="A19701" s="2" t="s">
        <v>19701</v>
      </c>
      <c r="B19701" s="2" t="str">
        <f>IFERROR(__xludf.DUMMYFUNCTION("GOOGLETRANSLATE(A19701, ""en"", ""mt"")"),"Kampijiet PNU u ODM")</f>
        <v>Kampijiet PNU u ODM</v>
      </c>
    </row>
    <row r="19702" ht="15.75" customHeight="1">
      <c r="A19702" s="2" t="s">
        <v>19702</v>
      </c>
      <c r="B19702" s="2" t="str">
        <f>IFERROR(__xludf.DUMMYFUNCTION("GOOGLETRANSLATE(A19702, ""en"", ""mt"")"),"Padlocking il-bibien")</f>
        <v>Padlocking il-bibien</v>
      </c>
    </row>
    <row r="19703" ht="15.75" customHeight="1">
      <c r="A19703" s="2" t="s">
        <v>19703</v>
      </c>
      <c r="B19703" s="2" t="str">
        <f>IFERROR(__xludf.DUMMYFUNCTION("GOOGLETRANSLATE(A19703, ""en"", ""mt"")"),"b'aktar minn 100%")</f>
        <v>b'aktar minn 100%</v>
      </c>
    </row>
    <row r="19704" ht="15.75" customHeight="1">
      <c r="A19704" s="2" t="s">
        <v>19704</v>
      </c>
      <c r="B19704" s="2" t="str">
        <f>IFERROR(__xludf.DUMMYFUNCTION("GOOGLETRANSLATE(A19704, ""en"", ""mt"")"),"Liema knisja tmexxi xi skejjel privati ​​fir-Rabat?")</f>
        <v>Liema knisja tmexxi xi skejjel privati ​​fir-Rabat?</v>
      </c>
    </row>
    <row r="19705" ht="15.75" customHeight="1">
      <c r="A19705" s="2" t="s">
        <v>19705</v>
      </c>
      <c r="B19705" s="2" t="str">
        <f>IFERROR(__xludf.DUMMYFUNCTION("GOOGLETRANSLATE(A19705, ""en"", ""mt"")"),"temp")</f>
        <v>temp</v>
      </c>
    </row>
    <row r="19706" ht="15.75" customHeight="1">
      <c r="A19706" s="2" t="s">
        <v>19706</v>
      </c>
      <c r="B19706" s="2" t="str">
        <f>IFERROR(__xludf.DUMMYFUNCTION("GOOGLETRANSLATE(A19706, ""en"", ""mt"")"),"Liema direzzjoni jgħumu Ctenophore?")</f>
        <v>Liema direzzjoni jgħumu Ctenophore?</v>
      </c>
    </row>
    <row r="19707" ht="15.75" customHeight="1">
      <c r="A19707" s="2" t="s">
        <v>19707</v>
      </c>
      <c r="B19707" s="2" t="str">
        <f>IFERROR(__xludf.DUMMYFUNCTION("GOOGLETRANSLATE(A19707, ""en"", ""mt"")"),"Jekk hux li tinvoka ħati jew le")</f>
        <v>Jekk hux li tinvoka ħati jew le</v>
      </c>
    </row>
    <row r="19708" ht="15.75" customHeight="1">
      <c r="A19708" s="2" t="s">
        <v>19708</v>
      </c>
      <c r="B19708" s="2" t="str">
        <f>IFERROR(__xludf.DUMMYFUNCTION("GOOGLETRANSLATE(A19708, ""en"", ""mt"")"),"In-Nofsinhar ta ’California tikkonsisti f’waħda mill-kollezzjonijiet l-aktar varjati ta’ pajsaġġi ta ’ekosistema ġeoloġika, topografika u naturali f’diversità li taqbeż reġjuni ewlenin oħra fl-istat u fil-pajjiż. Ir-reġjun jifrex mill-gżejjer tal-Oċean Pa"&amp;"ċifiku, xtut, bajjiet, u pjanuri kostali, permezz tal-meded trasversali u peninsulari bil-qċaċet tagħhom, fil-widien interni kbar u żgħar, għad-deżerti vasti ta 'California.")</f>
        <v>In-Nofsinhar ta ’California tikkonsisti f’waħda mill-kollezzjonijiet l-aktar varjati ta’ pajsaġġi ta ’ekosistema ġeoloġika, topografika u naturali f’diversità li taqbeż reġjuni ewlenin oħra fl-istat u fil-pajjiż. Ir-reġjun jifrex mill-gżejjer tal-Oċean Paċifiku, xtut, bajjiet, u pjanuri kostali, permezz tal-meded trasversali u peninsulari bil-qċaċet tagħhom, fil-widien interni kbar u żgħar, għad-deżerti vasti ta 'California.</v>
      </c>
    </row>
    <row r="19709" ht="15.75" customHeight="1">
      <c r="A19709" s="2" t="s">
        <v>19709</v>
      </c>
      <c r="B19709" s="2" t="str">
        <f>IFERROR(__xludf.DUMMYFUNCTION("GOOGLETRANSLATE(A19709, ""en"", ""mt"")"),"Saħħtu marret għall-agħar")</f>
        <v>Saħħtu marret għall-agħar</v>
      </c>
    </row>
    <row r="19710" ht="15.75" customHeight="1">
      <c r="A19710" s="2" t="s">
        <v>19710</v>
      </c>
      <c r="B19710" s="2" t="str">
        <f>IFERROR(__xludf.DUMMYFUNCTION("GOOGLETRANSLATE(A19710, ""en"", ""mt"")"),"privattivi")</f>
        <v>privattivi</v>
      </c>
    </row>
    <row r="19711" ht="15.75" customHeight="1">
      <c r="A19711" s="2" t="s">
        <v>19711</v>
      </c>
      <c r="B19711" s="2" t="str">
        <f>IFERROR(__xludf.DUMMYFUNCTION("GOOGLETRANSLATE(A19711, ""en"", ""mt"")"),"Minbarra kmamar tal-perjodu, il-kollezzjoni tinkludi partijiet mill-bini, pereżempju ż-żewġ stejjer ta 'fuq tal-faċċata tad-dar ta' Sir Paul Pindar datata C1600 minn Bishopsgate b'xogħol ta 'injam imnaqqax b'mod elaborat u twieqi taċ-ċomb, sopravissut rar"&amp;"i tan-nar kbir ta' Londra, Hemm portal tal-briks minn dar ta ’Londra tal-perjodu ta’ restawr Ingliż u nar mill-gallerija ta ’Northumberland House. Eżempji Ewropej jinkludu tieqa tad-dormer datata 1523-35 mill-Chateau tal-Montal. Hemm bosta eżempji minn bi"&amp;"ni ta 'rinaxximent Taljan inklużi, portali, fuklari, gallariji u buffet tal-ġebel li kien ikollu funtana mibnija. Il-gallerija tal-arkitettura ewlenija għandha serje ta 'pilastri minn diversi bini u perjodi differenti, pereżempju kolonna mill-Alhambra. Eż"&amp;"empji li jkopru l-Asja jinsabu f'dawk il-galleriji kkonċernati ma 'dawk il-pajjiżi, kif ukoll mudelli u ritratti fil-gallerija tal-arkitettura ewlenija.")</f>
        <v>Minbarra kmamar tal-perjodu, il-kollezzjoni tinkludi partijiet mill-bini, pereżempju ż-żewġ stejjer ta 'fuq tal-faċċata tad-dar ta' Sir Paul Pindar datata C1600 minn Bishopsgate b'xogħol ta 'injam imnaqqax b'mod elaborat u twieqi taċ-ċomb, sopravissut rari tan-nar kbir ta' Londra, Hemm portal tal-briks minn dar ta ’Londra tal-perjodu ta’ restawr Ingliż u nar mill-gallerija ta ’Northumberland House. Eżempji Ewropej jinkludu tieqa tad-dormer datata 1523-35 mill-Chateau tal-Montal. Hemm bosta eżempji minn bini ta 'rinaxximent Taljan inklużi, portali, fuklari, gallariji u buffet tal-ġebel li kien ikollu funtana mibnija. Il-gallerija tal-arkitettura ewlenija għandha serje ta 'pilastri minn diversi bini u perjodi differenti, pereżempju kolonna mill-Alhambra. Eżempji li jkopru l-Asja jinsabu f'dawk il-galleriji kkonċernati ma 'dawk il-pajjiżi, kif ukoll mudelli u ritratti fil-gallerija tal-arkitettura ewlenija.</v>
      </c>
    </row>
    <row r="19712" ht="15.75" customHeight="1">
      <c r="A19712" s="2" t="s">
        <v>19712</v>
      </c>
      <c r="B19712" s="2" t="str">
        <f>IFERROR(__xludf.DUMMYFUNCTION("GOOGLETRANSLATE(A19712, ""en"", ""mt"")"),"F'liema faċilità tal-università prattikaw il-Panthers?")</f>
        <v>F'liema faċilità tal-università prattikaw il-Panthers?</v>
      </c>
    </row>
    <row r="19713" ht="15.75" customHeight="1">
      <c r="A19713" s="2" t="s">
        <v>19713</v>
      </c>
      <c r="B19713" s="2" t="str">
        <f>IFERROR(__xludf.DUMMYFUNCTION("GOOGLETRANSLATE(A19713, ""en"", ""mt"")"),"Drogo")</f>
        <v>Drogo</v>
      </c>
    </row>
    <row r="19714" ht="15.75" customHeight="1">
      <c r="A19714" s="2" t="s">
        <v>19714</v>
      </c>
      <c r="B19714" s="2" t="str">
        <f>IFERROR(__xludf.DUMMYFUNCTION("GOOGLETRANSLATE(A19714, ""en"", ""mt"")"),"Il-foresta tropikali rnexxielha tiffjorixxi matul il-perjodi glaċjali?")</f>
        <v>Il-foresta tropikali rnexxielha tiffjorixxi matul il-perjodi glaċjali?</v>
      </c>
    </row>
    <row r="19715" ht="15.75" customHeight="1">
      <c r="A19715" s="2" t="s">
        <v>19715</v>
      </c>
      <c r="B19715" s="2" t="str">
        <f>IFERROR(__xludf.DUMMYFUNCTION("GOOGLETRANSLATE(A19715, ""en"", ""mt"")"),"Il-patoġeni jistgħu jevolvu malajr u jadattaw, u b'hekk jevitaw is-sejbien u n-newtralizzazzjoni mis-sistema immunitarja; Madankollu, mekkaniżmi ta 'difiża multipli evolvew ukoll biex jirrikonoxxu u jinnewtralizzaw il-patoġeni. Anke organiżmi uniċellulari"&amp;" sempliċi bħal batterji għandhom sistema immuni rudimentarja, fil-forma ta 'enzimi li jipproteġu kontra infezzjonijiet tal-batterjofagi. Mekkaniżmi immuni bażiċi oħra evolvew fl-ewkarioti tal-qedem u jibqgħu fid-dixxendenti moderni tagħhom, bħal pjanti u "&amp;"invertebrati. Dawn il-mekkaniżmi jinkludu fagoċitosi, peptidi antimikrobiċi msejħa difensini, u s-sistema ta 'komplement. Il-vertebrati tax-xedaq, inklużi l-bnedmin, għandhom mekkaniżmi ta 'difiża saħansitra aktar sofistikati, inkluża l-abbiltà li tadatta"&amp;" maż-żmien biex tirrikonoxxi patoġeni speċifiċi b'mod aktar effiċjenti. L-immunità adattiva (jew akkwistata) toħloq memorja immunoloġika wara rispons inizjali għal patoġen speċifiku, li jwassal għal rispons imtejjeb għal inkontri sussegwenti bl-istess pat"&amp;"oġen. Dan il-proċess ta 'immunità akkwistata huwa l-bażi tat-tilqima.")</f>
        <v>Il-patoġeni jistgħu jevolvu malajr u jadattaw, u b'hekk jevitaw is-sejbien u n-newtralizzazzjoni mis-sistema immunitarja; Madankollu, mekkaniżmi ta 'difiża multipli evolvew ukoll biex jirrikonoxxu u jinnewtralizzaw il-patoġeni. Anke organiżmi uniċellulari sempliċi bħal batterji għandhom sistema immuni rudimentarja, fil-forma ta 'enzimi li jipproteġu kontra infezzjonijiet tal-batterjofagi. Mekkaniżmi immuni bażiċi oħra evolvew fl-ewkarioti tal-qedem u jibqgħu fid-dixxendenti moderni tagħhom, bħal pjanti u invertebrati. Dawn il-mekkaniżmi jinkludu fagoċitosi, peptidi antimikrobiċi msejħa difensini, u s-sistema ta 'komplement. Il-vertebrati tax-xedaq, inklużi l-bnedmin, għandhom mekkaniżmi ta 'difiża saħansitra aktar sofistikati, inkluża l-abbiltà li tadatta maż-żmien biex tirrikonoxxi patoġeni speċifiċi b'mod aktar effiċjenti. L-immunità adattiva (jew akkwistata) toħloq memorja immunoloġika wara rispons inizjali għal patoġen speċifiku, li jwassal għal rispons imtejjeb għal inkontri sussegwenti bl-istess patoġen. Dan il-proċess ta 'immunità akkwistata huwa l-bażi tat-tilqima.</v>
      </c>
    </row>
    <row r="19716" ht="15.75" customHeight="1">
      <c r="A19716" s="2" t="s">
        <v>19716</v>
      </c>
      <c r="B19716" s="2" t="str">
        <f>IFERROR(__xludf.DUMMYFUNCTION("GOOGLETRANSLATE(A19716, ""en"", ""mt"")"),"Dak li mexxa r-residenti għal akkomodazzjoni suburbana aktar kwieta?")</f>
        <v>Dak li mexxa r-residenti għal akkomodazzjoni suburbana aktar kwieta?</v>
      </c>
    </row>
    <row r="19717" ht="15.75" customHeight="1">
      <c r="A19717" s="2" t="s">
        <v>19717</v>
      </c>
      <c r="B19717" s="2" t="str">
        <f>IFERROR(__xludf.DUMMYFUNCTION("GOOGLETRANSLATE(A19717, ""en"", ""mt"")"),"Huwa mistenni li l-input kontinwu tas-sediment fil-lag se joħroġ il-lag")</f>
        <v>Huwa mistenni li l-input kontinwu tas-sediment fil-lag se joħroġ il-lag</v>
      </c>
    </row>
    <row r="19718" ht="15.75" customHeight="1">
      <c r="A19718" s="2" t="s">
        <v>19718</v>
      </c>
      <c r="B19718" s="2" t="str">
        <f>IFERROR(__xludf.DUMMYFUNCTION("GOOGLETRANSLATE(A19718, ""en"", ""mt"")"),"ġimagħtejn wara")</f>
        <v>ġimagħtejn wara</v>
      </c>
    </row>
    <row r="19719" ht="15.75" customHeight="1">
      <c r="A19719" s="2" t="s">
        <v>19719</v>
      </c>
      <c r="B19719" s="2" t="str">
        <f>IFERROR(__xludf.DUMMYFUNCTION("GOOGLETRANSLATE(A19719, ""en"", ""mt"")"),"Meta Varsavja ġiet imrażżna kompletament mal-art billi bombi r-rejds?")</f>
        <v>Meta Varsavja ġiet imrażżna kompletament mal-art billi bombi r-rejds?</v>
      </c>
    </row>
    <row r="19720" ht="15.75" customHeight="1">
      <c r="A19720" s="2" t="s">
        <v>19720</v>
      </c>
      <c r="B19720" s="2" t="str">
        <f>IFERROR(__xludf.DUMMYFUNCTION("GOOGLETRANSLATE(A19720, ""en"", ""mt"")"),"Ċelloli infettati jissiġillaw lilhom infushom u jgħaddu minn mewt ipprogrammata taċ-ċelloli")</f>
        <v>Ċelloli infettati jissiġillaw lilhom infushom u jgħaddu minn mewt ipprogrammata taċ-ċelloli</v>
      </c>
    </row>
    <row r="19721" ht="15.75" customHeight="1">
      <c r="A19721" s="2" t="s">
        <v>19721</v>
      </c>
      <c r="B19721" s="2" t="str">
        <f>IFERROR(__xludf.DUMMYFUNCTION("GOOGLETRANSLATE(A19721, ""en"", ""mt"")"),"Kemm kienet l-infiq akkwistat tan-NASA fuq il-proġett Apollo stmat li kien fl-2005 wara l-inflazzjoni?")</f>
        <v>Kemm kienet l-infiq akkwistat tan-NASA fuq il-proġett Apollo stmat li kien fl-2005 wara l-inflazzjoni?</v>
      </c>
    </row>
    <row r="19722" ht="15.75" customHeight="1">
      <c r="A19722" s="2" t="s">
        <v>19722</v>
      </c>
      <c r="B19722" s="2" t="str">
        <f>IFERROR(__xludf.DUMMYFUNCTION("GOOGLETRANSLATE(A19722, ""en"", ""mt"")"),"Liema kampanja bdiet ir-reġim komunista wara d-DWWII?")</f>
        <v>Liema kampanja bdiet ir-reġim komunista wara d-DWWII?</v>
      </c>
    </row>
    <row r="19723" ht="15.75" customHeight="1">
      <c r="A19723" s="2" t="s">
        <v>19723</v>
      </c>
      <c r="B19723" s="2" t="str">
        <f>IFERROR(__xludf.DUMMYFUNCTION("GOOGLETRANSLATE(A19723, ""en"", ""mt"")"),"Kemm ijiem ta 'vaganza mħallsa l-biċċa l-kbira tal-istati membri?")</f>
        <v>Kemm ijiem ta 'vaganza mħallsa l-biċċa l-kbira tal-istati membri?</v>
      </c>
    </row>
    <row r="19724" ht="15.75" customHeight="1">
      <c r="A19724" s="2" t="s">
        <v>19724</v>
      </c>
      <c r="B19724" s="2" t="str">
        <f>IFERROR(__xludf.DUMMYFUNCTION("GOOGLETRANSLATE(A19724, ""en"", ""mt"")"),"Fratellanza")</f>
        <v>Fratellanza</v>
      </c>
    </row>
    <row r="19725" ht="15.75" customHeight="1">
      <c r="A19725" s="2" t="s">
        <v>19725</v>
      </c>
      <c r="B19725" s="2" t="str">
        <f>IFERROR(__xludf.DUMMYFUNCTION("GOOGLETRANSLATE(A19725, ""en"", ""mt"")"),"10 ta ’Awwissu, 1948")</f>
        <v>10 ta ’Awwissu, 1948</v>
      </c>
    </row>
    <row r="19726" ht="15.75" customHeight="1">
      <c r="A19726" s="2" t="s">
        <v>19726</v>
      </c>
      <c r="B19726" s="2" t="str">
        <f>IFERROR(__xludf.DUMMYFUNCTION("GOOGLETRANSLATE(A19726, ""en"", ""mt"")"),"Sensing mill-bogħod")</f>
        <v>Sensing mill-bogħod</v>
      </c>
    </row>
    <row r="19727" ht="15.75" customHeight="1">
      <c r="A19727" s="2" t="s">
        <v>19727</v>
      </c>
      <c r="B19727" s="2" t="str">
        <f>IFERROR(__xludf.DUMMYFUNCTION("GOOGLETRANSLATE(A19727, ""en"", ""mt"")"),"Creon, ir-re attwali ta 'Thebes, li qed jipprova jwaqqafha milli tagħti lil ħuha Polynices dfin xieraq")</f>
        <v>Creon, ir-re attwali ta 'Thebes, li qed jipprova jwaqqafha milli tagħti lil ħuha Polynices dfin xieraq</v>
      </c>
    </row>
    <row r="19728" ht="15.75" customHeight="1">
      <c r="A19728" s="2" t="s">
        <v>19728</v>
      </c>
      <c r="B19728" s="2" t="str">
        <f>IFERROR(__xludf.DUMMYFUNCTION("GOOGLETRANSLATE(A19728, ""en"", ""mt"")"),"Fejn intuża l-lingwa li Luther fit-traduzzjonijiet tiegħu mitkellma?")</f>
        <v>Fejn intuża l-lingwa li Luther fit-traduzzjonijiet tiegħu mitkellma?</v>
      </c>
    </row>
    <row r="19729" ht="15.75" customHeight="1">
      <c r="A19729" s="2" t="s">
        <v>19729</v>
      </c>
      <c r="B19729" s="2" t="str">
        <f>IFERROR(__xludf.DUMMYFUNCTION("GOOGLETRANSLATE(A19729, ""en"", ""mt"")"),"Fl-aħħar tas-seklu 19")</f>
        <v>Fl-aħħar tas-seklu 19</v>
      </c>
    </row>
    <row r="19730" ht="15.75" customHeight="1">
      <c r="A19730" s="2" t="s">
        <v>19730</v>
      </c>
      <c r="B19730" s="2" t="str">
        <f>IFERROR(__xludf.DUMMYFUNCTION("GOOGLETRANSLATE(A19730, ""en"", ""mt"")"),"€ 25,000 fis-sena")</f>
        <v>€ 25,000 fis-sena</v>
      </c>
    </row>
    <row r="19731" ht="15.75" customHeight="1">
      <c r="A19731" s="2" t="s">
        <v>19731</v>
      </c>
      <c r="B19731" s="2" t="str">
        <f>IFERROR(__xludf.DUMMYFUNCTION("GOOGLETRANSLATE(A19731, ""en"", ""mt"")"),"splussivi")</f>
        <v>splussivi</v>
      </c>
    </row>
    <row r="19732" ht="15.75" customHeight="1">
      <c r="A19732" s="2" t="s">
        <v>19732</v>
      </c>
      <c r="B19732" s="2" t="str">
        <f>IFERROR(__xludf.DUMMYFUNCTION("GOOGLETRANSLATE(A19732, ""en"", ""mt"")"),"Programm ta 'Applikazzjonijiet Apollo")</f>
        <v>Programm ta 'Applikazzjonijiet Apollo</v>
      </c>
    </row>
    <row r="19733" ht="15.75" customHeight="1">
      <c r="A19733" s="2" t="s">
        <v>19733</v>
      </c>
      <c r="B19733" s="2" t="str">
        <f>IFERROR(__xludf.DUMMYFUNCTION("GOOGLETRANSLATE(A19733, ""en"", ""mt"")"),"Il-Mewt l-Iswed ħarbtu ħafna mid-dinja Iżlamika. Il-pesta kienet preżenti f'mill-inqas post fid-dinja Iżlamika kważi kull sena bejn l-1500 u l-1850. Il-pesta laqtet ripetutament il-bliet ta 'l-Afrika ta' Fuq. Algiers tilfu 30 sa 50 elf abitant fl-1620–21,"&amp;" u għal darb'oħra fl-1654–57, 1665, 1691 u 1740-42. Il-Pesta baqgħet avveniment ewlieni fis-soċjetà Ottomana sat-tieni kwart tas-seklu 19. Bejn l-1701 u l-1750, sebgħa u tletin epidemiji akbar u iżgħar ġew irreġistrati f'Konstantinopli, u wieħed u tletin "&amp;"addizzjonali bejn l-1751 u l-1800. Bagdad sofra severament minn żjarat tal-pesta, u xi kultant żewġ terzi tal-popolazzjoni tagħha -")</f>
        <v>Il-Mewt l-Iswed ħarbtu ħafna mid-dinja Iżlamika. Il-pesta kienet preżenti f'mill-inqas post fid-dinja Iżlamika kważi kull sena bejn l-1500 u l-1850. Il-pesta laqtet ripetutament il-bliet ta 'l-Afrika ta' Fuq. Algiers tilfu 30 sa 50 elf abitant fl-1620–21, u għal darb'oħra fl-1654–57, 1665, 1691 u 1740-42. Il-Pesta baqgħet avveniment ewlieni fis-soċjetà Ottomana sat-tieni kwart tas-seklu 19. Bejn l-1701 u l-1750, sebgħa u tletin epidemiji akbar u iżgħar ġew irreġistrati f'Konstantinopli, u wieħed u tletin addizzjonali bejn l-1751 u l-1800. Bagdad sofra severament minn żjarat tal-pesta, u xi kultant żewġ terzi tal-popolazzjoni tagħha -</v>
      </c>
    </row>
    <row r="19734" ht="15.75" customHeight="1">
      <c r="A19734" s="2" t="s">
        <v>19734</v>
      </c>
      <c r="B19734" s="2" t="str">
        <f>IFERROR(__xludf.DUMMYFUNCTION("GOOGLETRANSLATE(A19734, ""en"", ""mt"")"),"X'inhuma t-tliet libreriji popolari wara li għadhom ma ggradwawx fis-sistema ta 'Harvard?")</f>
        <v>X'inhuma t-tliet libreriji popolari wara li għadhom ma ggradwawx fis-sistema ta 'Harvard?</v>
      </c>
    </row>
    <row r="19735" ht="15.75" customHeight="1">
      <c r="A19735" s="2" t="s">
        <v>19735</v>
      </c>
      <c r="B19735" s="2" t="str">
        <f>IFERROR(__xludf.DUMMYFUNCTION("GOOGLETRANSLATE(A19735, ""en"", ""mt"")"),"Kemm stadji spiċċaw is-Saturn V?")</f>
        <v>Kemm stadji spiċċaw is-Saturn V?</v>
      </c>
    </row>
    <row r="19736" ht="15.75" customHeight="1">
      <c r="A19736" s="2" t="s">
        <v>19736</v>
      </c>
      <c r="B19736" s="2" t="str">
        <f>IFERROR(__xludf.DUMMYFUNCTION("GOOGLETRANSLATE(A19736, ""en"", ""mt"")"),"Liema storja ta 'Doctor Who mill-1970 hija disponibbli fuq Blu-ray?")</f>
        <v>Liema storja ta 'Doctor Who mill-1970 hija disponibbli fuq Blu-ray?</v>
      </c>
    </row>
    <row r="19737" ht="15.75" customHeight="1">
      <c r="A19737" s="2" t="s">
        <v>19737</v>
      </c>
      <c r="B19737" s="2" t="str">
        <f>IFERROR(__xludf.DUMMYFUNCTION("GOOGLETRANSLATE(A19737, ""en"", ""mt"")"),"X'kienet tesla b'mod żbaljat dwar ir-raġġi X?")</f>
        <v>X'kienet tesla b'mod żbaljat dwar ir-raġġi X?</v>
      </c>
    </row>
    <row r="19738" ht="15.75" customHeight="1">
      <c r="A19738" s="2" t="s">
        <v>19738</v>
      </c>
      <c r="B19738" s="2" t="str">
        <f>IFERROR(__xludf.DUMMYFUNCTION("GOOGLETRANSLATE(A19738, ""en"", ""mt"")"),"Partit Nazzjonali tal-Awstralja")</f>
        <v>Partit Nazzjonali tal-Awstralja</v>
      </c>
    </row>
    <row r="19739" ht="15.75" customHeight="1">
      <c r="A19739" s="2" t="s">
        <v>19739</v>
      </c>
      <c r="B19739" s="2" t="str">
        <f>IFERROR(__xludf.DUMMYFUNCTION("GOOGLETRANSLATE(A19739, ""en"", ""mt"")"),"tikkastiga lill-poplu Miami")</f>
        <v>tikkastiga lill-poplu Miami</v>
      </c>
    </row>
    <row r="19740" ht="15.75" customHeight="1">
      <c r="A19740" s="2" t="s">
        <v>19740</v>
      </c>
      <c r="B19740" s="2" t="str">
        <f>IFERROR(__xludf.DUMMYFUNCTION("GOOGLETRANSLATE(A19740, ""en"", ""mt"")"),"X’kienu jemmnu l-bdiewa li Luther se jagħmel għalihom?")</f>
        <v>X’kienu jemmnu l-bdiewa li Luther se jagħmel għalihom?</v>
      </c>
    </row>
    <row r="19741" ht="15.75" customHeight="1">
      <c r="A19741" s="2" t="s">
        <v>19741</v>
      </c>
      <c r="B19741" s="2" t="str">
        <f>IFERROR(__xludf.DUMMYFUNCTION("GOOGLETRANSLATE(A19741, ""en"", ""mt"")"),"Kull naħa li tipproponi dik l-azzjoni tittieħed")</f>
        <v>Kull naħa li tipproponi dik l-azzjoni tittieħed</v>
      </c>
    </row>
    <row r="19742" ht="15.75" customHeight="1">
      <c r="A19742" s="2" t="s">
        <v>19742</v>
      </c>
      <c r="B19742" s="2" t="str">
        <f>IFERROR(__xludf.DUMMYFUNCTION("GOOGLETRANSLATE(A19742, ""en"", ""mt"")"),"indulġenzi għall-għixien")</f>
        <v>indulġenzi għall-għixien</v>
      </c>
    </row>
    <row r="19743" ht="15.75" customHeight="1">
      <c r="A19743" s="2" t="s">
        <v>19743</v>
      </c>
      <c r="B19743" s="2" t="str">
        <f>IFERROR(__xludf.DUMMYFUNCTION("GOOGLETRANSLATE(A19743, ""en"", ""mt"")"),"kull sena f'Ġunju")</f>
        <v>kull sena f'Ġunju</v>
      </c>
    </row>
    <row r="19744" ht="15.75" customHeight="1">
      <c r="A19744" s="2" t="s">
        <v>19744</v>
      </c>
      <c r="B19744" s="2" t="str">
        <f>IFERROR(__xludf.DUMMYFUNCTION("GOOGLETRANSLATE(A19744, ""en"", ""mt"")"),"Interventiv")</f>
        <v>Interventiv</v>
      </c>
    </row>
    <row r="19745" ht="15.75" customHeight="1">
      <c r="A19745" s="2" t="s">
        <v>19745</v>
      </c>
      <c r="B19745" s="2" t="str">
        <f>IFERROR(__xludf.DUMMYFUNCTION("GOOGLETRANSLATE(A19745, ""en"", ""mt"")"),"Is-snin sebgħin ġew enfasizzati minn diversi kummiedja ta 'suċċess, fantasija, azzjoni u serje b'tema ta' superhero għan-netwerk inkluż Kung Fu, is-sitt miljun dollaru raġel, Wonder Woman, Starsky &amp; Hutch, Charlie's Angels, The Bionic Woman, Fantasy Islan"&amp;"d u Battlestar Galactica. Ħafna minn dawn is-serje kienu Greenlit minn Silverman, li ħalla l-ABC fl-1978 biex isir president tad-diviżjoni tad-divertiment tal-NBC. Is-suċċess li jqajjem il-ġurnata ta 'Happy wassal ukoll għal serje ta' spin-off ta 'suċċess"&amp;", Laverne &amp; Shirley, li ddebuttaw fl-1976. Charlie's Angels and Three's Company (li ddebutta fl-1977) kienu żewġ eżempji ewlenin ta' xejra fost in-netwerks ewlenin matul is-snin sebgħin matul is-snin sebgħin Magħruf bħala ""Jiggle TV"", li fih irwoli attr"&amp;"aenti, ta 'spiss buxom, fir-rwoli ewlenin u mistiedna.")</f>
        <v>Is-snin sebgħin ġew enfasizzati minn diversi kummiedja ta 'suċċess, fantasija, azzjoni u serje b'tema ta' superhero għan-netwerk inkluż Kung Fu, is-sitt miljun dollaru raġel, Wonder Woman, Starsky &amp; Hutch, Charlie's Angels, The Bionic Woman, Fantasy Island u Battlestar Galactica. Ħafna minn dawn is-serje kienu Greenlit minn Silverman, li ħalla l-ABC fl-1978 biex isir president tad-diviżjoni tad-divertiment tal-NBC. Is-suċċess li jqajjem il-ġurnata ta 'Happy wassal ukoll għal serje ta' spin-off ta 'suċċess, Laverne &amp; Shirley, li ddebuttaw fl-1976. Charlie's Angels and Three's Company (li ddebutta fl-1977) kienu żewġ eżempji ewlenin ta' xejra fost in-netwerks ewlenin matul is-snin sebgħin matul is-snin sebgħin Magħruf bħala "Jiggle TV", li fih irwoli attraenti, ta 'spiss buxom, fir-rwoli ewlenin u mistiedna.</v>
      </c>
    </row>
    <row r="19746" ht="15.75" customHeight="1">
      <c r="A19746" s="2" t="s">
        <v>19746</v>
      </c>
      <c r="B19746" s="2" t="str">
        <f>IFERROR(__xludf.DUMMYFUNCTION("GOOGLETRANSLATE(A19746, ""en"", ""mt"")"),"Xi drabi l-prosekuzzjoni tipproponi motiv ta 'negozjar għal diżubbidjenti ċivili, bħal fil-każ ta' Camden 28, li fih l-imputati ġew offruti opportunità biex jinvokaw ħatja għal għadd ta 'delitt u ma jirċievu l-ebda ħin ta' ħabs. F’xi sitwazzjonijiet ta ’a"&amp;"rrest tal-massa, l-attivisti jiddeċiedu li jużaw tattiċi ta’ solidarjetà biex jassiguraw l-istess motiv ta ’negozju għal kulħadd. Iżda xi attivisti għażlu li jidħlu motiv għomja, u wieġbu ħatja mingħajr ebda ftehim ta 'motiv fis-seħħ. Mohandas Gandhi wieġ"&amp;"eb ħati u qal lill-qorti, ""Jiena hawn. . """)</f>
        <v>Xi drabi l-prosekuzzjoni tipproponi motiv ta 'negozjar għal diżubbidjenti ċivili, bħal fil-każ ta' Camden 28, li fih l-imputati ġew offruti opportunità biex jinvokaw ħatja għal għadd ta 'delitt u ma jirċievu l-ebda ħin ta' ħabs. F’xi sitwazzjonijiet ta ’arrest tal-massa, l-attivisti jiddeċiedu li jużaw tattiċi ta’ solidarjetà biex jassiguraw l-istess motiv ta ’negozju għal kulħadd. Iżda xi attivisti għażlu li jidħlu motiv għomja, u wieġbu ħatja mingħajr ebda ftehim ta 'motiv fis-seħħ. Mohandas Gandhi wieġeb ħati u qal lill-qorti, "Jiena hawn. . "</v>
      </c>
    </row>
    <row r="19747" ht="15.75" customHeight="1">
      <c r="A19747" s="2" t="s">
        <v>19747</v>
      </c>
      <c r="B19747" s="2" t="str">
        <f>IFERROR(__xludf.DUMMYFUNCTION("GOOGLETRANSLATE(A19747, ""en"", ""mt"")"),"tlieta sa ħamsa")</f>
        <v>tlieta sa ħamsa</v>
      </c>
    </row>
    <row r="19748" ht="15.75" customHeight="1">
      <c r="A19748" s="2" t="s">
        <v>19748</v>
      </c>
      <c r="B19748" s="2" t="str">
        <f>IFERROR(__xludf.DUMMYFUNCTION("GOOGLETRANSLATE(A19748, ""en"", ""mt"")"),"Il-punt li fih l-iżotopi radjometriċi differenti jieqfu jinxterdu 'l barra u' l barra mill-kannizzata tal-kristall?")</f>
        <v>Il-punt li fih l-iżotopi radjometriċi differenti jieqfu jinxterdu 'l barra u' l barra mill-kannizzata tal-kristall?</v>
      </c>
    </row>
    <row r="19749" ht="15.75" customHeight="1">
      <c r="A19749" s="2" t="s">
        <v>19749</v>
      </c>
      <c r="B19749" s="2" t="str">
        <f>IFERROR(__xludf.DUMMYFUNCTION("GOOGLETRANSLATE(A19749, ""en"", ""mt"")"),"bejn wieħed u ieħor sferiku")</f>
        <v>bejn wieħed u ieħor sferiku</v>
      </c>
    </row>
    <row r="19750" ht="15.75" customHeight="1">
      <c r="A19750" s="2" t="s">
        <v>19750</v>
      </c>
      <c r="B19750" s="2" t="str">
        <f>IFERROR(__xludf.DUMMYFUNCTION("GOOGLETRANSLATE(A19750, ""en"", ""mt"")"),"Partijiet mill-Ewropa li kellhom relazzjonijiet kummerċjali iżgħar mal-ġirien tagħhom")</f>
        <v>Partijiet mill-Ewropa li kellhom relazzjonijiet kummerċjali iżgħar mal-ġirien tagħhom</v>
      </c>
    </row>
    <row r="19751" ht="15.75" customHeight="1">
      <c r="A19751" s="2" t="s">
        <v>19751</v>
      </c>
      <c r="B19751" s="2" t="str">
        <f>IFERROR(__xludf.DUMMYFUNCTION("GOOGLETRANSLATE(A19751, ""en"", ""mt"")"),"Min rewwixta fir-ribelljoni tal-ISPAH?")</f>
        <v>Min rewwixta fir-ribelljoni tal-ISPAH?</v>
      </c>
    </row>
    <row r="19752" ht="15.75" customHeight="1">
      <c r="A19752" s="2" t="s">
        <v>19752</v>
      </c>
      <c r="B19752" s="2" t="str">
        <f>IFERROR(__xludf.DUMMYFUNCTION("GOOGLETRANSLATE(A19752, ""en"", ""mt"")"),"Philo of Bizantium ____ issostitwixxa li l-arja kkonvertita għan-nar")</f>
        <v>Philo of Bizantium ____ issostitwixxa li l-arja kkonvertita għan-nar</v>
      </c>
    </row>
    <row r="19753" ht="15.75" customHeight="1">
      <c r="A19753" s="2" t="s">
        <v>19753</v>
      </c>
      <c r="B19753" s="2" t="str">
        <f>IFERROR(__xludf.DUMMYFUNCTION("GOOGLETRANSLATE(A19753, ""en"", ""mt"")"),"Kemm ħallas Westinghouse għall-privattivi ta 'Tesla sabiex jaħrab il-problemi finanzjarji tagħha?")</f>
        <v>Kemm ħallas Westinghouse għall-privattivi ta 'Tesla sabiex jaħrab il-problemi finanzjarji tagħha?</v>
      </c>
    </row>
    <row r="19754" ht="15.75" customHeight="1">
      <c r="A19754" s="2" t="s">
        <v>19754</v>
      </c>
      <c r="B19754" s="2" t="str">
        <f>IFERROR(__xludf.DUMMYFUNCTION("GOOGLETRANSLATE(A19754, ""en"", ""mt"")"),"Ħafna klassijiet ta 'kumplessità importanti jistgħu jiġu definiti billi tillimita l-ħin jew l-ispazju użat mill-algoritmu. Xi klassijiet ta 'kumplessità importanti ta' problemi ta 'deċiżjoni definiti b'dan il-mod huma dawn li ġejjin:")</f>
        <v>Ħafna klassijiet ta 'kumplessità importanti jistgħu jiġu definiti billi tillimita l-ħin jew l-ispazju użat mill-algoritmu. Xi klassijiet ta 'kumplessità importanti ta' problemi ta 'deċiżjoni definiti b'dan il-mod huma dawn li ġejjin:</v>
      </c>
    </row>
    <row r="19755" ht="15.75" customHeight="1">
      <c r="A19755" s="2" t="s">
        <v>19755</v>
      </c>
      <c r="B19755" s="2" t="str">
        <f>IFERROR(__xludf.DUMMYFUNCTION("GOOGLETRANSLATE(A19755, ""en"", ""mt"")"),"Agrikoltura")</f>
        <v>Agrikoltura</v>
      </c>
    </row>
    <row r="19756" ht="15.75" customHeight="1">
      <c r="A19756" s="2" t="s">
        <v>19756</v>
      </c>
      <c r="B19756" s="2" t="str">
        <f>IFERROR(__xludf.DUMMYFUNCTION("GOOGLETRANSLATE(A19756, ""en"", ""mt"")"),"Il-qrati ddistingwew bejn żewġ tipi ta 'diżubbidjenza ċivili: ""Id-diżubbidjenza ċivili indiretta tinvolvi li tikser liġi li mhix, fiha nnifisha, l-oġġett ta' protesta, filwaqt li d-diżubbidjenza ċivili diretta tinvolvi li tipprotesta l-eżistenza ta 'liġi"&amp;" partikolari billi tikser dik il-liġi."" Matul il-Gwerra tal-Vjetnam, il-qrati tipikament irrifjutaw li jiskużaw lill-awturi ta ’protesti illegali mill-kastig abbażi tal-isfida tagħhom il-legalità tal-Gwerra tal-Vjetnam; Il-qrati ddeċidew li kienet kwistj"&amp;"oni politika. Id-difiża tal-ħtieġa xi kultant intużat bħala difiża dell minn diżubbidjenti ċivili biex tiċħad il-ħtija mingħajr ma tinnunzja l-atti motivati ​​politikament tagħhom, u biex tippreżenta t-twemmin politiku tagħhom fl-awla. Madankollu, każijie"&amp;"t tal-qorti bħall-Istati Uniti v. Schoon naqqsu ħafna d-disponibbiltà tad-difiża tal-ħtieġa politika. Bl-istess mod, meta Carter Wentworth ġie akkużat għar-rwol tiegħu fl-okkupazzjoni illegali tal-1977 tal-Alleanza Clamshell fl-impjant nukleari tal-istazz"&amp;"jon ta 'Seabrook, l-imħallef ta struzzjonijiet lill-ġurija biex tinjora d-difiża tal-ħsara li tikkompeti tiegħu, u nstab ħati. Attivisti tal-assoċjazzjoni tal-ġurija infurmati bis-sħiħ xi kultant ingħataw fuljetti edukattivi ġewwa l-kmamar tal-qorti minke"&amp;"jja li ma jagħtux; Skond il-Fija, ħafna minnhom ħarbu mill-prosekuzzjoni minħabba li ""l-prosekuturi rraġunaw (b'mod korrett) li jekk jarrestaw fuljetti tal-ġurija infurmati bis-sħiħ, il-fuljetti għandhom jingħataw lill-ġurija tal-fuljett stess bħala evid"&amp;"enza.""")</f>
        <v>Il-qrati ddistingwew bejn żewġ tipi ta 'diżubbidjenza ċivili: "Id-diżubbidjenza ċivili indiretta tinvolvi li tikser liġi li mhix, fiha nnifisha, l-oġġett ta' protesta, filwaqt li d-diżubbidjenza ċivili diretta tinvolvi li tipprotesta l-eżistenza ta 'liġi partikolari billi tikser dik il-liġi." Matul il-Gwerra tal-Vjetnam, il-qrati tipikament irrifjutaw li jiskużaw lill-awturi ta ’protesti illegali mill-kastig abbażi tal-isfida tagħhom il-legalità tal-Gwerra tal-Vjetnam; Il-qrati ddeċidew li kienet kwistjoni politika. Id-difiża tal-ħtieġa xi kultant intużat bħala difiża dell minn diżubbidjenti ċivili biex tiċħad il-ħtija mingħajr ma tinnunzja l-atti motivati ​​politikament tagħhom, u biex tippreżenta t-twemmin politiku tagħhom fl-awla. Madankollu, każijiet tal-qorti bħall-Istati Uniti v. Schoon naqqsu ħafna d-disponibbiltà tad-difiża tal-ħtieġa politika. Bl-istess mod, meta Carter Wentworth ġie akkużat għar-rwol tiegħu fl-okkupazzjoni illegali tal-1977 tal-Alleanza Clamshell fl-impjant nukleari tal-istazzjon ta 'Seabrook, l-imħallef ta struzzjonijiet lill-ġurija biex tinjora d-difiża tal-ħsara li tikkompeti tiegħu, u nstab ħati. Attivisti tal-assoċjazzjoni tal-ġurija infurmati bis-sħiħ xi kultant ingħataw fuljetti edukattivi ġewwa l-kmamar tal-qorti minkejja li ma jagħtux; Skond il-Fija, ħafna minnhom ħarbu mill-prosekuzzjoni minħabba li "l-prosekuturi rraġunaw (b'mod korrett) li jekk jarrestaw fuljetti tal-ġurija infurmati bis-sħiħ, il-fuljetti għandhom jingħataw lill-ġurija tal-fuljett stess bħala evidenza."</v>
      </c>
    </row>
    <row r="19757" ht="15.75" customHeight="1">
      <c r="A19757" s="2" t="s">
        <v>19757</v>
      </c>
      <c r="B19757" s="2" t="str">
        <f>IFERROR(__xludf.DUMMYFUNCTION("GOOGLETRANSLATE(A19757, ""en"", ""mt"")"),"bniet u nisa")</f>
        <v>bniet u nisa</v>
      </c>
    </row>
    <row r="19758" ht="15.75" customHeight="1">
      <c r="A19758" s="2" t="s">
        <v>19758</v>
      </c>
      <c r="B19758" s="2" t="str">
        <f>IFERROR(__xludf.DUMMYFUNCTION("GOOGLETRANSLATE(A19758, ""en"", ""mt"")"),"sistema biex tiffunzjona")</f>
        <v>sistema biex tiffunzjona</v>
      </c>
    </row>
    <row r="19759" ht="15.75" customHeight="1">
      <c r="A19759" s="2" t="s">
        <v>19759</v>
      </c>
      <c r="B19759" s="2" t="str">
        <f>IFERROR(__xludf.DUMMYFUNCTION("GOOGLETRANSLATE(A19759, ""en"", ""mt"")"),"Front Unifikat fil-Kummerċ u n-Negozjati ma 'Diversi Indjani")</f>
        <v>Front Unifikat fil-Kummerċ u n-Negozjati ma 'Diversi Indjani</v>
      </c>
    </row>
    <row r="19760" ht="15.75" customHeight="1">
      <c r="A19760" s="2" t="s">
        <v>19760</v>
      </c>
      <c r="B19760" s="2" t="str">
        <f>IFERROR(__xludf.DUMMYFUNCTION("GOOGLETRANSLATE(A19760, ""en"", ""mt"")"),"art")</f>
        <v>art</v>
      </c>
    </row>
    <row r="19761" ht="15.75" customHeight="1">
      <c r="A19761" s="2" t="s">
        <v>19761</v>
      </c>
      <c r="B19761" s="2" t="str">
        <f>IFERROR(__xludf.DUMMYFUNCTION("GOOGLETRANSLATE(A19761, ""en"", ""mt"")"),"Konservazzjoni tal-enerġija mekkanika")</f>
        <v>Konservazzjoni tal-enerġija mekkanika</v>
      </c>
    </row>
    <row r="19762" ht="15.75" customHeight="1">
      <c r="A19762" s="2" t="s">
        <v>19762</v>
      </c>
      <c r="B19762" s="2" t="str">
        <f>IFERROR(__xludf.DUMMYFUNCTION("GOOGLETRANSLATE(A19762, ""en"", ""mt"")"),"ingħataw lill-Protestanti ugwaljanza mal-Kattoliċi taħt it-tron u grad ta 'libertà reliġjuża u politika fl-oqsma tagħhom")</f>
        <v>ingħataw lill-Protestanti ugwaljanza mal-Kattoliċi taħt it-tron u grad ta 'libertà reliġjuża u politika fl-oqsma tagħhom</v>
      </c>
    </row>
    <row r="19763" ht="15.75" customHeight="1">
      <c r="A19763" s="2" t="s">
        <v>19763</v>
      </c>
      <c r="B19763" s="2" t="str">
        <f>IFERROR(__xludf.DUMMYFUNCTION("GOOGLETRANSLATE(A19763, ""en"", ""mt"")"),"Qabel ir-ritorn tal-kollezzjonijiet ta 'wara l-gwerra, il-Gran Brittanja tista' tagħmel wirja bejn Settembru u Novembru 1946, tattira kważi miljun viżitaturi u nofs. Dan ġie organizzat mill-Kunsill tad-Disinn Industrijali stabbilit mill-Gvern Ingliż fl-19"&amp;"44 ""biex jippromwovi l-mezzi kollha prattikabbli t-titjib tad-disinn fil-prodotti tal-industrija Ingliża"". Is-suċċess ta ’din il-wirja wassal għall-ippjanar tal-Festival tal-Gran Brittanja (1951). Sal-1948 il-biċċa l-kbira tal-kollezzjonijiet ġew mibgħu"&amp;"ta lura lill-mużew.")</f>
        <v>Qabel ir-ritorn tal-kollezzjonijiet ta 'wara l-gwerra, il-Gran Brittanja tista' tagħmel wirja bejn Settembru u Novembru 1946, tattira kważi miljun viżitaturi u nofs. Dan ġie organizzat mill-Kunsill tad-Disinn Industrijali stabbilit mill-Gvern Ingliż fl-1944 "biex jippromwovi l-mezzi kollha prattikabbli t-titjib tad-disinn fil-prodotti tal-industrija Ingliża". Is-suċċess ta ’din il-wirja wassal għall-ippjanar tal-Festival tal-Gran Brittanja (1951). Sal-1948 il-biċċa l-kbira tal-kollezzjonijiet ġew mibgħuta lura lill-mużew.</v>
      </c>
    </row>
    <row r="19764" ht="15.75" customHeight="1">
      <c r="A19764" s="2" t="s">
        <v>19764</v>
      </c>
      <c r="B19764" s="2" t="str">
        <f>IFERROR(__xludf.DUMMYFUNCTION("GOOGLETRANSLATE(A19764, ""en"", ""mt"")"),"Xi żmien matul il-karriera edukattiva tagħhom.")</f>
        <v>Xi żmien matul il-karriera edukattiva tagħhom.</v>
      </c>
    </row>
    <row r="19765" ht="15.75" customHeight="1">
      <c r="A19765" s="2" t="s">
        <v>19765</v>
      </c>
      <c r="B19765" s="2" t="str">
        <f>IFERROR(__xludf.DUMMYFUNCTION("GOOGLETRANSLATE(A19765, ""en"", ""mt"")"),"manjetiku")</f>
        <v>manjetiku</v>
      </c>
    </row>
    <row r="19766" ht="15.75" customHeight="1">
      <c r="A19766" s="2" t="s">
        <v>19766</v>
      </c>
      <c r="B19766" s="2" t="str">
        <f>IFERROR(__xludf.DUMMYFUNCTION("GOOGLETRANSLATE(A19766, ""en"", ""mt"")"),"Dendriti newronali")</f>
        <v>Dendriti newronali</v>
      </c>
    </row>
    <row r="19767" ht="15.75" customHeight="1">
      <c r="A19767" s="2" t="s">
        <v>19767</v>
      </c>
      <c r="B19767" s="2" t="str">
        <f>IFERROR(__xludf.DUMMYFUNCTION("GOOGLETRANSLATE(A19767, ""en"", ""mt"")"),"Aboriġini")</f>
        <v>Aboriġini</v>
      </c>
    </row>
    <row r="19768" ht="15.75" customHeight="1">
      <c r="A19768" s="2" t="s">
        <v>19768</v>
      </c>
      <c r="B19768" s="2" t="str">
        <f>IFERROR(__xludf.DUMMYFUNCTION("GOOGLETRANSLATE(A19768, ""en"", ""mt"")"),"Id-distrett tat-torri huwa ċċentrat madwar liema teatru storiku?")</f>
        <v>Id-distrett tat-torri huwa ċċentrat madwar liema teatru storiku?</v>
      </c>
    </row>
    <row r="19769" ht="15.75" customHeight="1">
      <c r="A19769" s="2" t="s">
        <v>19769</v>
      </c>
      <c r="B19769" s="2" t="str">
        <f>IFERROR(__xludf.DUMMYFUNCTION("GOOGLETRANSLATE(A19769, ""en"", ""mt"")"),"sedimentarju")</f>
        <v>sedimentarju</v>
      </c>
    </row>
    <row r="19770" ht="15.75" customHeight="1">
      <c r="A19770" s="2" t="s">
        <v>19770</v>
      </c>
      <c r="B19770" s="2" t="str">
        <f>IFERROR(__xludf.DUMMYFUNCTION("GOOGLETRANSLATE(A19770, ""en"", ""mt"")"),"Lejl sportiv")</f>
        <v>Lejl sportiv</v>
      </c>
    </row>
    <row r="19771" ht="15.75" customHeight="1">
      <c r="A19771" s="2" t="s">
        <v>19771</v>
      </c>
      <c r="B19771" s="2" t="str">
        <f>IFERROR(__xludf.DUMMYFUNCTION("GOOGLETRANSLATE(A19771, ""en"", ""mt"")"),"X'tip ta 'ċelloli immuni jgħinu biex jeqirdu ċelloli anormali fit-tumuri?")</f>
        <v>X'tip ta 'ċelloli immuni jgħinu biex jeqirdu ċelloli anormali fit-tumuri?</v>
      </c>
    </row>
    <row r="19772" ht="15.75" customHeight="1">
      <c r="A19772" s="2" t="s">
        <v>19772</v>
      </c>
      <c r="B19772" s="2" t="str">
        <f>IFERROR(__xludf.DUMMYFUNCTION("GOOGLETRANSLATE(A19772, ""en"", ""mt"")"),"Waqt li studja l-liġi u l-filosofija fl-Ingilterra u l-Ġermanja, Iqbal sar membru tal-fergħa ta ’Londra tal-Lega Musulmana kollha tal-Indja. Huwa daħal lura f'Lahore fl-1908. Waqt li qassam il-ħin tiegħu bejn il-prattika tal-liġi u l-poeżija filosofika, I"&amp;"qbal kien baqa 'attiv fil-Lega Musulmana. Huwa ma appoġġjax l-involviment Indjan fl-Ewwel Gwerra Dinjija u baqa 'f'kuntatt mill-qrib ma' mexxejja politiċi Musulmani bħal Muhammad Ali Johar u Muhammad Ali Jinnah. Huwa kien kritiku tal-Kungress Nazzjonali I"&amp;"ndjan Indjan u sekularist mainstream. Is-seba 'lezzjonijiet Ingliżi ta' Iqbal ġew ippubblikati minn Oxford University Press fl-1934 fi ktieb intitolat Ir-Rikostruzzjoni tal-Ħsieb Reliġjuż fl-Iżlam. Dawn il-lezzjonijiet jgħixu dwar ir-rwol tal-Iżlam bħala "&amp;"reliġjon kif ukoll filosofija politika u legali fl-era moderna.")</f>
        <v>Waqt li studja l-liġi u l-filosofija fl-Ingilterra u l-Ġermanja, Iqbal sar membru tal-fergħa ta ’Londra tal-Lega Musulmana kollha tal-Indja. Huwa daħal lura f'Lahore fl-1908. Waqt li qassam il-ħin tiegħu bejn il-prattika tal-liġi u l-poeżija filosofika, Iqbal kien baqa 'attiv fil-Lega Musulmana. Huwa ma appoġġjax l-involviment Indjan fl-Ewwel Gwerra Dinjija u baqa 'f'kuntatt mill-qrib ma' mexxejja politiċi Musulmani bħal Muhammad Ali Johar u Muhammad Ali Jinnah. Huwa kien kritiku tal-Kungress Nazzjonali Indjan Indjan u sekularist mainstream. Is-seba 'lezzjonijiet Ingliżi ta' Iqbal ġew ippubblikati minn Oxford University Press fl-1934 fi ktieb intitolat Ir-Rikostruzzjoni tal-Ħsieb Reliġjuż fl-Iżlam. Dawn il-lezzjonijiet jgħixu dwar ir-rwol tal-Iżlam bħala reliġjon kif ukoll filosofija politika u legali fl-era moderna.</v>
      </c>
    </row>
    <row r="19773" ht="15.75" customHeight="1">
      <c r="A19773" s="2" t="s">
        <v>19773</v>
      </c>
      <c r="B19773" s="2" t="str">
        <f>IFERROR(__xludf.DUMMYFUNCTION("GOOGLETRANSLATE(A19773, ""en"", ""mt"")"),"X'għamel Tymnet")</f>
        <v>X'għamel Tymnet</v>
      </c>
    </row>
    <row r="19774" ht="15.75" customHeight="1">
      <c r="A19774" s="2" t="s">
        <v>19774</v>
      </c>
      <c r="B19774" s="2" t="str">
        <f>IFERROR(__xludf.DUMMYFUNCTION("GOOGLETRANSLATE(A19774, ""en"", ""mt"")"),"Preskrizzjonijiet tal-pazjenti u kwistjonijiet ta 'sigurtà tal-pazjent")</f>
        <v>Preskrizzjonijiet tal-pazjenti u kwistjonijiet ta 'sigurtà tal-pazjent</v>
      </c>
    </row>
    <row r="19775" ht="15.75" customHeight="1">
      <c r="A19775" s="2" t="s">
        <v>19775</v>
      </c>
      <c r="B19775" s="2" t="str">
        <f>IFERROR(__xludf.DUMMYFUNCTION("GOOGLETRANSLATE(A19775, ""en"", ""mt"")"),"Frontiers minn bejn Nova Scotia u Acadia fit-tramuntana, lejn il-pajjiż ta 'Ohio fin-nofsinhar, ġew mitluba miż-żewġ naħat.")</f>
        <v>Frontiers minn bejn Nova Scotia u Acadia fit-tramuntana, lejn il-pajjiż ta 'Ohio fin-nofsinhar, ġew mitluba miż-żewġ naħat.</v>
      </c>
    </row>
    <row r="19776" ht="15.75" customHeight="1">
      <c r="A19776" s="2" t="s">
        <v>19776</v>
      </c>
      <c r="B19776" s="2" t="str">
        <f>IFERROR(__xludf.DUMMYFUNCTION("GOOGLETRANSLATE(A19776, ""en"", ""mt"")"),"Meta kienet l-aħħar priedka ta 'Luther?")</f>
        <v>Meta kienet l-aħħar priedka ta 'Luther?</v>
      </c>
    </row>
    <row r="19777" ht="15.75" customHeight="1">
      <c r="A19777" s="2" t="s">
        <v>19777</v>
      </c>
      <c r="B19777" s="2" t="str">
        <f>IFERROR(__xludf.DUMMYFUNCTION("GOOGLETRANSLATE(A19777, ""en"", ""mt"")"),"Kif jidher it-TARDIS?")</f>
        <v>Kif jidher it-TARDIS?</v>
      </c>
    </row>
    <row r="19778" ht="15.75" customHeight="1">
      <c r="A19778" s="2" t="s">
        <v>19778</v>
      </c>
      <c r="B19778" s="2" t="str">
        <f>IFERROR(__xludf.DUMMYFUNCTION("GOOGLETRANSLATE(A19778, ""en"", ""mt"")"),"Kemm mijiet ta 'snin kienet irregolata l-Iskozja direttament mill-Parlament tal-Gran Brittanja?")</f>
        <v>Kemm mijiet ta 'snin kienet irregolata l-Iskozja direttament mill-Parlament tal-Gran Brittanja?</v>
      </c>
    </row>
    <row r="19779" ht="15.75" customHeight="1">
      <c r="A19779" s="2" t="s">
        <v>19779</v>
      </c>
      <c r="B19779" s="2" t="str">
        <f>IFERROR(__xludf.DUMMYFUNCTION("GOOGLETRANSLATE(A19779, ""en"", ""mt"")"),"Teorija tal-Phlogiston")</f>
        <v>Teorija tal-Phlogiston</v>
      </c>
    </row>
    <row r="19780" ht="15.75" customHeight="1">
      <c r="A19780" s="2" t="s">
        <v>19780</v>
      </c>
      <c r="B19780" s="2" t="str">
        <f>IFERROR(__xludf.DUMMYFUNCTION("GOOGLETRANSLATE(A19780, ""en"", ""mt"")"),"Liema klassi ta 'vapuri hija eżempju ta' inforor kbar tal-passiġġieri?")</f>
        <v>Liema klassi ta 'vapuri hija eżempju ta' inforor kbar tal-passiġġieri?</v>
      </c>
    </row>
    <row r="19781" ht="15.75" customHeight="1">
      <c r="A19781" s="2" t="s">
        <v>19781</v>
      </c>
      <c r="B19781" s="2" t="str">
        <f>IFERROR(__xludf.DUMMYFUNCTION("GOOGLETRANSLATE(A19781, ""en"", ""mt"")"),"Tracy Wolfson u Evan Washburn")</f>
        <v>Tracy Wolfson u Evan Washburn</v>
      </c>
    </row>
    <row r="19782" ht="15.75" customHeight="1">
      <c r="A19782" s="2" t="s">
        <v>19782</v>
      </c>
      <c r="B19782" s="2" t="str">
        <f>IFERROR(__xludf.DUMMYFUNCTION("GOOGLETRANSLATE(A19782, ""en"", ""mt"")"),"Minn liema nazzjonalità kien Martin Luther?")</f>
        <v>Minn liema nazzjonalità kien Martin Luther?</v>
      </c>
    </row>
    <row r="19783" ht="15.75" customHeight="1">
      <c r="A19783" s="2" t="s">
        <v>19783</v>
      </c>
      <c r="B19783" s="2" t="str">
        <f>IFERROR(__xludf.DUMMYFUNCTION("GOOGLETRANSLATE(A19783, ""en"", ""mt"")"),"Ekosistema naturali")</f>
        <v>Ekosistema naturali</v>
      </c>
    </row>
    <row r="19784" ht="15.75" customHeight="1">
      <c r="A19784" s="2" t="s">
        <v>19784</v>
      </c>
      <c r="B19784" s="2" t="str">
        <f>IFERROR(__xludf.DUMMYFUNCTION("GOOGLETRANSLATE(A19784, ""en"", ""mt"")"),"il-partitarji tagħha")</f>
        <v>il-partitarji tagħha</v>
      </c>
    </row>
    <row r="19785" ht="15.75" customHeight="1">
      <c r="A19785" s="2" t="s">
        <v>19785</v>
      </c>
      <c r="B19785" s="2" t="str">
        <f>IFERROR(__xludf.DUMMYFUNCTION("GOOGLETRANSLATE(A19785, ""en"", ""mt"")"),"Għaliex il-parti dejqa tax-Xmara San Ġwann imsejħa Cowford?")</f>
        <v>Għaliex il-parti dejqa tax-Xmara San Ġwann imsejħa Cowford?</v>
      </c>
    </row>
    <row r="19786" ht="15.75" customHeight="1">
      <c r="A19786" s="2" t="s">
        <v>19786</v>
      </c>
      <c r="B19786" s="2" t="str">
        <f>IFERROR(__xludf.DUMMYFUNCTION("GOOGLETRANSLATE(A19786, ""en"", ""mt"")"),"Recant")</f>
        <v>Recant</v>
      </c>
    </row>
    <row r="19787" ht="15.75" customHeight="1">
      <c r="A19787" s="2" t="s">
        <v>19787</v>
      </c>
      <c r="B19787" s="2" t="str">
        <f>IFERROR(__xludf.DUMMYFUNCTION("GOOGLETRANSLATE(A19787, ""en"", ""mt"")"),"AppleTalk kienet suite proprjetarja ta 'protokolli ta' netwerking żviluppati minn Apple Inc. fl-1985 għall-kompjuters ta 'Apple Macintosh. Kien il-protokoll primarju użat mill-apparati tat-tuffieħ matul is-snin 1980 u 90. AppleTalk kien jinkludi karatteri"&amp;"stiċi li ppermettew li n-netwerks taż-żona lokali jiġu stabbiliti ad hoc mingħajr il-ħtieġa għal router jew server ċentralizzat. Is-sistema AppleTalk assenjata awtomatikament indirizzi, aġġornat l-ispazju ta 'l-ismijiet distribwit, u kkonfigurat kwalunkwe"&amp;" rotta ta' bejn in-netwerk meħtieġa. Kienet sistema plug-n-play.")</f>
        <v>AppleTalk kienet suite proprjetarja ta 'protokolli ta' netwerking żviluppati minn Apple Inc. fl-1985 għall-kompjuters ta 'Apple Macintosh. Kien il-protokoll primarju użat mill-apparati tat-tuffieħ matul is-snin 1980 u 90. AppleTalk kien jinkludi karatteristiċi li ppermettew li n-netwerks taż-żona lokali jiġu stabbiliti ad hoc mingħajr il-ħtieġa għal router jew server ċentralizzat. Is-sistema AppleTalk assenjata awtomatikament indirizzi, aġġornat l-ispazju ta 'l-ismijiet distribwit, u kkonfigurat kwalunkwe rotta ta' bejn in-netwerk meħtieġa. Kienet sistema plug-n-play.</v>
      </c>
    </row>
    <row r="19788" ht="15.75" customHeight="1">
      <c r="A19788" s="2" t="s">
        <v>19788</v>
      </c>
      <c r="B19788" s="2" t="str">
        <f>IFERROR(__xludf.DUMMYFUNCTION("GOOGLETRANSLATE(A19788, ""en"", ""mt"")"),"Iċ-Ċertifikat tal-Edukazzjoni Sekondarja tal-Kenja")</f>
        <v>Iċ-Ċertifikat tal-Edukazzjoni Sekondarja tal-Kenja</v>
      </c>
    </row>
    <row r="19789" ht="15.75" customHeight="1">
      <c r="A19789" s="2" t="s">
        <v>19789</v>
      </c>
      <c r="B19789" s="2" t="str">
        <f>IFERROR(__xludf.DUMMYFUNCTION("GOOGLETRANSLATE(A19789, ""en"", ""mt"")"),"""Ċaħda tal-kapaċità""")</f>
        <v>"Ċaħda tal-kapaċità"</v>
      </c>
    </row>
    <row r="19790" ht="15.75" customHeight="1">
      <c r="A19790" s="2" t="s">
        <v>19790</v>
      </c>
      <c r="B19790" s="2" t="str">
        <f>IFERROR(__xludf.DUMMYFUNCTION("GOOGLETRANSLATE(A19790, ""en"", ""mt"")"),"$ 216,000")</f>
        <v>$ 216,000</v>
      </c>
    </row>
    <row r="19791" ht="15.75" customHeight="1">
      <c r="A19791" s="2" t="s">
        <v>19791</v>
      </c>
      <c r="B19791" s="2" t="str">
        <f>IFERROR(__xludf.DUMMYFUNCTION("GOOGLETRANSLATE(A19791, ""en"", ""mt"")"),"Id-diżubbidjenza ċivili tista 'sseħħ meta n-nies jitkellmu dwar ċertu suġġett li huwa meqjus bħala?")</f>
        <v>Id-diżubbidjenza ċivili tista 'sseħħ meta n-nies jitkellmu dwar ċertu suġġett li huwa meqjus bħala?</v>
      </c>
    </row>
    <row r="19792" ht="15.75" customHeight="1">
      <c r="A19792" s="2" t="s">
        <v>19792</v>
      </c>
      <c r="B19792" s="2" t="str">
        <f>IFERROR(__xludf.DUMMYFUNCTION("GOOGLETRANSLATE(A19792, ""en"", ""mt"")"),"Kif jissejħu t-tliet manuskritti marbuta mal-parċmina tal-codex Forster?")</f>
        <v>Kif jissejħu t-tliet manuskritti marbuta mal-parċmina tal-codex Forster?</v>
      </c>
    </row>
    <row r="19793" ht="15.75" customHeight="1">
      <c r="A19793" s="2" t="s">
        <v>19793</v>
      </c>
      <c r="B19793" s="2" t="str">
        <f>IFERROR(__xludf.DUMMYFUNCTION("GOOGLETRANSLATE(A19793, ""en"", ""mt"")"),"Liema ktieb kien ippubblikat is-seba 'lezzjonijiet Ingliżi ta' Iqbal?")</f>
        <v>Liema ktieb kien ippubblikat is-seba 'lezzjonijiet Ingliżi ta' Iqbal?</v>
      </c>
    </row>
    <row r="19794" ht="15.75" customHeight="1">
      <c r="A19794" s="2" t="s">
        <v>19794</v>
      </c>
      <c r="B19794" s="2" t="str">
        <f>IFERROR(__xludf.DUMMYFUNCTION("GOOGLETRANSLATE(A19794, ""en"", ""mt"")"),"Dawk li jħossu li t-tobba biss jistgħu jivvalutaw b'mod affidabbli l-kontraindikazzjonijiet, il-proporzjonijiet tar-riskju / benefiċċju, u l-adegwatezza ġenerali ta 'individwu għall-użu ta' medikazzjoni")</f>
        <v>Dawk li jħossu li t-tobba biss jistgħu jivvalutaw b'mod affidabbli l-kontraindikazzjonijiet, il-proporzjonijiet tar-riskju / benefiċċju, u l-adegwatezza ġenerali ta 'individwu għall-użu ta' medikazzjoni</v>
      </c>
    </row>
    <row r="19795" ht="15.75" customHeight="1">
      <c r="A19795" s="2" t="s">
        <v>19795</v>
      </c>
      <c r="B19795" s="2" t="str">
        <f>IFERROR(__xludf.DUMMYFUNCTION("GOOGLETRANSLATE(A19795, ""en"", ""mt"")"),"Karotenojdi tal-oranġjo aħmar jgħajjat ​​misjub fi kważi l-kloroplasti kollha")</f>
        <v>Karotenojdi tal-oranġjo aħmar jgħajjat ​​misjub fi kważi l-kloroplasti kollha</v>
      </c>
    </row>
    <row r="19796" ht="15.75" customHeight="1">
      <c r="A19796" s="2" t="s">
        <v>19796</v>
      </c>
      <c r="B19796" s="2" t="str">
        <f>IFERROR(__xludf.DUMMYFUNCTION("GOOGLETRANSLATE(A19796, ""en"", ""mt"")"),"tobba mhux Mongol")</f>
        <v>tobba mhux Mongol</v>
      </c>
    </row>
    <row r="19797" ht="15.75" customHeight="1">
      <c r="A19797" s="2" t="s">
        <v>19797</v>
      </c>
      <c r="B19797" s="2" t="str">
        <f>IFERROR(__xludf.DUMMYFUNCTION("GOOGLETRANSLATE(A19797, ""en"", ""mt"")"),"Ma 'xiex tmur l-inugwaljanza għolja?")</f>
        <v>Ma 'xiex tmur l-inugwaljanza għolja?</v>
      </c>
    </row>
    <row r="19798" ht="15.75" customHeight="1">
      <c r="A19798" s="2" t="s">
        <v>19798</v>
      </c>
      <c r="B19798" s="2" t="str">
        <f>IFERROR(__xludf.DUMMYFUNCTION("GOOGLETRANSLATE(A19798, ""en"", ""mt"")"),"Apollo_program")</f>
        <v>Apollo_program</v>
      </c>
    </row>
    <row r="19799" ht="15.75" customHeight="1">
      <c r="A19799" s="2" t="s">
        <v>19799</v>
      </c>
      <c r="B19799" s="2" t="str">
        <f>IFERROR(__xludf.DUMMYFUNCTION("GOOGLETRANSLATE(A19799, ""en"", ""mt"")"),"Fil-ħarifa tal-1937")</f>
        <v>Fil-ħarifa tal-1937</v>
      </c>
    </row>
    <row r="19800" ht="15.75" customHeight="1">
      <c r="A19800" s="2" t="s">
        <v>19800</v>
      </c>
      <c r="B19800" s="2" t="str">
        <f>IFERROR(__xludf.DUMMYFUNCTION("GOOGLETRANSLATE(A19800, ""en"", ""mt"")"),"Kif jaġixxu l-forzi ċentripetali fir-rigward ta 'vettori tal-veloċità?")</f>
        <v>Kif jaġixxu l-forzi ċentripetali fir-rigward ta 'vettori tal-veloċità?</v>
      </c>
    </row>
    <row r="19801" ht="15.75" customHeight="1">
      <c r="A19801" s="2" t="s">
        <v>19801</v>
      </c>
      <c r="B19801" s="2" t="str">
        <f>IFERROR(__xludf.DUMMYFUNCTION("GOOGLETRANSLATE(A19801, ""en"", ""mt"")"),"żieda fix-xorb tat-te")</f>
        <v>żieda fix-xorb tat-te</v>
      </c>
    </row>
    <row r="19802" ht="15.75" customHeight="1">
      <c r="A19802" s="2" t="s">
        <v>19802</v>
      </c>
      <c r="B19802" s="2" t="str">
        <f>IFERROR(__xludf.DUMMYFUNCTION("GOOGLETRANSLATE(A19802, ""en"", ""mt"")"),"Skond it-test, kemm ġabru flus il-kumitat ospitanti?")</f>
        <v>Skond it-test, kemm ġabru flus il-kumitat ospitanti?</v>
      </c>
    </row>
    <row r="19803" ht="15.75" customHeight="1">
      <c r="A19803" s="2" t="s">
        <v>19803</v>
      </c>
      <c r="B19803" s="2" t="str">
        <f>IFERROR(__xludf.DUMMYFUNCTION("GOOGLETRANSLATE(A19803, ""en"", ""mt"")"),"identifikazzjoni tal-blat")</f>
        <v>identifikazzjoni tal-blat</v>
      </c>
    </row>
    <row r="19804" ht="15.75" customHeight="1">
      <c r="A19804" s="2" t="s">
        <v>19804</v>
      </c>
      <c r="B19804" s="2" t="str">
        <f>IFERROR(__xludf.DUMMYFUNCTION("GOOGLETRANSLATE(A19804, ""en"", ""mt"")"),"X'aktarx li Tesla tagħmel max-xogħol tiegħu?")</f>
        <v>X'aktarx li Tesla tagħmel max-xogħol tiegħu?</v>
      </c>
    </row>
    <row r="19805" ht="15.75" customHeight="1">
      <c r="A19805" s="2" t="s">
        <v>19805</v>
      </c>
      <c r="B19805" s="2" t="str">
        <f>IFERROR(__xludf.DUMMYFUNCTION("GOOGLETRANSLATE(A19805, ""en"", ""mt"")"),"mehrież u lida u l-karattru ℞ (reċipjent)")</f>
        <v>mehrież u lida u l-karattru ℞ (reċipjent)</v>
      </c>
    </row>
    <row r="19806" ht="15.75" customHeight="1">
      <c r="A19806" s="2" t="s">
        <v>19806</v>
      </c>
      <c r="B19806" s="2" t="str">
        <f>IFERROR(__xludf.DUMMYFUNCTION("GOOGLETRANSLATE(A19806, ""en"", ""mt"")"),"tirrifletti x-xewqa li tħeġġeġ kunsens fost il-membri eletti")</f>
        <v>tirrifletti x-xewqa li tħeġġeġ kunsens fost il-membri eletti</v>
      </c>
    </row>
    <row r="19807" ht="15.75" customHeight="1">
      <c r="A19807" s="2" t="s">
        <v>19807</v>
      </c>
      <c r="B19807" s="2" t="str">
        <f>IFERROR(__xludf.DUMMYFUNCTION("GOOGLETRANSLATE(A19807, ""en"", ""mt"")"),"kommutatur")</f>
        <v>kommutatur</v>
      </c>
    </row>
    <row r="19808" ht="15.75" customHeight="1">
      <c r="A19808" s="2" t="s">
        <v>19808</v>
      </c>
      <c r="B19808" s="2" t="str">
        <f>IFERROR(__xludf.DUMMYFUNCTION("GOOGLETRANSLATE(A19808, ""en"", ""mt"")"),"nukleari")</f>
        <v>nukleari</v>
      </c>
    </row>
    <row r="19809" ht="15.75" customHeight="1">
      <c r="A19809" s="2" t="s">
        <v>19809</v>
      </c>
      <c r="B19809" s="2" t="str">
        <f>IFERROR(__xludf.DUMMYFUNCTION("GOOGLETRANSLATE(A19809, ""en"", ""mt"")"),"Ġie argumentat li t-terminu ""diżubbidjenza ċivili"" dejjem sofra minn ambigwità u fi żminijiet moderni, sar kompletament imnaqqas. Marshall Cohen jinnota, ""Intuża biex jiddeskrivi kollox mill-ġbir ta 'każ fil-qrati federali biex jieħu l-għan lejn uffiċj"&amp;"al federali. Tassew, għall-Viċi President Agnew sar kelma ta' kodiċi li tiddeskrivi l-attivitajiet ta 'muggers, Arsonists , Abbozzi ta 'Evaders, Hecklers tal-Kampanja, Militanti tal-Kampus, Dimostraturi Kontra l-Gwerra, Delinkwenti tal-Minorenni u Assassi"&amp;"ni Politiċi. """)</f>
        <v>Ġie argumentat li t-terminu "diżubbidjenza ċivili" dejjem sofra minn ambigwità u fi żminijiet moderni, sar kompletament imnaqqas. Marshall Cohen jinnota, "Intuża biex jiddeskrivi kollox mill-ġbir ta 'każ fil-qrati federali biex jieħu l-għan lejn uffiċjal federali. Tassew, għall-Viċi President Agnew sar kelma ta' kodiċi li tiddeskrivi l-attivitajiet ta 'muggers, Arsonists , Abbozzi ta 'Evaders, Hecklers tal-Kampanja, Militanti tal-Kampus, Dimostraturi Kontra l-Gwerra, Delinkwenti tal-Minorenni u Assassini Politiċi. "</v>
      </c>
    </row>
    <row r="19810" ht="15.75" customHeight="1">
      <c r="A19810" s="2" t="s">
        <v>19810</v>
      </c>
      <c r="B19810" s="2" t="str">
        <f>IFERROR(__xludf.DUMMYFUNCTION("GOOGLETRANSLATE(A19810, ""en"", ""mt"")"),"tibda leġislazzjoni kontra x-xewqat tal-kummissjoni")</f>
        <v>tibda leġislazzjoni kontra x-xewqat tal-kummissjoni</v>
      </c>
    </row>
    <row r="19811" ht="15.75" customHeight="1">
      <c r="A19811" s="2" t="s">
        <v>19811</v>
      </c>
      <c r="B19811" s="2" t="str">
        <f>IFERROR(__xludf.DUMMYFUNCTION("GOOGLETRANSLATE(A19811, ""en"", ""mt"")"),"Kemm jieklu ctenophore kuljum?")</f>
        <v>Kemm jieklu ctenophore kuljum?</v>
      </c>
    </row>
    <row r="19812" ht="15.75" customHeight="1">
      <c r="A19812" s="2" t="s">
        <v>19812</v>
      </c>
      <c r="B19812" s="2" t="str">
        <f>IFERROR(__xludf.DUMMYFUNCTION("GOOGLETRANSLATE(A19812, ""en"", ""mt"")"),"Fis-Sistema Federali tal-Kura tas-Saħħa ta 'l-Istati Uniti (inklużi l-VA, is-Servizz tas-Saħħa Indjana, u l-NIH) l-ispiżjara tal-kura ambulatorju jingħataw awtorità ta' preskrizzjoni indipendenti sħiħa. F’xi stati bħal North Carolina u New Mexico dawn il-"&amp;"kliniċi tal-ispiżjar jingħataw awtorità preskrittiva u dijanjostika kollaborattiva. Fl-2011 il-Bord tal-Ispeċjalitajiet Farmaċewtiċi approva l-prattika tal-ispiżerija tal-kura ambulatorja bħala ċertifikazzjoni separata tal-bord. In-nomina uffiċjali għall-"&amp;"ispiżjara li jgħaddu l-eżami taċ-ċertifikazzjoni tal-ispiżerija tal-ispiżerija tal-kura tal-ispiżerija se jkunu l-ispiżjar tal-kura ambulatorja ċċertifikata u dawn l-ispiżjara se jġorru l-inizjali tal-BCACP.")</f>
        <v>Fis-Sistema Federali tal-Kura tas-Saħħa ta 'l-Istati Uniti (inklużi l-VA, is-Servizz tas-Saħħa Indjana, u l-NIH) l-ispiżjara tal-kura ambulatorju jingħataw awtorità ta' preskrizzjoni indipendenti sħiħa. F’xi stati bħal North Carolina u New Mexico dawn il-kliniċi tal-ispiżjar jingħataw awtorità preskrittiva u dijanjostika kollaborattiva. Fl-2011 il-Bord tal-Ispeċjalitajiet Farmaċewtiċi approva l-prattika tal-ispiżerija tal-kura ambulatorja bħala ċertifikazzjoni separata tal-bord. In-nomina uffiċjali għall-ispiżjara li jgħaddu l-eżami taċ-ċertifikazzjoni tal-ispiżerija tal-ispiżerija tal-kura tal-ispiżerija se jkunu l-ispiżjar tal-kura ambulatorja ċċertifikata u dawn l-ispiżjara se jġorru l-inizjali tal-BCACP.</v>
      </c>
    </row>
    <row r="19813" ht="15.75" customHeight="1">
      <c r="A19813" s="2" t="s">
        <v>19813</v>
      </c>
      <c r="B19813" s="2" t="str">
        <f>IFERROR(__xludf.DUMMYFUNCTION("GOOGLETRANSLATE(A19813, ""en"", ""mt"")"),"Spiżeriji onlajn")</f>
        <v>Spiżeriji onlajn</v>
      </c>
    </row>
    <row r="19814" ht="15.75" customHeight="1">
      <c r="A19814" s="2" t="s">
        <v>19814</v>
      </c>
      <c r="B19814" s="2" t="str">
        <f>IFERROR(__xludf.DUMMYFUNCTION("GOOGLETRANSLATE(A19814, ""en"", ""mt"")"),"Iż-żona tal-belt moderna ta 'Jacksonville ilha abitata għal eluf ta' snin. Fuq l-Iswed tal-Gżira Hammock fil-Preserva Nazzjonali Ekoloġika u Storika ta ’Timucuan, tim tal-Università ta’ Florida tat-Tramuntana skopra wħud mill-eqdem fdalijiet tal-fuħħar fl"&amp;"-Istati Uniti, li jmorru għall-2500 QK. Fis-seklu 16, il-bidu tal-era storika, ir-reġjun kien abitat mill-Mocama, sottogrupp kostali tal-poplu ta 'Timucua. Fil-ħin tal-kuntatt mal-Ewropej, l-irħula kollha tal-Mocama fil-preżent Jacksonville kienu parti mi"&amp;"ll-kapna qawwija magħrufa bħala s-Saturawa, iċċentrata madwar il-bokka tax-Xmara San Ġwann. Mappa bikrija turi raħal imsejjaħ Ossachite fis-sit ta 'dak li issa huwa d-downtown ta' Jacksonville; Dan jista 'jkun l-ewwel isem irreġistrat għal dik iż-żona.")</f>
        <v>Iż-żona tal-belt moderna ta 'Jacksonville ilha abitata għal eluf ta' snin. Fuq l-Iswed tal-Gżira Hammock fil-Preserva Nazzjonali Ekoloġika u Storika ta ’Timucuan, tim tal-Università ta’ Florida tat-Tramuntana skopra wħud mill-eqdem fdalijiet tal-fuħħar fl-Istati Uniti, li jmorru għall-2500 QK. Fis-seklu 16, il-bidu tal-era storika, ir-reġjun kien abitat mill-Mocama, sottogrupp kostali tal-poplu ta 'Timucua. Fil-ħin tal-kuntatt mal-Ewropej, l-irħula kollha tal-Mocama fil-preżent Jacksonville kienu parti mill-kapna qawwija magħrufa bħala s-Saturawa, iċċentrata madwar il-bokka tax-Xmara San Ġwann. Mappa bikrija turi raħal imsejjaħ Ossachite fis-sit ta 'dak li issa huwa d-downtown ta' Jacksonville; Dan jista 'jkun l-ewwel isem irreġistrat għal dik iż-żona.</v>
      </c>
    </row>
    <row r="19815" ht="15.75" customHeight="1">
      <c r="A19815" s="2" t="s">
        <v>19815</v>
      </c>
      <c r="B19815" s="2" t="str">
        <f>IFERROR(__xludf.DUMMYFUNCTION("GOOGLETRANSLATE(A19815, ""en"", ""mt"")"),"raġġ")</f>
        <v>raġġ</v>
      </c>
    </row>
    <row r="19816" ht="15.75" customHeight="1">
      <c r="A19816" s="2" t="s">
        <v>19816</v>
      </c>
      <c r="B19816" s="2" t="str">
        <f>IFERROR(__xludf.DUMMYFUNCTION("GOOGLETRANSLATE(A19816, ""en"", ""mt"")"),"Fir-rigward tal-indulġenzi għall-mejtin")</f>
        <v>Fir-rigward tal-indulġenzi għall-mejtin</v>
      </c>
    </row>
    <row r="19817" ht="15.75" customHeight="1">
      <c r="A19817" s="2" t="s">
        <v>19817</v>
      </c>
      <c r="B19817" s="2" t="str">
        <f>IFERROR(__xludf.DUMMYFUNCTION("GOOGLETRANSLATE(A19817, ""en"", ""mt"")"),"Bejn wieħed u ieħor kemm klabbs spiċċaw fl-università?")</f>
        <v>Bejn wieħed u ieħor kemm klabbs spiċċaw fl-università?</v>
      </c>
    </row>
    <row r="19818" ht="15.75" customHeight="1">
      <c r="A19818" s="2" t="s">
        <v>19818</v>
      </c>
      <c r="B19818" s="2" t="str">
        <f>IFERROR(__xludf.DUMMYFUNCTION("GOOGLETRANSLATE(A19818, ""en"", ""mt"")"),"ħin u spazju")</f>
        <v>ħin u spazju</v>
      </c>
    </row>
    <row r="19819" ht="15.75" customHeight="1">
      <c r="A19819" s="2" t="s">
        <v>19819</v>
      </c>
      <c r="B19819" s="2" t="str">
        <f>IFERROR(__xludf.DUMMYFUNCTION("GOOGLETRANSLATE(A19819, ""en"", ""mt"")"),"Lexus")</f>
        <v>Lexus</v>
      </c>
    </row>
    <row r="19820" ht="15.75" customHeight="1">
      <c r="A19820" s="2" t="s">
        <v>19820</v>
      </c>
      <c r="B19820" s="2" t="str">
        <f>IFERROR(__xludf.DUMMYFUNCTION("GOOGLETRANSLATE(A19820, ""en"", ""mt"")"),"Staġun 1976–77")</f>
        <v>Staġun 1976–77</v>
      </c>
    </row>
    <row r="19821" ht="15.75" customHeight="1">
      <c r="A19821" s="2" t="s">
        <v>19821</v>
      </c>
      <c r="B19821" s="2" t="str">
        <f>IFERROR(__xludf.DUMMYFUNCTION("GOOGLETRANSLATE(A19821, ""en"", ""mt"")"),"Liema qasam tax-xjenza tal-kompjuter huwa kkonċernat primarjament bid-determinazzjoni tal-probabbiltà ta 'jekk problema tistax tissolva jew le bl-użu ta' algoritmi?")</f>
        <v>Liema qasam tax-xjenza tal-kompjuter huwa kkonċernat primarjament bid-determinazzjoni tal-probabbiltà ta 'jekk problema tistax tissolva jew le bl-użu ta' algoritmi?</v>
      </c>
    </row>
  </sheetData>
  <printOptions/>
  <pageMargins bottom="1.0" footer="0.0" header="0.0" left="0.75" right="0.75" top="1.0"/>
  <pageSetup orientation="landscape"/>
  <drawing r:id="rId1"/>
</worksheet>
</file>